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elliot/Downloads/"/>
    </mc:Choice>
  </mc:AlternateContent>
  <xr:revisionPtr revIDLastSave="0" documentId="13_ncr:1_{213563E4-227A-9543-AD96-AF32EBC78911}" xr6:coauthVersionLast="47" xr6:coauthVersionMax="47" xr10:uidLastSave="{00000000-0000-0000-0000-000000000000}"/>
  <bookViews>
    <workbookView xWindow="2700" yWindow="1000" windowWidth="53660" windowHeight="31840" xr2:uid="{00000000-000D-0000-FFFF-FFFF00000000}"/>
  </bookViews>
  <sheets>
    <sheet name="Version" sheetId="2" r:id="rId1"/>
    <sheet name="MSL" sheetId="12" r:id="rId2"/>
    <sheet name="Column Definitions" sheetId="4" r:id="rId3"/>
    <sheet name="Taxa Renamed in MSL39" sheetId="8" r:id="rId4"/>
    <sheet name="Taxon Counts" sheetId="9" r:id="rId5"/>
  </sheets>
  <definedNames>
    <definedName name="_xlnm._FilterDatabase" localSheetId="3" hidden="1">'Taxa Renamed in MSL39'!$A$1:$D$4498</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0" i="2" l="1"/>
  <c r="T13795" i="12"/>
  <c r="T13796" i="12"/>
  <c r="T2" i="12"/>
  <c r="U2" i="12"/>
  <c r="T3" i="12"/>
  <c r="U3" i="12"/>
  <c r="T4" i="12"/>
  <c r="U4" i="12"/>
  <c r="T5" i="12"/>
  <c r="U5" i="12"/>
  <c r="T6" i="12"/>
  <c r="U6" i="12"/>
  <c r="T7" i="12"/>
  <c r="U7" i="12"/>
  <c r="T8" i="12"/>
  <c r="U8" i="12"/>
  <c r="T9" i="12"/>
  <c r="U9" i="12"/>
  <c r="T10" i="12"/>
  <c r="U10" i="12"/>
  <c r="T11" i="12"/>
  <c r="U11" i="12"/>
  <c r="T12" i="12"/>
  <c r="U12" i="12"/>
  <c r="T13" i="12"/>
  <c r="U13" i="12"/>
  <c r="T14" i="12"/>
  <c r="U14" i="12"/>
  <c r="T15" i="12"/>
  <c r="U15" i="12"/>
  <c r="T16" i="12"/>
  <c r="U16" i="12"/>
  <c r="T17" i="12"/>
  <c r="U17" i="12"/>
  <c r="T18" i="12"/>
  <c r="U18" i="12"/>
  <c r="T19" i="12"/>
  <c r="U19" i="12"/>
  <c r="T20" i="12"/>
  <c r="U20" i="12"/>
  <c r="T21" i="12"/>
  <c r="U21" i="12"/>
  <c r="T22" i="12"/>
  <c r="U22" i="12"/>
  <c r="T23" i="12"/>
  <c r="U23" i="12"/>
  <c r="T24" i="12"/>
  <c r="U24" i="12"/>
  <c r="T25" i="12"/>
  <c r="U25" i="12"/>
  <c r="T26" i="12"/>
  <c r="U26" i="12"/>
  <c r="T27" i="12"/>
  <c r="U27" i="12"/>
  <c r="T28" i="12"/>
  <c r="U28" i="12"/>
  <c r="T29" i="12"/>
  <c r="U29" i="12"/>
  <c r="T30" i="12"/>
  <c r="U30" i="12"/>
  <c r="T31" i="12"/>
  <c r="U31" i="12"/>
  <c r="T32" i="12"/>
  <c r="U32" i="12"/>
  <c r="T33" i="12"/>
  <c r="U33" i="12"/>
  <c r="T34" i="12"/>
  <c r="U34" i="12"/>
  <c r="T35" i="12"/>
  <c r="U35" i="12"/>
  <c r="T36" i="12"/>
  <c r="U36" i="12"/>
  <c r="T37" i="12"/>
  <c r="U37" i="12"/>
  <c r="T38" i="12"/>
  <c r="U38" i="12"/>
  <c r="T39" i="12"/>
  <c r="U39" i="12"/>
  <c r="T40" i="12"/>
  <c r="U40" i="12"/>
  <c r="T41" i="12"/>
  <c r="U41" i="12"/>
  <c r="T42" i="12"/>
  <c r="U42" i="12"/>
  <c r="T43" i="12"/>
  <c r="U43" i="12"/>
  <c r="T44" i="12"/>
  <c r="U44" i="12"/>
  <c r="T45" i="12"/>
  <c r="U45" i="12"/>
  <c r="T46" i="12"/>
  <c r="U46" i="12"/>
  <c r="T47" i="12"/>
  <c r="U47" i="12"/>
  <c r="T48" i="12"/>
  <c r="U48" i="12"/>
  <c r="T49" i="12"/>
  <c r="U49" i="12"/>
  <c r="T50" i="12"/>
  <c r="U50" i="12"/>
  <c r="T51" i="12"/>
  <c r="U51" i="12"/>
  <c r="T52" i="12"/>
  <c r="U52" i="12"/>
  <c r="T53" i="12"/>
  <c r="U53" i="12"/>
  <c r="T54" i="12"/>
  <c r="U54" i="12"/>
  <c r="T55" i="12"/>
  <c r="U55" i="12"/>
  <c r="T56" i="12"/>
  <c r="U56" i="12"/>
  <c r="T57" i="12"/>
  <c r="U57" i="12"/>
  <c r="T58" i="12"/>
  <c r="U58" i="12"/>
  <c r="T59" i="12"/>
  <c r="U59" i="12"/>
  <c r="T60" i="12"/>
  <c r="U60" i="12"/>
  <c r="T61" i="12"/>
  <c r="U61" i="12"/>
  <c r="T62" i="12"/>
  <c r="U62" i="12"/>
  <c r="T63" i="12"/>
  <c r="U63" i="12"/>
  <c r="T64" i="12"/>
  <c r="U64" i="12"/>
  <c r="T65" i="12"/>
  <c r="U65" i="12"/>
  <c r="T66" i="12"/>
  <c r="U66" i="12"/>
  <c r="T67" i="12"/>
  <c r="U67" i="12"/>
  <c r="T68" i="12"/>
  <c r="U68" i="12"/>
  <c r="T69" i="12"/>
  <c r="U69" i="12"/>
  <c r="T70" i="12"/>
  <c r="U70" i="12"/>
  <c r="T71" i="12"/>
  <c r="U71" i="12"/>
  <c r="T72" i="12"/>
  <c r="U72" i="12"/>
  <c r="T73" i="12"/>
  <c r="U73" i="12"/>
  <c r="T74" i="12"/>
  <c r="U74" i="12"/>
  <c r="T75" i="12"/>
  <c r="U75" i="12"/>
  <c r="T76" i="12"/>
  <c r="U76" i="12"/>
  <c r="T77" i="12"/>
  <c r="U77" i="12"/>
  <c r="T78" i="12"/>
  <c r="U78" i="12"/>
  <c r="T79" i="12"/>
  <c r="U79" i="12"/>
  <c r="T80" i="12"/>
  <c r="U80" i="12"/>
  <c r="T81" i="12"/>
  <c r="U81" i="12"/>
  <c r="T82" i="12"/>
  <c r="U82" i="12"/>
  <c r="T83" i="12"/>
  <c r="U83" i="12"/>
  <c r="T84" i="12"/>
  <c r="U84" i="12"/>
  <c r="T85" i="12"/>
  <c r="U85" i="12"/>
  <c r="T86" i="12"/>
  <c r="U86" i="12"/>
  <c r="T87" i="12"/>
  <c r="U87" i="12"/>
  <c r="T88" i="12"/>
  <c r="U88" i="12"/>
  <c r="T89" i="12"/>
  <c r="U89" i="12"/>
  <c r="T90" i="12"/>
  <c r="U90" i="12"/>
  <c r="T91" i="12"/>
  <c r="U91" i="12"/>
  <c r="T92" i="12"/>
  <c r="U92" i="12"/>
  <c r="T93" i="12"/>
  <c r="U93" i="12"/>
  <c r="T94" i="12"/>
  <c r="U94" i="12"/>
  <c r="T95" i="12"/>
  <c r="U95" i="12"/>
  <c r="T96" i="12"/>
  <c r="U96" i="12"/>
  <c r="T97" i="12"/>
  <c r="U97" i="12"/>
  <c r="T98" i="12"/>
  <c r="U98" i="12"/>
  <c r="T99" i="12"/>
  <c r="U99" i="12"/>
  <c r="T100" i="12"/>
  <c r="U100" i="12"/>
  <c r="T101" i="12"/>
  <c r="U101" i="12"/>
  <c r="T102" i="12"/>
  <c r="U102" i="12"/>
  <c r="T103" i="12"/>
  <c r="U103" i="12"/>
  <c r="T104" i="12"/>
  <c r="U104" i="12"/>
  <c r="T105" i="12"/>
  <c r="U105" i="12"/>
  <c r="T106" i="12"/>
  <c r="U106" i="12"/>
  <c r="T107" i="12"/>
  <c r="U107" i="12"/>
  <c r="T108" i="12"/>
  <c r="U108" i="12"/>
  <c r="T109" i="12"/>
  <c r="U109" i="12"/>
  <c r="T110" i="12"/>
  <c r="U110" i="12"/>
  <c r="T111" i="12"/>
  <c r="U111" i="12"/>
  <c r="T112" i="12"/>
  <c r="U112" i="12"/>
  <c r="T113" i="12"/>
  <c r="U113" i="12"/>
  <c r="T114" i="12"/>
  <c r="U114" i="12"/>
  <c r="T115" i="12"/>
  <c r="U115" i="12"/>
  <c r="T116" i="12"/>
  <c r="U116" i="12"/>
  <c r="T117" i="12"/>
  <c r="U117" i="12"/>
  <c r="T118" i="12"/>
  <c r="U118" i="12"/>
  <c r="T119" i="12"/>
  <c r="U119" i="12"/>
  <c r="T120" i="12"/>
  <c r="U120" i="12"/>
  <c r="T121" i="12"/>
  <c r="U121" i="12"/>
  <c r="T122" i="12"/>
  <c r="U122" i="12"/>
  <c r="T123" i="12"/>
  <c r="U123" i="12"/>
  <c r="T124" i="12"/>
  <c r="U124" i="12"/>
  <c r="T125" i="12"/>
  <c r="U125" i="12"/>
  <c r="T126" i="12"/>
  <c r="U126" i="12"/>
  <c r="T127" i="12"/>
  <c r="U127" i="12"/>
  <c r="T128" i="12"/>
  <c r="U128" i="12"/>
  <c r="T129" i="12"/>
  <c r="U129" i="12"/>
  <c r="T130" i="12"/>
  <c r="U130" i="12"/>
  <c r="T131" i="12"/>
  <c r="U131" i="12"/>
  <c r="T132" i="12"/>
  <c r="U132" i="12"/>
  <c r="T133" i="12"/>
  <c r="U133" i="12"/>
  <c r="T134" i="12"/>
  <c r="U134" i="12"/>
  <c r="T135" i="12"/>
  <c r="U135" i="12"/>
  <c r="T136" i="12"/>
  <c r="U136" i="12"/>
  <c r="T137" i="12"/>
  <c r="U137" i="12"/>
  <c r="T138" i="12"/>
  <c r="U138" i="12"/>
  <c r="T139" i="12"/>
  <c r="U139" i="12"/>
  <c r="T140" i="12"/>
  <c r="U140" i="12"/>
  <c r="T141" i="12"/>
  <c r="U141" i="12"/>
  <c r="T142" i="12"/>
  <c r="U142" i="12"/>
  <c r="T143" i="12"/>
  <c r="U143" i="12"/>
  <c r="T144" i="12"/>
  <c r="U144" i="12"/>
  <c r="T145" i="12"/>
  <c r="U145" i="12"/>
  <c r="T146" i="12"/>
  <c r="U146" i="12"/>
  <c r="T147" i="12"/>
  <c r="U147" i="12"/>
  <c r="T148" i="12"/>
  <c r="U148" i="12"/>
  <c r="T149" i="12"/>
  <c r="U149" i="12"/>
  <c r="T150" i="12"/>
  <c r="U150" i="12"/>
  <c r="T151" i="12"/>
  <c r="U151" i="12"/>
  <c r="T152" i="12"/>
  <c r="U152" i="12"/>
  <c r="T153" i="12"/>
  <c r="U153" i="12"/>
  <c r="T154" i="12"/>
  <c r="U154" i="12"/>
  <c r="T155" i="12"/>
  <c r="U155" i="12"/>
  <c r="T156" i="12"/>
  <c r="U156" i="12"/>
  <c r="T157" i="12"/>
  <c r="U157" i="12"/>
  <c r="T158" i="12"/>
  <c r="U158" i="12"/>
  <c r="T159" i="12"/>
  <c r="U159" i="12"/>
  <c r="T160" i="12"/>
  <c r="U160" i="12"/>
  <c r="T161" i="12"/>
  <c r="U161" i="12"/>
  <c r="T162" i="12"/>
  <c r="U162" i="12"/>
  <c r="T163" i="12"/>
  <c r="U163" i="12"/>
  <c r="T164" i="12"/>
  <c r="U164" i="12"/>
  <c r="T165" i="12"/>
  <c r="U165" i="12"/>
  <c r="T166" i="12"/>
  <c r="U166" i="12"/>
  <c r="T167" i="12"/>
  <c r="U167" i="12"/>
  <c r="T168" i="12"/>
  <c r="U168" i="12"/>
  <c r="T169" i="12"/>
  <c r="U169" i="12"/>
  <c r="T170" i="12"/>
  <c r="U170" i="12"/>
  <c r="T171" i="12"/>
  <c r="U171" i="12"/>
  <c r="T172" i="12"/>
  <c r="U172" i="12"/>
  <c r="T173" i="12"/>
  <c r="U173" i="12"/>
  <c r="T174" i="12"/>
  <c r="U174" i="12"/>
  <c r="T175" i="12"/>
  <c r="U175" i="12"/>
  <c r="T176" i="12"/>
  <c r="U176" i="12"/>
  <c r="T177" i="12"/>
  <c r="U177" i="12"/>
  <c r="T178" i="12"/>
  <c r="U178" i="12"/>
  <c r="T179" i="12"/>
  <c r="U179" i="12"/>
  <c r="T180" i="12"/>
  <c r="U180" i="12"/>
  <c r="T181" i="12"/>
  <c r="U181" i="12"/>
  <c r="T182" i="12"/>
  <c r="U182" i="12"/>
  <c r="T183" i="12"/>
  <c r="U183" i="12"/>
  <c r="T184" i="12"/>
  <c r="U184" i="12"/>
  <c r="T185" i="12"/>
  <c r="U185" i="12"/>
  <c r="T186" i="12"/>
  <c r="U186" i="12"/>
  <c r="T187" i="12"/>
  <c r="U187" i="12"/>
  <c r="T188" i="12"/>
  <c r="U188" i="12"/>
  <c r="T189" i="12"/>
  <c r="U189" i="12"/>
  <c r="T190" i="12"/>
  <c r="U190" i="12"/>
  <c r="T191" i="12"/>
  <c r="U191" i="12"/>
  <c r="T192" i="12"/>
  <c r="U192" i="12"/>
  <c r="T193" i="12"/>
  <c r="U193" i="12"/>
  <c r="T194" i="12"/>
  <c r="U194" i="12"/>
  <c r="T195" i="12"/>
  <c r="U195" i="12"/>
  <c r="T196" i="12"/>
  <c r="U196" i="12"/>
  <c r="T197" i="12"/>
  <c r="U197" i="12"/>
  <c r="T198" i="12"/>
  <c r="U198" i="12"/>
  <c r="T199" i="12"/>
  <c r="U199" i="12"/>
  <c r="T200" i="12"/>
  <c r="U200" i="12"/>
  <c r="T201" i="12"/>
  <c r="U201" i="12"/>
  <c r="T202" i="12"/>
  <c r="U202" i="12"/>
  <c r="T203" i="12"/>
  <c r="U203" i="12"/>
  <c r="T204" i="12"/>
  <c r="U204" i="12"/>
  <c r="T205" i="12"/>
  <c r="U205" i="12"/>
  <c r="T206" i="12"/>
  <c r="U206" i="12"/>
  <c r="T207" i="12"/>
  <c r="U207" i="12"/>
  <c r="T208" i="12"/>
  <c r="U208" i="12"/>
  <c r="T209" i="12"/>
  <c r="U209" i="12"/>
  <c r="T210" i="12"/>
  <c r="U210" i="12"/>
  <c r="T211" i="12"/>
  <c r="U211" i="12"/>
  <c r="T212" i="12"/>
  <c r="U212" i="12"/>
  <c r="T213" i="12"/>
  <c r="U213" i="12"/>
  <c r="T214" i="12"/>
  <c r="U214" i="12"/>
  <c r="T215" i="12"/>
  <c r="U215" i="12"/>
  <c r="T216" i="12"/>
  <c r="U216" i="12"/>
  <c r="T217" i="12"/>
  <c r="U217" i="12"/>
  <c r="T218" i="12"/>
  <c r="U218" i="12"/>
  <c r="T219" i="12"/>
  <c r="U219" i="12"/>
  <c r="T220" i="12"/>
  <c r="U220" i="12"/>
  <c r="T221" i="12"/>
  <c r="U221" i="12"/>
  <c r="T222" i="12"/>
  <c r="U222" i="12"/>
  <c r="T223" i="12"/>
  <c r="U223" i="12"/>
  <c r="T224" i="12"/>
  <c r="U224" i="12"/>
  <c r="T225" i="12"/>
  <c r="U225" i="12"/>
  <c r="T226" i="12"/>
  <c r="U226" i="12"/>
  <c r="T227" i="12"/>
  <c r="U227" i="12"/>
  <c r="T228" i="12"/>
  <c r="U228" i="12"/>
  <c r="T229" i="12"/>
  <c r="U229" i="12"/>
  <c r="T230" i="12"/>
  <c r="U230" i="12"/>
  <c r="T231" i="12"/>
  <c r="U231" i="12"/>
  <c r="T232" i="12"/>
  <c r="U232" i="12"/>
  <c r="T233" i="12"/>
  <c r="U233" i="12"/>
  <c r="T234" i="12"/>
  <c r="U234" i="12"/>
  <c r="T235" i="12"/>
  <c r="U235" i="12"/>
  <c r="T236" i="12"/>
  <c r="U236" i="12"/>
  <c r="T237" i="12"/>
  <c r="U237" i="12"/>
  <c r="T238" i="12"/>
  <c r="U238" i="12"/>
  <c r="T239" i="12"/>
  <c r="U239" i="12"/>
  <c r="T240" i="12"/>
  <c r="U240" i="12"/>
  <c r="T241" i="12"/>
  <c r="U241" i="12"/>
  <c r="T242" i="12"/>
  <c r="U242" i="12"/>
  <c r="T243" i="12"/>
  <c r="U243" i="12"/>
  <c r="T244" i="12"/>
  <c r="U244" i="12"/>
  <c r="T245" i="12"/>
  <c r="U245" i="12"/>
  <c r="T246" i="12"/>
  <c r="U246" i="12"/>
  <c r="T247" i="12"/>
  <c r="U247" i="12"/>
  <c r="T248" i="12"/>
  <c r="U248" i="12"/>
  <c r="T249" i="12"/>
  <c r="U249" i="12"/>
  <c r="T250" i="12"/>
  <c r="U250" i="12"/>
  <c r="T251" i="12"/>
  <c r="U251" i="12"/>
  <c r="T252" i="12"/>
  <c r="U252" i="12"/>
  <c r="T253" i="12"/>
  <c r="U253" i="12"/>
  <c r="T254" i="12"/>
  <c r="U254" i="12"/>
  <c r="T255" i="12"/>
  <c r="U255" i="12"/>
  <c r="T256" i="12"/>
  <c r="U256" i="12"/>
  <c r="T257" i="12"/>
  <c r="U257" i="12"/>
  <c r="T258" i="12"/>
  <c r="U258" i="12"/>
  <c r="T259" i="12"/>
  <c r="U259" i="12"/>
  <c r="T260" i="12"/>
  <c r="U260" i="12"/>
  <c r="T261" i="12"/>
  <c r="U261" i="12"/>
  <c r="T262" i="12"/>
  <c r="U262" i="12"/>
  <c r="T263" i="12"/>
  <c r="U263" i="12"/>
  <c r="T264" i="12"/>
  <c r="U264" i="12"/>
  <c r="T265" i="12"/>
  <c r="U265" i="12"/>
  <c r="T266" i="12"/>
  <c r="U266" i="12"/>
  <c r="T267" i="12"/>
  <c r="U267" i="12"/>
  <c r="T268" i="12"/>
  <c r="U268" i="12"/>
  <c r="T269" i="12"/>
  <c r="U269" i="12"/>
  <c r="T270" i="12"/>
  <c r="U270" i="12"/>
  <c r="T271" i="12"/>
  <c r="U271" i="12"/>
  <c r="T272" i="12"/>
  <c r="U272" i="12"/>
  <c r="T273" i="12"/>
  <c r="U273" i="12"/>
  <c r="T274" i="12"/>
  <c r="U274" i="12"/>
  <c r="T275" i="12"/>
  <c r="U275" i="12"/>
  <c r="T276" i="12"/>
  <c r="U276" i="12"/>
  <c r="T277" i="12"/>
  <c r="U277" i="12"/>
  <c r="T278" i="12"/>
  <c r="U278" i="12"/>
  <c r="T279" i="12"/>
  <c r="U279" i="12"/>
  <c r="T280" i="12"/>
  <c r="U280" i="12"/>
  <c r="T281" i="12"/>
  <c r="U281" i="12"/>
  <c r="T282" i="12"/>
  <c r="U282" i="12"/>
  <c r="T283" i="12"/>
  <c r="U283" i="12"/>
  <c r="T284" i="12"/>
  <c r="U284" i="12"/>
  <c r="T285" i="12"/>
  <c r="U285" i="12"/>
  <c r="T286" i="12"/>
  <c r="U286" i="12"/>
  <c r="T287" i="12"/>
  <c r="U287" i="12"/>
  <c r="T288" i="12"/>
  <c r="U288" i="12"/>
  <c r="T289" i="12"/>
  <c r="U289" i="12"/>
  <c r="T290" i="12"/>
  <c r="U290" i="12"/>
  <c r="T291" i="12"/>
  <c r="U291" i="12"/>
  <c r="T292" i="12"/>
  <c r="U292" i="12"/>
  <c r="T293" i="12"/>
  <c r="U293" i="12"/>
  <c r="T294" i="12"/>
  <c r="U294" i="12"/>
  <c r="T295" i="12"/>
  <c r="U295" i="12"/>
  <c r="T296" i="12"/>
  <c r="U296" i="12"/>
  <c r="T297" i="12"/>
  <c r="U297" i="12"/>
  <c r="T298" i="12"/>
  <c r="U298" i="12"/>
  <c r="T299" i="12"/>
  <c r="U299" i="12"/>
  <c r="T300" i="12"/>
  <c r="U300" i="12"/>
  <c r="T301" i="12"/>
  <c r="U301" i="12"/>
  <c r="T302" i="12"/>
  <c r="U302" i="12"/>
  <c r="T303" i="12"/>
  <c r="U303" i="12"/>
  <c r="T304" i="12"/>
  <c r="U304" i="12"/>
  <c r="T305" i="12"/>
  <c r="U305" i="12"/>
  <c r="T306" i="12"/>
  <c r="U306" i="12"/>
  <c r="T307" i="12"/>
  <c r="U307" i="12"/>
  <c r="T308" i="12"/>
  <c r="U308" i="12"/>
  <c r="T309" i="12"/>
  <c r="U309" i="12"/>
  <c r="T310" i="12"/>
  <c r="U310" i="12"/>
  <c r="T311" i="12"/>
  <c r="U311" i="12"/>
  <c r="T312" i="12"/>
  <c r="U312" i="12"/>
  <c r="T313" i="12"/>
  <c r="U313" i="12"/>
  <c r="T314" i="12"/>
  <c r="U314" i="12"/>
  <c r="T315" i="12"/>
  <c r="U315" i="12"/>
  <c r="T316" i="12"/>
  <c r="U316" i="12"/>
  <c r="T317" i="12"/>
  <c r="U317" i="12"/>
  <c r="T318" i="12"/>
  <c r="U318" i="12"/>
  <c r="T319" i="12"/>
  <c r="U319" i="12"/>
  <c r="T320" i="12"/>
  <c r="U320" i="12"/>
  <c r="T321" i="12"/>
  <c r="U321" i="12"/>
  <c r="T322" i="12"/>
  <c r="U322" i="12"/>
  <c r="T323" i="12"/>
  <c r="U323" i="12"/>
  <c r="T324" i="12"/>
  <c r="U324" i="12"/>
  <c r="T325" i="12"/>
  <c r="U325" i="12"/>
  <c r="T326" i="12"/>
  <c r="U326" i="12"/>
  <c r="T327" i="12"/>
  <c r="U327" i="12"/>
  <c r="T328" i="12"/>
  <c r="U328" i="12"/>
  <c r="T329" i="12"/>
  <c r="U329" i="12"/>
  <c r="T330" i="12"/>
  <c r="U330" i="12"/>
  <c r="T331" i="12"/>
  <c r="U331" i="12"/>
  <c r="T332" i="12"/>
  <c r="U332" i="12"/>
  <c r="T333" i="12"/>
  <c r="U333" i="12"/>
  <c r="T334" i="12"/>
  <c r="U334" i="12"/>
  <c r="T335" i="12"/>
  <c r="U335" i="12"/>
  <c r="T336" i="12"/>
  <c r="U336" i="12"/>
  <c r="T337" i="12"/>
  <c r="U337" i="12"/>
  <c r="T338" i="12"/>
  <c r="U338" i="12"/>
  <c r="T339" i="12"/>
  <c r="U339" i="12"/>
  <c r="T340" i="12"/>
  <c r="U340" i="12"/>
  <c r="T341" i="12"/>
  <c r="U341" i="12"/>
  <c r="T342" i="12"/>
  <c r="U342" i="12"/>
  <c r="T343" i="12"/>
  <c r="U343" i="12"/>
  <c r="T344" i="12"/>
  <c r="U344" i="12"/>
  <c r="T345" i="12"/>
  <c r="U345" i="12"/>
  <c r="T346" i="12"/>
  <c r="U346" i="12"/>
  <c r="T347" i="12"/>
  <c r="U347" i="12"/>
  <c r="T348" i="12"/>
  <c r="U348" i="12"/>
  <c r="T349" i="12"/>
  <c r="U349" i="12"/>
  <c r="T350" i="12"/>
  <c r="U350" i="12"/>
  <c r="T351" i="12"/>
  <c r="U351" i="12"/>
  <c r="T352" i="12"/>
  <c r="U352" i="12"/>
  <c r="T353" i="12"/>
  <c r="U353" i="12"/>
  <c r="T354" i="12"/>
  <c r="U354" i="12"/>
  <c r="T355" i="12"/>
  <c r="U355" i="12"/>
  <c r="T356" i="12"/>
  <c r="U356" i="12"/>
  <c r="T357" i="12"/>
  <c r="U357" i="12"/>
  <c r="T358" i="12"/>
  <c r="U358" i="12"/>
  <c r="T359" i="12"/>
  <c r="U359" i="12"/>
  <c r="T360" i="12"/>
  <c r="U360" i="12"/>
  <c r="T361" i="12"/>
  <c r="U361" i="12"/>
  <c r="T362" i="12"/>
  <c r="U362" i="12"/>
  <c r="T363" i="12"/>
  <c r="U363" i="12"/>
  <c r="T364" i="12"/>
  <c r="U364" i="12"/>
  <c r="T365" i="12"/>
  <c r="U365" i="12"/>
  <c r="T366" i="12"/>
  <c r="U366" i="12"/>
  <c r="T367" i="12"/>
  <c r="U367" i="12"/>
  <c r="T368" i="12"/>
  <c r="U368" i="12"/>
  <c r="T369" i="12"/>
  <c r="U369" i="12"/>
  <c r="T370" i="12"/>
  <c r="U370" i="12"/>
  <c r="T371" i="12"/>
  <c r="U371" i="12"/>
  <c r="T372" i="12"/>
  <c r="U372" i="12"/>
  <c r="T373" i="12"/>
  <c r="U373" i="12"/>
  <c r="T374" i="12"/>
  <c r="U374" i="12"/>
  <c r="T375" i="12"/>
  <c r="U375" i="12"/>
  <c r="T376" i="12"/>
  <c r="U376" i="12"/>
  <c r="T377" i="12"/>
  <c r="U377" i="12"/>
  <c r="T378" i="12"/>
  <c r="U378" i="12"/>
  <c r="T379" i="12"/>
  <c r="U379" i="12"/>
  <c r="T380" i="12"/>
  <c r="U380" i="12"/>
  <c r="T381" i="12"/>
  <c r="U381" i="12"/>
  <c r="T382" i="12"/>
  <c r="U382" i="12"/>
  <c r="T383" i="12"/>
  <c r="U383" i="12"/>
  <c r="T384" i="12"/>
  <c r="U384" i="12"/>
  <c r="T385" i="12"/>
  <c r="U385" i="12"/>
  <c r="T386" i="12"/>
  <c r="U386" i="12"/>
  <c r="T387" i="12"/>
  <c r="U387" i="12"/>
  <c r="T388" i="12"/>
  <c r="U388" i="12"/>
  <c r="T389" i="12"/>
  <c r="U389" i="12"/>
  <c r="T390" i="12"/>
  <c r="U390" i="12"/>
  <c r="T391" i="12"/>
  <c r="U391" i="12"/>
  <c r="T392" i="12"/>
  <c r="U392" i="12"/>
  <c r="T393" i="12"/>
  <c r="U393" i="12"/>
  <c r="T394" i="12"/>
  <c r="U394" i="12"/>
  <c r="T395" i="12"/>
  <c r="U395" i="12"/>
  <c r="T396" i="12"/>
  <c r="U396" i="12"/>
  <c r="T397" i="12"/>
  <c r="U397" i="12"/>
  <c r="T398" i="12"/>
  <c r="U398" i="12"/>
  <c r="T399" i="12"/>
  <c r="U399" i="12"/>
  <c r="T400" i="12"/>
  <c r="U400" i="12"/>
  <c r="T401" i="12"/>
  <c r="U401" i="12"/>
  <c r="T402" i="12"/>
  <c r="U402" i="12"/>
  <c r="T403" i="12"/>
  <c r="U403" i="12"/>
  <c r="T404" i="12"/>
  <c r="U404" i="12"/>
  <c r="T405" i="12"/>
  <c r="U405" i="12"/>
  <c r="T406" i="12"/>
  <c r="U406" i="12"/>
  <c r="T407" i="12"/>
  <c r="U407" i="12"/>
  <c r="T408" i="12"/>
  <c r="U408" i="12"/>
  <c r="T409" i="12"/>
  <c r="U409" i="12"/>
  <c r="T410" i="12"/>
  <c r="U410" i="12"/>
  <c r="T411" i="12"/>
  <c r="U411" i="12"/>
  <c r="T412" i="12"/>
  <c r="U412" i="12"/>
  <c r="T413" i="12"/>
  <c r="U413" i="12"/>
  <c r="T414" i="12"/>
  <c r="U414" i="12"/>
  <c r="T415" i="12"/>
  <c r="U415" i="12"/>
  <c r="T416" i="12"/>
  <c r="U416" i="12"/>
  <c r="T417" i="12"/>
  <c r="U417" i="12"/>
  <c r="T418" i="12"/>
  <c r="U418" i="12"/>
  <c r="T419" i="12"/>
  <c r="U419" i="12"/>
  <c r="T420" i="12"/>
  <c r="U420" i="12"/>
  <c r="T421" i="12"/>
  <c r="U421" i="12"/>
  <c r="T422" i="12"/>
  <c r="U422" i="12"/>
  <c r="T423" i="12"/>
  <c r="U423" i="12"/>
  <c r="T424" i="12"/>
  <c r="U424" i="12"/>
  <c r="T425" i="12"/>
  <c r="U425" i="12"/>
  <c r="T426" i="12"/>
  <c r="U426" i="12"/>
  <c r="T427" i="12"/>
  <c r="U427" i="12"/>
  <c r="T428" i="12"/>
  <c r="U428" i="12"/>
  <c r="T429" i="12"/>
  <c r="U429" i="12"/>
  <c r="T430" i="12"/>
  <c r="U430" i="12"/>
  <c r="T431" i="12"/>
  <c r="U431" i="12"/>
  <c r="T432" i="12"/>
  <c r="U432" i="12"/>
  <c r="T433" i="12"/>
  <c r="U433" i="12"/>
  <c r="T434" i="12"/>
  <c r="U434" i="12"/>
  <c r="T435" i="12"/>
  <c r="U435" i="12"/>
  <c r="T436" i="12"/>
  <c r="U436" i="12"/>
  <c r="T437" i="12"/>
  <c r="U437" i="12"/>
  <c r="T438" i="12"/>
  <c r="U438" i="12"/>
  <c r="T439" i="12"/>
  <c r="U439" i="12"/>
  <c r="T440" i="12"/>
  <c r="U440" i="12"/>
  <c r="T441" i="12"/>
  <c r="U441" i="12"/>
  <c r="T442" i="12"/>
  <c r="U442" i="12"/>
  <c r="T443" i="12"/>
  <c r="U443" i="12"/>
  <c r="T444" i="12"/>
  <c r="U444" i="12"/>
  <c r="T445" i="12"/>
  <c r="U445" i="12"/>
  <c r="T446" i="12"/>
  <c r="U446" i="12"/>
  <c r="T447" i="12"/>
  <c r="U447" i="12"/>
  <c r="T448" i="12"/>
  <c r="U448" i="12"/>
  <c r="T449" i="12"/>
  <c r="U449" i="12"/>
  <c r="T450" i="12"/>
  <c r="U450" i="12"/>
  <c r="T451" i="12"/>
  <c r="U451" i="12"/>
  <c r="T452" i="12"/>
  <c r="U452" i="12"/>
  <c r="T453" i="12"/>
  <c r="U453" i="12"/>
  <c r="T454" i="12"/>
  <c r="U454" i="12"/>
  <c r="T455" i="12"/>
  <c r="U455" i="12"/>
  <c r="T456" i="12"/>
  <c r="U456" i="12"/>
  <c r="T457" i="12"/>
  <c r="U457" i="12"/>
  <c r="T458" i="12"/>
  <c r="U458" i="12"/>
  <c r="T459" i="12"/>
  <c r="U459" i="12"/>
  <c r="T460" i="12"/>
  <c r="U460" i="12"/>
  <c r="T461" i="12"/>
  <c r="U461" i="12"/>
  <c r="T462" i="12"/>
  <c r="U462" i="12"/>
  <c r="T463" i="12"/>
  <c r="U463" i="12"/>
  <c r="T464" i="12"/>
  <c r="U464" i="12"/>
  <c r="T465" i="12"/>
  <c r="U465" i="12"/>
  <c r="T466" i="12"/>
  <c r="U466" i="12"/>
  <c r="T467" i="12"/>
  <c r="U467" i="12"/>
  <c r="T468" i="12"/>
  <c r="U468" i="12"/>
  <c r="T469" i="12"/>
  <c r="U469" i="12"/>
  <c r="T470" i="12"/>
  <c r="U470" i="12"/>
  <c r="T471" i="12"/>
  <c r="U471" i="12"/>
  <c r="T472" i="12"/>
  <c r="U472" i="12"/>
  <c r="T473" i="12"/>
  <c r="U473" i="12"/>
  <c r="T474" i="12"/>
  <c r="U474" i="12"/>
  <c r="T475" i="12"/>
  <c r="U475" i="12"/>
  <c r="T476" i="12"/>
  <c r="U476" i="12"/>
  <c r="T477" i="12"/>
  <c r="U477" i="12"/>
  <c r="T478" i="12"/>
  <c r="U478" i="12"/>
  <c r="T479" i="12"/>
  <c r="U479" i="12"/>
  <c r="T480" i="12"/>
  <c r="U480" i="12"/>
  <c r="T481" i="12"/>
  <c r="U481" i="12"/>
  <c r="T482" i="12"/>
  <c r="U482" i="12"/>
  <c r="T483" i="12"/>
  <c r="U483" i="12"/>
  <c r="T484" i="12"/>
  <c r="U484" i="12"/>
  <c r="T485" i="12"/>
  <c r="U485" i="12"/>
  <c r="T486" i="12"/>
  <c r="U486" i="12"/>
  <c r="T487" i="12"/>
  <c r="U487" i="12"/>
  <c r="T488" i="12"/>
  <c r="U488" i="12"/>
  <c r="T489" i="12"/>
  <c r="U489" i="12"/>
  <c r="T490" i="12"/>
  <c r="U490" i="12"/>
  <c r="T491" i="12"/>
  <c r="U491" i="12"/>
  <c r="T492" i="12"/>
  <c r="U492" i="12"/>
  <c r="T493" i="12"/>
  <c r="U493" i="12"/>
  <c r="T494" i="12"/>
  <c r="U494" i="12"/>
  <c r="T495" i="12"/>
  <c r="U495" i="12"/>
  <c r="T496" i="12"/>
  <c r="U496" i="12"/>
  <c r="T497" i="12"/>
  <c r="U497" i="12"/>
  <c r="T498" i="12"/>
  <c r="U498" i="12"/>
  <c r="T499" i="12"/>
  <c r="U499" i="12"/>
  <c r="T500" i="12"/>
  <c r="U500" i="12"/>
  <c r="T501" i="12"/>
  <c r="U501" i="12"/>
  <c r="T502" i="12"/>
  <c r="U502" i="12"/>
  <c r="T503" i="12"/>
  <c r="U503" i="12"/>
  <c r="T504" i="12"/>
  <c r="U504" i="12"/>
  <c r="T505" i="12"/>
  <c r="U505" i="12"/>
  <c r="T506" i="12"/>
  <c r="U506" i="12"/>
  <c r="T507" i="12"/>
  <c r="U507" i="12"/>
  <c r="T508" i="12"/>
  <c r="U508" i="12"/>
  <c r="T509" i="12"/>
  <c r="U509" i="12"/>
  <c r="T510" i="12"/>
  <c r="U510" i="12"/>
  <c r="T511" i="12"/>
  <c r="U511" i="12"/>
  <c r="T512" i="12"/>
  <c r="U512" i="12"/>
  <c r="T513" i="12"/>
  <c r="U513" i="12"/>
  <c r="T514" i="12"/>
  <c r="U514" i="12"/>
  <c r="T515" i="12"/>
  <c r="U515" i="12"/>
  <c r="T516" i="12"/>
  <c r="U516" i="12"/>
  <c r="T517" i="12"/>
  <c r="U517" i="12"/>
  <c r="T518" i="12"/>
  <c r="U518" i="12"/>
  <c r="T519" i="12"/>
  <c r="U519" i="12"/>
  <c r="T520" i="12"/>
  <c r="U520" i="12"/>
  <c r="T521" i="12"/>
  <c r="U521" i="12"/>
  <c r="T522" i="12"/>
  <c r="U522" i="12"/>
  <c r="T523" i="12"/>
  <c r="U523" i="12"/>
  <c r="T524" i="12"/>
  <c r="U524" i="12"/>
  <c r="T525" i="12"/>
  <c r="U525" i="12"/>
  <c r="T526" i="12"/>
  <c r="U526" i="12"/>
  <c r="T527" i="12"/>
  <c r="U527" i="12"/>
  <c r="T528" i="12"/>
  <c r="U528" i="12"/>
  <c r="T529" i="12"/>
  <c r="U529" i="12"/>
  <c r="T530" i="12"/>
  <c r="U530" i="12"/>
  <c r="T531" i="12"/>
  <c r="U531" i="12"/>
  <c r="T532" i="12"/>
  <c r="U532" i="12"/>
  <c r="T533" i="12"/>
  <c r="U533" i="12"/>
  <c r="T534" i="12"/>
  <c r="U534" i="12"/>
  <c r="T535" i="12"/>
  <c r="U535" i="12"/>
  <c r="T536" i="12"/>
  <c r="U536" i="12"/>
  <c r="T537" i="12"/>
  <c r="U537" i="12"/>
  <c r="T538" i="12"/>
  <c r="U538" i="12"/>
  <c r="T539" i="12"/>
  <c r="U539" i="12"/>
  <c r="T540" i="12"/>
  <c r="U540" i="12"/>
  <c r="T541" i="12"/>
  <c r="U541" i="12"/>
  <c r="T542" i="12"/>
  <c r="U542" i="12"/>
  <c r="T543" i="12"/>
  <c r="U543" i="12"/>
  <c r="T544" i="12"/>
  <c r="U544" i="12"/>
  <c r="T545" i="12"/>
  <c r="U545" i="12"/>
  <c r="T546" i="12"/>
  <c r="U546" i="12"/>
  <c r="T547" i="12"/>
  <c r="U547" i="12"/>
  <c r="T548" i="12"/>
  <c r="U548" i="12"/>
  <c r="T549" i="12"/>
  <c r="U549" i="12"/>
  <c r="T550" i="12"/>
  <c r="U550" i="12"/>
  <c r="T551" i="12"/>
  <c r="U551" i="12"/>
  <c r="T552" i="12"/>
  <c r="U552" i="12"/>
  <c r="T553" i="12"/>
  <c r="U553" i="12"/>
  <c r="T554" i="12"/>
  <c r="U554" i="12"/>
  <c r="T555" i="12"/>
  <c r="U555" i="12"/>
  <c r="T556" i="12"/>
  <c r="U556" i="12"/>
  <c r="T557" i="12"/>
  <c r="U557" i="12"/>
  <c r="T558" i="12"/>
  <c r="U558" i="12"/>
  <c r="T559" i="12"/>
  <c r="U559" i="12"/>
  <c r="T560" i="12"/>
  <c r="U560" i="12"/>
  <c r="T561" i="12"/>
  <c r="U561" i="12"/>
  <c r="T562" i="12"/>
  <c r="U562" i="12"/>
  <c r="T563" i="12"/>
  <c r="U563" i="12"/>
  <c r="T564" i="12"/>
  <c r="U564" i="12"/>
  <c r="T565" i="12"/>
  <c r="U565" i="12"/>
  <c r="T566" i="12"/>
  <c r="U566" i="12"/>
  <c r="T567" i="12"/>
  <c r="U567" i="12"/>
  <c r="T568" i="12"/>
  <c r="U568" i="12"/>
  <c r="T569" i="12"/>
  <c r="U569" i="12"/>
  <c r="T570" i="12"/>
  <c r="U570" i="12"/>
  <c r="T571" i="12"/>
  <c r="U571" i="12"/>
  <c r="T572" i="12"/>
  <c r="U572" i="12"/>
  <c r="T573" i="12"/>
  <c r="U573" i="12"/>
  <c r="T574" i="12"/>
  <c r="U574" i="12"/>
  <c r="T575" i="12"/>
  <c r="U575" i="12"/>
  <c r="T576" i="12"/>
  <c r="U576" i="12"/>
  <c r="T577" i="12"/>
  <c r="U577" i="12"/>
  <c r="T578" i="12"/>
  <c r="U578" i="12"/>
  <c r="T579" i="12"/>
  <c r="U579" i="12"/>
  <c r="T580" i="12"/>
  <c r="U580" i="12"/>
  <c r="T581" i="12"/>
  <c r="U581" i="12"/>
  <c r="T582" i="12"/>
  <c r="U582" i="12"/>
  <c r="T583" i="12"/>
  <c r="U583" i="12"/>
  <c r="T584" i="12"/>
  <c r="U584" i="12"/>
  <c r="T585" i="12"/>
  <c r="U585" i="12"/>
  <c r="T586" i="12"/>
  <c r="U586" i="12"/>
  <c r="T587" i="12"/>
  <c r="U587" i="12"/>
  <c r="T588" i="12"/>
  <c r="U588" i="12"/>
  <c r="T589" i="12"/>
  <c r="U589" i="12"/>
  <c r="T590" i="12"/>
  <c r="U590" i="12"/>
  <c r="T591" i="12"/>
  <c r="U591" i="12"/>
  <c r="T592" i="12"/>
  <c r="U592" i="12"/>
  <c r="T593" i="12"/>
  <c r="U593" i="12"/>
  <c r="T594" i="12"/>
  <c r="U594" i="12"/>
  <c r="T595" i="12"/>
  <c r="U595" i="12"/>
  <c r="T596" i="12"/>
  <c r="U596" i="12"/>
  <c r="T597" i="12"/>
  <c r="U597" i="12"/>
  <c r="T598" i="12"/>
  <c r="U598" i="12"/>
  <c r="T599" i="12"/>
  <c r="U599" i="12"/>
  <c r="T600" i="12"/>
  <c r="U600" i="12"/>
  <c r="T601" i="12"/>
  <c r="U601" i="12"/>
  <c r="T602" i="12"/>
  <c r="U602" i="12"/>
  <c r="T603" i="12"/>
  <c r="U603" i="12"/>
  <c r="T604" i="12"/>
  <c r="U604" i="12"/>
  <c r="T605" i="12"/>
  <c r="U605" i="12"/>
  <c r="T606" i="12"/>
  <c r="U606" i="12"/>
  <c r="T607" i="12"/>
  <c r="U607" i="12"/>
  <c r="T608" i="12"/>
  <c r="U608" i="12"/>
  <c r="T609" i="12"/>
  <c r="U609" i="12"/>
  <c r="T610" i="12"/>
  <c r="U610" i="12"/>
  <c r="T611" i="12"/>
  <c r="U611" i="12"/>
  <c r="T612" i="12"/>
  <c r="U612" i="12"/>
  <c r="T613" i="12"/>
  <c r="U613" i="12"/>
  <c r="T614" i="12"/>
  <c r="U614" i="12"/>
  <c r="T615" i="12"/>
  <c r="U615" i="12"/>
  <c r="T616" i="12"/>
  <c r="U616" i="12"/>
  <c r="T617" i="12"/>
  <c r="U617" i="12"/>
  <c r="T618" i="12"/>
  <c r="U618" i="12"/>
  <c r="T619" i="12"/>
  <c r="U619" i="12"/>
  <c r="T620" i="12"/>
  <c r="U620" i="12"/>
  <c r="T621" i="12"/>
  <c r="U621" i="12"/>
  <c r="T622" i="12"/>
  <c r="U622" i="12"/>
  <c r="T623" i="12"/>
  <c r="U623" i="12"/>
  <c r="T624" i="12"/>
  <c r="U624" i="12"/>
  <c r="T625" i="12"/>
  <c r="U625" i="12"/>
  <c r="T626" i="12"/>
  <c r="U626" i="12"/>
  <c r="T627" i="12"/>
  <c r="U627" i="12"/>
  <c r="T628" i="12"/>
  <c r="U628" i="12"/>
  <c r="T629" i="12"/>
  <c r="U629" i="12"/>
  <c r="T630" i="12"/>
  <c r="U630" i="12"/>
  <c r="T631" i="12"/>
  <c r="U631" i="12"/>
  <c r="T632" i="12"/>
  <c r="U632" i="12"/>
  <c r="T633" i="12"/>
  <c r="U633" i="12"/>
  <c r="T634" i="12"/>
  <c r="U634" i="12"/>
  <c r="T635" i="12"/>
  <c r="U635" i="12"/>
  <c r="T636" i="12"/>
  <c r="U636" i="12"/>
  <c r="T637" i="12"/>
  <c r="U637" i="12"/>
  <c r="T638" i="12"/>
  <c r="U638" i="12"/>
  <c r="T639" i="12"/>
  <c r="U639" i="12"/>
  <c r="T640" i="12"/>
  <c r="U640" i="12"/>
  <c r="T641" i="12"/>
  <c r="U641" i="12"/>
  <c r="T642" i="12"/>
  <c r="U642" i="12"/>
  <c r="T643" i="12"/>
  <c r="U643" i="12"/>
  <c r="T644" i="12"/>
  <c r="U644" i="12"/>
  <c r="T645" i="12"/>
  <c r="U645" i="12"/>
  <c r="T646" i="12"/>
  <c r="U646" i="12"/>
  <c r="T647" i="12"/>
  <c r="U647" i="12"/>
  <c r="T648" i="12"/>
  <c r="U648" i="12"/>
  <c r="T649" i="12"/>
  <c r="U649" i="12"/>
  <c r="T650" i="12"/>
  <c r="U650" i="12"/>
  <c r="T651" i="12"/>
  <c r="U651" i="12"/>
  <c r="T652" i="12"/>
  <c r="U652" i="12"/>
  <c r="T653" i="12"/>
  <c r="U653" i="12"/>
  <c r="T654" i="12"/>
  <c r="U654" i="12"/>
  <c r="T655" i="12"/>
  <c r="U655" i="12"/>
  <c r="T656" i="12"/>
  <c r="U656" i="12"/>
  <c r="T657" i="12"/>
  <c r="U657" i="12"/>
  <c r="T658" i="12"/>
  <c r="U658" i="12"/>
  <c r="T659" i="12"/>
  <c r="U659" i="12"/>
  <c r="T660" i="12"/>
  <c r="U660" i="12"/>
  <c r="T661" i="12"/>
  <c r="U661" i="12"/>
  <c r="T662" i="12"/>
  <c r="U662" i="12"/>
  <c r="T663" i="12"/>
  <c r="U663" i="12"/>
  <c r="T664" i="12"/>
  <c r="U664" i="12"/>
  <c r="T665" i="12"/>
  <c r="U665" i="12"/>
  <c r="T666" i="12"/>
  <c r="U666" i="12"/>
  <c r="T667" i="12"/>
  <c r="U667" i="12"/>
  <c r="T668" i="12"/>
  <c r="U668" i="12"/>
  <c r="T669" i="12"/>
  <c r="U669" i="12"/>
  <c r="T670" i="12"/>
  <c r="U670" i="12"/>
  <c r="T671" i="12"/>
  <c r="U671" i="12"/>
  <c r="T672" i="12"/>
  <c r="U672" i="12"/>
  <c r="T673" i="12"/>
  <c r="U673" i="12"/>
  <c r="T674" i="12"/>
  <c r="U674" i="12"/>
  <c r="T675" i="12"/>
  <c r="U675" i="12"/>
  <c r="T676" i="12"/>
  <c r="U676" i="12"/>
  <c r="T677" i="12"/>
  <c r="U677" i="12"/>
  <c r="T678" i="12"/>
  <c r="U678" i="12"/>
  <c r="T679" i="12"/>
  <c r="U679" i="12"/>
  <c r="T680" i="12"/>
  <c r="U680" i="12"/>
  <c r="T681" i="12"/>
  <c r="U681" i="12"/>
  <c r="T682" i="12"/>
  <c r="U682" i="12"/>
  <c r="T683" i="12"/>
  <c r="U683" i="12"/>
  <c r="T684" i="12"/>
  <c r="U684" i="12"/>
  <c r="T685" i="12"/>
  <c r="U685" i="12"/>
  <c r="T686" i="12"/>
  <c r="U686" i="12"/>
  <c r="T687" i="12"/>
  <c r="U687" i="12"/>
  <c r="T688" i="12"/>
  <c r="U688" i="12"/>
  <c r="T689" i="12"/>
  <c r="U689" i="12"/>
  <c r="T690" i="12"/>
  <c r="U690" i="12"/>
  <c r="T691" i="12"/>
  <c r="U691" i="12"/>
  <c r="T692" i="12"/>
  <c r="U692" i="12"/>
  <c r="T693" i="12"/>
  <c r="U693" i="12"/>
  <c r="T694" i="12"/>
  <c r="U694" i="12"/>
  <c r="T695" i="12"/>
  <c r="U695" i="12"/>
  <c r="T696" i="12"/>
  <c r="U696" i="12"/>
  <c r="T697" i="12"/>
  <c r="U697" i="12"/>
  <c r="T698" i="12"/>
  <c r="U698" i="12"/>
  <c r="T699" i="12"/>
  <c r="U699" i="12"/>
  <c r="T700" i="12"/>
  <c r="U700" i="12"/>
  <c r="T701" i="12"/>
  <c r="U701" i="12"/>
  <c r="T702" i="12"/>
  <c r="U702" i="12"/>
  <c r="T703" i="12"/>
  <c r="U703" i="12"/>
  <c r="T704" i="12"/>
  <c r="U704" i="12"/>
  <c r="T705" i="12"/>
  <c r="U705" i="12"/>
  <c r="T706" i="12"/>
  <c r="U706" i="12"/>
  <c r="T707" i="12"/>
  <c r="U707" i="12"/>
  <c r="T708" i="12"/>
  <c r="U708" i="12"/>
  <c r="T709" i="12"/>
  <c r="U709" i="12"/>
  <c r="T710" i="12"/>
  <c r="U710" i="12"/>
  <c r="T711" i="12"/>
  <c r="U711" i="12"/>
  <c r="T712" i="12"/>
  <c r="U712" i="12"/>
  <c r="T713" i="12"/>
  <c r="U713" i="12"/>
  <c r="T714" i="12"/>
  <c r="U714" i="12"/>
  <c r="T715" i="12"/>
  <c r="U715" i="12"/>
  <c r="T716" i="12"/>
  <c r="U716" i="12"/>
  <c r="T717" i="12"/>
  <c r="U717" i="12"/>
  <c r="T718" i="12"/>
  <c r="U718" i="12"/>
  <c r="T719" i="12"/>
  <c r="U719" i="12"/>
  <c r="T720" i="12"/>
  <c r="U720" i="12"/>
  <c r="T721" i="12"/>
  <c r="U721" i="12"/>
  <c r="T722" i="12"/>
  <c r="U722" i="12"/>
  <c r="T723" i="12"/>
  <c r="U723" i="12"/>
  <c r="T724" i="12"/>
  <c r="U724" i="12"/>
  <c r="T725" i="12"/>
  <c r="U725" i="12"/>
  <c r="T726" i="12"/>
  <c r="U726" i="12"/>
  <c r="T727" i="12"/>
  <c r="U727" i="12"/>
  <c r="T728" i="12"/>
  <c r="U728" i="12"/>
  <c r="T729" i="12"/>
  <c r="U729" i="12"/>
  <c r="T730" i="12"/>
  <c r="U730" i="12"/>
  <c r="T731" i="12"/>
  <c r="U731" i="12"/>
  <c r="T732" i="12"/>
  <c r="U732" i="12"/>
  <c r="T733" i="12"/>
  <c r="U733" i="12"/>
  <c r="T734" i="12"/>
  <c r="U734" i="12"/>
  <c r="T735" i="12"/>
  <c r="U735" i="12"/>
  <c r="T736" i="12"/>
  <c r="U736" i="12"/>
  <c r="T737" i="12"/>
  <c r="U737" i="12"/>
  <c r="T738" i="12"/>
  <c r="U738" i="12"/>
  <c r="T739" i="12"/>
  <c r="U739" i="12"/>
  <c r="T740" i="12"/>
  <c r="U740" i="12"/>
  <c r="T741" i="12"/>
  <c r="U741" i="12"/>
  <c r="T742" i="12"/>
  <c r="U742" i="12"/>
  <c r="T743" i="12"/>
  <c r="U743" i="12"/>
  <c r="T744" i="12"/>
  <c r="U744" i="12"/>
  <c r="T745" i="12"/>
  <c r="U745" i="12"/>
  <c r="T746" i="12"/>
  <c r="U746" i="12"/>
  <c r="T747" i="12"/>
  <c r="U747" i="12"/>
  <c r="T748" i="12"/>
  <c r="U748" i="12"/>
  <c r="T749" i="12"/>
  <c r="U749" i="12"/>
  <c r="T750" i="12"/>
  <c r="U750" i="12"/>
  <c r="T751" i="12"/>
  <c r="U751" i="12"/>
  <c r="T752" i="12"/>
  <c r="U752" i="12"/>
  <c r="T753" i="12"/>
  <c r="U753" i="12"/>
  <c r="T754" i="12"/>
  <c r="U754" i="12"/>
  <c r="T755" i="12"/>
  <c r="U755" i="12"/>
  <c r="T756" i="12"/>
  <c r="U756" i="12"/>
  <c r="T757" i="12"/>
  <c r="U757" i="12"/>
  <c r="T758" i="12"/>
  <c r="U758" i="12"/>
  <c r="T759" i="12"/>
  <c r="U759" i="12"/>
  <c r="T760" i="12"/>
  <c r="U760" i="12"/>
  <c r="T761" i="12"/>
  <c r="U761" i="12"/>
  <c r="T762" i="12"/>
  <c r="U762" i="12"/>
  <c r="T763" i="12"/>
  <c r="U763" i="12"/>
  <c r="T764" i="12"/>
  <c r="U764" i="12"/>
  <c r="T765" i="12"/>
  <c r="U765" i="12"/>
  <c r="T766" i="12"/>
  <c r="U766" i="12"/>
  <c r="T767" i="12"/>
  <c r="U767" i="12"/>
  <c r="T768" i="12"/>
  <c r="U768" i="12"/>
  <c r="T769" i="12"/>
  <c r="U769" i="12"/>
  <c r="T770" i="12"/>
  <c r="U770" i="12"/>
  <c r="T771" i="12"/>
  <c r="U771" i="12"/>
  <c r="T772" i="12"/>
  <c r="U772" i="12"/>
  <c r="T773" i="12"/>
  <c r="U773" i="12"/>
  <c r="T774" i="12"/>
  <c r="U774" i="12"/>
  <c r="T775" i="12"/>
  <c r="U775" i="12"/>
  <c r="T776" i="12"/>
  <c r="U776" i="12"/>
  <c r="T777" i="12"/>
  <c r="U777" i="12"/>
  <c r="T778" i="12"/>
  <c r="U778" i="12"/>
  <c r="T779" i="12"/>
  <c r="U779" i="12"/>
  <c r="T780" i="12"/>
  <c r="U780" i="12"/>
  <c r="T781" i="12"/>
  <c r="U781" i="12"/>
  <c r="T782" i="12"/>
  <c r="U782" i="12"/>
  <c r="T783" i="12"/>
  <c r="U783" i="12"/>
  <c r="T784" i="12"/>
  <c r="U784" i="12"/>
  <c r="T785" i="12"/>
  <c r="U785" i="12"/>
  <c r="T786" i="12"/>
  <c r="U786" i="12"/>
  <c r="T787" i="12"/>
  <c r="U787" i="12"/>
  <c r="T788" i="12"/>
  <c r="U788" i="12"/>
  <c r="T789" i="12"/>
  <c r="U789" i="12"/>
  <c r="T790" i="12"/>
  <c r="U790" i="12"/>
  <c r="T791" i="12"/>
  <c r="U791" i="12"/>
  <c r="T792" i="12"/>
  <c r="U792" i="12"/>
  <c r="T793" i="12"/>
  <c r="U793" i="12"/>
  <c r="T794" i="12"/>
  <c r="U794" i="12"/>
  <c r="T795" i="12"/>
  <c r="U795" i="12"/>
  <c r="T796" i="12"/>
  <c r="U796" i="12"/>
  <c r="T797" i="12"/>
  <c r="U797" i="12"/>
  <c r="T798" i="12"/>
  <c r="U798" i="12"/>
  <c r="T799" i="12"/>
  <c r="U799" i="12"/>
  <c r="T800" i="12"/>
  <c r="U800" i="12"/>
  <c r="T801" i="12"/>
  <c r="U801" i="12"/>
  <c r="T802" i="12"/>
  <c r="U802" i="12"/>
  <c r="T803" i="12"/>
  <c r="U803" i="12"/>
  <c r="T804" i="12"/>
  <c r="U804" i="12"/>
  <c r="T805" i="12"/>
  <c r="U805" i="12"/>
  <c r="T806" i="12"/>
  <c r="U806" i="12"/>
  <c r="T807" i="12"/>
  <c r="U807" i="12"/>
  <c r="T808" i="12"/>
  <c r="U808" i="12"/>
  <c r="T809" i="12"/>
  <c r="U809" i="12"/>
  <c r="T810" i="12"/>
  <c r="U810" i="12"/>
  <c r="T811" i="12"/>
  <c r="U811" i="12"/>
  <c r="T812" i="12"/>
  <c r="U812" i="12"/>
  <c r="T813" i="12"/>
  <c r="U813" i="12"/>
  <c r="T814" i="12"/>
  <c r="U814" i="12"/>
  <c r="T815" i="12"/>
  <c r="U815" i="12"/>
  <c r="T816" i="12"/>
  <c r="U816" i="12"/>
  <c r="T817" i="12"/>
  <c r="U817" i="12"/>
  <c r="T818" i="12"/>
  <c r="U818" i="12"/>
  <c r="T819" i="12"/>
  <c r="U819" i="12"/>
  <c r="T820" i="12"/>
  <c r="U820" i="12"/>
  <c r="T821" i="12"/>
  <c r="U821" i="12"/>
  <c r="T822" i="12"/>
  <c r="U822" i="12"/>
  <c r="T823" i="12"/>
  <c r="U823" i="12"/>
  <c r="T824" i="12"/>
  <c r="U824" i="12"/>
  <c r="T825" i="12"/>
  <c r="U825" i="12"/>
  <c r="T826" i="12"/>
  <c r="U826" i="12"/>
  <c r="T827" i="12"/>
  <c r="U827" i="12"/>
  <c r="T828" i="12"/>
  <c r="U828" i="12"/>
  <c r="T829" i="12"/>
  <c r="U829" i="12"/>
  <c r="T830" i="12"/>
  <c r="U830" i="12"/>
  <c r="T831" i="12"/>
  <c r="U831" i="12"/>
  <c r="T832" i="12"/>
  <c r="U832" i="12"/>
  <c r="T833" i="12"/>
  <c r="U833" i="12"/>
  <c r="T834" i="12"/>
  <c r="U834" i="12"/>
  <c r="T835" i="12"/>
  <c r="U835" i="12"/>
  <c r="T836" i="12"/>
  <c r="U836" i="12"/>
  <c r="T837" i="12"/>
  <c r="U837" i="12"/>
  <c r="T838" i="12"/>
  <c r="U838" i="12"/>
  <c r="T839" i="12"/>
  <c r="U839" i="12"/>
  <c r="T840" i="12"/>
  <c r="U840" i="12"/>
  <c r="T841" i="12"/>
  <c r="U841" i="12"/>
  <c r="T842" i="12"/>
  <c r="U842" i="12"/>
  <c r="T843" i="12"/>
  <c r="U843" i="12"/>
  <c r="T844" i="12"/>
  <c r="U844" i="12"/>
  <c r="T845" i="12"/>
  <c r="U845" i="12"/>
  <c r="T846" i="12"/>
  <c r="U846" i="12"/>
  <c r="T847" i="12"/>
  <c r="U847" i="12"/>
  <c r="T848" i="12"/>
  <c r="U848" i="12"/>
  <c r="T849" i="12"/>
  <c r="U849" i="12"/>
  <c r="T850" i="12"/>
  <c r="U850" i="12"/>
  <c r="T851" i="12"/>
  <c r="U851" i="12"/>
  <c r="T852" i="12"/>
  <c r="U852" i="12"/>
  <c r="T853" i="12"/>
  <c r="U853" i="12"/>
  <c r="T854" i="12"/>
  <c r="U854" i="12"/>
  <c r="T855" i="12"/>
  <c r="U855" i="12"/>
  <c r="T856" i="12"/>
  <c r="U856" i="12"/>
  <c r="T857" i="12"/>
  <c r="U857" i="12"/>
  <c r="T858" i="12"/>
  <c r="U858" i="12"/>
  <c r="T859" i="12"/>
  <c r="U859" i="12"/>
  <c r="T860" i="12"/>
  <c r="U860" i="12"/>
  <c r="T861" i="12"/>
  <c r="U861" i="12"/>
  <c r="T862" i="12"/>
  <c r="U862" i="12"/>
  <c r="T863" i="12"/>
  <c r="U863" i="12"/>
  <c r="T864" i="12"/>
  <c r="U864" i="12"/>
  <c r="T865" i="12"/>
  <c r="U865" i="12"/>
  <c r="T866" i="12"/>
  <c r="U866" i="12"/>
  <c r="T867" i="12"/>
  <c r="U867" i="12"/>
  <c r="T868" i="12"/>
  <c r="U868" i="12"/>
  <c r="T869" i="12"/>
  <c r="U869" i="12"/>
  <c r="T870" i="12"/>
  <c r="U870" i="12"/>
  <c r="T871" i="12"/>
  <c r="U871" i="12"/>
  <c r="T872" i="12"/>
  <c r="U872" i="12"/>
  <c r="T873" i="12"/>
  <c r="U873" i="12"/>
  <c r="T874" i="12"/>
  <c r="U874" i="12"/>
  <c r="T875" i="12"/>
  <c r="U875" i="12"/>
  <c r="T876" i="12"/>
  <c r="U876" i="12"/>
  <c r="T877" i="12"/>
  <c r="U877" i="12"/>
  <c r="T878" i="12"/>
  <c r="U878" i="12"/>
  <c r="T879" i="12"/>
  <c r="U879" i="12"/>
  <c r="T880" i="12"/>
  <c r="U880" i="12"/>
  <c r="T881" i="12"/>
  <c r="U881" i="12"/>
  <c r="T882" i="12"/>
  <c r="U882" i="12"/>
  <c r="T883" i="12"/>
  <c r="U883" i="12"/>
  <c r="T884" i="12"/>
  <c r="U884" i="12"/>
  <c r="T885" i="12"/>
  <c r="U885" i="12"/>
  <c r="T886" i="12"/>
  <c r="U886" i="12"/>
  <c r="T887" i="12"/>
  <c r="U887" i="12"/>
  <c r="T888" i="12"/>
  <c r="U888" i="12"/>
  <c r="T889" i="12"/>
  <c r="U889" i="12"/>
  <c r="T890" i="12"/>
  <c r="U890" i="12"/>
  <c r="T891" i="12"/>
  <c r="U891" i="12"/>
  <c r="T892" i="12"/>
  <c r="U892" i="12"/>
  <c r="T893" i="12"/>
  <c r="U893" i="12"/>
  <c r="T894" i="12"/>
  <c r="U894" i="12"/>
  <c r="T895" i="12"/>
  <c r="U895" i="12"/>
  <c r="T896" i="12"/>
  <c r="U896" i="12"/>
  <c r="T897" i="12"/>
  <c r="U897" i="12"/>
  <c r="T898" i="12"/>
  <c r="U898" i="12"/>
  <c r="T899" i="12"/>
  <c r="U899" i="12"/>
  <c r="T900" i="12"/>
  <c r="U900" i="12"/>
  <c r="T901" i="12"/>
  <c r="U901" i="12"/>
  <c r="T902" i="12"/>
  <c r="U902" i="12"/>
  <c r="T903" i="12"/>
  <c r="U903" i="12"/>
  <c r="T904" i="12"/>
  <c r="U904" i="12"/>
  <c r="T905" i="12"/>
  <c r="U905" i="12"/>
  <c r="T906" i="12"/>
  <c r="U906" i="12"/>
  <c r="T907" i="12"/>
  <c r="U907" i="12"/>
  <c r="T908" i="12"/>
  <c r="U908" i="12"/>
  <c r="T909" i="12"/>
  <c r="U909" i="12"/>
  <c r="T910" i="12"/>
  <c r="U910" i="12"/>
  <c r="T911" i="12"/>
  <c r="U911" i="12"/>
  <c r="T912" i="12"/>
  <c r="U912" i="12"/>
  <c r="T913" i="12"/>
  <c r="U913" i="12"/>
  <c r="T914" i="12"/>
  <c r="U914" i="12"/>
  <c r="T915" i="12"/>
  <c r="U915" i="12"/>
  <c r="T916" i="12"/>
  <c r="U916" i="12"/>
  <c r="T917" i="12"/>
  <c r="U917" i="12"/>
  <c r="T918" i="12"/>
  <c r="U918" i="12"/>
  <c r="T919" i="12"/>
  <c r="U919" i="12"/>
  <c r="T920" i="12"/>
  <c r="U920" i="12"/>
  <c r="T921" i="12"/>
  <c r="U921" i="12"/>
  <c r="T922" i="12"/>
  <c r="U922" i="12"/>
  <c r="T923" i="12"/>
  <c r="U923" i="12"/>
  <c r="T924" i="12"/>
  <c r="U924" i="12"/>
  <c r="T925" i="12"/>
  <c r="U925" i="12"/>
  <c r="T926" i="12"/>
  <c r="U926" i="12"/>
  <c r="T927" i="12"/>
  <c r="U927" i="12"/>
  <c r="T928" i="12"/>
  <c r="U928" i="12"/>
  <c r="T929" i="12"/>
  <c r="U929" i="12"/>
  <c r="T930" i="12"/>
  <c r="U930" i="12"/>
  <c r="T931" i="12"/>
  <c r="U931" i="12"/>
  <c r="T932" i="12"/>
  <c r="U932" i="12"/>
  <c r="T933" i="12"/>
  <c r="U933" i="12"/>
  <c r="T934" i="12"/>
  <c r="U934" i="12"/>
  <c r="T935" i="12"/>
  <c r="U935" i="12"/>
  <c r="T936" i="12"/>
  <c r="U936" i="12"/>
  <c r="T937" i="12"/>
  <c r="U937" i="12"/>
  <c r="T938" i="12"/>
  <c r="U938" i="12"/>
  <c r="T939" i="12"/>
  <c r="U939" i="12"/>
  <c r="T940" i="12"/>
  <c r="U940" i="12"/>
  <c r="T941" i="12"/>
  <c r="U941" i="12"/>
  <c r="T942" i="12"/>
  <c r="U942" i="12"/>
  <c r="T943" i="12"/>
  <c r="U943" i="12"/>
  <c r="T944" i="12"/>
  <c r="U944" i="12"/>
  <c r="T945" i="12"/>
  <c r="U945" i="12"/>
  <c r="T946" i="12"/>
  <c r="U946" i="12"/>
  <c r="T947" i="12"/>
  <c r="U947" i="12"/>
  <c r="T948" i="12"/>
  <c r="U948" i="12"/>
  <c r="T949" i="12"/>
  <c r="U949" i="12"/>
  <c r="T950" i="12"/>
  <c r="U950" i="12"/>
  <c r="T951" i="12"/>
  <c r="U951" i="12"/>
  <c r="T952" i="12"/>
  <c r="U952" i="12"/>
  <c r="T953" i="12"/>
  <c r="U953" i="12"/>
  <c r="T954" i="12"/>
  <c r="U954" i="12"/>
  <c r="T955" i="12"/>
  <c r="U955" i="12"/>
  <c r="T956" i="12"/>
  <c r="U956" i="12"/>
  <c r="T957" i="12"/>
  <c r="U957" i="12"/>
  <c r="T958" i="12"/>
  <c r="U958" i="12"/>
  <c r="T959" i="12"/>
  <c r="U959" i="12"/>
  <c r="T960" i="12"/>
  <c r="U960" i="12"/>
  <c r="T961" i="12"/>
  <c r="U961" i="12"/>
  <c r="T962" i="12"/>
  <c r="U962" i="12"/>
  <c r="T963" i="12"/>
  <c r="U963" i="12"/>
  <c r="T964" i="12"/>
  <c r="U964" i="12"/>
  <c r="T965" i="12"/>
  <c r="U965" i="12"/>
  <c r="T966" i="12"/>
  <c r="U966" i="12"/>
  <c r="T967" i="12"/>
  <c r="U967" i="12"/>
  <c r="T968" i="12"/>
  <c r="U968" i="12"/>
  <c r="T969" i="12"/>
  <c r="U969" i="12"/>
  <c r="T970" i="12"/>
  <c r="U970" i="12"/>
  <c r="T971" i="12"/>
  <c r="U971" i="12"/>
  <c r="T972" i="12"/>
  <c r="U972" i="12"/>
  <c r="T973" i="12"/>
  <c r="U973" i="12"/>
  <c r="T974" i="12"/>
  <c r="U974" i="12"/>
  <c r="T975" i="12"/>
  <c r="U975" i="12"/>
  <c r="T976" i="12"/>
  <c r="U976" i="12"/>
  <c r="T977" i="12"/>
  <c r="U977" i="12"/>
  <c r="T978" i="12"/>
  <c r="U978" i="12"/>
  <c r="T979" i="12"/>
  <c r="U979" i="12"/>
  <c r="T980" i="12"/>
  <c r="U980" i="12"/>
  <c r="T981" i="12"/>
  <c r="U981" i="12"/>
  <c r="T982" i="12"/>
  <c r="U982" i="12"/>
  <c r="T983" i="12"/>
  <c r="U983" i="12"/>
  <c r="T984" i="12"/>
  <c r="U984" i="12"/>
  <c r="T985" i="12"/>
  <c r="U985" i="12"/>
  <c r="T986" i="12"/>
  <c r="U986" i="12"/>
  <c r="T987" i="12"/>
  <c r="U987" i="12"/>
  <c r="T988" i="12"/>
  <c r="U988" i="12"/>
  <c r="T989" i="12"/>
  <c r="U989" i="12"/>
  <c r="T990" i="12"/>
  <c r="U990" i="12"/>
  <c r="T991" i="12"/>
  <c r="U991" i="12"/>
  <c r="T992" i="12"/>
  <c r="U992" i="12"/>
  <c r="T993" i="12"/>
  <c r="U993" i="12"/>
  <c r="T994" i="12"/>
  <c r="U994" i="12"/>
  <c r="T995" i="12"/>
  <c r="U995" i="12"/>
  <c r="T996" i="12"/>
  <c r="U996" i="12"/>
  <c r="T997" i="12"/>
  <c r="U997" i="12"/>
  <c r="T998" i="12"/>
  <c r="U998" i="12"/>
  <c r="T999" i="12"/>
  <c r="U999" i="12"/>
  <c r="T1000" i="12"/>
  <c r="U1000" i="12"/>
  <c r="T1001" i="12"/>
  <c r="U1001" i="12"/>
  <c r="T1002" i="12"/>
  <c r="U1002" i="12"/>
  <c r="T1003" i="12"/>
  <c r="U1003" i="12"/>
  <c r="T1004" i="12"/>
  <c r="U1004" i="12"/>
  <c r="T1005" i="12"/>
  <c r="U1005" i="12"/>
  <c r="T1006" i="12"/>
  <c r="U1006" i="12"/>
  <c r="T1007" i="12"/>
  <c r="U1007" i="12"/>
  <c r="T1008" i="12"/>
  <c r="U1008" i="12"/>
  <c r="T1009" i="12"/>
  <c r="U1009" i="12"/>
  <c r="T1010" i="12"/>
  <c r="U1010" i="12"/>
  <c r="T1011" i="12"/>
  <c r="U1011" i="12"/>
  <c r="T1012" i="12"/>
  <c r="U1012" i="12"/>
  <c r="T1013" i="12"/>
  <c r="U1013" i="12"/>
  <c r="T1014" i="12"/>
  <c r="U1014" i="12"/>
  <c r="T1015" i="12"/>
  <c r="U1015" i="12"/>
  <c r="T1016" i="12"/>
  <c r="U1016" i="12"/>
  <c r="T1017" i="12"/>
  <c r="U1017" i="12"/>
  <c r="T1018" i="12"/>
  <c r="U1018" i="12"/>
  <c r="T1019" i="12"/>
  <c r="U1019" i="12"/>
  <c r="T1020" i="12"/>
  <c r="U1020" i="12"/>
  <c r="T1021" i="12"/>
  <c r="U1021" i="12"/>
  <c r="T1022" i="12"/>
  <c r="U1022" i="12"/>
  <c r="T1023" i="12"/>
  <c r="U1023" i="12"/>
  <c r="T1024" i="12"/>
  <c r="U1024" i="12"/>
  <c r="T1025" i="12"/>
  <c r="U1025" i="12"/>
  <c r="T1026" i="12"/>
  <c r="U1026" i="12"/>
  <c r="T1027" i="12"/>
  <c r="U1027" i="12"/>
  <c r="T1028" i="12"/>
  <c r="U1028" i="12"/>
  <c r="T1029" i="12"/>
  <c r="U1029" i="12"/>
  <c r="T1030" i="12"/>
  <c r="U1030" i="12"/>
  <c r="T1031" i="12"/>
  <c r="U1031" i="12"/>
  <c r="T1032" i="12"/>
  <c r="U1032" i="12"/>
  <c r="T1033" i="12"/>
  <c r="U1033" i="12"/>
  <c r="T1034" i="12"/>
  <c r="U1034" i="12"/>
  <c r="T1035" i="12"/>
  <c r="U1035" i="12"/>
  <c r="T1036" i="12"/>
  <c r="U1036" i="12"/>
  <c r="T1037" i="12"/>
  <c r="U1037" i="12"/>
  <c r="T1038" i="12"/>
  <c r="U1038" i="12"/>
  <c r="T1039" i="12"/>
  <c r="U1039" i="12"/>
  <c r="T1040" i="12"/>
  <c r="U1040" i="12"/>
  <c r="T1041" i="12"/>
  <c r="U1041" i="12"/>
  <c r="T1042" i="12"/>
  <c r="U1042" i="12"/>
  <c r="T1043" i="12"/>
  <c r="U1043" i="12"/>
  <c r="T1044" i="12"/>
  <c r="U1044" i="12"/>
  <c r="T1045" i="12"/>
  <c r="U1045" i="12"/>
  <c r="T1046" i="12"/>
  <c r="U1046" i="12"/>
  <c r="T1047" i="12"/>
  <c r="U1047" i="12"/>
  <c r="T1048" i="12"/>
  <c r="U1048" i="12"/>
  <c r="T1049" i="12"/>
  <c r="U1049" i="12"/>
  <c r="T1050" i="12"/>
  <c r="U1050" i="12"/>
  <c r="T1051" i="12"/>
  <c r="U1051" i="12"/>
  <c r="T1052" i="12"/>
  <c r="U1052" i="12"/>
  <c r="T1053" i="12"/>
  <c r="U1053" i="12"/>
  <c r="T1054" i="12"/>
  <c r="U1054" i="12"/>
  <c r="T1055" i="12"/>
  <c r="U1055" i="12"/>
  <c r="T1056" i="12"/>
  <c r="U1056" i="12"/>
  <c r="T1057" i="12"/>
  <c r="U1057" i="12"/>
  <c r="T1058" i="12"/>
  <c r="U1058" i="12"/>
  <c r="T1059" i="12"/>
  <c r="U1059" i="12"/>
  <c r="T1060" i="12"/>
  <c r="U1060" i="12"/>
  <c r="T1061" i="12"/>
  <c r="U1061" i="12"/>
  <c r="T1062" i="12"/>
  <c r="U1062" i="12"/>
  <c r="T1063" i="12"/>
  <c r="U1063" i="12"/>
  <c r="T1064" i="12"/>
  <c r="U1064" i="12"/>
  <c r="T1065" i="12"/>
  <c r="U1065" i="12"/>
  <c r="T1066" i="12"/>
  <c r="U1066" i="12"/>
  <c r="T1067" i="12"/>
  <c r="U1067" i="12"/>
  <c r="T1068" i="12"/>
  <c r="U1068" i="12"/>
  <c r="T1069" i="12"/>
  <c r="U1069" i="12"/>
  <c r="T1070" i="12"/>
  <c r="U1070" i="12"/>
  <c r="T1071" i="12"/>
  <c r="U1071" i="12"/>
  <c r="T1072" i="12"/>
  <c r="U1072" i="12"/>
  <c r="T1073" i="12"/>
  <c r="U1073" i="12"/>
  <c r="T1074" i="12"/>
  <c r="U1074" i="12"/>
  <c r="T1075" i="12"/>
  <c r="U1075" i="12"/>
  <c r="T1076" i="12"/>
  <c r="U1076" i="12"/>
  <c r="T1077" i="12"/>
  <c r="U1077" i="12"/>
  <c r="T1078" i="12"/>
  <c r="U1078" i="12"/>
  <c r="T1079" i="12"/>
  <c r="U1079" i="12"/>
  <c r="T1080" i="12"/>
  <c r="U1080" i="12"/>
  <c r="T1081" i="12"/>
  <c r="U1081" i="12"/>
  <c r="T1082" i="12"/>
  <c r="U1082" i="12"/>
  <c r="T1083" i="12"/>
  <c r="U1083" i="12"/>
  <c r="T1084" i="12"/>
  <c r="U1084" i="12"/>
  <c r="T1085" i="12"/>
  <c r="U1085" i="12"/>
  <c r="T1086" i="12"/>
  <c r="U1086" i="12"/>
  <c r="T1087" i="12"/>
  <c r="U1087" i="12"/>
  <c r="T1088" i="12"/>
  <c r="U1088" i="12"/>
  <c r="T1089" i="12"/>
  <c r="U1089" i="12"/>
  <c r="T1090" i="12"/>
  <c r="U1090" i="12"/>
  <c r="T1091" i="12"/>
  <c r="U1091" i="12"/>
  <c r="T1092" i="12"/>
  <c r="U1092" i="12"/>
  <c r="T1093" i="12"/>
  <c r="U1093" i="12"/>
  <c r="T1094" i="12"/>
  <c r="U1094" i="12"/>
  <c r="T1095" i="12"/>
  <c r="U1095" i="12"/>
  <c r="T1096" i="12"/>
  <c r="U1096" i="12"/>
  <c r="T1097" i="12"/>
  <c r="U1097" i="12"/>
  <c r="T1098" i="12"/>
  <c r="U1098" i="12"/>
  <c r="T1099" i="12"/>
  <c r="U1099" i="12"/>
  <c r="T1100" i="12"/>
  <c r="U1100" i="12"/>
  <c r="T1101" i="12"/>
  <c r="U1101" i="12"/>
  <c r="T1102" i="12"/>
  <c r="U1102" i="12"/>
  <c r="T1103" i="12"/>
  <c r="U1103" i="12"/>
  <c r="T1104" i="12"/>
  <c r="U1104" i="12"/>
  <c r="T1105" i="12"/>
  <c r="U1105" i="12"/>
  <c r="T1106" i="12"/>
  <c r="U1106" i="12"/>
  <c r="T1107" i="12"/>
  <c r="U1107" i="12"/>
  <c r="T1108" i="12"/>
  <c r="U1108" i="12"/>
  <c r="T1109" i="12"/>
  <c r="U1109" i="12"/>
  <c r="T1110" i="12"/>
  <c r="U1110" i="12"/>
  <c r="T1111" i="12"/>
  <c r="U1111" i="12"/>
  <c r="T1112" i="12"/>
  <c r="U1112" i="12"/>
  <c r="T1113" i="12"/>
  <c r="U1113" i="12"/>
  <c r="T1114" i="12"/>
  <c r="U1114" i="12"/>
  <c r="T1115" i="12"/>
  <c r="U1115" i="12"/>
  <c r="T1116" i="12"/>
  <c r="U1116" i="12"/>
  <c r="T1117" i="12"/>
  <c r="U1117" i="12"/>
  <c r="T1118" i="12"/>
  <c r="U1118" i="12"/>
  <c r="T1119" i="12"/>
  <c r="U1119" i="12"/>
  <c r="T1120" i="12"/>
  <c r="U1120" i="12"/>
  <c r="T1121" i="12"/>
  <c r="U1121" i="12"/>
  <c r="T1122" i="12"/>
  <c r="U1122" i="12"/>
  <c r="T1123" i="12"/>
  <c r="U1123" i="12"/>
  <c r="T1124" i="12"/>
  <c r="U1124" i="12"/>
  <c r="T1125" i="12"/>
  <c r="U1125" i="12"/>
  <c r="T1126" i="12"/>
  <c r="U1126" i="12"/>
  <c r="T1127" i="12"/>
  <c r="U1127" i="12"/>
  <c r="T1128" i="12"/>
  <c r="U1128" i="12"/>
  <c r="T1129" i="12"/>
  <c r="U1129" i="12"/>
  <c r="T1130" i="12"/>
  <c r="U1130" i="12"/>
  <c r="T1131" i="12"/>
  <c r="U1131" i="12"/>
  <c r="T1132" i="12"/>
  <c r="U1132" i="12"/>
  <c r="T1133" i="12"/>
  <c r="U1133" i="12"/>
  <c r="T1134" i="12"/>
  <c r="U1134" i="12"/>
  <c r="T1135" i="12"/>
  <c r="U1135" i="12"/>
  <c r="T1136" i="12"/>
  <c r="U1136" i="12"/>
  <c r="T1137" i="12"/>
  <c r="U1137" i="12"/>
  <c r="T1138" i="12"/>
  <c r="U1138" i="12"/>
  <c r="T1139" i="12"/>
  <c r="U1139" i="12"/>
  <c r="T1140" i="12"/>
  <c r="U1140" i="12"/>
  <c r="T1141" i="12"/>
  <c r="U1141" i="12"/>
  <c r="T1142" i="12"/>
  <c r="U1142" i="12"/>
  <c r="T1143" i="12"/>
  <c r="U1143" i="12"/>
  <c r="T1144" i="12"/>
  <c r="U1144" i="12"/>
  <c r="T1145" i="12"/>
  <c r="U1145" i="12"/>
  <c r="T1146" i="12"/>
  <c r="U1146" i="12"/>
  <c r="T1147" i="12"/>
  <c r="U1147" i="12"/>
  <c r="T1148" i="12"/>
  <c r="U1148" i="12"/>
  <c r="T1149" i="12"/>
  <c r="U1149" i="12"/>
  <c r="T1150" i="12"/>
  <c r="U1150" i="12"/>
  <c r="T1151" i="12"/>
  <c r="U1151" i="12"/>
  <c r="T1152" i="12"/>
  <c r="U1152" i="12"/>
  <c r="T1153" i="12"/>
  <c r="U1153" i="12"/>
  <c r="T1154" i="12"/>
  <c r="U1154" i="12"/>
  <c r="T1155" i="12"/>
  <c r="U1155" i="12"/>
  <c r="T1156" i="12"/>
  <c r="U1156" i="12"/>
  <c r="T1157" i="12"/>
  <c r="U1157" i="12"/>
  <c r="T1158" i="12"/>
  <c r="U1158" i="12"/>
  <c r="T1159" i="12"/>
  <c r="U1159" i="12"/>
  <c r="T1160" i="12"/>
  <c r="U1160" i="12"/>
  <c r="T1161" i="12"/>
  <c r="U1161" i="12"/>
  <c r="T1162" i="12"/>
  <c r="U1162" i="12"/>
  <c r="T1163" i="12"/>
  <c r="U1163" i="12"/>
  <c r="T1164" i="12"/>
  <c r="U1164" i="12"/>
  <c r="T1165" i="12"/>
  <c r="U1165" i="12"/>
  <c r="T1166" i="12"/>
  <c r="U1166" i="12"/>
  <c r="T1167" i="12"/>
  <c r="U1167" i="12"/>
  <c r="T1168" i="12"/>
  <c r="U1168" i="12"/>
  <c r="T1169" i="12"/>
  <c r="U1169" i="12"/>
  <c r="T1170" i="12"/>
  <c r="U1170" i="12"/>
  <c r="T1171" i="12"/>
  <c r="U1171" i="12"/>
  <c r="T1172" i="12"/>
  <c r="U1172" i="12"/>
  <c r="T1173" i="12"/>
  <c r="U1173" i="12"/>
  <c r="T1174" i="12"/>
  <c r="U1174" i="12"/>
  <c r="T1175" i="12"/>
  <c r="U1175" i="12"/>
  <c r="T1176" i="12"/>
  <c r="U1176" i="12"/>
  <c r="T1177" i="12"/>
  <c r="U1177" i="12"/>
  <c r="T1178" i="12"/>
  <c r="U1178" i="12"/>
  <c r="T1179" i="12"/>
  <c r="U1179" i="12"/>
  <c r="T1180" i="12"/>
  <c r="U1180" i="12"/>
  <c r="T1181" i="12"/>
  <c r="U1181" i="12"/>
  <c r="T1182" i="12"/>
  <c r="U1182" i="12"/>
  <c r="T1183" i="12"/>
  <c r="U1183" i="12"/>
  <c r="T1184" i="12"/>
  <c r="U1184" i="12"/>
  <c r="T1185" i="12"/>
  <c r="U1185" i="12"/>
  <c r="T1186" i="12"/>
  <c r="U1186" i="12"/>
  <c r="T1187" i="12"/>
  <c r="U1187" i="12"/>
  <c r="T1188" i="12"/>
  <c r="U1188" i="12"/>
  <c r="T1189" i="12"/>
  <c r="U1189" i="12"/>
  <c r="T1190" i="12"/>
  <c r="U1190" i="12"/>
  <c r="T1191" i="12"/>
  <c r="U1191" i="12"/>
  <c r="T1192" i="12"/>
  <c r="U1192" i="12"/>
  <c r="T1193" i="12"/>
  <c r="U1193" i="12"/>
  <c r="T1194" i="12"/>
  <c r="U1194" i="12"/>
  <c r="T1195" i="12"/>
  <c r="U1195" i="12"/>
  <c r="T1196" i="12"/>
  <c r="U1196" i="12"/>
  <c r="T1197" i="12"/>
  <c r="U1197" i="12"/>
  <c r="T1198" i="12"/>
  <c r="U1198" i="12"/>
  <c r="T1199" i="12"/>
  <c r="U1199" i="12"/>
  <c r="T1200" i="12"/>
  <c r="U1200" i="12"/>
  <c r="T1201" i="12"/>
  <c r="U1201" i="12"/>
  <c r="T1202" i="12"/>
  <c r="U1202" i="12"/>
  <c r="T1203" i="12"/>
  <c r="U1203" i="12"/>
  <c r="T1204" i="12"/>
  <c r="U1204" i="12"/>
  <c r="T1205" i="12"/>
  <c r="U1205" i="12"/>
  <c r="T1206" i="12"/>
  <c r="U1206" i="12"/>
  <c r="T1207" i="12"/>
  <c r="U1207" i="12"/>
  <c r="T1208" i="12"/>
  <c r="U1208" i="12"/>
  <c r="T1209" i="12"/>
  <c r="U1209" i="12"/>
  <c r="T1210" i="12"/>
  <c r="U1210" i="12"/>
  <c r="T1211" i="12"/>
  <c r="U1211" i="12"/>
  <c r="T1212" i="12"/>
  <c r="U1212" i="12"/>
  <c r="T1213" i="12"/>
  <c r="U1213" i="12"/>
  <c r="T1214" i="12"/>
  <c r="U1214" i="12"/>
  <c r="T1215" i="12"/>
  <c r="U1215" i="12"/>
  <c r="T1216" i="12"/>
  <c r="U1216" i="12"/>
  <c r="T1217" i="12"/>
  <c r="U1217" i="12"/>
  <c r="T1218" i="12"/>
  <c r="U1218" i="12"/>
  <c r="T1219" i="12"/>
  <c r="U1219" i="12"/>
  <c r="T1220" i="12"/>
  <c r="U1220" i="12"/>
  <c r="T1221" i="12"/>
  <c r="U1221" i="12"/>
  <c r="T1222" i="12"/>
  <c r="U1222" i="12"/>
  <c r="T1223" i="12"/>
  <c r="U1223" i="12"/>
  <c r="T1224" i="12"/>
  <c r="U1224" i="12"/>
  <c r="T1225" i="12"/>
  <c r="U1225" i="12"/>
  <c r="T1226" i="12"/>
  <c r="U1226" i="12"/>
  <c r="T1227" i="12"/>
  <c r="U1227" i="12"/>
  <c r="T1228" i="12"/>
  <c r="U1228" i="12"/>
  <c r="T1229" i="12"/>
  <c r="U1229" i="12"/>
  <c r="T1230" i="12"/>
  <c r="U1230" i="12"/>
  <c r="T1231" i="12"/>
  <c r="U1231" i="12"/>
  <c r="T1232" i="12"/>
  <c r="U1232" i="12"/>
  <c r="T1233" i="12"/>
  <c r="U1233" i="12"/>
  <c r="T1234" i="12"/>
  <c r="U1234" i="12"/>
  <c r="T1235" i="12"/>
  <c r="U1235" i="12"/>
  <c r="T1236" i="12"/>
  <c r="U1236" i="12"/>
  <c r="T1237" i="12"/>
  <c r="U1237" i="12"/>
  <c r="T1238" i="12"/>
  <c r="U1238" i="12"/>
  <c r="T1239" i="12"/>
  <c r="U1239" i="12"/>
  <c r="T1240" i="12"/>
  <c r="U1240" i="12"/>
  <c r="T1241" i="12"/>
  <c r="U1241" i="12"/>
  <c r="T1242" i="12"/>
  <c r="U1242" i="12"/>
  <c r="T1243" i="12"/>
  <c r="U1243" i="12"/>
  <c r="T1244" i="12"/>
  <c r="U1244" i="12"/>
  <c r="T1245" i="12"/>
  <c r="U1245" i="12"/>
  <c r="T1246" i="12"/>
  <c r="U1246" i="12"/>
  <c r="T1247" i="12"/>
  <c r="U1247" i="12"/>
  <c r="T1248" i="12"/>
  <c r="U1248" i="12"/>
  <c r="T1249" i="12"/>
  <c r="U1249" i="12"/>
  <c r="T1250" i="12"/>
  <c r="U1250" i="12"/>
  <c r="T1251" i="12"/>
  <c r="U1251" i="12"/>
  <c r="T1252" i="12"/>
  <c r="U1252" i="12"/>
  <c r="T1253" i="12"/>
  <c r="U1253" i="12"/>
  <c r="T1254" i="12"/>
  <c r="U1254" i="12"/>
  <c r="T1255" i="12"/>
  <c r="U1255" i="12"/>
  <c r="T1256" i="12"/>
  <c r="U1256" i="12"/>
  <c r="T1257" i="12"/>
  <c r="U1257" i="12"/>
  <c r="T1258" i="12"/>
  <c r="U1258" i="12"/>
  <c r="T1259" i="12"/>
  <c r="U1259" i="12"/>
  <c r="T1260" i="12"/>
  <c r="U1260" i="12"/>
  <c r="T1261" i="12"/>
  <c r="U1261" i="12"/>
  <c r="T1262" i="12"/>
  <c r="U1262" i="12"/>
  <c r="T1263" i="12"/>
  <c r="U1263" i="12"/>
  <c r="T1264" i="12"/>
  <c r="U1264" i="12"/>
  <c r="T1265" i="12"/>
  <c r="U1265" i="12"/>
  <c r="T1266" i="12"/>
  <c r="U1266" i="12"/>
  <c r="T1267" i="12"/>
  <c r="U1267" i="12"/>
  <c r="T1268" i="12"/>
  <c r="U1268" i="12"/>
  <c r="T1269" i="12"/>
  <c r="U1269" i="12"/>
  <c r="T1270" i="12"/>
  <c r="U1270" i="12"/>
  <c r="T1271" i="12"/>
  <c r="U1271" i="12"/>
  <c r="T1272" i="12"/>
  <c r="U1272" i="12"/>
  <c r="T1273" i="12"/>
  <c r="U1273" i="12"/>
  <c r="T1274" i="12"/>
  <c r="U1274" i="12"/>
  <c r="T1275" i="12"/>
  <c r="U1275" i="12"/>
  <c r="T1276" i="12"/>
  <c r="U1276" i="12"/>
  <c r="T1277" i="12"/>
  <c r="U1277" i="12"/>
  <c r="T1278" i="12"/>
  <c r="U1278" i="12"/>
  <c r="T1279" i="12"/>
  <c r="U1279" i="12"/>
  <c r="T1280" i="12"/>
  <c r="U1280" i="12"/>
  <c r="T1281" i="12"/>
  <c r="U1281" i="12"/>
  <c r="T1282" i="12"/>
  <c r="U1282" i="12"/>
  <c r="T1283" i="12"/>
  <c r="U1283" i="12"/>
  <c r="T1284" i="12"/>
  <c r="U1284" i="12"/>
  <c r="T1285" i="12"/>
  <c r="U1285" i="12"/>
  <c r="T1286" i="12"/>
  <c r="U1286" i="12"/>
  <c r="T1287" i="12"/>
  <c r="U1287" i="12"/>
  <c r="T1288" i="12"/>
  <c r="U1288" i="12"/>
  <c r="T1289" i="12"/>
  <c r="U1289" i="12"/>
  <c r="T1290" i="12"/>
  <c r="U1290" i="12"/>
  <c r="T1291" i="12"/>
  <c r="U1291" i="12"/>
  <c r="T1292" i="12"/>
  <c r="U1292" i="12"/>
  <c r="T1293" i="12"/>
  <c r="U1293" i="12"/>
  <c r="T1294" i="12"/>
  <c r="U1294" i="12"/>
  <c r="T1295" i="12"/>
  <c r="U1295" i="12"/>
  <c r="T1296" i="12"/>
  <c r="U1296" i="12"/>
  <c r="T1297" i="12"/>
  <c r="U1297" i="12"/>
  <c r="T1298" i="12"/>
  <c r="U1298" i="12"/>
  <c r="T1299" i="12"/>
  <c r="U1299" i="12"/>
  <c r="T1300" i="12"/>
  <c r="U1300" i="12"/>
  <c r="T1301" i="12"/>
  <c r="U1301" i="12"/>
  <c r="T1302" i="12"/>
  <c r="U1302" i="12"/>
  <c r="T1303" i="12"/>
  <c r="U1303" i="12"/>
  <c r="T1304" i="12"/>
  <c r="U1304" i="12"/>
  <c r="T1305" i="12"/>
  <c r="U1305" i="12"/>
  <c r="T1306" i="12"/>
  <c r="U1306" i="12"/>
  <c r="T1307" i="12"/>
  <c r="U1307" i="12"/>
  <c r="T1308" i="12"/>
  <c r="U1308" i="12"/>
  <c r="T1309" i="12"/>
  <c r="U1309" i="12"/>
  <c r="T1310" i="12"/>
  <c r="U1310" i="12"/>
  <c r="T1311" i="12"/>
  <c r="U1311" i="12"/>
  <c r="T1312" i="12"/>
  <c r="U1312" i="12"/>
  <c r="T1313" i="12"/>
  <c r="U1313" i="12"/>
  <c r="T1314" i="12"/>
  <c r="U1314" i="12"/>
  <c r="T1315" i="12"/>
  <c r="U1315" i="12"/>
  <c r="T1316" i="12"/>
  <c r="U1316" i="12"/>
  <c r="T1317" i="12"/>
  <c r="U1317" i="12"/>
  <c r="T1318" i="12"/>
  <c r="U1318" i="12"/>
  <c r="T1319" i="12"/>
  <c r="U1319" i="12"/>
  <c r="T1320" i="12"/>
  <c r="U1320" i="12"/>
  <c r="T1321" i="12"/>
  <c r="U1321" i="12"/>
  <c r="T1322" i="12"/>
  <c r="U1322" i="12"/>
  <c r="T1323" i="12"/>
  <c r="U1323" i="12"/>
  <c r="T1324" i="12"/>
  <c r="U1324" i="12"/>
  <c r="T1325" i="12"/>
  <c r="U1325" i="12"/>
  <c r="T1326" i="12"/>
  <c r="U1326" i="12"/>
  <c r="T1327" i="12"/>
  <c r="U1327" i="12"/>
  <c r="T1328" i="12"/>
  <c r="U1328" i="12"/>
  <c r="T1329" i="12"/>
  <c r="U1329" i="12"/>
  <c r="T1330" i="12"/>
  <c r="U1330" i="12"/>
  <c r="T1331" i="12"/>
  <c r="U1331" i="12"/>
  <c r="T1332" i="12"/>
  <c r="U1332" i="12"/>
  <c r="T1333" i="12"/>
  <c r="U1333" i="12"/>
  <c r="T1334" i="12"/>
  <c r="U1334" i="12"/>
  <c r="T1335" i="12"/>
  <c r="U1335" i="12"/>
  <c r="T1336" i="12"/>
  <c r="U1336" i="12"/>
  <c r="T1337" i="12"/>
  <c r="U1337" i="12"/>
  <c r="T1338" i="12"/>
  <c r="U1338" i="12"/>
  <c r="T1339" i="12"/>
  <c r="U1339" i="12"/>
  <c r="T1340" i="12"/>
  <c r="U1340" i="12"/>
  <c r="T1341" i="12"/>
  <c r="U1341" i="12"/>
  <c r="T1342" i="12"/>
  <c r="U1342" i="12"/>
  <c r="T1343" i="12"/>
  <c r="U1343" i="12"/>
  <c r="T1344" i="12"/>
  <c r="U1344" i="12"/>
  <c r="T1345" i="12"/>
  <c r="U1345" i="12"/>
  <c r="T1346" i="12"/>
  <c r="U1346" i="12"/>
  <c r="T1347" i="12"/>
  <c r="U1347" i="12"/>
  <c r="T1348" i="12"/>
  <c r="U1348" i="12"/>
  <c r="T1349" i="12"/>
  <c r="U1349" i="12"/>
  <c r="T1350" i="12"/>
  <c r="U1350" i="12"/>
  <c r="T1351" i="12"/>
  <c r="U1351" i="12"/>
  <c r="T1352" i="12"/>
  <c r="U1352" i="12"/>
  <c r="T1353" i="12"/>
  <c r="U1353" i="12"/>
  <c r="T1354" i="12"/>
  <c r="U1354" i="12"/>
  <c r="T1355" i="12"/>
  <c r="U1355" i="12"/>
  <c r="T1356" i="12"/>
  <c r="U1356" i="12"/>
  <c r="T1357" i="12"/>
  <c r="U1357" i="12"/>
  <c r="T1358" i="12"/>
  <c r="U1358" i="12"/>
  <c r="T1359" i="12"/>
  <c r="U1359" i="12"/>
  <c r="T1360" i="12"/>
  <c r="U1360" i="12"/>
  <c r="T1361" i="12"/>
  <c r="U1361" i="12"/>
  <c r="T1362" i="12"/>
  <c r="U1362" i="12"/>
  <c r="T1363" i="12"/>
  <c r="U1363" i="12"/>
  <c r="T1364" i="12"/>
  <c r="U1364" i="12"/>
  <c r="T1365" i="12"/>
  <c r="U1365" i="12"/>
  <c r="T1366" i="12"/>
  <c r="U1366" i="12"/>
  <c r="T1367" i="12"/>
  <c r="U1367" i="12"/>
  <c r="T1368" i="12"/>
  <c r="U1368" i="12"/>
  <c r="T1369" i="12"/>
  <c r="U1369" i="12"/>
  <c r="T1370" i="12"/>
  <c r="U1370" i="12"/>
  <c r="T1371" i="12"/>
  <c r="U1371" i="12"/>
  <c r="T1372" i="12"/>
  <c r="U1372" i="12"/>
  <c r="T1373" i="12"/>
  <c r="U1373" i="12"/>
  <c r="T1374" i="12"/>
  <c r="U1374" i="12"/>
  <c r="T1375" i="12"/>
  <c r="U1375" i="12"/>
  <c r="T1376" i="12"/>
  <c r="U1376" i="12"/>
  <c r="T1377" i="12"/>
  <c r="U1377" i="12"/>
  <c r="T1378" i="12"/>
  <c r="U1378" i="12"/>
  <c r="T1379" i="12"/>
  <c r="U1379" i="12"/>
  <c r="T1380" i="12"/>
  <c r="U1380" i="12"/>
  <c r="T1381" i="12"/>
  <c r="U1381" i="12"/>
  <c r="T1382" i="12"/>
  <c r="U1382" i="12"/>
  <c r="T1383" i="12"/>
  <c r="U1383" i="12"/>
  <c r="T1384" i="12"/>
  <c r="U1384" i="12"/>
  <c r="T1385" i="12"/>
  <c r="U1385" i="12"/>
  <c r="T1386" i="12"/>
  <c r="U1386" i="12"/>
  <c r="T1387" i="12"/>
  <c r="U1387" i="12"/>
  <c r="T1388" i="12"/>
  <c r="U1388" i="12"/>
  <c r="T1389" i="12"/>
  <c r="U1389" i="12"/>
  <c r="T1390" i="12"/>
  <c r="U1390" i="12"/>
  <c r="T1391" i="12"/>
  <c r="U1391" i="12"/>
  <c r="T1392" i="12"/>
  <c r="U1392" i="12"/>
  <c r="T1393" i="12"/>
  <c r="U1393" i="12"/>
  <c r="T1394" i="12"/>
  <c r="U1394" i="12"/>
  <c r="T1395" i="12"/>
  <c r="U1395" i="12"/>
  <c r="T1396" i="12"/>
  <c r="U1396" i="12"/>
  <c r="T1397" i="12"/>
  <c r="U1397" i="12"/>
  <c r="T1398" i="12"/>
  <c r="U1398" i="12"/>
  <c r="T1399" i="12"/>
  <c r="U1399" i="12"/>
  <c r="T1400" i="12"/>
  <c r="U1400" i="12"/>
  <c r="T1401" i="12"/>
  <c r="U1401" i="12"/>
  <c r="T1402" i="12"/>
  <c r="U1402" i="12"/>
  <c r="T1403" i="12"/>
  <c r="U1403" i="12"/>
  <c r="T1404" i="12"/>
  <c r="U1404" i="12"/>
  <c r="T1405" i="12"/>
  <c r="U1405" i="12"/>
  <c r="T1406" i="12"/>
  <c r="U1406" i="12"/>
  <c r="T1407" i="12"/>
  <c r="U1407" i="12"/>
  <c r="T1408" i="12"/>
  <c r="U1408" i="12"/>
  <c r="T1409" i="12"/>
  <c r="U1409" i="12"/>
  <c r="T1410" i="12"/>
  <c r="U1410" i="12"/>
  <c r="T1411" i="12"/>
  <c r="U1411" i="12"/>
  <c r="T1412" i="12"/>
  <c r="U1412" i="12"/>
  <c r="T1413" i="12"/>
  <c r="U1413" i="12"/>
  <c r="T1414" i="12"/>
  <c r="U1414" i="12"/>
  <c r="T1415" i="12"/>
  <c r="U1415" i="12"/>
  <c r="T1416" i="12"/>
  <c r="U1416" i="12"/>
  <c r="T1417" i="12"/>
  <c r="U1417" i="12"/>
  <c r="T1418" i="12"/>
  <c r="U1418" i="12"/>
  <c r="T1419" i="12"/>
  <c r="U1419" i="12"/>
  <c r="T1420" i="12"/>
  <c r="U1420" i="12"/>
  <c r="T1421" i="12"/>
  <c r="U1421" i="12"/>
  <c r="T1422" i="12"/>
  <c r="U1422" i="12"/>
  <c r="T1423" i="12"/>
  <c r="U1423" i="12"/>
  <c r="T1424" i="12"/>
  <c r="U1424" i="12"/>
  <c r="T1425" i="12"/>
  <c r="U1425" i="12"/>
  <c r="T1426" i="12"/>
  <c r="U1426" i="12"/>
  <c r="T1427" i="12"/>
  <c r="U1427" i="12"/>
  <c r="T1428" i="12"/>
  <c r="U1428" i="12"/>
  <c r="T1429" i="12"/>
  <c r="U1429" i="12"/>
  <c r="T1430" i="12"/>
  <c r="U1430" i="12"/>
  <c r="T1431" i="12"/>
  <c r="U1431" i="12"/>
  <c r="T1432" i="12"/>
  <c r="U1432" i="12"/>
  <c r="T1433" i="12"/>
  <c r="U1433" i="12"/>
  <c r="T1434" i="12"/>
  <c r="U1434" i="12"/>
  <c r="T1435" i="12"/>
  <c r="U1435" i="12"/>
  <c r="T1436" i="12"/>
  <c r="U1436" i="12"/>
  <c r="T1437" i="12"/>
  <c r="U1437" i="12"/>
  <c r="T1438" i="12"/>
  <c r="U1438" i="12"/>
  <c r="T1439" i="12"/>
  <c r="U1439" i="12"/>
  <c r="T1440" i="12"/>
  <c r="U1440" i="12"/>
  <c r="T1441" i="12"/>
  <c r="U1441" i="12"/>
  <c r="T1442" i="12"/>
  <c r="U1442" i="12"/>
  <c r="T1443" i="12"/>
  <c r="U1443" i="12"/>
  <c r="T1444" i="12"/>
  <c r="U1444" i="12"/>
  <c r="T1445" i="12"/>
  <c r="U1445" i="12"/>
  <c r="T1446" i="12"/>
  <c r="U1446" i="12"/>
  <c r="T1447" i="12"/>
  <c r="U1447" i="12"/>
  <c r="T1448" i="12"/>
  <c r="U1448" i="12"/>
  <c r="T1449" i="12"/>
  <c r="U1449" i="12"/>
  <c r="T1450" i="12"/>
  <c r="U1450" i="12"/>
  <c r="T1451" i="12"/>
  <c r="U1451" i="12"/>
  <c r="T1452" i="12"/>
  <c r="U1452" i="12"/>
  <c r="T1453" i="12"/>
  <c r="U1453" i="12"/>
  <c r="T1454" i="12"/>
  <c r="U1454" i="12"/>
  <c r="T1455" i="12"/>
  <c r="U1455" i="12"/>
  <c r="T1456" i="12"/>
  <c r="U1456" i="12"/>
  <c r="T1457" i="12"/>
  <c r="U1457" i="12"/>
  <c r="T1458" i="12"/>
  <c r="U1458" i="12"/>
  <c r="T1459" i="12"/>
  <c r="U1459" i="12"/>
  <c r="T1460" i="12"/>
  <c r="U1460" i="12"/>
  <c r="T1461" i="12"/>
  <c r="U1461" i="12"/>
  <c r="T1462" i="12"/>
  <c r="U1462" i="12"/>
  <c r="T1463" i="12"/>
  <c r="U1463" i="12"/>
  <c r="T1464" i="12"/>
  <c r="U1464" i="12"/>
  <c r="T1465" i="12"/>
  <c r="U1465" i="12"/>
  <c r="T1466" i="12"/>
  <c r="U1466" i="12"/>
  <c r="T1467" i="12"/>
  <c r="U1467" i="12"/>
  <c r="T1468" i="12"/>
  <c r="U1468" i="12"/>
  <c r="T1469" i="12"/>
  <c r="U1469" i="12"/>
  <c r="T1470" i="12"/>
  <c r="U1470" i="12"/>
  <c r="T1471" i="12"/>
  <c r="U1471" i="12"/>
  <c r="T1472" i="12"/>
  <c r="U1472" i="12"/>
  <c r="T1473" i="12"/>
  <c r="U1473" i="12"/>
  <c r="T1474" i="12"/>
  <c r="U1474" i="12"/>
  <c r="T1475" i="12"/>
  <c r="U1475" i="12"/>
  <c r="T1476" i="12"/>
  <c r="U1476" i="12"/>
  <c r="T1477" i="12"/>
  <c r="U1477" i="12"/>
  <c r="T1478" i="12"/>
  <c r="U1478" i="12"/>
  <c r="T1479" i="12"/>
  <c r="U1479" i="12"/>
  <c r="T1480" i="12"/>
  <c r="U1480" i="12"/>
  <c r="T1481" i="12"/>
  <c r="U1481" i="12"/>
  <c r="T1482" i="12"/>
  <c r="U1482" i="12"/>
  <c r="T1483" i="12"/>
  <c r="U1483" i="12"/>
  <c r="T1484" i="12"/>
  <c r="U1484" i="12"/>
  <c r="T1485" i="12"/>
  <c r="U1485" i="12"/>
  <c r="T1486" i="12"/>
  <c r="U1486" i="12"/>
  <c r="T1487" i="12"/>
  <c r="U1487" i="12"/>
  <c r="T1488" i="12"/>
  <c r="U1488" i="12"/>
  <c r="T1489" i="12"/>
  <c r="U1489" i="12"/>
  <c r="T1490" i="12"/>
  <c r="U1490" i="12"/>
  <c r="T1491" i="12"/>
  <c r="U1491" i="12"/>
  <c r="T1492" i="12"/>
  <c r="U1492" i="12"/>
  <c r="T1493" i="12"/>
  <c r="U1493" i="12"/>
  <c r="T1494" i="12"/>
  <c r="U1494" i="12"/>
  <c r="T1495" i="12"/>
  <c r="U1495" i="12"/>
  <c r="T1496" i="12"/>
  <c r="U1496" i="12"/>
  <c r="T1497" i="12"/>
  <c r="U1497" i="12"/>
  <c r="T1498" i="12"/>
  <c r="U1498" i="12"/>
  <c r="T1499" i="12"/>
  <c r="U1499" i="12"/>
  <c r="T1500" i="12"/>
  <c r="U1500" i="12"/>
  <c r="T1501" i="12"/>
  <c r="U1501" i="12"/>
  <c r="T1502" i="12"/>
  <c r="U1502" i="12"/>
  <c r="T1503" i="12"/>
  <c r="U1503" i="12"/>
  <c r="T1504" i="12"/>
  <c r="U1504" i="12"/>
  <c r="T1505" i="12"/>
  <c r="U1505" i="12"/>
  <c r="T1506" i="12"/>
  <c r="U1506" i="12"/>
  <c r="T1507" i="12"/>
  <c r="U1507" i="12"/>
  <c r="T1508" i="12"/>
  <c r="U1508" i="12"/>
  <c r="T1509" i="12"/>
  <c r="U1509" i="12"/>
  <c r="T1510" i="12"/>
  <c r="U1510" i="12"/>
  <c r="T1511" i="12"/>
  <c r="U1511" i="12"/>
  <c r="T1512" i="12"/>
  <c r="U1512" i="12"/>
  <c r="T1513" i="12"/>
  <c r="U1513" i="12"/>
  <c r="T1514" i="12"/>
  <c r="U1514" i="12"/>
  <c r="T1515" i="12"/>
  <c r="U1515" i="12"/>
  <c r="T1516" i="12"/>
  <c r="U1516" i="12"/>
  <c r="T1517" i="12"/>
  <c r="U1517" i="12"/>
  <c r="T1518" i="12"/>
  <c r="U1518" i="12"/>
  <c r="T1519" i="12"/>
  <c r="U1519" i="12"/>
  <c r="T1520" i="12"/>
  <c r="U1520" i="12"/>
  <c r="T1521" i="12"/>
  <c r="U1521" i="12"/>
  <c r="T1522" i="12"/>
  <c r="U1522" i="12"/>
  <c r="T1523" i="12"/>
  <c r="U1523" i="12"/>
  <c r="T1524" i="12"/>
  <c r="U1524" i="12"/>
  <c r="T1525" i="12"/>
  <c r="U1525" i="12"/>
  <c r="T1526" i="12"/>
  <c r="U1526" i="12"/>
  <c r="T1527" i="12"/>
  <c r="U1527" i="12"/>
  <c r="T1528" i="12"/>
  <c r="U1528" i="12"/>
  <c r="T1529" i="12"/>
  <c r="U1529" i="12"/>
  <c r="T1530" i="12"/>
  <c r="U1530" i="12"/>
  <c r="T1531" i="12"/>
  <c r="U1531" i="12"/>
  <c r="T1532" i="12"/>
  <c r="U1532" i="12"/>
  <c r="T1533" i="12"/>
  <c r="U1533" i="12"/>
  <c r="T1534" i="12"/>
  <c r="U1534" i="12"/>
  <c r="T1535" i="12"/>
  <c r="U1535" i="12"/>
  <c r="T1536" i="12"/>
  <c r="U1536" i="12"/>
  <c r="T1537" i="12"/>
  <c r="U1537" i="12"/>
  <c r="T1538" i="12"/>
  <c r="U1538" i="12"/>
  <c r="T1539" i="12"/>
  <c r="U1539" i="12"/>
  <c r="T1540" i="12"/>
  <c r="U1540" i="12"/>
  <c r="T1541" i="12"/>
  <c r="U1541" i="12"/>
  <c r="T1542" i="12"/>
  <c r="U1542" i="12"/>
  <c r="T1543" i="12"/>
  <c r="U1543" i="12"/>
  <c r="T1544" i="12"/>
  <c r="U1544" i="12"/>
  <c r="T1545" i="12"/>
  <c r="U1545" i="12"/>
  <c r="T1546" i="12"/>
  <c r="U1546" i="12"/>
  <c r="T1547" i="12"/>
  <c r="U1547" i="12"/>
  <c r="T1548" i="12"/>
  <c r="U1548" i="12"/>
  <c r="T1549" i="12"/>
  <c r="U1549" i="12"/>
  <c r="T1550" i="12"/>
  <c r="U1550" i="12"/>
  <c r="T1551" i="12"/>
  <c r="U1551" i="12"/>
  <c r="T1552" i="12"/>
  <c r="U1552" i="12"/>
  <c r="T1553" i="12"/>
  <c r="U1553" i="12"/>
  <c r="T1554" i="12"/>
  <c r="U1554" i="12"/>
  <c r="T1555" i="12"/>
  <c r="U1555" i="12"/>
  <c r="T1556" i="12"/>
  <c r="U1556" i="12"/>
  <c r="T1557" i="12"/>
  <c r="U1557" i="12"/>
  <c r="T1558" i="12"/>
  <c r="U1558" i="12"/>
  <c r="T1559" i="12"/>
  <c r="U1559" i="12"/>
  <c r="T1560" i="12"/>
  <c r="U1560" i="12"/>
  <c r="T1561" i="12"/>
  <c r="U1561" i="12"/>
  <c r="T1562" i="12"/>
  <c r="U1562" i="12"/>
  <c r="T1563" i="12"/>
  <c r="U1563" i="12"/>
  <c r="T1564" i="12"/>
  <c r="U1564" i="12"/>
  <c r="T1565" i="12"/>
  <c r="U1565" i="12"/>
  <c r="T1566" i="12"/>
  <c r="U1566" i="12"/>
  <c r="T1567" i="12"/>
  <c r="U1567" i="12"/>
  <c r="T1568" i="12"/>
  <c r="U1568" i="12"/>
  <c r="T1569" i="12"/>
  <c r="U1569" i="12"/>
  <c r="T1570" i="12"/>
  <c r="U1570" i="12"/>
  <c r="T1571" i="12"/>
  <c r="U1571" i="12"/>
  <c r="T1572" i="12"/>
  <c r="U1572" i="12"/>
  <c r="T1573" i="12"/>
  <c r="U1573" i="12"/>
  <c r="T1574" i="12"/>
  <c r="U1574" i="12"/>
  <c r="T1575" i="12"/>
  <c r="U1575" i="12"/>
  <c r="T1576" i="12"/>
  <c r="U1576" i="12"/>
  <c r="T1577" i="12"/>
  <c r="U1577" i="12"/>
  <c r="T1578" i="12"/>
  <c r="U1578" i="12"/>
  <c r="T1579" i="12"/>
  <c r="U1579" i="12"/>
  <c r="T1580" i="12"/>
  <c r="U1580" i="12"/>
  <c r="T1581" i="12"/>
  <c r="U1581" i="12"/>
  <c r="T1582" i="12"/>
  <c r="U1582" i="12"/>
  <c r="T1583" i="12"/>
  <c r="U1583" i="12"/>
  <c r="T1584" i="12"/>
  <c r="U1584" i="12"/>
  <c r="T1585" i="12"/>
  <c r="U1585" i="12"/>
  <c r="T1586" i="12"/>
  <c r="U1586" i="12"/>
  <c r="T1587" i="12"/>
  <c r="U1587" i="12"/>
  <c r="T1588" i="12"/>
  <c r="U1588" i="12"/>
  <c r="T1589" i="12"/>
  <c r="U1589" i="12"/>
  <c r="T1590" i="12"/>
  <c r="U1590" i="12"/>
  <c r="T1591" i="12"/>
  <c r="U1591" i="12"/>
  <c r="T1592" i="12"/>
  <c r="U1592" i="12"/>
  <c r="T1593" i="12"/>
  <c r="U1593" i="12"/>
  <c r="T1594" i="12"/>
  <c r="U1594" i="12"/>
  <c r="T1595" i="12"/>
  <c r="U1595" i="12"/>
  <c r="T1596" i="12"/>
  <c r="U1596" i="12"/>
  <c r="T1597" i="12"/>
  <c r="U1597" i="12"/>
  <c r="T1598" i="12"/>
  <c r="U1598" i="12"/>
  <c r="T1599" i="12"/>
  <c r="U1599" i="12"/>
  <c r="T1600" i="12"/>
  <c r="U1600" i="12"/>
  <c r="T1601" i="12"/>
  <c r="U1601" i="12"/>
  <c r="T1602" i="12"/>
  <c r="U1602" i="12"/>
  <c r="T1603" i="12"/>
  <c r="U1603" i="12"/>
  <c r="T1604" i="12"/>
  <c r="U1604" i="12"/>
  <c r="T1605" i="12"/>
  <c r="U1605" i="12"/>
  <c r="T1606" i="12"/>
  <c r="U1606" i="12"/>
  <c r="T1607" i="12"/>
  <c r="U1607" i="12"/>
  <c r="T1608" i="12"/>
  <c r="U1608" i="12"/>
  <c r="T1609" i="12"/>
  <c r="U1609" i="12"/>
  <c r="T1610" i="12"/>
  <c r="U1610" i="12"/>
  <c r="T1611" i="12"/>
  <c r="U1611" i="12"/>
  <c r="T1612" i="12"/>
  <c r="U1612" i="12"/>
  <c r="T1613" i="12"/>
  <c r="U1613" i="12"/>
  <c r="T1614" i="12"/>
  <c r="U1614" i="12"/>
  <c r="T1615" i="12"/>
  <c r="U1615" i="12"/>
  <c r="T1616" i="12"/>
  <c r="U1616" i="12"/>
  <c r="T1617" i="12"/>
  <c r="U1617" i="12"/>
  <c r="T1618" i="12"/>
  <c r="U1618" i="12"/>
  <c r="T1619" i="12"/>
  <c r="U1619" i="12"/>
  <c r="T1620" i="12"/>
  <c r="U1620" i="12"/>
  <c r="T1621" i="12"/>
  <c r="U1621" i="12"/>
  <c r="T1622" i="12"/>
  <c r="U1622" i="12"/>
  <c r="T1623" i="12"/>
  <c r="U1623" i="12"/>
  <c r="T1624" i="12"/>
  <c r="U1624" i="12"/>
  <c r="T1625" i="12"/>
  <c r="U1625" i="12"/>
  <c r="T1626" i="12"/>
  <c r="U1626" i="12"/>
  <c r="T1627" i="12"/>
  <c r="U1627" i="12"/>
  <c r="T1628" i="12"/>
  <c r="U1628" i="12"/>
  <c r="T1629" i="12"/>
  <c r="U1629" i="12"/>
  <c r="T1630" i="12"/>
  <c r="U1630" i="12"/>
  <c r="T1631" i="12"/>
  <c r="U1631" i="12"/>
  <c r="T1632" i="12"/>
  <c r="U1632" i="12"/>
  <c r="T1633" i="12"/>
  <c r="U1633" i="12"/>
  <c r="T1634" i="12"/>
  <c r="U1634" i="12"/>
  <c r="T1635" i="12"/>
  <c r="U1635" i="12"/>
  <c r="T1636" i="12"/>
  <c r="U1636" i="12"/>
  <c r="T1637" i="12"/>
  <c r="U1637" i="12"/>
  <c r="T1638" i="12"/>
  <c r="U1638" i="12"/>
  <c r="T1639" i="12"/>
  <c r="U1639" i="12"/>
  <c r="T1640" i="12"/>
  <c r="U1640" i="12"/>
  <c r="T1641" i="12"/>
  <c r="U1641" i="12"/>
  <c r="T1642" i="12"/>
  <c r="U1642" i="12"/>
  <c r="T1643" i="12"/>
  <c r="U1643" i="12"/>
  <c r="T1644" i="12"/>
  <c r="U1644" i="12"/>
  <c r="T1645" i="12"/>
  <c r="U1645" i="12"/>
  <c r="T1646" i="12"/>
  <c r="U1646" i="12"/>
  <c r="T1647" i="12"/>
  <c r="U1647" i="12"/>
  <c r="T1648" i="12"/>
  <c r="U1648" i="12"/>
  <c r="T1649" i="12"/>
  <c r="U1649" i="12"/>
  <c r="T1650" i="12"/>
  <c r="U1650" i="12"/>
  <c r="T1651" i="12"/>
  <c r="U1651" i="12"/>
  <c r="T1652" i="12"/>
  <c r="U1652" i="12"/>
  <c r="T1653" i="12"/>
  <c r="U1653" i="12"/>
  <c r="T1654" i="12"/>
  <c r="U1654" i="12"/>
  <c r="T1655" i="12"/>
  <c r="U1655" i="12"/>
  <c r="T1656" i="12"/>
  <c r="U1656" i="12"/>
  <c r="T1657" i="12"/>
  <c r="U1657" i="12"/>
  <c r="T1658" i="12"/>
  <c r="U1658" i="12"/>
  <c r="T1659" i="12"/>
  <c r="U1659" i="12"/>
  <c r="T1660" i="12"/>
  <c r="U1660" i="12"/>
  <c r="T1661" i="12"/>
  <c r="U1661" i="12"/>
  <c r="T1662" i="12"/>
  <c r="U1662" i="12"/>
  <c r="T1663" i="12"/>
  <c r="U1663" i="12"/>
  <c r="T1664" i="12"/>
  <c r="U1664" i="12"/>
  <c r="T1665" i="12"/>
  <c r="U1665" i="12"/>
  <c r="T1666" i="12"/>
  <c r="U1666" i="12"/>
  <c r="T1667" i="12"/>
  <c r="U1667" i="12"/>
  <c r="T1668" i="12"/>
  <c r="U1668" i="12"/>
  <c r="T1669" i="12"/>
  <c r="U1669" i="12"/>
  <c r="T1670" i="12"/>
  <c r="U1670" i="12"/>
  <c r="T1671" i="12"/>
  <c r="U1671" i="12"/>
  <c r="T1672" i="12"/>
  <c r="U1672" i="12"/>
  <c r="T1673" i="12"/>
  <c r="U1673" i="12"/>
  <c r="T1674" i="12"/>
  <c r="U1674" i="12"/>
  <c r="T1675" i="12"/>
  <c r="U1675" i="12"/>
  <c r="T1676" i="12"/>
  <c r="U1676" i="12"/>
  <c r="T1677" i="12"/>
  <c r="U1677" i="12"/>
  <c r="T1678" i="12"/>
  <c r="U1678" i="12"/>
  <c r="T1679" i="12"/>
  <c r="U1679" i="12"/>
  <c r="T1680" i="12"/>
  <c r="U1680" i="12"/>
  <c r="T1681" i="12"/>
  <c r="U1681" i="12"/>
  <c r="T1682" i="12"/>
  <c r="U1682" i="12"/>
  <c r="T1683" i="12"/>
  <c r="U1683" i="12"/>
  <c r="T1684" i="12"/>
  <c r="U1684" i="12"/>
  <c r="T1685" i="12"/>
  <c r="U1685" i="12"/>
  <c r="T1686" i="12"/>
  <c r="U1686" i="12"/>
  <c r="T1687" i="12"/>
  <c r="U1687" i="12"/>
  <c r="T1688" i="12"/>
  <c r="U1688" i="12"/>
  <c r="T1689" i="12"/>
  <c r="U1689" i="12"/>
  <c r="T1690" i="12"/>
  <c r="U1690" i="12"/>
  <c r="T1691" i="12"/>
  <c r="U1691" i="12"/>
  <c r="T1692" i="12"/>
  <c r="U1692" i="12"/>
  <c r="T1693" i="12"/>
  <c r="U1693" i="12"/>
  <c r="T1694" i="12"/>
  <c r="U1694" i="12"/>
  <c r="T1695" i="12"/>
  <c r="U1695" i="12"/>
  <c r="T1696" i="12"/>
  <c r="U1696" i="12"/>
  <c r="T1697" i="12"/>
  <c r="U1697" i="12"/>
  <c r="T1698" i="12"/>
  <c r="U1698" i="12"/>
  <c r="T1699" i="12"/>
  <c r="U1699" i="12"/>
  <c r="T1700" i="12"/>
  <c r="U1700" i="12"/>
  <c r="T1701" i="12"/>
  <c r="U1701" i="12"/>
  <c r="T1702" i="12"/>
  <c r="U1702" i="12"/>
  <c r="T1703" i="12"/>
  <c r="U1703" i="12"/>
  <c r="T1704" i="12"/>
  <c r="U1704" i="12"/>
  <c r="T1705" i="12"/>
  <c r="U1705" i="12"/>
  <c r="T1706" i="12"/>
  <c r="U1706" i="12"/>
  <c r="T1707" i="12"/>
  <c r="U1707" i="12"/>
  <c r="T1708" i="12"/>
  <c r="U1708" i="12"/>
  <c r="T1709" i="12"/>
  <c r="U1709" i="12"/>
  <c r="T1710" i="12"/>
  <c r="U1710" i="12"/>
  <c r="T1711" i="12"/>
  <c r="U1711" i="12"/>
  <c r="T1712" i="12"/>
  <c r="U1712" i="12"/>
  <c r="T1713" i="12"/>
  <c r="U1713" i="12"/>
  <c r="T1714" i="12"/>
  <c r="U1714" i="12"/>
  <c r="T1715" i="12"/>
  <c r="U1715" i="12"/>
  <c r="T1716" i="12"/>
  <c r="U1716" i="12"/>
  <c r="T1717" i="12"/>
  <c r="U1717" i="12"/>
  <c r="T1718" i="12"/>
  <c r="U1718" i="12"/>
  <c r="T1719" i="12"/>
  <c r="U1719" i="12"/>
  <c r="T1720" i="12"/>
  <c r="U1720" i="12"/>
  <c r="T1721" i="12"/>
  <c r="U1721" i="12"/>
  <c r="T1722" i="12"/>
  <c r="U1722" i="12"/>
  <c r="T1723" i="12"/>
  <c r="U1723" i="12"/>
  <c r="T1724" i="12"/>
  <c r="U1724" i="12"/>
  <c r="T1725" i="12"/>
  <c r="U1725" i="12"/>
  <c r="T1726" i="12"/>
  <c r="U1726" i="12"/>
  <c r="T1727" i="12"/>
  <c r="U1727" i="12"/>
  <c r="T1728" i="12"/>
  <c r="U1728" i="12"/>
  <c r="T1729" i="12"/>
  <c r="U1729" i="12"/>
  <c r="T1730" i="12"/>
  <c r="U1730" i="12"/>
  <c r="T1731" i="12"/>
  <c r="U1731" i="12"/>
  <c r="T1732" i="12"/>
  <c r="U1732" i="12"/>
  <c r="T1733" i="12"/>
  <c r="U1733" i="12"/>
  <c r="T1734" i="12"/>
  <c r="U1734" i="12"/>
  <c r="T1735" i="12"/>
  <c r="U1735" i="12"/>
  <c r="T1736" i="12"/>
  <c r="U1736" i="12"/>
  <c r="T1737" i="12"/>
  <c r="U1737" i="12"/>
  <c r="T1738" i="12"/>
  <c r="U1738" i="12"/>
  <c r="T1739" i="12"/>
  <c r="U1739" i="12"/>
  <c r="T1740" i="12"/>
  <c r="U1740" i="12"/>
  <c r="T1741" i="12"/>
  <c r="U1741" i="12"/>
  <c r="T1742" i="12"/>
  <c r="U1742" i="12"/>
  <c r="T1743" i="12"/>
  <c r="U1743" i="12"/>
  <c r="T1744" i="12"/>
  <c r="U1744" i="12"/>
  <c r="T1745" i="12"/>
  <c r="U1745" i="12"/>
  <c r="T1746" i="12"/>
  <c r="U1746" i="12"/>
  <c r="T1747" i="12"/>
  <c r="U1747" i="12"/>
  <c r="T1748" i="12"/>
  <c r="U1748" i="12"/>
  <c r="T1749" i="12"/>
  <c r="U1749" i="12"/>
  <c r="T1750" i="12"/>
  <c r="U1750" i="12"/>
  <c r="T1751" i="12"/>
  <c r="U1751" i="12"/>
  <c r="T1752" i="12"/>
  <c r="U1752" i="12"/>
  <c r="T1753" i="12"/>
  <c r="U1753" i="12"/>
  <c r="T1754" i="12"/>
  <c r="U1754" i="12"/>
  <c r="T1755" i="12"/>
  <c r="U1755" i="12"/>
  <c r="T1756" i="12"/>
  <c r="U1756" i="12"/>
  <c r="T1757" i="12"/>
  <c r="U1757" i="12"/>
  <c r="T1758" i="12"/>
  <c r="U1758" i="12"/>
  <c r="T1759" i="12"/>
  <c r="U1759" i="12"/>
  <c r="T1760" i="12"/>
  <c r="U1760" i="12"/>
  <c r="T1761" i="12"/>
  <c r="U1761" i="12"/>
  <c r="T1762" i="12"/>
  <c r="U1762" i="12"/>
  <c r="T1763" i="12"/>
  <c r="U1763" i="12"/>
  <c r="T1764" i="12"/>
  <c r="U1764" i="12"/>
  <c r="T1765" i="12"/>
  <c r="U1765" i="12"/>
  <c r="T1766" i="12"/>
  <c r="U1766" i="12"/>
  <c r="T1767" i="12"/>
  <c r="U1767" i="12"/>
  <c r="T1768" i="12"/>
  <c r="U1768" i="12"/>
  <c r="T1769" i="12"/>
  <c r="U1769" i="12"/>
  <c r="T1770" i="12"/>
  <c r="U1770" i="12"/>
  <c r="T1771" i="12"/>
  <c r="U1771" i="12"/>
  <c r="T1772" i="12"/>
  <c r="U1772" i="12"/>
  <c r="T1773" i="12"/>
  <c r="U1773" i="12"/>
  <c r="T1774" i="12"/>
  <c r="U1774" i="12"/>
  <c r="T1775" i="12"/>
  <c r="U1775" i="12"/>
  <c r="T1776" i="12"/>
  <c r="U1776" i="12"/>
  <c r="T1777" i="12"/>
  <c r="U1777" i="12"/>
  <c r="T1778" i="12"/>
  <c r="U1778" i="12"/>
  <c r="T1779" i="12"/>
  <c r="U1779" i="12"/>
  <c r="T1780" i="12"/>
  <c r="U1780" i="12"/>
  <c r="T1781" i="12"/>
  <c r="U1781" i="12"/>
  <c r="T1782" i="12"/>
  <c r="U1782" i="12"/>
  <c r="T1783" i="12"/>
  <c r="U1783" i="12"/>
  <c r="T1784" i="12"/>
  <c r="U1784" i="12"/>
  <c r="T1785" i="12"/>
  <c r="U1785" i="12"/>
  <c r="T1786" i="12"/>
  <c r="U1786" i="12"/>
  <c r="T1787" i="12"/>
  <c r="U1787" i="12"/>
  <c r="T1788" i="12"/>
  <c r="U1788" i="12"/>
  <c r="T1789" i="12"/>
  <c r="U1789" i="12"/>
  <c r="T1790" i="12"/>
  <c r="U1790" i="12"/>
  <c r="T1791" i="12"/>
  <c r="U1791" i="12"/>
  <c r="T1792" i="12"/>
  <c r="U1792" i="12"/>
  <c r="T1793" i="12"/>
  <c r="U1793" i="12"/>
  <c r="T1794" i="12"/>
  <c r="U1794" i="12"/>
  <c r="T1795" i="12"/>
  <c r="U1795" i="12"/>
  <c r="T1796" i="12"/>
  <c r="U1796" i="12"/>
  <c r="T1797" i="12"/>
  <c r="U1797" i="12"/>
  <c r="T1798" i="12"/>
  <c r="U1798" i="12"/>
  <c r="T1799" i="12"/>
  <c r="U1799" i="12"/>
  <c r="T1800" i="12"/>
  <c r="U1800" i="12"/>
  <c r="T1801" i="12"/>
  <c r="U1801" i="12"/>
  <c r="T1802" i="12"/>
  <c r="U1802" i="12"/>
  <c r="T1803" i="12"/>
  <c r="U1803" i="12"/>
  <c r="T1804" i="12"/>
  <c r="U1804" i="12"/>
  <c r="T1805" i="12"/>
  <c r="U1805" i="12"/>
  <c r="T1806" i="12"/>
  <c r="U1806" i="12"/>
  <c r="T1807" i="12"/>
  <c r="U1807" i="12"/>
  <c r="T1808" i="12"/>
  <c r="U1808" i="12"/>
  <c r="T1809" i="12"/>
  <c r="U1809" i="12"/>
  <c r="T1810" i="12"/>
  <c r="U1810" i="12"/>
  <c r="T1811" i="12"/>
  <c r="U1811" i="12"/>
  <c r="T1812" i="12"/>
  <c r="U1812" i="12"/>
  <c r="T1813" i="12"/>
  <c r="U1813" i="12"/>
  <c r="T1814" i="12"/>
  <c r="U1814" i="12"/>
  <c r="T1815" i="12"/>
  <c r="U1815" i="12"/>
  <c r="T1816" i="12"/>
  <c r="U1816" i="12"/>
  <c r="T1817" i="12"/>
  <c r="U1817" i="12"/>
  <c r="T1818" i="12"/>
  <c r="U1818" i="12"/>
  <c r="T1819" i="12"/>
  <c r="U1819" i="12"/>
  <c r="T1820" i="12"/>
  <c r="U1820" i="12"/>
  <c r="T1821" i="12"/>
  <c r="U1821" i="12"/>
  <c r="T1822" i="12"/>
  <c r="U1822" i="12"/>
  <c r="T1823" i="12"/>
  <c r="U1823" i="12"/>
  <c r="T1824" i="12"/>
  <c r="U1824" i="12"/>
  <c r="T1825" i="12"/>
  <c r="U1825" i="12"/>
  <c r="T1826" i="12"/>
  <c r="U1826" i="12"/>
  <c r="T1827" i="12"/>
  <c r="U1827" i="12"/>
  <c r="T1828" i="12"/>
  <c r="U1828" i="12"/>
  <c r="T1829" i="12"/>
  <c r="U1829" i="12"/>
  <c r="T1830" i="12"/>
  <c r="U1830" i="12"/>
  <c r="T1831" i="12"/>
  <c r="U1831" i="12"/>
  <c r="T1832" i="12"/>
  <c r="U1832" i="12"/>
  <c r="T1833" i="12"/>
  <c r="U1833" i="12"/>
  <c r="T1834" i="12"/>
  <c r="U1834" i="12"/>
  <c r="T1835" i="12"/>
  <c r="U1835" i="12"/>
  <c r="T1836" i="12"/>
  <c r="U1836" i="12"/>
  <c r="T1837" i="12"/>
  <c r="U1837" i="12"/>
  <c r="T1838" i="12"/>
  <c r="U1838" i="12"/>
  <c r="T1839" i="12"/>
  <c r="U1839" i="12"/>
  <c r="T1840" i="12"/>
  <c r="U1840" i="12"/>
  <c r="T1841" i="12"/>
  <c r="U1841" i="12"/>
  <c r="T1842" i="12"/>
  <c r="U1842" i="12"/>
  <c r="T1843" i="12"/>
  <c r="U1843" i="12"/>
  <c r="T1844" i="12"/>
  <c r="U1844" i="12"/>
  <c r="T1845" i="12"/>
  <c r="U1845" i="12"/>
  <c r="T1846" i="12"/>
  <c r="U1846" i="12"/>
  <c r="T1847" i="12"/>
  <c r="U1847" i="12"/>
  <c r="T1848" i="12"/>
  <c r="U1848" i="12"/>
  <c r="T1849" i="12"/>
  <c r="U1849" i="12"/>
  <c r="T1850" i="12"/>
  <c r="U1850" i="12"/>
  <c r="T1851" i="12"/>
  <c r="U1851" i="12"/>
  <c r="T1852" i="12"/>
  <c r="U1852" i="12"/>
  <c r="T1853" i="12"/>
  <c r="U1853" i="12"/>
  <c r="T1854" i="12"/>
  <c r="U1854" i="12"/>
  <c r="T1855" i="12"/>
  <c r="U1855" i="12"/>
  <c r="T1856" i="12"/>
  <c r="U1856" i="12"/>
  <c r="T1857" i="12"/>
  <c r="U1857" i="12"/>
  <c r="T1858" i="12"/>
  <c r="U1858" i="12"/>
  <c r="T1859" i="12"/>
  <c r="U1859" i="12"/>
  <c r="T1860" i="12"/>
  <c r="U1860" i="12"/>
  <c r="T1861" i="12"/>
  <c r="U1861" i="12"/>
  <c r="T1862" i="12"/>
  <c r="U1862" i="12"/>
  <c r="T1863" i="12"/>
  <c r="U1863" i="12"/>
  <c r="T1864" i="12"/>
  <c r="U1864" i="12"/>
  <c r="T1865" i="12"/>
  <c r="U1865" i="12"/>
  <c r="T1866" i="12"/>
  <c r="U1866" i="12"/>
  <c r="T1867" i="12"/>
  <c r="U1867" i="12"/>
  <c r="T1868" i="12"/>
  <c r="U1868" i="12"/>
  <c r="T1869" i="12"/>
  <c r="U1869" i="12"/>
  <c r="T1870" i="12"/>
  <c r="U1870" i="12"/>
  <c r="T1871" i="12"/>
  <c r="U1871" i="12"/>
  <c r="T1872" i="12"/>
  <c r="U1872" i="12"/>
  <c r="T1873" i="12"/>
  <c r="U1873" i="12"/>
  <c r="T1874" i="12"/>
  <c r="U1874" i="12"/>
  <c r="T1875" i="12"/>
  <c r="U1875" i="12"/>
  <c r="T1876" i="12"/>
  <c r="U1876" i="12"/>
  <c r="T1877" i="12"/>
  <c r="U1877" i="12"/>
  <c r="T1878" i="12"/>
  <c r="U1878" i="12"/>
  <c r="T1879" i="12"/>
  <c r="U1879" i="12"/>
  <c r="T1880" i="12"/>
  <c r="U1880" i="12"/>
  <c r="T1881" i="12"/>
  <c r="U1881" i="12"/>
  <c r="T1882" i="12"/>
  <c r="U1882" i="12"/>
  <c r="T1883" i="12"/>
  <c r="U1883" i="12"/>
  <c r="T1884" i="12"/>
  <c r="U1884" i="12"/>
  <c r="T1885" i="12"/>
  <c r="U1885" i="12"/>
  <c r="T1886" i="12"/>
  <c r="U1886" i="12"/>
  <c r="T1887" i="12"/>
  <c r="U1887" i="12"/>
  <c r="T1888" i="12"/>
  <c r="U1888" i="12"/>
  <c r="T1889" i="12"/>
  <c r="U1889" i="12"/>
  <c r="T1890" i="12"/>
  <c r="U1890" i="12"/>
  <c r="T1891" i="12"/>
  <c r="U1891" i="12"/>
  <c r="T1892" i="12"/>
  <c r="U1892" i="12"/>
  <c r="T1893" i="12"/>
  <c r="U1893" i="12"/>
  <c r="T1894" i="12"/>
  <c r="U1894" i="12"/>
  <c r="T1895" i="12"/>
  <c r="U1895" i="12"/>
  <c r="T1896" i="12"/>
  <c r="U1896" i="12"/>
  <c r="T1897" i="12"/>
  <c r="U1897" i="12"/>
  <c r="T1898" i="12"/>
  <c r="U1898" i="12"/>
  <c r="T1899" i="12"/>
  <c r="U1899" i="12"/>
  <c r="T1900" i="12"/>
  <c r="U1900" i="12"/>
  <c r="T1901" i="12"/>
  <c r="U1901" i="12"/>
  <c r="T1902" i="12"/>
  <c r="U1902" i="12"/>
  <c r="T1903" i="12"/>
  <c r="U1903" i="12"/>
  <c r="T1904" i="12"/>
  <c r="U1904" i="12"/>
  <c r="T1905" i="12"/>
  <c r="U1905" i="12"/>
  <c r="T1906" i="12"/>
  <c r="U1906" i="12"/>
  <c r="T1907" i="12"/>
  <c r="U1907" i="12"/>
  <c r="T1908" i="12"/>
  <c r="U1908" i="12"/>
  <c r="T1909" i="12"/>
  <c r="U1909" i="12"/>
  <c r="T1910" i="12"/>
  <c r="U1910" i="12"/>
  <c r="T1911" i="12"/>
  <c r="U1911" i="12"/>
  <c r="T1912" i="12"/>
  <c r="U1912" i="12"/>
  <c r="T1913" i="12"/>
  <c r="U1913" i="12"/>
  <c r="T1914" i="12"/>
  <c r="U1914" i="12"/>
  <c r="T1915" i="12"/>
  <c r="U1915" i="12"/>
  <c r="T1916" i="12"/>
  <c r="U1916" i="12"/>
  <c r="T1917" i="12"/>
  <c r="U1917" i="12"/>
  <c r="T1918" i="12"/>
  <c r="U1918" i="12"/>
  <c r="T1919" i="12"/>
  <c r="U1919" i="12"/>
  <c r="T1920" i="12"/>
  <c r="U1920" i="12"/>
  <c r="T1921" i="12"/>
  <c r="U1921" i="12"/>
  <c r="T1922" i="12"/>
  <c r="U1922" i="12"/>
  <c r="T1923" i="12"/>
  <c r="U1923" i="12"/>
  <c r="T1924" i="12"/>
  <c r="U1924" i="12"/>
  <c r="T1925" i="12"/>
  <c r="U1925" i="12"/>
  <c r="T1926" i="12"/>
  <c r="U1926" i="12"/>
  <c r="T1927" i="12"/>
  <c r="U1927" i="12"/>
  <c r="T1928" i="12"/>
  <c r="U1928" i="12"/>
  <c r="T1929" i="12"/>
  <c r="U1929" i="12"/>
  <c r="T1930" i="12"/>
  <c r="U1930" i="12"/>
  <c r="T1931" i="12"/>
  <c r="U1931" i="12"/>
  <c r="T1932" i="12"/>
  <c r="U1932" i="12"/>
  <c r="T1933" i="12"/>
  <c r="U1933" i="12"/>
  <c r="T1934" i="12"/>
  <c r="U1934" i="12"/>
  <c r="T1935" i="12"/>
  <c r="U1935" i="12"/>
  <c r="T1936" i="12"/>
  <c r="U1936" i="12"/>
  <c r="T1937" i="12"/>
  <c r="U1937" i="12"/>
  <c r="T1938" i="12"/>
  <c r="U1938" i="12"/>
  <c r="T1939" i="12"/>
  <c r="U1939" i="12"/>
  <c r="T1940" i="12"/>
  <c r="U1940" i="12"/>
  <c r="T1941" i="12"/>
  <c r="U1941" i="12"/>
  <c r="T1942" i="12"/>
  <c r="U1942" i="12"/>
  <c r="T1943" i="12"/>
  <c r="U1943" i="12"/>
  <c r="T1944" i="12"/>
  <c r="U1944" i="12"/>
  <c r="T1945" i="12"/>
  <c r="U1945" i="12"/>
  <c r="T1946" i="12"/>
  <c r="U1946" i="12"/>
  <c r="T1947" i="12"/>
  <c r="U1947" i="12"/>
  <c r="T1948" i="12"/>
  <c r="U1948" i="12"/>
  <c r="T1949" i="12"/>
  <c r="U1949" i="12"/>
  <c r="T1950" i="12"/>
  <c r="U1950" i="12"/>
  <c r="T1951" i="12"/>
  <c r="U1951" i="12"/>
  <c r="T1952" i="12"/>
  <c r="U1952" i="12"/>
  <c r="T1953" i="12"/>
  <c r="U1953" i="12"/>
  <c r="T1954" i="12"/>
  <c r="U1954" i="12"/>
  <c r="T1955" i="12"/>
  <c r="U1955" i="12"/>
  <c r="T1956" i="12"/>
  <c r="U1956" i="12"/>
  <c r="T1957" i="12"/>
  <c r="U1957" i="12"/>
  <c r="T1958" i="12"/>
  <c r="U1958" i="12"/>
  <c r="T1959" i="12"/>
  <c r="U1959" i="12"/>
  <c r="T1960" i="12"/>
  <c r="U1960" i="12"/>
  <c r="T1961" i="12"/>
  <c r="U1961" i="12"/>
  <c r="T1962" i="12"/>
  <c r="U1962" i="12"/>
  <c r="T1963" i="12"/>
  <c r="U1963" i="12"/>
  <c r="T1964" i="12"/>
  <c r="U1964" i="12"/>
  <c r="T1965" i="12"/>
  <c r="U1965" i="12"/>
  <c r="T1966" i="12"/>
  <c r="U1966" i="12"/>
  <c r="T1967" i="12"/>
  <c r="U1967" i="12"/>
  <c r="T1968" i="12"/>
  <c r="U1968" i="12"/>
  <c r="T1969" i="12"/>
  <c r="U1969" i="12"/>
  <c r="T1970" i="12"/>
  <c r="U1970" i="12"/>
  <c r="T1971" i="12"/>
  <c r="U1971" i="12"/>
  <c r="T1972" i="12"/>
  <c r="U1972" i="12"/>
  <c r="T1973" i="12"/>
  <c r="U1973" i="12"/>
  <c r="T1974" i="12"/>
  <c r="U1974" i="12"/>
  <c r="T1975" i="12"/>
  <c r="U1975" i="12"/>
  <c r="T1976" i="12"/>
  <c r="U1976" i="12"/>
  <c r="T1977" i="12"/>
  <c r="U1977" i="12"/>
  <c r="T1978" i="12"/>
  <c r="U1978" i="12"/>
  <c r="T1979" i="12"/>
  <c r="U1979" i="12"/>
  <c r="T1980" i="12"/>
  <c r="U1980" i="12"/>
  <c r="T1981" i="12"/>
  <c r="U1981" i="12"/>
  <c r="T1982" i="12"/>
  <c r="U1982" i="12"/>
  <c r="T1983" i="12"/>
  <c r="U1983" i="12"/>
  <c r="T1984" i="12"/>
  <c r="U1984" i="12"/>
  <c r="T1985" i="12"/>
  <c r="U1985" i="12"/>
  <c r="T1986" i="12"/>
  <c r="U1986" i="12"/>
  <c r="T1987" i="12"/>
  <c r="U1987" i="12"/>
  <c r="T1988" i="12"/>
  <c r="U1988" i="12"/>
  <c r="T1989" i="12"/>
  <c r="U1989" i="12"/>
  <c r="T1990" i="12"/>
  <c r="U1990" i="12"/>
  <c r="T1991" i="12"/>
  <c r="U1991" i="12"/>
  <c r="T1992" i="12"/>
  <c r="U1992" i="12"/>
  <c r="T1993" i="12"/>
  <c r="U1993" i="12"/>
  <c r="T1994" i="12"/>
  <c r="U1994" i="12"/>
  <c r="T1995" i="12"/>
  <c r="U1995" i="12"/>
  <c r="T1996" i="12"/>
  <c r="U1996" i="12"/>
  <c r="T1997" i="12"/>
  <c r="U1997" i="12"/>
  <c r="T1998" i="12"/>
  <c r="U1998" i="12"/>
  <c r="T1999" i="12"/>
  <c r="U1999" i="12"/>
  <c r="T2000" i="12"/>
  <c r="U2000" i="12"/>
  <c r="T2001" i="12"/>
  <c r="U2001" i="12"/>
  <c r="T2002" i="12"/>
  <c r="U2002" i="12"/>
  <c r="T2003" i="12"/>
  <c r="U2003" i="12"/>
  <c r="T2004" i="12"/>
  <c r="U2004" i="12"/>
  <c r="T2005" i="12"/>
  <c r="U2005" i="12"/>
  <c r="T2006" i="12"/>
  <c r="U2006" i="12"/>
  <c r="T2007" i="12"/>
  <c r="U2007" i="12"/>
  <c r="T2008" i="12"/>
  <c r="U2008" i="12"/>
  <c r="T2009" i="12"/>
  <c r="U2009" i="12"/>
  <c r="T2010" i="12"/>
  <c r="U2010" i="12"/>
  <c r="T2011" i="12"/>
  <c r="U2011" i="12"/>
  <c r="T2012" i="12"/>
  <c r="U2012" i="12"/>
  <c r="T2013" i="12"/>
  <c r="U2013" i="12"/>
  <c r="T2014" i="12"/>
  <c r="U2014" i="12"/>
  <c r="T2015" i="12"/>
  <c r="U2015" i="12"/>
  <c r="T2016" i="12"/>
  <c r="U2016" i="12"/>
  <c r="T2017" i="12"/>
  <c r="U2017" i="12"/>
  <c r="T2018" i="12"/>
  <c r="U2018" i="12"/>
  <c r="T2019" i="12"/>
  <c r="U2019" i="12"/>
  <c r="T2020" i="12"/>
  <c r="U2020" i="12"/>
  <c r="T2021" i="12"/>
  <c r="U2021" i="12"/>
  <c r="T2022" i="12"/>
  <c r="U2022" i="12"/>
  <c r="T2023" i="12"/>
  <c r="U2023" i="12"/>
  <c r="T2024" i="12"/>
  <c r="U2024" i="12"/>
  <c r="T2025" i="12"/>
  <c r="U2025" i="12"/>
  <c r="T2026" i="12"/>
  <c r="U2026" i="12"/>
  <c r="T2027" i="12"/>
  <c r="U2027" i="12"/>
  <c r="T2028" i="12"/>
  <c r="U2028" i="12"/>
  <c r="T2029" i="12"/>
  <c r="U2029" i="12"/>
  <c r="T2030" i="12"/>
  <c r="U2030" i="12"/>
  <c r="T2031" i="12"/>
  <c r="U2031" i="12"/>
  <c r="T2032" i="12"/>
  <c r="U2032" i="12"/>
  <c r="T2033" i="12"/>
  <c r="U2033" i="12"/>
  <c r="T2034" i="12"/>
  <c r="U2034" i="12"/>
  <c r="T2035" i="12"/>
  <c r="U2035" i="12"/>
  <c r="T2036" i="12"/>
  <c r="U2036" i="12"/>
  <c r="T2037" i="12"/>
  <c r="U2037" i="12"/>
  <c r="T2038" i="12"/>
  <c r="U2038" i="12"/>
  <c r="T2039" i="12"/>
  <c r="U2039" i="12"/>
  <c r="T2040" i="12"/>
  <c r="U2040" i="12"/>
  <c r="T2041" i="12"/>
  <c r="U2041" i="12"/>
  <c r="T2042" i="12"/>
  <c r="U2042" i="12"/>
  <c r="T2043" i="12"/>
  <c r="U2043" i="12"/>
  <c r="T2044" i="12"/>
  <c r="U2044" i="12"/>
  <c r="T2045" i="12"/>
  <c r="U2045" i="12"/>
  <c r="T2046" i="12"/>
  <c r="U2046" i="12"/>
  <c r="T2047" i="12"/>
  <c r="U2047" i="12"/>
  <c r="T2048" i="12"/>
  <c r="U2048" i="12"/>
  <c r="T2049" i="12"/>
  <c r="U2049" i="12"/>
  <c r="T2050" i="12"/>
  <c r="U2050" i="12"/>
  <c r="T2051" i="12"/>
  <c r="U2051" i="12"/>
  <c r="T2052" i="12"/>
  <c r="U2052" i="12"/>
  <c r="T2053" i="12"/>
  <c r="U2053" i="12"/>
  <c r="T2054" i="12"/>
  <c r="U2054" i="12"/>
  <c r="T2055" i="12"/>
  <c r="U2055" i="12"/>
  <c r="T2056" i="12"/>
  <c r="U2056" i="12"/>
  <c r="T2057" i="12"/>
  <c r="U2057" i="12"/>
  <c r="T2058" i="12"/>
  <c r="U2058" i="12"/>
  <c r="T2059" i="12"/>
  <c r="U2059" i="12"/>
  <c r="T2060" i="12"/>
  <c r="U2060" i="12"/>
  <c r="T2061" i="12"/>
  <c r="U2061" i="12"/>
  <c r="T2062" i="12"/>
  <c r="U2062" i="12"/>
  <c r="T2063" i="12"/>
  <c r="U2063" i="12"/>
  <c r="T2064" i="12"/>
  <c r="U2064" i="12"/>
  <c r="T2065" i="12"/>
  <c r="U2065" i="12"/>
  <c r="T2066" i="12"/>
  <c r="U2066" i="12"/>
  <c r="T2067" i="12"/>
  <c r="U2067" i="12"/>
  <c r="T2068" i="12"/>
  <c r="U2068" i="12"/>
  <c r="T2069" i="12"/>
  <c r="U2069" i="12"/>
  <c r="T2070" i="12"/>
  <c r="U2070" i="12"/>
  <c r="T2071" i="12"/>
  <c r="U2071" i="12"/>
  <c r="T2072" i="12"/>
  <c r="U2072" i="12"/>
  <c r="T2073" i="12"/>
  <c r="U2073" i="12"/>
  <c r="T2074" i="12"/>
  <c r="U2074" i="12"/>
  <c r="T2075" i="12"/>
  <c r="U2075" i="12"/>
  <c r="T2076" i="12"/>
  <c r="U2076" i="12"/>
  <c r="T2077" i="12"/>
  <c r="U2077" i="12"/>
  <c r="T2078" i="12"/>
  <c r="U2078" i="12"/>
  <c r="T2079" i="12"/>
  <c r="U2079" i="12"/>
  <c r="T2080" i="12"/>
  <c r="U2080" i="12"/>
  <c r="T2081" i="12"/>
  <c r="U2081" i="12"/>
  <c r="T2082" i="12"/>
  <c r="U2082" i="12"/>
  <c r="T2083" i="12"/>
  <c r="U2083" i="12"/>
  <c r="T2084" i="12"/>
  <c r="U2084" i="12"/>
  <c r="T2085" i="12"/>
  <c r="U2085" i="12"/>
  <c r="T2086" i="12"/>
  <c r="U2086" i="12"/>
  <c r="T2087" i="12"/>
  <c r="U2087" i="12"/>
  <c r="T2088" i="12"/>
  <c r="U2088" i="12"/>
  <c r="T2089" i="12"/>
  <c r="U2089" i="12"/>
  <c r="T2090" i="12"/>
  <c r="U2090" i="12"/>
  <c r="T2091" i="12"/>
  <c r="U2091" i="12"/>
  <c r="T2092" i="12"/>
  <c r="U2092" i="12"/>
  <c r="T2093" i="12"/>
  <c r="U2093" i="12"/>
  <c r="T2094" i="12"/>
  <c r="U2094" i="12"/>
  <c r="T2095" i="12"/>
  <c r="U2095" i="12"/>
  <c r="T2096" i="12"/>
  <c r="U2096" i="12"/>
  <c r="T2097" i="12"/>
  <c r="U2097" i="12"/>
  <c r="T2098" i="12"/>
  <c r="U2098" i="12"/>
  <c r="T2099" i="12"/>
  <c r="U2099" i="12"/>
  <c r="T2100" i="12"/>
  <c r="U2100" i="12"/>
  <c r="T2101" i="12"/>
  <c r="U2101" i="12"/>
  <c r="T2102" i="12"/>
  <c r="U2102" i="12"/>
  <c r="T2103" i="12"/>
  <c r="U2103" i="12"/>
  <c r="T2104" i="12"/>
  <c r="U2104" i="12"/>
  <c r="T2105" i="12"/>
  <c r="U2105" i="12"/>
  <c r="T2106" i="12"/>
  <c r="U2106" i="12"/>
  <c r="T2107" i="12"/>
  <c r="U2107" i="12"/>
  <c r="T2108" i="12"/>
  <c r="U2108" i="12"/>
  <c r="T2109" i="12"/>
  <c r="U2109" i="12"/>
  <c r="T2110" i="12"/>
  <c r="U2110" i="12"/>
  <c r="T2111" i="12"/>
  <c r="U2111" i="12"/>
  <c r="T2112" i="12"/>
  <c r="U2112" i="12"/>
  <c r="T2113" i="12"/>
  <c r="U2113" i="12"/>
  <c r="T2114" i="12"/>
  <c r="U2114" i="12"/>
  <c r="T2115" i="12"/>
  <c r="U2115" i="12"/>
  <c r="T2116" i="12"/>
  <c r="U2116" i="12"/>
  <c r="T2117" i="12"/>
  <c r="U2117" i="12"/>
  <c r="T2118" i="12"/>
  <c r="U2118" i="12"/>
  <c r="T2119" i="12"/>
  <c r="U2119" i="12"/>
  <c r="T2120" i="12"/>
  <c r="U2120" i="12"/>
  <c r="T2121" i="12"/>
  <c r="U2121" i="12"/>
  <c r="T2122" i="12"/>
  <c r="U2122" i="12"/>
  <c r="T2123" i="12"/>
  <c r="U2123" i="12"/>
  <c r="T2124" i="12"/>
  <c r="U2124" i="12"/>
  <c r="T2125" i="12"/>
  <c r="U2125" i="12"/>
  <c r="T2126" i="12"/>
  <c r="U2126" i="12"/>
  <c r="T2127" i="12"/>
  <c r="U2127" i="12"/>
  <c r="T2128" i="12"/>
  <c r="U2128" i="12"/>
  <c r="T2129" i="12"/>
  <c r="U2129" i="12"/>
  <c r="T2130" i="12"/>
  <c r="U2130" i="12"/>
  <c r="T2131" i="12"/>
  <c r="U2131" i="12"/>
  <c r="T2132" i="12"/>
  <c r="U2132" i="12"/>
  <c r="T2133" i="12"/>
  <c r="U2133" i="12"/>
  <c r="T2134" i="12"/>
  <c r="U2134" i="12"/>
  <c r="T2135" i="12"/>
  <c r="U2135" i="12"/>
  <c r="T2136" i="12"/>
  <c r="U2136" i="12"/>
  <c r="T2137" i="12"/>
  <c r="U2137" i="12"/>
  <c r="T2138" i="12"/>
  <c r="U2138" i="12"/>
  <c r="T2139" i="12"/>
  <c r="U2139" i="12"/>
  <c r="T2140" i="12"/>
  <c r="U2140" i="12"/>
  <c r="T2141" i="12"/>
  <c r="U2141" i="12"/>
  <c r="T2142" i="12"/>
  <c r="U2142" i="12"/>
  <c r="T2143" i="12"/>
  <c r="U2143" i="12"/>
  <c r="T2144" i="12"/>
  <c r="U2144" i="12"/>
  <c r="T2145" i="12"/>
  <c r="U2145" i="12"/>
  <c r="T2146" i="12"/>
  <c r="U2146" i="12"/>
  <c r="T2147" i="12"/>
  <c r="U2147" i="12"/>
  <c r="T2148" i="12"/>
  <c r="U2148" i="12"/>
  <c r="T2149" i="12"/>
  <c r="U2149" i="12"/>
  <c r="T2150" i="12"/>
  <c r="U2150" i="12"/>
  <c r="T2151" i="12"/>
  <c r="U2151" i="12"/>
  <c r="T2152" i="12"/>
  <c r="U2152" i="12"/>
  <c r="T2153" i="12"/>
  <c r="U2153" i="12"/>
  <c r="T2154" i="12"/>
  <c r="U2154" i="12"/>
  <c r="T2155" i="12"/>
  <c r="U2155" i="12"/>
  <c r="T2156" i="12"/>
  <c r="U2156" i="12"/>
  <c r="T2157" i="12"/>
  <c r="U2157" i="12"/>
  <c r="T2158" i="12"/>
  <c r="U2158" i="12"/>
  <c r="T2159" i="12"/>
  <c r="U2159" i="12"/>
  <c r="T2160" i="12"/>
  <c r="U2160" i="12"/>
  <c r="T2161" i="12"/>
  <c r="U2161" i="12"/>
  <c r="T2162" i="12"/>
  <c r="U2162" i="12"/>
  <c r="T2163" i="12"/>
  <c r="U2163" i="12"/>
  <c r="T2164" i="12"/>
  <c r="U2164" i="12"/>
  <c r="T2165" i="12"/>
  <c r="U2165" i="12"/>
  <c r="T2166" i="12"/>
  <c r="U2166" i="12"/>
  <c r="T2167" i="12"/>
  <c r="U2167" i="12"/>
  <c r="T2168" i="12"/>
  <c r="U2168" i="12"/>
  <c r="T2169" i="12"/>
  <c r="U2169" i="12"/>
  <c r="T2170" i="12"/>
  <c r="U2170" i="12"/>
  <c r="T2171" i="12"/>
  <c r="U2171" i="12"/>
  <c r="T2172" i="12"/>
  <c r="U2172" i="12"/>
  <c r="T2173" i="12"/>
  <c r="U2173" i="12"/>
  <c r="T2174" i="12"/>
  <c r="U2174" i="12"/>
  <c r="T2175" i="12"/>
  <c r="U2175" i="12"/>
  <c r="T2176" i="12"/>
  <c r="U2176" i="12"/>
  <c r="T2177" i="12"/>
  <c r="U2177" i="12"/>
  <c r="T2178" i="12"/>
  <c r="U2178" i="12"/>
  <c r="T2179" i="12"/>
  <c r="U2179" i="12"/>
  <c r="T2180" i="12"/>
  <c r="U2180" i="12"/>
  <c r="T2181" i="12"/>
  <c r="U2181" i="12"/>
  <c r="T2182" i="12"/>
  <c r="U2182" i="12"/>
  <c r="T2183" i="12"/>
  <c r="U2183" i="12"/>
  <c r="T2184" i="12"/>
  <c r="U2184" i="12"/>
  <c r="T2185" i="12"/>
  <c r="U2185" i="12"/>
  <c r="T2186" i="12"/>
  <c r="U2186" i="12"/>
  <c r="T2187" i="12"/>
  <c r="U2187" i="12"/>
  <c r="T2188" i="12"/>
  <c r="U2188" i="12"/>
  <c r="T2189" i="12"/>
  <c r="U2189" i="12"/>
  <c r="T2190" i="12"/>
  <c r="U2190" i="12"/>
  <c r="T2191" i="12"/>
  <c r="U2191" i="12"/>
  <c r="T2192" i="12"/>
  <c r="U2192" i="12"/>
  <c r="T2193" i="12"/>
  <c r="U2193" i="12"/>
  <c r="T2194" i="12"/>
  <c r="U2194" i="12"/>
  <c r="T2195" i="12"/>
  <c r="U2195" i="12"/>
  <c r="T2196" i="12"/>
  <c r="U2196" i="12"/>
  <c r="T2197" i="12"/>
  <c r="U2197" i="12"/>
  <c r="T2198" i="12"/>
  <c r="U2198" i="12"/>
  <c r="T2199" i="12"/>
  <c r="U2199" i="12"/>
  <c r="T2200" i="12"/>
  <c r="U2200" i="12"/>
  <c r="T2201" i="12"/>
  <c r="U2201" i="12"/>
  <c r="T2202" i="12"/>
  <c r="U2202" i="12"/>
  <c r="T2203" i="12"/>
  <c r="U2203" i="12"/>
  <c r="T2204" i="12"/>
  <c r="U2204" i="12"/>
  <c r="T2205" i="12"/>
  <c r="U2205" i="12"/>
  <c r="T2206" i="12"/>
  <c r="U2206" i="12"/>
  <c r="T2207" i="12"/>
  <c r="U2207" i="12"/>
  <c r="T2208" i="12"/>
  <c r="U2208" i="12"/>
  <c r="T2209" i="12"/>
  <c r="U2209" i="12"/>
  <c r="T2210" i="12"/>
  <c r="U2210" i="12"/>
  <c r="T2211" i="12"/>
  <c r="U2211" i="12"/>
  <c r="T2212" i="12"/>
  <c r="U2212" i="12"/>
  <c r="T2213" i="12"/>
  <c r="U2213" i="12"/>
  <c r="T2214" i="12"/>
  <c r="U2214" i="12"/>
  <c r="T2215" i="12"/>
  <c r="U2215" i="12"/>
  <c r="T2216" i="12"/>
  <c r="U2216" i="12"/>
  <c r="T2217" i="12"/>
  <c r="U2217" i="12"/>
  <c r="T2218" i="12"/>
  <c r="U2218" i="12"/>
  <c r="T2219" i="12"/>
  <c r="U2219" i="12"/>
  <c r="T2220" i="12"/>
  <c r="U2220" i="12"/>
  <c r="T2221" i="12"/>
  <c r="U2221" i="12"/>
  <c r="T2222" i="12"/>
  <c r="U2222" i="12"/>
  <c r="T2223" i="12"/>
  <c r="U2223" i="12"/>
  <c r="T2224" i="12"/>
  <c r="U2224" i="12"/>
  <c r="T2225" i="12"/>
  <c r="U2225" i="12"/>
  <c r="T2226" i="12"/>
  <c r="U2226" i="12"/>
  <c r="T2227" i="12"/>
  <c r="U2227" i="12"/>
  <c r="T2228" i="12"/>
  <c r="U2228" i="12"/>
  <c r="T2229" i="12"/>
  <c r="U2229" i="12"/>
  <c r="T2230" i="12"/>
  <c r="U2230" i="12"/>
  <c r="T2231" i="12"/>
  <c r="U2231" i="12"/>
  <c r="T2232" i="12"/>
  <c r="U2232" i="12"/>
  <c r="T2233" i="12"/>
  <c r="U2233" i="12"/>
  <c r="T2234" i="12"/>
  <c r="U2234" i="12"/>
  <c r="T2235" i="12"/>
  <c r="U2235" i="12"/>
  <c r="T2236" i="12"/>
  <c r="U2236" i="12"/>
  <c r="T2237" i="12"/>
  <c r="U2237" i="12"/>
  <c r="T2238" i="12"/>
  <c r="U2238" i="12"/>
  <c r="T2239" i="12"/>
  <c r="U2239" i="12"/>
  <c r="T2240" i="12"/>
  <c r="U2240" i="12"/>
  <c r="T2241" i="12"/>
  <c r="U2241" i="12"/>
  <c r="T2242" i="12"/>
  <c r="U2242" i="12"/>
  <c r="T2243" i="12"/>
  <c r="U2243" i="12"/>
  <c r="T2244" i="12"/>
  <c r="U2244" i="12"/>
  <c r="T2245" i="12"/>
  <c r="U2245" i="12"/>
  <c r="T2246" i="12"/>
  <c r="U2246" i="12"/>
  <c r="T2247" i="12"/>
  <c r="U2247" i="12"/>
  <c r="T2248" i="12"/>
  <c r="U2248" i="12"/>
  <c r="T2249" i="12"/>
  <c r="U2249" i="12"/>
  <c r="T2250" i="12"/>
  <c r="U2250" i="12"/>
  <c r="T2251" i="12"/>
  <c r="U2251" i="12"/>
  <c r="T2252" i="12"/>
  <c r="U2252" i="12"/>
  <c r="T2253" i="12"/>
  <c r="U2253" i="12"/>
  <c r="T2254" i="12"/>
  <c r="U2254" i="12"/>
  <c r="T2255" i="12"/>
  <c r="U2255" i="12"/>
  <c r="T2256" i="12"/>
  <c r="U2256" i="12"/>
  <c r="T2257" i="12"/>
  <c r="U2257" i="12"/>
  <c r="T2258" i="12"/>
  <c r="U2258" i="12"/>
  <c r="T2259" i="12"/>
  <c r="U2259" i="12"/>
  <c r="T2260" i="12"/>
  <c r="U2260" i="12"/>
  <c r="T2261" i="12"/>
  <c r="U2261" i="12"/>
  <c r="T2262" i="12"/>
  <c r="U2262" i="12"/>
  <c r="T2263" i="12"/>
  <c r="U2263" i="12"/>
  <c r="T2264" i="12"/>
  <c r="U2264" i="12"/>
  <c r="T2265" i="12"/>
  <c r="U2265" i="12"/>
  <c r="T2266" i="12"/>
  <c r="U2266" i="12"/>
  <c r="T2267" i="12"/>
  <c r="U2267" i="12"/>
  <c r="T2268" i="12"/>
  <c r="U2268" i="12"/>
  <c r="T2269" i="12"/>
  <c r="U2269" i="12"/>
  <c r="T2270" i="12"/>
  <c r="U2270" i="12"/>
  <c r="T2271" i="12"/>
  <c r="U2271" i="12"/>
  <c r="T2272" i="12"/>
  <c r="U2272" i="12"/>
  <c r="T2273" i="12"/>
  <c r="U2273" i="12"/>
  <c r="T2274" i="12"/>
  <c r="U2274" i="12"/>
  <c r="T2275" i="12"/>
  <c r="U2275" i="12"/>
  <c r="T2276" i="12"/>
  <c r="U2276" i="12"/>
  <c r="T2277" i="12"/>
  <c r="U2277" i="12"/>
  <c r="T2278" i="12"/>
  <c r="U2278" i="12"/>
  <c r="T2279" i="12"/>
  <c r="U2279" i="12"/>
  <c r="T2280" i="12"/>
  <c r="U2280" i="12"/>
  <c r="T2281" i="12"/>
  <c r="U2281" i="12"/>
  <c r="T2282" i="12"/>
  <c r="U2282" i="12"/>
  <c r="T2283" i="12"/>
  <c r="U2283" i="12"/>
  <c r="T2284" i="12"/>
  <c r="U2284" i="12"/>
  <c r="T2285" i="12"/>
  <c r="U2285" i="12"/>
  <c r="T2286" i="12"/>
  <c r="U2286" i="12"/>
  <c r="T2287" i="12"/>
  <c r="U2287" i="12"/>
  <c r="T2288" i="12"/>
  <c r="U2288" i="12"/>
  <c r="T2289" i="12"/>
  <c r="U2289" i="12"/>
  <c r="T2290" i="12"/>
  <c r="U2290" i="12"/>
  <c r="T2291" i="12"/>
  <c r="U2291" i="12"/>
  <c r="T2292" i="12"/>
  <c r="U2292" i="12"/>
  <c r="T2293" i="12"/>
  <c r="U2293" i="12"/>
  <c r="T2294" i="12"/>
  <c r="U2294" i="12"/>
  <c r="T2295" i="12"/>
  <c r="U2295" i="12"/>
  <c r="T2296" i="12"/>
  <c r="U2296" i="12"/>
  <c r="T2297" i="12"/>
  <c r="U2297" i="12"/>
  <c r="T2298" i="12"/>
  <c r="U2298" i="12"/>
  <c r="T2299" i="12"/>
  <c r="U2299" i="12"/>
  <c r="T2300" i="12"/>
  <c r="U2300" i="12"/>
  <c r="T2301" i="12"/>
  <c r="U2301" i="12"/>
  <c r="T2302" i="12"/>
  <c r="U2302" i="12"/>
  <c r="T2303" i="12"/>
  <c r="U2303" i="12"/>
  <c r="T2304" i="12"/>
  <c r="U2304" i="12"/>
  <c r="T2305" i="12"/>
  <c r="U2305" i="12"/>
  <c r="T2306" i="12"/>
  <c r="U2306" i="12"/>
  <c r="T2307" i="12"/>
  <c r="U2307" i="12"/>
  <c r="T2308" i="12"/>
  <c r="U2308" i="12"/>
  <c r="T2309" i="12"/>
  <c r="U2309" i="12"/>
  <c r="T2310" i="12"/>
  <c r="U2310" i="12"/>
  <c r="T2311" i="12"/>
  <c r="U2311" i="12"/>
  <c r="T2312" i="12"/>
  <c r="U2312" i="12"/>
  <c r="T2313" i="12"/>
  <c r="U2313" i="12"/>
  <c r="T2314" i="12"/>
  <c r="U2314" i="12"/>
  <c r="T2315" i="12"/>
  <c r="U2315" i="12"/>
  <c r="T2316" i="12"/>
  <c r="U2316" i="12"/>
  <c r="T2317" i="12"/>
  <c r="U2317" i="12"/>
  <c r="T2318" i="12"/>
  <c r="U2318" i="12"/>
  <c r="T2319" i="12"/>
  <c r="U2319" i="12"/>
  <c r="T2320" i="12"/>
  <c r="U2320" i="12"/>
  <c r="T2321" i="12"/>
  <c r="U2321" i="12"/>
  <c r="T2322" i="12"/>
  <c r="U2322" i="12"/>
  <c r="T2323" i="12"/>
  <c r="U2323" i="12"/>
  <c r="T2324" i="12"/>
  <c r="U2324" i="12"/>
  <c r="T2325" i="12"/>
  <c r="U2325" i="12"/>
  <c r="T2326" i="12"/>
  <c r="U2326" i="12"/>
  <c r="T2327" i="12"/>
  <c r="U2327" i="12"/>
  <c r="T2328" i="12"/>
  <c r="U2328" i="12"/>
  <c r="T2329" i="12"/>
  <c r="U2329" i="12"/>
  <c r="T2330" i="12"/>
  <c r="U2330" i="12"/>
  <c r="T2331" i="12"/>
  <c r="U2331" i="12"/>
  <c r="T2332" i="12"/>
  <c r="U2332" i="12"/>
  <c r="T2333" i="12"/>
  <c r="U2333" i="12"/>
  <c r="T2334" i="12"/>
  <c r="U2334" i="12"/>
  <c r="T2335" i="12"/>
  <c r="U2335" i="12"/>
  <c r="T2336" i="12"/>
  <c r="U2336" i="12"/>
  <c r="T2337" i="12"/>
  <c r="U2337" i="12"/>
  <c r="T2338" i="12"/>
  <c r="U2338" i="12"/>
  <c r="T2339" i="12"/>
  <c r="U2339" i="12"/>
  <c r="T2340" i="12"/>
  <c r="U2340" i="12"/>
  <c r="T2341" i="12"/>
  <c r="U2341" i="12"/>
  <c r="T2342" i="12"/>
  <c r="U2342" i="12"/>
  <c r="T2343" i="12"/>
  <c r="U2343" i="12"/>
  <c r="T2344" i="12"/>
  <c r="U2344" i="12"/>
  <c r="T2345" i="12"/>
  <c r="U2345" i="12"/>
  <c r="T2346" i="12"/>
  <c r="U2346" i="12"/>
  <c r="T2347" i="12"/>
  <c r="U2347" i="12"/>
  <c r="T2348" i="12"/>
  <c r="U2348" i="12"/>
  <c r="T2349" i="12"/>
  <c r="U2349" i="12"/>
  <c r="T2350" i="12"/>
  <c r="U2350" i="12"/>
  <c r="T2351" i="12"/>
  <c r="U2351" i="12"/>
  <c r="T2352" i="12"/>
  <c r="U2352" i="12"/>
  <c r="T2353" i="12"/>
  <c r="U2353" i="12"/>
  <c r="T2354" i="12"/>
  <c r="U2354" i="12"/>
  <c r="T2355" i="12"/>
  <c r="U2355" i="12"/>
  <c r="T2356" i="12"/>
  <c r="U2356" i="12"/>
  <c r="T2357" i="12"/>
  <c r="U2357" i="12"/>
  <c r="T2358" i="12"/>
  <c r="U2358" i="12"/>
  <c r="T2359" i="12"/>
  <c r="U2359" i="12"/>
  <c r="T2360" i="12"/>
  <c r="U2360" i="12"/>
  <c r="T2361" i="12"/>
  <c r="U2361" i="12"/>
  <c r="T2362" i="12"/>
  <c r="U2362" i="12"/>
  <c r="T2363" i="12"/>
  <c r="U2363" i="12"/>
  <c r="T2364" i="12"/>
  <c r="U2364" i="12"/>
  <c r="T2365" i="12"/>
  <c r="U2365" i="12"/>
  <c r="T2366" i="12"/>
  <c r="U2366" i="12"/>
  <c r="T2367" i="12"/>
  <c r="U2367" i="12"/>
  <c r="T2368" i="12"/>
  <c r="U2368" i="12"/>
  <c r="T2369" i="12"/>
  <c r="U2369" i="12"/>
  <c r="T2370" i="12"/>
  <c r="U2370" i="12"/>
  <c r="T2371" i="12"/>
  <c r="U2371" i="12"/>
  <c r="T2372" i="12"/>
  <c r="U2372" i="12"/>
  <c r="T2373" i="12"/>
  <c r="U2373" i="12"/>
  <c r="T2374" i="12"/>
  <c r="U2374" i="12"/>
  <c r="T2375" i="12"/>
  <c r="U2375" i="12"/>
  <c r="T2376" i="12"/>
  <c r="U2376" i="12"/>
  <c r="T2377" i="12"/>
  <c r="U2377" i="12"/>
  <c r="T2378" i="12"/>
  <c r="U2378" i="12"/>
  <c r="T2379" i="12"/>
  <c r="U2379" i="12"/>
  <c r="T2380" i="12"/>
  <c r="U2380" i="12"/>
  <c r="T2381" i="12"/>
  <c r="U2381" i="12"/>
  <c r="T2382" i="12"/>
  <c r="U2382" i="12"/>
  <c r="T2383" i="12"/>
  <c r="U2383" i="12"/>
  <c r="T2384" i="12"/>
  <c r="U2384" i="12"/>
  <c r="T2385" i="12"/>
  <c r="U2385" i="12"/>
  <c r="T2386" i="12"/>
  <c r="U2386" i="12"/>
  <c r="T2387" i="12"/>
  <c r="U2387" i="12"/>
  <c r="T2388" i="12"/>
  <c r="U2388" i="12"/>
  <c r="T2389" i="12"/>
  <c r="U2389" i="12"/>
  <c r="T2390" i="12"/>
  <c r="U2390" i="12"/>
  <c r="T2391" i="12"/>
  <c r="U2391" i="12"/>
  <c r="T2392" i="12"/>
  <c r="U2392" i="12"/>
  <c r="T2393" i="12"/>
  <c r="U2393" i="12"/>
  <c r="T2394" i="12"/>
  <c r="U2394" i="12"/>
  <c r="T2395" i="12"/>
  <c r="U2395" i="12"/>
  <c r="T2396" i="12"/>
  <c r="U2396" i="12"/>
  <c r="T2397" i="12"/>
  <c r="U2397" i="12"/>
  <c r="T2398" i="12"/>
  <c r="U2398" i="12"/>
  <c r="T2399" i="12"/>
  <c r="U2399" i="12"/>
  <c r="T2400" i="12"/>
  <c r="U2400" i="12"/>
  <c r="T2401" i="12"/>
  <c r="U2401" i="12"/>
  <c r="T2402" i="12"/>
  <c r="U2402" i="12"/>
  <c r="T2403" i="12"/>
  <c r="U2403" i="12"/>
  <c r="T2404" i="12"/>
  <c r="U2404" i="12"/>
  <c r="T2405" i="12"/>
  <c r="U2405" i="12"/>
  <c r="T2406" i="12"/>
  <c r="U2406" i="12"/>
  <c r="T2407" i="12"/>
  <c r="U2407" i="12"/>
  <c r="T2408" i="12"/>
  <c r="U2408" i="12"/>
  <c r="T2409" i="12"/>
  <c r="U2409" i="12"/>
  <c r="T2410" i="12"/>
  <c r="U2410" i="12"/>
  <c r="T2411" i="12"/>
  <c r="U2411" i="12"/>
  <c r="T2412" i="12"/>
  <c r="U2412" i="12"/>
  <c r="T2413" i="12"/>
  <c r="U2413" i="12"/>
  <c r="T2414" i="12"/>
  <c r="U2414" i="12"/>
  <c r="T2415" i="12"/>
  <c r="U2415" i="12"/>
  <c r="T2416" i="12"/>
  <c r="U2416" i="12"/>
  <c r="T2417" i="12"/>
  <c r="U2417" i="12"/>
  <c r="T2418" i="12"/>
  <c r="U2418" i="12"/>
  <c r="T2419" i="12"/>
  <c r="U2419" i="12"/>
  <c r="T2420" i="12"/>
  <c r="U2420" i="12"/>
  <c r="T2421" i="12"/>
  <c r="U2421" i="12"/>
  <c r="T2422" i="12"/>
  <c r="U2422" i="12"/>
  <c r="T2423" i="12"/>
  <c r="U2423" i="12"/>
  <c r="T2424" i="12"/>
  <c r="U2424" i="12"/>
  <c r="T2425" i="12"/>
  <c r="U2425" i="12"/>
  <c r="T2426" i="12"/>
  <c r="U2426" i="12"/>
  <c r="T2427" i="12"/>
  <c r="U2427" i="12"/>
  <c r="T2428" i="12"/>
  <c r="U2428" i="12"/>
  <c r="T2429" i="12"/>
  <c r="U2429" i="12"/>
  <c r="T2430" i="12"/>
  <c r="U2430" i="12"/>
  <c r="T2431" i="12"/>
  <c r="U2431" i="12"/>
  <c r="T2432" i="12"/>
  <c r="U2432" i="12"/>
  <c r="T2433" i="12"/>
  <c r="U2433" i="12"/>
  <c r="T2434" i="12"/>
  <c r="U2434" i="12"/>
  <c r="T2435" i="12"/>
  <c r="U2435" i="12"/>
  <c r="T2436" i="12"/>
  <c r="U2436" i="12"/>
  <c r="T2437" i="12"/>
  <c r="U2437" i="12"/>
  <c r="T2438" i="12"/>
  <c r="U2438" i="12"/>
  <c r="T2439" i="12"/>
  <c r="U2439" i="12"/>
  <c r="T2440" i="12"/>
  <c r="U2440" i="12"/>
  <c r="T2441" i="12"/>
  <c r="U2441" i="12"/>
  <c r="T2442" i="12"/>
  <c r="U2442" i="12"/>
  <c r="T2443" i="12"/>
  <c r="U2443" i="12"/>
  <c r="T2444" i="12"/>
  <c r="U2444" i="12"/>
  <c r="T2445" i="12"/>
  <c r="U2445" i="12"/>
  <c r="T2446" i="12"/>
  <c r="U2446" i="12"/>
  <c r="T2447" i="12"/>
  <c r="U2447" i="12"/>
  <c r="T2448" i="12"/>
  <c r="U2448" i="12"/>
  <c r="T2449" i="12"/>
  <c r="U2449" i="12"/>
  <c r="T2450" i="12"/>
  <c r="U2450" i="12"/>
  <c r="T2451" i="12"/>
  <c r="U2451" i="12"/>
  <c r="T2452" i="12"/>
  <c r="U2452" i="12"/>
  <c r="T2453" i="12"/>
  <c r="U2453" i="12"/>
  <c r="T2454" i="12"/>
  <c r="U2454" i="12"/>
  <c r="T2455" i="12"/>
  <c r="U2455" i="12"/>
  <c r="T2456" i="12"/>
  <c r="U2456" i="12"/>
  <c r="T2457" i="12"/>
  <c r="U2457" i="12"/>
  <c r="T2458" i="12"/>
  <c r="U2458" i="12"/>
  <c r="T2459" i="12"/>
  <c r="U2459" i="12"/>
  <c r="T2460" i="12"/>
  <c r="U2460" i="12"/>
  <c r="T2461" i="12"/>
  <c r="U2461" i="12"/>
  <c r="T2462" i="12"/>
  <c r="U2462" i="12"/>
  <c r="T2463" i="12"/>
  <c r="U2463" i="12"/>
  <c r="T2464" i="12"/>
  <c r="U2464" i="12"/>
  <c r="T2465" i="12"/>
  <c r="U2465" i="12"/>
  <c r="T2466" i="12"/>
  <c r="U2466" i="12"/>
  <c r="T2467" i="12"/>
  <c r="U2467" i="12"/>
  <c r="T2468" i="12"/>
  <c r="U2468" i="12"/>
  <c r="T2469" i="12"/>
  <c r="U2469" i="12"/>
  <c r="T2470" i="12"/>
  <c r="U2470" i="12"/>
  <c r="T2471" i="12"/>
  <c r="U2471" i="12"/>
  <c r="T2472" i="12"/>
  <c r="U2472" i="12"/>
  <c r="T2473" i="12"/>
  <c r="U2473" i="12"/>
  <c r="T2474" i="12"/>
  <c r="U2474" i="12"/>
  <c r="T2475" i="12"/>
  <c r="U2475" i="12"/>
  <c r="T2476" i="12"/>
  <c r="U2476" i="12"/>
  <c r="T2477" i="12"/>
  <c r="U2477" i="12"/>
  <c r="T2478" i="12"/>
  <c r="U2478" i="12"/>
  <c r="T2479" i="12"/>
  <c r="U2479" i="12"/>
  <c r="T2480" i="12"/>
  <c r="U2480" i="12"/>
  <c r="T2481" i="12"/>
  <c r="U2481" i="12"/>
  <c r="T2482" i="12"/>
  <c r="U2482" i="12"/>
  <c r="T2483" i="12"/>
  <c r="U2483" i="12"/>
  <c r="T2484" i="12"/>
  <c r="U2484" i="12"/>
  <c r="T2485" i="12"/>
  <c r="U2485" i="12"/>
  <c r="T2486" i="12"/>
  <c r="U2486" i="12"/>
  <c r="T2487" i="12"/>
  <c r="U2487" i="12"/>
  <c r="T2488" i="12"/>
  <c r="U2488" i="12"/>
  <c r="T2489" i="12"/>
  <c r="U2489" i="12"/>
  <c r="T2490" i="12"/>
  <c r="U2490" i="12"/>
  <c r="T2491" i="12"/>
  <c r="U2491" i="12"/>
  <c r="T2492" i="12"/>
  <c r="U2492" i="12"/>
  <c r="T2493" i="12"/>
  <c r="U2493" i="12"/>
  <c r="T2494" i="12"/>
  <c r="U2494" i="12"/>
  <c r="T2495" i="12"/>
  <c r="U2495" i="12"/>
  <c r="T2496" i="12"/>
  <c r="U2496" i="12"/>
  <c r="T2497" i="12"/>
  <c r="U2497" i="12"/>
  <c r="T2498" i="12"/>
  <c r="U2498" i="12"/>
  <c r="T2499" i="12"/>
  <c r="U2499" i="12"/>
  <c r="T2500" i="12"/>
  <c r="U2500" i="12"/>
  <c r="T2501" i="12"/>
  <c r="U2501" i="12"/>
  <c r="T2502" i="12"/>
  <c r="U2502" i="12"/>
  <c r="T2503" i="12"/>
  <c r="U2503" i="12"/>
  <c r="T2504" i="12"/>
  <c r="U2504" i="12"/>
  <c r="T2505" i="12"/>
  <c r="U2505" i="12"/>
  <c r="T2506" i="12"/>
  <c r="U2506" i="12"/>
  <c r="T2507" i="12"/>
  <c r="U2507" i="12"/>
  <c r="T2508" i="12"/>
  <c r="U2508" i="12"/>
  <c r="T2509" i="12"/>
  <c r="U2509" i="12"/>
  <c r="T2510" i="12"/>
  <c r="U2510" i="12"/>
  <c r="T2511" i="12"/>
  <c r="U2511" i="12"/>
  <c r="T2512" i="12"/>
  <c r="U2512" i="12"/>
  <c r="T2513" i="12"/>
  <c r="U2513" i="12"/>
  <c r="T2514" i="12"/>
  <c r="U2514" i="12"/>
  <c r="T2515" i="12"/>
  <c r="U2515" i="12"/>
  <c r="T2516" i="12"/>
  <c r="U2516" i="12"/>
  <c r="T2517" i="12"/>
  <c r="U2517" i="12"/>
  <c r="T2518" i="12"/>
  <c r="U2518" i="12"/>
  <c r="T2519" i="12"/>
  <c r="U2519" i="12"/>
  <c r="T2520" i="12"/>
  <c r="U2520" i="12"/>
  <c r="T2521" i="12"/>
  <c r="U2521" i="12"/>
  <c r="T2522" i="12"/>
  <c r="U2522" i="12"/>
  <c r="T2523" i="12"/>
  <c r="U2523" i="12"/>
  <c r="T2524" i="12"/>
  <c r="U2524" i="12"/>
  <c r="T2525" i="12"/>
  <c r="U2525" i="12"/>
  <c r="T2526" i="12"/>
  <c r="U2526" i="12"/>
  <c r="T2527" i="12"/>
  <c r="U2527" i="12"/>
  <c r="T2528" i="12"/>
  <c r="U2528" i="12"/>
  <c r="T2529" i="12"/>
  <c r="U2529" i="12"/>
  <c r="T2530" i="12"/>
  <c r="U2530" i="12"/>
  <c r="T2531" i="12"/>
  <c r="U2531" i="12"/>
  <c r="T2532" i="12"/>
  <c r="U2532" i="12"/>
  <c r="T2533" i="12"/>
  <c r="U2533" i="12"/>
  <c r="T2534" i="12"/>
  <c r="U2534" i="12"/>
  <c r="T2535" i="12"/>
  <c r="U2535" i="12"/>
  <c r="T2536" i="12"/>
  <c r="U2536" i="12"/>
  <c r="T2537" i="12"/>
  <c r="U2537" i="12"/>
  <c r="T2538" i="12"/>
  <c r="U2538" i="12"/>
  <c r="T2539" i="12"/>
  <c r="U2539" i="12"/>
  <c r="T2540" i="12"/>
  <c r="U2540" i="12"/>
  <c r="T2541" i="12"/>
  <c r="U2541" i="12"/>
  <c r="T2542" i="12"/>
  <c r="U2542" i="12"/>
  <c r="T2543" i="12"/>
  <c r="U2543" i="12"/>
  <c r="T2544" i="12"/>
  <c r="U2544" i="12"/>
  <c r="T2545" i="12"/>
  <c r="U2545" i="12"/>
  <c r="T2546" i="12"/>
  <c r="U2546" i="12"/>
  <c r="T2547" i="12"/>
  <c r="U2547" i="12"/>
  <c r="T2548" i="12"/>
  <c r="U2548" i="12"/>
  <c r="T2549" i="12"/>
  <c r="U2549" i="12"/>
  <c r="T2550" i="12"/>
  <c r="U2550" i="12"/>
  <c r="T2551" i="12"/>
  <c r="U2551" i="12"/>
  <c r="T2552" i="12"/>
  <c r="U2552" i="12"/>
  <c r="T2553" i="12"/>
  <c r="U2553" i="12"/>
  <c r="T2554" i="12"/>
  <c r="U2554" i="12"/>
  <c r="T2555" i="12"/>
  <c r="U2555" i="12"/>
  <c r="T2556" i="12"/>
  <c r="U2556" i="12"/>
  <c r="T2557" i="12"/>
  <c r="U2557" i="12"/>
  <c r="T2558" i="12"/>
  <c r="U2558" i="12"/>
  <c r="T2559" i="12"/>
  <c r="U2559" i="12"/>
  <c r="T2560" i="12"/>
  <c r="U2560" i="12"/>
  <c r="T2561" i="12"/>
  <c r="U2561" i="12"/>
  <c r="T2562" i="12"/>
  <c r="U2562" i="12"/>
  <c r="T2563" i="12"/>
  <c r="U2563" i="12"/>
  <c r="T2564" i="12"/>
  <c r="U2564" i="12"/>
  <c r="T2565" i="12"/>
  <c r="U2565" i="12"/>
  <c r="T2566" i="12"/>
  <c r="U2566" i="12"/>
  <c r="T2567" i="12"/>
  <c r="U2567" i="12"/>
  <c r="T2568" i="12"/>
  <c r="U2568" i="12"/>
  <c r="T2569" i="12"/>
  <c r="U2569" i="12"/>
  <c r="T2570" i="12"/>
  <c r="U2570" i="12"/>
  <c r="T2571" i="12"/>
  <c r="U2571" i="12"/>
  <c r="T2572" i="12"/>
  <c r="U2572" i="12"/>
  <c r="T2573" i="12"/>
  <c r="U2573" i="12"/>
  <c r="T2574" i="12"/>
  <c r="U2574" i="12"/>
  <c r="T2575" i="12"/>
  <c r="U2575" i="12"/>
  <c r="T2576" i="12"/>
  <c r="U2576" i="12"/>
  <c r="T2577" i="12"/>
  <c r="U2577" i="12"/>
  <c r="T2578" i="12"/>
  <c r="U2578" i="12"/>
  <c r="T2579" i="12"/>
  <c r="U2579" i="12"/>
  <c r="T2580" i="12"/>
  <c r="U2580" i="12"/>
  <c r="T2581" i="12"/>
  <c r="U2581" i="12"/>
  <c r="T2582" i="12"/>
  <c r="U2582" i="12"/>
  <c r="T2583" i="12"/>
  <c r="U2583" i="12"/>
  <c r="T2584" i="12"/>
  <c r="U2584" i="12"/>
  <c r="T2585" i="12"/>
  <c r="U2585" i="12"/>
  <c r="T2586" i="12"/>
  <c r="U2586" i="12"/>
  <c r="T2587" i="12"/>
  <c r="U2587" i="12"/>
  <c r="T2588" i="12"/>
  <c r="U2588" i="12"/>
  <c r="T2589" i="12"/>
  <c r="U2589" i="12"/>
  <c r="T2590" i="12"/>
  <c r="U2590" i="12"/>
  <c r="T2591" i="12"/>
  <c r="U2591" i="12"/>
  <c r="T2592" i="12"/>
  <c r="U2592" i="12"/>
  <c r="T2593" i="12"/>
  <c r="U2593" i="12"/>
  <c r="T2594" i="12"/>
  <c r="U2594" i="12"/>
  <c r="T2595" i="12"/>
  <c r="U2595" i="12"/>
  <c r="T2596" i="12"/>
  <c r="U2596" i="12"/>
  <c r="T2597" i="12"/>
  <c r="U2597" i="12"/>
  <c r="T2598" i="12"/>
  <c r="U2598" i="12"/>
  <c r="T2599" i="12"/>
  <c r="U2599" i="12"/>
  <c r="T2600" i="12"/>
  <c r="U2600" i="12"/>
  <c r="T2601" i="12"/>
  <c r="U2601" i="12"/>
  <c r="T2602" i="12"/>
  <c r="U2602" i="12"/>
  <c r="T2603" i="12"/>
  <c r="U2603" i="12"/>
  <c r="T2604" i="12"/>
  <c r="U2604" i="12"/>
  <c r="T2605" i="12"/>
  <c r="U2605" i="12"/>
  <c r="T2606" i="12"/>
  <c r="U2606" i="12"/>
  <c r="T2607" i="12"/>
  <c r="U2607" i="12"/>
  <c r="T2608" i="12"/>
  <c r="U2608" i="12"/>
  <c r="T2609" i="12"/>
  <c r="U2609" i="12"/>
  <c r="T2610" i="12"/>
  <c r="U2610" i="12"/>
  <c r="T2611" i="12"/>
  <c r="U2611" i="12"/>
  <c r="T2612" i="12"/>
  <c r="U2612" i="12"/>
  <c r="T2613" i="12"/>
  <c r="U2613" i="12"/>
  <c r="T2614" i="12"/>
  <c r="U2614" i="12"/>
  <c r="T2615" i="12"/>
  <c r="U2615" i="12"/>
  <c r="T2616" i="12"/>
  <c r="U2616" i="12"/>
  <c r="T2617" i="12"/>
  <c r="U2617" i="12"/>
  <c r="T2618" i="12"/>
  <c r="U2618" i="12"/>
  <c r="T2619" i="12"/>
  <c r="U2619" i="12"/>
  <c r="T2620" i="12"/>
  <c r="U2620" i="12"/>
  <c r="T2621" i="12"/>
  <c r="U2621" i="12"/>
  <c r="T2622" i="12"/>
  <c r="U2622" i="12"/>
  <c r="T2623" i="12"/>
  <c r="U2623" i="12"/>
  <c r="T2624" i="12"/>
  <c r="U2624" i="12"/>
  <c r="T2625" i="12"/>
  <c r="U2625" i="12"/>
  <c r="T2626" i="12"/>
  <c r="U2626" i="12"/>
  <c r="T2627" i="12"/>
  <c r="U2627" i="12"/>
  <c r="T2628" i="12"/>
  <c r="U2628" i="12"/>
  <c r="T2629" i="12"/>
  <c r="U2629" i="12"/>
  <c r="T2630" i="12"/>
  <c r="U2630" i="12"/>
  <c r="T2631" i="12"/>
  <c r="U2631" i="12"/>
  <c r="T2632" i="12"/>
  <c r="U2632" i="12"/>
  <c r="T2633" i="12"/>
  <c r="U2633" i="12"/>
  <c r="T2634" i="12"/>
  <c r="U2634" i="12"/>
  <c r="T2635" i="12"/>
  <c r="U2635" i="12"/>
  <c r="T2636" i="12"/>
  <c r="U2636" i="12"/>
  <c r="T2637" i="12"/>
  <c r="U2637" i="12"/>
  <c r="T2638" i="12"/>
  <c r="U2638" i="12"/>
  <c r="T2639" i="12"/>
  <c r="U2639" i="12"/>
  <c r="T2640" i="12"/>
  <c r="U2640" i="12"/>
  <c r="T2641" i="12"/>
  <c r="U2641" i="12"/>
  <c r="T2642" i="12"/>
  <c r="U2642" i="12"/>
  <c r="T2643" i="12"/>
  <c r="U2643" i="12"/>
  <c r="T2644" i="12"/>
  <c r="U2644" i="12"/>
  <c r="T2645" i="12"/>
  <c r="U2645" i="12"/>
  <c r="T2646" i="12"/>
  <c r="U2646" i="12"/>
  <c r="T2647" i="12"/>
  <c r="U2647" i="12"/>
  <c r="T2648" i="12"/>
  <c r="U2648" i="12"/>
  <c r="T2649" i="12"/>
  <c r="U2649" i="12"/>
  <c r="T2650" i="12"/>
  <c r="U2650" i="12"/>
  <c r="T2651" i="12"/>
  <c r="U2651" i="12"/>
  <c r="T2652" i="12"/>
  <c r="U2652" i="12"/>
  <c r="T2653" i="12"/>
  <c r="U2653" i="12"/>
  <c r="T2654" i="12"/>
  <c r="U2654" i="12"/>
  <c r="T2655" i="12"/>
  <c r="U2655" i="12"/>
  <c r="T2656" i="12"/>
  <c r="U2656" i="12"/>
  <c r="T2657" i="12"/>
  <c r="U2657" i="12"/>
  <c r="T2658" i="12"/>
  <c r="U2658" i="12"/>
  <c r="T2659" i="12"/>
  <c r="U2659" i="12"/>
  <c r="T2660" i="12"/>
  <c r="U2660" i="12"/>
  <c r="T2661" i="12"/>
  <c r="U2661" i="12"/>
  <c r="T2662" i="12"/>
  <c r="U2662" i="12"/>
  <c r="T2663" i="12"/>
  <c r="U2663" i="12"/>
  <c r="T2664" i="12"/>
  <c r="U2664" i="12"/>
  <c r="T2665" i="12"/>
  <c r="U2665" i="12"/>
  <c r="T2666" i="12"/>
  <c r="U2666" i="12"/>
  <c r="T2667" i="12"/>
  <c r="U2667" i="12"/>
  <c r="T2668" i="12"/>
  <c r="U2668" i="12"/>
  <c r="T2669" i="12"/>
  <c r="U2669" i="12"/>
  <c r="T2670" i="12"/>
  <c r="U2670" i="12"/>
  <c r="T2671" i="12"/>
  <c r="U2671" i="12"/>
  <c r="T2672" i="12"/>
  <c r="U2672" i="12"/>
  <c r="T2673" i="12"/>
  <c r="U2673" i="12"/>
  <c r="T2674" i="12"/>
  <c r="U2674" i="12"/>
  <c r="T2675" i="12"/>
  <c r="U2675" i="12"/>
  <c r="T2676" i="12"/>
  <c r="U2676" i="12"/>
  <c r="T2677" i="12"/>
  <c r="U2677" i="12"/>
  <c r="T2678" i="12"/>
  <c r="U2678" i="12"/>
  <c r="T2679" i="12"/>
  <c r="U2679" i="12"/>
  <c r="T2680" i="12"/>
  <c r="U2680" i="12"/>
  <c r="T2681" i="12"/>
  <c r="U2681" i="12"/>
  <c r="T2682" i="12"/>
  <c r="U2682" i="12"/>
  <c r="T2683" i="12"/>
  <c r="U2683" i="12"/>
  <c r="T2684" i="12"/>
  <c r="U2684" i="12"/>
  <c r="T2685" i="12"/>
  <c r="U2685" i="12"/>
  <c r="T2686" i="12"/>
  <c r="U2686" i="12"/>
  <c r="T2687" i="12"/>
  <c r="U2687" i="12"/>
  <c r="T2688" i="12"/>
  <c r="U2688" i="12"/>
  <c r="T2689" i="12"/>
  <c r="U2689" i="12"/>
  <c r="T2690" i="12"/>
  <c r="U2690" i="12"/>
  <c r="T2691" i="12"/>
  <c r="U2691" i="12"/>
  <c r="T2692" i="12"/>
  <c r="U2692" i="12"/>
  <c r="T2693" i="12"/>
  <c r="U2693" i="12"/>
  <c r="T2694" i="12"/>
  <c r="U2694" i="12"/>
  <c r="T2695" i="12"/>
  <c r="U2695" i="12"/>
  <c r="T2696" i="12"/>
  <c r="U2696" i="12"/>
  <c r="T2697" i="12"/>
  <c r="U2697" i="12"/>
  <c r="T2698" i="12"/>
  <c r="U2698" i="12"/>
  <c r="T2699" i="12"/>
  <c r="U2699" i="12"/>
  <c r="T2700" i="12"/>
  <c r="U2700" i="12"/>
  <c r="T2701" i="12"/>
  <c r="U2701" i="12"/>
  <c r="T2702" i="12"/>
  <c r="U2702" i="12"/>
  <c r="T2703" i="12"/>
  <c r="U2703" i="12"/>
  <c r="T2704" i="12"/>
  <c r="U2704" i="12"/>
  <c r="T2705" i="12"/>
  <c r="U2705" i="12"/>
  <c r="T2706" i="12"/>
  <c r="U2706" i="12"/>
  <c r="T2707" i="12"/>
  <c r="U2707" i="12"/>
  <c r="T2708" i="12"/>
  <c r="U2708" i="12"/>
  <c r="T2709" i="12"/>
  <c r="U2709" i="12"/>
  <c r="T2710" i="12"/>
  <c r="U2710" i="12"/>
  <c r="T2711" i="12"/>
  <c r="U2711" i="12"/>
  <c r="T2712" i="12"/>
  <c r="U2712" i="12"/>
  <c r="T2713" i="12"/>
  <c r="U2713" i="12"/>
  <c r="T2714" i="12"/>
  <c r="U2714" i="12"/>
  <c r="T2715" i="12"/>
  <c r="U2715" i="12"/>
  <c r="T2716" i="12"/>
  <c r="U2716" i="12"/>
  <c r="T2717" i="12"/>
  <c r="U2717" i="12"/>
  <c r="T2718" i="12"/>
  <c r="U2718" i="12"/>
  <c r="T2719" i="12"/>
  <c r="U2719" i="12"/>
  <c r="T2720" i="12"/>
  <c r="U2720" i="12"/>
  <c r="T2721" i="12"/>
  <c r="U2721" i="12"/>
  <c r="T2722" i="12"/>
  <c r="U2722" i="12"/>
  <c r="T2723" i="12"/>
  <c r="U2723" i="12"/>
  <c r="T2724" i="12"/>
  <c r="U2724" i="12"/>
  <c r="T2725" i="12"/>
  <c r="U2725" i="12"/>
  <c r="T2726" i="12"/>
  <c r="U2726" i="12"/>
  <c r="T2727" i="12"/>
  <c r="U2727" i="12"/>
  <c r="T2728" i="12"/>
  <c r="U2728" i="12"/>
  <c r="T2729" i="12"/>
  <c r="U2729" i="12"/>
  <c r="T2730" i="12"/>
  <c r="U2730" i="12"/>
  <c r="T2731" i="12"/>
  <c r="U2731" i="12"/>
  <c r="T2732" i="12"/>
  <c r="U2732" i="12"/>
  <c r="T2733" i="12"/>
  <c r="U2733" i="12"/>
  <c r="T2734" i="12"/>
  <c r="U2734" i="12"/>
  <c r="T2735" i="12"/>
  <c r="U2735" i="12"/>
  <c r="T2736" i="12"/>
  <c r="U2736" i="12"/>
  <c r="T2737" i="12"/>
  <c r="U2737" i="12"/>
  <c r="T2738" i="12"/>
  <c r="U2738" i="12"/>
  <c r="T2739" i="12"/>
  <c r="U2739" i="12"/>
  <c r="T2740" i="12"/>
  <c r="U2740" i="12"/>
  <c r="T2741" i="12"/>
  <c r="U2741" i="12"/>
  <c r="T2742" i="12"/>
  <c r="U2742" i="12"/>
  <c r="T2743" i="12"/>
  <c r="U2743" i="12"/>
  <c r="T2744" i="12"/>
  <c r="U2744" i="12"/>
  <c r="T2745" i="12"/>
  <c r="U2745" i="12"/>
  <c r="T2746" i="12"/>
  <c r="U2746" i="12"/>
  <c r="T2747" i="12"/>
  <c r="U2747" i="12"/>
  <c r="T2748" i="12"/>
  <c r="U2748" i="12"/>
  <c r="T2749" i="12"/>
  <c r="U2749" i="12"/>
  <c r="T2750" i="12"/>
  <c r="U2750" i="12"/>
  <c r="T2751" i="12"/>
  <c r="U2751" i="12"/>
  <c r="T2752" i="12"/>
  <c r="U2752" i="12"/>
  <c r="T2753" i="12"/>
  <c r="U2753" i="12"/>
  <c r="T2754" i="12"/>
  <c r="U2754" i="12"/>
  <c r="T2755" i="12"/>
  <c r="U2755" i="12"/>
  <c r="T2756" i="12"/>
  <c r="U2756" i="12"/>
  <c r="T2757" i="12"/>
  <c r="U2757" i="12"/>
  <c r="T2758" i="12"/>
  <c r="U2758" i="12"/>
  <c r="T2759" i="12"/>
  <c r="U2759" i="12"/>
  <c r="T2760" i="12"/>
  <c r="U2760" i="12"/>
  <c r="T2761" i="12"/>
  <c r="U2761" i="12"/>
  <c r="T2762" i="12"/>
  <c r="U2762" i="12"/>
  <c r="T2763" i="12"/>
  <c r="U2763" i="12"/>
  <c r="T2764" i="12"/>
  <c r="U2764" i="12"/>
  <c r="T2765" i="12"/>
  <c r="U2765" i="12"/>
  <c r="T2766" i="12"/>
  <c r="U2766" i="12"/>
  <c r="T2767" i="12"/>
  <c r="U2767" i="12"/>
  <c r="T2768" i="12"/>
  <c r="U2768" i="12"/>
  <c r="T2769" i="12"/>
  <c r="U2769" i="12"/>
  <c r="T2770" i="12"/>
  <c r="U2770" i="12"/>
  <c r="T2771" i="12"/>
  <c r="U2771" i="12"/>
  <c r="T2772" i="12"/>
  <c r="U2772" i="12"/>
  <c r="T2773" i="12"/>
  <c r="U2773" i="12"/>
  <c r="T2774" i="12"/>
  <c r="U2774" i="12"/>
  <c r="T2775" i="12"/>
  <c r="U2775" i="12"/>
  <c r="T2776" i="12"/>
  <c r="U2776" i="12"/>
  <c r="T2777" i="12"/>
  <c r="U2777" i="12"/>
  <c r="T2778" i="12"/>
  <c r="U2778" i="12"/>
  <c r="T2779" i="12"/>
  <c r="U2779" i="12"/>
  <c r="T2780" i="12"/>
  <c r="U2780" i="12"/>
  <c r="T2781" i="12"/>
  <c r="U2781" i="12"/>
  <c r="T2782" i="12"/>
  <c r="U2782" i="12"/>
  <c r="T2783" i="12"/>
  <c r="U2783" i="12"/>
  <c r="T2784" i="12"/>
  <c r="U2784" i="12"/>
  <c r="T2785" i="12"/>
  <c r="U2785" i="12"/>
  <c r="T2786" i="12"/>
  <c r="U2786" i="12"/>
  <c r="T2787" i="12"/>
  <c r="U2787" i="12"/>
  <c r="T2788" i="12"/>
  <c r="U2788" i="12"/>
  <c r="T2789" i="12"/>
  <c r="U2789" i="12"/>
  <c r="T2790" i="12"/>
  <c r="U2790" i="12"/>
  <c r="T2791" i="12"/>
  <c r="U2791" i="12"/>
  <c r="T2792" i="12"/>
  <c r="U2792" i="12"/>
  <c r="T2793" i="12"/>
  <c r="U2793" i="12"/>
  <c r="T2794" i="12"/>
  <c r="U2794" i="12"/>
  <c r="T2795" i="12"/>
  <c r="U2795" i="12"/>
  <c r="T2796" i="12"/>
  <c r="U2796" i="12"/>
  <c r="T2797" i="12"/>
  <c r="U2797" i="12"/>
  <c r="T2798" i="12"/>
  <c r="U2798" i="12"/>
  <c r="T2799" i="12"/>
  <c r="U2799" i="12"/>
  <c r="T2800" i="12"/>
  <c r="U2800" i="12"/>
  <c r="T2801" i="12"/>
  <c r="U2801" i="12"/>
  <c r="T2802" i="12"/>
  <c r="U2802" i="12"/>
  <c r="T2803" i="12"/>
  <c r="U2803" i="12"/>
  <c r="T2804" i="12"/>
  <c r="U2804" i="12"/>
  <c r="T2805" i="12"/>
  <c r="U2805" i="12"/>
  <c r="T2806" i="12"/>
  <c r="U2806" i="12"/>
  <c r="T2807" i="12"/>
  <c r="U2807" i="12"/>
  <c r="T2808" i="12"/>
  <c r="U2808" i="12"/>
  <c r="T2809" i="12"/>
  <c r="U2809" i="12"/>
  <c r="T2810" i="12"/>
  <c r="U2810" i="12"/>
  <c r="T2811" i="12"/>
  <c r="U2811" i="12"/>
  <c r="T2812" i="12"/>
  <c r="U2812" i="12"/>
  <c r="T2813" i="12"/>
  <c r="U2813" i="12"/>
  <c r="T2814" i="12"/>
  <c r="U2814" i="12"/>
  <c r="T2815" i="12"/>
  <c r="U2815" i="12"/>
  <c r="T2816" i="12"/>
  <c r="U2816" i="12"/>
  <c r="T2817" i="12"/>
  <c r="U2817" i="12"/>
  <c r="T2818" i="12"/>
  <c r="U2818" i="12"/>
  <c r="T2819" i="12"/>
  <c r="U2819" i="12"/>
  <c r="T2820" i="12"/>
  <c r="U2820" i="12"/>
  <c r="T2821" i="12"/>
  <c r="U2821" i="12"/>
  <c r="T2822" i="12"/>
  <c r="U2822" i="12"/>
  <c r="T2823" i="12"/>
  <c r="U2823" i="12"/>
  <c r="T2824" i="12"/>
  <c r="U2824" i="12"/>
  <c r="T2825" i="12"/>
  <c r="U2825" i="12"/>
  <c r="T2826" i="12"/>
  <c r="U2826" i="12"/>
  <c r="T2827" i="12"/>
  <c r="U2827" i="12"/>
  <c r="T2828" i="12"/>
  <c r="U2828" i="12"/>
  <c r="T2829" i="12"/>
  <c r="U2829" i="12"/>
  <c r="T2830" i="12"/>
  <c r="U2830" i="12"/>
  <c r="T2831" i="12"/>
  <c r="U2831" i="12"/>
  <c r="T2832" i="12"/>
  <c r="U2832" i="12"/>
  <c r="T2833" i="12"/>
  <c r="U2833" i="12"/>
  <c r="T2834" i="12"/>
  <c r="U2834" i="12"/>
  <c r="T2835" i="12"/>
  <c r="U2835" i="12"/>
  <c r="T2836" i="12"/>
  <c r="U2836" i="12"/>
  <c r="T2837" i="12"/>
  <c r="U2837" i="12"/>
  <c r="T2838" i="12"/>
  <c r="U2838" i="12"/>
  <c r="T2839" i="12"/>
  <c r="U2839" i="12"/>
  <c r="T2840" i="12"/>
  <c r="U2840" i="12"/>
  <c r="T2841" i="12"/>
  <c r="U2841" i="12"/>
  <c r="T2842" i="12"/>
  <c r="U2842" i="12"/>
  <c r="T2843" i="12"/>
  <c r="U2843" i="12"/>
  <c r="T2844" i="12"/>
  <c r="U2844" i="12"/>
  <c r="T2845" i="12"/>
  <c r="U2845" i="12"/>
  <c r="T2846" i="12"/>
  <c r="U2846" i="12"/>
  <c r="T2847" i="12"/>
  <c r="U2847" i="12"/>
  <c r="T2848" i="12"/>
  <c r="U2848" i="12"/>
  <c r="T2849" i="12"/>
  <c r="U2849" i="12"/>
  <c r="T2850" i="12"/>
  <c r="U2850" i="12"/>
  <c r="T2851" i="12"/>
  <c r="U2851" i="12"/>
  <c r="T2852" i="12"/>
  <c r="U2852" i="12"/>
  <c r="T2853" i="12"/>
  <c r="U2853" i="12"/>
  <c r="T2854" i="12"/>
  <c r="U2854" i="12"/>
  <c r="T2855" i="12"/>
  <c r="U2855" i="12"/>
  <c r="T2856" i="12"/>
  <c r="U2856" i="12"/>
  <c r="T2857" i="12"/>
  <c r="U2857" i="12"/>
  <c r="T2858" i="12"/>
  <c r="U2858" i="12"/>
  <c r="T2859" i="12"/>
  <c r="U2859" i="12"/>
  <c r="T2860" i="12"/>
  <c r="U2860" i="12"/>
  <c r="T2861" i="12"/>
  <c r="U2861" i="12"/>
  <c r="T2862" i="12"/>
  <c r="U2862" i="12"/>
  <c r="T2863" i="12"/>
  <c r="U2863" i="12"/>
  <c r="T2864" i="12"/>
  <c r="U2864" i="12"/>
  <c r="T2865" i="12"/>
  <c r="U2865" i="12"/>
  <c r="T2866" i="12"/>
  <c r="U2866" i="12"/>
  <c r="T2867" i="12"/>
  <c r="U2867" i="12"/>
  <c r="T2868" i="12"/>
  <c r="U2868" i="12"/>
  <c r="T2869" i="12"/>
  <c r="U2869" i="12"/>
  <c r="T2870" i="12"/>
  <c r="U2870" i="12"/>
  <c r="T2871" i="12"/>
  <c r="U2871" i="12"/>
  <c r="T2872" i="12"/>
  <c r="U2872" i="12"/>
  <c r="T2873" i="12"/>
  <c r="U2873" i="12"/>
  <c r="T2874" i="12"/>
  <c r="U2874" i="12"/>
  <c r="T2875" i="12"/>
  <c r="U2875" i="12"/>
  <c r="T2876" i="12"/>
  <c r="U2876" i="12"/>
  <c r="T2877" i="12"/>
  <c r="U2877" i="12"/>
  <c r="T2878" i="12"/>
  <c r="U2878" i="12"/>
  <c r="T2879" i="12"/>
  <c r="U2879" i="12"/>
  <c r="T2880" i="12"/>
  <c r="U2880" i="12"/>
  <c r="T2881" i="12"/>
  <c r="U2881" i="12"/>
  <c r="T2882" i="12"/>
  <c r="U2882" i="12"/>
  <c r="T2883" i="12"/>
  <c r="U2883" i="12"/>
  <c r="T2884" i="12"/>
  <c r="U2884" i="12"/>
  <c r="T2885" i="12"/>
  <c r="U2885" i="12"/>
  <c r="T2886" i="12"/>
  <c r="U2886" i="12"/>
  <c r="T2887" i="12"/>
  <c r="U2887" i="12"/>
  <c r="T2888" i="12"/>
  <c r="U2888" i="12"/>
  <c r="T2889" i="12"/>
  <c r="U2889" i="12"/>
  <c r="T2890" i="12"/>
  <c r="U2890" i="12"/>
  <c r="T2891" i="12"/>
  <c r="U2891" i="12"/>
  <c r="T2892" i="12"/>
  <c r="U2892" i="12"/>
  <c r="T2893" i="12"/>
  <c r="U2893" i="12"/>
  <c r="T2894" i="12"/>
  <c r="U2894" i="12"/>
  <c r="T2895" i="12"/>
  <c r="U2895" i="12"/>
  <c r="T2896" i="12"/>
  <c r="U2896" i="12"/>
  <c r="T2897" i="12"/>
  <c r="U2897" i="12"/>
  <c r="T2898" i="12"/>
  <c r="U2898" i="12"/>
  <c r="T2899" i="12"/>
  <c r="U2899" i="12"/>
  <c r="T2900" i="12"/>
  <c r="U2900" i="12"/>
  <c r="T2901" i="12"/>
  <c r="U2901" i="12"/>
  <c r="T2902" i="12"/>
  <c r="U2902" i="12"/>
  <c r="T2903" i="12"/>
  <c r="U2903" i="12"/>
  <c r="T2904" i="12"/>
  <c r="U2904" i="12"/>
  <c r="T2905" i="12"/>
  <c r="U2905" i="12"/>
  <c r="T2906" i="12"/>
  <c r="U2906" i="12"/>
  <c r="T2907" i="12"/>
  <c r="U2907" i="12"/>
  <c r="T2908" i="12"/>
  <c r="U2908" i="12"/>
  <c r="T2909" i="12"/>
  <c r="U2909" i="12"/>
  <c r="T2910" i="12"/>
  <c r="U2910" i="12"/>
  <c r="T2911" i="12"/>
  <c r="U2911" i="12"/>
  <c r="T2912" i="12"/>
  <c r="U2912" i="12"/>
  <c r="T2913" i="12"/>
  <c r="U2913" i="12"/>
  <c r="T2914" i="12"/>
  <c r="U2914" i="12"/>
  <c r="T2915" i="12"/>
  <c r="U2915" i="12"/>
  <c r="T2916" i="12"/>
  <c r="U2916" i="12"/>
  <c r="T2917" i="12"/>
  <c r="U2917" i="12"/>
  <c r="T2918" i="12"/>
  <c r="U2918" i="12"/>
  <c r="T2919" i="12"/>
  <c r="U2919" i="12"/>
  <c r="T2920" i="12"/>
  <c r="U2920" i="12"/>
  <c r="T2921" i="12"/>
  <c r="U2921" i="12"/>
  <c r="T2922" i="12"/>
  <c r="U2922" i="12"/>
  <c r="T2923" i="12"/>
  <c r="U2923" i="12"/>
  <c r="T2924" i="12"/>
  <c r="U2924" i="12"/>
  <c r="T2925" i="12"/>
  <c r="U2925" i="12"/>
  <c r="T2926" i="12"/>
  <c r="U2926" i="12"/>
  <c r="T2927" i="12"/>
  <c r="U2927" i="12"/>
  <c r="T2928" i="12"/>
  <c r="U2928" i="12"/>
  <c r="T2929" i="12"/>
  <c r="U2929" i="12"/>
  <c r="T2930" i="12"/>
  <c r="U2930" i="12"/>
  <c r="T2931" i="12"/>
  <c r="U2931" i="12"/>
  <c r="T2932" i="12"/>
  <c r="U2932" i="12"/>
  <c r="T2933" i="12"/>
  <c r="U2933" i="12"/>
  <c r="T2934" i="12"/>
  <c r="U2934" i="12"/>
  <c r="T2935" i="12"/>
  <c r="U2935" i="12"/>
  <c r="T2936" i="12"/>
  <c r="U2936" i="12"/>
  <c r="T2937" i="12"/>
  <c r="U2937" i="12"/>
  <c r="T2938" i="12"/>
  <c r="U2938" i="12"/>
  <c r="T2939" i="12"/>
  <c r="U2939" i="12"/>
  <c r="T2940" i="12"/>
  <c r="U2940" i="12"/>
  <c r="T2941" i="12"/>
  <c r="U2941" i="12"/>
  <c r="T2942" i="12"/>
  <c r="U2942" i="12"/>
  <c r="T2943" i="12"/>
  <c r="U2943" i="12"/>
  <c r="T2944" i="12"/>
  <c r="U2944" i="12"/>
  <c r="T2945" i="12"/>
  <c r="U2945" i="12"/>
  <c r="T2946" i="12"/>
  <c r="U2946" i="12"/>
  <c r="T2947" i="12"/>
  <c r="U2947" i="12"/>
  <c r="T2948" i="12"/>
  <c r="U2948" i="12"/>
  <c r="T2949" i="12"/>
  <c r="U2949" i="12"/>
  <c r="T2950" i="12"/>
  <c r="U2950" i="12"/>
  <c r="T2951" i="12"/>
  <c r="U2951" i="12"/>
  <c r="T2952" i="12"/>
  <c r="U2952" i="12"/>
  <c r="T2953" i="12"/>
  <c r="U2953" i="12"/>
  <c r="T2954" i="12"/>
  <c r="U2954" i="12"/>
  <c r="T2955" i="12"/>
  <c r="U2955" i="12"/>
  <c r="T2956" i="12"/>
  <c r="U2956" i="12"/>
  <c r="T2957" i="12"/>
  <c r="U2957" i="12"/>
  <c r="T2958" i="12"/>
  <c r="U2958" i="12"/>
  <c r="T2959" i="12"/>
  <c r="U2959" i="12"/>
  <c r="T2960" i="12"/>
  <c r="U2960" i="12"/>
  <c r="T2961" i="12"/>
  <c r="U2961" i="12"/>
  <c r="T2962" i="12"/>
  <c r="U2962" i="12"/>
  <c r="T2963" i="12"/>
  <c r="U2963" i="12"/>
  <c r="T2964" i="12"/>
  <c r="U2964" i="12"/>
  <c r="T2965" i="12"/>
  <c r="U2965" i="12"/>
  <c r="T2966" i="12"/>
  <c r="U2966" i="12"/>
  <c r="T2967" i="12"/>
  <c r="U2967" i="12"/>
  <c r="T2968" i="12"/>
  <c r="U2968" i="12"/>
  <c r="T2969" i="12"/>
  <c r="U2969" i="12"/>
  <c r="T2970" i="12"/>
  <c r="U2970" i="12"/>
  <c r="T2971" i="12"/>
  <c r="U2971" i="12"/>
  <c r="T2972" i="12"/>
  <c r="U2972" i="12"/>
  <c r="T2973" i="12"/>
  <c r="U2973" i="12"/>
  <c r="T2974" i="12"/>
  <c r="U2974" i="12"/>
  <c r="T2975" i="12"/>
  <c r="U2975" i="12"/>
  <c r="T2976" i="12"/>
  <c r="U2976" i="12"/>
  <c r="T2977" i="12"/>
  <c r="U2977" i="12"/>
  <c r="T2978" i="12"/>
  <c r="U2978" i="12"/>
  <c r="T2979" i="12"/>
  <c r="U2979" i="12"/>
  <c r="T2980" i="12"/>
  <c r="U2980" i="12"/>
  <c r="T2981" i="12"/>
  <c r="U2981" i="12"/>
  <c r="T2982" i="12"/>
  <c r="U2982" i="12"/>
  <c r="T2983" i="12"/>
  <c r="U2983" i="12"/>
  <c r="T2984" i="12"/>
  <c r="U2984" i="12"/>
  <c r="T2985" i="12"/>
  <c r="U2985" i="12"/>
  <c r="T2986" i="12"/>
  <c r="U2986" i="12"/>
  <c r="T2987" i="12"/>
  <c r="U2987" i="12"/>
  <c r="T2988" i="12"/>
  <c r="U2988" i="12"/>
  <c r="T2989" i="12"/>
  <c r="U2989" i="12"/>
  <c r="T2990" i="12"/>
  <c r="U2990" i="12"/>
  <c r="T2991" i="12"/>
  <c r="U2991" i="12"/>
  <c r="T2992" i="12"/>
  <c r="U2992" i="12"/>
  <c r="T2993" i="12"/>
  <c r="U2993" i="12"/>
  <c r="T2994" i="12"/>
  <c r="U2994" i="12"/>
  <c r="T2995" i="12"/>
  <c r="U2995" i="12"/>
  <c r="T2996" i="12"/>
  <c r="U2996" i="12"/>
  <c r="T2997" i="12"/>
  <c r="U2997" i="12"/>
  <c r="T2998" i="12"/>
  <c r="U2998" i="12"/>
  <c r="T2999" i="12"/>
  <c r="U2999" i="12"/>
  <c r="T3000" i="12"/>
  <c r="U3000" i="12"/>
  <c r="T3001" i="12"/>
  <c r="U3001" i="12"/>
  <c r="T3002" i="12"/>
  <c r="U3002" i="12"/>
  <c r="T3003" i="12"/>
  <c r="U3003" i="12"/>
  <c r="T3004" i="12"/>
  <c r="U3004" i="12"/>
  <c r="T3005" i="12"/>
  <c r="U3005" i="12"/>
  <c r="T3006" i="12"/>
  <c r="U3006" i="12"/>
  <c r="T3007" i="12"/>
  <c r="U3007" i="12"/>
  <c r="T3008" i="12"/>
  <c r="U3008" i="12"/>
  <c r="T3009" i="12"/>
  <c r="U3009" i="12"/>
  <c r="T3010" i="12"/>
  <c r="U3010" i="12"/>
  <c r="T3011" i="12"/>
  <c r="U3011" i="12"/>
  <c r="T3012" i="12"/>
  <c r="U3012" i="12"/>
  <c r="T3013" i="12"/>
  <c r="U3013" i="12"/>
  <c r="T3014" i="12"/>
  <c r="U3014" i="12"/>
  <c r="T3015" i="12"/>
  <c r="U3015" i="12"/>
  <c r="T3016" i="12"/>
  <c r="U3016" i="12"/>
  <c r="T3017" i="12"/>
  <c r="U3017" i="12"/>
  <c r="T3018" i="12"/>
  <c r="U3018" i="12"/>
  <c r="T3019" i="12"/>
  <c r="U3019" i="12"/>
  <c r="T3020" i="12"/>
  <c r="U3020" i="12"/>
  <c r="T3021" i="12"/>
  <c r="U3021" i="12"/>
  <c r="T3022" i="12"/>
  <c r="U3022" i="12"/>
  <c r="T3023" i="12"/>
  <c r="U3023" i="12"/>
  <c r="T3024" i="12"/>
  <c r="U3024" i="12"/>
  <c r="T3025" i="12"/>
  <c r="U3025" i="12"/>
  <c r="T3026" i="12"/>
  <c r="U3026" i="12"/>
  <c r="T3027" i="12"/>
  <c r="U3027" i="12"/>
  <c r="T3028" i="12"/>
  <c r="U3028" i="12"/>
  <c r="T3029" i="12"/>
  <c r="U3029" i="12"/>
  <c r="T3030" i="12"/>
  <c r="U3030" i="12"/>
  <c r="T3031" i="12"/>
  <c r="U3031" i="12"/>
  <c r="T3032" i="12"/>
  <c r="U3032" i="12"/>
  <c r="T3033" i="12"/>
  <c r="U3033" i="12"/>
  <c r="T3034" i="12"/>
  <c r="U3034" i="12"/>
  <c r="T3035" i="12"/>
  <c r="U3035" i="12"/>
  <c r="T3036" i="12"/>
  <c r="U3036" i="12"/>
  <c r="T3037" i="12"/>
  <c r="U3037" i="12"/>
  <c r="T3038" i="12"/>
  <c r="U3038" i="12"/>
  <c r="T3039" i="12"/>
  <c r="U3039" i="12"/>
  <c r="T3040" i="12"/>
  <c r="U3040" i="12"/>
  <c r="T3041" i="12"/>
  <c r="U3041" i="12"/>
  <c r="T3042" i="12"/>
  <c r="U3042" i="12"/>
  <c r="T3043" i="12"/>
  <c r="U3043" i="12"/>
  <c r="T3044" i="12"/>
  <c r="U3044" i="12"/>
  <c r="T3045" i="12"/>
  <c r="U3045" i="12"/>
  <c r="T3046" i="12"/>
  <c r="U3046" i="12"/>
  <c r="T3047" i="12"/>
  <c r="U3047" i="12"/>
  <c r="T3048" i="12"/>
  <c r="U3048" i="12"/>
  <c r="T3049" i="12"/>
  <c r="U3049" i="12"/>
  <c r="T3050" i="12"/>
  <c r="U3050" i="12"/>
  <c r="T3051" i="12"/>
  <c r="U3051" i="12"/>
  <c r="T3052" i="12"/>
  <c r="U3052" i="12"/>
  <c r="T3053" i="12"/>
  <c r="U3053" i="12"/>
  <c r="T3054" i="12"/>
  <c r="U3054" i="12"/>
  <c r="T3055" i="12"/>
  <c r="U3055" i="12"/>
  <c r="T3056" i="12"/>
  <c r="U3056" i="12"/>
  <c r="T3057" i="12"/>
  <c r="U3057" i="12"/>
  <c r="T3058" i="12"/>
  <c r="U3058" i="12"/>
  <c r="T3059" i="12"/>
  <c r="U3059" i="12"/>
  <c r="T3060" i="12"/>
  <c r="U3060" i="12"/>
  <c r="T3061" i="12"/>
  <c r="U3061" i="12"/>
  <c r="T3062" i="12"/>
  <c r="U3062" i="12"/>
  <c r="T3063" i="12"/>
  <c r="U3063" i="12"/>
  <c r="T3064" i="12"/>
  <c r="U3064" i="12"/>
  <c r="T3065" i="12"/>
  <c r="U3065" i="12"/>
  <c r="T3066" i="12"/>
  <c r="U3066" i="12"/>
  <c r="T3067" i="12"/>
  <c r="U3067" i="12"/>
  <c r="T3068" i="12"/>
  <c r="U3068" i="12"/>
  <c r="T3069" i="12"/>
  <c r="U3069" i="12"/>
  <c r="T3070" i="12"/>
  <c r="U3070" i="12"/>
  <c r="T3071" i="12"/>
  <c r="U3071" i="12"/>
  <c r="T3072" i="12"/>
  <c r="U3072" i="12"/>
  <c r="T3073" i="12"/>
  <c r="U3073" i="12"/>
  <c r="T3074" i="12"/>
  <c r="U3074" i="12"/>
  <c r="T3075" i="12"/>
  <c r="U3075" i="12"/>
  <c r="T3076" i="12"/>
  <c r="U3076" i="12"/>
  <c r="T3077" i="12"/>
  <c r="U3077" i="12"/>
  <c r="T3078" i="12"/>
  <c r="U3078" i="12"/>
  <c r="T3079" i="12"/>
  <c r="U3079" i="12"/>
  <c r="T3080" i="12"/>
  <c r="U3080" i="12"/>
  <c r="T3081" i="12"/>
  <c r="U3081" i="12"/>
  <c r="T3082" i="12"/>
  <c r="U3082" i="12"/>
  <c r="T3083" i="12"/>
  <c r="U3083" i="12"/>
  <c r="T3084" i="12"/>
  <c r="U3084" i="12"/>
  <c r="T3085" i="12"/>
  <c r="U3085" i="12"/>
  <c r="T3086" i="12"/>
  <c r="U3086" i="12"/>
  <c r="T3087" i="12"/>
  <c r="U3087" i="12"/>
  <c r="T3088" i="12"/>
  <c r="U3088" i="12"/>
  <c r="T3089" i="12"/>
  <c r="U3089" i="12"/>
  <c r="T3090" i="12"/>
  <c r="U3090" i="12"/>
  <c r="T3091" i="12"/>
  <c r="U3091" i="12"/>
  <c r="T3092" i="12"/>
  <c r="U3092" i="12"/>
  <c r="T3093" i="12"/>
  <c r="U3093" i="12"/>
  <c r="T3094" i="12"/>
  <c r="U3094" i="12"/>
  <c r="T3095" i="12"/>
  <c r="U3095" i="12"/>
  <c r="T3096" i="12"/>
  <c r="U3096" i="12"/>
  <c r="T3097" i="12"/>
  <c r="U3097" i="12"/>
  <c r="T3098" i="12"/>
  <c r="U3098" i="12"/>
  <c r="T3099" i="12"/>
  <c r="U3099" i="12"/>
  <c r="T3100" i="12"/>
  <c r="U3100" i="12"/>
  <c r="T3101" i="12"/>
  <c r="U3101" i="12"/>
  <c r="T3102" i="12"/>
  <c r="U3102" i="12"/>
  <c r="T3103" i="12"/>
  <c r="U3103" i="12"/>
  <c r="T3104" i="12"/>
  <c r="U3104" i="12"/>
  <c r="T3105" i="12"/>
  <c r="U3105" i="12"/>
  <c r="T3106" i="12"/>
  <c r="U3106" i="12"/>
  <c r="T3107" i="12"/>
  <c r="U3107" i="12"/>
  <c r="T3108" i="12"/>
  <c r="U3108" i="12"/>
  <c r="T3109" i="12"/>
  <c r="U3109" i="12"/>
  <c r="T3110" i="12"/>
  <c r="U3110" i="12"/>
  <c r="T3111" i="12"/>
  <c r="U3111" i="12"/>
  <c r="T3112" i="12"/>
  <c r="U3112" i="12"/>
  <c r="T3113" i="12"/>
  <c r="U3113" i="12"/>
  <c r="T3114" i="12"/>
  <c r="U3114" i="12"/>
  <c r="T3115" i="12"/>
  <c r="U3115" i="12"/>
  <c r="T3116" i="12"/>
  <c r="U3116" i="12"/>
  <c r="T3117" i="12"/>
  <c r="U3117" i="12"/>
  <c r="T3118" i="12"/>
  <c r="U3118" i="12"/>
  <c r="T3119" i="12"/>
  <c r="U3119" i="12"/>
  <c r="T3120" i="12"/>
  <c r="U3120" i="12"/>
  <c r="T3121" i="12"/>
  <c r="U3121" i="12"/>
  <c r="T3122" i="12"/>
  <c r="U3122" i="12"/>
  <c r="T3123" i="12"/>
  <c r="U3123" i="12"/>
  <c r="T3124" i="12"/>
  <c r="U3124" i="12"/>
  <c r="T3125" i="12"/>
  <c r="U3125" i="12"/>
  <c r="T3126" i="12"/>
  <c r="U3126" i="12"/>
  <c r="T3127" i="12"/>
  <c r="U3127" i="12"/>
  <c r="T3128" i="12"/>
  <c r="U3128" i="12"/>
  <c r="T3129" i="12"/>
  <c r="U3129" i="12"/>
  <c r="T3130" i="12"/>
  <c r="U3130" i="12"/>
  <c r="T3131" i="12"/>
  <c r="U3131" i="12"/>
  <c r="T3132" i="12"/>
  <c r="U3132" i="12"/>
  <c r="T3133" i="12"/>
  <c r="U3133" i="12"/>
  <c r="T3134" i="12"/>
  <c r="U3134" i="12"/>
  <c r="T3135" i="12"/>
  <c r="U3135" i="12"/>
  <c r="T3136" i="12"/>
  <c r="U3136" i="12"/>
  <c r="T3137" i="12"/>
  <c r="U3137" i="12"/>
  <c r="T3138" i="12"/>
  <c r="U3138" i="12"/>
  <c r="T3139" i="12"/>
  <c r="U3139" i="12"/>
  <c r="T3140" i="12"/>
  <c r="U3140" i="12"/>
  <c r="T3141" i="12"/>
  <c r="U3141" i="12"/>
  <c r="T3142" i="12"/>
  <c r="U3142" i="12"/>
  <c r="T3143" i="12"/>
  <c r="U3143" i="12"/>
  <c r="T3144" i="12"/>
  <c r="U3144" i="12"/>
  <c r="T3145" i="12"/>
  <c r="U3145" i="12"/>
  <c r="T3146" i="12"/>
  <c r="U3146" i="12"/>
  <c r="T3147" i="12"/>
  <c r="U3147" i="12"/>
  <c r="T3148" i="12"/>
  <c r="U3148" i="12"/>
  <c r="T3149" i="12"/>
  <c r="U3149" i="12"/>
  <c r="T3150" i="12"/>
  <c r="U3150" i="12"/>
  <c r="T3151" i="12"/>
  <c r="U3151" i="12"/>
  <c r="T3152" i="12"/>
  <c r="U3152" i="12"/>
  <c r="T3153" i="12"/>
  <c r="U3153" i="12"/>
  <c r="T3154" i="12"/>
  <c r="U3154" i="12"/>
  <c r="T3155" i="12"/>
  <c r="U3155" i="12"/>
  <c r="T3156" i="12"/>
  <c r="U3156" i="12"/>
  <c r="T3157" i="12"/>
  <c r="U3157" i="12"/>
  <c r="T3158" i="12"/>
  <c r="U3158" i="12"/>
  <c r="T3159" i="12"/>
  <c r="U3159" i="12"/>
  <c r="T3160" i="12"/>
  <c r="U3160" i="12"/>
  <c r="T3161" i="12"/>
  <c r="U3161" i="12"/>
  <c r="T3162" i="12"/>
  <c r="U3162" i="12"/>
  <c r="T3163" i="12"/>
  <c r="U3163" i="12"/>
  <c r="T3164" i="12"/>
  <c r="U3164" i="12"/>
  <c r="T3165" i="12"/>
  <c r="U3165" i="12"/>
  <c r="T3166" i="12"/>
  <c r="U3166" i="12"/>
  <c r="T3167" i="12"/>
  <c r="U3167" i="12"/>
  <c r="T3168" i="12"/>
  <c r="U3168" i="12"/>
  <c r="T3169" i="12"/>
  <c r="U3169" i="12"/>
  <c r="T3170" i="12"/>
  <c r="U3170" i="12"/>
  <c r="T3171" i="12"/>
  <c r="U3171" i="12"/>
  <c r="T3172" i="12"/>
  <c r="U3172" i="12"/>
  <c r="T3173" i="12"/>
  <c r="U3173" i="12"/>
  <c r="T3174" i="12"/>
  <c r="U3174" i="12"/>
  <c r="T3175" i="12"/>
  <c r="U3175" i="12"/>
  <c r="T3176" i="12"/>
  <c r="U3176" i="12"/>
  <c r="T3177" i="12"/>
  <c r="U3177" i="12"/>
  <c r="T3178" i="12"/>
  <c r="U3178" i="12"/>
  <c r="T3179" i="12"/>
  <c r="U3179" i="12"/>
  <c r="T3180" i="12"/>
  <c r="U3180" i="12"/>
  <c r="T3181" i="12"/>
  <c r="U3181" i="12"/>
  <c r="T3182" i="12"/>
  <c r="U3182" i="12"/>
  <c r="T3183" i="12"/>
  <c r="U3183" i="12"/>
  <c r="T3184" i="12"/>
  <c r="U3184" i="12"/>
  <c r="T3185" i="12"/>
  <c r="U3185" i="12"/>
  <c r="T3186" i="12"/>
  <c r="U3186" i="12"/>
  <c r="T3187" i="12"/>
  <c r="U3187" i="12"/>
  <c r="T3188" i="12"/>
  <c r="U3188" i="12"/>
  <c r="T3189" i="12"/>
  <c r="U3189" i="12"/>
  <c r="T3190" i="12"/>
  <c r="U3190" i="12"/>
  <c r="T3191" i="12"/>
  <c r="U3191" i="12"/>
  <c r="T3192" i="12"/>
  <c r="U3192" i="12"/>
  <c r="T3193" i="12"/>
  <c r="U3193" i="12"/>
  <c r="T3194" i="12"/>
  <c r="U3194" i="12"/>
  <c r="T3195" i="12"/>
  <c r="U3195" i="12"/>
  <c r="T3196" i="12"/>
  <c r="U3196" i="12"/>
  <c r="T3197" i="12"/>
  <c r="U3197" i="12"/>
  <c r="T3198" i="12"/>
  <c r="U3198" i="12"/>
  <c r="T3199" i="12"/>
  <c r="U3199" i="12"/>
  <c r="T3200" i="12"/>
  <c r="U3200" i="12"/>
  <c r="T3201" i="12"/>
  <c r="U3201" i="12"/>
  <c r="T3202" i="12"/>
  <c r="U3202" i="12"/>
  <c r="T3203" i="12"/>
  <c r="U3203" i="12"/>
  <c r="T3204" i="12"/>
  <c r="U3204" i="12"/>
  <c r="T3205" i="12"/>
  <c r="U3205" i="12"/>
  <c r="T3206" i="12"/>
  <c r="U3206" i="12"/>
  <c r="T3207" i="12"/>
  <c r="U3207" i="12"/>
  <c r="T3208" i="12"/>
  <c r="U3208" i="12"/>
  <c r="T3209" i="12"/>
  <c r="U3209" i="12"/>
  <c r="T3210" i="12"/>
  <c r="U3210" i="12"/>
  <c r="T3211" i="12"/>
  <c r="U3211" i="12"/>
  <c r="T3212" i="12"/>
  <c r="U3212" i="12"/>
  <c r="T3213" i="12"/>
  <c r="U3213" i="12"/>
  <c r="T3214" i="12"/>
  <c r="U3214" i="12"/>
  <c r="T3215" i="12"/>
  <c r="U3215" i="12"/>
  <c r="T3216" i="12"/>
  <c r="U3216" i="12"/>
  <c r="T3217" i="12"/>
  <c r="U3217" i="12"/>
  <c r="T3218" i="12"/>
  <c r="U3218" i="12"/>
  <c r="T3219" i="12"/>
  <c r="U3219" i="12"/>
  <c r="T3220" i="12"/>
  <c r="U3220" i="12"/>
  <c r="T3221" i="12"/>
  <c r="U3221" i="12"/>
  <c r="T3222" i="12"/>
  <c r="U3222" i="12"/>
  <c r="T3223" i="12"/>
  <c r="U3223" i="12"/>
  <c r="T3224" i="12"/>
  <c r="U3224" i="12"/>
  <c r="T3225" i="12"/>
  <c r="U3225" i="12"/>
  <c r="T3226" i="12"/>
  <c r="U3226" i="12"/>
  <c r="T3227" i="12"/>
  <c r="U3227" i="12"/>
  <c r="T3228" i="12"/>
  <c r="U3228" i="12"/>
  <c r="T3229" i="12"/>
  <c r="U3229" i="12"/>
  <c r="T3230" i="12"/>
  <c r="U3230" i="12"/>
  <c r="T3231" i="12"/>
  <c r="U3231" i="12"/>
  <c r="T3232" i="12"/>
  <c r="U3232" i="12"/>
  <c r="T3233" i="12"/>
  <c r="U3233" i="12"/>
  <c r="T3234" i="12"/>
  <c r="U3234" i="12"/>
  <c r="T3235" i="12"/>
  <c r="U3235" i="12"/>
  <c r="T3236" i="12"/>
  <c r="U3236" i="12"/>
  <c r="T3237" i="12"/>
  <c r="U3237" i="12"/>
  <c r="T3238" i="12"/>
  <c r="U3238" i="12"/>
  <c r="T3239" i="12"/>
  <c r="U3239" i="12"/>
  <c r="T3240" i="12"/>
  <c r="U3240" i="12"/>
  <c r="T3241" i="12"/>
  <c r="U3241" i="12"/>
  <c r="T3242" i="12"/>
  <c r="U3242" i="12"/>
  <c r="T3243" i="12"/>
  <c r="U3243" i="12"/>
  <c r="T3244" i="12"/>
  <c r="U3244" i="12"/>
  <c r="T3245" i="12"/>
  <c r="U3245" i="12"/>
  <c r="T3246" i="12"/>
  <c r="U3246" i="12"/>
  <c r="T3247" i="12"/>
  <c r="U3247" i="12"/>
  <c r="T3248" i="12"/>
  <c r="U3248" i="12"/>
  <c r="T3249" i="12"/>
  <c r="U3249" i="12"/>
  <c r="T3250" i="12"/>
  <c r="U3250" i="12"/>
  <c r="T3251" i="12"/>
  <c r="U3251" i="12"/>
  <c r="T3252" i="12"/>
  <c r="U3252" i="12"/>
  <c r="T3253" i="12"/>
  <c r="U3253" i="12"/>
  <c r="T3254" i="12"/>
  <c r="U3254" i="12"/>
  <c r="T3255" i="12"/>
  <c r="U3255" i="12"/>
  <c r="T3256" i="12"/>
  <c r="U3256" i="12"/>
  <c r="T3257" i="12"/>
  <c r="U3257" i="12"/>
  <c r="T3258" i="12"/>
  <c r="U3258" i="12"/>
  <c r="T3259" i="12"/>
  <c r="U3259" i="12"/>
  <c r="T3260" i="12"/>
  <c r="U3260" i="12"/>
  <c r="T3261" i="12"/>
  <c r="U3261" i="12"/>
  <c r="T3262" i="12"/>
  <c r="U3262" i="12"/>
  <c r="T3263" i="12"/>
  <c r="U3263" i="12"/>
  <c r="T3264" i="12"/>
  <c r="U3264" i="12"/>
  <c r="T3265" i="12"/>
  <c r="U3265" i="12"/>
  <c r="T3266" i="12"/>
  <c r="U3266" i="12"/>
  <c r="T3267" i="12"/>
  <c r="U3267" i="12"/>
  <c r="T3268" i="12"/>
  <c r="U3268" i="12"/>
  <c r="T3269" i="12"/>
  <c r="U3269" i="12"/>
  <c r="T3270" i="12"/>
  <c r="U3270" i="12"/>
  <c r="T3271" i="12"/>
  <c r="U3271" i="12"/>
  <c r="T3272" i="12"/>
  <c r="U3272" i="12"/>
  <c r="T3273" i="12"/>
  <c r="U3273" i="12"/>
  <c r="T3274" i="12"/>
  <c r="U3274" i="12"/>
  <c r="T3275" i="12"/>
  <c r="U3275" i="12"/>
  <c r="T3276" i="12"/>
  <c r="U3276" i="12"/>
  <c r="T3277" i="12"/>
  <c r="U3277" i="12"/>
  <c r="T3278" i="12"/>
  <c r="U3278" i="12"/>
  <c r="T3279" i="12"/>
  <c r="U3279" i="12"/>
  <c r="T3280" i="12"/>
  <c r="U3280" i="12"/>
  <c r="T3281" i="12"/>
  <c r="U3281" i="12"/>
  <c r="T3282" i="12"/>
  <c r="U3282" i="12"/>
  <c r="T3283" i="12"/>
  <c r="U3283" i="12"/>
  <c r="T3284" i="12"/>
  <c r="U3284" i="12"/>
  <c r="T3285" i="12"/>
  <c r="U3285" i="12"/>
  <c r="T3286" i="12"/>
  <c r="U3286" i="12"/>
  <c r="T3287" i="12"/>
  <c r="U3287" i="12"/>
  <c r="T3288" i="12"/>
  <c r="U3288" i="12"/>
  <c r="T3289" i="12"/>
  <c r="U3289" i="12"/>
  <c r="T3290" i="12"/>
  <c r="U3290" i="12"/>
  <c r="T3291" i="12"/>
  <c r="U3291" i="12"/>
  <c r="T3292" i="12"/>
  <c r="U3292" i="12"/>
  <c r="T3293" i="12"/>
  <c r="U3293" i="12"/>
  <c r="T3294" i="12"/>
  <c r="U3294" i="12"/>
  <c r="T3295" i="12"/>
  <c r="U3295" i="12"/>
  <c r="T3296" i="12"/>
  <c r="U3296" i="12"/>
  <c r="T3297" i="12"/>
  <c r="U3297" i="12"/>
  <c r="T3298" i="12"/>
  <c r="U3298" i="12"/>
  <c r="T3299" i="12"/>
  <c r="U3299" i="12"/>
  <c r="T3300" i="12"/>
  <c r="U3300" i="12"/>
  <c r="T3301" i="12"/>
  <c r="U3301" i="12"/>
  <c r="T3302" i="12"/>
  <c r="U3302" i="12"/>
  <c r="T3303" i="12"/>
  <c r="U3303" i="12"/>
  <c r="T3304" i="12"/>
  <c r="U3304" i="12"/>
  <c r="T3305" i="12"/>
  <c r="U3305" i="12"/>
  <c r="T3306" i="12"/>
  <c r="U3306" i="12"/>
  <c r="T3307" i="12"/>
  <c r="U3307" i="12"/>
  <c r="T3308" i="12"/>
  <c r="U3308" i="12"/>
  <c r="T3309" i="12"/>
  <c r="U3309" i="12"/>
  <c r="T3310" i="12"/>
  <c r="U3310" i="12"/>
  <c r="T3311" i="12"/>
  <c r="U3311" i="12"/>
  <c r="T3312" i="12"/>
  <c r="U3312" i="12"/>
  <c r="T3313" i="12"/>
  <c r="U3313" i="12"/>
  <c r="T3314" i="12"/>
  <c r="U3314" i="12"/>
  <c r="T3315" i="12"/>
  <c r="U3315" i="12"/>
  <c r="T3316" i="12"/>
  <c r="U3316" i="12"/>
  <c r="T3317" i="12"/>
  <c r="U3317" i="12"/>
  <c r="T3318" i="12"/>
  <c r="U3318" i="12"/>
  <c r="T3319" i="12"/>
  <c r="U3319" i="12"/>
  <c r="T3320" i="12"/>
  <c r="U3320" i="12"/>
  <c r="T3321" i="12"/>
  <c r="U3321" i="12"/>
  <c r="T3322" i="12"/>
  <c r="U3322" i="12"/>
  <c r="T3323" i="12"/>
  <c r="U3323" i="12"/>
  <c r="T3324" i="12"/>
  <c r="U3324" i="12"/>
  <c r="T3325" i="12"/>
  <c r="U3325" i="12"/>
  <c r="T3326" i="12"/>
  <c r="U3326" i="12"/>
  <c r="T3327" i="12"/>
  <c r="U3327" i="12"/>
  <c r="T3328" i="12"/>
  <c r="U3328" i="12"/>
  <c r="T3329" i="12"/>
  <c r="U3329" i="12"/>
  <c r="T3330" i="12"/>
  <c r="U3330" i="12"/>
  <c r="T3331" i="12"/>
  <c r="U3331" i="12"/>
  <c r="T3332" i="12"/>
  <c r="U3332" i="12"/>
  <c r="T3333" i="12"/>
  <c r="U3333" i="12"/>
  <c r="T3334" i="12"/>
  <c r="U3334" i="12"/>
  <c r="T3335" i="12"/>
  <c r="U3335" i="12"/>
  <c r="T3336" i="12"/>
  <c r="U3336" i="12"/>
  <c r="T3337" i="12"/>
  <c r="U3337" i="12"/>
  <c r="T3338" i="12"/>
  <c r="U3338" i="12"/>
  <c r="T3339" i="12"/>
  <c r="U3339" i="12"/>
  <c r="T3340" i="12"/>
  <c r="U3340" i="12"/>
  <c r="T3341" i="12"/>
  <c r="U3341" i="12"/>
  <c r="T3342" i="12"/>
  <c r="U3342" i="12"/>
  <c r="T3343" i="12"/>
  <c r="U3343" i="12"/>
  <c r="T3344" i="12"/>
  <c r="U3344" i="12"/>
  <c r="T3345" i="12"/>
  <c r="U3345" i="12"/>
  <c r="T3346" i="12"/>
  <c r="U3346" i="12"/>
  <c r="T3347" i="12"/>
  <c r="U3347" i="12"/>
  <c r="T3348" i="12"/>
  <c r="U3348" i="12"/>
  <c r="T3349" i="12"/>
  <c r="U3349" i="12"/>
  <c r="T3350" i="12"/>
  <c r="U3350" i="12"/>
  <c r="T3351" i="12"/>
  <c r="U3351" i="12"/>
  <c r="T3352" i="12"/>
  <c r="U3352" i="12"/>
  <c r="T3353" i="12"/>
  <c r="U3353" i="12"/>
  <c r="T3354" i="12"/>
  <c r="U3354" i="12"/>
  <c r="T3355" i="12"/>
  <c r="U3355" i="12"/>
  <c r="T3356" i="12"/>
  <c r="U3356" i="12"/>
  <c r="T3357" i="12"/>
  <c r="U3357" i="12"/>
  <c r="T3358" i="12"/>
  <c r="U3358" i="12"/>
  <c r="T3359" i="12"/>
  <c r="U3359" i="12"/>
  <c r="T3360" i="12"/>
  <c r="U3360" i="12"/>
  <c r="T3361" i="12"/>
  <c r="U3361" i="12"/>
  <c r="T3362" i="12"/>
  <c r="U3362" i="12"/>
  <c r="T3363" i="12"/>
  <c r="U3363" i="12"/>
  <c r="T3364" i="12"/>
  <c r="U3364" i="12"/>
  <c r="T3365" i="12"/>
  <c r="U3365" i="12"/>
  <c r="T3366" i="12"/>
  <c r="U3366" i="12"/>
  <c r="T3367" i="12"/>
  <c r="U3367" i="12"/>
  <c r="T3368" i="12"/>
  <c r="U3368" i="12"/>
  <c r="T3369" i="12"/>
  <c r="U3369" i="12"/>
  <c r="T3370" i="12"/>
  <c r="U3370" i="12"/>
  <c r="T3371" i="12"/>
  <c r="U3371" i="12"/>
  <c r="T3372" i="12"/>
  <c r="U3372" i="12"/>
  <c r="T3373" i="12"/>
  <c r="U3373" i="12"/>
  <c r="T3374" i="12"/>
  <c r="U3374" i="12"/>
  <c r="T3375" i="12"/>
  <c r="U3375" i="12"/>
  <c r="T3376" i="12"/>
  <c r="U3376" i="12"/>
  <c r="T3377" i="12"/>
  <c r="U3377" i="12"/>
  <c r="T3378" i="12"/>
  <c r="U3378" i="12"/>
  <c r="T3379" i="12"/>
  <c r="U3379" i="12"/>
  <c r="T3380" i="12"/>
  <c r="U3380" i="12"/>
  <c r="T3381" i="12"/>
  <c r="U3381" i="12"/>
  <c r="T3382" i="12"/>
  <c r="U3382" i="12"/>
  <c r="T3383" i="12"/>
  <c r="U3383" i="12"/>
  <c r="T3384" i="12"/>
  <c r="U3384" i="12"/>
  <c r="T3385" i="12"/>
  <c r="U3385" i="12"/>
  <c r="T3386" i="12"/>
  <c r="U3386" i="12"/>
  <c r="T3387" i="12"/>
  <c r="U3387" i="12"/>
  <c r="T3388" i="12"/>
  <c r="U3388" i="12"/>
  <c r="T3389" i="12"/>
  <c r="U3389" i="12"/>
  <c r="T3390" i="12"/>
  <c r="U3390" i="12"/>
  <c r="T3391" i="12"/>
  <c r="U3391" i="12"/>
  <c r="T3392" i="12"/>
  <c r="U3392" i="12"/>
  <c r="T3393" i="12"/>
  <c r="U3393" i="12"/>
  <c r="T3394" i="12"/>
  <c r="U3394" i="12"/>
  <c r="T3395" i="12"/>
  <c r="U3395" i="12"/>
  <c r="T3396" i="12"/>
  <c r="U3396" i="12"/>
  <c r="T3397" i="12"/>
  <c r="U3397" i="12"/>
  <c r="T3398" i="12"/>
  <c r="U3398" i="12"/>
  <c r="T3399" i="12"/>
  <c r="U3399" i="12"/>
  <c r="T3400" i="12"/>
  <c r="U3400" i="12"/>
  <c r="T3401" i="12"/>
  <c r="U3401" i="12"/>
  <c r="T3402" i="12"/>
  <c r="U3402" i="12"/>
  <c r="T3403" i="12"/>
  <c r="U3403" i="12"/>
  <c r="T3404" i="12"/>
  <c r="U3404" i="12"/>
  <c r="T3405" i="12"/>
  <c r="U3405" i="12"/>
  <c r="T3406" i="12"/>
  <c r="U3406" i="12"/>
  <c r="T3407" i="12"/>
  <c r="U3407" i="12"/>
  <c r="T3408" i="12"/>
  <c r="U3408" i="12"/>
  <c r="T3409" i="12"/>
  <c r="U3409" i="12"/>
  <c r="T3410" i="12"/>
  <c r="U3410" i="12"/>
  <c r="T3411" i="12"/>
  <c r="U3411" i="12"/>
  <c r="T3412" i="12"/>
  <c r="U3412" i="12"/>
  <c r="T3413" i="12"/>
  <c r="U3413" i="12"/>
  <c r="T3414" i="12"/>
  <c r="U3414" i="12"/>
  <c r="T3415" i="12"/>
  <c r="U3415" i="12"/>
  <c r="T3416" i="12"/>
  <c r="U3416" i="12"/>
  <c r="T3417" i="12"/>
  <c r="U3417" i="12"/>
  <c r="T3418" i="12"/>
  <c r="U3418" i="12"/>
  <c r="T3419" i="12"/>
  <c r="U3419" i="12"/>
  <c r="T3420" i="12"/>
  <c r="U3420" i="12"/>
  <c r="T3421" i="12"/>
  <c r="U3421" i="12"/>
  <c r="T3422" i="12"/>
  <c r="U3422" i="12"/>
  <c r="T3423" i="12"/>
  <c r="U3423" i="12"/>
  <c r="T3424" i="12"/>
  <c r="U3424" i="12"/>
  <c r="T3425" i="12"/>
  <c r="U3425" i="12"/>
  <c r="T3426" i="12"/>
  <c r="U3426" i="12"/>
  <c r="T3427" i="12"/>
  <c r="U3427" i="12"/>
  <c r="T3428" i="12"/>
  <c r="U3428" i="12"/>
  <c r="T3429" i="12"/>
  <c r="U3429" i="12"/>
  <c r="T3430" i="12"/>
  <c r="U3430" i="12"/>
  <c r="T3431" i="12"/>
  <c r="U3431" i="12"/>
  <c r="T3432" i="12"/>
  <c r="U3432" i="12"/>
  <c r="T3433" i="12"/>
  <c r="U3433" i="12"/>
  <c r="T3434" i="12"/>
  <c r="U3434" i="12"/>
  <c r="T3435" i="12"/>
  <c r="U3435" i="12"/>
  <c r="T3436" i="12"/>
  <c r="U3436" i="12"/>
  <c r="T3437" i="12"/>
  <c r="U3437" i="12"/>
  <c r="T3438" i="12"/>
  <c r="U3438" i="12"/>
  <c r="T3439" i="12"/>
  <c r="U3439" i="12"/>
  <c r="T3440" i="12"/>
  <c r="U3440" i="12"/>
  <c r="T3441" i="12"/>
  <c r="U3441" i="12"/>
  <c r="T3442" i="12"/>
  <c r="U3442" i="12"/>
  <c r="T3443" i="12"/>
  <c r="U3443" i="12"/>
  <c r="T3444" i="12"/>
  <c r="U3444" i="12"/>
  <c r="T3445" i="12"/>
  <c r="U3445" i="12"/>
  <c r="T3446" i="12"/>
  <c r="U3446" i="12"/>
  <c r="T3447" i="12"/>
  <c r="U3447" i="12"/>
  <c r="T3448" i="12"/>
  <c r="U3448" i="12"/>
  <c r="T3449" i="12"/>
  <c r="U3449" i="12"/>
  <c r="T3450" i="12"/>
  <c r="U3450" i="12"/>
  <c r="T3451" i="12"/>
  <c r="U3451" i="12"/>
  <c r="T3452" i="12"/>
  <c r="U3452" i="12"/>
  <c r="T3453" i="12"/>
  <c r="U3453" i="12"/>
  <c r="T3454" i="12"/>
  <c r="U3454" i="12"/>
  <c r="T3455" i="12"/>
  <c r="U3455" i="12"/>
  <c r="T3456" i="12"/>
  <c r="U3456" i="12"/>
  <c r="T3457" i="12"/>
  <c r="U3457" i="12"/>
  <c r="T3458" i="12"/>
  <c r="U3458" i="12"/>
  <c r="T3459" i="12"/>
  <c r="U3459" i="12"/>
  <c r="T3460" i="12"/>
  <c r="U3460" i="12"/>
  <c r="T3461" i="12"/>
  <c r="U3461" i="12"/>
  <c r="T3462" i="12"/>
  <c r="U3462" i="12"/>
  <c r="T3463" i="12"/>
  <c r="U3463" i="12"/>
  <c r="T3464" i="12"/>
  <c r="U3464" i="12"/>
  <c r="T3465" i="12"/>
  <c r="U3465" i="12"/>
  <c r="T3466" i="12"/>
  <c r="U3466" i="12"/>
  <c r="T3467" i="12"/>
  <c r="U3467" i="12"/>
  <c r="T3468" i="12"/>
  <c r="U3468" i="12"/>
  <c r="T3469" i="12"/>
  <c r="U3469" i="12"/>
  <c r="T3470" i="12"/>
  <c r="U3470" i="12"/>
  <c r="T3471" i="12"/>
  <c r="U3471" i="12"/>
  <c r="T3472" i="12"/>
  <c r="U3472" i="12"/>
  <c r="T3473" i="12"/>
  <c r="U3473" i="12"/>
  <c r="T3474" i="12"/>
  <c r="U3474" i="12"/>
  <c r="T3475" i="12"/>
  <c r="U3475" i="12"/>
  <c r="T3476" i="12"/>
  <c r="U3476" i="12"/>
  <c r="T3477" i="12"/>
  <c r="U3477" i="12"/>
  <c r="T3478" i="12"/>
  <c r="U3478" i="12"/>
  <c r="T3479" i="12"/>
  <c r="U3479" i="12"/>
  <c r="T3480" i="12"/>
  <c r="U3480" i="12"/>
  <c r="T3481" i="12"/>
  <c r="U3481" i="12"/>
  <c r="T3482" i="12"/>
  <c r="U3482" i="12"/>
  <c r="T3483" i="12"/>
  <c r="U3483" i="12"/>
  <c r="T3484" i="12"/>
  <c r="U3484" i="12"/>
  <c r="T3485" i="12"/>
  <c r="U3485" i="12"/>
  <c r="T3486" i="12"/>
  <c r="U3486" i="12"/>
  <c r="T3487" i="12"/>
  <c r="U3487" i="12"/>
  <c r="T3488" i="12"/>
  <c r="U3488" i="12"/>
  <c r="T3489" i="12"/>
  <c r="U3489" i="12"/>
  <c r="T3490" i="12"/>
  <c r="U3490" i="12"/>
  <c r="T3491" i="12"/>
  <c r="U3491" i="12"/>
  <c r="T3492" i="12"/>
  <c r="U3492" i="12"/>
  <c r="T3493" i="12"/>
  <c r="U3493" i="12"/>
  <c r="T3494" i="12"/>
  <c r="U3494" i="12"/>
  <c r="T3495" i="12"/>
  <c r="U3495" i="12"/>
  <c r="T3496" i="12"/>
  <c r="U3496" i="12"/>
  <c r="T3497" i="12"/>
  <c r="U3497" i="12"/>
  <c r="T3498" i="12"/>
  <c r="U3498" i="12"/>
  <c r="T3499" i="12"/>
  <c r="U3499" i="12"/>
  <c r="T3500" i="12"/>
  <c r="U3500" i="12"/>
  <c r="T3501" i="12"/>
  <c r="U3501" i="12"/>
  <c r="T3502" i="12"/>
  <c r="U3502" i="12"/>
  <c r="T3503" i="12"/>
  <c r="U3503" i="12"/>
  <c r="T3504" i="12"/>
  <c r="U3504" i="12"/>
  <c r="T3505" i="12"/>
  <c r="U3505" i="12"/>
  <c r="T3506" i="12"/>
  <c r="U3506" i="12"/>
  <c r="T3507" i="12"/>
  <c r="U3507" i="12"/>
  <c r="T3508" i="12"/>
  <c r="U3508" i="12"/>
  <c r="T3509" i="12"/>
  <c r="U3509" i="12"/>
  <c r="T3510" i="12"/>
  <c r="U3510" i="12"/>
  <c r="T3511" i="12"/>
  <c r="U3511" i="12"/>
  <c r="T3512" i="12"/>
  <c r="U3512" i="12"/>
  <c r="T3513" i="12"/>
  <c r="U3513" i="12"/>
  <c r="T3514" i="12"/>
  <c r="U3514" i="12"/>
  <c r="T3515" i="12"/>
  <c r="U3515" i="12"/>
  <c r="T3516" i="12"/>
  <c r="U3516" i="12"/>
  <c r="T3517" i="12"/>
  <c r="U3517" i="12"/>
  <c r="T3518" i="12"/>
  <c r="U3518" i="12"/>
  <c r="T3519" i="12"/>
  <c r="U3519" i="12"/>
  <c r="T3520" i="12"/>
  <c r="U3520" i="12"/>
  <c r="T3521" i="12"/>
  <c r="U3521" i="12"/>
  <c r="T3522" i="12"/>
  <c r="U3522" i="12"/>
  <c r="T3523" i="12"/>
  <c r="U3523" i="12"/>
  <c r="T3524" i="12"/>
  <c r="U3524" i="12"/>
  <c r="T3525" i="12"/>
  <c r="U3525" i="12"/>
  <c r="T3526" i="12"/>
  <c r="U3526" i="12"/>
  <c r="T3527" i="12"/>
  <c r="U3527" i="12"/>
  <c r="T3528" i="12"/>
  <c r="U3528" i="12"/>
  <c r="T3529" i="12"/>
  <c r="U3529" i="12"/>
  <c r="T3530" i="12"/>
  <c r="U3530" i="12"/>
  <c r="T3531" i="12"/>
  <c r="U3531" i="12"/>
  <c r="T3532" i="12"/>
  <c r="U3532" i="12"/>
  <c r="T3533" i="12"/>
  <c r="U3533" i="12"/>
  <c r="T3534" i="12"/>
  <c r="U3534" i="12"/>
  <c r="T3535" i="12"/>
  <c r="U3535" i="12"/>
  <c r="T3536" i="12"/>
  <c r="U3536" i="12"/>
  <c r="T3537" i="12"/>
  <c r="U3537" i="12"/>
  <c r="T3538" i="12"/>
  <c r="U3538" i="12"/>
  <c r="T3539" i="12"/>
  <c r="U3539" i="12"/>
  <c r="T3540" i="12"/>
  <c r="U3540" i="12"/>
  <c r="T3541" i="12"/>
  <c r="U3541" i="12"/>
  <c r="T3542" i="12"/>
  <c r="U3542" i="12"/>
  <c r="T3543" i="12"/>
  <c r="U3543" i="12"/>
  <c r="T3544" i="12"/>
  <c r="U3544" i="12"/>
  <c r="T3545" i="12"/>
  <c r="U3545" i="12"/>
  <c r="T3546" i="12"/>
  <c r="U3546" i="12"/>
  <c r="T3547" i="12"/>
  <c r="U3547" i="12"/>
  <c r="T3548" i="12"/>
  <c r="U3548" i="12"/>
  <c r="T3549" i="12"/>
  <c r="U3549" i="12"/>
  <c r="T3550" i="12"/>
  <c r="U3550" i="12"/>
  <c r="T3551" i="12"/>
  <c r="U3551" i="12"/>
  <c r="T3552" i="12"/>
  <c r="U3552" i="12"/>
  <c r="T3553" i="12"/>
  <c r="U3553" i="12"/>
  <c r="T3554" i="12"/>
  <c r="U3554" i="12"/>
  <c r="T3555" i="12"/>
  <c r="U3555" i="12"/>
  <c r="T3556" i="12"/>
  <c r="U3556" i="12"/>
  <c r="T3557" i="12"/>
  <c r="U3557" i="12"/>
  <c r="T3558" i="12"/>
  <c r="U3558" i="12"/>
  <c r="T3559" i="12"/>
  <c r="U3559" i="12"/>
  <c r="T3560" i="12"/>
  <c r="U3560" i="12"/>
  <c r="T3561" i="12"/>
  <c r="U3561" i="12"/>
  <c r="T3562" i="12"/>
  <c r="U3562" i="12"/>
  <c r="T3563" i="12"/>
  <c r="U3563" i="12"/>
  <c r="T3564" i="12"/>
  <c r="U3564" i="12"/>
  <c r="T3565" i="12"/>
  <c r="U3565" i="12"/>
  <c r="T3566" i="12"/>
  <c r="U3566" i="12"/>
  <c r="T3567" i="12"/>
  <c r="U3567" i="12"/>
  <c r="T3568" i="12"/>
  <c r="U3568" i="12"/>
  <c r="T3569" i="12"/>
  <c r="U3569" i="12"/>
  <c r="T3570" i="12"/>
  <c r="U3570" i="12"/>
  <c r="T3571" i="12"/>
  <c r="U3571" i="12"/>
  <c r="T3572" i="12"/>
  <c r="U3572" i="12"/>
  <c r="T3573" i="12"/>
  <c r="U3573" i="12"/>
  <c r="T3574" i="12"/>
  <c r="U3574" i="12"/>
  <c r="T3575" i="12"/>
  <c r="U3575" i="12"/>
  <c r="T3576" i="12"/>
  <c r="U3576" i="12"/>
  <c r="T3577" i="12"/>
  <c r="U3577" i="12"/>
  <c r="T3578" i="12"/>
  <c r="U3578" i="12"/>
  <c r="T3579" i="12"/>
  <c r="U3579" i="12"/>
  <c r="T3580" i="12"/>
  <c r="U3580" i="12"/>
  <c r="T3581" i="12"/>
  <c r="U3581" i="12"/>
  <c r="T3582" i="12"/>
  <c r="U3582" i="12"/>
  <c r="T3583" i="12"/>
  <c r="U3583" i="12"/>
  <c r="T3584" i="12"/>
  <c r="U3584" i="12"/>
  <c r="T3585" i="12"/>
  <c r="U3585" i="12"/>
  <c r="T3586" i="12"/>
  <c r="U3586" i="12"/>
  <c r="T3587" i="12"/>
  <c r="U3587" i="12"/>
  <c r="T3588" i="12"/>
  <c r="U3588" i="12"/>
  <c r="T3589" i="12"/>
  <c r="U3589" i="12"/>
  <c r="T3590" i="12"/>
  <c r="U3590" i="12"/>
  <c r="T3591" i="12"/>
  <c r="U3591" i="12"/>
  <c r="T3592" i="12"/>
  <c r="U3592" i="12"/>
  <c r="T3593" i="12"/>
  <c r="U3593" i="12"/>
  <c r="T3594" i="12"/>
  <c r="U3594" i="12"/>
  <c r="T3595" i="12"/>
  <c r="U3595" i="12"/>
  <c r="T3596" i="12"/>
  <c r="U3596" i="12"/>
  <c r="T3597" i="12"/>
  <c r="U3597" i="12"/>
  <c r="T3598" i="12"/>
  <c r="U3598" i="12"/>
  <c r="T3599" i="12"/>
  <c r="U3599" i="12"/>
  <c r="T3600" i="12"/>
  <c r="U3600" i="12"/>
  <c r="T3601" i="12"/>
  <c r="U3601" i="12"/>
  <c r="T3602" i="12"/>
  <c r="U3602" i="12"/>
  <c r="T3603" i="12"/>
  <c r="U3603" i="12"/>
  <c r="T3604" i="12"/>
  <c r="U3604" i="12"/>
  <c r="T3605" i="12"/>
  <c r="U3605" i="12"/>
  <c r="T3606" i="12"/>
  <c r="U3606" i="12"/>
  <c r="T3607" i="12"/>
  <c r="U3607" i="12"/>
  <c r="T3608" i="12"/>
  <c r="U3608" i="12"/>
  <c r="T3609" i="12"/>
  <c r="U3609" i="12"/>
  <c r="T3610" i="12"/>
  <c r="U3610" i="12"/>
  <c r="T3611" i="12"/>
  <c r="U3611" i="12"/>
  <c r="T3612" i="12"/>
  <c r="U3612" i="12"/>
  <c r="T3613" i="12"/>
  <c r="U3613" i="12"/>
  <c r="T3614" i="12"/>
  <c r="U3614" i="12"/>
  <c r="T3615" i="12"/>
  <c r="U3615" i="12"/>
  <c r="T3616" i="12"/>
  <c r="U3616" i="12"/>
  <c r="T3617" i="12"/>
  <c r="U3617" i="12"/>
  <c r="T3618" i="12"/>
  <c r="U3618" i="12"/>
  <c r="T3619" i="12"/>
  <c r="U3619" i="12"/>
  <c r="T3620" i="12"/>
  <c r="U3620" i="12"/>
  <c r="T3621" i="12"/>
  <c r="U3621" i="12"/>
  <c r="T3622" i="12"/>
  <c r="U3622" i="12"/>
  <c r="T3623" i="12"/>
  <c r="U3623" i="12"/>
  <c r="T3624" i="12"/>
  <c r="U3624" i="12"/>
  <c r="T3625" i="12"/>
  <c r="U3625" i="12"/>
  <c r="T3626" i="12"/>
  <c r="U3626" i="12"/>
  <c r="T3627" i="12"/>
  <c r="U3627" i="12"/>
  <c r="T3628" i="12"/>
  <c r="U3628" i="12"/>
  <c r="T3629" i="12"/>
  <c r="U3629" i="12"/>
  <c r="T3630" i="12"/>
  <c r="U3630" i="12"/>
  <c r="T3631" i="12"/>
  <c r="U3631" i="12"/>
  <c r="T3632" i="12"/>
  <c r="U3632" i="12"/>
  <c r="T3633" i="12"/>
  <c r="U3633" i="12"/>
  <c r="T3634" i="12"/>
  <c r="U3634" i="12"/>
  <c r="T3635" i="12"/>
  <c r="U3635" i="12"/>
  <c r="T3636" i="12"/>
  <c r="U3636" i="12"/>
  <c r="T3637" i="12"/>
  <c r="U3637" i="12"/>
  <c r="T3638" i="12"/>
  <c r="U3638" i="12"/>
  <c r="T3639" i="12"/>
  <c r="U3639" i="12"/>
  <c r="T3640" i="12"/>
  <c r="U3640" i="12"/>
  <c r="T3641" i="12"/>
  <c r="U3641" i="12"/>
  <c r="T3642" i="12"/>
  <c r="U3642" i="12"/>
  <c r="T3643" i="12"/>
  <c r="U3643" i="12"/>
  <c r="T3644" i="12"/>
  <c r="U3644" i="12"/>
  <c r="T3645" i="12"/>
  <c r="U3645" i="12"/>
  <c r="T3646" i="12"/>
  <c r="U3646" i="12"/>
  <c r="T3647" i="12"/>
  <c r="U3647" i="12"/>
  <c r="T3648" i="12"/>
  <c r="U3648" i="12"/>
  <c r="T3649" i="12"/>
  <c r="U3649" i="12"/>
  <c r="T3650" i="12"/>
  <c r="U3650" i="12"/>
  <c r="T3651" i="12"/>
  <c r="U3651" i="12"/>
  <c r="T3652" i="12"/>
  <c r="U3652" i="12"/>
  <c r="T3653" i="12"/>
  <c r="U3653" i="12"/>
  <c r="T3654" i="12"/>
  <c r="U3654" i="12"/>
  <c r="T3655" i="12"/>
  <c r="U3655" i="12"/>
  <c r="T3656" i="12"/>
  <c r="U3656" i="12"/>
  <c r="T3657" i="12"/>
  <c r="U3657" i="12"/>
  <c r="T3658" i="12"/>
  <c r="U3658" i="12"/>
  <c r="T3659" i="12"/>
  <c r="U3659" i="12"/>
  <c r="T3660" i="12"/>
  <c r="U3660" i="12"/>
  <c r="T3661" i="12"/>
  <c r="U3661" i="12"/>
  <c r="T3662" i="12"/>
  <c r="U3662" i="12"/>
  <c r="T3663" i="12"/>
  <c r="U3663" i="12"/>
  <c r="T3664" i="12"/>
  <c r="U3664" i="12"/>
  <c r="T3665" i="12"/>
  <c r="U3665" i="12"/>
  <c r="T3666" i="12"/>
  <c r="U3666" i="12"/>
  <c r="T3667" i="12"/>
  <c r="U3667" i="12"/>
  <c r="T3668" i="12"/>
  <c r="U3668" i="12"/>
  <c r="T3669" i="12"/>
  <c r="U3669" i="12"/>
  <c r="T3670" i="12"/>
  <c r="U3670" i="12"/>
  <c r="T3671" i="12"/>
  <c r="U3671" i="12"/>
  <c r="T3672" i="12"/>
  <c r="U3672" i="12"/>
  <c r="T3673" i="12"/>
  <c r="U3673" i="12"/>
  <c r="T3674" i="12"/>
  <c r="U3674" i="12"/>
  <c r="T3675" i="12"/>
  <c r="U3675" i="12"/>
  <c r="T3676" i="12"/>
  <c r="U3676" i="12"/>
  <c r="T3677" i="12"/>
  <c r="U3677" i="12"/>
  <c r="T3678" i="12"/>
  <c r="U3678" i="12"/>
  <c r="T3679" i="12"/>
  <c r="U3679" i="12"/>
  <c r="T3680" i="12"/>
  <c r="U3680" i="12"/>
  <c r="T3681" i="12"/>
  <c r="U3681" i="12"/>
  <c r="T3682" i="12"/>
  <c r="U3682" i="12"/>
  <c r="T3683" i="12"/>
  <c r="U3683" i="12"/>
  <c r="T3684" i="12"/>
  <c r="U3684" i="12"/>
  <c r="T3685" i="12"/>
  <c r="U3685" i="12"/>
  <c r="T3686" i="12"/>
  <c r="U3686" i="12"/>
  <c r="T3687" i="12"/>
  <c r="U3687" i="12"/>
  <c r="T3688" i="12"/>
  <c r="U3688" i="12"/>
  <c r="T3689" i="12"/>
  <c r="U3689" i="12"/>
  <c r="T3690" i="12"/>
  <c r="U3690" i="12"/>
  <c r="T3691" i="12"/>
  <c r="U3691" i="12"/>
  <c r="T3692" i="12"/>
  <c r="U3692" i="12"/>
  <c r="T3693" i="12"/>
  <c r="U3693" i="12"/>
  <c r="T3694" i="12"/>
  <c r="U3694" i="12"/>
  <c r="T3695" i="12"/>
  <c r="U3695" i="12"/>
  <c r="T3696" i="12"/>
  <c r="U3696" i="12"/>
  <c r="T3697" i="12"/>
  <c r="U3697" i="12"/>
  <c r="T3698" i="12"/>
  <c r="U3698" i="12"/>
  <c r="T3699" i="12"/>
  <c r="U3699" i="12"/>
  <c r="T3700" i="12"/>
  <c r="U3700" i="12"/>
  <c r="T3701" i="12"/>
  <c r="U3701" i="12"/>
  <c r="T3702" i="12"/>
  <c r="U3702" i="12"/>
  <c r="T3703" i="12"/>
  <c r="U3703" i="12"/>
  <c r="T3704" i="12"/>
  <c r="U3704" i="12"/>
  <c r="T3705" i="12"/>
  <c r="U3705" i="12"/>
  <c r="T3706" i="12"/>
  <c r="U3706" i="12"/>
  <c r="T3707" i="12"/>
  <c r="U3707" i="12"/>
  <c r="T3708" i="12"/>
  <c r="U3708" i="12"/>
  <c r="T3709" i="12"/>
  <c r="U3709" i="12"/>
  <c r="T3710" i="12"/>
  <c r="U3710" i="12"/>
  <c r="T3711" i="12"/>
  <c r="U3711" i="12"/>
  <c r="T3712" i="12"/>
  <c r="U3712" i="12"/>
  <c r="T3713" i="12"/>
  <c r="U3713" i="12"/>
  <c r="T3714" i="12"/>
  <c r="U3714" i="12"/>
  <c r="T3715" i="12"/>
  <c r="U3715" i="12"/>
  <c r="T3716" i="12"/>
  <c r="U3716" i="12"/>
  <c r="T3717" i="12"/>
  <c r="U3717" i="12"/>
  <c r="T3718" i="12"/>
  <c r="U3718" i="12"/>
  <c r="T3719" i="12"/>
  <c r="U3719" i="12"/>
  <c r="T3720" i="12"/>
  <c r="U3720" i="12"/>
  <c r="T3721" i="12"/>
  <c r="U3721" i="12"/>
  <c r="T3722" i="12"/>
  <c r="U3722" i="12"/>
  <c r="T3723" i="12"/>
  <c r="U3723" i="12"/>
  <c r="T3724" i="12"/>
  <c r="U3724" i="12"/>
  <c r="T3725" i="12"/>
  <c r="U3725" i="12"/>
  <c r="T3726" i="12"/>
  <c r="U3726" i="12"/>
  <c r="T3727" i="12"/>
  <c r="U3727" i="12"/>
  <c r="T3728" i="12"/>
  <c r="U3728" i="12"/>
  <c r="T3729" i="12"/>
  <c r="U3729" i="12"/>
  <c r="T3730" i="12"/>
  <c r="U3730" i="12"/>
  <c r="T3731" i="12"/>
  <c r="U3731" i="12"/>
  <c r="T3732" i="12"/>
  <c r="U3732" i="12"/>
  <c r="T3733" i="12"/>
  <c r="U3733" i="12"/>
  <c r="T3734" i="12"/>
  <c r="U3734" i="12"/>
  <c r="T3735" i="12"/>
  <c r="U3735" i="12"/>
  <c r="T3736" i="12"/>
  <c r="U3736" i="12"/>
  <c r="T3737" i="12"/>
  <c r="U3737" i="12"/>
  <c r="T3738" i="12"/>
  <c r="U3738" i="12"/>
  <c r="T3739" i="12"/>
  <c r="U3739" i="12"/>
  <c r="T3740" i="12"/>
  <c r="U3740" i="12"/>
  <c r="T3741" i="12"/>
  <c r="U3741" i="12"/>
  <c r="T3742" i="12"/>
  <c r="U3742" i="12"/>
  <c r="T3743" i="12"/>
  <c r="U3743" i="12"/>
  <c r="T3744" i="12"/>
  <c r="U3744" i="12"/>
  <c r="T3745" i="12"/>
  <c r="U3745" i="12"/>
  <c r="T3746" i="12"/>
  <c r="U3746" i="12"/>
  <c r="T3747" i="12"/>
  <c r="U3747" i="12"/>
  <c r="T3748" i="12"/>
  <c r="U3748" i="12"/>
  <c r="T3749" i="12"/>
  <c r="U3749" i="12"/>
  <c r="T3750" i="12"/>
  <c r="U3750" i="12"/>
  <c r="T3751" i="12"/>
  <c r="U3751" i="12"/>
  <c r="T3752" i="12"/>
  <c r="U3752" i="12"/>
  <c r="T3753" i="12"/>
  <c r="U3753" i="12"/>
  <c r="T3754" i="12"/>
  <c r="U3754" i="12"/>
  <c r="T3755" i="12"/>
  <c r="U3755" i="12"/>
  <c r="T3756" i="12"/>
  <c r="U3756" i="12"/>
  <c r="T3757" i="12"/>
  <c r="U3757" i="12"/>
  <c r="T3758" i="12"/>
  <c r="U3758" i="12"/>
  <c r="T3759" i="12"/>
  <c r="U3759" i="12"/>
  <c r="T3760" i="12"/>
  <c r="U3760" i="12"/>
  <c r="T3761" i="12"/>
  <c r="U3761" i="12"/>
  <c r="T3762" i="12"/>
  <c r="U3762" i="12"/>
  <c r="T3763" i="12"/>
  <c r="U3763" i="12"/>
  <c r="T3764" i="12"/>
  <c r="U3764" i="12"/>
  <c r="T3765" i="12"/>
  <c r="U3765" i="12"/>
  <c r="T3766" i="12"/>
  <c r="U3766" i="12"/>
  <c r="T3767" i="12"/>
  <c r="U3767" i="12"/>
  <c r="T3768" i="12"/>
  <c r="U3768" i="12"/>
  <c r="T3769" i="12"/>
  <c r="U3769" i="12"/>
  <c r="T3770" i="12"/>
  <c r="U3770" i="12"/>
  <c r="T3771" i="12"/>
  <c r="U3771" i="12"/>
  <c r="T3772" i="12"/>
  <c r="U3772" i="12"/>
  <c r="T3773" i="12"/>
  <c r="U3773" i="12"/>
  <c r="T3774" i="12"/>
  <c r="U3774" i="12"/>
  <c r="T3775" i="12"/>
  <c r="U3775" i="12"/>
  <c r="T3776" i="12"/>
  <c r="U3776" i="12"/>
  <c r="T3777" i="12"/>
  <c r="U3777" i="12"/>
  <c r="T3778" i="12"/>
  <c r="U3778" i="12"/>
  <c r="T3779" i="12"/>
  <c r="U3779" i="12"/>
  <c r="T3780" i="12"/>
  <c r="U3780" i="12"/>
  <c r="T3781" i="12"/>
  <c r="U3781" i="12"/>
  <c r="T3782" i="12"/>
  <c r="U3782" i="12"/>
  <c r="T3783" i="12"/>
  <c r="U3783" i="12"/>
  <c r="T3784" i="12"/>
  <c r="U3784" i="12"/>
  <c r="T3785" i="12"/>
  <c r="U3785" i="12"/>
  <c r="T3786" i="12"/>
  <c r="U3786" i="12"/>
  <c r="T3787" i="12"/>
  <c r="U3787" i="12"/>
  <c r="T3788" i="12"/>
  <c r="U3788" i="12"/>
  <c r="T3789" i="12"/>
  <c r="U3789" i="12"/>
  <c r="T3790" i="12"/>
  <c r="U3790" i="12"/>
  <c r="T3791" i="12"/>
  <c r="U3791" i="12"/>
  <c r="T3792" i="12"/>
  <c r="U3792" i="12"/>
  <c r="T3793" i="12"/>
  <c r="U3793" i="12"/>
  <c r="T3794" i="12"/>
  <c r="U3794" i="12"/>
  <c r="T3795" i="12"/>
  <c r="U3795" i="12"/>
  <c r="T3796" i="12"/>
  <c r="U3796" i="12"/>
  <c r="T3797" i="12"/>
  <c r="U3797" i="12"/>
  <c r="T3798" i="12"/>
  <c r="U3798" i="12"/>
  <c r="T3799" i="12"/>
  <c r="U3799" i="12"/>
  <c r="T3800" i="12"/>
  <c r="U3800" i="12"/>
  <c r="T3801" i="12"/>
  <c r="U3801" i="12"/>
  <c r="T3802" i="12"/>
  <c r="U3802" i="12"/>
  <c r="T3803" i="12"/>
  <c r="U3803" i="12"/>
  <c r="T3804" i="12"/>
  <c r="U3804" i="12"/>
  <c r="T3805" i="12"/>
  <c r="U3805" i="12"/>
  <c r="T3806" i="12"/>
  <c r="U3806" i="12"/>
  <c r="T3807" i="12"/>
  <c r="U3807" i="12"/>
  <c r="T3808" i="12"/>
  <c r="U3808" i="12"/>
  <c r="T3809" i="12"/>
  <c r="U3809" i="12"/>
  <c r="T3810" i="12"/>
  <c r="U3810" i="12"/>
  <c r="T3811" i="12"/>
  <c r="U3811" i="12"/>
  <c r="T3812" i="12"/>
  <c r="U3812" i="12"/>
  <c r="T3813" i="12"/>
  <c r="U3813" i="12"/>
  <c r="T3814" i="12"/>
  <c r="U3814" i="12"/>
  <c r="T3815" i="12"/>
  <c r="U3815" i="12"/>
  <c r="T3816" i="12"/>
  <c r="U3816" i="12"/>
  <c r="T3817" i="12"/>
  <c r="U3817" i="12"/>
  <c r="T3818" i="12"/>
  <c r="U3818" i="12"/>
  <c r="T3819" i="12"/>
  <c r="U3819" i="12"/>
  <c r="T3820" i="12"/>
  <c r="U3820" i="12"/>
  <c r="T3821" i="12"/>
  <c r="U3821" i="12"/>
  <c r="T3822" i="12"/>
  <c r="U3822" i="12"/>
  <c r="T3823" i="12"/>
  <c r="U3823" i="12"/>
  <c r="T3824" i="12"/>
  <c r="U3824" i="12"/>
  <c r="T3825" i="12"/>
  <c r="U3825" i="12"/>
  <c r="T3826" i="12"/>
  <c r="U3826" i="12"/>
  <c r="T3827" i="12"/>
  <c r="U3827" i="12"/>
  <c r="T3828" i="12"/>
  <c r="U3828" i="12"/>
  <c r="T3829" i="12"/>
  <c r="U3829" i="12"/>
  <c r="T3830" i="12"/>
  <c r="U3830" i="12"/>
  <c r="T3831" i="12"/>
  <c r="U3831" i="12"/>
  <c r="T3832" i="12"/>
  <c r="U3832" i="12"/>
  <c r="T3833" i="12"/>
  <c r="U3833" i="12"/>
  <c r="T3834" i="12"/>
  <c r="U3834" i="12"/>
  <c r="T3835" i="12"/>
  <c r="U3835" i="12"/>
  <c r="T3836" i="12"/>
  <c r="U3836" i="12"/>
  <c r="T3837" i="12"/>
  <c r="U3837" i="12"/>
  <c r="T3838" i="12"/>
  <c r="U3838" i="12"/>
  <c r="T3839" i="12"/>
  <c r="U3839" i="12"/>
  <c r="T3840" i="12"/>
  <c r="U3840" i="12"/>
  <c r="T3841" i="12"/>
  <c r="U3841" i="12"/>
  <c r="T3842" i="12"/>
  <c r="U3842" i="12"/>
  <c r="T3843" i="12"/>
  <c r="U3843" i="12"/>
  <c r="T3844" i="12"/>
  <c r="U3844" i="12"/>
  <c r="T3845" i="12"/>
  <c r="U3845" i="12"/>
  <c r="T3846" i="12"/>
  <c r="U3846" i="12"/>
  <c r="T3847" i="12"/>
  <c r="U3847" i="12"/>
  <c r="T3848" i="12"/>
  <c r="U3848" i="12"/>
  <c r="T3849" i="12"/>
  <c r="U3849" i="12"/>
  <c r="T3850" i="12"/>
  <c r="U3850" i="12"/>
  <c r="T3851" i="12"/>
  <c r="U3851" i="12"/>
  <c r="T3852" i="12"/>
  <c r="U3852" i="12"/>
  <c r="T3853" i="12"/>
  <c r="U3853" i="12"/>
  <c r="T3854" i="12"/>
  <c r="U3854" i="12"/>
  <c r="T3855" i="12"/>
  <c r="U3855" i="12"/>
  <c r="T3856" i="12"/>
  <c r="U3856" i="12"/>
  <c r="T3857" i="12"/>
  <c r="U3857" i="12"/>
  <c r="T3858" i="12"/>
  <c r="U3858" i="12"/>
  <c r="T3859" i="12"/>
  <c r="U3859" i="12"/>
  <c r="T3860" i="12"/>
  <c r="U3860" i="12"/>
  <c r="T3861" i="12"/>
  <c r="U3861" i="12"/>
  <c r="T3862" i="12"/>
  <c r="U3862" i="12"/>
  <c r="T3863" i="12"/>
  <c r="U3863" i="12"/>
  <c r="T3864" i="12"/>
  <c r="U3864" i="12"/>
  <c r="T3865" i="12"/>
  <c r="U3865" i="12"/>
  <c r="T3866" i="12"/>
  <c r="U3866" i="12"/>
  <c r="T3867" i="12"/>
  <c r="U3867" i="12"/>
  <c r="T3868" i="12"/>
  <c r="U3868" i="12"/>
  <c r="T3869" i="12"/>
  <c r="U3869" i="12"/>
  <c r="T3870" i="12"/>
  <c r="U3870" i="12"/>
  <c r="T3871" i="12"/>
  <c r="U3871" i="12"/>
  <c r="T3872" i="12"/>
  <c r="U3872" i="12"/>
  <c r="T3873" i="12"/>
  <c r="U3873" i="12"/>
  <c r="T3874" i="12"/>
  <c r="U3874" i="12"/>
  <c r="T3875" i="12"/>
  <c r="U3875" i="12"/>
  <c r="T3876" i="12"/>
  <c r="U3876" i="12"/>
  <c r="T3877" i="12"/>
  <c r="U3877" i="12"/>
  <c r="T3878" i="12"/>
  <c r="U3878" i="12"/>
  <c r="T3879" i="12"/>
  <c r="U3879" i="12"/>
  <c r="T3880" i="12"/>
  <c r="U3880" i="12"/>
  <c r="T3881" i="12"/>
  <c r="U3881" i="12"/>
  <c r="T3882" i="12"/>
  <c r="U3882" i="12"/>
  <c r="T3883" i="12"/>
  <c r="U3883" i="12"/>
  <c r="T3884" i="12"/>
  <c r="U3884" i="12"/>
  <c r="T3885" i="12"/>
  <c r="U3885" i="12"/>
  <c r="T3886" i="12"/>
  <c r="U3886" i="12"/>
  <c r="T3887" i="12"/>
  <c r="U3887" i="12"/>
  <c r="T3888" i="12"/>
  <c r="U3888" i="12"/>
  <c r="T3889" i="12"/>
  <c r="U3889" i="12"/>
  <c r="T3890" i="12"/>
  <c r="U3890" i="12"/>
  <c r="T3891" i="12"/>
  <c r="U3891" i="12"/>
  <c r="T3892" i="12"/>
  <c r="U3892" i="12"/>
  <c r="T3893" i="12"/>
  <c r="U3893" i="12"/>
  <c r="T3894" i="12"/>
  <c r="U3894" i="12"/>
  <c r="T3895" i="12"/>
  <c r="U3895" i="12"/>
  <c r="T3896" i="12"/>
  <c r="U3896" i="12"/>
  <c r="T3897" i="12"/>
  <c r="U3897" i="12"/>
  <c r="T3898" i="12"/>
  <c r="U3898" i="12"/>
  <c r="T3899" i="12"/>
  <c r="U3899" i="12"/>
  <c r="T3900" i="12"/>
  <c r="U3900" i="12"/>
  <c r="T3901" i="12"/>
  <c r="U3901" i="12"/>
  <c r="T3902" i="12"/>
  <c r="U3902" i="12"/>
  <c r="T3903" i="12"/>
  <c r="U3903" i="12"/>
  <c r="T3904" i="12"/>
  <c r="U3904" i="12"/>
  <c r="T3905" i="12"/>
  <c r="U3905" i="12"/>
  <c r="T3906" i="12"/>
  <c r="U3906" i="12"/>
  <c r="T3907" i="12"/>
  <c r="U3907" i="12"/>
  <c r="T3908" i="12"/>
  <c r="U3908" i="12"/>
  <c r="T3909" i="12"/>
  <c r="U3909" i="12"/>
  <c r="T3910" i="12"/>
  <c r="U3910" i="12"/>
  <c r="T3911" i="12"/>
  <c r="U3911" i="12"/>
  <c r="T3912" i="12"/>
  <c r="U3912" i="12"/>
  <c r="T3913" i="12"/>
  <c r="U3913" i="12"/>
  <c r="T3914" i="12"/>
  <c r="U3914" i="12"/>
  <c r="T3915" i="12"/>
  <c r="U3915" i="12"/>
  <c r="T3916" i="12"/>
  <c r="U3916" i="12"/>
  <c r="T3917" i="12"/>
  <c r="U3917" i="12"/>
  <c r="T3918" i="12"/>
  <c r="U3918" i="12"/>
  <c r="T3919" i="12"/>
  <c r="U3919" i="12"/>
  <c r="T3920" i="12"/>
  <c r="U3920" i="12"/>
  <c r="T3921" i="12"/>
  <c r="U3921" i="12"/>
  <c r="T3922" i="12"/>
  <c r="U3922" i="12"/>
  <c r="T3923" i="12"/>
  <c r="U3923" i="12"/>
  <c r="T3924" i="12"/>
  <c r="U3924" i="12"/>
  <c r="T3925" i="12"/>
  <c r="U3925" i="12"/>
  <c r="T3926" i="12"/>
  <c r="U3926" i="12"/>
  <c r="T3927" i="12"/>
  <c r="U3927" i="12"/>
  <c r="T3928" i="12"/>
  <c r="U3928" i="12"/>
  <c r="T3929" i="12"/>
  <c r="U3929" i="12"/>
  <c r="T3930" i="12"/>
  <c r="U3930" i="12"/>
  <c r="T3931" i="12"/>
  <c r="U3931" i="12"/>
  <c r="T3932" i="12"/>
  <c r="U3932" i="12"/>
  <c r="T3933" i="12"/>
  <c r="U3933" i="12"/>
  <c r="T3934" i="12"/>
  <c r="U3934" i="12"/>
  <c r="T3935" i="12"/>
  <c r="U3935" i="12"/>
  <c r="T3936" i="12"/>
  <c r="U3936" i="12"/>
  <c r="T3937" i="12"/>
  <c r="U3937" i="12"/>
  <c r="T3938" i="12"/>
  <c r="U3938" i="12"/>
  <c r="T3939" i="12"/>
  <c r="U3939" i="12"/>
  <c r="T3940" i="12"/>
  <c r="U3940" i="12"/>
  <c r="T3941" i="12"/>
  <c r="U3941" i="12"/>
  <c r="T3942" i="12"/>
  <c r="U3942" i="12"/>
  <c r="T3943" i="12"/>
  <c r="U3943" i="12"/>
  <c r="T3944" i="12"/>
  <c r="U3944" i="12"/>
  <c r="T3945" i="12"/>
  <c r="U3945" i="12"/>
  <c r="T3946" i="12"/>
  <c r="U3946" i="12"/>
  <c r="T3947" i="12"/>
  <c r="U3947" i="12"/>
  <c r="T3948" i="12"/>
  <c r="U3948" i="12"/>
  <c r="T3949" i="12"/>
  <c r="U3949" i="12"/>
  <c r="T3950" i="12"/>
  <c r="U3950" i="12"/>
  <c r="T3951" i="12"/>
  <c r="U3951" i="12"/>
  <c r="T3952" i="12"/>
  <c r="U3952" i="12"/>
  <c r="T3953" i="12"/>
  <c r="U3953" i="12"/>
  <c r="T3954" i="12"/>
  <c r="U3954" i="12"/>
  <c r="T3955" i="12"/>
  <c r="U3955" i="12"/>
  <c r="T3956" i="12"/>
  <c r="U3956" i="12"/>
  <c r="T3957" i="12"/>
  <c r="U3957" i="12"/>
  <c r="T3958" i="12"/>
  <c r="U3958" i="12"/>
  <c r="T3959" i="12"/>
  <c r="U3959" i="12"/>
  <c r="T3960" i="12"/>
  <c r="U3960" i="12"/>
  <c r="T3961" i="12"/>
  <c r="U3961" i="12"/>
  <c r="T3962" i="12"/>
  <c r="U3962" i="12"/>
  <c r="T3963" i="12"/>
  <c r="U3963" i="12"/>
  <c r="T3964" i="12"/>
  <c r="U3964" i="12"/>
  <c r="T3965" i="12"/>
  <c r="U3965" i="12"/>
  <c r="T3966" i="12"/>
  <c r="U3966" i="12"/>
  <c r="T3967" i="12"/>
  <c r="U3967" i="12"/>
  <c r="T3968" i="12"/>
  <c r="U3968" i="12"/>
  <c r="T3969" i="12"/>
  <c r="U3969" i="12"/>
  <c r="T3970" i="12"/>
  <c r="U3970" i="12"/>
  <c r="T3971" i="12"/>
  <c r="U3971" i="12"/>
  <c r="T3972" i="12"/>
  <c r="U3972" i="12"/>
  <c r="T3973" i="12"/>
  <c r="U3973" i="12"/>
  <c r="T3974" i="12"/>
  <c r="U3974" i="12"/>
  <c r="T3975" i="12"/>
  <c r="U3975" i="12"/>
  <c r="T3976" i="12"/>
  <c r="U3976" i="12"/>
  <c r="T3977" i="12"/>
  <c r="U3977" i="12"/>
  <c r="T3978" i="12"/>
  <c r="U3978" i="12"/>
  <c r="T3979" i="12"/>
  <c r="U3979" i="12"/>
  <c r="T3980" i="12"/>
  <c r="U3980" i="12"/>
  <c r="T3981" i="12"/>
  <c r="U3981" i="12"/>
  <c r="T3982" i="12"/>
  <c r="U3982" i="12"/>
  <c r="T3983" i="12"/>
  <c r="U3983" i="12"/>
  <c r="T3984" i="12"/>
  <c r="U3984" i="12"/>
  <c r="T3985" i="12"/>
  <c r="U3985" i="12"/>
  <c r="T3986" i="12"/>
  <c r="U3986" i="12"/>
  <c r="T3987" i="12"/>
  <c r="U3987" i="12"/>
  <c r="T3988" i="12"/>
  <c r="U3988" i="12"/>
  <c r="T3989" i="12"/>
  <c r="U3989" i="12"/>
  <c r="T3990" i="12"/>
  <c r="U3990" i="12"/>
  <c r="T3991" i="12"/>
  <c r="U3991" i="12"/>
  <c r="T3992" i="12"/>
  <c r="U3992" i="12"/>
  <c r="T3993" i="12"/>
  <c r="U3993" i="12"/>
  <c r="T3994" i="12"/>
  <c r="U3994" i="12"/>
  <c r="T3995" i="12"/>
  <c r="U3995" i="12"/>
  <c r="T3996" i="12"/>
  <c r="U3996" i="12"/>
  <c r="T3997" i="12"/>
  <c r="U3997" i="12"/>
  <c r="T3998" i="12"/>
  <c r="U3998" i="12"/>
  <c r="T3999" i="12"/>
  <c r="U3999" i="12"/>
  <c r="T4000" i="12"/>
  <c r="U4000" i="12"/>
  <c r="T4001" i="12"/>
  <c r="U4001" i="12"/>
  <c r="T4002" i="12"/>
  <c r="U4002" i="12"/>
  <c r="T4003" i="12"/>
  <c r="U4003" i="12"/>
  <c r="T4004" i="12"/>
  <c r="U4004" i="12"/>
  <c r="T4005" i="12"/>
  <c r="U4005" i="12"/>
  <c r="T4006" i="12"/>
  <c r="U4006" i="12"/>
  <c r="T4007" i="12"/>
  <c r="U4007" i="12"/>
  <c r="T4008" i="12"/>
  <c r="U4008" i="12"/>
  <c r="T4009" i="12"/>
  <c r="U4009" i="12"/>
  <c r="T4010" i="12"/>
  <c r="U4010" i="12"/>
  <c r="T4011" i="12"/>
  <c r="U4011" i="12"/>
  <c r="T4012" i="12"/>
  <c r="U4012" i="12"/>
  <c r="T4013" i="12"/>
  <c r="U4013" i="12"/>
  <c r="T4014" i="12"/>
  <c r="U4014" i="12"/>
  <c r="T4015" i="12"/>
  <c r="U4015" i="12"/>
  <c r="T4016" i="12"/>
  <c r="U4016" i="12"/>
  <c r="T4017" i="12"/>
  <c r="U4017" i="12"/>
  <c r="T4018" i="12"/>
  <c r="U4018" i="12"/>
  <c r="T4019" i="12"/>
  <c r="U4019" i="12"/>
  <c r="T4020" i="12"/>
  <c r="U4020" i="12"/>
  <c r="T4021" i="12"/>
  <c r="U4021" i="12"/>
  <c r="T4022" i="12"/>
  <c r="U4022" i="12"/>
  <c r="T4023" i="12"/>
  <c r="U4023" i="12"/>
  <c r="T4024" i="12"/>
  <c r="U4024" i="12"/>
  <c r="T4025" i="12"/>
  <c r="U4025" i="12"/>
  <c r="T4026" i="12"/>
  <c r="U4026" i="12"/>
  <c r="T4027" i="12"/>
  <c r="U4027" i="12"/>
  <c r="T4028" i="12"/>
  <c r="U4028" i="12"/>
  <c r="T4029" i="12"/>
  <c r="U4029" i="12"/>
  <c r="T4030" i="12"/>
  <c r="U4030" i="12"/>
  <c r="T4031" i="12"/>
  <c r="U4031" i="12"/>
  <c r="T4032" i="12"/>
  <c r="U4032" i="12"/>
  <c r="T4033" i="12"/>
  <c r="U4033" i="12"/>
  <c r="T4034" i="12"/>
  <c r="U4034" i="12"/>
  <c r="T4035" i="12"/>
  <c r="U4035" i="12"/>
  <c r="T4036" i="12"/>
  <c r="U4036" i="12"/>
  <c r="T4037" i="12"/>
  <c r="U4037" i="12"/>
  <c r="T4038" i="12"/>
  <c r="U4038" i="12"/>
  <c r="T4039" i="12"/>
  <c r="U4039" i="12"/>
  <c r="T4040" i="12"/>
  <c r="U4040" i="12"/>
  <c r="T4041" i="12"/>
  <c r="U4041" i="12"/>
  <c r="T4042" i="12"/>
  <c r="U4042" i="12"/>
  <c r="T4043" i="12"/>
  <c r="U4043" i="12"/>
  <c r="T4044" i="12"/>
  <c r="U4044" i="12"/>
  <c r="T4045" i="12"/>
  <c r="U4045" i="12"/>
  <c r="T4046" i="12"/>
  <c r="U4046" i="12"/>
  <c r="T4047" i="12"/>
  <c r="U4047" i="12"/>
  <c r="T4048" i="12"/>
  <c r="U4048" i="12"/>
  <c r="T4049" i="12"/>
  <c r="U4049" i="12"/>
  <c r="T4050" i="12"/>
  <c r="U4050" i="12"/>
  <c r="T4051" i="12"/>
  <c r="U4051" i="12"/>
  <c r="T4052" i="12"/>
  <c r="U4052" i="12"/>
  <c r="T4053" i="12"/>
  <c r="U4053" i="12"/>
  <c r="T4054" i="12"/>
  <c r="U4054" i="12"/>
  <c r="T4055" i="12"/>
  <c r="U4055" i="12"/>
  <c r="T4056" i="12"/>
  <c r="U4056" i="12"/>
  <c r="T4057" i="12"/>
  <c r="U4057" i="12"/>
  <c r="T4058" i="12"/>
  <c r="U4058" i="12"/>
  <c r="T4059" i="12"/>
  <c r="U4059" i="12"/>
  <c r="T4060" i="12"/>
  <c r="U4060" i="12"/>
  <c r="T4061" i="12"/>
  <c r="U4061" i="12"/>
  <c r="T4062" i="12"/>
  <c r="U4062" i="12"/>
  <c r="T4063" i="12"/>
  <c r="U4063" i="12"/>
  <c r="T4064" i="12"/>
  <c r="U4064" i="12"/>
  <c r="T4065" i="12"/>
  <c r="U4065" i="12"/>
  <c r="T4066" i="12"/>
  <c r="U4066" i="12"/>
  <c r="T4067" i="12"/>
  <c r="U4067" i="12"/>
  <c r="T4068" i="12"/>
  <c r="U4068" i="12"/>
  <c r="T4069" i="12"/>
  <c r="U4069" i="12"/>
  <c r="T4070" i="12"/>
  <c r="U4070" i="12"/>
  <c r="T4071" i="12"/>
  <c r="U4071" i="12"/>
  <c r="T4072" i="12"/>
  <c r="U4072" i="12"/>
  <c r="T4073" i="12"/>
  <c r="U4073" i="12"/>
  <c r="T4074" i="12"/>
  <c r="U4074" i="12"/>
  <c r="T4075" i="12"/>
  <c r="U4075" i="12"/>
  <c r="T4076" i="12"/>
  <c r="U4076" i="12"/>
  <c r="T4077" i="12"/>
  <c r="U4077" i="12"/>
  <c r="T4078" i="12"/>
  <c r="U4078" i="12"/>
  <c r="T4079" i="12"/>
  <c r="U4079" i="12"/>
  <c r="T4080" i="12"/>
  <c r="U4080" i="12"/>
  <c r="T4081" i="12"/>
  <c r="U4081" i="12"/>
  <c r="T4082" i="12"/>
  <c r="U4082" i="12"/>
  <c r="T4083" i="12"/>
  <c r="U4083" i="12"/>
  <c r="T4084" i="12"/>
  <c r="U4084" i="12"/>
  <c r="T4085" i="12"/>
  <c r="U4085" i="12"/>
  <c r="T4086" i="12"/>
  <c r="U4086" i="12"/>
  <c r="T4087" i="12"/>
  <c r="U4087" i="12"/>
  <c r="T4088" i="12"/>
  <c r="U4088" i="12"/>
  <c r="T4089" i="12"/>
  <c r="U4089" i="12"/>
  <c r="T4090" i="12"/>
  <c r="U4090" i="12"/>
  <c r="T4091" i="12"/>
  <c r="U4091" i="12"/>
  <c r="T4092" i="12"/>
  <c r="U4092" i="12"/>
  <c r="T4093" i="12"/>
  <c r="U4093" i="12"/>
  <c r="T4094" i="12"/>
  <c r="U4094" i="12"/>
  <c r="T4095" i="12"/>
  <c r="U4095" i="12"/>
  <c r="T4096" i="12"/>
  <c r="U4096" i="12"/>
  <c r="T4097" i="12"/>
  <c r="U4097" i="12"/>
  <c r="T4098" i="12"/>
  <c r="U4098" i="12"/>
  <c r="T4099" i="12"/>
  <c r="U4099" i="12"/>
  <c r="T4100" i="12"/>
  <c r="U4100" i="12"/>
  <c r="T4101" i="12"/>
  <c r="U4101" i="12"/>
  <c r="T4102" i="12"/>
  <c r="U4102" i="12"/>
  <c r="T4103" i="12"/>
  <c r="U4103" i="12"/>
  <c r="T4104" i="12"/>
  <c r="U4104" i="12"/>
  <c r="T4105" i="12"/>
  <c r="U4105" i="12"/>
  <c r="T4106" i="12"/>
  <c r="U4106" i="12"/>
  <c r="T4107" i="12"/>
  <c r="U4107" i="12"/>
  <c r="T4108" i="12"/>
  <c r="U4108" i="12"/>
  <c r="T4109" i="12"/>
  <c r="U4109" i="12"/>
  <c r="T4110" i="12"/>
  <c r="U4110" i="12"/>
  <c r="T4111" i="12"/>
  <c r="U4111" i="12"/>
  <c r="T4112" i="12"/>
  <c r="U4112" i="12"/>
  <c r="T4113" i="12"/>
  <c r="U4113" i="12"/>
  <c r="T4114" i="12"/>
  <c r="U4114" i="12"/>
  <c r="T4115" i="12"/>
  <c r="U4115" i="12"/>
  <c r="T4116" i="12"/>
  <c r="U4116" i="12"/>
  <c r="T4117" i="12"/>
  <c r="U4117" i="12"/>
  <c r="T4118" i="12"/>
  <c r="U4118" i="12"/>
  <c r="T4119" i="12"/>
  <c r="U4119" i="12"/>
  <c r="T4120" i="12"/>
  <c r="U4120" i="12"/>
  <c r="T4121" i="12"/>
  <c r="U4121" i="12"/>
  <c r="T4122" i="12"/>
  <c r="U4122" i="12"/>
  <c r="T4123" i="12"/>
  <c r="U4123" i="12"/>
  <c r="T4124" i="12"/>
  <c r="U4124" i="12"/>
  <c r="T4125" i="12"/>
  <c r="U4125" i="12"/>
  <c r="T4126" i="12"/>
  <c r="U4126" i="12"/>
  <c r="T4127" i="12"/>
  <c r="U4127" i="12"/>
  <c r="T4128" i="12"/>
  <c r="U4128" i="12"/>
  <c r="T4129" i="12"/>
  <c r="U4129" i="12"/>
  <c r="T4130" i="12"/>
  <c r="U4130" i="12"/>
  <c r="T4131" i="12"/>
  <c r="U4131" i="12"/>
  <c r="T4132" i="12"/>
  <c r="U4132" i="12"/>
  <c r="T4133" i="12"/>
  <c r="U4133" i="12"/>
  <c r="T4134" i="12"/>
  <c r="U4134" i="12"/>
  <c r="T4135" i="12"/>
  <c r="U4135" i="12"/>
  <c r="T4136" i="12"/>
  <c r="U4136" i="12"/>
  <c r="T4137" i="12"/>
  <c r="U4137" i="12"/>
  <c r="T4138" i="12"/>
  <c r="U4138" i="12"/>
  <c r="T4139" i="12"/>
  <c r="U4139" i="12"/>
  <c r="T4140" i="12"/>
  <c r="U4140" i="12"/>
  <c r="T4141" i="12"/>
  <c r="U4141" i="12"/>
  <c r="T4142" i="12"/>
  <c r="U4142" i="12"/>
  <c r="T4143" i="12"/>
  <c r="U4143" i="12"/>
  <c r="T4144" i="12"/>
  <c r="U4144" i="12"/>
  <c r="T4145" i="12"/>
  <c r="U4145" i="12"/>
  <c r="T4146" i="12"/>
  <c r="U4146" i="12"/>
  <c r="T4147" i="12"/>
  <c r="U4147" i="12"/>
  <c r="T4148" i="12"/>
  <c r="U4148" i="12"/>
  <c r="T4149" i="12"/>
  <c r="U4149" i="12"/>
  <c r="T4150" i="12"/>
  <c r="U4150" i="12"/>
  <c r="T4151" i="12"/>
  <c r="U4151" i="12"/>
  <c r="T4152" i="12"/>
  <c r="U4152" i="12"/>
  <c r="T4153" i="12"/>
  <c r="U4153" i="12"/>
  <c r="T4154" i="12"/>
  <c r="U4154" i="12"/>
  <c r="T4155" i="12"/>
  <c r="U4155" i="12"/>
  <c r="T4156" i="12"/>
  <c r="U4156" i="12"/>
  <c r="T4157" i="12"/>
  <c r="U4157" i="12"/>
  <c r="T4158" i="12"/>
  <c r="U4158" i="12"/>
  <c r="T4159" i="12"/>
  <c r="U4159" i="12"/>
  <c r="T4160" i="12"/>
  <c r="U4160" i="12"/>
  <c r="T4161" i="12"/>
  <c r="U4161" i="12"/>
  <c r="T4162" i="12"/>
  <c r="U4162" i="12"/>
  <c r="T4163" i="12"/>
  <c r="U4163" i="12"/>
  <c r="T4164" i="12"/>
  <c r="U4164" i="12"/>
  <c r="T4165" i="12"/>
  <c r="U4165" i="12"/>
  <c r="T4166" i="12"/>
  <c r="U4166" i="12"/>
  <c r="T4167" i="12"/>
  <c r="U4167" i="12"/>
  <c r="T4168" i="12"/>
  <c r="U4168" i="12"/>
  <c r="T4169" i="12"/>
  <c r="U4169" i="12"/>
  <c r="T4170" i="12"/>
  <c r="U4170" i="12"/>
  <c r="T4171" i="12"/>
  <c r="U4171" i="12"/>
  <c r="T4172" i="12"/>
  <c r="U4172" i="12"/>
  <c r="T4173" i="12"/>
  <c r="U4173" i="12"/>
  <c r="T4174" i="12"/>
  <c r="U4174" i="12"/>
  <c r="T4175" i="12"/>
  <c r="U4175" i="12"/>
  <c r="T4176" i="12"/>
  <c r="U4176" i="12"/>
  <c r="T4177" i="12"/>
  <c r="U4177" i="12"/>
  <c r="T4178" i="12"/>
  <c r="U4178" i="12"/>
  <c r="T4179" i="12"/>
  <c r="U4179" i="12"/>
  <c r="T4180" i="12"/>
  <c r="U4180" i="12"/>
  <c r="T4181" i="12"/>
  <c r="U4181" i="12"/>
  <c r="T4182" i="12"/>
  <c r="U4182" i="12"/>
  <c r="T4183" i="12"/>
  <c r="U4183" i="12"/>
  <c r="T4184" i="12"/>
  <c r="U4184" i="12"/>
  <c r="T4185" i="12"/>
  <c r="U4185" i="12"/>
  <c r="T4186" i="12"/>
  <c r="U4186" i="12"/>
  <c r="T4187" i="12"/>
  <c r="U4187" i="12"/>
  <c r="T4188" i="12"/>
  <c r="U4188" i="12"/>
  <c r="T4189" i="12"/>
  <c r="U4189" i="12"/>
  <c r="T4190" i="12"/>
  <c r="U4190" i="12"/>
  <c r="T4191" i="12"/>
  <c r="U4191" i="12"/>
  <c r="T4192" i="12"/>
  <c r="U4192" i="12"/>
  <c r="T4193" i="12"/>
  <c r="U4193" i="12"/>
  <c r="T4194" i="12"/>
  <c r="U4194" i="12"/>
  <c r="T4195" i="12"/>
  <c r="U4195" i="12"/>
  <c r="T4196" i="12"/>
  <c r="U4196" i="12"/>
  <c r="T4197" i="12"/>
  <c r="U4197" i="12"/>
  <c r="T4198" i="12"/>
  <c r="U4198" i="12"/>
  <c r="T4199" i="12"/>
  <c r="U4199" i="12"/>
  <c r="T4200" i="12"/>
  <c r="U4200" i="12"/>
  <c r="T4201" i="12"/>
  <c r="U4201" i="12"/>
  <c r="T4202" i="12"/>
  <c r="U4202" i="12"/>
  <c r="T4203" i="12"/>
  <c r="U4203" i="12"/>
  <c r="T4204" i="12"/>
  <c r="U4204" i="12"/>
  <c r="T4205" i="12"/>
  <c r="U4205" i="12"/>
  <c r="T4206" i="12"/>
  <c r="U4206" i="12"/>
  <c r="T4207" i="12"/>
  <c r="U4207" i="12"/>
  <c r="T4208" i="12"/>
  <c r="U4208" i="12"/>
  <c r="T4209" i="12"/>
  <c r="U4209" i="12"/>
  <c r="T4210" i="12"/>
  <c r="U4210" i="12"/>
  <c r="T4211" i="12"/>
  <c r="U4211" i="12"/>
  <c r="T4212" i="12"/>
  <c r="U4212" i="12"/>
  <c r="T4213" i="12"/>
  <c r="U4213" i="12"/>
  <c r="T4214" i="12"/>
  <c r="U4214" i="12"/>
  <c r="T4215" i="12"/>
  <c r="U4215" i="12"/>
  <c r="T4216" i="12"/>
  <c r="U4216" i="12"/>
  <c r="T4217" i="12"/>
  <c r="U4217" i="12"/>
  <c r="T4218" i="12"/>
  <c r="U4218" i="12"/>
  <c r="T4219" i="12"/>
  <c r="U4219" i="12"/>
  <c r="T4220" i="12"/>
  <c r="U4220" i="12"/>
  <c r="T4221" i="12"/>
  <c r="U4221" i="12"/>
  <c r="T4222" i="12"/>
  <c r="U4222" i="12"/>
  <c r="T4223" i="12"/>
  <c r="U4223" i="12"/>
  <c r="T4224" i="12"/>
  <c r="U4224" i="12"/>
  <c r="T4225" i="12"/>
  <c r="U4225" i="12"/>
  <c r="T4226" i="12"/>
  <c r="U4226" i="12"/>
  <c r="T4227" i="12"/>
  <c r="U4227" i="12"/>
  <c r="T4228" i="12"/>
  <c r="U4228" i="12"/>
  <c r="T4229" i="12"/>
  <c r="U4229" i="12"/>
  <c r="T4230" i="12"/>
  <c r="U4230" i="12"/>
  <c r="T4231" i="12"/>
  <c r="U4231" i="12"/>
  <c r="T4232" i="12"/>
  <c r="U4232" i="12"/>
  <c r="T4233" i="12"/>
  <c r="U4233" i="12"/>
  <c r="T4234" i="12"/>
  <c r="U4234" i="12"/>
  <c r="T4235" i="12"/>
  <c r="U4235" i="12"/>
  <c r="T4236" i="12"/>
  <c r="U4236" i="12"/>
  <c r="T4237" i="12"/>
  <c r="U4237" i="12"/>
  <c r="T4238" i="12"/>
  <c r="U4238" i="12"/>
  <c r="T4239" i="12"/>
  <c r="U4239" i="12"/>
  <c r="T4240" i="12"/>
  <c r="U4240" i="12"/>
  <c r="T4241" i="12"/>
  <c r="U4241" i="12"/>
  <c r="T4242" i="12"/>
  <c r="U4242" i="12"/>
  <c r="T4243" i="12"/>
  <c r="U4243" i="12"/>
  <c r="T4244" i="12"/>
  <c r="U4244" i="12"/>
  <c r="T4245" i="12"/>
  <c r="U4245" i="12"/>
  <c r="T4246" i="12"/>
  <c r="U4246" i="12"/>
  <c r="T4247" i="12"/>
  <c r="U4247" i="12"/>
  <c r="T4248" i="12"/>
  <c r="U4248" i="12"/>
  <c r="T4249" i="12"/>
  <c r="U4249" i="12"/>
  <c r="T4250" i="12"/>
  <c r="U4250" i="12"/>
  <c r="T4251" i="12"/>
  <c r="U4251" i="12"/>
  <c r="T4252" i="12"/>
  <c r="U4252" i="12"/>
  <c r="T4253" i="12"/>
  <c r="U4253" i="12"/>
  <c r="T4254" i="12"/>
  <c r="U4254" i="12"/>
  <c r="T4255" i="12"/>
  <c r="U4255" i="12"/>
  <c r="T4256" i="12"/>
  <c r="U4256" i="12"/>
  <c r="T4257" i="12"/>
  <c r="U4257" i="12"/>
  <c r="T4258" i="12"/>
  <c r="U4258" i="12"/>
  <c r="T4259" i="12"/>
  <c r="U4259" i="12"/>
  <c r="T4260" i="12"/>
  <c r="U4260" i="12"/>
  <c r="T4261" i="12"/>
  <c r="U4261" i="12"/>
  <c r="T4262" i="12"/>
  <c r="U4262" i="12"/>
  <c r="T4263" i="12"/>
  <c r="U4263" i="12"/>
  <c r="T4264" i="12"/>
  <c r="U4264" i="12"/>
  <c r="T4265" i="12"/>
  <c r="U4265" i="12"/>
  <c r="T4266" i="12"/>
  <c r="U4266" i="12"/>
  <c r="T4267" i="12"/>
  <c r="U4267" i="12"/>
  <c r="T4268" i="12"/>
  <c r="U4268" i="12"/>
  <c r="T4269" i="12"/>
  <c r="U4269" i="12"/>
  <c r="T4270" i="12"/>
  <c r="U4270" i="12"/>
  <c r="T4271" i="12"/>
  <c r="U4271" i="12"/>
  <c r="T4272" i="12"/>
  <c r="U4272" i="12"/>
  <c r="T4273" i="12"/>
  <c r="U4273" i="12"/>
  <c r="T4274" i="12"/>
  <c r="U4274" i="12"/>
  <c r="T4275" i="12"/>
  <c r="U4275" i="12"/>
  <c r="T4276" i="12"/>
  <c r="U4276" i="12"/>
  <c r="T4277" i="12"/>
  <c r="U4277" i="12"/>
  <c r="T4278" i="12"/>
  <c r="U4278" i="12"/>
  <c r="T4279" i="12"/>
  <c r="U4279" i="12"/>
  <c r="T4280" i="12"/>
  <c r="U4280" i="12"/>
  <c r="T4281" i="12"/>
  <c r="U4281" i="12"/>
  <c r="T4282" i="12"/>
  <c r="U4282" i="12"/>
  <c r="T4283" i="12"/>
  <c r="U4283" i="12"/>
  <c r="T4284" i="12"/>
  <c r="U4284" i="12"/>
  <c r="T4285" i="12"/>
  <c r="U4285" i="12"/>
  <c r="T4286" i="12"/>
  <c r="U4286" i="12"/>
  <c r="T4287" i="12"/>
  <c r="U4287" i="12"/>
  <c r="T4288" i="12"/>
  <c r="U4288" i="12"/>
  <c r="T4289" i="12"/>
  <c r="U4289" i="12"/>
  <c r="T4290" i="12"/>
  <c r="U4290" i="12"/>
  <c r="T4291" i="12"/>
  <c r="U4291" i="12"/>
  <c r="T4292" i="12"/>
  <c r="U4292" i="12"/>
  <c r="T4293" i="12"/>
  <c r="U4293" i="12"/>
  <c r="T4294" i="12"/>
  <c r="U4294" i="12"/>
  <c r="T4295" i="12"/>
  <c r="U4295" i="12"/>
  <c r="T4296" i="12"/>
  <c r="U4296" i="12"/>
  <c r="T4297" i="12"/>
  <c r="U4297" i="12"/>
  <c r="T4298" i="12"/>
  <c r="U4298" i="12"/>
  <c r="T4299" i="12"/>
  <c r="U4299" i="12"/>
  <c r="T4300" i="12"/>
  <c r="U4300" i="12"/>
  <c r="T4301" i="12"/>
  <c r="U4301" i="12"/>
  <c r="T4302" i="12"/>
  <c r="U4302" i="12"/>
  <c r="T4303" i="12"/>
  <c r="U4303" i="12"/>
  <c r="T4304" i="12"/>
  <c r="U4304" i="12"/>
  <c r="T4305" i="12"/>
  <c r="U4305" i="12"/>
  <c r="T4306" i="12"/>
  <c r="U4306" i="12"/>
  <c r="T4307" i="12"/>
  <c r="U4307" i="12"/>
  <c r="T4308" i="12"/>
  <c r="U4308" i="12"/>
  <c r="T4309" i="12"/>
  <c r="U4309" i="12"/>
  <c r="T4310" i="12"/>
  <c r="U4310" i="12"/>
  <c r="T4311" i="12"/>
  <c r="U4311" i="12"/>
  <c r="T4312" i="12"/>
  <c r="U4312" i="12"/>
  <c r="T4313" i="12"/>
  <c r="U4313" i="12"/>
  <c r="T4314" i="12"/>
  <c r="U4314" i="12"/>
  <c r="T4315" i="12"/>
  <c r="U4315" i="12"/>
  <c r="T4316" i="12"/>
  <c r="U4316" i="12"/>
  <c r="T4317" i="12"/>
  <c r="U4317" i="12"/>
  <c r="T4318" i="12"/>
  <c r="U4318" i="12"/>
  <c r="T4319" i="12"/>
  <c r="U4319" i="12"/>
  <c r="T4320" i="12"/>
  <c r="U4320" i="12"/>
  <c r="T4321" i="12"/>
  <c r="U4321" i="12"/>
  <c r="T4322" i="12"/>
  <c r="U4322" i="12"/>
  <c r="T4323" i="12"/>
  <c r="U4323" i="12"/>
  <c r="T4324" i="12"/>
  <c r="U4324" i="12"/>
  <c r="T4325" i="12"/>
  <c r="U4325" i="12"/>
  <c r="T4326" i="12"/>
  <c r="U4326" i="12"/>
  <c r="T4327" i="12"/>
  <c r="U4327" i="12"/>
  <c r="T4328" i="12"/>
  <c r="U4328" i="12"/>
  <c r="T4329" i="12"/>
  <c r="U4329" i="12"/>
  <c r="T4330" i="12"/>
  <c r="U4330" i="12"/>
  <c r="T4331" i="12"/>
  <c r="U4331" i="12"/>
  <c r="T4332" i="12"/>
  <c r="U4332" i="12"/>
  <c r="T4333" i="12"/>
  <c r="U4333" i="12"/>
  <c r="T4334" i="12"/>
  <c r="U4334" i="12"/>
  <c r="T4335" i="12"/>
  <c r="U4335" i="12"/>
  <c r="T4336" i="12"/>
  <c r="U4336" i="12"/>
  <c r="T4337" i="12"/>
  <c r="U4337" i="12"/>
  <c r="T4338" i="12"/>
  <c r="U4338" i="12"/>
  <c r="T4339" i="12"/>
  <c r="U4339" i="12"/>
  <c r="T4340" i="12"/>
  <c r="U4340" i="12"/>
  <c r="T4341" i="12"/>
  <c r="U4341" i="12"/>
  <c r="T4342" i="12"/>
  <c r="U4342" i="12"/>
  <c r="T4343" i="12"/>
  <c r="U4343" i="12"/>
  <c r="T4344" i="12"/>
  <c r="U4344" i="12"/>
  <c r="T4345" i="12"/>
  <c r="U4345" i="12"/>
  <c r="T4346" i="12"/>
  <c r="U4346" i="12"/>
  <c r="T4347" i="12"/>
  <c r="U4347" i="12"/>
  <c r="T4348" i="12"/>
  <c r="U4348" i="12"/>
  <c r="T4349" i="12"/>
  <c r="U4349" i="12"/>
  <c r="T4350" i="12"/>
  <c r="U4350" i="12"/>
  <c r="T4351" i="12"/>
  <c r="U4351" i="12"/>
  <c r="T4352" i="12"/>
  <c r="U4352" i="12"/>
  <c r="T4353" i="12"/>
  <c r="U4353" i="12"/>
  <c r="T4354" i="12"/>
  <c r="U4354" i="12"/>
  <c r="T4355" i="12"/>
  <c r="U4355" i="12"/>
  <c r="T4356" i="12"/>
  <c r="U4356" i="12"/>
  <c r="T4357" i="12"/>
  <c r="U4357" i="12"/>
  <c r="T4358" i="12"/>
  <c r="U4358" i="12"/>
  <c r="T4359" i="12"/>
  <c r="U4359" i="12"/>
  <c r="T4360" i="12"/>
  <c r="U4360" i="12"/>
  <c r="T4361" i="12"/>
  <c r="U4361" i="12"/>
  <c r="T4362" i="12"/>
  <c r="U4362" i="12"/>
  <c r="T4363" i="12"/>
  <c r="U4363" i="12"/>
  <c r="T4364" i="12"/>
  <c r="U4364" i="12"/>
  <c r="T4365" i="12"/>
  <c r="U4365" i="12"/>
  <c r="T4366" i="12"/>
  <c r="U4366" i="12"/>
  <c r="T4367" i="12"/>
  <c r="U4367" i="12"/>
  <c r="T4368" i="12"/>
  <c r="U4368" i="12"/>
  <c r="T4369" i="12"/>
  <c r="U4369" i="12"/>
  <c r="T4370" i="12"/>
  <c r="U4370" i="12"/>
  <c r="T4371" i="12"/>
  <c r="U4371" i="12"/>
  <c r="T4372" i="12"/>
  <c r="U4372" i="12"/>
  <c r="T4373" i="12"/>
  <c r="U4373" i="12"/>
  <c r="T4374" i="12"/>
  <c r="U4374" i="12"/>
  <c r="T4375" i="12"/>
  <c r="U4375" i="12"/>
  <c r="T4376" i="12"/>
  <c r="U4376" i="12"/>
  <c r="T4377" i="12"/>
  <c r="U4377" i="12"/>
  <c r="T4378" i="12"/>
  <c r="U4378" i="12"/>
  <c r="T4379" i="12"/>
  <c r="U4379" i="12"/>
  <c r="T4380" i="12"/>
  <c r="U4380" i="12"/>
  <c r="T4381" i="12"/>
  <c r="U4381" i="12"/>
  <c r="T4382" i="12"/>
  <c r="U4382" i="12"/>
  <c r="T4383" i="12"/>
  <c r="U4383" i="12"/>
  <c r="T4384" i="12"/>
  <c r="U4384" i="12"/>
  <c r="T4385" i="12"/>
  <c r="U4385" i="12"/>
  <c r="T4386" i="12"/>
  <c r="U4386" i="12"/>
  <c r="T4387" i="12"/>
  <c r="U4387" i="12"/>
  <c r="T4388" i="12"/>
  <c r="U4388" i="12"/>
  <c r="T4389" i="12"/>
  <c r="U4389" i="12"/>
  <c r="T4390" i="12"/>
  <c r="U4390" i="12"/>
  <c r="T4391" i="12"/>
  <c r="U4391" i="12"/>
  <c r="T4392" i="12"/>
  <c r="U4392" i="12"/>
  <c r="T4393" i="12"/>
  <c r="U4393" i="12"/>
  <c r="T4394" i="12"/>
  <c r="U4394" i="12"/>
  <c r="T4395" i="12"/>
  <c r="U4395" i="12"/>
  <c r="T4396" i="12"/>
  <c r="U4396" i="12"/>
  <c r="T4397" i="12"/>
  <c r="U4397" i="12"/>
  <c r="T4398" i="12"/>
  <c r="U4398" i="12"/>
  <c r="T4399" i="12"/>
  <c r="U4399" i="12"/>
  <c r="T4400" i="12"/>
  <c r="U4400" i="12"/>
  <c r="T4401" i="12"/>
  <c r="U4401" i="12"/>
  <c r="T4402" i="12"/>
  <c r="U4402" i="12"/>
  <c r="T4403" i="12"/>
  <c r="U4403" i="12"/>
  <c r="T4404" i="12"/>
  <c r="U4404" i="12"/>
  <c r="T4405" i="12"/>
  <c r="U4405" i="12"/>
  <c r="T4406" i="12"/>
  <c r="U4406" i="12"/>
  <c r="T4407" i="12"/>
  <c r="U4407" i="12"/>
  <c r="T4408" i="12"/>
  <c r="U4408" i="12"/>
  <c r="T4409" i="12"/>
  <c r="U4409" i="12"/>
  <c r="T4410" i="12"/>
  <c r="U4410" i="12"/>
  <c r="T4411" i="12"/>
  <c r="U4411" i="12"/>
  <c r="T4412" i="12"/>
  <c r="U4412" i="12"/>
  <c r="T4413" i="12"/>
  <c r="U4413" i="12"/>
  <c r="T4414" i="12"/>
  <c r="U4414" i="12"/>
  <c r="T4415" i="12"/>
  <c r="U4415" i="12"/>
  <c r="T4416" i="12"/>
  <c r="U4416" i="12"/>
  <c r="T4417" i="12"/>
  <c r="U4417" i="12"/>
  <c r="T4418" i="12"/>
  <c r="U4418" i="12"/>
  <c r="T4419" i="12"/>
  <c r="U4419" i="12"/>
  <c r="T4420" i="12"/>
  <c r="U4420" i="12"/>
  <c r="T4421" i="12"/>
  <c r="U4421" i="12"/>
  <c r="T4422" i="12"/>
  <c r="U4422" i="12"/>
  <c r="T4423" i="12"/>
  <c r="U4423" i="12"/>
  <c r="T4424" i="12"/>
  <c r="U4424" i="12"/>
  <c r="T4425" i="12"/>
  <c r="U4425" i="12"/>
  <c r="T4426" i="12"/>
  <c r="U4426" i="12"/>
  <c r="T4427" i="12"/>
  <c r="U4427" i="12"/>
  <c r="T4428" i="12"/>
  <c r="U4428" i="12"/>
  <c r="T4429" i="12"/>
  <c r="U4429" i="12"/>
  <c r="T4430" i="12"/>
  <c r="U4430" i="12"/>
  <c r="T4431" i="12"/>
  <c r="U4431" i="12"/>
  <c r="T4432" i="12"/>
  <c r="U4432" i="12"/>
  <c r="T4433" i="12"/>
  <c r="U4433" i="12"/>
  <c r="T4434" i="12"/>
  <c r="U4434" i="12"/>
  <c r="T4435" i="12"/>
  <c r="U4435" i="12"/>
  <c r="T4436" i="12"/>
  <c r="U4436" i="12"/>
  <c r="T4437" i="12"/>
  <c r="U4437" i="12"/>
  <c r="T4438" i="12"/>
  <c r="U4438" i="12"/>
  <c r="T4439" i="12"/>
  <c r="U4439" i="12"/>
  <c r="T4440" i="12"/>
  <c r="U4440" i="12"/>
  <c r="T4441" i="12"/>
  <c r="U4441" i="12"/>
  <c r="T4442" i="12"/>
  <c r="U4442" i="12"/>
  <c r="T4443" i="12"/>
  <c r="U4443" i="12"/>
  <c r="T4444" i="12"/>
  <c r="U4444" i="12"/>
  <c r="T4445" i="12"/>
  <c r="U4445" i="12"/>
  <c r="T4446" i="12"/>
  <c r="U4446" i="12"/>
  <c r="T4447" i="12"/>
  <c r="U4447" i="12"/>
  <c r="T4448" i="12"/>
  <c r="U4448" i="12"/>
  <c r="T4449" i="12"/>
  <c r="U4449" i="12"/>
  <c r="T4450" i="12"/>
  <c r="U4450" i="12"/>
  <c r="T4451" i="12"/>
  <c r="U4451" i="12"/>
  <c r="T4452" i="12"/>
  <c r="U4452" i="12"/>
  <c r="T4453" i="12"/>
  <c r="U4453" i="12"/>
  <c r="T4454" i="12"/>
  <c r="U4454" i="12"/>
  <c r="T4455" i="12"/>
  <c r="U4455" i="12"/>
  <c r="T4456" i="12"/>
  <c r="U4456" i="12"/>
  <c r="T4457" i="12"/>
  <c r="U4457" i="12"/>
  <c r="T4458" i="12"/>
  <c r="U4458" i="12"/>
  <c r="T4459" i="12"/>
  <c r="U4459" i="12"/>
  <c r="T4460" i="12"/>
  <c r="U4460" i="12"/>
  <c r="T4461" i="12"/>
  <c r="U4461" i="12"/>
  <c r="T4462" i="12"/>
  <c r="U4462" i="12"/>
  <c r="T4463" i="12"/>
  <c r="U4463" i="12"/>
  <c r="T4464" i="12"/>
  <c r="U4464" i="12"/>
  <c r="T4465" i="12"/>
  <c r="U4465" i="12"/>
  <c r="T4466" i="12"/>
  <c r="U4466" i="12"/>
  <c r="T4467" i="12"/>
  <c r="U4467" i="12"/>
  <c r="T4468" i="12"/>
  <c r="U4468" i="12"/>
  <c r="T4469" i="12"/>
  <c r="U4469" i="12"/>
  <c r="T4470" i="12"/>
  <c r="U4470" i="12"/>
  <c r="T4471" i="12"/>
  <c r="U4471" i="12"/>
  <c r="T4472" i="12"/>
  <c r="U4472" i="12"/>
  <c r="T4473" i="12"/>
  <c r="U4473" i="12"/>
  <c r="T4474" i="12"/>
  <c r="U4474" i="12"/>
  <c r="T4475" i="12"/>
  <c r="U4475" i="12"/>
  <c r="T4476" i="12"/>
  <c r="U4476" i="12"/>
  <c r="T4477" i="12"/>
  <c r="U4477" i="12"/>
  <c r="T4478" i="12"/>
  <c r="U4478" i="12"/>
  <c r="T4479" i="12"/>
  <c r="U4479" i="12"/>
  <c r="T4480" i="12"/>
  <c r="U4480" i="12"/>
  <c r="T4481" i="12"/>
  <c r="U4481" i="12"/>
  <c r="T4482" i="12"/>
  <c r="U4482" i="12"/>
  <c r="T4483" i="12"/>
  <c r="U4483" i="12"/>
  <c r="T4484" i="12"/>
  <c r="U4484" i="12"/>
  <c r="T4485" i="12"/>
  <c r="U4485" i="12"/>
  <c r="T4486" i="12"/>
  <c r="U4486" i="12"/>
  <c r="T4487" i="12"/>
  <c r="U4487" i="12"/>
  <c r="T4488" i="12"/>
  <c r="U4488" i="12"/>
  <c r="T4489" i="12"/>
  <c r="U4489" i="12"/>
  <c r="T4490" i="12"/>
  <c r="U4490" i="12"/>
  <c r="T4491" i="12"/>
  <c r="U4491" i="12"/>
  <c r="T4492" i="12"/>
  <c r="U4492" i="12"/>
  <c r="T4493" i="12"/>
  <c r="U4493" i="12"/>
  <c r="T4494" i="12"/>
  <c r="U4494" i="12"/>
  <c r="T4495" i="12"/>
  <c r="U4495" i="12"/>
  <c r="T4496" i="12"/>
  <c r="U4496" i="12"/>
  <c r="T4497" i="12"/>
  <c r="U4497" i="12"/>
  <c r="T4498" i="12"/>
  <c r="U4498" i="12"/>
  <c r="T4499" i="12"/>
  <c r="U4499" i="12"/>
  <c r="T4500" i="12"/>
  <c r="U4500" i="12"/>
  <c r="T4501" i="12"/>
  <c r="U4501" i="12"/>
  <c r="T4502" i="12"/>
  <c r="U4502" i="12"/>
  <c r="T4503" i="12"/>
  <c r="U4503" i="12"/>
  <c r="T4504" i="12"/>
  <c r="U4504" i="12"/>
  <c r="T4505" i="12"/>
  <c r="U4505" i="12"/>
  <c r="T4506" i="12"/>
  <c r="U4506" i="12"/>
  <c r="T4507" i="12"/>
  <c r="U4507" i="12"/>
  <c r="T4508" i="12"/>
  <c r="U4508" i="12"/>
  <c r="T4509" i="12"/>
  <c r="U4509" i="12"/>
  <c r="T4510" i="12"/>
  <c r="U4510" i="12"/>
  <c r="T4511" i="12"/>
  <c r="U4511" i="12"/>
  <c r="T4512" i="12"/>
  <c r="U4512" i="12"/>
  <c r="T4513" i="12"/>
  <c r="U4513" i="12"/>
  <c r="T4514" i="12"/>
  <c r="U4514" i="12"/>
  <c r="T4515" i="12"/>
  <c r="U4515" i="12"/>
  <c r="T4516" i="12"/>
  <c r="U4516" i="12"/>
  <c r="T4517" i="12"/>
  <c r="U4517" i="12"/>
  <c r="T4518" i="12"/>
  <c r="U4518" i="12"/>
  <c r="T4519" i="12"/>
  <c r="U4519" i="12"/>
  <c r="T4520" i="12"/>
  <c r="U4520" i="12"/>
  <c r="T4521" i="12"/>
  <c r="U4521" i="12"/>
  <c r="T4522" i="12"/>
  <c r="U4522" i="12"/>
  <c r="T4523" i="12"/>
  <c r="U4523" i="12"/>
  <c r="T4524" i="12"/>
  <c r="U4524" i="12"/>
  <c r="T4525" i="12"/>
  <c r="U4525" i="12"/>
  <c r="T4526" i="12"/>
  <c r="U4526" i="12"/>
  <c r="T4527" i="12"/>
  <c r="U4527" i="12"/>
  <c r="T4528" i="12"/>
  <c r="U4528" i="12"/>
  <c r="T4529" i="12"/>
  <c r="U4529" i="12"/>
  <c r="T4530" i="12"/>
  <c r="U4530" i="12"/>
  <c r="T4531" i="12"/>
  <c r="U4531" i="12"/>
  <c r="T4532" i="12"/>
  <c r="U4532" i="12"/>
  <c r="T4533" i="12"/>
  <c r="U4533" i="12"/>
  <c r="T4534" i="12"/>
  <c r="U4534" i="12"/>
  <c r="T4535" i="12"/>
  <c r="U4535" i="12"/>
  <c r="T4536" i="12"/>
  <c r="U4536" i="12"/>
  <c r="T4537" i="12"/>
  <c r="U4537" i="12"/>
  <c r="T4538" i="12"/>
  <c r="U4538" i="12"/>
  <c r="T4539" i="12"/>
  <c r="U4539" i="12"/>
  <c r="T4540" i="12"/>
  <c r="U4540" i="12"/>
  <c r="T4541" i="12"/>
  <c r="U4541" i="12"/>
  <c r="T4542" i="12"/>
  <c r="U4542" i="12"/>
  <c r="T4543" i="12"/>
  <c r="U4543" i="12"/>
  <c r="T4544" i="12"/>
  <c r="U4544" i="12"/>
  <c r="T4545" i="12"/>
  <c r="U4545" i="12"/>
  <c r="T4546" i="12"/>
  <c r="U4546" i="12"/>
  <c r="T4547" i="12"/>
  <c r="U4547" i="12"/>
  <c r="T4548" i="12"/>
  <c r="U4548" i="12"/>
  <c r="T4549" i="12"/>
  <c r="U4549" i="12"/>
  <c r="T4550" i="12"/>
  <c r="U4550" i="12"/>
  <c r="T4551" i="12"/>
  <c r="U4551" i="12"/>
  <c r="T4552" i="12"/>
  <c r="U4552" i="12"/>
  <c r="T4553" i="12"/>
  <c r="U4553" i="12"/>
  <c r="T4554" i="12"/>
  <c r="U4554" i="12"/>
  <c r="T4555" i="12"/>
  <c r="U4555" i="12"/>
  <c r="T4556" i="12"/>
  <c r="U4556" i="12"/>
  <c r="T4557" i="12"/>
  <c r="U4557" i="12"/>
  <c r="T4558" i="12"/>
  <c r="U4558" i="12"/>
  <c r="T4559" i="12"/>
  <c r="U4559" i="12"/>
  <c r="T4560" i="12"/>
  <c r="U4560" i="12"/>
  <c r="T4561" i="12"/>
  <c r="U4561" i="12"/>
  <c r="T4562" i="12"/>
  <c r="U4562" i="12"/>
  <c r="T4563" i="12"/>
  <c r="U4563" i="12"/>
  <c r="T4564" i="12"/>
  <c r="U4564" i="12"/>
  <c r="T4565" i="12"/>
  <c r="U4565" i="12"/>
  <c r="T4566" i="12"/>
  <c r="U4566" i="12"/>
  <c r="T4567" i="12"/>
  <c r="U4567" i="12"/>
  <c r="T4568" i="12"/>
  <c r="U4568" i="12"/>
  <c r="T4569" i="12"/>
  <c r="U4569" i="12"/>
  <c r="T4570" i="12"/>
  <c r="U4570" i="12"/>
  <c r="T4571" i="12"/>
  <c r="U4571" i="12"/>
  <c r="T4572" i="12"/>
  <c r="U4572" i="12"/>
  <c r="T4573" i="12"/>
  <c r="U4573" i="12"/>
  <c r="T4574" i="12"/>
  <c r="U4574" i="12"/>
  <c r="T4575" i="12"/>
  <c r="U4575" i="12"/>
  <c r="T4576" i="12"/>
  <c r="U4576" i="12"/>
  <c r="T4577" i="12"/>
  <c r="U4577" i="12"/>
  <c r="T4578" i="12"/>
  <c r="U4578" i="12"/>
  <c r="T4579" i="12"/>
  <c r="U4579" i="12"/>
  <c r="T4580" i="12"/>
  <c r="U4580" i="12"/>
  <c r="T4581" i="12"/>
  <c r="U4581" i="12"/>
  <c r="T4582" i="12"/>
  <c r="U4582" i="12"/>
  <c r="T4583" i="12"/>
  <c r="U4583" i="12"/>
  <c r="T4584" i="12"/>
  <c r="U4584" i="12"/>
  <c r="T4585" i="12"/>
  <c r="U4585" i="12"/>
  <c r="T4586" i="12"/>
  <c r="U4586" i="12"/>
  <c r="T4587" i="12"/>
  <c r="U4587" i="12"/>
  <c r="T4588" i="12"/>
  <c r="U4588" i="12"/>
  <c r="T4589" i="12"/>
  <c r="U4589" i="12"/>
  <c r="T4590" i="12"/>
  <c r="U4590" i="12"/>
  <c r="T4591" i="12"/>
  <c r="U4591" i="12"/>
  <c r="T4592" i="12"/>
  <c r="U4592" i="12"/>
  <c r="T4593" i="12"/>
  <c r="U4593" i="12"/>
  <c r="T4594" i="12"/>
  <c r="U4594" i="12"/>
  <c r="T4595" i="12"/>
  <c r="U4595" i="12"/>
  <c r="T4596" i="12"/>
  <c r="U4596" i="12"/>
  <c r="T4597" i="12"/>
  <c r="U4597" i="12"/>
  <c r="T4598" i="12"/>
  <c r="U4598" i="12"/>
  <c r="T4599" i="12"/>
  <c r="U4599" i="12"/>
  <c r="T4600" i="12"/>
  <c r="U4600" i="12"/>
  <c r="T4601" i="12"/>
  <c r="U4601" i="12"/>
  <c r="T4602" i="12"/>
  <c r="U4602" i="12"/>
  <c r="T4603" i="12"/>
  <c r="U4603" i="12"/>
  <c r="T4604" i="12"/>
  <c r="U4604" i="12"/>
  <c r="T4605" i="12"/>
  <c r="U4605" i="12"/>
  <c r="T4606" i="12"/>
  <c r="U4606" i="12"/>
  <c r="T4607" i="12"/>
  <c r="U4607" i="12"/>
  <c r="T4608" i="12"/>
  <c r="U4608" i="12"/>
  <c r="T4609" i="12"/>
  <c r="U4609" i="12"/>
  <c r="T4610" i="12"/>
  <c r="U4610" i="12"/>
  <c r="T4611" i="12"/>
  <c r="U4611" i="12"/>
  <c r="T4612" i="12"/>
  <c r="U4612" i="12"/>
  <c r="T4613" i="12"/>
  <c r="U4613" i="12"/>
  <c r="T4614" i="12"/>
  <c r="U4614" i="12"/>
  <c r="T4615" i="12"/>
  <c r="U4615" i="12"/>
  <c r="T4616" i="12"/>
  <c r="U4616" i="12"/>
  <c r="T4617" i="12"/>
  <c r="U4617" i="12"/>
  <c r="T4618" i="12"/>
  <c r="U4618" i="12"/>
  <c r="T4619" i="12"/>
  <c r="U4619" i="12"/>
  <c r="T4620" i="12"/>
  <c r="U4620" i="12"/>
  <c r="T4621" i="12"/>
  <c r="U4621" i="12"/>
  <c r="T4622" i="12"/>
  <c r="U4622" i="12"/>
  <c r="T4623" i="12"/>
  <c r="U4623" i="12"/>
  <c r="T4624" i="12"/>
  <c r="U4624" i="12"/>
  <c r="T4625" i="12"/>
  <c r="U4625" i="12"/>
  <c r="T4626" i="12"/>
  <c r="U4626" i="12"/>
  <c r="T4627" i="12"/>
  <c r="U4627" i="12"/>
  <c r="T4628" i="12"/>
  <c r="U4628" i="12"/>
  <c r="T4629" i="12"/>
  <c r="U4629" i="12"/>
  <c r="T4630" i="12"/>
  <c r="U4630" i="12"/>
  <c r="T4631" i="12"/>
  <c r="U4631" i="12"/>
  <c r="T4632" i="12"/>
  <c r="U4632" i="12"/>
  <c r="T4633" i="12"/>
  <c r="U4633" i="12"/>
  <c r="T4634" i="12"/>
  <c r="U4634" i="12"/>
  <c r="T4635" i="12"/>
  <c r="U4635" i="12"/>
  <c r="T4636" i="12"/>
  <c r="U4636" i="12"/>
  <c r="T4637" i="12"/>
  <c r="U4637" i="12"/>
  <c r="T4638" i="12"/>
  <c r="U4638" i="12"/>
  <c r="T4639" i="12"/>
  <c r="U4639" i="12"/>
  <c r="T4640" i="12"/>
  <c r="U4640" i="12"/>
  <c r="T4641" i="12"/>
  <c r="U4641" i="12"/>
  <c r="T4642" i="12"/>
  <c r="U4642" i="12"/>
  <c r="T4643" i="12"/>
  <c r="U4643" i="12"/>
  <c r="T4644" i="12"/>
  <c r="U4644" i="12"/>
  <c r="T4645" i="12"/>
  <c r="U4645" i="12"/>
  <c r="T4646" i="12"/>
  <c r="U4646" i="12"/>
  <c r="T4647" i="12"/>
  <c r="U4647" i="12"/>
  <c r="T4648" i="12"/>
  <c r="U4648" i="12"/>
  <c r="T4649" i="12"/>
  <c r="U4649" i="12"/>
  <c r="T4650" i="12"/>
  <c r="U4650" i="12"/>
  <c r="T4651" i="12"/>
  <c r="U4651" i="12"/>
  <c r="T4652" i="12"/>
  <c r="U4652" i="12"/>
  <c r="T4653" i="12"/>
  <c r="U4653" i="12"/>
  <c r="T4654" i="12"/>
  <c r="U4654" i="12"/>
  <c r="T4655" i="12"/>
  <c r="U4655" i="12"/>
  <c r="T4656" i="12"/>
  <c r="U4656" i="12"/>
  <c r="T4657" i="12"/>
  <c r="U4657" i="12"/>
  <c r="T4658" i="12"/>
  <c r="U4658" i="12"/>
  <c r="T4659" i="12"/>
  <c r="U4659" i="12"/>
  <c r="T4660" i="12"/>
  <c r="U4660" i="12"/>
  <c r="T4661" i="12"/>
  <c r="U4661" i="12"/>
  <c r="T4662" i="12"/>
  <c r="U4662" i="12"/>
  <c r="T4663" i="12"/>
  <c r="U4663" i="12"/>
  <c r="T4664" i="12"/>
  <c r="U4664" i="12"/>
  <c r="T4665" i="12"/>
  <c r="U4665" i="12"/>
  <c r="T4666" i="12"/>
  <c r="U4666" i="12"/>
  <c r="T4667" i="12"/>
  <c r="U4667" i="12"/>
  <c r="T4668" i="12"/>
  <c r="U4668" i="12"/>
  <c r="T4669" i="12"/>
  <c r="U4669" i="12"/>
  <c r="T4670" i="12"/>
  <c r="U4670" i="12"/>
  <c r="T4671" i="12"/>
  <c r="U4671" i="12"/>
  <c r="T4672" i="12"/>
  <c r="U4672" i="12"/>
  <c r="T4673" i="12"/>
  <c r="U4673" i="12"/>
  <c r="T4674" i="12"/>
  <c r="U4674" i="12"/>
  <c r="T4675" i="12"/>
  <c r="U4675" i="12"/>
  <c r="T4676" i="12"/>
  <c r="U4676" i="12"/>
  <c r="T4677" i="12"/>
  <c r="U4677" i="12"/>
  <c r="T4678" i="12"/>
  <c r="U4678" i="12"/>
  <c r="T4679" i="12"/>
  <c r="U4679" i="12"/>
  <c r="T4680" i="12"/>
  <c r="U4680" i="12"/>
  <c r="T4681" i="12"/>
  <c r="U4681" i="12"/>
  <c r="T4682" i="12"/>
  <c r="U4682" i="12"/>
  <c r="T4683" i="12"/>
  <c r="U4683" i="12"/>
  <c r="T4684" i="12"/>
  <c r="U4684" i="12"/>
  <c r="T4685" i="12"/>
  <c r="U4685" i="12"/>
  <c r="T4686" i="12"/>
  <c r="U4686" i="12"/>
  <c r="T4687" i="12"/>
  <c r="U4687" i="12"/>
  <c r="T4688" i="12"/>
  <c r="U4688" i="12"/>
  <c r="T4689" i="12"/>
  <c r="U4689" i="12"/>
  <c r="T4690" i="12"/>
  <c r="U4690" i="12"/>
  <c r="T4691" i="12"/>
  <c r="U4691" i="12"/>
  <c r="T4692" i="12"/>
  <c r="U4692" i="12"/>
  <c r="T4693" i="12"/>
  <c r="U4693" i="12"/>
  <c r="T4694" i="12"/>
  <c r="U4694" i="12"/>
  <c r="T4695" i="12"/>
  <c r="U4695" i="12"/>
  <c r="T4696" i="12"/>
  <c r="U4696" i="12"/>
  <c r="T4697" i="12"/>
  <c r="U4697" i="12"/>
  <c r="T4698" i="12"/>
  <c r="U4698" i="12"/>
  <c r="T4699" i="12"/>
  <c r="U4699" i="12"/>
  <c r="T4700" i="12"/>
  <c r="U4700" i="12"/>
  <c r="T4701" i="12"/>
  <c r="U4701" i="12"/>
  <c r="T4702" i="12"/>
  <c r="U4702" i="12"/>
  <c r="T4703" i="12"/>
  <c r="U4703" i="12"/>
  <c r="T4704" i="12"/>
  <c r="U4704" i="12"/>
  <c r="T4705" i="12"/>
  <c r="U4705" i="12"/>
  <c r="T4706" i="12"/>
  <c r="U4706" i="12"/>
  <c r="T4707" i="12"/>
  <c r="U4707" i="12"/>
  <c r="T4708" i="12"/>
  <c r="U4708" i="12"/>
  <c r="T4709" i="12"/>
  <c r="U4709" i="12"/>
  <c r="T4710" i="12"/>
  <c r="U4710" i="12"/>
  <c r="T4711" i="12"/>
  <c r="U4711" i="12"/>
  <c r="T4712" i="12"/>
  <c r="U4712" i="12"/>
  <c r="T4713" i="12"/>
  <c r="U4713" i="12"/>
  <c r="T4714" i="12"/>
  <c r="U4714" i="12"/>
  <c r="T4715" i="12"/>
  <c r="U4715" i="12"/>
  <c r="T4716" i="12"/>
  <c r="U4716" i="12"/>
  <c r="T4717" i="12"/>
  <c r="U4717" i="12"/>
  <c r="T4718" i="12"/>
  <c r="U4718" i="12"/>
  <c r="T4719" i="12"/>
  <c r="U4719" i="12"/>
  <c r="T4720" i="12"/>
  <c r="U4720" i="12"/>
  <c r="T4721" i="12"/>
  <c r="U4721" i="12"/>
  <c r="T4722" i="12"/>
  <c r="U4722" i="12"/>
  <c r="T4723" i="12"/>
  <c r="U4723" i="12"/>
  <c r="T4724" i="12"/>
  <c r="U4724" i="12"/>
  <c r="T4725" i="12"/>
  <c r="U4725" i="12"/>
  <c r="T4726" i="12"/>
  <c r="U4726" i="12"/>
  <c r="T4727" i="12"/>
  <c r="U4727" i="12"/>
  <c r="T4728" i="12"/>
  <c r="U4728" i="12"/>
  <c r="T4729" i="12"/>
  <c r="U4729" i="12"/>
  <c r="T4730" i="12"/>
  <c r="U4730" i="12"/>
  <c r="T4731" i="12"/>
  <c r="U4731" i="12"/>
  <c r="T4732" i="12"/>
  <c r="U4732" i="12"/>
  <c r="T4733" i="12"/>
  <c r="U4733" i="12"/>
  <c r="T4734" i="12"/>
  <c r="U4734" i="12"/>
  <c r="T4735" i="12"/>
  <c r="U4735" i="12"/>
  <c r="T4736" i="12"/>
  <c r="U4736" i="12"/>
  <c r="T4737" i="12"/>
  <c r="U4737" i="12"/>
  <c r="T4738" i="12"/>
  <c r="U4738" i="12"/>
  <c r="T4739" i="12"/>
  <c r="U4739" i="12"/>
  <c r="T4740" i="12"/>
  <c r="U4740" i="12"/>
  <c r="T4741" i="12"/>
  <c r="U4741" i="12"/>
  <c r="T4742" i="12"/>
  <c r="U4742" i="12"/>
  <c r="T4743" i="12"/>
  <c r="U4743" i="12"/>
  <c r="T4744" i="12"/>
  <c r="U4744" i="12"/>
  <c r="T4745" i="12"/>
  <c r="U4745" i="12"/>
  <c r="T4746" i="12"/>
  <c r="U4746" i="12"/>
  <c r="T4747" i="12"/>
  <c r="U4747" i="12"/>
  <c r="T4748" i="12"/>
  <c r="U4748" i="12"/>
  <c r="T4749" i="12"/>
  <c r="U4749" i="12"/>
  <c r="T4750" i="12"/>
  <c r="U4750" i="12"/>
  <c r="T4751" i="12"/>
  <c r="U4751" i="12"/>
  <c r="T4752" i="12"/>
  <c r="U4752" i="12"/>
  <c r="T4753" i="12"/>
  <c r="U4753" i="12"/>
  <c r="T4754" i="12"/>
  <c r="U4754" i="12"/>
  <c r="T4755" i="12"/>
  <c r="U4755" i="12"/>
  <c r="T4756" i="12"/>
  <c r="U4756" i="12"/>
  <c r="T4757" i="12"/>
  <c r="U4757" i="12"/>
  <c r="T4758" i="12"/>
  <c r="U4758" i="12"/>
  <c r="T4759" i="12"/>
  <c r="U4759" i="12"/>
  <c r="T4760" i="12"/>
  <c r="U4760" i="12"/>
  <c r="T4761" i="12"/>
  <c r="U4761" i="12"/>
  <c r="T4762" i="12"/>
  <c r="U4762" i="12"/>
  <c r="T4763" i="12"/>
  <c r="U4763" i="12"/>
  <c r="T4764" i="12"/>
  <c r="U4764" i="12"/>
  <c r="T4765" i="12"/>
  <c r="U4765" i="12"/>
  <c r="T4766" i="12"/>
  <c r="U4766" i="12"/>
  <c r="T4767" i="12"/>
  <c r="U4767" i="12"/>
  <c r="T4768" i="12"/>
  <c r="U4768" i="12"/>
  <c r="T4769" i="12"/>
  <c r="U4769" i="12"/>
  <c r="T4770" i="12"/>
  <c r="U4770" i="12"/>
  <c r="T4771" i="12"/>
  <c r="U4771" i="12"/>
  <c r="T4772" i="12"/>
  <c r="U4772" i="12"/>
  <c r="T4773" i="12"/>
  <c r="U4773" i="12"/>
  <c r="T4774" i="12"/>
  <c r="U4774" i="12"/>
  <c r="T4775" i="12"/>
  <c r="U4775" i="12"/>
  <c r="T4776" i="12"/>
  <c r="U4776" i="12"/>
  <c r="T4777" i="12"/>
  <c r="U4777" i="12"/>
  <c r="T4778" i="12"/>
  <c r="U4778" i="12"/>
  <c r="T4779" i="12"/>
  <c r="U4779" i="12"/>
  <c r="T4780" i="12"/>
  <c r="U4780" i="12"/>
  <c r="T4781" i="12"/>
  <c r="U4781" i="12"/>
  <c r="T4782" i="12"/>
  <c r="U4782" i="12"/>
  <c r="T4783" i="12"/>
  <c r="U4783" i="12"/>
  <c r="T4784" i="12"/>
  <c r="U4784" i="12"/>
  <c r="T4785" i="12"/>
  <c r="U4785" i="12"/>
  <c r="T4786" i="12"/>
  <c r="U4786" i="12"/>
  <c r="T4787" i="12"/>
  <c r="U4787" i="12"/>
  <c r="T4788" i="12"/>
  <c r="U4788" i="12"/>
  <c r="T4789" i="12"/>
  <c r="U4789" i="12"/>
  <c r="T4790" i="12"/>
  <c r="U4790" i="12"/>
  <c r="T4791" i="12"/>
  <c r="U4791" i="12"/>
  <c r="T4792" i="12"/>
  <c r="U4792" i="12"/>
  <c r="T4793" i="12"/>
  <c r="U4793" i="12"/>
  <c r="T4794" i="12"/>
  <c r="U4794" i="12"/>
  <c r="T4795" i="12"/>
  <c r="U4795" i="12"/>
  <c r="T4796" i="12"/>
  <c r="U4796" i="12"/>
  <c r="T4797" i="12"/>
  <c r="U4797" i="12"/>
  <c r="T4798" i="12"/>
  <c r="U4798" i="12"/>
  <c r="T4799" i="12"/>
  <c r="U4799" i="12"/>
  <c r="T4800" i="12"/>
  <c r="U4800" i="12"/>
  <c r="T4801" i="12"/>
  <c r="U4801" i="12"/>
  <c r="T4802" i="12"/>
  <c r="U4802" i="12"/>
  <c r="T4803" i="12"/>
  <c r="U4803" i="12"/>
  <c r="T4804" i="12"/>
  <c r="U4804" i="12"/>
  <c r="T4805" i="12"/>
  <c r="U4805" i="12"/>
  <c r="T4806" i="12"/>
  <c r="U4806" i="12"/>
  <c r="T4807" i="12"/>
  <c r="U4807" i="12"/>
  <c r="T4808" i="12"/>
  <c r="U4808" i="12"/>
  <c r="T4809" i="12"/>
  <c r="U4809" i="12"/>
  <c r="T4810" i="12"/>
  <c r="U4810" i="12"/>
  <c r="T4811" i="12"/>
  <c r="U4811" i="12"/>
  <c r="T4812" i="12"/>
  <c r="U4812" i="12"/>
  <c r="T4813" i="12"/>
  <c r="U4813" i="12"/>
  <c r="T4814" i="12"/>
  <c r="U4814" i="12"/>
  <c r="T4815" i="12"/>
  <c r="U4815" i="12"/>
  <c r="T4816" i="12"/>
  <c r="U4816" i="12"/>
  <c r="T4817" i="12"/>
  <c r="U4817" i="12"/>
  <c r="T4818" i="12"/>
  <c r="U4818" i="12"/>
  <c r="T4819" i="12"/>
  <c r="U4819" i="12"/>
  <c r="T4820" i="12"/>
  <c r="U4820" i="12"/>
  <c r="T4821" i="12"/>
  <c r="U4821" i="12"/>
  <c r="T4822" i="12"/>
  <c r="U4822" i="12"/>
  <c r="T4823" i="12"/>
  <c r="U4823" i="12"/>
  <c r="T4824" i="12"/>
  <c r="U4824" i="12"/>
  <c r="T4825" i="12"/>
  <c r="U4825" i="12"/>
  <c r="T4826" i="12"/>
  <c r="U4826" i="12"/>
  <c r="T4827" i="12"/>
  <c r="U4827" i="12"/>
  <c r="T4828" i="12"/>
  <c r="U4828" i="12"/>
  <c r="T4829" i="12"/>
  <c r="U4829" i="12"/>
  <c r="T4830" i="12"/>
  <c r="U4830" i="12"/>
  <c r="T4831" i="12"/>
  <c r="U4831" i="12"/>
  <c r="T4832" i="12"/>
  <c r="U4832" i="12"/>
  <c r="T4833" i="12"/>
  <c r="U4833" i="12"/>
  <c r="T4834" i="12"/>
  <c r="U4834" i="12"/>
  <c r="T4835" i="12"/>
  <c r="U4835" i="12"/>
  <c r="T4836" i="12"/>
  <c r="U4836" i="12"/>
  <c r="T4837" i="12"/>
  <c r="U4837" i="12"/>
  <c r="T4838" i="12"/>
  <c r="U4838" i="12"/>
  <c r="T4839" i="12"/>
  <c r="U4839" i="12"/>
  <c r="T4840" i="12"/>
  <c r="U4840" i="12"/>
  <c r="T4841" i="12"/>
  <c r="U4841" i="12"/>
  <c r="T4842" i="12"/>
  <c r="U4842" i="12"/>
  <c r="T4843" i="12"/>
  <c r="U4843" i="12"/>
  <c r="T4844" i="12"/>
  <c r="U4844" i="12"/>
  <c r="T4845" i="12"/>
  <c r="U4845" i="12"/>
  <c r="T4846" i="12"/>
  <c r="U4846" i="12"/>
  <c r="T4847" i="12"/>
  <c r="U4847" i="12"/>
  <c r="T4848" i="12"/>
  <c r="U4848" i="12"/>
  <c r="T4849" i="12"/>
  <c r="U4849" i="12"/>
  <c r="T4850" i="12"/>
  <c r="U4850" i="12"/>
  <c r="T4851" i="12"/>
  <c r="U4851" i="12"/>
  <c r="T4852" i="12"/>
  <c r="U4852" i="12"/>
  <c r="T4853" i="12"/>
  <c r="U4853" i="12"/>
  <c r="T4854" i="12"/>
  <c r="U4854" i="12"/>
  <c r="T4855" i="12"/>
  <c r="U4855" i="12"/>
  <c r="T4856" i="12"/>
  <c r="U4856" i="12"/>
  <c r="T4857" i="12"/>
  <c r="U4857" i="12"/>
  <c r="T4858" i="12"/>
  <c r="U4858" i="12"/>
  <c r="T4859" i="12"/>
  <c r="U4859" i="12"/>
  <c r="T4860" i="12"/>
  <c r="U4860" i="12"/>
  <c r="T4861" i="12"/>
  <c r="U4861" i="12"/>
  <c r="T4862" i="12"/>
  <c r="U4862" i="12"/>
  <c r="T4863" i="12"/>
  <c r="U4863" i="12"/>
  <c r="T4864" i="12"/>
  <c r="U4864" i="12"/>
  <c r="T4865" i="12"/>
  <c r="U4865" i="12"/>
  <c r="T4866" i="12"/>
  <c r="U4866" i="12"/>
  <c r="T4867" i="12"/>
  <c r="U4867" i="12"/>
  <c r="T4868" i="12"/>
  <c r="U4868" i="12"/>
  <c r="T4869" i="12"/>
  <c r="U4869" i="12"/>
  <c r="T4870" i="12"/>
  <c r="U4870" i="12"/>
  <c r="T4871" i="12"/>
  <c r="U4871" i="12"/>
  <c r="T4872" i="12"/>
  <c r="U4872" i="12"/>
  <c r="T4873" i="12"/>
  <c r="U4873" i="12"/>
  <c r="T4874" i="12"/>
  <c r="U4874" i="12"/>
  <c r="T4875" i="12"/>
  <c r="U4875" i="12"/>
  <c r="T4876" i="12"/>
  <c r="U4876" i="12"/>
  <c r="T4877" i="12"/>
  <c r="U4877" i="12"/>
  <c r="T4878" i="12"/>
  <c r="U4878" i="12"/>
  <c r="T4879" i="12"/>
  <c r="U4879" i="12"/>
  <c r="T4880" i="12"/>
  <c r="U4880" i="12"/>
  <c r="T4881" i="12"/>
  <c r="U4881" i="12"/>
  <c r="T4882" i="12"/>
  <c r="U4882" i="12"/>
  <c r="T4883" i="12"/>
  <c r="U4883" i="12"/>
  <c r="T4884" i="12"/>
  <c r="U4884" i="12"/>
  <c r="T4885" i="12"/>
  <c r="U4885" i="12"/>
  <c r="T4886" i="12"/>
  <c r="U4886" i="12"/>
  <c r="T4887" i="12"/>
  <c r="U4887" i="12"/>
  <c r="T4888" i="12"/>
  <c r="U4888" i="12"/>
  <c r="T4889" i="12"/>
  <c r="U4889" i="12"/>
  <c r="T4890" i="12"/>
  <c r="U4890" i="12"/>
  <c r="T4891" i="12"/>
  <c r="U4891" i="12"/>
  <c r="T4892" i="12"/>
  <c r="U4892" i="12"/>
  <c r="T4893" i="12"/>
  <c r="U4893" i="12"/>
  <c r="T4894" i="12"/>
  <c r="U4894" i="12"/>
  <c r="T4895" i="12"/>
  <c r="U4895" i="12"/>
  <c r="T4896" i="12"/>
  <c r="U4896" i="12"/>
  <c r="T4897" i="12"/>
  <c r="U4897" i="12"/>
  <c r="T4898" i="12"/>
  <c r="U4898" i="12"/>
  <c r="T4899" i="12"/>
  <c r="U4899" i="12"/>
  <c r="T4900" i="12"/>
  <c r="U4900" i="12"/>
  <c r="T4901" i="12"/>
  <c r="U4901" i="12"/>
  <c r="T4902" i="12"/>
  <c r="U4902" i="12"/>
  <c r="T4903" i="12"/>
  <c r="U4903" i="12"/>
  <c r="T4904" i="12"/>
  <c r="U4904" i="12"/>
  <c r="T4905" i="12"/>
  <c r="U4905" i="12"/>
  <c r="T4906" i="12"/>
  <c r="U4906" i="12"/>
  <c r="T4907" i="12"/>
  <c r="U4907" i="12"/>
  <c r="T4908" i="12"/>
  <c r="U4908" i="12"/>
  <c r="T4909" i="12"/>
  <c r="U4909" i="12"/>
  <c r="T4910" i="12"/>
  <c r="U4910" i="12"/>
  <c r="T4911" i="12"/>
  <c r="U4911" i="12"/>
  <c r="T4912" i="12"/>
  <c r="U4912" i="12"/>
  <c r="T4913" i="12"/>
  <c r="U4913" i="12"/>
  <c r="T4914" i="12"/>
  <c r="U4914" i="12"/>
  <c r="T4915" i="12"/>
  <c r="U4915" i="12"/>
  <c r="T4916" i="12"/>
  <c r="U4916" i="12"/>
  <c r="T4917" i="12"/>
  <c r="U4917" i="12"/>
  <c r="T4918" i="12"/>
  <c r="U4918" i="12"/>
  <c r="T4919" i="12"/>
  <c r="U4919" i="12"/>
  <c r="T4920" i="12"/>
  <c r="U4920" i="12"/>
  <c r="T4921" i="12"/>
  <c r="U4921" i="12"/>
  <c r="T4922" i="12"/>
  <c r="U4922" i="12"/>
  <c r="T4923" i="12"/>
  <c r="U4923" i="12"/>
  <c r="T4924" i="12"/>
  <c r="U4924" i="12"/>
  <c r="T4925" i="12"/>
  <c r="U4925" i="12"/>
  <c r="T4926" i="12"/>
  <c r="U4926" i="12"/>
  <c r="T4927" i="12"/>
  <c r="U4927" i="12"/>
  <c r="T4928" i="12"/>
  <c r="U4928" i="12"/>
  <c r="T4929" i="12"/>
  <c r="U4929" i="12"/>
  <c r="T4930" i="12"/>
  <c r="U4930" i="12"/>
  <c r="T4931" i="12"/>
  <c r="U4931" i="12"/>
  <c r="T4932" i="12"/>
  <c r="U4932" i="12"/>
  <c r="T4933" i="12"/>
  <c r="U4933" i="12"/>
  <c r="T4934" i="12"/>
  <c r="U4934" i="12"/>
  <c r="T4935" i="12"/>
  <c r="U4935" i="12"/>
  <c r="T4936" i="12"/>
  <c r="U4936" i="12"/>
  <c r="T4937" i="12"/>
  <c r="U4937" i="12"/>
  <c r="T4938" i="12"/>
  <c r="U4938" i="12"/>
  <c r="T4939" i="12"/>
  <c r="U4939" i="12"/>
  <c r="T4940" i="12"/>
  <c r="U4940" i="12"/>
  <c r="T4941" i="12"/>
  <c r="U4941" i="12"/>
  <c r="T4942" i="12"/>
  <c r="U4942" i="12"/>
  <c r="T4943" i="12"/>
  <c r="U4943" i="12"/>
  <c r="T4944" i="12"/>
  <c r="U4944" i="12"/>
  <c r="T4945" i="12"/>
  <c r="U4945" i="12"/>
  <c r="T4946" i="12"/>
  <c r="U4946" i="12"/>
  <c r="T4947" i="12"/>
  <c r="U4947" i="12"/>
  <c r="T4948" i="12"/>
  <c r="U4948" i="12"/>
  <c r="T4949" i="12"/>
  <c r="U4949" i="12"/>
  <c r="T4950" i="12"/>
  <c r="U4950" i="12"/>
  <c r="T4951" i="12"/>
  <c r="U4951" i="12"/>
  <c r="T4952" i="12"/>
  <c r="U4952" i="12"/>
  <c r="T4953" i="12"/>
  <c r="U4953" i="12"/>
  <c r="T4954" i="12"/>
  <c r="U4954" i="12"/>
  <c r="T4955" i="12"/>
  <c r="U4955" i="12"/>
  <c r="T4956" i="12"/>
  <c r="U4956" i="12"/>
  <c r="T4957" i="12"/>
  <c r="U4957" i="12"/>
  <c r="T4958" i="12"/>
  <c r="U4958" i="12"/>
  <c r="T4959" i="12"/>
  <c r="U4959" i="12"/>
  <c r="T4960" i="12"/>
  <c r="U4960" i="12"/>
  <c r="T4961" i="12"/>
  <c r="U4961" i="12"/>
  <c r="T4962" i="12"/>
  <c r="U4962" i="12"/>
  <c r="T4963" i="12"/>
  <c r="U4963" i="12"/>
  <c r="T4964" i="12"/>
  <c r="U4964" i="12"/>
  <c r="T4965" i="12"/>
  <c r="U4965" i="12"/>
  <c r="T4966" i="12"/>
  <c r="U4966" i="12"/>
  <c r="T4967" i="12"/>
  <c r="U4967" i="12"/>
  <c r="T4968" i="12"/>
  <c r="U4968" i="12"/>
  <c r="T4969" i="12"/>
  <c r="U4969" i="12"/>
  <c r="T4970" i="12"/>
  <c r="U4970" i="12"/>
  <c r="T4971" i="12"/>
  <c r="U4971" i="12"/>
  <c r="T4972" i="12"/>
  <c r="U4972" i="12"/>
  <c r="T4973" i="12"/>
  <c r="U4973" i="12"/>
  <c r="T4974" i="12"/>
  <c r="U4974" i="12"/>
  <c r="T4975" i="12"/>
  <c r="U4975" i="12"/>
  <c r="T4976" i="12"/>
  <c r="U4976" i="12"/>
  <c r="T4977" i="12"/>
  <c r="U4977" i="12"/>
  <c r="T4978" i="12"/>
  <c r="U4978" i="12"/>
  <c r="T4979" i="12"/>
  <c r="U4979" i="12"/>
  <c r="T4980" i="12"/>
  <c r="U4980" i="12"/>
  <c r="T4981" i="12"/>
  <c r="U4981" i="12"/>
  <c r="T4982" i="12"/>
  <c r="U4982" i="12"/>
  <c r="T4983" i="12"/>
  <c r="U4983" i="12"/>
  <c r="T4984" i="12"/>
  <c r="U4984" i="12"/>
  <c r="T4985" i="12"/>
  <c r="U4985" i="12"/>
  <c r="T4986" i="12"/>
  <c r="U4986" i="12"/>
  <c r="T4987" i="12"/>
  <c r="U4987" i="12"/>
  <c r="T4988" i="12"/>
  <c r="U4988" i="12"/>
  <c r="T4989" i="12"/>
  <c r="U4989" i="12"/>
  <c r="T4990" i="12"/>
  <c r="U4990" i="12"/>
  <c r="T4991" i="12"/>
  <c r="U4991" i="12"/>
  <c r="T4992" i="12"/>
  <c r="U4992" i="12"/>
  <c r="T4993" i="12"/>
  <c r="U4993" i="12"/>
  <c r="T4994" i="12"/>
  <c r="U4994" i="12"/>
  <c r="T4995" i="12"/>
  <c r="U4995" i="12"/>
  <c r="T4996" i="12"/>
  <c r="U4996" i="12"/>
  <c r="T4997" i="12"/>
  <c r="U4997" i="12"/>
  <c r="T4998" i="12"/>
  <c r="U4998" i="12"/>
  <c r="T4999" i="12"/>
  <c r="U4999" i="12"/>
  <c r="T5000" i="12"/>
  <c r="U5000" i="12"/>
  <c r="T5001" i="12"/>
  <c r="U5001" i="12"/>
  <c r="T5002" i="12"/>
  <c r="U5002" i="12"/>
  <c r="T5003" i="12"/>
  <c r="U5003" i="12"/>
  <c r="T5004" i="12"/>
  <c r="U5004" i="12"/>
  <c r="T5005" i="12"/>
  <c r="U5005" i="12"/>
  <c r="T5006" i="12"/>
  <c r="U5006" i="12"/>
  <c r="T5007" i="12"/>
  <c r="U5007" i="12"/>
  <c r="T5008" i="12"/>
  <c r="U5008" i="12"/>
  <c r="T5009" i="12"/>
  <c r="U5009" i="12"/>
  <c r="T5010" i="12"/>
  <c r="U5010" i="12"/>
  <c r="T5011" i="12"/>
  <c r="U5011" i="12"/>
  <c r="T5012" i="12"/>
  <c r="U5012" i="12"/>
  <c r="T5013" i="12"/>
  <c r="U5013" i="12"/>
  <c r="T5014" i="12"/>
  <c r="U5014" i="12"/>
  <c r="T5015" i="12"/>
  <c r="U5015" i="12"/>
  <c r="T5016" i="12"/>
  <c r="U5016" i="12"/>
  <c r="T5017" i="12"/>
  <c r="U5017" i="12"/>
  <c r="T5018" i="12"/>
  <c r="U5018" i="12"/>
  <c r="T5019" i="12"/>
  <c r="U5019" i="12"/>
  <c r="T5020" i="12"/>
  <c r="U5020" i="12"/>
  <c r="T5021" i="12"/>
  <c r="U5021" i="12"/>
  <c r="T5022" i="12"/>
  <c r="U5022" i="12"/>
  <c r="T5023" i="12"/>
  <c r="U5023" i="12"/>
  <c r="T5024" i="12"/>
  <c r="U5024" i="12"/>
  <c r="T5025" i="12"/>
  <c r="U5025" i="12"/>
  <c r="T5026" i="12"/>
  <c r="U5026" i="12"/>
  <c r="T5027" i="12"/>
  <c r="U5027" i="12"/>
  <c r="T5028" i="12"/>
  <c r="U5028" i="12"/>
  <c r="T5029" i="12"/>
  <c r="U5029" i="12"/>
  <c r="T5030" i="12"/>
  <c r="U5030" i="12"/>
  <c r="T5031" i="12"/>
  <c r="U5031" i="12"/>
  <c r="T5032" i="12"/>
  <c r="U5032" i="12"/>
  <c r="T5033" i="12"/>
  <c r="U5033" i="12"/>
  <c r="T5034" i="12"/>
  <c r="U5034" i="12"/>
  <c r="T5035" i="12"/>
  <c r="U5035" i="12"/>
  <c r="T5036" i="12"/>
  <c r="U5036" i="12"/>
  <c r="T5037" i="12"/>
  <c r="U5037" i="12"/>
  <c r="T5038" i="12"/>
  <c r="U5038" i="12"/>
  <c r="T5039" i="12"/>
  <c r="U5039" i="12"/>
  <c r="T5040" i="12"/>
  <c r="U5040" i="12"/>
  <c r="T5041" i="12"/>
  <c r="U5041" i="12"/>
  <c r="T5042" i="12"/>
  <c r="U5042" i="12"/>
  <c r="T5043" i="12"/>
  <c r="U5043" i="12"/>
  <c r="T5044" i="12"/>
  <c r="U5044" i="12"/>
  <c r="T5045" i="12"/>
  <c r="U5045" i="12"/>
  <c r="T5046" i="12"/>
  <c r="U5046" i="12"/>
  <c r="T5047" i="12"/>
  <c r="U5047" i="12"/>
  <c r="T5048" i="12"/>
  <c r="U5048" i="12"/>
  <c r="T5049" i="12"/>
  <c r="U5049" i="12"/>
  <c r="T5050" i="12"/>
  <c r="U5050" i="12"/>
  <c r="T5051" i="12"/>
  <c r="U5051" i="12"/>
  <c r="T5052" i="12"/>
  <c r="U5052" i="12"/>
  <c r="T5053" i="12"/>
  <c r="U5053" i="12"/>
  <c r="T5054" i="12"/>
  <c r="U5054" i="12"/>
  <c r="T5055" i="12"/>
  <c r="U5055" i="12"/>
  <c r="T5056" i="12"/>
  <c r="U5056" i="12"/>
  <c r="T5057" i="12"/>
  <c r="U5057" i="12"/>
  <c r="T5058" i="12"/>
  <c r="U5058" i="12"/>
  <c r="T5059" i="12"/>
  <c r="U5059" i="12"/>
  <c r="T5060" i="12"/>
  <c r="U5060" i="12"/>
  <c r="T5061" i="12"/>
  <c r="U5061" i="12"/>
  <c r="T5062" i="12"/>
  <c r="U5062" i="12"/>
  <c r="T5063" i="12"/>
  <c r="U5063" i="12"/>
  <c r="T5064" i="12"/>
  <c r="U5064" i="12"/>
  <c r="T5065" i="12"/>
  <c r="U5065" i="12"/>
  <c r="T5066" i="12"/>
  <c r="U5066" i="12"/>
  <c r="T5067" i="12"/>
  <c r="U5067" i="12"/>
  <c r="T5068" i="12"/>
  <c r="U5068" i="12"/>
  <c r="T5069" i="12"/>
  <c r="U5069" i="12"/>
  <c r="T5070" i="12"/>
  <c r="U5070" i="12"/>
  <c r="T5071" i="12"/>
  <c r="U5071" i="12"/>
  <c r="T5072" i="12"/>
  <c r="U5072" i="12"/>
  <c r="T5073" i="12"/>
  <c r="U5073" i="12"/>
  <c r="T5074" i="12"/>
  <c r="U5074" i="12"/>
  <c r="T5075" i="12"/>
  <c r="U5075" i="12"/>
  <c r="T5076" i="12"/>
  <c r="U5076" i="12"/>
  <c r="T5077" i="12"/>
  <c r="U5077" i="12"/>
  <c r="T5078" i="12"/>
  <c r="U5078" i="12"/>
  <c r="T5079" i="12"/>
  <c r="U5079" i="12"/>
  <c r="T5080" i="12"/>
  <c r="U5080" i="12"/>
  <c r="T5081" i="12"/>
  <c r="U5081" i="12"/>
  <c r="T5082" i="12"/>
  <c r="U5082" i="12"/>
  <c r="T5083" i="12"/>
  <c r="U5083" i="12"/>
  <c r="T5084" i="12"/>
  <c r="U5084" i="12"/>
  <c r="T5085" i="12"/>
  <c r="U5085" i="12"/>
  <c r="T5086" i="12"/>
  <c r="U5086" i="12"/>
  <c r="T5087" i="12"/>
  <c r="U5087" i="12"/>
  <c r="T5088" i="12"/>
  <c r="U5088" i="12"/>
  <c r="T5089" i="12"/>
  <c r="U5089" i="12"/>
  <c r="T5090" i="12"/>
  <c r="U5090" i="12"/>
  <c r="T5091" i="12"/>
  <c r="U5091" i="12"/>
  <c r="T5092" i="12"/>
  <c r="U5092" i="12"/>
  <c r="T5093" i="12"/>
  <c r="U5093" i="12"/>
  <c r="T5094" i="12"/>
  <c r="U5094" i="12"/>
  <c r="T5095" i="12"/>
  <c r="U5095" i="12"/>
  <c r="T5096" i="12"/>
  <c r="U5096" i="12"/>
  <c r="T5097" i="12"/>
  <c r="U5097" i="12"/>
  <c r="T5098" i="12"/>
  <c r="U5098" i="12"/>
  <c r="T5099" i="12"/>
  <c r="U5099" i="12"/>
  <c r="T5100" i="12"/>
  <c r="U5100" i="12"/>
  <c r="T5101" i="12"/>
  <c r="U5101" i="12"/>
  <c r="T5102" i="12"/>
  <c r="U5102" i="12"/>
  <c r="T5103" i="12"/>
  <c r="U5103" i="12"/>
  <c r="T5104" i="12"/>
  <c r="U5104" i="12"/>
  <c r="T5105" i="12"/>
  <c r="U5105" i="12"/>
  <c r="T5106" i="12"/>
  <c r="U5106" i="12"/>
  <c r="T5107" i="12"/>
  <c r="U5107" i="12"/>
  <c r="T5108" i="12"/>
  <c r="U5108" i="12"/>
  <c r="T5109" i="12"/>
  <c r="U5109" i="12"/>
  <c r="T5110" i="12"/>
  <c r="U5110" i="12"/>
  <c r="T5111" i="12"/>
  <c r="U5111" i="12"/>
  <c r="T5112" i="12"/>
  <c r="U5112" i="12"/>
  <c r="T5113" i="12"/>
  <c r="U5113" i="12"/>
  <c r="T5114" i="12"/>
  <c r="U5114" i="12"/>
  <c r="T5115" i="12"/>
  <c r="U5115" i="12"/>
  <c r="T5116" i="12"/>
  <c r="U5116" i="12"/>
  <c r="T5117" i="12"/>
  <c r="U5117" i="12"/>
  <c r="T5118" i="12"/>
  <c r="U5118" i="12"/>
  <c r="T5119" i="12"/>
  <c r="U5119" i="12"/>
  <c r="T5120" i="12"/>
  <c r="U5120" i="12"/>
  <c r="T5121" i="12"/>
  <c r="U5121" i="12"/>
  <c r="T5122" i="12"/>
  <c r="U5122" i="12"/>
  <c r="T5123" i="12"/>
  <c r="U5123" i="12"/>
  <c r="T5124" i="12"/>
  <c r="U5124" i="12"/>
  <c r="T5125" i="12"/>
  <c r="U5125" i="12"/>
  <c r="T5126" i="12"/>
  <c r="U5126" i="12"/>
  <c r="T5127" i="12"/>
  <c r="U5127" i="12"/>
  <c r="T5128" i="12"/>
  <c r="U5128" i="12"/>
  <c r="T5129" i="12"/>
  <c r="U5129" i="12"/>
  <c r="T5130" i="12"/>
  <c r="U5130" i="12"/>
  <c r="T5131" i="12"/>
  <c r="U5131" i="12"/>
  <c r="T5132" i="12"/>
  <c r="U5132" i="12"/>
  <c r="T5133" i="12"/>
  <c r="U5133" i="12"/>
  <c r="T5134" i="12"/>
  <c r="U5134" i="12"/>
  <c r="T5135" i="12"/>
  <c r="U5135" i="12"/>
  <c r="T5136" i="12"/>
  <c r="U5136" i="12"/>
  <c r="T5137" i="12"/>
  <c r="U5137" i="12"/>
  <c r="T5138" i="12"/>
  <c r="U5138" i="12"/>
  <c r="T5139" i="12"/>
  <c r="U5139" i="12"/>
  <c r="T5140" i="12"/>
  <c r="U5140" i="12"/>
  <c r="T5141" i="12"/>
  <c r="U5141" i="12"/>
  <c r="T5142" i="12"/>
  <c r="U5142" i="12"/>
  <c r="T5143" i="12"/>
  <c r="U5143" i="12"/>
  <c r="T5144" i="12"/>
  <c r="U5144" i="12"/>
  <c r="T5145" i="12"/>
  <c r="U5145" i="12"/>
  <c r="T5146" i="12"/>
  <c r="U5146" i="12"/>
  <c r="T5147" i="12"/>
  <c r="U5147" i="12"/>
  <c r="T5148" i="12"/>
  <c r="U5148" i="12"/>
  <c r="T5149" i="12"/>
  <c r="U5149" i="12"/>
  <c r="T5150" i="12"/>
  <c r="U5150" i="12"/>
  <c r="T5151" i="12"/>
  <c r="U5151" i="12"/>
  <c r="T5152" i="12"/>
  <c r="U5152" i="12"/>
  <c r="T5153" i="12"/>
  <c r="U5153" i="12"/>
  <c r="T5154" i="12"/>
  <c r="U5154" i="12"/>
  <c r="T5155" i="12"/>
  <c r="U5155" i="12"/>
  <c r="T5156" i="12"/>
  <c r="U5156" i="12"/>
  <c r="T5157" i="12"/>
  <c r="U5157" i="12"/>
  <c r="T5158" i="12"/>
  <c r="U5158" i="12"/>
  <c r="T5159" i="12"/>
  <c r="U5159" i="12"/>
  <c r="T5160" i="12"/>
  <c r="U5160" i="12"/>
  <c r="T5161" i="12"/>
  <c r="U5161" i="12"/>
  <c r="T5162" i="12"/>
  <c r="U5162" i="12"/>
  <c r="T5163" i="12"/>
  <c r="U5163" i="12"/>
  <c r="T5164" i="12"/>
  <c r="U5164" i="12"/>
  <c r="T5165" i="12"/>
  <c r="U5165" i="12"/>
  <c r="T5166" i="12"/>
  <c r="U5166" i="12"/>
  <c r="T5167" i="12"/>
  <c r="U5167" i="12"/>
  <c r="T5168" i="12"/>
  <c r="U5168" i="12"/>
  <c r="T5169" i="12"/>
  <c r="U5169" i="12"/>
  <c r="T5170" i="12"/>
  <c r="U5170" i="12"/>
  <c r="T5171" i="12"/>
  <c r="U5171" i="12"/>
  <c r="T5172" i="12"/>
  <c r="U5172" i="12"/>
  <c r="T5173" i="12"/>
  <c r="U5173" i="12"/>
  <c r="T5174" i="12"/>
  <c r="U5174" i="12"/>
  <c r="T5175" i="12"/>
  <c r="U5175" i="12"/>
  <c r="T5176" i="12"/>
  <c r="U5176" i="12"/>
  <c r="T5177" i="12"/>
  <c r="U5177" i="12"/>
  <c r="T5178" i="12"/>
  <c r="U5178" i="12"/>
  <c r="T5179" i="12"/>
  <c r="U5179" i="12"/>
  <c r="T5180" i="12"/>
  <c r="U5180" i="12"/>
  <c r="T5181" i="12"/>
  <c r="U5181" i="12"/>
  <c r="T5182" i="12"/>
  <c r="U5182" i="12"/>
  <c r="T5183" i="12"/>
  <c r="U5183" i="12"/>
  <c r="T5184" i="12"/>
  <c r="U5184" i="12"/>
  <c r="T5185" i="12"/>
  <c r="U5185" i="12"/>
  <c r="T5186" i="12"/>
  <c r="U5186" i="12"/>
  <c r="T5187" i="12"/>
  <c r="U5187" i="12"/>
  <c r="T5188" i="12"/>
  <c r="U5188" i="12"/>
  <c r="T5189" i="12"/>
  <c r="U5189" i="12"/>
  <c r="T5190" i="12"/>
  <c r="U5190" i="12"/>
  <c r="T5191" i="12"/>
  <c r="U5191" i="12"/>
  <c r="T5192" i="12"/>
  <c r="U5192" i="12"/>
  <c r="T5193" i="12"/>
  <c r="U5193" i="12"/>
  <c r="T5194" i="12"/>
  <c r="U5194" i="12"/>
  <c r="T5195" i="12"/>
  <c r="U5195" i="12"/>
  <c r="T5196" i="12"/>
  <c r="U5196" i="12"/>
  <c r="T5197" i="12"/>
  <c r="U5197" i="12"/>
  <c r="T5198" i="12"/>
  <c r="U5198" i="12"/>
  <c r="T5199" i="12"/>
  <c r="U5199" i="12"/>
  <c r="T5200" i="12"/>
  <c r="U5200" i="12"/>
  <c r="T5201" i="12"/>
  <c r="U5201" i="12"/>
  <c r="T5202" i="12"/>
  <c r="U5202" i="12"/>
  <c r="T5203" i="12"/>
  <c r="U5203" i="12"/>
  <c r="T5204" i="12"/>
  <c r="U5204" i="12"/>
  <c r="T5205" i="12"/>
  <c r="U5205" i="12"/>
  <c r="T5206" i="12"/>
  <c r="U5206" i="12"/>
  <c r="T5207" i="12"/>
  <c r="U5207" i="12"/>
  <c r="T5208" i="12"/>
  <c r="U5208" i="12"/>
  <c r="T5209" i="12"/>
  <c r="U5209" i="12"/>
  <c r="T5210" i="12"/>
  <c r="U5210" i="12"/>
  <c r="T5211" i="12"/>
  <c r="U5211" i="12"/>
  <c r="T5212" i="12"/>
  <c r="U5212" i="12"/>
  <c r="T5213" i="12"/>
  <c r="U5213" i="12"/>
  <c r="T5214" i="12"/>
  <c r="U5214" i="12"/>
  <c r="T5215" i="12"/>
  <c r="U5215" i="12"/>
  <c r="T5216" i="12"/>
  <c r="U5216" i="12"/>
  <c r="T5217" i="12"/>
  <c r="U5217" i="12"/>
  <c r="T5218" i="12"/>
  <c r="U5218" i="12"/>
  <c r="T5219" i="12"/>
  <c r="U5219" i="12"/>
  <c r="T5220" i="12"/>
  <c r="U5220" i="12"/>
  <c r="T5221" i="12"/>
  <c r="U5221" i="12"/>
  <c r="T5222" i="12"/>
  <c r="U5222" i="12"/>
  <c r="T5223" i="12"/>
  <c r="U5223" i="12"/>
  <c r="T5224" i="12"/>
  <c r="U5224" i="12"/>
  <c r="T5225" i="12"/>
  <c r="U5225" i="12"/>
  <c r="T5226" i="12"/>
  <c r="U5226" i="12"/>
  <c r="T5227" i="12"/>
  <c r="U5227" i="12"/>
  <c r="T5228" i="12"/>
  <c r="U5228" i="12"/>
  <c r="T5229" i="12"/>
  <c r="U5229" i="12"/>
  <c r="T5230" i="12"/>
  <c r="U5230" i="12"/>
  <c r="T5231" i="12"/>
  <c r="U5231" i="12"/>
  <c r="T5232" i="12"/>
  <c r="U5232" i="12"/>
  <c r="T5233" i="12"/>
  <c r="U5233" i="12"/>
  <c r="T5234" i="12"/>
  <c r="U5234" i="12"/>
  <c r="T5235" i="12"/>
  <c r="U5235" i="12"/>
  <c r="T5236" i="12"/>
  <c r="U5236" i="12"/>
  <c r="T5237" i="12"/>
  <c r="U5237" i="12"/>
  <c r="T5238" i="12"/>
  <c r="U5238" i="12"/>
  <c r="T5239" i="12"/>
  <c r="U5239" i="12"/>
  <c r="T5240" i="12"/>
  <c r="U5240" i="12"/>
  <c r="T5241" i="12"/>
  <c r="U5241" i="12"/>
  <c r="T5242" i="12"/>
  <c r="U5242" i="12"/>
  <c r="T5243" i="12"/>
  <c r="U5243" i="12"/>
  <c r="T5244" i="12"/>
  <c r="U5244" i="12"/>
  <c r="T5245" i="12"/>
  <c r="U5245" i="12"/>
  <c r="T5246" i="12"/>
  <c r="U5246" i="12"/>
  <c r="T5247" i="12"/>
  <c r="U5247" i="12"/>
  <c r="T5248" i="12"/>
  <c r="U5248" i="12"/>
  <c r="T5249" i="12"/>
  <c r="U5249" i="12"/>
  <c r="T5250" i="12"/>
  <c r="U5250" i="12"/>
  <c r="T5251" i="12"/>
  <c r="U5251" i="12"/>
  <c r="T5252" i="12"/>
  <c r="U5252" i="12"/>
  <c r="T5253" i="12"/>
  <c r="U5253" i="12"/>
  <c r="T5254" i="12"/>
  <c r="U5254" i="12"/>
  <c r="T5255" i="12"/>
  <c r="U5255" i="12"/>
  <c r="T5256" i="12"/>
  <c r="U5256" i="12"/>
  <c r="T5257" i="12"/>
  <c r="U5257" i="12"/>
  <c r="T5258" i="12"/>
  <c r="U5258" i="12"/>
  <c r="T5259" i="12"/>
  <c r="U5259" i="12"/>
  <c r="T5260" i="12"/>
  <c r="U5260" i="12"/>
  <c r="T5261" i="12"/>
  <c r="U5261" i="12"/>
  <c r="T5262" i="12"/>
  <c r="U5262" i="12"/>
  <c r="T5263" i="12"/>
  <c r="U5263" i="12"/>
  <c r="T5264" i="12"/>
  <c r="U5264" i="12"/>
  <c r="T5265" i="12"/>
  <c r="U5265" i="12"/>
  <c r="T5266" i="12"/>
  <c r="U5266" i="12"/>
  <c r="T5267" i="12"/>
  <c r="U5267" i="12"/>
  <c r="T5268" i="12"/>
  <c r="U5268" i="12"/>
  <c r="T5269" i="12"/>
  <c r="U5269" i="12"/>
  <c r="T5270" i="12"/>
  <c r="U5270" i="12"/>
  <c r="T5271" i="12"/>
  <c r="U5271" i="12"/>
  <c r="T5272" i="12"/>
  <c r="U5272" i="12"/>
  <c r="T5273" i="12"/>
  <c r="U5273" i="12"/>
  <c r="T5274" i="12"/>
  <c r="U5274" i="12"/>
  <c r="T5275" i="12"/>
  <c r="U5275" i="12"/>
  <c r="T5276" i="12"/>
  <c r="U5276" i="12"/>
  <c r="T5277" i="12"/>
  <c r="U5277" i="12"/>
  <c r="T5278" i="12"/>
  <c r="U5278" i="12"/>
  <c r="T5279" i="12"/>
  <c r="U5279" i="12"/>
  <c r="T5280" i="12"/>
  <c r="U5280" i="12"/>
  <c r="T5281" i="12"/>
  <c r="U5281" i="12"/>
  <c r="T5282" i="12"/>
  <c r="U5282" i="12"/>
  <c r="T5283" i="12"/>
  <c r="U5283" i="12"/>
  <c r="T5284" i="12"/>
  <c r="U5284" i="12"/>
  <c r="T5285" i="12"/>
  <c r="U5285" i="12"/>
  <c r="T5286" i="12"/>
  <c r="U5286" i="12"/>
  <c r="T5287" i="12"/>
  <c r="U5287" i="12"/>
  <c r="T5288" i="12"/>
  <c r="U5288" i="12"/>
  <c r="T5289" i="12"/>
  <c r="U5289" i="12"/>
  <c r="T5290" i="12"/>
  <c r="U5290" i="12"/>
  <c r="T5291" i="12"/>
  <c r="U5291" i="12"/>
  <c r="T5292" i="12"/>
  <c r="U5292" i="12"/>
  <c r="T5293" i="12"/>
  <c r="U5293" i="12"/>
  <c r="T5294" i="12"/>
  <c r="U5294" i="12"/>
  <c r="T5295" i="12"/>
  <c r="U5295" i="12"/>
  <c r="T5296" i="12"/>
  <c r="U5296" i="12"/>
  <c r="T5297" i="12"/>
  <c r="U5297" i="12"/>
  <c r="T5298" i="12"/>
  <c r="U5298" i="12"/>
  <c r="T5299" i="12"/>
  <c r="U5299" i="12"/>
  <c r="T5300" i="12"/>
  <c r="U5300" i="12"/>
  <c r="T5301" i="12"/>
  <c r="U5301" i="12"/>
  <c r="T5302" i="12"/>
  <c r="U5302" i="12"/>
  <c r="T5303" i="12"/>
  <c r="U5303" i="12"/>
  <c r="T5304" i="12"/>
  <c r="U5304" i="12"/>
  <c r="T5305" i="12"/>
  <c r="U5305" i="12"/>
  <c r="T5306" i="12"/>
  <c r="U5306" i="12"/>
  <c r="T5307" i="12"/>
  <c r="U5307" i="12"/>
  <c r="T5308" i="12"/>
  <c r="U5308" i="12"/>
  <c r="T5309" i="12"/>
  <c r="U5309" i="12"/>
  <c r="T5310" i="12"/>
  <c r="U5310" i="12"/>
  <c r="T5311" i="12"/>
  <c r="U5311" i="12"/>
  <c r="T5312" i="12"/>
  <c r="U5312" i="12"/>
  <c r="T5313" i="12"/>
  <c r="U5313" i="12"/>
  <c r="T5314" i="12"/>
  <c r="U5314" i="12"/>
  <c r="T5315" i="12"/>
  <c r="U5315" i="12"/>
  <c r="T5316" i="12"/>
  <c r="U5316" i="12"/>
  <c r="T5317" i="12"/>
  <c r="U5317" i="12"/>
  <c r="T5318" i="12"/>
  <c r="U5318" i="12"/>
  <c r="T5319" i="12"/>
  <c r="U5319" i="12"/>
  <c r="T5320" i="12"/>
  <c r="U5320" i="12"/>
  <c r="T5321" i="12"/>
  <c r="U5321" i="12"/>
  <c r="T5322" i="12"/>
  <c r="U5322" i="12"/>
  <c r="T5323" i="12"/>
  <c r="U5323" i="12"/>
  <c r="T5324" i="12"/>
  <c r="U5324" i="12"/>
  <c r="T5325" i="12"/>
  <c r="U5325" i="12"/>
  <c r="T5326" i="12"/>
  <c r="U5326" i="12"/>
  <c r="T5327" i="12"/>
  <c r="U5327" i="12"/>
  <c r="T5328" i="12"/>
  <c r="U5328" i="12"/>
  <c r="T5329" i="12"/>
  <c r="U5329" i="12"/>
  <c r="T5330" i="12"/>
  <c r="U5330" i="12"/>
  <c r="T5331" i="12"/>
  <c r="U5331" i="12"/>
  <c r="T5332" i="12"/>
  <c r="U5332" i="12"/>
  <c r="T5333" i="12"/>
  <c r="U5333" i="12"/>
  <c r="T5334" i="12"/>
  <c r="U5334" i="12"/>
  <c r="T5335" i="12"/>
  <c r="U5335" i="12"/>
  <c r="T5336" i="12"/>
  <c r="U5336" i="12"/>
  <c r="T5337" i="12"/>
  <c r="U5337" i="12"/>
  <c r="T5338" i="12"/>
  <c r="U5338" i="12"/>
  <c r="T5339" i="12"/>
  <c r="U5339" i="12"/>
  <c r="T5340" i="12"/>
  <c r="U5340" i="12"/>
  <c r="T5341" i="12"/>
  <c r="U5341" i="12"/>
  <c r="T5342" i="12"/>
  <c r="U5342" i="12"/>
  <c r="T5343" i="12"/>
  <c r="U5343" i="12"/>
  <c r="T5344" i="12"/>
  <c r="U5344" i="12"/>
  <c r="T5345" i="12"/>
  <c r="U5345" i="12"/>
  <c r="T5346" i="12"/>
  <c r="U5346" i="12"/>
  <c r="T5347" i="12"/>
  <c r="U5347" i="12"/>
  <c r="T5348" i="12"/>
  <c r="U5348" i="12"/>
  <c r="T5349" i="12"/>
  <c r="U5349" i="12"/>
  <c r="T5350" i="12"/>
  <c r="U5350" i="12"/>
  <c r="T5351" i="12"/>
  <c r="U5351" i="12"/>
  <c r="T5352" i="12"/>
  <c r="U5352" i="12"/>
  <c r="T5353" i="12"/>
  <c r="U5353" i="12"/>
  <c r="T5354" i="12"/>
  <c r="U5354" i="12"/>
  <c r="T5355" i="12"/>
  <c r="U5355" i="12"/>
  <c r="T5356" i="12"/>
  <c r="U5356" i="12"/>
  <c r="T5357" i="12"/>
  <c r="U5357" i="12"/>
  <c r="T5358" i="12"/>
  <c r="U5358" i="12"/>
  <c r="T5359" i="12"/>
  <c r="U5359" i="12"/>
  <c r="T5360" i="12"/>
  <c r="U5360" i="12"/>
  <c r="T5361" i="12"/>
  <c r="U5361" i="12"/>
  <c r="T5362" i="12"/>
  <c r="U5362" i="12"/>
  <c r="T5363" i="12"/>
  <c r="U5363" i="12"/>
  <c r="T5364" i="12"/>
  <c r="U5364" i="12"/>
  <c r="T5365" i="12"/>
  <c r="U5365" i="12"/>
  <c r="T5366" i="12"/>
  <c r="U5366" i="12"/>
  <c r="T5367" i="12"/>
  <c r="U5367" i="12"/>
  <c r="T5368" i="12"/>
  <c r="U5368" i="12"/>
  <c r="T5369" i="12"/>
  <c r="U5369" i="12"/>
  <c r="T5370" i="12"/>
  <c r="U5370" i="12"/>
  <c r="T5371" i="12"/>
  <c r="U5371" i="12"/>
  <c r="T5372" i="12"/>
  <c r="U5372" i="12"/>
  <c r="T5373" i="12"/>
  <c r="U5373" i="12"/>
  <c r="T5374" i="12"/>
  <c r="U5374" i="12"/>
  <c r="T5375" i="12"/>
  <c r="U5375" i="12"/>
  <c r="T5376" i="12"/>
  <c r="U5376" i="12"/>
  <c r="T5377" i="12"/>
  <c r="U5377" i="12"/>
  <c r="T5378" i="12"/>
  <c r="U5378" i="12"/>
  <c r="T5379" i="12"/>
  <c r="U5379" i="12"/>
  <c r="T5380" i="12"/>
  <c r="U5380" i="12"/>
  <c r="T5381" i="12"/>
  <c r="U5381" i="12"/>
  <c r="T5382" i="12"/>
  <c r="U5382" i="12"/>
  <c r="T5383" i="12"/>
  <c r="U5383" i="12"/>
  <c r="T5384" i="12"/>
  <c r="U5384" i="12"/>
  <c r="T5385" i="12"/>
  <c r="U5385" i="12"/>
  <c r="T5386" i="12"/>
  <c r="U5386" i="12"/>
  <c r="T5387" i="12"/>
  <c r="U5387" i="12"/>
  <c r="T5388" i="12"/>
  <c r="U5388" i="12"/>
  <c r="T5389" i="12"/>
  <c r="U5389" i="12"/>
  <c r="T5390" i="12"/>
  <c r="U5390" i="12"/>
  <c r="T5391" i="12"/>
  <c r="U5391" i="12"/>
  <c r="T5392" i="12"/>
  <c r="U5392" i="12"/>
  <c r="T5393" i="12"/>
  <c r="U5393" i="12"/>
  <c r="T5394" i="12"/>
  <c r="U5394" i="12"/>
  <c r="T5395" i="12"/>
  <c r="U5395" i="12"/>
  <c r="T5396" i="12"/>
  <c r="U5396" i="12"/>
  <c r="T5397" i="12"/>
  <c r="U5397" i="12"/>
  <c r="T5398" i="12"/>
  <c r="U5398" i="12"/>
  <c r="T5399" i="12"/>
  <c r="U5399" i="12"/>
  <c r="T5400" i="12"/>
  <c r="U5400" i="12"/>
  <c r="T5401" i="12"/>
  <c r="U5401" i="12"/>
  <c r="T5402" i="12"/>
  <c r="U5402" i="12"/>
  <c r="T5403" i="12"/>
  <c r="U5403" i="12"/>
  <c r="T5404" i="12"/>
  <c r="U5404" i="12"/>
  <c r="T5405" i="12"/>
  <c r="U5405" i="12"/>
  <c r="T5406" i="12"/>
  <c r="U5406" i="12"/>
  <c r="T5407" i="12"/>
  <c r="U5407" i="12"/>
  <c r="T5408" i="12"/>
  <c r="U5408" i="12"/>
  <c r="T5409" i="12"/>
  <c r="U5409" i="12"/>
  <c r="T5410" i="12"/>
  <c r="U5410" i="12"/>
  <c r="T5411" i="12"/>
  <c r="U5411" i="12"/>
  <c r="T5412" i="12"/>
  <c r="U5412" i="12"/>
  <c r="T5413" i="12"/>
  <c r="U5413" i="12"/>
  <c r="T5414" i="12"/>
  <c r="U5414" i="12"/>
  <c r="T5415" i="12"/>
  <c r="U5415" i="12"/>
  <c r="T5416" i="12"/>
  <c r="U5416" i="12"/>
  <c r="T5417" i="12"/>
  <c r="U5417" i="12"/>
  <c r="T5418" i="12"/>
  <c r="U5418" i="12"/>
  <c r="T5419" i="12"/>
  <c r="U5419" i="12"/>
  <c r="T5420" i="12"/>
  <c r="U5420" i="12"/>
  <c r="T5421" i="12"/>
  <c r="U5421" i="12"/>
  <c r="T5422" i="12"/>
  <c r="U5422" i="12"/>
  <c r="T5423" i="12"/>
  <c r="U5423" i="12"/>
  <c r="T5424" i="12"/>
  <c r="U5424" i="12"/>
  <c r="T5425" i="12"/>
  <c r="U5425" i="12"/>
  <c r="T5426" i="12"/>
  <c r="U5426" i="12"/>
  <c r="T5427" i="12"/>
  <c r="U5427" i="12"/>
  <c r="T5428" i="12"/>
  <c r="U5428" i="12"/>
  <c r="T5429" i="12"/>
  <c r="U5429" i="12"/>
  <c r="T5430" i="12"/>
  <c r="U5430" i="12"/>
  <c r="T5431" i="12"/>
  <c r="U5431" i="12"/>
  <c r="T5432" i="12"/>
  <c r="U5432" i="12"/>
  <c r="T5433" i="12"/>
  <c r="U5433" i="12"/>
  <c r="T5434" i="12"/>
  <c r="U5434" i="12"/>
  <c r="T5435" i="12"/>
  <c r="U5435" i="12"/>
  <c r="T5436" i="12"/>
  <c r="U5436" i="12"/>
  <c r="T5437" i="12"/>
  <c r="U5437" i="12"/>
  <c r="T5438" i="12"/>
  <c r="U5438" i="12"/>
  <c r="T5439" i="12"/>
  <c r="U5439" i="12"/>
  <c r="T5440" i="12"/>
  <c r="U5440" i="12"/>
  <c r="T5441" i="12"/>
  <c r="U5441" i="12"/>
  <c r="T5442" i="12"/>
  <c r="U5442" i="12"/>
  <c r="T5443" i="12"/>
  <c r="U5443" i="12"/>
  <c r="T5444" i="12"/>
  <c r="U5444" i="12"/>
  <c r="T5445" i="12"/>
  <c r="U5445" i="12"/>
  <c r="T5446" i="12"/>
  <c r="U5446" i="12"/>
  <c r="T5447" i="12"/>
  <c r="U5447" i="12"/>
  <c r="T5448" i="12"/>
  <c r="U5448" i="12"/>
  <c r="T5449" i="12"/>
  <c r="U5449" i="12"/>
  <c r="T5450" i="12"/>
  <c r="U5450" i="12"/>
  <c r="T5451" i="12"/>
  <c r="U5451" i="12"/>
  <c r="T5452" i="12"/>
  <c r="U5452" i="12"/>
  <c r="T5453" i="12"/>
  <c r="U5453" i="12"/>
  <c r="T5454" i="12"/>
  <c r="U5454" i="12"/>
  <c r="T5455" i="12"/>
  <c r="U5455" i="12"/>
  <c r="T5456" i="12"/>
  <c r="U5456" i="12"/>
  <c r="T5457" i="12"/>
  <c r="U5457" i="12"/>
  <c r="T5458" i="12"/>
  <c r="U5458" i="12"/>
  <c r="T5459" i="12"/>
  <c r="U5459" i="12"/>
  <c r="T5460" i="12"/>
  <c r="U5460" i="12"/>
  <c r="T5461" i="12"/>
  <c r="U5461" i="12"/>
  <c r="T5462" i="12"/>
  <c r="U5462" i="12"/>
  <c r="T5463" i="12"/>
  <c r="U5463" i="12"/>
  <c r="T5464" i="12"/>
  <c r="U5464" i="12"/>
  <c r="T5465" i="12"/>
  <c r="U5465" i="12"/>
  <c r="T5466" i="12"/>
  <c r="U5466" i="12"/>
  <c r="T5467" i="12"/>
  <c r="U5467" i="12"/>
  <c r="T5468" i="12"/>
  <c r="U5468" i="12"/>
  <c r="T5469" i="12"/>
  <c r="U5469" i="12"/>
  <c r="T5470" i="12"/>
  <c r="U5470" i="12"/>
  <c r="T5471" i="12"/>
  <c r="U5471" i="12"/>
  <c r="T5472" i="12"/>
  <c r="U5472" i="12"/>
  <c r="T5473" i="12"/>
  <c r="U5473" i="12"/>
  <c r="T5474" i="12"/>
  <c r="U5474" i="12"/>
  <c r="T5475" i="12"/>
  <c r="U5475" i="12"/>
  <c r="T5476" i="12"/>
  <c r="U5476" i="12"/>
  <c r="T5477" i="12"/>
  <c r="U5477" i="12"/>
  <c r="T5478" i="12"/>
  <c r="U5478" i="12"/>
  <c r="T5479" i="12"/>
  <c r="U5479" i="12"/>
  <c r="T5480" i="12"/>
  <c r="U5480" i="12"/>
  <c r="T5481" i="12"/>
  <c r="U5481" i="12"/>
  <c r="T5482" i="12"/>
  <c r="U5482" i="12"/>
  <c r="T5483" i="12"/>
  <c r="U5483" i="12"/>
  <c r="T5484" i="12"/>
  <c r="U5484" i="12"/>
  <c r="T5485" i="12"/>
  <c r="U5485" i="12"/>
  <c r="T5486" i="12"/>
  <c r="U5486" i="12"/>
  <c r="T5487" i="12"/>
  <c r="U5487" i="12"/>
  <c r="T5488" i="12"/>
  <c r="U5488" i="12"/>
  <c r="T5489" i="12"/>
  <c r="U5489" i="12"/>
  <c r="T5490" i="12"/>
  <c r="U5490" i="12"/>
  <c r="T5491" i="12"/>
  <c r="U5491" i="12"/>
  <c r="T5492" i="12"/>
  <c r="U5492" i="12"/>
  <c r="T5493" i="12"/>
  <c r="U5493" i="12"/>
  <c r="T5494" i="12"/>
  <c r="U5494" i="12"/>
  <c r="T5495" i="12"/>
  <c r="U5495" i="12"/>
  <c r="T5496" i="12"/>
  <c r="U5496" i="12"/>
  <c r="T5497" i="12"/>
  <c r="U5497" i="12"/>
  <c r="T5498" i="12"/>
  <c r="U5498" i="12"/>
  <c r="T5499" i="12"/>
  <c r="U5499" i="12"/>
  <c r="T5500" i="12"/>
  <c r="U5500" i="12"/>
  <c r="T5501" i="12"/>
  <c r="U5501" i="12"/>
  <c r="T5502" i="12"/>
  <c r="U5502" i="12"/>
  <c r="T5503" i="12"/>
  <c r="U5503" i="12"/>
  <c r="T5504" i="12"/>
  <c r="U5504" i="12"/>
  <c r="T5505" i="12"/>
  <c r="U5505" i="12"/>
  <c r="T5506" i="12"/>
  <c r="U5506" i="12"/>
  <c r="T5507" i="12"/>
  <c r="U5507" i="12"/>
  <c r="T5508" i="12"/>
  <c r="U5508" i="12"/>
  <c r="T5509" i="12"/>
  <c r="U5509" i="12"/>
  <c r="T5510" i="12"/>
  <c r="U5510" i="12"/>
  <c r="T5511" i="12"/>
  <c r="U5511" i="12"/>
  <c r="T5512" i="12"/>
  <c r="U5512" i="12"/>
  <c r="T5513" i="12"/>
  <c r="U5513" i="12"/>
  <c r="T5514" i="12"/>
  <c r="U5514" i="12"/>
  <c r="T5515" i="12"/>
  <c r="U5515" i="12"/>
  <c r="T5516" i="12"/>
  <c r="U5516" i="12"/>
  <c r="T5517" i="12"/>
  <c r="U5517" i="12"/>
  <c r="T5518" i="12"/>
  <c r="U5518" i="12"/>
  <c r="T5519" i="12"/>
  <c r="U5519" i="12"/>
  <c r="T5520" i="12"/>
  <c r="U5520" i="12"/>
  <c r="T5521" i="12"/>
  <c r="U5521" i="12"/>
  <c r="T5522" i="12"/>
  <c r="U5522" i="12"/>
  <c r="T5523" i="12"/>
  <c r="U5523" i="12"/>
  <c r="T5524" i="12"/>
  <c r="U5524" i="12"/>
  <c r="T5525" i="12"/>
  <c r="U5525" i="12"/>
  <c r="T5526" i="12"/>
  <c r="U5526" i="12"/>
  <c r="T5527" i="12"/>
  <c r="U5527" i="12"/>
  <c r="T5528" i="12"/>
  <c r="U5528" i="12"/>
  <c r="T5529" i="12"/>
  <c r="U5529" i="12"/>
  <c r="T5530" i="12"/>
  <c r="U5530" i="12"/>
  <c r="T5531" i="12"/>
  <c r="U5531" i="12"/>
  <c r="T5532" i="12"/>
  <c r="U5532" i="12"/>
  <c r="T5533" i="12"/>
  <c r="U5533" i="12"/>
  <c r="T5534" i="12"/>
  <c r="U5534" i="12"/>
  <c r="T5535" i="12"/>
  <c r="U5535" i="12"/>
  <c r="T5536" i="12"/>
  <c r="U5536" i="12"/>
  <c r="T5537" i="12"/>
  <c r="U5537" i="12"/>
  <c r="T5538" i="12"/>
  <c r="U5538" i="12"/>
  <c r="T5539" i="12"/>
  <c r="U5539" i="12"/>
  <c r="T5540" i="12"/>
  <c r="U5540" i="12"/>
  <c r="T5541" i="12"/>
  <c r="U5541" i="12"/>
  <c r="T5542" i="12"/>
  <c r="U5542" i="12"/>
  <c r="T5543" i="12"/>
  <c r="U5543" i="12"/>
  <c r="T5544" i="12"/>
  <c r="U5544" i="12"/>
  <c r="T5545" i="12"/>
  <c r="U5545" i="12"/>
  <c r="T5546" i="12"/>
  <c r="U5546" i="12"/>
  <c r="T5547" i="12"/>
  <c r="U5547" i="12"/>
  <c r="T5548" i="12"/>
  <c r="U5548" i="12"/>
  <c r="T5549" i="12"/>
  <c r="U5549" i="12"/>
  <c r="T5550" i="12"/>
  <c r="U5550" i="12"/>
  <c r="T5551" i="12"/>
  <c r="U5551" i="12"/>
  <c r="T5552" i="12"/>
  <c r="U5552" i="12"/>
  <c r="T5553" i="12"/>
  <c r="U5553" i="12"/>
  <c r="T5554" i="12"/>
  <c r="U5554" i="12"/>
  <c r="T5555" i="12"/>
  <c r="U5555" i="12"/>
  <c r="T5556" i="12"/>
  <c r="U5556" i="12"/>
  <c r="T5557" i="12"/>
  <c r="U5557" i="12"/>
  <c r="T5558" i="12"/>
  <c r="U5558" i="12"/>
  <c r="T5559" i="12"/>
  <c r="U5559" i="12"/>
  <c r="T5560" i="12"/>
  <c r="U5560" i="12"/>
  <c r="T5561" i="12"/>
  <c r="U5561" i="12"/>
  <c r="T5562" i="12"/>
  <c r="U5562" i="12"/>
  <c r="T5563" i="12"/>
  <c r="U5563" i="12"/>
  <c r="T5564" i="12"/>
  <c r="U5564" i="12"/>
  <c r="T5565" i="12"/>
  <c r="U5565" i="12"/>
  <c r="T5566" i="12"/>
  <c r="U5566" i="12"/>
  <c r="T5567" i="12"/>
  <c r="U5567" i="12"/>
  <c r="T5568" i="12"/>
  <c r="U5568" i="12"/>
  <c r="T5569" i="12"/>
  <c r="U5569" i="12"/>
  <c r="T5570" i="12"/>
  <c r="U5570" i="12"/>
  <c r="T5571" i="12"/>
  <c r="U5571" i="12"/>
  <c r="T5572" i="12"/>
  <c r="U5572" i="12"/>
  <c r="T5573" i="12"/>
  <c r="U5573" i="12"/>
  <c r="T5574" i="12"/>
  <c r="U5574" i="12"/>
  <c r="T5575" i="12"/>
  <c r="U5575" i="12"/>
  <c r="T5576" i="12"/>
  <c r="U5576" i="12"/>
  <c r="T5577" i="12"/>
  <c r="U5577" i="12"/>
  <c r="T5578" i="12"/>
  <c r="U5578" i="12"/>
  <c r="T5579" i="12"/>
  <c r="U5579" i="12"/>
  <c r="T5580" i="12"/>
  <c r="U5580" i="12"/>
  <c r="T5581" i="12"/>
  <c r="U5581" i="12"/>
  <c r="T5582" i="12"/>
  <c r="U5582" i="12"/>
  <c r="T5583" i="12"/>
  <c r="U5583" i="12"/>
  <c r="T5584" i="12"/>
  <c r="U5584" i="12"/>
  <c r="T5585" i="12"/>
  <c r="U5585" i="12"/>
  <c r="T5586" i="12"/>
  <c r="U5586" i="12"/>
  <c r="T5587" i="12"/>
  <c r="U5587" i="12"/>
  <c r="T5588" i="12"/>
  <c r="U5588" i="12"/>
  <c r="T5589" i="12"/>
  <c r="U5589" i="12"/>
  <c r="T5590" i="12"/>
  <c r="U5590" i="12"/>
  <c r="T5591" i="12"/>
  <c r="U5591" i="12"/>
  <c r="T5592" i="12"/>
  <c r="U5592" i="12"/>
  <c r="T5593" i="12"/>
  <c r="U5593" i="12"/>
  <c r="T5594" i="12"/>
  <c r="U5594" i="12"/>
  <c r="T5595" i="12"/>
  <c r="U5595" i="12"/>
  <c r="T5596" i="12"/>
  <c r="U5596" i="12"/>
  <c r="T5597" i="12"/>
  <c r="U5597" i="12"/>
  <c r="T5598" i="12"/>
  <c r="U5598" i="12"/>
  <c r="T5599" i="12"/>
  <c r="U5599" i="12"/>
  <c r="T5600" i="12"/>
  <c r="U5600" i="12"/>
  <c r="T5601" i="12"/>
  <c r="U5601" i="12"/>
  <c r="T5602" i="12"/>
  <c r="U5602" i="12"/>
  <c r="T5603" i="12"/>
  <c r="U5603" i="12"/>
  <c r="T5604" i="12"/>
  <c r="U5604" i="12"/>
  <c r="T5605" i="12"/>
  <c r="U5605" i="12"/>
  <c r="T5606" i="12"/>
  <c r="U5606" i="12"/>
  <c r="T5607" i="12"/>
  <c r="U5607" i="12"/>
  <c r="T5608" i="12"/>
  <c r="U5608" i="12"/>
  <c r="T5609" i="12"/>
  <c r="U5609" i="12"/>
  <c r="T5610" i="12"/>
  <c r="U5610" i="12"/>
  <c r="T5611" i="12"/>
  <c r="U5611" i="12"/>
  <c r="T5612" i="12"/>
  <c r="U5612" i="12"/>
  <c r="T5613" i="12"/>
  <c r="U5613" i="12"/>
  <c r="T5614" i="12"/>
  <c r="U5614" i="12"/>
  <c r="T5615" i="12"/>
  <c r="U5615" i="12"/>
  <c r="T5616" i="12"/>
  <c r="U5616" i="12"/>
  <c r="T5617" i="12"/>
  <c r="U5617" i="12"/>
  <c r="T5618" i="12"/>
  <c r="U5618" i="12"/>
  <c r="T5619" i="12"/>
  <c r="U5619" i="12"/>
  <c r="T5620" i="12"/>
  <c r="U5620" i="12"/>
  <c r="T5621" i="12"/>
  <c r="U5621" i="12"/>
  <c r="T5622" i="12"/>
  <c r="U5622" i="12"/>
  <c r="T5623" i="12"/>
  <c r="U5623" i="12"/>
  <c r="T5624" i="12"/>
  <c r="U5624" i="12"/>
  <c r="T5625" i="12"/>
  <c r="U5625" i="12"/>
  <c r="T5626" i="12"/>
  <c r="U5626" i="12"/>
  <c r="T5627" i="12"/>
  <c r="U5627" i="12"/>
  <c r="T5628" i="12"/>
  <c r="U5628" i="12"/>
  <c r="T5629" i="12"/>
  <c r="U5629" i="12"/>
  <c r="T5630" i="12"/>
  <c r="U5630" i="12"/>
  <c r="T5631" i="12"/>
  <c r="U5631" i="12"/>
  <c r="T5632" i="12"/>
  <c r="U5632" i="12"/>
  <c r="T5633" i="12"/>
  <c r="U5633" i="12"/>
  <c r="T5634" i="12"/>
  <c r="U5634" i="12"/>
  <c r="T5635" i="12"/>
  <c r="U5635" i="12"/>
  <c r="T5636" i="12"/>
  <c r="U5636" i="12"/>
  <c r="T5637" i="12"/>
  <c r="U5637" i="12"/>
  <c r="T5638" i="12"/>
  <c r="U5638" i="12"/>
  <c r="T5639" i="12"/>
  <c r="U5639" i="12"/>
  <c r="T5640" i="12"/>
  <c r="U5640" i="12"/>
  <c r="T5641" i="12"/>
  <c r="U5641" i="12"/>
  <c r="T5642" i="12"/>
  <c r="U5642" i="12"/>
  <c r="T5643" i="12"/>
  <c r="U5643" i="12"/>
  <c r="T5644" i="12"/>
  <c r="U5644" i="12"/>
  <c r="T5645" i="12"/>
  <c r="U5645" i="12"/>
  <c r="T5646" i="12"/>
  <c r="U5646" i="12"/>
  <c r="T5647" i="12"/>
  <c r="U5647" i="12"/>
  <c r="T5648" i="12"/>
  <c r="U5648" i="12"/>
  <c r="T5649" i="12"/>
  <c r="U5649" i="12"/>
  <c r="T5650" i="12"/>
  <c r="U5650" i="12"/>
  <c r="T5651" i="12"/>
  <c r="U5651" i="12"/>
  <c r="T5652" i="12"/>
  <c r="U5652" i="12"/>
  <c r="T5653" i="12"/>
  <c r="U5653" i="12"/>
  <c r="T5654" i="12"/>
  <c r="U5654" i="12"/>
  <c r="T5655" i="12"/>
  <c r="U5655" i="12"/>
  <c r="T5656" i="12"/>
  <c r="U5656" i="12"/>
  <c r="T5657" i="12"/>
  <c r="U5657" i="12"/>
  <c r="T5658" i="12"/>
  <c r="U5658" i="12"/>
  <c r="T5659" i="12"/>
  <c r="U5659" i="12"/>
  <c r="T5660" i="12"/>
  <c r="U5660" i="12"/>
  <c r="T5661" i="12"/>
  <c r="U5661" i="12"/>
  <c r="T5662" i="12"/>
  <c r="U5662" i="12"/>
  <c r="T5663" i="12"/>
  <c r="U5663" i="12"/>
  <c r="T5664" i="12"/>
  <c r="U5664" i="12"/>
  <c r="T5665" i="12"/>
  <c r="U5665" i="12"/>
  <c r="T5666" i="12"/>
  <c r="U5666" i="12"/>
  <c r="T5667" i="12"/>
  <c r="U5667" i="12"/>
  <c r="T5668" i="12"/>
  <c r="U5668" i="12"/>
  <c r="T5669" i="12"/>
  <c r="U5669" i="12"/>
  <c r="T5670" i="12"/>
  <c r="U5670" i="12"/>
  <c r="T5671" i="12"/>
  <c r="U5671" i="12"/>
  <c r="T5672" i="12"/>
  <c r="U5672" i="12"/>
  <c r="T5673" i="12"/>
  <c r="U5673" i="12"/>
  <c r="T5674" i="12"/>
  <c r="U5674" i="12"/>
  <c r="T5675" i="12"/>
  <c r="U5675" i="12"/>
  <c r="T5676" i="12"/>
  <c r="U5676" i="12"/>
  <c r="T5677" i="12"/>
  <c r="U5677" i="12"/>
  <c r="T5678" i="12"/>
  <c r="U5678" i="12"/>
  <c r="T5679" i="12"/>
  <c r="U5679" i="12"/>
  <c r="T5680" i="12"/>
  <c r="U5680" i="12"/>
  <c r="T5681" i="12"/>
  <c r="U5681" i="12"/>
  <c r="T5682" i="12"/>
  <c r="U5682" i="12"/>
  <c r="T5683" i="12"/>
  <c r="U5683" i="12"/>
  <c r="T5684" i="12"/>
  <c r="U5684" i="12"/>
  <c r="T5685" i="12"/>
  <c r="U5685" i="12"/>
  <c r="T5686" i="12"/>
  <c r="U5686" i="12"/>
  <c r="T5687" i="12"/>
  <c r="U5687" i="12"/>
  <c r="T5688" i="12"/>
  <c r="U5688" i="12"/>
  <c r="T5689" i="12"/>
  <c r="U5689" i="12"/>
  <c r="T5690" i="12"/>
  <c r="U5690" i="12"/>
  <c r="T5691" i="12"/>
  <c r="U5691" i="12"/>
  <c r="T5692" i="12"/>
  <c r="U5692" i="12"/>
  <c r="T5693" i="12"/>
  <c r="U5693" i="12"/>
  <c r="T5694" i="12"/>
  <c r="U5694" i="12"/>
  <c r="T5695" i="12"/>
  <c r="U5695" i="12"/>
  <c r="T5696" i="12"/>
  <c r="U5696" i="12"/>
  <c r="T5697" i="12"/>
  <c r="U5697" i="12"/>
  <c r="T5698" i="12"/>
  <c r="U5698" i="12"/>
  <c r="T5699" i="12"/>
  <c r="U5699" i="12"/>
  <c r="T5700" i="12"/>
  <c r="U5700" i="12"/>
  <c r="T5701" i="12"/>
  <c r="U5701" i="12"/>
  <c r="T5702" i="12"/>
  <c r="U5702" i="12"/>
  <c r="T5703" i="12"/>
  <c r="U5703" i="12"/>
  <c r="T5704" i="12"/>
  <c r="U5704" i="12"/>
  <c r="T5705" i="12"/>
  <c r="U5705" i="12"/>
  <c r="T5706" i="12"/>
  <c r="U5706" i="12"/>
  <c r="T5707" i="12"/>
  <c r="U5707" i="12"/>
  <c r="T5708" i="12"/>
  <c r="U5708" i="12"/>
  <c r="T5709" i="12"/>
  <c r="U5709" i="12"/>
  <c r="T5710" i="12"/>
  <c r="U5710" i="12"/>
  <c r="T5711" i="12"/>
  <c r="U5711" i="12"/>
  <c r="T5712" i="12"/>
  <c r="U5712" i="12"/>
  <c r="T5713" i="12"/>
  <c r="U5713" i="12"/>
  <c r="T5714" i="12"/>
  <c r="U5714" i="12"/>
  <c r="T5715" i="12"/>
  <c r="U5715" i="12"/>
  <c r="T5716" i="12"/>
  <c r="U5716" i="12"/>
  <c r="T5717" i="12"/>
  <c r="U5717" i="12"/>
  <c r="T5718" i="12"/>
  <c r="U5718" i="12"/>
  <c r="T5719" i="12"/>
  <c r="U5719" i="12"/>
  <c r="T5720" i="12"/>
  <c r="U5720" i="12"/>
  <c r="T5721" i="12"/>
  <c r="U5721" i="12"/>
  <c r="T5722" i="12"/>
  <c r="U5722" i="12"/>
  <c r="T5723" i="12"/>
  <c r="U5723" i="12"/>
  <c r="T5724" i="12"/>
  <c r="U5724" i="12"/>
  <c r="T5725" i="12"/>
  <c r="U5725" i="12"/>
  <c r="T5726" i="12"/>
  <c r="U5726" i="12"/>
  <c r="T5727" i="12"/>
  <c r="U5727" i="12"/>
  <c r="T5728" i="12"/>
  <c r="U5728" i="12"/>
  <c r="T5729" i="12"/>
  <c r="U5729" i="12"/>
  <c r="T5730" i="12"/>
  <c r="U5730" i="12"/>
  <c r="T5731" i="12"/>
  <c r="U5731" i="12"/>
  <c r="T5732" i="12"/>
  <c r="U5732" i="12"/>
  <c r="T5733" i="12"/>
  <c r="U5733" i="12"/>
  <c r="T5734" i="12"/>
  <c r="U5734" i="12"/>
  <c r="T5735" i="12"/>
  <c r="U5735" i="12"/>
  <c r="T5736" i="12"/>
  <c r="U5736" i="12"/>
  <c r="T5737" i="12"/>
  <c r="U5737" i="12"/>
  <c r="T5738" i="12"/>
  <c r="U5738" i="12"/>
  <c r="T5739" i="12"/>
  <c r="U5739" i="12"/>
  <c r="T5740" i="12"/>
  <c r="U5740" i="12"/>
  <c r="T5741" i="12"/>
  <c r="U5741" i="12"/>
  <c r="T5742" i="12"/>
  <c r="U5742" i="12"/>
  <c r="T5743" i="12"/>
  <c r="U5743" i="12"/>
  <c r="T5744" i="12"/>
  <c r="U5744" i="12"/>
  <c r="T5745" i="12"/>
  <c r="U5745" i="12"/>
  <c r="T5746" i="12"/>
  <c r="U5746" i="12"/>
  <c r="T5747" i="12"/>
  <c r="U5747" i="12"/>
  <c r="T5748" i="12"/>
  <c r="U5748" i="12"/>
  <c r="T5749" i="12"/>
  <c r="U5749" i="12"/>
  <c r="T5750" i="12"/>
  <c r="U5750" i="12"/>
  <c r="T5751" i="12"/>
  <c r="U5751" i="12"/>
  <c r="T5752" i="12"/>
  <c r="U5752" i="12"/>
  <c r="T5753" i="12"/>
  <c r="U5753" i="12"/>
  <c r="T5754" i="12"/>
  <c r="U5754" i="12"/>
  <c r="T5755" i="12"/>
  <c r="U5755" i="12"/>
  <c r="T5756" i="12"/>
  <c r="U5756" i="12"/>
  <c r="T5757" i="12"/>
  <c r="U5757" i="12"/>
  <c r="T5758" i="12"/>
  <c r="U5758" i="12"/>
  <c r="T5759" i="12"/>
  <c r="U5759" i="12"/>
  <c r="T5760" i="12"/>
  <c r="U5760" i="12"/>
  <c r="T5761" i="12"/>
  <c r="U5761" i="12"/>
  <c r="T5762" i="12"/>
  <c r="U5762" i="12"/>
  <c r="T5763" i="12"/>
  <c r="U5763" i="12"/>
  <c r="T5764" i="12"/>
  <c r="U5764" i="12"/>
  <c r="T5765" i="12"/>
  <c r="U5765" i="12"/>
  <c r="T5766" i="12"/>
  <c r="U5766" i="12"/>
  <c r="T5767" i="12"/>
  <c r="U5767" i="12"/>
  <c r="T5768" i="12"/>
  <c r="U5768" i="12"/>
  <c r="T5769" i="12"/>
  <c r="U5769" i="12"/>
  <c r="T5770" i="12"/>
  <c r="U5770" i="12"/>
  <c r="T5771" i="12"/>
  <c r="U5771" i="12"/>
  <c r="T5772" i="12"/>
  <c r="U5772" i="12"/>
  <c r="T5773" i="12"/>
  <c r="U5773" i="12"/>
  <c r="T5774" i="12"/>
  <c r="U5774" i="12"/>
  <c r="T5775" i="12"/>
  <c r="U5775" i="12"/>
  <c r="T5776" i="12"/>
  <c r="U5776" i="12"/>
  <c r="T5777" i="12"/>
  <c r="U5777" i="12"/>
  <c r="T5778" i="12"/>
  <c r="U5778" i="12"/>
  <c r="T5779" i="12"/>
  <c r="U5779" i="12"/>
  <c r="T5780" i="12"/>
  <c r="U5780" i="12"/>
  <c r="T5781" i="12"/>
  <c r="U5781" i="12"/>
  <c r="T5782" i="12"/>
  <c r="U5782" i="12"/>
  <c r="T5783" i="12"/>
  <c r="U5783" i="12"/>
  <c r="T5784" i="12"/>
  <c r="U5784" i="12"/>
  <c r="T5785" i="12"/>
  <c r="U5785" i="12"/>
  <c r="T5786" i="12"/>
  <c r="U5786" i="12"/>
  <c r="T5787" i="12"/>
  <c r="U5787" i="12"/>
  <c r="T5788" i="12"/>
  <c r="U5788" i="12"/>
  <c r="T5789" i="12"/>
  <c r="U5789" i="12"/>
  <c r="T5790" i="12"/>
  <c r="U5790" i="12"/>
  <c r="T5791" i="12"/>
  <c r="U5791" i="12"/>
  <c r="T5792" i="12"/>
  <c r="U5792" i="12"/>
  <c r="T5793" i="12"/>
  <c r="U5793" i="12"/>
  <c r="T5794" i="12"/>
  <c r="U5794" i="12"/>
  <c r="T5795" i="12"/>
  <c r="U5795" i="12"/>
  <c r="T5796" i="12"/>
  <c r="U5796" i="12"/>
  <c r="T5797" i="12"/>
  <c r="U5797" i="12"/>
  <c r="T5798" i="12"/>
  <c r="U5798" i="12"/>
  <c r="T5799" i="12"/>
  <c r="U5799" i="12"/>
  <c r="T5800" i="12"/>
  <c r="U5800" i="12"/>
  <c r="T5801" i="12"/>
  <c r="U5801" i="12"/>
  <c r="T5802" i="12"/>
  <c r="U5802" i="12"/>
  <c r="T5803" i="12"/>
  <c r="U5803" i="12"/>
  <c r="T5804" i="12"/>
  <c r="U5804" i="12"/>
  <c r="T5805" i="12"/>
  <c r="U5805" i="12"/>
  <c r="T5806" i="12"/>
  <c r="U5806" i="12"/>
  <c r="T5807" i="12"/>
  <c r="U5807" i="12"/>
  <c r="T5808" i="12"/>
  <c r="U5808" i="12"/>
  <c r="T5809" i="12"/>
  <c r="U5809" i="12"/>
  <c r="T5810" i="12"/>
  <c r="U5810" i="12"/>
  <c r="T5811" i="12"/>
  <c r="U5811" i="12"/>
  <c r="T5812" i="12"/>
  <c r="U5812" i="12"/>
  <c r="T5813" i="12"/>
  <c r="U5813" i="12"/>
  <c r="T5814" i="12"/>
  <c r="U5814" i="12"/>
  <c r="T5815" i="12"/>
  <c r="U5815" i="12"/>
  <c r="T5816" i="12"/>
  <c r="U5816" i="12"/>
  <c r="T5817" i="12"/>
  <c r="U5817" i="12"/>
  <c r="T5818" i="12"/>
  <c r="U5818" i="12"/>
  <c r="T5819" i="12"/>
  <c r="U5819" i="12"/>
  <c r="T5820" i="12"/>
  <c r="U5820" i="12"/>
  <c r="T5821" i="12"/>
  <c r="U5821" i="12"/>
  <c r="T5822" i="12"/>
  <c r="U5822" i="12"/>
  <c r="T5823" i="12"/>
  <c r="U5823" i="12"/>
  <c r="T5824" i="12"/>
  <c r="U5824" i="12"/>
  <c r="T5825" i="12"/>
  <c r="U5825" i="12"/>
  <c r="T5826" i="12"/>
  <c r="U5826" i="12"/>
  <c r="T5827" i="12"/>
  <c r="U5827" i="12"/>
  <c r="T5828" i="12"/>
  <c r="U5828" i="12"/>
  <c r="T5829" i="12"/>
  <c r="U5829" i="12"/>
  <c r="T5830" i="12"/>
  <c r="U5830" i="12"/>
  <c r="T5831" i="12"/>
  <c r="U5831" i="12"/>
  <c r="T5832" i="12"/>
  <c r="U5832" i="12"/>
  <c r="T5833" i="12"/>
  <c r="U5833" i="12"/>
  <c r="T5834" i="12"/>
  <c r="U5834" i="12"/>
  <c r="T5835" i="12"/>
  <c r="U5835" i="12"/>
  <c r="T5836" i="12"/>
  <c r="U5836" i="12"/>
  <c r="T5837" i="12"/>
  <c r="U5837" i="12"/>
  <c r="T5838" i="12"/>
  <c r="U5838" i="12"/>
  <c r="T5839" i="12"/>
  <c r="U5839" i="12"/>
  <c r="T5840" i="12"/>
  <c r="U5840" i="12"/>
  <c r="T5841" i="12"/>
  <c r="U5841" i="12"/>
  <c r="T5842" i="12"/>
  <c r="U5842" i="12"/>
  <c r="T5843" i="12"/>
  <c r="U5843" i="12"/>
  <c r="T5844" i="12"/>
  <c r="U5844" i="12"/>
  <c r="T5845" i="12"/>
  <c r="U5845" i="12"/>
  <c r="T5846" i="12"/>
  <c r="U5846" i="12"/>
  <c r="T5847" i="12"/>
  <c r="U5847" i="12"/>
  <c r="T5848" i="12"/>
  <c r="U5848" i="12"/>
  <c r="T5849" i="12"/>
  <c r="U5849" i="12"/>
  <c r="T5850" i="12"/>
  <c r="U5850" i="12"/>
  <c r="T5851" i="12"/>
  <c r="U5851" i="12"/>
  <c r="T5852" i="12"/>
  <c r="U5852" i="12"/>
  <c r="T5853" i="12"/>
  <c r="U5853" i="12"/>
  <c r="T5854" i="12"/>
  <c r="U5854" i="12"/>
  <c r="T5855" i="12"/>
  <c r="U5855" i="12"/>
  <c r="T5856" i="12"/>
  <c r="U5856" i="12"/>
  <c r="T5857" i="12"/>
  <c r="U5857" i="12"/>
  <c r="T5858" i="12"/>
  <c r="U5858" i="12"/>
  <c r="T5859" i="12"/>
  <c r="U5859" i="12"/>
  <c r="T5860" i="12"/>
  <c r="U5860" i="12"/>
  <c r="T5861" i="12"/>
  <c r="U5861" i="12"/>
  <c r="T5862" i="12"/>
  <c r="U5862" i="12"/>
  <c r="T5863" i="12"/>
  <c r="U5863" i="12"/>
  <c r="T5864" i="12"/>
  <c r="U5864" i="12"/>
  <c r="T5865" i="12"/>
  <c r="U5865" i="12"/>
  <c r="T5866" i="12"/>
  <c r="U5866" i="12"/>
  <c r="T5867" i="12"/>
  <c r="U5867" i="12"/>
  <c r="T5868" i="12"/>
  <c r="U5868" i="12"/>
  <c r="T5869" i="12"/>
  <c r="U5869" i="12"/>
  <c r="T5870" i="12"/>
  <c r="U5870" i="12"/>
  <c r="T5871" i="12"/>
  <c r="U5871" i="12"/>
  <c r="T5872" i="12"/>
  <c r="U5872" i="12"/>
  <c r="T5873" i="12"/>
  <c r="U5873" i="12"/>
  <c r="T5874" i="12"/>
  <c r="U5874" i="12"/>
  <c r="T5875" i="12"/>
  <c r="U5875" i="12"/>
  <c r="T5876" i="12"/>
  <c r="U5876" i="12"/>
  <c r="T5877" i="12"/>
  <c r="U5877" i="12"/>
  <c r="T5878" i="12"/>
  <c r="U5878" i="12"/>
  <c r="T5879" i="12"/>
  <c r="U5879" i="12"/>
  <c r="T5880" i="12"/>
  <c r="U5880" i="12"/>
  <c r="T5881" i="12"/>
  <c r="U5881" i="12"/>
  <c r="T5882" i="12"/>
  <c r="U5882" i="12"/>
  <c r="T5883" i="12"/>
  <c r="U5883" i="12"/>
  <c r="T5884" i="12"/>
  <c r="U5884" i="12"/>
  <c r="T5885" i="12"/>
  <c r="U5885" i="12"/>
  <c r="T5886" i="12"/>
  <c r="U5886" i="12"/>
  <c r="T5887" i="12"/>
  <c r="U5887" i="12"/>
  <c r="T5888" i="12"/>
  <c r="U5888" i="12"/>
  <c r="T5889" i="12"/>
  <c r="U5889" i="12"/>
  <c r="T5890" i="12"/>
  <c r="U5890" i="12"/>
  <c r="T5891" i="12"/>
  <c r="U5891" i="12"/>
  <c r="T5892" i="12"/>
  <c r="U5892" i="12"/>
  <c r="T5893" i="12"/>
  <c r="U5893" i="12"/>
  <c r="T5894" i="12"/>
  <c r="U5894" i="12"/>
  <c r="T5895" i="12"/>
  <c r="U5895" i="12"/>
  <c r="T5896" i="12"/>
  <c r="U5896" i="12"/>
  <c r="T5897" i="12"/>
  <c r="U5897" i="12"/>
  <c r="T5898" i="12"/>
  <c r="U5898" i="12"/>
  <c r="T5899" i="12"/>
  <c r="U5899" i="12"/>
  <c r="T5900" i="12"/>
  <c r="U5900" i="12"/>
  <c r="T5901" i="12"/>
  <c r="U5901" i="12"/>
  <c r="T5902" i="12"/>
  <c r="U5902" i="12"/>
  <c r="T5903" i="12"/>
  <c r="U5903" i="12"/>
  <c r="T5904" i="12"/>
  <c r="U5904" i="12"/>
  <c r="T5905" i="12"/>
  <c r="U5905" i="12"/>
  <c r="T5906" i="12"/>
  <c r="U5906" i="12"/>
  <c r="T5907" i="12"/>
  <c r="U5907" i="12"/>
  <c r="T5908" i="12"/>
  <c r="U5908" i="12"/>
  <c r="T5909" i="12"/>
  <c r="U5909" i="12"/>
  <c r="T5910" i="12"/>
  <c r="U5910" i="12"/>
  <c r="T5911" i="12"/>
  <c r="U5911" i="12"/>
  <c r="T5912" i="12"/>
  <c r="U5912" i="12"/>
  <c r="T5913" i="12"/>
  <c r="U5913" i="12"/>
  <c r="T5914" i="12"/>
  <c r="U5914" i="12"/>
  <c r="T5915" i="12"/>
  <c r="U5915" i="12"/>
  <c r="T5916" i="12"/>
  <c r="U5916" i="12"/>
  <c r="T5917" i="12"/>
  <c r="U5917" i="12"/>
  <c r="T5918" i="12"/>
  <c r="U5918" i="12"/>
  <c r="T5919" i="12"/>
  <c r="U5919" i="12"/>
  <c r="T5920" i="12"/>
  <c r="U5920" i="12"/>
  <c r="T5921" i="12"/>
  <c r="U5921" i="12"/>
  <c r="T5922" i="12"/>
  <c r="U5922" i="12"/>
  <c r="T5923" i="12"/>
  <c r="U5923" i="12"/>
  <c r="T5924" i="12"/>
  <c r="U5924" i="12"/>
  <c r="T5925" i="12"/>
  <c r="U5925" i="12"/>
  <c r="T5926" i="12"/>
  <c r="U5926" i="12"/>
  <c r="T5927" i="12"/>
  <c r="U5927" i="12"/>
  <c r="T5928" i="12"/>
  <c r="U5928" i="12"/>
  <c r="T5929" i="12"/>
  <c r="U5929" i="12"/>
  <c r="T5930" i="12"/>
  <c r="U5930" i="12"/>
  <c r="T5931" i="12"/>
  <c r="U5931" i="12"/>
  <c r="T5932" i="12"/>
  <c r="U5932" i="12"/>
  <c r="T5933" i="12"/>
  <c r="U5933" i="12"/>
  <c r="T5934" i="12"/>
  <c r="U5934" i="12"/>
  <c r="T5935" i="12"/>
  <c r="U5935" i="12"/>
  <c r="T5936" i="12"/>
  <c r="U5936" i="12"/>
  <c r="T5937" i="12"/>
  <c r="U5937" i="12"/>
  <c r="T5938" i="12"/>
  <c r="U5938" i="12"/>
  <c r="T5939" i="12"/>
  <c r="U5939" i="12"/>
  <c r="T5940" i="12"/>
  <c r="U5940" i="12"/>
  <c r="T5941" i="12"/>
  <c r="U5941" i="12"/>
  <c r="T5942" i="12"/>
  <c r="U5942" i="12"/>
  <c r="T5943" i="12"/>
  <c r="U5943" i="12"/>
  <c r="T5944" i="12"/>
  <c r="U5944" i="12"/>
  <c r="T5945" i="12"/>
  <c r="U5945" i="12"/>
  <c r="T5946" i="12"/>
  <c r="U5946" i="12"/>
  <c r="T5947" i="12"/>
  <c r="U5947" i="12"/>
  <c r="T5948" i="12"/>
  <c r="U5948" i="12"/>
  <c r="T5949" i="12"/>
  <c r="U5949" i="12"/>
  <c r="T5950" i="12"/>
  <c r="U5950" i="12"/>
  <c r="T5951" i="12"/>
  <c r="U5951" i="12"/>
  <c r="T5952" i="12"/>
  <c r="U5952" i="12"/>
  <c r="T5953" i="12"/>
  <c r="U5953" i="12"/>
  <c r="T5954" i="12"/>
  <c r="U5954" i="12"/>
  <c r="T5955" i="12"/>
  <c r="U5955" i="12"/>
  <c r="T5956" i="12"/>
  <c r="U5956" i="12"/>
  <c r="T5957" i="12"/>
  <c r="U5957" i="12"/>
  <c r="T5958" i="12"/>
  <c r="U5958" i="12"/>
  <c r="T5959" i="12"/>
  <c r="U5959" i="12"/>
  <c r="T5960" i="12"/>
  <c r="U5960" i="12"/>
  <c r="T5961" i="12"/>
  <c r="U5961" i="12"/>
  <c r="T5962" i="12"/>
  <c r="U5962" i="12"/>
  <c r="T5963" i="12"/>
  <c r="U5963" i="12"/>
  <c r="T5964" i="12"/>
  <c r="U5964" i="12"/>
  <c r="T5965" i="12"/>
  <c r="U5965" i="12"/>
  <c r="T5966" i="12"/>
  <c r="U5966" i="12"/>
  <c r="T5967" i="12"/>
  <c r="U5967" i="12"/>
  <c r="T5968" i="12"/>
  <c r="U5968" i="12"/>
  <c r="T5969" i="12"/>
  <c r="U5969" i="12"/>
  <c r="T5970" i="12"/>
  <c r="U5970" i="12"/>
  <c r="T5971" i="12"/>
  <c r="U5971" i="12"/>
  <c r="T5972" i="12"/>
  <c r="U5972" i="12"/>
  <c r="T5973" i="12"/>
  <c r="U5973" i="12"/>
  <c r="T5974" i="12"/>
  <c r="U5974" i="12"/>
  <c r="T5975" i="12"/>
  <c r="U5975" i="12"/>
  <c r="T5976" i="12"/>
  <c r="U5976" i="12"/>
  <c r="T5977" i="12"/>
  <c r="U5977" i="12"/>
  <c r="T5978" i="12"/>
  <c r="U5978" i="12"/>
  <c r="T5979" i="12"/>
  <c r="U5979" i="12"/>
  <c r="T5980" i="12"/>
  <c r="U5980" i="12"/>
  <c r="T5981" i="12"/>
  <c r="U5981" i="12"/>
  <c r="T5982" i="12"/>
  <c r="U5982" i="12"/>
  <c r="T5983" i="12"/>
  <c r="U5983" i="12"/>
  <c r="T5984" i="12"/>
  <c r="U5984" i="12"/>
  <c r="T5985" i="12"/>
  <c r="U5985" i="12"/>
  <c r="T5986" i="12"/>
  <c r="U5986" i="12"/>
  <c r="T5987" i="12"/>
  <c r="U5987" i="12"/>
  <c r="T5988" i="12"/>
  <c r="U5988" i="12"/>
  <c r="T5989" i="12"/>
  <c r="U5989" i="12"/>
  <c r="T5990" i="12"/>
  <c r="U5990" i="12"/>
  <c r="T5991" i="12"/>
  <c r="U5991" i="12"/>
  <c r="T5992" i="12"/>
  <c r="U5992" i="12"/>
  <c r="T5993" i="12"/>
  <c r="U5993" i="12"/>
  <c r="T5994" i="12"/>
  <c r="U5994" i="12"/>
  <c r="T5995" i="12"/>
  <c r="U5995" i="12"/>
  <c r="T5996" i="12"/>
  <c r="U5996" i="12"/>
  <c r="T5997" i="12"/>
  <c r="U5997" i="12"/>
  <c r="T5998" i="12"/>
  <c r="U5998" i="12"/>
  <c r="T5999" i="12"/>
  <c r="U5999" i="12"/>
  <c r="T6000" i="12"/>
  <c r="U6000" i="12"/>
  <c r="T6001" i="12"/>
  <c r="U6001" i="12"/>
  <c r="T6002" i="12"/>
  <c r="U6002" i="12"/>
  <c r="T6003" i="12"/>
  <c r="U6003" i="12"/>
  <c r="T6004" i="12"/>
  <c r="U6004" i="12"/>
  <c r="T6005" i="12"/>
  <c r="U6005" i="12"/>
  <c r="T6006" i="12"/>
  <c r="U6006" i="12"/>
  <c r="T6007" i="12"/>
  <c r="U6007" i="12"/>
  <c r="T6008" i="12"/>
  <c r="U6008" i="12"/>
  <c r="T6009" i="12"/>
  <c r="U6009" i="12"/>
  <c r="T6010" i="12"/>
  <c r="U6010" i="12"/>
  <c r="T6011" i="12"/>
  <c r="U6011" i="12"/>
  <c r="T6012" i="12"/>
  <c r="U6012" i="12"/>
  <c r="T6013" i="12"/>
  <c r="U6013" i="12"/>
  <c r="T6014" i="12"/>
  <c r="U6014" i="12"/>
  <c r="T6015" i="12"/>
  <c r="U6015" i="12"/>
  <c r="T6016" i="12"/>
  <c r="U6016" i="12"/>
  <c r="T6017" i="12"/>
  <c r="U6017" i="12"/>
  <c r="T6018" i="12"/>
  <c r="U6018" i="12"/>
  <c r="T6019" i="12"/>
  <c r="U6019" i="12"/>
  <c r="T6020" i="12"/>
  <c r="U6020" i="12"/>
  <c r="T6021" i="12"/>
  <c r="U6021" i="12"/>
  <c r="T6022" i="12"/>
  <c r="U6022" i="12"/>
  <c r="T6023" i="12"/>
  <c r="U6023" i="12"/>
  <c r="T6024" i="12"/>
  <c r="U6024" i="12"/>
  <c r="T6025" i="12"/>
  <c r="U6025" i="12"/>
  <c r="T6026" i="12"/>
  <c r="U6026" i="12"/>
  <c r="T6027" i="12"/>
  <c r="U6027" i="12"/>
  <c r="T6028" i="12"/>
  <c r="U6028" i="12"/>
  <c r="T6029" i="12"/>
  <c r="U6029" i="12"/>
  <c r="T6030" i="12"/>
  <c r="U6030" i="12"/>
  <c r="T6031" i="12"/>
  <c r="U6031" i="12"/>
  <c r="T6032" i="12"/>
  <c r="U6032" i="12"/>
  <c r="T6033" i="12"/>
  <c r="U6033" i="12"/>
  <c r="T6034" i="12"/>
  <c r="U6034" i="12"/>
  <c r="T6035" i="12"/>
  <c r="U6035" i="12"/>
  <c r="T6036" i="12"/>
  <c r="U6036" i="12"/>
  <c r="T6037" i="12"/>
  <c r="U6037" i="12"/>
  <c r="T6038" i="12"/>
  <c r="U6038" i="12"/>
  <c r="T6039" i="12"/>
  <c r="U6039" i="12"/>
  <c r="T6040" i="12"/>
  <c r="U6040" i="12"/>
  <c r="T6041" i="12"/>
  <c r="U6041" i="12"/>
  <c r="T6042" i="12"/>
  <c r="U6042" i="12"/>
  <c r="T6043" i="12"/>
  <c r="U6043" i="12"/>
  <c r="T6044" i="12"/>
  <c r="U6044" i="12"/>
  <c r="T6045" i="12"/>
  <c r="U6045" i="12"/>
  <c r="T6046" i="12"/>
  <c r="U6046" i="12"/>
  <c r="T6047" i="12"/>
  <c r="U6047" i="12"/>
  <c r="T6048" i="12"/>
  <c r="U6048" i="12"/>
  <c r="T6049" i="12"/>
  <c r="U6049" i="12"/>
  <c r="T6050" i="12"/>
  <c r="U6050" i="12"/>
  <c r="T6051" i="12"/>
  <c r="U6051" i="12"/>
  <c r="T6052" i="12"/>
  <c r="U6052" i="12"/>
  <c r="T6053" i="12"/>
  <c r="U6053" i="12"/>
  <c r="T6054" i="12"/>
  <c r="U6054" i="12"/>
  <c r="T6055" i="12"/>
  <c r="U6055" i="12"/>
  <c r="T6056" i="12"/>
  <c r="U6056" i="12"/>
  <c r="T6057" i="12"/>
  <c r="U6057" i="12"/>
  <c r="T6058" i="12"/>
  <c r="U6058" i="12"/>
  <c r="T6059" i="12"/>
  <c r="U6059" i="12"/>
  <c r="T6060" i="12"/>
  <c r="U6060" i="12"/>
  <c r="T6061" i="12"/>
  <c r="U6061" i="12"/>
  <c r="T6062" i="12"/>
  <c r="U6062" i="12"/>
  <c r="T6063" i="12"/>
  <c r="U6063" i="12"/>
  <c r="T6064" i="12"/>
  <c r="U6064" i="12"/>
  <c r="T6065" i="12"/>
  <c r="U6065" i="12"/>
  <c r="T6066" i="12"/>
  <c r="U6066" i="12"/>
  <c r="T6067" i="12"/>
  <c r="U6067" i="12"/>
  <c r="T6068" i="12"/>
  <c r="U6068" i="12"/>
  <c r="T6069" i="12"/>
  <c r="U6069" i="12"/>
  <c r="T6070" i="12"/>
  <c r="U6070" i="12"/>
  <c r="T6071" i="12"/>
  <c r="U6071" i="12"/>
  <c r="T6072" i="12"/>
  <c r="U6072" i="12"/>
  <c r="T6073" i="12"/>
  <c r="U6073" i="12"/>
  <c r="T6074" i="12"/>
  <c r="U6074" i="12"/>
  <c r="T6075" i="12"/>
  <c r="U6075" i="12"/>
  <c r="T6076" i="12"/>
  <c r="U6076" i="12"/>
  <c r="T6077" i="12"/>
  <c r="U6077" i="12"/>
  <c r="T6078" i="12"/>
  <c r="U6078" i="12"/>
  <c r="T6079" i="12"/>
  <c r="U6079" i="12"/>
  <c r="T6080" i="12"/>
  <c r="U6080" i="12"/>
  <c r="T6081" i="12"/>
  <c r="U6081" i="12"/>
  <c r="T6082" i="12"/>
  <c r="U6082" i="12"/>
  <c r="T6083" i="12"/>
  <c r="U6083" i="12"/>
  <c r="T6084" i="12"/>
  <c r="U6084" i="12"/>
  <c r="T6085" i="12"/>
  <c r="U6085" i="12"/>
  <c r="T6086" i="12"/>
  <c r="U6086" i="12"/>
  <c r="T6087" i="12"/>
  <c r="U6087" i="12"/>
  <c r="T6088" i="12"/>
  <c r="U6088" i="12"/>
  <c r="T6089" i="12"/>
  <c r="U6089" i="12"/>
  <c r="T6090" i="12"/>
  <c r="U6090" i="12"/>
  <c r="T6091" i="12"/>
  <c r="U6091" i="12"/>
  <c r="T6092" i="12"/>
  <c r="U6092" i="12"/>
  <c r="T6093" i="12"/>
  <c r="U6093" i="12"/>
  <c r="T6094" i="12"/>
  <c r="U6094" i="12"/>
  <c r="T6095" i="12"/>
  <c r="U6095" i="12"/>
  <c r="T6096" i="12"/>
  <c r="U6096" i="12"/>
  <c r="T6097" i="12"/>
  <c r="U6097" i="12"/>
  <c r="T6098" i="12"/>
  <c r="U6098" i="12"/>
  <c r="T6099" i="12"/>
  <c r="U6099" i="12"/>
  <c r="T6100" i="12"/>
  <c r="U6100" i="12"/>
  <c r="T6101" i="12"/>
  <c r="U6101" i="12"/>
  <c r="T6102" i="12"/>
  <c r="U6102" i="12"/>
  <c r="T6103" i="12"/>
  <c r="U6103" i="12"/>
  <c r="T6104" i="12"/>
  <c r="U6104" i="12"/>
  <c r="T6105" i="12"/>
  <c r="U6105" i="12"/>
  <c r="T6106" i="12"/>
  <c r="U6106" i="12"/>
  <c r="T6107" i="12"/>
  <c r="U6107" i="12"/>
  <c r="T6108" i="12"/>
  <c r="U6108" i="12"/>
  <c r="T6109" i="12"/>
  <c r="U6109" i="12"/>
  <c r="T6110" i="12"/>
  <c r="U6110" i="12"/>
  <c r="T6111" i="12"/>
  <c r="U6111" i="12"/>
  <c r="T6112" i="12"/>
  <c r="U6112" i="12"/>
  <c r="T6113" i="12"/>
  <c r="U6113" i="12"/>
  <c r="T6114" i="12"/>
  <c r="U6114" i="12"/>
  <c r="T6115" i="12"/>
  <c r="U6115" i="12"/>
  <c r="T6116" i="12"/>
  <c r="U6116" i="12"/>
  <c r="T6117" i="12"/>
  <c r="U6117" i="12"/>
  <c r="T6118" i="12"/>
  <c r="U6118" i="12"/>
  <c r="T6119" i="12"/>
  <c r="U6119" i="12"/>
  <c r="T6120" i="12"/>
  <c r="U6120" i="12"/>
  <c r="T6121" i="12"/>
  <c r="U6121" i="12"/>
  <c r="T6122" i="12"/>
  <c r="U6122" i="12"/>
  <c r="T6123" i="12"/>
  <c r="U6123" i="12"/>
  <c r="T6124" i="12"/>
  <c r="U6124" i="12"/>
  <c r="T6125" i="12"/>
  <c r="U6125" i="12"/>
  <c r="T6126" i="12"/>
  <c r="U6126" i="12"/>
  <c r="T6127" i="12"/>
  <c r="U6127" i="12"/>
  <c r="T6128" i="12"/>
  <c r="U6128" i="12"/>
  <c r="T6129" i="12"/>
  <c r="U6129" i="12"/>
  <c r="T6130" i="12"/>
  <c r="U6130" i="12"/>
  <c r="T6131" i="12"/>
  <c r="U6131" i="12"/>
  <c r="T6132" i="12"/>
  <c r="U6132" i="12"/>
  <c r="T6133" i="12"/>
  <c r="U6133" i="12"/>
  <c r="T6134" i="12"/>
  <c r="U6134" i="12"/>
  <c r="T6135" i="12"/>
  <c r="U6135" i="12"/>
  <c r="T6136" i="12"/>
  <c r="U6136" i="12"/>
  <c r="T6137" i="12"/>
  <c r="U6137" i="12"/>
  <c r="T6138" i="12"/>
  <c r="U6138" i="12"/>
  <c r="T6139" i="12"/>
  <c r="U6139" i="12"/>
  <c r="T6140" i="12"/>
  <c r="U6140" i="12"/>
  <c r="T6141" i="12"/>
  <c r="U6141" i="12"/>
  <c r="T6142" i="12"/>
  <c r="U6142" i="12"/>
  <c r="T6143" i="12"/>
  <c r="U6143" i="12"/>
  <c r="T6144" i="12"/>
  <c r="U6144" i="12"/>
  <c r="T6145" i="12"/>
  <c r="U6145" i="12"/>
  <c r="T6146" i="12"/>
  <c r="U6146" i="12"/>
  <c r="T6147" i="12"/>
  <c r="U6147" i="12"/>
  <c r="T6148" i="12"/>
  <c r="U6148" i="12"/>
  <c r="T6149" i="12"/>
  <c r="U6149" i="12"/>
  <c r="T6150" i="12"/>
  <c r="U6150" i="12"/>
  <c r="T6151" i="12"/>
  <c r="U6151" i="12"/>
  <c r="T6152" i="12"/>
  <c r="U6152" i="12"/>
  <c r="T6153" i="12"/>
  <c r="U6153" i="12"/>
  <c r="T6154" i="12"/>
  <c r="U6154" i="12"/>
  <c r="T6155" i="12"/>
  <c r="U6155" i="12"/>
  <c r="T6156" i="12"/>
  <c r="U6156" i="12"/>
  <c r="T6157" i="12"/>
  <c r="U6157" i="12"/>
  <c r="T6158" i="12"/>
  <c r="U6158" i="12"/>
  <c r="T6159" i="12"/>
  <c r="U6159" i="12"/>
  <c r="T6160" i="12"/>
  <c r="U6160" i="12"/>
  <c r="T6161" i="12"/>
  <c r="U6161" i="12"/>
  <c r="T6162" i="12"/>
  <c r="U6162" i="12"/>
  <c r="T6163" i="12"/>
  <c r="U6163" i="12"/>
  <c r="T6164" i="12"/>
  <c r="U6164" i="12"/>
  <c r="T6165" i="12"/>
  <c r="U6165" i="12"/>
  <c r="T6166" i="12"/>
  <c r="U6166" i="12"/>
  <c r="T6167" i="12"/>
  <c r="U6167" i="12"/>
  <c r="T6168" i="12"/>
  <c r="U6168" i="12"/>
  <c r="T6169" i="12"/>
  <c r="U6169" i="12"/>
  <c r="T6170" i="12"/>
  <c r="U6170" i="12"/>
  <c r="T6171" i="12"/>
  <c r="U6171" i="12"/>
  <c r="T6172" i="12"/>
  <c r="U6172" i="12"/>
  <c r="T6173" i="12"/>
  <c r="U6173" i="12"/>
  <c r="T6174" i="12"/>
  <c r="U6174" i="12"/>
  <c r="T6175" i="12"/>
  <c r="U6175" i="12"/>
  <c r="T6176" i="12"/>
  <c r="U6176" i="12"/>
  <c r="T6177" i="12"/>
  <c r="U6177" i="12"/>
  <c r="T6178" i="12"/>
  <c r="U6178" i="12"/>
  <c r="T6179" i="12"/>
  <c r="U6179" i="12"/>
  <c r="T6180" i="12"/>
  <c r="U6180" i="12"/>
  <c r="T6181" i="12"/>
  <c r="U6181" i="12"/>
  <c r="T6182" i="12"/>
  <c r="U6182" i="12"/>
  <c r="T6183" i="12"/>
  <c r="U6183" i="12"/>
  <c r="T6184" i="12"/>
  <c r="U6184" i="12"/>
  <c r="T6185" i="12"/>
  <c r="U6185" i="12"/>
  <c r="T6186" i="12"/>
  <c r="U6186" i="12"/>
  <c r="T6187" i="12"/>
  <c r="U6187" i="12"/>
  <c r="T6188" i="12"/>
  <c r="U6188" i="12"/>
  <c r="T6189" i="12"/>
  <c r="U6189" i="12"/>
  <c r="T6190" i="12"/>
  <c r="U6190" i="12"/>
  <c r="T6191" i="12"/>
  <c r="U6191" i="12"/>
  <c r="T6192" i="12"/>
  <c r="U6192" i="12"/>
  <c r="T6193" i="12"/>
  <c r="U6193" i="12"/>
  <c r="T6194" i="12"/>
  <c r="U6194" i="12"/>
  <c r="T6195" i="12"/>
  <c r="U6195" i="12"/>
  <c r="T6196" i="12"/>
  <c r="U6196" i="12"/>
  <c r="T6197" i="12"/>
  <c r="U6197" i="12"/>
  <c r="T6198" i="12"/>
  <c r="U6198" i="12"/>
  <c r="T6199" i="12"/>
  <c r="U6199" i="12"/>
  <c r="T6200" i="12"/>
  <c r="U6200" i="12"/>
  <c r="T6201" i="12"/>
  <c r="U6201" i="12"/>
  <c r="T6202" i="12"/>
  <c r="U6202" i="12"/>
  <c r="T6203" i="12"/>
  <c r="U6203" i="12"/>
  <c r="T6204" i="12"/>
  <c r="U6204" i="12"/>
  <c r="T6205" i="12"/>
  <c r="U6205" i="12"/>
  <c r="T6206" i="12"/>
  <c r="U6206" i="12"/>
  <c r="T6207" i="12"/>
  <c r="U6207" i="12"/>
  <c r="T6208" i="12"/>
  <c r="U6208" i="12"/>
  <c r="T6209" i="12"/>
  <c r="U6209" i="12"/>
  <c r="T6210" i="12"/>
  <c r="U6210" i="12"/>
  <c r="T6211" i="12"/>
  <c r="U6211" i="12"/>
  <c r="T6212" i="12"/>
  <c r="U6212" i="12"/>
  <c r="T6213" i="12"/>
  <c r="U6213" i="12"/>
  <c r="T6214" i="12"/>
  <c r="U6214" i="12"/>
  <c r="T6215" i="12"/>
  <c r="U6215" i="12"/>
  <c r="T6216" i="12"/>
  <c r="U6216" i="12"/>
  <c r="T6217" i="12"/>
  <c r="U6217" i="12"/>
  <c r="T6218" i="12"/>
  <c r="U6218" i="12"/>
  <c r="T6219" i="12"/>
  <c r="U6219" i="12"/>
  <c r="T6220" i="12"/>
  <c r="U6220" i="12"/>
  <c r="T6221" i="12"/>
  <c r="U6221" i="12"/>
  <c r="T6222" i="12"/>
  <c r="U6222" i="12"/>
  <c r="T6223" i="12"/>
  <c r="U6223" i="12"/>
  <c r="T6224" i="12"/>
  <c r="U6224" i="12"/>
  <c r="T6225" i="12"/>
  <c r="U6225" i="12"/>
  <c r="T6226" i="12"/>
  <c r="U6226" i="12"/>
  <c r="T6227" i="12"/>
  <c r="U6227" i="12"/>
  <c r="T6228" i="12"/>
  <c r="U6228" i="12"/>
  <c r="T6229" i="12"/>
  <c r="U6229" i="12"/>
  <c r="T6230" i="12"/>
  <c r="U6230" i="12"/>
  <c r="T6231" i="12"/>
  <c r="U6231" i="12"/>
  <c r="T6232" i="12"/>
  <c r="U6232" i="12"/>
  <c r="T6233" i="12"/>
  <c r="U6233" i="12"/>
  <c r="T6234" i="12"/>
  <c r="U6234" i="12"/>
  <c r="T6235" i="12"/>
  <c r="U6235" i="12"/>
  <c r="T6236" i="12"/>
  <c r="U6236" i="12"/>
  <c r="T6237" i="12"/>
  <c r="U6237" i="12"/>
  <c r="T6238" i="12"/>
  <c r="U6238" i="12"/>
  <c r="T6239" i="12"/>
  <c r="U6239" i="12"/>
  <c r="T6240" i="12"/>
  <c r="U6240" i="12"/>
  <c r="T6241" i="12"/>
  <c r="U6241" i="12"/>
  <c r="T6242" i="12"/>
  <c r="U6242" i="12"/>
  <c r="T6243" i="12"/>
  <c r="U6243" i="12"/>
  <c r="T6244" i="12"/>
  <c r="U6244" i="12"/>
  <c r="T6245" i="12"/>
  <c r="U6245" i="12"/>
  <c r="T6246" i="12"/>
  <c r="U6246" i="12"/>
  <c r="T6247" i="12"/>
  <c r="U6247" i="12"/>
  <c r="T6248" i="12"/>
  <c r="U6248" i="12"/>
  <c r="T6249" i="12"/>
  <c r="U6249" i="12"/>
  <c r="T6250" i="12"/>
  <c r="U6250" i="12"/>
  <c r="T6251" i="12"/>
  <c r="U6251" i="12"/>
  <c r="T6252" i="12"/>
  <c r="U6252" i="12"/>
  <c r="T6253" i="12"/>
  <c r="U6253" i="12"/>
  <c r="T6254" i="12"/>
  <c r="U6254" i="12"/>
  <c r="T6255" i="12"/>
  <c r="U6255" i="12"/>
  <c r="T6256" i="12"/>
  <c r="U6256" i="12"/>
  <c r="T6257" i="12"/>
  <c r="U6257" i="12"/>
  <c r="T6258" i="12"/>
  <c r="U6258" i="12"/>
  <c r="T6259" i="12"/>
  <c r="U6259" i="12"/>
  <c r="T6260" i="12"/>
  <c r="U6260" i="12"/>
  <c r="T6261" i="12"/>
  <c r="U6261" i="12"/>
  <c r="T6262" i="12"/>
  <c r="U6262" i="12"/>
  <c r="T6263" i="12"/>
  <c r="U6263" i="12"/>
  <c r="T6264" i="12"/>
  <c r="U6264" i="12"/>
  <c r="T6265" i="12"/>
  <c r="U6265" i="12"/>
  <c r="T6266" i="12"/>
  <c r="U6266" i="12"/>
  <c r="T6267" i="12"/>
  <c r="U6267" i="12"/>
  <c r="T6268" i="12"/>
  <c r="U6268" i="12"/>
  <c r="T6269" i="12"/>
  <c r="U6269" i="12"/>
  <c r="T6270" i="12"/>
  <c r="U6270" i="12"/>
  <c r="T6271" i="12"/>
  <c r="U6271" i="12"/>
  <c r="T6272" i="12"/>
  <c r="U6272" i="12"/>
  <c r="T6273" i="12"/>
  <c r="U6273" i="12"/>
  <c r="T6274" i="12"/>
  <c r="U6274" i="12"/>
  <c r="T6275" i="12"/>
  <c r="U6275" i="12"/>
  <c r="T6276" i="12"/>
  <c r="U6276" i="12"/>
  <c r="T6277" i="12"/>
  <c r="U6277" i="12"/>
  <c r="T6278" i="12"/>
  <c r="U6278" i="12"/>
  <c r="T6279" i="12"/>
  <c r="U6279" i="12"/>
  <c r="T6280" i="12"/>
  <c r="U6280" i="12"/>
  <c r="T6281" i="12"/>
  <c r="U6281" i="12"/>
  <c r="T6282" i="12"/>
  <c r="U6282" i="12"/>
  <c r="T6283" i="12"/>
  <c r="U6283" i="12"/>
  <c r="T6284" i="12"/>
  <c r="U6284" i="12"/>
  <c r="T6285" i="12"/>
  <c r="U6285" i="12"/>
  <c r="T6286" i="12"/>
  <c r="U6286" i="12"/>
  <c r="T6287" i="12"/>
  <c r="U6287" i="12"/>
  <c r="T6288" i="12"/>
  <c r="U6288" i="12"/>
  <c r="T6289" i="12"/>
  <c r="U6289" i="12"/>
  <c r="T6290" i="12"/>
  <c r="U6290" i="12"/>
  <c r="T6291" i="12"/>
  <c r="U6291" i="12"/>
  <c r="T6292" i="12"/>
  <c r="U6292" i="12"/>
  <c r="T6293" i="12"/>
  <c r="U6293" i="12"/>
  <c r="T6294" i="12"/>
  <c r="U6294" i="12"/>
  <c r="T6295" i="12"/>
  <c r="U6295" i="12"/>
  <c r="T6296" i="12"/>
  <c r="U6296" i="12"/>
  <c r="T6297" i="12"/>
  <c r="U6297" i="12"/>
  <c r="T6298" i="12"/>
  <c r="U6298" i="12"/>
  <c r="T6299" i="12"/>
  <c r="U6299" i="12"/>
  <c r="T6300" i="12"/>
  <c r="U6300" i="12"/>
  <c r="T6301" i="12"/>
  <c r="U6301" i="12"/>
  <c r="T6302" i="12"/>
  <c r="U6302" i="12"/>
  <c r="T6303" i="12"/>
  <c r="U6303" i="12"/>
  <c r="T6304" i="12"/>
  <c r="U6304" i="12"/>
  <c r="T6305" i="12"/>
  <c r="U6305" i="12"/>
  <c r="T6306" i="12"/>
  <c r="U6306" i="12"/>
  <c r="T6307" i="12"/>
  <c r="U6307" i="12"/>
  <c r="T6308" i="12"/>
  <c r="U6308" i="12"/>
  <c r="T6309" i="12"/>
  <c r="U6309" i="12"/>
  <c r="T6310" i="12"/>
  <c r="U6310" i="12"/>
  <c r="T6311" i="12"/>
  <c r="U6311" i="12"/>
  <c r="T6312" i="12"/>
  <c r="U6312" i="12"/>
  <c r="T6313" i="12"/>
  <c r="U6313" i="12"/>
  <c r="T6314" i="12"/>
  <c r="U6314" i="12"/>
  <c r="T6315" i="12"/>
  <c r="U6315" i="12"/>
  <c r="T6316" i="12"/>
  <c r="U6316" i="12"/>
  <c r="T6317" i="12"/>
  <c r="U6317" i="12"/>
  <c r="T6318" i="12"/>
  <c r="U6318" i="12"/>
  <c r="T6319" i="12"/>
  <c r="U6319" i="12"/>
  <c r="T6320" i="12"/>
  <c r="U6320" i="12"/>
  <c r="T6321" i="12"/>
  <c r="U6321" i="12"/>
  <c r="T6322" i="12"/>
  <c r="U6322" i="12"/>
  <c r="T6323" i="12"/>
  <c r="U6323" i="12"/>
  <c r="T6324" i="12"/>
  <c r="U6324" i="12"/>
  <c r="T6325" i="12"/>
  <c r="U6325" i="12"/>
  <c r="T6326" i="12"/>
  <c r="U6326" i="12"/>
  <c r="T6327" i="12"/>
  <c r="U6327" i="12"/>
  <c r="T6328" i="12"/>
  <c r="U6328" i="12"/>
  <c r="T6329" i="12"/>
  <c r="U6329" i="12"/>
  <c r="T6330" i="12"/>
  <c r="U6330" i="12"/>
  <c r="T6331" i="12"/>
  <c r="U6331" i="12"/>
  <c r="T6332" i="12"/>
  <c r="U6332" i="12"/>
  <c r="T6333" i="12"/>
  <c r="U6333" i="12"/>
  <c r="T6334" i="12"/>
  <c r="U6334" i="12"/>
  <c r="T6335" i="12"/>
  <c r="U6335" i="12"/>
  <c r="T6336" i="12"/>
  <c r="U6336" i="12"/>
  <c r="T6337" i="12"/>
  <c r="U6337" i="12"/>
  <c r="T6338" i="12"/>
  <c r="U6338" i="12"/>
  <c r="T6339" i="12"/>
  <c r="U6339" i="12"/>
  <c r="T6340" i="12"/>
  <c r="U6340" i="12"/>
  <c r="T6341" i="12"/>
  <c r="U6341" i="12"/>
  <c r="T6342" i="12"/>
  <c r="U6342" i="12"/>
  <c r="T6343" i="12"/>
  <c r="U6343" i="12"/>
  <c r="T6344" i="12"/>
  <c r="U6344" i="12"/>
  <c r="T6345" i="12"/>
  <c r="U6345" i="12"/>
  <c r="T6346" i="12"/>
  <c r="U6346" i="12"/>
  <c r="T6347" i="12"/>
  <c r="U6347" i="12"/>
  <c r="T6348" i="12"/>
  <c r="U6348" i="12"/>
  <c r="T6349" i="12"/>
  <c r="U6349" i="12"/>
  <c r="T6350" i="12"/>
  <c r="U6350" i="12"/>
  <c r="T6351" i="12"/>
  <c r="U6351" i="12"/>
  <c r="T6352" i="12"/>
  <c r="U6352" i="12"/>
  <c r="T6353" i="12"/>
  <c r="U6353" i="12"/>
  <c r="T6354" i="12"/>
  <c r="U6354" i="12"/>
  <c r="T6355" i="12"/>
  <c r="U6355" i="12"/>
  <c r="T6356" i="12"/>
  <c r="U6356" i="12"/>
  <c r="T6357" i="12"/>
  <c r="U6357" i="12"/>
  <c r="T6358" i="12"/>
  <c r="U6358" i="12"/>
  <c r="T6359" i="12"/>
  <c r="U6359" i="12"/>
  <c r="T6360" i="12"/>
  <c r="U6360" i="12"/>
  <c r="T6361" i="12"/>
  <c r="U6361" i="12"/>
  <c r="T6362" i="12"/>
  <c r="U6362" i="12"/>
  <c r="T6363" i="12"/>
  <c r="U6363" i="12"/>
  <c r="T6364" i="12"/>
  <c r="U6364" i="12"/>
  <c r="T6365" i="12"/>
  <c r="U6365" i="12"/>
  <c r="T6366" i="12"/>
  <c r="U6366" i="12"/>
  <c r="T6367" i="12"/>
  <c r="U6367" i="12"/>
  <c r="T6368" i="12"/>
  <c r="U6368" i="12"/>
  <c r="T6369" i="12"/>
  <c r="U6369" i="12"/>
  <c r="T6370" i="12"/>
  <c r="U6370" i="12"/>
  <c r="T6371" i="12"/>
  <c r="U6371" i="12"/>
  <c r="T6372" i="12"/>
  <c r="U6372" i="12"/>
  <c r="T6373" i="12"/>
  <c r="U6373" i="12"/>
  <c r="T6374" i="12"/>
  <c r="U6374" i="12"/>
  <c r="T6375" i="12"/>
  <c r="U6375" i="12"/>
  <c r="T6376" i="12"/>
  <c r="U6376" i="12"/>
  <c r="T6377" i="12"/>
  <c r="U6377" i="12"/>
  <c r="T6378" i="12"/>
  <c r="U6378" i="12"/>
  <c r="T6379" i="12"/>
  <c r="U6379" i="12"/>
  <c r="T6380" i="12"/>
  <c r="U6380" i="12"/>
  <c r="T6381" i="12"/>
  <c r="U6381" i="12"/>
  <c r="T6382" i="12"/>
  <c r="U6382" i="12"/>
  <c r="T6383" i="12"/>
  <c r="U6383" i="12"/>
  <c r="T6384" i="12"/>
  <c r="U6384" i="12"/>
  <c r="T6385" i="12"/>
  <c r="U6385" i="12"/>
  <c r="T6386" i="12"/>
  <c r="U6386" i="12"/>
  <c r="T6387" i="12"/>
  <c r="U6387" i="12"/>
  <c r="T6388" i="12"/>
  <c r="U6388" i="12"/>
  <c r="T6389" i="12"/>
  <c r="U6389" i="12"/>
  <c r="T6390" i="12"/>
  <c r="U6390" i="12"/>
  <c r="T6391" i="12"/>
  <c r="U6391" i="12"/>
  <c r="T6392" i="12"/>
  <c r="U6392" i="12"/>
  <c r="T6393" i="12"/>
  <c r="U6393" i="12"/>
  <c r="T6394" i="12"/>
  <c r="U6394" i="12"/>
  <c r="T6395" i="12"/>
  <c r="U6395" i="12"/>
  <c r="T6396" i="12"/>
  <c r="U6396" i="12"/>
  <c r="T6397" i="12"/>
  <c r="U6397" i="12"/>
  <c r="T6398" i="12"/>
  <c r="U6398" i="12"/>
  <c r="T6399" i="12"/>
  <c r="U6399" i="12"/>
  <c r="T6400" i="12"/>
  <c r="U6400" i="12"/>
  <c r="T6401" i="12"/>
  <c r="U6401" i="12"/>
  <c r="T6402" i="12"/>
  <c r="U6402" i="12"/>
  <c r="T6403" i="12"/>
  <c r="U6403" i="12"/>
  <c r="T6404" i="12"/>
  <c r="U6404" i="12"/>
  <c r="T6405" i="12"/>
  <c r="U6405" i="12"/>
  <c r="T6406" i="12"/>
  <c r="U6406" i="12"/>
  <c r="T6407" i="12"/>
  <c r="U6407" i="12"/>
  <c r="T6408" i="12"/>
  <c r="U6408" i="12"/>
  <c r="T6409" i="12"/>
  <c r="U6409" i="12"/>
  <c r="T6410" i="12"/>
  <c r="U6410" i="12"/>
  <c r="T6411" i="12"/>
  <c r="U6411" i="12"/>
  <c r="T6412" i="12"/>
  <c r="U6412" i="12"/>
  <c r="T6413" i="12"/>
  <c r="U6413" i="12"/>
  <c r="T6414" i="12"/>
  <c r="U6414" i="12"/>
  <c r="T6415" i="12"/>
  <c r="U6415" i="12"/>
  <c r="T6416" i="12"/>
  <c r="U6416" i="12"/>
  <c r="T6417" i="12"/>
  <c r="U6417" i="12"/>
  <c r="T6418" i="12"/>
  <c r="U6418" i="12"/>
  <c r="T6419" i="12"/>
  <c r="U6419" i="12"/>
  <c r="T6420" i="12"/>
  <c r="U6420" i="12"/>
  <c r="T6421" i="12"/>
  <c r="U6421" i="12"/>
  <c r="T6422" i="12"/>
  <c r="U6422" i="12"/>
  <c r="T6423" i="12"/>
  <c r="U6423" i="12"/>
  <c r="T6424" i="12"/>
  <c r="U6424" i="12"/>
  <c r="T6425" i="12"/>
  <c r="U6425" i="12"/>
  <c r="T6426" i="12"/>
  <c r="U6426" i="12"/>
  <c r="T6427" i="12"/>
  <c r="U6427" i="12"/>
  <c r="T6428" i="12"/>
  <c r="U6428" i="12"/>
  <c r="T6429" i="12"/>
  <c r="U6429" i="12"/>
  <c r="T6430" i="12"/>
  <c r="U6430" i="12"/>
  <c r="T6431" i="12"/>
  <c r="U6431" i="12"/>
  <c r="T6432" i="12"/>
  <c r="U6432" i="12"/>
  <c r="T6433" i="12"/>
  <c r="U6433" i="12"/>
  <c r="T6434" i="12"/>
  <c r="U6434" i="12"/>
  <c r="T6435" i="12"/>
  <c r="U6435" i="12"/>
  <c r="T6436" i="12"/>
  <c r="U6436" i="12"/>
  <c r="T6437" i="12"/>
  <c r="U6437" i="12"/>
  <c r="T6438" i="12"/>
  <c r="U6438" i="12"/>
  <c r="T6439" i="12"/>
  <c r="U6439" i="12"/>
  <c r="T6440" i="12"/>
  <c r="U6440" i="12"/>
  <c r="T6441" i="12"/>
  <c r="U6441" i="12"/>
  <c r="T6442" i="12"/>
  <c r="U6442" i="12"/>
  <c r="T6443" i="12"/>
  <c r="U6443" i="12"/>
  <c r="T6444" i="12"/>
  <c r="U6444" i="12"/>
  <c r="T6445" i="12"/>
  <c r="U6445" i="12"/>
  <c r="T6446" i="12"/>
  <c r="U6446" i="12"/>
  <c r="T6447" i="12"/>
  <c r="U6447" i="12"/>
  <c r="T6448" i="12"/>
  <c r="U6448" i="12"/>
  <c r="T6449" i="12"/>
  <c r="U6449" i="12"/>
  <c r="T6450" i="12"/>
  <c r="U6450" i="12"/>
  <c r="T6451" i="12"/>
  <c r="U6451" i="12"/>
  <c r="T6452" i="12"/>
  <c r="U6452" i="12"/>
  <c r="T6453" i="12"/>
  <c r="U6453" i="12"/>
  <c r="T6454" i="12"/>
  <c r="U6454" i="12"/>
  <c r="T6455" i="12"/>
  <c r="U6455" i="12"/>
  <c r="T6456" i="12"/>
  <c r="U6456" i="12"/>
  <c r="T6457" i="12"/>
  <c r="U6457" i="12"/>
  <c r="T6458" i="12"/>
  <c r="U6458" i="12"/>
  <c r="T6459" i="12"/>
  <c r="U6459" i="12"/>
  <c r="T6460" i="12"/>
  <c r="U6460" i="12"/>
  <c r="T6461" i="12"/>
  <c r="U6461" i="12"/>
  <c r="T6462" i="12"/>
  <c r="U6462" i="12"/>
  <c r="T6463" i="12"/>
  <c r="U6463" i="12"/>
  <c r="T6464" i="12"/>
  <c r="U6464" i="12"/>
  <c r="T6465" i="12"/>
  <c r="U6465" i="12"/>
  <c r="T6466" i="12"/>
  <c r="U6466" i="12"/>
  <c r="T6467" i="12"/>
  <c r="U6467" i="12"/>
  <c r="T6468" i="12"/>
  <c r="U6468" i="12"/>
  <c r="T6469" i="12"/>
  <c r="U6469" i="12"/>
  <c r="T6470" i="12"/>
  <c r="U6470" i="12"/>
  <c r="T6471" i="12"/>
  <c r="U6471" i="12"/>
  <c r="T6472" i="12"/>
  <c r="U6472" i="12"/>
  <c r="T6473" i="12"/>
  <c r="U6473" i="12"/>
  <c r="T6474" i="12"/>
  <c r="U6474" i="12"/>
  <c r="T6475" i="12"/>
  <c r="U6475" i="12"/>
  <c r="T6476" i="12"/>
  <c r="U6476" i="12"/>
  <c r="T6477" i="12"/>
  <c r="U6477" i="12"/>
  <c r="T6478" i="12"/>
  <c r="U6478" i="12"/>
  <c r="T6479" i="12"/>
  <c r="U6479" i="12"/>
  <c r="T6480" i="12"/>
  <c r="U6480" i="12"/>
  <c r="T6481" i="12"/>
  <c r="U6481" i="12"/>
  <c r="T6482" i="12"/>
  <c r="U6482" i="12"/>
  <c r="T6483" i="12"/>
  <c r="U6483" i="12"/>
  <c r="T6484" i="12"/>
  <c r="U6484" i="12"/>
  <c r="T6485" i="12"/>
  <c r="U6485" i="12"/>
  <c r="T6486" i="12"/>
  <c r="U6486" i="12"/>
  <c r="T6487" i="12"/>
  <c r="U6487" i="12"/>
  <c r="T6488" i="12"/>
  <c r="U6488" i="12"/>
  <c r="T6489" i="12"/>
  <c r="U6489" i="12"/>
  <c r="T6490" i="12"/>
  <c r="U6490" i="12"/>
  <c r="T6491" i="12"/>
  <c r="U6491" i="12"/>
  <c r="T6492" i="12"/>
  <c r="U6492" i="12"/>
  <c r="T6493" i="12"/>
  <c r="U6493" i="12"/>
  <c r="T6494" i="12"/>
  <c r="U6494" i="12"/>
  <c r="T6495" i="12"/>
  <c r="U6495" i="12"/>
  <c r="T6496" i="12"/>
  <c r="U6496" i="12"/>
  <c r="T6497" i="12"/>
  <c r="U6497" i="12"/>
  <c r="T6498" i="12"/>
  <c r="U6498" i="12"/>
  <c r="T6499" i="12"/>
  <c r="U6499" i="12"/>
  <c r="T6500" i="12"/>
  <c r="U6500" i="12"/>
  <c r="T6501" i="12"/>
  <c r="U6501" i="12"/>
  <c r="T6502" i="12"/>
  <c r="U6502" i="12"/>
  <c r="T6503" i="12"/>
  <c r="U6503" i="12"/>
  <c r="T6504" i="12"/>
  <c r="U6504" i="12"/>
  <c r="T6505" i="12"/>
  <c r="U6505" i="12"/>
  <c r="T6506" i="12"/>
  <c r="U6506" i="12"/>
  <c r="T6507" i="12"/>
  <c r="U6507" i="12"/>
  <c r="T6508" i="12"/>
  <c r="U6508" i="12"/>
  <c r="T6509" i="12"/>
  <c r="U6509" i="12"/>
  <c r="T6510" i="12"/>
  <c r="U6510" i="12"/>
  <c r="T6511" i="12"/>
  <c r="U6511" i="12"/>
  <c r="T6512" i="12"/>
  <c r="U6512" i="12"/>
  <c r="T6513" i="12"/>
  <c r="U6513" i="12"/>
  <c r="T6514" i="12"/>
  <c r="U6514" i="12"/>
  <c r="T6515" i="12"/>
  <c r="U6515" i="12"/>
  <c r="T6516" i="12"/>
  <c r="U6516" i="12"/>
  <c r="T6517" i="12"/>
  <c r="U6517" i="12"/>
  <c r="T6518" i="12"/>
  <c r="U6518" i="12"/>
  <c r="T6519" i="12"/>
  <c r="U6519" i="12"/>
  <c r="T6520" i="12"/>
  <c r="U6520" i="12"/>
  <c r="T6521" i="12"/>
  <c r="U6521" i="12"/>
  <c r="T6522" i="12"/>
  <c r="U6522" i="12"/>
  <c r="T6523" i="12"/>
  <c r="U6523" i="12"/>
  <c r="T6524" i="12"/>
  <c r="U6524" i="12"/>
  <c r="T6525" i="12"/>
  <c r="U6525" i="12"/>
  <c r="T6526" i="12"/>
  <c r="U6526" i="12"/>
  <c r="T6527" i="12"/>
  <c r="U6527" i="12"/>
  <c r="T6528" i="12"/>
  <c r="U6528" i="12"/>
  <c r="T6529" i="12"/>
  <c r="U6529" i="12"/>
  <c r="T6530" i="12"/>
  <c r="U6530" i="12"/>
  <c r="T6531" i="12"/>
  <c r="U6531" i="12"/>
  <c r="T6532" i="12"/>
  <c r="U6532" i="12"/>
  <c r="T6533" i="12"/>
  <c r="U6533" i="12"/>
  <c r="T6534" i="12"/>
  <c r="U6534" i="12"/>
  <c r="T6535" i="12"/>
  <c r="U6535" i="12"/>
  <c r="T6536" i="12"/>
  <c r="U6536" i="12"/>
  <c r="T6537" i="12"/>
  <c r="U6537" i="12"/>
  <c r="T6538" i="12"/>
  <c r="U6538" i="12"/>
  <c r="T6539" i="12"/>
  <c r="U6539" i="12"/>
  <c r="T6540" i="12"/>
  <c r="U6540" i="12"/>
  <c r="T6541" i="12"/>
  <c r="U6541" i="12"/>
  <c r="T6542" i="12"/>
  <c r="U6542" i="12"/>
  <c r="T6543" i="12"/>
  <c r="U6543" i="12"/>
  <c r="T6544" i="12"/>
  <c r="U6544" i="12"/>
  <c r="T6545" i="12"/>
  <c r="U6545" i="12"/>
  <c r="T6546" i="12"/>
  <c r="U6546" i="12"/>
  <c r="T6547" i="12"/>
  <c r="U6547" i="12"/>
  <c r="T6548" i="12"/>
  <c r="U6548" i="12"/>
  <c r="T6549" i="12"/>
  <c r="U6549" i="12"/>
  <c r="T6550" i="12"/>
  <c r="U6550" i="12"/>
  <c r="T6551" i="12"/>
  <c r="U6551" i="12"/>
  <c r="T6552" i="12"/>
  <c r="U6552" i="12"/>
  <c r="T6553" i="12"/>
  <c r="U6553" i="12"/>
  <c r="T6554" i="12"/>
  <c r="U6554" i="12"/>
  <c r="T6555" i="12"/>
  <c r="U6555" i="12"/>
  <c r="T6556" i="12"/>
  <c r="U6556" i="12"/>
  <c r="T6557" i="12"/>
  <c r="U6557" i="12"/>
  <c r="T6558" i="12"/>
  <c r="U6558" i="12"/>
  <c r="T6559" i="12"/>
  <c r="U6559" i="12"/>
  <c r="T6560" i="12"/>
  <c r="U6560" i="12"/>
  <c r="T6561" i="12"/>
  <c r="U6561" i="12"/>
  <c r="T6562" i="12"/>
  <c r="U6562" i="12"/>
  <c r="T6563" i="12"/>
  <c r="U6563" i="12"/>
  <c r="T6564" i="12"/>
  <c r="U6564" i="12"/>
  <c r="T6565" i="12"/>
  <c r="U6565" i="12"/>
  <c r="T6566" i="12"/>
  <c r="U6566" i="12"/>
  <c r="T6567" i="12"/>
  <c r="U6567" i="12"/>
  <c r="T6568" i="12"/>
  <c r="U6568" i="12"/>
  <c r="T6569" i="12"/>
  <c r="U6569" i="12"/>
  <c r="T6570" i="12"/>
  <c r="U6570" i="12"/>
  <c r="T6571" i="12"/>
  <c r="U6571" i="12"/>
  <c r="T6572" i="12"/>
  <c r="U6572" i="12"/>
  <c r="T6573" i="12"/>
  <c r="U6573" i="12"/>
  <c r="T6574" i="12"/>
  <c r="U6574" i="12"/>
  <c r="T6575" i="12"/>
  <c r="U6575" i="12"/>
  <c r="T6576" i="12"/>
  <c r="U6576" i="12"/>
  <c r="T6577" i="12"/>
  <c r="U6577" i="12"/>
  <c r="T6578" i="12"/>
  <c r="U6578" i="12"/>
  <c r="T6579" i="12"/>
  <c r="U6579" i="12"/>
  <c r="T6580" i="12"/>
  <c r="U6580" i="12"/>
  <c r="T6581" i="12"/>
  <c r="U6581" i="12"/>
  <c r="T6582" i="12"/>
  <c r="U6582" i="12"/>
  <c r="T6583" i="12"/>
  <c r="U6583" i="12"/>
  <c r="T6584" i="12"/>
  <c r="U6584" i="12"/>
  <c r="T6585" i="12"/>
  <c r="U6585" i="12"/>
  <c r="T6586" i="12"/>
  <c r="U6586" i="12"/>
  <c r="T6587" i="12"/>
  <c r="U6587" i="12"/>
  <c r="T6588" i="12"/>
  <c r="U6588" i="12"/>
  <c r="T6589" i="12"/>
  <c r="U6589" i="12"/>
  <c r="T6590" i="12"/>
  <c r="U6590" i="12"/>
  <c r="T6591" i="12"/>
  <c r="U6591" i="12"/>
  <c r="T6592" i="12"/>
  <c r="U6592" i="12"/>
  <c r="T6593" i="12"/>
  <c r="U6593" i="12"/>
  <c r="T6594" i="12"/>
  <c r="U6594" i="12"/>
  <c r="T6595" i="12"/>
  <c r="U6595" i="12"/>
  <c r="T6596" i="12"/>
  <c r="U6596" i="12"/>
  <c r="T6597" i="12"/>
  <c r="U6597" i="12"/>
  <c r="T6598" i="12"/>
  <c r="U6598" i="12"/>
  <c r="T6599" i="12"/>
  <c r="U6599" i="12"/>
  <c r="T6600" i="12"/>
  <c r="U6600" i="12"/>
  <c r="T6601" i="12"/>
  <c r="U6601" i="12"/>
  <c r="T6602" i="12"/>
  <c r="U6602" i="12"/>
  <c r="T6603" i="12"/>
  <c r="U6603" i="12"/>
  <c r="T6604" i="12"/>
  <c r="U6604" i="12"/>
  <c r="T6605" i="12"/>
  <c r="U6605" i="12"/>
  <c r="T6606" i="12"/>
  <c r="U6606" i="12"/>
  <c r="T6607" i="12"/>
  <c r="U6607" i="12"/>
  <c r="T6608" i="12"/>
  <c r="U6608" i="12"/>
  <c r="T6609" i="12"/>
  <c r="U6609" i="12"/>
  <c r="T6610" i="12"/>
  <c r="U6610" i="12"/>
  <c r="T6611" i="12"/>
  <c r="U6611" i="12"/>
  <c r="T6612" i="12"/>
  <c r="U6612" i="12"/>
  <c r="T6613" i="12"/>
  <c r="U6613" i="12"/>
  <c r="T6614" i="12"/>
  <c r="U6614" i="12"/>
  <c r="T6615" i="12"/>
  <c r="U6615" i="12"/>
  <c r="T6616" i="12"/>
  <c r="U6616" i="12"/>
  <c r="T6617" i="12"/>
  <c r="U6617" i="12"/>
  <c r="T6618" i="12"/>
  <c r="U6618" i="12"/>
  <c r="T6619" i="12"/>
  <c r="U6619" i="12"/>
  <c r="T6620" i="12"/>
  <c r="U6620" i="12"/>
  <c r="T6621" i="12"/>
  <c r="U6621" i="12"/>
  <c r="T6622" i="12"/>
  <c r="U6622" i="12"/>
  <c r="T6623" i="12"/>
  <c r="U6623" i="12"/>
  <c r="T6624" i="12"/>
  <c r="U6624" i="12"/>
  <c r="T6625" i="12"/>
  <c r="U6625" i="12"/>
  <c r="T6626" i="12"/>
  <c r="U6626" i="12"/>
  <c r="T6627" i="12"/>
  <c r="U6627" i="12"/>
  <c r="T6628" i="12"/>
  <c r="U6628" i="12"/>
  <c r="T6629" i="12"/>
  <c r="U6629" i="12"/>
  <c r="T6630" i="12"/>
  <c r="U6630" i="12"/>
  <c r="T6631" i="12"/>
  <c r="U6631" i="12"/>
  <c r="T6632" i="12"/>
  <c r="U6632" i="12"/>
  <c r="T6633" i="12"/>
  <c r="U6633" i="12"/>
  <c r="T6634" i="12"/>
  <c r="U6634" i="12"/>
  <c r="T6635" i="12"/>
  <c r="U6635" i="12"/>
  <c r="T6636" i="12"/>
  <c r="U6636" i="12"/>
  <c r="T6637" i="12"/>
  <c r="U6637" i="12"/>
  <c r="T6638" i="12"/>
  <c r="U6638" i="12"/>
  <c r="T6639" i="12"/>
  <c r="U6639" i="12"/>
  <c r="T6640" i="12"/>
  <c r="U6640" i="12"/>
  <c r="T6641" i="12"/>
  <c r="U6641" i="12"/>
  <c r="T6642" i="12"/>
  <c r="U6642" i="12"/>
  <c r="T6643" i="12"/>
  <c r="U6643" i="12"/>
  <c r="T6644" i="12"/>
  <c r="U6644" i="12"/>
  <c r="T6645" i="12"/>
  <c r="U6645" i="12"/>
  <c r="T6646" i="12"/>
  <c r="U6646" i="12"/>
  <c r="T6647" i="12"/>
  <c r="U6647" i="12"/>
  <c r="T6648" i="12"/>
  <c r="U6648" i="12"/>
  <c r="T6649" i="12"/>
  <c r="U6649" i="12"/>
  <c r="T6650" i="12"/>
  <c r="U6650" i="12"/>
  <c r="T6651" i="12"/>
  <c r="U6651" i="12"/>
  <c r="T6652" i="12"/>
  <c r="U6652" i="12"/>
  <c r="T6653" i="12"/>
  <c r="U6653" i="12"/>
  <c r="T6654" i="12"/>
  <c r="U6654" i="12"/>
  <c r="T6655" i="12"/>
  <c r="U6655" i="12"/>
  <c r="T6656" i="12"/>
  <c r="U6656" i="12"/>
  <c r="T6657" i="12"/>
  <c r="U6657" i="12"/>
  <c r="T6658" i="12"/>
  <c r="U6658" i="12"/>
  <c r="T6659" i="12"/>
  <c r="U6659" i="12"/>
  <c r="T6660" i="12"/>
  <c r="U6660" i="12"/>
  <c r="T6661" i="12"/>
  <c r="U6661" i="12"/>
  <c r="T6662" i="12"/>
  <c r="U6662" i="12"/>
  <c r="T6663" i="12"/>
  <c r="U6663" i="12"/>
  <c r="T6664" i="12"/>
  <c r="U6664" i="12"/>
  <c r="T6665" i="12"/>
  <c r="U6665" i="12"/>
  <c r="T6666" i="12"/>
  <c r="U6666" i="12"/>
  <c r="T6667" i="12"/>
  <c r="U6667" i="12"/>
  <c r="T6668" i="12"/>
  <c r="U6668" i="12"/>
  <c r="T6669" i="12"/>
  <c r="U6669" i="12"/>
  <c r="T6670" i="12"/>
  <c r="U6670" i="12"/>
  <c r="T6671" i="12"/>
  <c r="U6671" i="12"/>
  <c r="T6672" i="12"/>
  <c r="U6672" i="12"/>
  <c r="T6673" i="12"/>
  <c r="U6673" i="12"/>
  <c r="T6674" i="12"/>
  <c r="U6674" i="12"/>
  <c r="T6675" i="12"/>
  <c r="U6675" i="12"/>
  <c r="T6676" i="12"/>
  <c r="U6676" i="12"/>
  <c r="T6677" i="12"/>
  <c r="U6677" i="12"/>
  <c r="T6678" i="12"/>
  <c r="U6678" i="12"/>
  <c r="T6679" i="12"/>
  <c r="U6679" i="12"/>
  <c r="T6680" i="12"/>
  <c r="U6680" i="12"/>
  <c r="T6681" i="12"/>
  <c r="U6681" i="12"/>
  <c r="T6682" i="12"/>
  <c r="U6682" i="12"/>
  <c r="T6683" i="12"/>
  <c r="U6683" i="12"/>
  <c r="T6684" i="12"/>
  <c r="U6684" i="12"/>
  <c r="T6685" i="12"/>
  <c r="U6685" i="12"/>
  <c r="T6686" i="12"/>
  <c r="U6686" i="12"/>
  <c r="T6687" i="12"/>
  <c r="U6687" i="12"/>
  <c r="T6688" i="12"/>
  <c r="U6688" i="12"/>
  <c r="T6689" i="12"/>
  <c r="U6689" i="12"/>
  <c r="T6690" i="12"/>
  <c r="U6690" i="12"/>
  <c r="T6691" i="12"/>
  <c r="U6691" i="12"/>
  <c r="T6692" i="12"/>
  <c r="U6692" i="12"/>
  <c r="T6693" i="12"/>
  <c r="U6693" i="12"/>
  <c r="T6694" i="12"/>
  <c r="U6694" i="12"/>
  <c r="T6695" i="12"/>
  <c r="U6695" i="12"/>
  <c r="T6696" i="12"/>
  <c r="U6696" i="12"/>
  <c r="T6697" i="12"/>
  <c r="U6697" i="12"/>
  <c r="T6698" i="12"/>
  <c r="U6698" i="12"/>
  <c r="T6699" i="12"/>
  <c r="U6699" i="12"/>
  <c r="T6700" i="12"/>
  <c r="U6700" i="12"/>
  <c r="T6701" i="12"/>
  <c r="U6701" i="12"/>
  <c r="T6702" i="12"/>
  <c r="U6702" i="12"/>
  <c r="T6703" i="12"/>
  <c r="U6703" i="12"/>
  <c r="T6704" i="12"/>
  <c r="U6704" i="12"/>
  <c r="T6705" i="12"/>
  <c r="U6705" i="12"/>
  <c r="T6706" i="12"/>
  <c r="U6706" i="12"/>
  <c r="T6707" i="12"/>
  <c r="U6707" i="12"/>
  <c r="T6708" i="12"/>
  <c r="U6708" i="12"/>
  <c r="T6709" i="12"/>
  <c r="U6709" i="12"/>
  <c r="T6710" i="12"/>
  <c r="U6710" i="12"/>
  <c r="T6711" i="12"/>
  <c r="U6711" i="12"/>
  <c r="T6712" i="12"/>
  <c r="U6712" i="12"/>
  <c r="T6713" i="12"/>
  <c r="U6713" i="12"/>
  <c r="T6714" i="12"/>
  <c r="U6714" i="12"/>
  <c r="T6715" i="12"/>
  <c r="U6715" i="12"/>
  <c r="T6716" i="12"/>
  <c r="U6716" i="12"/>
  <c r="T6717" i="12"/>
  <c r="U6717" i="12"/>
  <c r="T6718" i="12"/>
  <c r="U6718" i="12"/>
  <c r="T6719" i="12"/>
  <c r="U6719" i="12"/>
  <c r="T6720" i="12"/>
  <c r="U6720" i="12"/>
  <c r="T6721" i="12"/>
  <c r="U6721" i="12"/>
  <c r="T6722" i="12"/>
  <c r="U6722" i="12"/>
  <c r="T6723" i="12"/>
  <c r="U6723" i="12"/>
  <c r="T6724" i="12"/>
  <c r="U6724" i="12"/>
  <c r="T6725" i="12"/>
  <c r="U6725" i="12"/>
  <c r="T6726" i="12"/>
  <c r="U6726" i="12"/>
  <c r="T6727" i="12"/>
  <c r="U6727" i="12"/>
  <c r="T6728" i="12"/>
  <c r="U6728" i="12"/>
  <c r="T6729" i="12"/>
  <c r="U6729" i="12"/>
  <c r="T6730" i="12"/>
  <c r="U6730" i="12"/>
  <c r="T6731" i="12"/>
  <c r="U6731" i="12"/>
  <c r="T6732" i="12"/>
  <c r="U6732" i="12"/>
  <c r="T6733" i="12"/>
  <c r="U6733" i="12"/>
  <c r="T6734" i="12"/>
  <c r="U6734" i="12"/>
  <c r="T6735" i="12"/>
  <c r="U6735" i="12"/>
  <c r="T6736" i="12"/>
  <c r="U6736" i="12"/>
  <c r="T6737" i="12"/>
  <c r="U6737" i="12"/>
  <c r="T6738" i="12"/>
  <c r="U6738" i="12"/>
  <c r="T6739" i="12"/>
  <c r="U6739" i="12"/>
  <c r="T6740" i="12"/>
  <c r="U6740" i="12"/>
  <c r="T6741" i="12"/>
  <c r="U6741" i="12"/>
  <c r="T6742" i="12"/>
  <c r="U6742" i="12"/>
  <c r="T6743" i="12"/>
  <c r="U6743" i="12"/>
  <c r="T6744" i="12"/>
  <c r="U6744" i="12"/>
  <c r="T6745" i="12"/>
  <c r="U6745" i="12"/>
  <c r="T6746" i="12"/>
  <c r="U6746" i="12"/>
  <c r="T6747" i="12"/>
  <c r="U6747" i="12"/>
  <c r="T6748" i="12"/>
  <c r="U6748" i="12"/>
  <c r="T6749" i="12"/>
  <c r="U6749" i="12"/>
  <c r="T6750" i="12"/>
  <c r="U6750" i="12"/>
  <c r="T6751" i="12"/>
  <c r="U6751" i="12"/>
  <c r="T6752" i="12"/>
  <c r="U6752" i="12"/>
  <c r="T6753" i="12"/>
  <c r="U6753" i="12"/>
  <c r="T6754" i="12"/>
  <c r="U6754" i="12"/>
  <c r="T6755" i="12"/>
  <c r="U6755" i="12"/>
  <c r="T6756" i="12"/>
  <c r="U6756" i="12"/>
  <c r="T6757" i="12"/>
  <c r="U6757" i="12"/>
  <c r="T6758" i="12"/>
  <c r="U6758" i="12"/>
  <c r="T6759" i="12"/>
  <c r="U6759" i="12"/>
  <c r="T6760" i="12"/>
  <c r="U6760" i="12"/>
  <c r="T6761" i="12"/>
  <c r="U6761" i="12"/>
  <c r="T6762" i="12"/>
  <c r="U6762" i="12"/>
  <c r="T6763" i="12"/>
  <c r="U6763" i="12"/>
  <c r="T6764" i="12"/>
  <c r="U6764" i="12"/>
  <c r="T6765" i="12"/>
  <c r="U6765" i="12"/>
  <c r="T6766" i="12"/>
  <c r="U6766" i="12"/>
  <c r="T6767" i="12"/>
  <c r="U6767" i="12"/>
  <c r="T6768" i="12"/>
  <c r="U6768" i="12"/>
  <c r="T6769" i="12"/>
  <c r="U6769" i="12"/>
  <c r="T6770" i="12"/>
  <c r="U6770" i="12"/>
  <c r="T6771" i="12"/>
  <c r="U6771" i="12"/>
  <c r="T6772" i="12"/>
  <c r="U6772" i="12"/>
  <c r="T6773" i="12"/>
  <c r="U6773" i="12"/>
  <c r="T6774" i="12"/>
  <c r="U6774" i="12"/>
  <c r="T6775" i="12"/>
  <c r="U6775" i="12"/>
  <c r="T6776" i="12"/>
  <c r="U6776" i="12"/>
  <c r="T6777" i="12"/>
  <c r="U6777" i="12"/>
  <c r="T6778" i="12"/>
  <c r="U6778" i="12"/>
  <c r="T6779" i="12"/>
  <c r="U6779" i="12"/>
  <c r="T6780" i="12"/>
  <c r="U6780" i="12"/>
  <c r="T6781" i="12"/>
  <c r="U6781" i="12"/>
  <c r="T6782" i="12"/>
  <c r="U6782" i="12"/>
  <c r="T6783" i="12"/>
  <c r="U6783" i="12"/>
  <c r="T6784" i="12"/>
  <c r="U6784" i="12"/>
  <c r="T6785" i="12"/>
  <c r="U6785" i="12"/>
  <c r="T6786" i="12"/>
  <c r="U6786" i="12"/>
  <c r="T6787" i="12"/>
  <c r="U6787" i="12"/>
  <c r="T6788" i="12"/>
  <c r="U6788" i="12"/>
  <c r="T6789" i="12"/>
  <c r="U6789" i="12"/>
  <c r="T6790" i="12"/>
  <c r="U6790" i="12"/>
  <c r="T6791" i="12"/>
  <c r="U6791" i="12"/>
  <c r="T6792" i="12"/>
  <c r="U6792" i="12"/>
  <c r="T6793" i="12"/>
  <c r="U6793" i="12"/>
  <c r="T6794" i="12"/>
  <c r="U6794" i="12"/>
  <c r="T6795" i="12"/>
  <c r="U6795" i="12"/>
  <c r="T6796" i="12"/>
  <c r="U6796" i="12"/>
  <c r="T6797" i="12"/>
  <c r="U6797" i="12"/>
  <c r="T6798" i="12"/>
  <c r="U6798" i="12"/>
  <c r="T6799" i="12"/>
  <c r="U6799" i="12"/>
  <c r="T6800" i="12"/>
  <c r="U6800" i="12"/>
  <c r="T6801" i="12"/>
  <c r="U6801" i="12"/>
  <c r="T6802" i="12"/>
  <c r="U6802" i="12"/>
  <c r="T6803" i="12"/>
  <c r="U6803" i="12"/>
  <c r="T6804" i="12"/>
  <c r="U6804" i="12"/>
  <c r="T6805" i="12"/>
  <c r="U6805" i="12"/>
  <c r="T6806" i="12"/>
  <c r="U6806" i="12"/>
  <c r="T6807" i="12"/>
  <c r="U6807" i="12"/>
  <c r="T6808" i="12"/>
  <c r="U6808" i="12"/>
  <c r="T6809" i="12"/>
  <c r="U6809" i="12"/>
  <c r="T6810" i="12"/>
  <c r="U6810" i="12"/>
  <c r="T6811" i="12"/>
  <c r="U6811" i="12"/>
  <c r="T6812" i="12"/>
  <c r="U6812" i="12"/>
  <c r="T6813" i="12"/>
  <c r="U6813" i="12"/>
  <c r="T6814" i="12"/>
  <c r="U6814" i="12"/>
  <c r="T6815" i="12"/>
  <c r="U6815" i="12"/>
  <c r="T6816" i="12"/>
  <c r="U6816" i="12"/>
  <c r="T6817" i="12"/>
  <c r="U6817" i="12"/>
  <c r="T6818" i="12"/>
  <c r="U6818" i="12"/>
  <c r="T6819" i="12"/>
  <c r="U6819" i="12"/>
  <c r="T6820" i="12"/>
  <c r="U6820" i="12"/>
  <c r="T6821" i="12"/>
  <c r="U6821" i="12"/>
  <c r="T6822" i="12"/>
  <c r="U6822" i="12"/>
  <c r="T6823" i="12"/>
  <c r="U6823" i="12"/>
  <c r="T6824" i="12"/>
  <c r="U6824" i="12"/>
  <c r="T6825" i="12"/>
  <c r="U6825" i="12"/>
  <c r="T6826" i="12"/>
  <c r="U6826" i="12"/>
  <c r="T6827" i="12"/>
  <c r="U6827" i="12"/>
  <c r="T6828" i="12"/>
  <c r="U6828" i="12"/>
  <c r="T6829" i="12"/>
  <c r="U6829" i="12"/>
  <c r="T6830" i="12"/>
  <c r="U6830" i="12"/>
  <c r="T6831" i="12"/>
  <c r="U6831" i="12"/>
  <c r="T6832" i="12"/>
  <c r="U6832" i="12"/>
  <c r="T6833" i="12"/>
  <c r="U6833" i="12"/>
  <c r="T6834" i="12"/>
  <c r="U6834" i="12"/>
  <c r="T6835" i="12"/>
  <c r="U6835" i="12"/>
  <c r="T6836" i="12"/>
  <c r="U6836" i="12"/>
  <c r="T6837" i="12"/>
  <c r="U6837" i="12"/>
  <c r="T6838" i="12"/>
  <c r="U6838" i="12"/>
  <c r="T6839" i="12"/>
  <c r="U6839" i="12"/>
  <c r="T6840" i="12"/>
  <c r="U6840" i="12"/>
  <c r="T6841" i="12"/>
  <c r="U6841" i="12"/>
  <c r="T6842" i="12"/>
  <c r="U6842" i="12"/>
  <c r="T6843" i="12"/>
  <c r="U6843" i="12"/>
  <c r="T6844" i="12"/>
  <c r="U6844" i="12"/>
  <c r="T6845" i="12"/>
  <c r="U6845" i="12"/>
  <c r="T6846" i="12"/>
  <c r="U6846" i="12"/>
  <c r="T6847" i="12"/>
  <c r="U6847" i="12"/>
  <c r="T6848" i="12"/>
  <c r="U6848" i="12"/>
  <c r="T6849" i="12"/>
  <c r="U6849" i="12"/>
  <c r="T6850" i="12"/>
  <c r="U6850" i="12"/>
  <c r="T6851" i="12"/>
  <c r="U6851" i="12"/>
  <c r="T6852" i="12"/>
  <c r="U6852" i="12"/>
  <c r="T6853" i="12"/>
  <c r="U6853" i="12"/>
  <c r="T6854" i="12"/>
  <c r="U6854" i="12"/>
  <c r="T6855" i="12"/>
  <c r="U6855" i="12"/>
  <c r="T6856" i="12"/>
  <c r="U6856" i="12"/>
  <c r="T6857" i="12"/>
  <c r="U6857" i="12"/>
  <c r="T6858" i="12"/>
  <c r="U6858" i="12"/>
  <c r="T6859" i="12"/>
  <c r="U6859" i="12"/>
  <c r="T6860" i="12"/>
  <c r="U6860" i="12"/>
  <c r="T6861" i="12"/>
  <c r="U6861" i="12"/>
  <c r="T6862" i="12"/>
  <c r="U6862" i="12"/>
  <c r="T6863" i="12"/>
  <c r="U6863" i="12"/>
  <c r="T6864" i="12"/>
  <c r="U6864" i="12"/>
  <c r="T6865" i="12"/>
  <c r="U6865" i="12"/>
  <c r="T6866" i="12"/>
  <c r="U6866" i="12"/>
  <c r="T6867" i="12"/>
  <c r="U6867" i="12"/>
  <c r="T6868" i="12"/>
  <c r="U6868" i="12"/>
  <c r="T6869" i="12"/>
  <c r="U6869" i="12"/>
  <c r="T6870" i="12"/>
  <c r="U6870" i="12"/>
  <c r="T6871" i="12"/>
  <c r="U6871" i="12"/>
  <c r="T6872" i="12"/>
  <c r="U6872" i="12"/>
  <c r="T6873" i="12"/>
  <c r="U6873" i="12"/>
  <c r="T6874" i="12"/>
  <c r="U6874" i="12"/>
  <c r="T6875" i="12"/>
  <c r="U6875" i="12"/>
  <c r="T6876" i="12"/>
  <c r="U6876" i="12"/>
  <c r="T6877" i="12"/>
  <c r="U6877" i="12"/>
  <c r="T6878" i="12"/>
  <c r="U6878" i="12"/>
  <c r="T6879" i="12"/>
  <c r="U6879" i="12"/>
  <c r="T6880" i="12"/>
  <c r="U6880" i="12"/>
  <c r="T6881" i="12"/>
  <c r="U6881" i="12"/>
  <c r="T6882" i="12"/>
  <c r="U6882" i="12"/>
  <c r="T6883" i="12"/>
  <c r="U6883" i="12"/>
  <c r="T6884" i="12"/>
  <c r="U6884" i="12"/>
  <c r="T6885" i="12"/>
  <c r="U6885" i="12"/>
  <c r="T6886" i="12"/>
  <c r="U6886" i="12"/>
  <c r="T6887" i="12"/>
  <c r="U6887" i="12"/>
  <c r="T6888" i="12"/>
  <c r="U6888" i="12"/>
  <c r="T6889" i="12"/>
  <c r="U6889" i="12"/>
  <c r="T6890" i="12"/>
  <c r="U6890" i="12"/>
  <c r="T6891" i="12"/>
  <c r="U6891" i="12"/>
  <c r="T6892" i="12"/>
  <c r="U6892" i="12"/>
  <c r="T6893" i="12"/>
  <c r="U6893" i="12"/>
  <c r="T6894" i="12"/>
  <c r="U6894" i="12"/>
  <c r="T6895" i="12"/>
  <c r="U6895" i="12"/>
  <c r="T6896" i="12"/>
  <c r="U6896" i="12"/>
  <c r="T6897" i="12"/>
  <c r="U6897" i="12"/>
  <c r="T6898" i="12"/>
  <c r="U6898" i="12"/>
  <c r="T6899" i="12"/>
  <c r="U6899" i="12"/>
  <c r="T6900" i="12"/>
  <c r="U6900" i="12"/>
  <c r="T6901" i="12"/>
  <c r="U6901" i="12"/>
  <c r="T6902" i="12"/>
  <c r="U6902" i="12"/>
  <c r="T6903" i="12"/>
  <c r="U6903" i="12"/>
  <c r="T6904" i="12"/>
  <c r="U6904" i="12"/>
  <c r="T6905" i="12"/>
  <c r="U6905" i="12"/>
  <c r="T6906" i="12"/>
  <c r="U6906" i="12"/>
  <c r="T6907" i="12"/>
  <c r="U6907" i="12"/>
  <c r="T6908" i="12"/>
  <c r="U6908" i="12"/>
  <c r="T6909" i="12"/>
  <c r="U6909" i="12"/>
  <c r="T6910" i="12"/>
  <c r="U6910" i="12"/>
  <c r="T6911" i="12"/>
  <c r="U6911" i="12"/>
  <c r="T6912" i="12"/>
  <c r="U6912" i="12"/>
  <c r="T6913" i="12"/>
  <c r="U6913" i="12"/>
  <c r="T6914" i="12"/>
  <c r="U6914" i="12"/>
  <c r="T6915" i="12"/>
  <c r="U6915" i="12"/>
  <c r="T6916" i="12"/>
  <c r="U6916" i="12"/>
  <c r="T6917" i="12"/>
  <c r="U6917" i="12"/>
  <c r="T6918" i="12"/>
  <c r="U6918" i="12"/>
  <c r="T6919" i="12"/>
  <c r="U6919" i="12"/>
  <c r="T6920" i="12"/>
  <c r="U6920" i="12"/>
  <c r="T6921" i="12"/>
  <c r="U6921" i="12"/>
  <c r="T6922" i="12"/>
  <c r="U6922" i="12"/>
  <c r="T6923" i="12"/>
  <c r="U6923" i="12"/>
  <c r="T6924" i="12"/>
  <c r="U6924" i="12"/>
  <c r="T6925" i="12"/>
  <c r="U6925" i="12"/>
  <c r="T6926" i="12"/>
  <c r="U6926" i="12"/>
  <c r="T6927" i="12"/>
  <c r="U6927" i="12"/>
  <c r="T6928" i="12"/>
  <c r="U6928" i="12"/>
  <c r="T6929" i="12"/>
  <c r="U6929" i="12"/>
  <c r="T6930" i="12"/>
  <c r="U6930" i="12"/>
  <c r="T6931" i="12"/>
  <c r="U6931" i="12"/>
  <c r="T6932" i="12"/>
  <c r="U6932" i="12"/>
  <c r="T6933" i="12"/>
  <c r="U6933" i="12"/>
  <c r="T6934" i="12"/>
  <c r="U6934" i="12"/>
  <c r="T6935" i="12"/>
  <c r="U6935" i="12"/>
  <c r="T6936" i="12"/>
  <c r="U6936" i="12"/>
  <c r="T6937" i="12"/>
  <c r="U6937" i="12"/>
  <c r="T6938" i="12"/>
  <c r="U6938" i="12"/>
  <c r="T6939" i="12"/>
  <c r="U6939" i="12"/>
  <c r="T6940" i="12"/>
  <c r="U6940" i="12"/>
  <c r="T6941" i="12"/>
  <c r="U6941" i="12"/>
  <c r="T6942" i="12"/>
  <c r="U6942" i="12"/>
  <c r="T6943" i="12"/>
  <c r="U6943" i="12"/>
  <c r="T6944" i="12"/>
  <c r="U6944" i="12"/>
  <c r="T6945" i="12"/>
  <c r="U6945" i="12"/>
  <c r="T6946" i="12"/>
  <c r="U6946" i="12"/>
  <c r="T6947" i="12"/>
  <c r="U6947" i="12"/>
  <c r="T6948" i="12"/>
  <c r="U6948" i="12"/>
  <c r="T6949" i="12"/>
  <c r="U6949" i="12"/>
  <c r="T6950" i="12"/>
  <c r="U6950" i="12"/>
  <c r="T6951" i="12"/>
  <c r="U6951" i="12"/>
  <c r="T6952" i="12"/>
  <c r="U6952" i="12"/>
  <c r="T6953" i="12"/>
  <c r="U6953" i="12"/>
  <c r="T6954" i="12"/>
  <c r="U6954" i="12"/>
  <c r="T6955" i="12"/>
  <c r="U6955" i="12"/>
  <c r="T6956" i="12"/>
  <c r="U6956" i="12"/>
  <c r="T6957" i="12"/>
  <c r="U6957" i="12"/>
  <c r="T6958" i="12"/>
  <c r="U6958" i="12"/>
  <c r="T6959" i="12"/>
  <c r="U6959" i="12"/>
  <c r="T6960" i="12"/>
  <c r="U6960" i="12"/>
  <c r="T6961" i="12"/>
  <c r="U6961" i="12"/>
  <c r="T6962" i="12"/>
  <c r="U6962" i="12"/>
  <c r="T6963" i="12"/>
  <c r="U6963" i="12"/>
  <c r="T6964" i="12"/>
  <c r="U6964" i="12"/>
  <c r="T6965" i="12"/>
  <c r="U6965" i="12"/>
  <c r="T6966" i="12"/>
  <c r="U6966" i="12"/>
  <c r="T6967" i="12"/>
  <c r="U6967" i="12"/>
  <c r="T6968" i="12"/>
  <c r="U6968" i="12"/>
  <c r="T6969" i="12"/>
  <c r="U6969" i="12"/>
  <c r="T6970" i="12"/>
  <c r="U6970" i="12"/>
  <c r="T6971" i="12"/>
  <c r="U6971" i="12"/>
  <c r="T6972" i="12"/>
  <c r="U6972" i="12"/>
  <c r="T6973" i="12"/>
  <c r="U6973" i="12"/>
  <c r="T6974" i="12"/>
  <c r="U6974" i="12"/>
  <c r="T6975" i="12"/>
  <c r="U6975" i="12"/>
  <c r="T6976" i="12"/>
  <c r="U6976" i="12"/>
  <c r="T6977" i="12"/>
  <c r="U6977" i="12"/>
  <c r="T6978" i="12"/>
  <c r="U6978" i="12"/>
  <c r="T6979" i="12"/>
  <c r="U6979" i="12"/>
  <c r="T6980" i="12"/>
  <c r="U6980" i="12"/>
  <c r="T6981" i="12"/>
  <c r="U6981" i="12"/>
  <c r="T6982" i="12"/>
  <c r="U6982" i="12"/>
  <c r="T6983" i="12"/>
  <c r="U6983" i="12"/>
  <c r="T6984" i="12"/>
  <c r="U6984" i="12"/>
  <c r="T6985" i="12"/>
  <c r="U6985" i="12"/>
  <c r="T6986" i="12"/>
  <c r="U6986" i="12"/>
  <c r="T6987" i="12"/>
  <c r="U6987" i="12"/>
  <c r="T6988" i="12"/>
  <c r="U6988" i="12"/>
  <c r="T6989" i="12"/>
  <c r="U6989" i="12"/>
  <c r="T6990" i="12"/>
  <c r="U6990" i="12"/>
  <c r="T6991" i="12"/>
  <c r="U6991" i="12"/>
  <c r="T6992" i="12"/>
  <c r="U6992" i="12"/>
  <c r="T6993" i="12"/>
  <c r="U6993" i="12"/>
  <c r="T6994" i="12"/>
  <c r="U6994" i="12"/>
  <c r="T6995" i="12"/>
  <c r="U6995" i="12"/>
  <c r="T6996" i="12"/>
  <c r="U6996" i="12"/>
  <c r="T6997" i="12"/>
  <c r="U6997" i="12"/>
  <c r="T6998" i="12"/>
  <c r="U6998" i="12"/>
  <c r="T6999" i="12"/>
  <c r="U6999" i="12"/>
  <c r="T7000" i="12"/>
  <c r="U7000" i="12"/>
  <c r="T7001" i="12"/>
  <c r="U7001" i="12"/>
  <c r="T7002" i="12"/>
  <c r="U7002" i="12"/>
  <c r="T7003" i="12"/>
  <c r="U7003" i="12"/>
  <c r="T7004" i="12"/>
  <c r="U7004" i="12"/>
  <c r="T7005" i="12"/>
  <c r="U7005" i="12"/>
  <c r="T7006" i="12"/>
  <c r="U7006" i="12"/>
  <c r="T7007" i="12"/>
  <c r="U7007" i="12"/>
  <c r="T7008" i="12"/>
  <c r="U7008" i="12"/>
  <c r="T7009" i="12"/>
  <c r="U7009" i="12"/>
  <c r="T7010" i="12"/>
  <c r="U7010" i="12"/>
  <c r="T7011" i="12"/>
  <c r="U7011" i="12"/>
  <c r="T7012" i="12"/>
  <c r="U7012" i="12"/>
  <c r="T7013" i="12"/>
  <c r="U7013" i="12"/>
  <c r="T7014" i="12"/>
  <c r="U7014" i="12"/>
  <c r="T7015" i="12"/>
  <c r="U7015" i="12"/>
  <c r="T7016" i="12"/>
  <c r="U7016" i="12"/>
  <c r="T7017" i="12"/>
  <c r="U7017" i="12"/>
  <c r="T7018" i="12"/>
  <c r="U7018" i="12"/>
  <c r="T7019" i="12"/>
  <c r="U7019" i="12"/>
  <c r="T7020" i="12"/>
  <c r="U7020" i="12"/>
  <c r="T7021" i="12"/>
  <c r="U7021" i="12"/>
  <c r="T7022" i="12"/>
  <c r="U7022" i="12"/>
  <c r="T7023" i="12"/>
  <c r="U7023" i="12"/>
  <c r="T7024" i="12"/>
  <c r="U7024" i="12"/>
  <c r="T7025" i="12"/>
  <c r="U7025" i="12"/>
  <c r="T7026" i="12"/>
  <c r="U7026" i="12"/>
  <c r="T7027" i="12"/>
  <c r="U7027" i="12"/>
  <c r="T7028" i="12"/>
  <c r="U7028" i="12"/>
  <c r="T7029" i="12"/>
  <c r="U7029" i="12"/>
  <c r="T7030" i="12"/>
  <c r="U7030" i="12"/>
  <c r="T7031" i="12"/>
  <c r="U7031" i="12"/>
  <c r="T7032" i="12"/>
  <c r="U7032" i="12"/>
  <c r="T7033" i="12"/>
  <c r="U7033" i="12"/>
  <c r="T7034" i="12"/>
  <c r="U7034" i="12"/>
  <c r="T7035" i="12"/>
  <c r="U7035" i="12"/>
  <c r="T7036" i="12"/>
  <c r="U7036" i="12"/>
  <c r="T7037" i="12"/>
  <c r="U7037" i="12"/>
  <c r="T7038" i="12"/>
  <c r="U7038" i="12"/>
  <c r="T7039" i="12"/>
  <c r="U7039" i="12"/>
  <c r="T7040" i="12"/>
  <c r="U7040" i="12"/>
  <c r="T7041" i="12"/>
  <c r="U7041" i="12"/>
  <c r="T7042" i="12"/>
  <c r="U7042" i="12"/>
  <c r="T7043" i="12"/>
  <c r="U7043" i="12"/>
  <c r="T7044" i="12"/>
  <c r="U7044" i="12"/>
  <c r="T7045" i="12"/>
  <c r="U7045" i="12"/>
  <c r="T7046" i="12"/>
  <c r="U7046" i="12"/>
  <c r="T7047" i="12"/>
  <c r="U7047" i="12"/>
  <c r="T7048" i="12"/>
  <c r="U7048" i="12"/>
  <c r="T7049" i="12"/>
  <c r="U7049" i="12"/>
  <c r="T7050" i="12"/>
  <c r="U7050" i="12"/>
  <c r="T7051" i="12"/>
  <c r="U7051" i="12"/>
  <c r="T7052" i="12"/>
  <c r="U7052" i="12"/>
  <c r="T7053" i="12"/>
  <c r="U7053" i="12"/>
  <c r="T7054" i="12"/>
  <c r="U7054" i="12"/>
  <c r="T7055" i="12"/>
  <c r="U7055" i="12"/>
  <c r="T7056" i="12"/>
  <c r="U7056" i="12"/>
  <c r="T7057" i="12"/>
  <c r="U7057" i="12"/>
  <c r="T7058" i="12"/>
  <c r="U7058" i="12"/>
  <c r="T7059" i="12"/>
  <c r="U7059" i="12"/>
  <c r="T7060" i="12"/>
  <c r="U7060" i="12"/>
  <c r="T7061" i="12"/>
  <c r="U7061" i="12"/>
  <c r="T7062" i="12"/>
  <c r="U7062" i="12"/>
  <c r="T7063" i="12"/>
  <c r="U7063" i="12"/>
  <c r="T7064" i="12"/>
  <c r="U7064" i="12"/>
  <c r="T7065" i="12"/>
  <c r="U7065" i="12"/>
  <c r="T7066" i="12"/>
  <c r="U7066" i="12"/>
  <c r="T7067" i="12"/>
  <c r="U7067" i="12"/>
  <c r="T7068" i="12"/>
  <c r="U7068" i="12"/>
  <c r="T7069" i="12"/>
  <c r="U7069" i="12"/>
  <c r="T7070" i="12"/>
  <c r="U7070" i="12"/>
  <c r="T7071" i="12"/>
  <c r="U7071" i="12"/>
  <c r="T7072" i="12"/>
  <c r="U7072" i="12"/>
  <c r="T7073" i="12"/>
  <c r="U7073" i="12"/>
  <c r="T7074" i="12"/>
  <c r="U7074" i="12"/>
  <c r="T7075" i="12"/>
  <c r="U7075" i="12"/>
  <c r="T7076" i="12"/>
  <c r="U7076" i="12"/>
  <c r="T7077" i="12"/>
  <c r="U7077" i="12"/>
  <c r="T7078" i="12"/>
  <c r="U7078" i="12"/>
  <c r="T7079" i="12"/>
  <c r="U7079" i="12"/>
  <c r="T7080" i="12"/>
  <c r="U7080" i="12"/>
  <c r="T7081" i="12"/>
  <c r="U7081" i="12"/>
  <c r="T7082" i="12"/>
  <c r="U7082" i="12"/>
  <c r="T7083" i="12"/>
  <c r="U7083" i="12"/>
  <c r="T7084" i="12"/>
  <c r="U7084" i="12"/>
  <c r="T7085" i="12"/>
  <c r="U7085" i="12"/>
  <c r="T7086" i="12"/>
  <c r="U7086" i="12"/>
  <c r="T7087" i="12"/>
  <c r="U7087" i="12"/>
  <c r="T7088" i="12"/>
  <c r="U7088" i="12"/>
  <c r="T7089" i="12"/>
  <c r="U7089" i="12"/>
  <c r="T7090" i="12"/>
  <c r="U7090" i="12"/>
  <c r="T7091" i="12"/>
  <c r="U7091" i="12"/>
  <c r="T7092" i="12"/>
  <c r="U7092" i="12"/>
  <c r="T7093" i="12"/>
  <c r="U7093" i="12"/>
  <c r="T7094" i="12"/>
  <c r="U7094" i="12"/>
  <c r="T7095" i="12"/>
  <c r="U7095" i="12"/>
  <c r="T7096" i="12"/>
  <c r="U7096" i="12"/>
  <c r="T7097" i="12"/>
  <c r="U7097" i="12"/>
  <c r="T7098" i="12"/>
  <c r="U7098" i="12"/>
  <c r="T7099" i="12"/>
  <c r="U7099" i="12"/>
  <c r="T7100" i="12"/>
  <c r="U7100" i="12"/>
  <c r="T7101" i="12"/>
  <c r="U7101" i="12"/>
  <c r="T7102" i="12"/>
  <c r="U7102" i="12"/>
  <c r="T7103" i="12"/>
  <c r="U7103" i="12"/>
  <c r="T7104" i="12"/>
  <c r="U7104" i="12"/>
  <c r="T7105" i="12"/>
  <c r="U7105" i="12"/>
  <c r="T7106" i="12"/>
  <c r="U7106" i="12"/>
  <c r="T7107" i="12"/>
  <c r="U7107" i="12"/>
  <c r="T7108" i="12"/>
  <c r="U7108" i="12"/>
  <c r="T7109" i="12"/>
  <c r="U7109" i="12"/>
  <c r="T7110" i="12"/>
  <c r="U7110" i="12"/>
  <c r="T7111" i="12"/>
  <c r="U7111" i="12"/>
  <c r="T7112" i="12"/>
  <c r="U7112" i="12"/>
  <c r="T7113" i="12"/>
  <c r="U7113" i="12"/>
  <c r="T7114" i="12"/>
  <c r="U7114" i="12"/>
  <c r="T7115" i="12"/>
  <c r="U7115" i="12"/>
  <c r="T7116" i="12"/>
  <c r="U7116" i="12"/>
  <c r="T7117" i="12"/>
  <c r="U7117" i="12"/>
  <c r="T7118" i="12"/>
  <c r="U7118" i="12"/>
  <c r="T7119" i="12"/>
  <c r="U7119" i="12"/>
  <c r="T7120" i="12"/>
  <c r="U7120" i="12"/>
  <c r="T7121" i="12"/>
  <c r="U7121" i="12"/>
  <c r="T7122" i="12"/>
  <c r="U7122" i="12"/>
  <c r="T7123" i="12"/>
  <c r="U7123" i="12"/>
  <c r="T7124" i="12"/>
  <c r="U7124" i="12"/>
  <c r="T7125" i="12"/>
  <c r="U7125" i="12"/>
  <c r="T7126" i="12"/>
  <c r="U7126" i="12"/>
  <c r="T7127" i="12"/>
  <c r="U7127" i="12"/>
  <c r="T7128" i="12"/>
  <c r="U7128" i="12"/>
  <c r="T7129" i="12"/>
  <c r="U7129" i="12"/>
  <c r="T7130" i="12"/>
  <c r="U7130" i="12"/>
  <c r="T7131" i="12"/>
  <c r="U7131" i="12"/>
  <c r="T7132" i="12"/>
  <c r="U7132" i="12"/>
  <c r="T7133" i="12"/>
  <c r="U7133" i="12"/>
  <c r="T7134" i="12"/>
  <c r="U7134" i="12"/>
  <c r="T7135" i="12"/>
  <c r="U7135" i="12"/>
  <c r="T7136" i="12"/>
  <c r="U7136" i="12"/>
  <c r="T7137" i="12"/>
  <c r="U7137" i="12"/>
  <c r="T7138" i="12"/>
  <c r="U7138" i="12"/>
  <c r="T7139" i="12"/>
  <c r="U7139" i="12"/>
  <c r="T7140" i="12"/>
  <c r="U7140" i="12"/>
  <c r="T7141" i="12"/>
  <c r="U7141" i="12"/>
  <c r="T7142" i="12"/>
  <c r="U7142" i="12"/>
  <c r="T7143" i="12"/>
  <c r="U7143" i="12"/>
  <c r="T7144" i="12"/>
  <c r="U7144" i="12"/>
  <c r="T7145" i="12"/>
  <c r="U7145" i="12"/>
  <c r="T7146" i="12"/>
  <c r="U7146" i="12"/>
  <c r="T7147" i="12"/>
  <c r="U7147" i="12"/>
  <c r="T7148" i="12"/>
  <c r="U7148" i="12"/>
  <c r="T7149" i="12"/>
  <c r="U7149" i="12"/>
  <c r="T7150" i="12"/>
  <c r="U7150" i="12"/>
  <c r="T7151" i="12"/>
  <c r="U7151" i="12"/>
  <c r="T7152" i="12"/>
  <c r="U7152" i="12"/>
  <c r="T7153" i="12"/>
  <c r="U7153" i="12"/>
  <c r="T7154" i="12"/>
  <c r="U7154" i="12"/>
  <c r="T7155" i="12"/>
  <c r="U7155" i="12"/>
  <c r="T7156" i="12"/>
  <c r="U7156" i="12"/>
  <c r="T7157" i="12"/>
  <c r="U7157" i="12"/>
  <c r="T7158" i="12"/>
  <c r="U7158" i="12"/>
  <c r="T7159" i="12"/>
  <c r="U7159" i="12"/>
  <c r="T7160" i="12"/>
  <c r="U7160" i="12"/>
  <c r="T7161" i="12"/>
  <c r="U7161" i="12"/>
  <c r="T7162" i="12"/>
  <c r="U7162" i="12"/>
  <c r="T7163" i="12"/>
  <c r="U7163" i="12"/>
  <c r="T7164" i="12"/>
  <c r="U7164" i="12"/>
  <c r="T7165" i="12"/>
  <c r="U7165" i="12"/>
  <c r="T7166" i="12"/>
  <c r="U7166" i="12"/>
  <c r="T7167" i="12"/>
  <c r="U7167" i="12"/>
  <c r="T7168" i="12"/>
  <c r="U7168" i="12"/>
  <c r="T7169" i="12"/>
  <c r="U7169" i="12"/>
  <c r="T7170" i="12"/>
  <c r="U7170" i="12"/>
  <c r="T7171" i="12"/>
  <c r="U7171" i="12"/>
  <c r="T7172" i="12"/>
  <c r="U7172" i="12"/>
  <c r="T7173" i="12"/>
  <c r="U7173" i="12"/>
  <c r="T7174" i="12"/>
  <c r="U7174" i="12"/>
  <c r="T7175" i="12"/>
  <c r="U7175" i="12"/>
  <c r="T7176" i="12"/>
  <c r="U7176" i="12"/>
  <c r="T7177" i="12"/>
  <c r="U7177" i="12"/>
  <c r="T7178" i="12"/>
  <c r="U7178" i="12"/>
  <c r="T7179" i="12"/>
  <c r="U7179" i="12"/>
  <c r="T7180" i="12"/>
  <c r="U7180" i="12"/>
  <c r="T7181" i="12"/>
  <c r="U7181" i="12"/>
  <c r="T7182" i="12"/>
  <c r="U7182" i="12"/>
  <c r="T7183" i="12"/>
  <c r="U7183" i="12"/>
  <c r="T7184" i="12"/>
  <c r="U7184" i="12"/>
  <c r="T7185" i="12"/>
  <c r="U7185" i="12"/>
  <c r="T7186" i="12"/>
  <c r="U7186" i="12"/>
  <c r="T7187" i="12"/>
  <c r="U7187" i="12"/>
  <c r="T7188" i="12"/>
  <c r="U7188" i="12"/>
  <c r="T7189" i="12"/>
  <c r="U7189" i="12"/>
  <c r="T7190" i="12"/>
  <c r="U7190" i="12"/>
  <c r="T7191" i="12"/>
  <c r="U7191" i="12"/>
  <c r="T7192" i="12"/>
  <c r="U7192" i="12"/>
  <c r="T7193" i="12"/>
  <c r="U7193" i="12"/>
  <c r="T7194" i="12"/>
  <c r="U7194" i="12"/>
  <c r="T7195" i="12"/>
  <c r="U7195" i="12"/>
  <c r="T7196" i="12"/>
  <c r="U7196" i="12"/>
  <c r="T7197" i="12"/>
  <c r="U7197" i="12"/>
  <c r="T7198" i="12"/>
  <c r="U7198" i="12"/>
  <c r="T7199" i="12"/>
  <c r="U7199" i="12"/>
  <c r="T7200" i="12"/>
  <c r="U7200" i="12"/>
  <c r="T7201" i="12"/>
  <c r="U7201" i="12"/>
  <c r="T7202" i="12"/>
  <c r="U7202" i="12"/>
  <c r="T7203" i="12"/>
  <c r="U7203" i="12"/>
  <c r="T7204" i="12"/>
  <c r="U7204" i="12"/>
  <c r="T7205" i="12"/>
  <c r="U7205" i="12"/>
  <c r="T7206" i="12"/>
  <c r="U7206" i="12"/>
  <c r="T7207" i="12"/>
  <c r="U7207" i="12"/>
  <c r="T7208" i="12"/>
  <c r="U7208" i="12"/>
  <c r="T7209" i="12"/>
  <c r="U7209" i="12"/>
  <c r="T7210" i="12"/>
  <c r="U7210" i="12"/>
  <c r="T7211" i="12"/>
  <c r="U7211" i="12"/>
  <c r="T7212" i="12"/>
  <c r="U7212" i="12"/>
  <c r="T7213" i="12"/>
  <c r="U7213" i="12"/>
  <c r="T7214" i="12"/>
  <c r="U7214" i="12"/>
  <c r="T7215" i="12"/>
  <c r="U7215" i="12"/>
  <c r="T7216" i="12"/>
  <c r="U7216" i="12"/>
  <c r="T7217" i="12"/>
  <c r="U7217" i="12"/>
  <c r="T7218" i="12"/>
  <c r="U7218" i="12"/>
  <c r="T7219" i="12"/>
  <c r="U7219" i="12"/>
  <c r="T7220" i="12"/>
  <c r="U7220" i="12"/>
  <c r="T7221" i="12"/>
  <c r="U7221" i="12"/>
  <c r="T7222" i="12"/>
  <c r="U7222" i="12"/>
  <c r="T7223" i="12"/>
  <c r="U7223" i="12"/>
  <c r="T7224" i="12"/>
  <c r="U7224" i="12"/>
  <c r="T7225" i="12"/>
  <c r="U7225" i="12"/>
  <c r="T7226" i="12"/>
  <c r="U7226" i="12"/>
  <c r="T7227" i="12"/>
  <c r="U7227" i="12"/>
  <c r="T7228" i="12"/>
  <c r="U7228" i="12"/>
  <c r="T7229" i="12"/>
  <c r="U7229" i="12"/>
  <c r="T7230" i="12"/>
  <c r="U7230" i="12"/>
  <c r="T7231" i="12"/>
  <c r="U7231" i="12"/>
  <c r="T7232" i="12"/>
  <c r="U7232" i="12"/>
  <c r="T7233" i="12"/>
  <c r="U7233" i="12"/>
  <c r="T7234" i="12"/>
  <c r="U7234" i="12"/>
  <c r="T7235" i="12"/>
  <c r="U7235" i="12"/>
  <c r="T7236" i="12"/>
  <c r="U7236" i="12"/>
  <c r="T7237" i="12"/>
  <c r="U7237" i="12"/>
  <c r="T7238" i="12"/>
  <c r="U7238" i="12"/>
  <c r="T7239" i="12"/>
  <c r="U7239" i="12"/>
  <c r="T7240" i="12"/>
  <c r="U7240" i="12"/>
  <c r="T7241" i="12"/>
  <c r="U7241" i="12"/>
  <c r="T7242" i="12"/>
  <c r="U7242" i="12"/>
  <c r="T7243" i="12"/>
  <c r="U7243" i="12"/>
  <c r="T7244" i="12"/>
  <c r="U7244" i="12"/>
  <c r="T7245" i="12"/>
  <c r="U7245" i="12"/>
  <c r="T7246" i="12"/>
  <c r="U7246" i="12"/>
  <c r="T7247" i="12"/>
  <c r="U7247" i="12"/>
  <c r="T7248" i="12"/>
  <c r="U7248" i="12"/>
  <c r="T7249" i="12"/>
  <c r="U7249" i="12"/>
  <c r="T7250" i="12"/>
  <c r="U7250" i="12"/>
  <c r="T7251" i="12"/>
  <c r="U7251" i="12"/>
  <c r="T7252" i="12"/>
  <c r="U7252" i="12"/>
  <c r="T7253" i="12"/>
  <c r="U7253" i="12"/>
  <c r="T7254" i="12"/>
  <c r="U7254" i="12"/>
  <c r="T7255" i="12"/>
  <c r="U7255" i="12"/>
  <c r="T7256" i="12"/>
  <c r="U7256" i="12"/>
  <c r="T7257" i="12"/>
  <c r="U7257" i="12"/>
  <c r="T7258" i="12"/>
  <c r="U7258" i="12"/>
  <c r="T7259" i="12"/>
  <c r="U7259" i="12"/>
  <c r="T7260" i="12"/>
  <c r="U7260" i="12"/>
  <c r="T7261" i="12"/>
  <c r="U7261" i="12"/>
  <c r="T7262" i="12"/>
  <c r="U7262" i="12"/>
  <c r="T7263" i="12"/>
  <c r="U7263" i="12"/>
  <c r="T7264" i="12"/>
  <c r="U7264" i="12"/>
  <c r="T7265" i="12"/>
  <c r="U7265" i="12"/>
  <c r="T7266" i="12"/>
  <c r="U7266" i="12"/>
  <c r="T7267" i="12"/>
  <c r="U7267" i="12"/>
  <c r="T7268" i="12"/>
  <c r="U7268" i="12"/>
  <c r="T7269" i="12"/>
  <c r="U7269" i="12"/>
  <c r="T7270" i="12"/>
  <c r="U7270" i="12"/>
  <c r="T7271" i="12"/>
  <c r="U7271" i="12"/>
  <c r="T7272" i="12"/>
  <c r="U7272" i="12"/>
  <c r="T7273" i="12"/>
  <c r="U7273" i="12"/>
  <c r="T7274" i="12"/>
  <c r="U7274" i="12"/>
  <c r="T7275" i="12"/>
  <c r="U7275" i="12"/>
  <c r="T7276" i="12"/>
  <c r="U7276" i="12"/>
  <c r="T7277" i="12"/>
  <c r="U7277" i="12"/>
  <c r="T7278" i="12"/>
  <c r="U7278" i="12"/>
  <c r="T7279" i="12"/>
  <c r="U7279" i="12"/>
  <c r="T7280" i="12"/>
  <c r="U7280" i="12"/>
  <c r="T7281" i="12"/>
  <c r="U7281" i="12"/>
  <c r="T7282" i="12"/>
  <c r="U7282" i="12"/>
  <c r="T7283" i="12"/>
  <c r="U7283" i="12"/>
  <c r="T7284" i="12"/>
  <c r="U7284" i="12"/>
  <c r="T7285" i="12"/>
  <c r="U7285" i="12"/>
  <c r="T7286" i="12"/>
  <c r="U7286" i="12"/>
  <c r="T7287" i="12"/>
  <c r="U7287" i="12"/>
  <c r="T7288" i="12"/>
  <c r="U7288" i="12"/>
  <c r="T7289" i="12"/>
  <c r="U7289" i="12"/>
  <c r="T7290" i="12"/>
  <c r="U7290" i="12"/>
  <c r="T7291" i="12"/>
  <c r="U7291" i="12"/>
  <c r="T7292" i="12"/>
  <c r="U7292" i="12"/>
  <c r="T7293" i="12"/>
  <c r="U7293" i="12"/>
  <c r="T7294" i="12"/>
  <c r="U7294" i="12"/>
  <c r="T7295" i="12"/>
  <c r="U7295" i="12"/>
  <c r="T7296" i="12"/>
  <c r="U7296" i="12"/>
  <c r="T7297" i="12"/>
  <c r="U7297" i="12"/>
  <c r="T7298" i="12"/>
  <c r="U7298" i="12"/>
  <c r="T7299" i="12"/>
  <c r="U7299" i="12"/>
  <c r="T7300" i="12"/>
  <c r="U7300" i="12"/>
  <c r="T7301" i="12"/>
  <c r="U7301" i="12"/>
  <c r="T7302" i="12"/>
  <c r="U7302" i="12"/>
  <c r="T7303" i="12"/>
  <c r="U7303" i="12"/>
  <c r="T7304" i="12"/>
  <c r="U7304" i="12"/>
  <c r="T7305" i="12"/>
  <c r="U7305" i="12"/>
  <c r="T7306" i="12"/>
  <c r="U7306" i="12"/>
  <c r="T7307" i="12"/>
  <c r="U7307" i="12"/>
  <c r="T7308" i="12"/>
  <c r="U7308" i="12"/>
  <c r="T7309" i="12"/>
  <c r="U7309" i="12"/>
  <c r="T7310" i="12"/>
  <c r="U7310" i="12"/>
  <c r="T7311" i="12"/>
  <c r="U7311" i="12"/>
  <c r="T7312" i="12"/>
  <c r="U7312" i="12"/>
  <c r="T7313" i="12"/>
  <c r="U7313" i="12"/>
  <c r="T7314" i="12"/>
  <c r="U7314" i="12"/>
  <c r="T7315" i="12"/>
  <c r="U7315" i="12"/>
  <c r="T7316" i="12"/>
  <c r="U7316" i="12"/>
  <c r="T7317" i="12"/>
  <c r="U7317" i="12"/>
  <c r="T7318" i="12"/>
  <c r="U7318" i="12"/>
  <c r="T7319" i="12"/>
  <c r="U7319" i="12"/>
  <c r="T7320" i="12"/>
  <c r="U7320" i="12"/>
  <c r="T7321" i="12"/>
  <c r="U7321" i="12"/>
  <c r="T7322" i="12"/>
  <c r="U7322" i="12"/>
  <c r="T7323" i="12"/>
  <c r="U7323" i="12"/>
  <c r="T7324" i="12"/>
  <c r="U7324" i="12"/>
  <c r="T7325" i="12"/>
  <c r="U7325" i="12"/>
  <c r="T7326" i="12"/>
  <c r="U7326" i="12"/>
  <c r="T7327" i="12"/>
  <c r="U7327" i="12"/>
  <c r="T7328" i="12"/>
  <c r="U7328" i="12"/>
  <c r="T7329" i="12"/>
  <c r="U7329" i="12"/>
  <c r="T7330" i="12"/>
  <c r="U7330" i="12"/>
  <c r="T7331" i="12"/>
  <c r="U7331" i="12"/>
  <c r="T7332" i="12"/>
  <c r="U7332" i="12"/>
  <c r="T7333" i="12"/>
  <c r="U7333" i="12"/>
  <c r="T7334" i="12"/>
  <c r="U7334" i="12"/>
  <c r="T7335" i="12"/>
  <c r="U7335" i="12"/>
  <c r="T7336" i="12"/>
  <c r="U7336" i="12"/>
  <c r="T7337" i="12"/>
  <c r="U7337" i="12"/>
  <c r="T7338" i="12"/>
  <c r="U7338" i="12"/>
  <c r="T7339" i="12"/>
  <c r="U7339" i="12"/>
  <c r="T7340" i="12"/>
  <c r="U7340" i="12"/>
  <c r="T7341" i="12"/>
  <c r="U7341" i="12"/>
  <c r="T7342" i="12"/>
  <c r="U7342" i="12"/>
  <c r="T7343" i="12"/>
  <c r="U7343" i="12"/>
  <c r="T7344" i="12"/>
  <c r="U7344" i="12"/>
  <c r="T7345" i="12"/>
  <c r="U7345" i="12"/>
  <c r="T7346" i="12"/>
  <c r="U7346" i="12"/>
  <c r="T7347" i="12"/>
  <c r="U7347" i="12"/>
  <c r="T7348" i="12"/>
  <c r="U7348" i="12"/>
  <c r="T7349" i="12"/>
  <c r="U7349" i="12"/>
  <c r="T7350" i="12"/>
  <c r="U7350" i="12"/>
  <c r="T7351" i="12"/>
  <c r="U7351" i="12"/>
  <c r="T7352" i="12"/>
  <c r="U7352" i="12"/>
  <c r="T7353" i="12"/>
  <c r="U7353" i="12"/>
  <c r="T7354" i="12"/>
  <c r="U7354" i="12"/>
  <c r="T7355" i="12"/>
  <c r="U7355" i="12"/>
  <c r="T7356" i="12"/>
  <c r="U7356" i="12"/>
  <c r="T7357" i="12"/>
  <c r="U7357" i="12"/>
  <c r="T7358" i="12"/>
  <c r="U7358" i="12"/>
  <c r="T7359" i="12"/>
  <c r="U7359" i="12"/>
  <c r="T7360" i="12"/>
  <c r="U7360" i="12"/>
  <c r="T7361" i="12"/>
  <c r="U7361" i="12"/>
  <c r="T7362" i="12"/>
  <c r="U7362" i="12"/>
  <c r="T7363" i="12"/>
  <c r="U7363" i="12"/>
  <c r="T7364" i="12"/>
  <c r="U7364" i="12"/>
  <c r="T7365" i="12"/>
  <c r="U7365" i="12"/>
  <c r="T7366" i="12"/>
  <c r="U7366" i="12"/>
  <c r="T7367" i="12"/>
  <c r="U7367" i="12"/>
  <c r="T7368" i="12"/>
  <c r="U7368" i="12"/>
  <c r="T7369" i="12"/>
  <c r="U7369" i="12"/>
  <c r="T7370" i="12"/>
  <c r="U7370" i="12"/>
  <c r="T7371" i="12"/>
  <c r="U7371" i="12"/>
  <c r="T7372" i="12"/>
  <c r="U7372" i="12"/>
  <c r="T7373" i="12"/>
  <c r="U7373" i="12"/>
  <c r="T7374" i="12"/>
  <c r="U7374" i="12"/>
  <c r="T7375" i="12"/>
  <c r="U7375" i="12"/>
  <c r="T7376" i="12"/>
  <c r="U7376" i="12"/>
  <c r="T7377" i="12"/>
  <c r="U7377" i="12"/>
  <c r="T7378" i="12"/>
  <c r="U7378" i="12"/>
  <c r="T7379" i="12"/>
  <c r="U7379" i="12"/>
  <c r="T7380" i="12"/>
  <c r="U7380" i="12"/>
  <c r="T7381" i="12"/>
  <c r="U7381" i="12"/>
  <c r="T7382" i="12"/>
  <c r="U7382" i="12"/>
  <c r="T7383" i="12"/>
  <c r="U7383" i="12"/>
  <c r="T7384" i="12"/>
  <c r="U7384" i="12"/>
  <c r="T7385" i="12"/>
  <c r="U7385" i="12"/>
  <c r="T7386" i="12"/>
  <c r="U7386" i="12"/>
  <c r="T7387" i="12"/>
  <c r="U7387" i="12"/>
  <c r="T7388" i="12"/>
  <c r="U7388" i="12"/>
  <c r="T7389" i="12"/>
  <c r="U7389" i="12"/>
  <c r="T7390" i="12"/>
  <c r="U7390" i="12"/>
  <c r="T7391" i="12"/>
  <c r="U7391" i="12"/>
  <c r="T7392" i="12"/>
  <c r="U7392" i="12"/>
  <c r="T7393" i="12"/>
  <c r="U7393" i="12"/>
  <c r="T7394" i="12"/>
  <c r="U7394" i="12"/>
  <c r="T7395" i="12"/>
  <c r="U7395" i="12"/>
  <c r="T7396" i="12"/>
  <c r="U7396" i="12"/>
  <c r="T7397" i="12"/>
  <c r="U7397" i="12"/>
  <c r="T7398" i="12"/>
  <c r="U7398" i="12"/>
  <c r="T7399" i="12"/>
  <c r="U7399" i="12"/>
  <c r="T7400" i="12"/>
  <c r="U7400" i="12"/>
  <c r="T7401" i="12"/>
  <c r="U7401" i="12"/>
  <c r="T7402" i="12"/>
  <c r="U7402" i="12"/>
  <c r="T7403" i="12"/>
  <c r="U7403" i="12"/>
  <c r="T7404" i="12"/>
  <c r="U7404" i="12"/>
  <c r="T7405" i="12"/>
  <c r="U7405" i="12"/>
  <c r="T7406" i="12"/>
  <c r="U7406" i="12"/>
  <c r="T7407" i="12"/>
  <c r="U7407" i="12"/>
  <c r="T7408" i="12"/>
  <c r="U7408" i="12"/>
  <c r="T7409" i="12"/>
  <c r="U7409" i="12"/>
  <c r="T7410" i="12"/>
  <c r="U7410" i="12"/>
  <c r="T7411" i="12"/>
  <c r="U7411" i="12"/>
  <c r="T7412" i="12"/>
  <c r="U7412" i="12"/>
  <c r="T7413" i="12"/>
  <c r="U7413" i="12"/>
  <c r="T7414" i="12"/>
  <c r="U7414" i="12"/>
  <c r="T7415" i="12"/>
  <c r="U7415" i="12"/>
  <c r="T7416" i="12"/>
  <c r="U7416" i="12"/>
  <c r="T7417" i="12"/>
  <c r="U7417" i="12"/>
  <c r="T7418" i="12"/>
  <c r="U7418" i="12"/>
  <c r="T7419" i="12"/>
  <c r="U7419" i="12"/>
  <c r="T7420" i="12"/>
  <c r="U7420" i="12"/>
  <c r="T7421" i="12"/>
  <c r="U7421" i="12"/>
  <c r="T7422" i="12"/>
  <c r="U7422" i="12"/>
  <c r="T7423" i="12"/>
  <c r="U7423" i="12"/>
  <c r="T7424" i="12"/>
  <c r="U7424" i="12"/>
  <c r="T7425" i="12"/>
  <c r="U7425" i="12"/>
  <c r="T7426" i="12"/>
  <c r="U7426" i="12"/>
  <c r="T7427" i="12"/>
  <c r="U7427" i="12"/>
  <c r="T7428" i="12"/>
  <c r="U7428" i="12"/>
  <c r="T7429" i="12"/>
  <c r="U7429" i="12"/>
  <c r="T7430" i="12"/>
  <c r="U7430" i="12"/>
  <c r="T7431" i="12"/>
  <c r="U7431" i="12"/>
  <c r="T7432" i="12"/>
  <c r="U7432" i="12"/>
  <c r="T7433" i="12"/>
  <c r="U7433" i="12"/>
  <c r="T7434" i="12"/>
  <c r="U7434" i="12"/>
  <c r="T7435" i="12"/>
  <c r="U7435" i="12"/>
  <c r="T7436" i="12"/>
  <c r="U7436" i="12"/>
  <c r="T7437" i="12"/>
  <c r="U7437" i="12"/>
  <c r="T7438" i="12"/>
  <c r="U7438" i="12"/>
  <c r="T7439" i="12"/>
  <c r="U7439" i="12"/>
  <c r="T7440" i="12"/>
  <c r="U7440" i="12"/>
  <c r="T7441" i="12"/>
  <c r="U7441" i="12"/>
  <c r="T7442" i="12"/>
  <c r="U7442" i="12"/>
  <c r="T7443" i="12"/>
  <c r="U7443" i="12"/>
  <c r="T7444" i="12"/>
  <c r="U7444" i="12"/>
  <c r="T7445" i="12"/>
  <c r="U7445" i="12"/>
  <c r="T7446" i="12"/>
  <c r="U7446" i="12"/>
  <c r="T7447" i="12"/>
  <c r="U7447" i="12"/>
  <c r="T7448" i="12"/>
  <c r="U7448" i="12"/>
  <c r="T7449" i="12"/>
  <c r="U7449" i="12"/>
  <c r="T7450" i="12"/>
  <c r="U7450" i="12"/>
  <c r="T7451" i="12"/>
  <c r="U7451" i="12"/>
  <c r="T7452" i="12"/>
  <c r="U7452" i="12"/>
  <c r="T7453" i="12"/>
  <c r="U7453" i="12"/>
  <c r="T7454" i="12"/>
  <c r="U7454" i="12"/>
  <c r="T7455" i="12"/>
  <c r="U7455" i="12"/>
  <c r="T7456" i="12"/>
  <c r="U7456" i="12"/>
  <c r="T7457" i="12"/>
  <c r="U7457" i="12"/>
  <c r="T7458" i="12"/>
  <c r="U7458" i="12"/>
  <c r="T7459" i="12"/>
  <c r="U7459" i="12"/>
  <c r="T7460" i="12"/>
  <c r="U7460" i="12"/>
  <c r="T7461" i="12"/>
  <c r="U7461" i="12"/>
  <c r="T7462" i="12"/>
  <c r="U7462" i="12"/>
  <c r="T7463" i="12"/>
  <c r="U7463" i="12"/>
  <c r="T7464" i="12"/>
  <c r="U7464" i="12"/>
  <c r="T7465" i="12"/>
  <c r="U7465" i="12"/>
  <c r="T7466" i="12"/>
  <c r="U7466" i="12"/>
  <c r="T7467" i="12"/>
  <c r="U7467" i="12"/>
  <c r="T7468" i="12"/>
  <c r="U7468" i="12"/>
  <c r="T7469" i="12"/>
  <c r="U7469" i="12"/>
  <c r="T7470" i="12"/>
  <c r="U7470" i="12"/>
  <c r="T7471" i="12"/>
  <c r="U7471" i="12"/>
  <c r="T7472" i="12"/>
  <c r="U7472" i="12"/>
  <c r="T7473" i="12"/>
  <c r="U7473" i="12"/>
  <c r="T7474" i="12"/>
  <c r="U7474" i="12"/>
  <c r="T7475" i="12"/>
  <c r="U7475" i="12"/>
  <c r="T7476" i="12"/>
  <c r="U7476" i="12"/>
  <c r="T7477" i="12"/>
  <c r="U7477" i="12"/>
  <c r="T7478" i="12"/>
  <c r="U7478" i="12"/>
  <c r="T7479" i="12"/>
  <c r="U7479" i="12"/>
  <c r="T7480" i="12"/>
  <c r="U7480" i="12"/>
  <c r="T7481" i="12"/>
  <c r="U7481" i="12"/>
  <c r="T7482" i="12"/>
  <c r="U7482" i="12"/>
  <c r="T7483" i="12"/>
  <c r="U7483" i="12"/>
  <c r="T7484" i="12"/>
  <c r="U7484" i="12"/>
  <c r="T7485" i="12"/>
  <c r="U7485" i="12"/>
  <c r="T7486" i="12"/>
  <c r="U7486" i="12"/>
  <c r="T7487" i="12"/>
  <c r="U7487" i="12"/>
  <c r="T7488" i="12"/>
  <c r="U7488" i="12"/>
  <c r="T7489" i="12"/>
  <c r="U7489" i="12"/>
  <c r="T7490" i="12"/>
  <c r="U7490" i="12"/>
  <c r="T7491" i="12"/>
  <c r="U7491" i="12"/>
  <c r="T7492" i="12"/>
  <c r="U7492" i="12"/>
  <c r="T7493" i="12"/>
  <c r="U7493" i="12"/>
  <c r="T7494" i="12"/>
  <c r="U7494" i="12"/>
  <c r="T7495" i="12"/>
  <c r="U7495" i="12"/>
  <c r="T7496" i="12"/>
  <c r="U7496" i="12"/>
  <c r="T7497" i="12"/>
  <c r="U7497" i="12"/>
  <c r="T7498" i="12"/>
  <c r="U7498" i="12"/>
  <c r="T7499" i="12"/>
  <c r="U7499" i="12"/>
  <c r="T7500" i="12"/>
  <c r="U7500" i="12"/>
  <c r="T7501" i="12"/>
  <c r="U7501" i="12"/>
  <c r="T7502" i="12"/>
  <c r="U7502" i="12"/>
  <c r="T7503" i="12"/>
  <c r="U7503" i="12"/>
  <c r="T7504" i="12"/>
  <c r="U7504" i="12"/>
  <c r="T7505" i="12"/>
  <c r="U7505" i="12"/>
  <c r="T7506" i="12"/>
  <c r="U7506" i="12"/>
  <c r="T7507" i="12"/>
  <c r="U7507" i="12"/>
  <c r="T7508" i="12"/>
  <c r="U7508" i="12"/>
  <c r="T7509" i="12"/>
  <c r="U7509" i="12"/>
  <c r="T7510" i="12"/>
  <c r="U7510" i="12"/>
  <c r="T7511" i="12"/>
  <c r="U7511" i="12"/>
  <c r="T7512" i="12"/>
  <c r="U7512" i="12"/>
  <c r="T7513" i="12"/>
  <c r="U7513" i="12"/>
  <c r="T7514" i="12"/>
  <c r="U7514" i="12"/>
  <c r="T7515" i="12"/>
  <c r="U7515" i="12"/>
  <c r="T7516" i="12"/>
  <c r="U7516" i="12"/>
  <c r="T7517" i="12"/>
  <c r="U7517" i="12"/>
  <c r="T7518" i="12"/>
  <c r="U7518" i="12"/>
  <c r="T7519" i="12"/>
  <c r="U7519" i="12"/>
  <c r="T7520" i="12"/>
  <c r="U7520" i="12"/>
  <c r="T7521" i="12"/>
  <c r="U7521" i="12"/>
  <c r="T7522" i="12"/>
  <c r="U7522" i="12"/>
  <c r="T7523" i="12"/>
  <c r="U7523" i="12"/>
  <c r="T7524" i="12"/>
  <c r="U7524" i="12"/>
  <c r="T7525" i="12"/>
  <c r="U7525" i="12"/>
  <c r="T7526" i="12"/>
  <c r="U7526" i="12"/>
  <c r="T7527" i="12"/>
  <c r="U7527" i="12"/>
  <c r="T7528" i="12"/>
  <c r="U7528" i="12"/>
  <c r="T7529" i="12"/>
  <c r="U7529" i="12"/>
  <c r="T7530" i="12"/>
  <c r="U7530" i="12"/>
  <c r="T7531" i="12"/>
  <c r="U7531" i="12"/>
  <c r="T7532" i="12"/>
  <c r="U7532" i="12"/>
  <c r="T7533" i="12"/>
  <c r="U7533" i="12"/>
  <c r="T7534" i="12"/>
  <c r="U7534" i="12"/>
  <c r="T7535" i="12"/>
  <c r="U7535" i="12"/>
  <c r="T7536" i="12"/>
  <c r="U7536" i="12"/>
  <c r="T7537" i="12"/>
  <c r="U7537" i="12"/>
  <c r="T7538" i="12"/>
  <c r="U7538" i="12"/>
  <c r="T7539" i="12"/>
  <c r="U7539" i="12"/>
  <c r="T7540" i="12"/>
  <c r="U7540" i="12"/>
  <c r="T7541" i="12"/>
  <c r="U7541" i="12"/>
  <c r="T7542" i="12"/>
  <c r="U7542" i="12"/>
  <c r="T7543" i="12"/>
  <c r="U7543" i="12"/>
  <c r="T7544" i="12"/>
  <c r="U7544" i="12"/>
  <c r="T7545" i="12"/>
  <c r="U7545" i="12"/>
  <c r="T7546" i="12"/>
  <c r="U7546" i="12"/>
  <c r="T7547" i="12"/>
  <c r="U7547" i="12"/>
  <c r="T7548" i="12"/>
  <c r="U7548" i="12"/>
  <c r="T7549" i="12"/>
  <c r="U7549" i="12"/>
  <c r="T7550" i="12"/>
  <c r="U7550" i="12"/>
  <c r="T7551" i="12"/>
  <c r="U7551" i="12"/>
  <c r="T7552" i="12"/>
  <c r="U7552" i="12"/>
  <c r="T7553" i="12"/>
  <c r="U7553" i="12"/>
  <c r="T7554" i="12"/>
  <c r="U7554" i="12"/>
  <c r="T7555" i="12"/>
  <c r="U7555" i="12"/>
  <c r="T7556" i="12"/>
  <c r="U7556" i="12"/>
  <c r="T7557" i="12"/>
  <c r="U7557" i="12"/>
  <c r="T7558" i="12"/>
  <c r="U7558" i="12"/>
  <c r="T7559" i="12"/>
  <c r="U7559" i="12"/>
  <c r="T7560" i="12"/>
  <c r="U7560" i="12"/>
  <c r="T7561" i="12"/>
  <c r="U7561" i="12"/>
  <c r="T7562" i="12"/>
  <c r="U7562" i="12"/>
  <c r="T7563" i="12"/>
  <c r="U7563" i="12"/>
  <c r="T7564" i="12"/>
  <c r="U7564" i="12"/>
  <c r="T7565" i="12"/>
  <c r="U7565" i="12"/>
  <c r="T7566" i="12"/>
  <c r="U7566" i="12"/>
  <c r="T7567" i="12"/>
  <c r="U7567" i="12"/>
  <c r="T7568" i="12"/>
  <c r="U7568" i="12"/>
  <c r="T7569" i="12"/>
  <c r="U7569" i="12"/>
  <c r="T7570" i="12"/>
  <c r="U7570" i="12"/>
  <c r="T7571" i="12"/>
  <c r="U7571" i="12"/>
  <c r="T7572" i="12"/>
  <c r="U7572" i="12"/>
  <c r="T7573" i="12"/>
  <c r="U7573" i="12"/>
  <c r="T7574" i="12"/>
  <c r="U7574" i="12"/>
  <c r="T7575" i="12"/>
  <c r="U7575" i="12"/>
  <c r="T7576" i="12"/>
  <c r="U7576" i="12"/>
  <c r="T7577" i="12"/>
  <c r="U7577" i="12"/>
  <c r="T7578" i="12"/>
  <c r="U7578" i="12"/>
  <c r="T7579" i="12"/>
  <c r="U7579" i="12"/>
  <c r="T7580" i="12"/>
  <c r="U7580" i="12"/>
  <c r="T7581" i="12"/>
  <c r="U7581" i="12"/>
  <c r="T7582" i="12"/>
  <c r="U7582" i="12"/>
  <c r="T7583" i="12"/>
  <c r="U7583" i="12"/>
  <c r="T7584" i="12"/>
  <c r="U7584" i="12"/>
  <c r="T7585" i="12"/>
  <c r="U7585" i="12"/>
  <c r="T7586" i="12"/>
  <c r="U7586" i="12"/>
  <c r="T7587" i="12"/>
  <c r="U7587" i="12"/>
  <c r="T7588" i="12"/>
  <c r="U7588" i="12"/>
  <c r="T7589" i="12"/>
  <c r="U7589" i="12"/>
  <c r="T7590" i="12"/>
  <c r="U7590" i="12"/>
  <c r="T7591" i="12"/>
  <c r="U7591" i="12"/>
  <c r="T7592" i="12"/>
  <c r="U7592" i="12"/>
  <c r="T7593" i="12"/>
  <c r="U7593" i="12"/>
  <c r="T7594" i="12"/>
  <c r="U7594" i="12"/>
  <c r="T7595" i="12"/>
  <c r="U7595" i="12"/>
  <c r="T7596" i="12"/>
  <c r="U7596" i="12"/>
  <c r="T7597" i="12"/>
  <c r="U7597" i="12"/>
  <c r="T7598" i="12"/>
  <c r="U7598" i="12"/>
  <c r="T7599" i="12"/>
  <c r="U7599" i="12"/>
  <c r="T7600" i="12"/>
  <c r="U7600" i="12"/>
  <c r="T7601" i="12"/>
  <c r="U7601" i="12"/>
  <c r="T7602" i="12"/>
  <c r="U7602" i="12"/>
  <c r="T7603" i="12"/>
  <c r="U7603" i="12"/>
  <c r="T7604" i="12"/>
  <c r="U7604" i="12"/>
  <c r="T7605" i="12"/>
  <c r="U7605" i="12"/>
  <c r="T7606" i="12"/>
  <c r="U7606" i="12"/>
  <c r="T7607" i="12"/>
  <c r="U7607" i="12"/>
  <c r="T7608" i="12"/>
  <c r="U7608" i="12"/>
  <c r="T7609" i="12"/>
  <c r="U7609" i="12"/>
  <c r="T7610" i="12"/>
  <c r="U7610" i="12"/>
  <c r="T7611" i="12"/>
  <c r="U7611" i="12"/>
  <c r="T7612" i="12"/>
  <c r="U7612" i="12"/>
  <c r="T7613" i="12"/>
  <c r="U7613" i="12"/>
  <c r="T7614" i="12"/>
  <c r="U7614" i="12"/>
  <c r="T7615" i="12"/>
  <c r="U7615" i="12"/>
  <c r="T7616" i="12"/>
  <c r="U7616" i="12"/>
  <c r="T7617" i="12"/>
  <c r="U7617" i="12"/>
  <c r="T7618" i="12"/>
  <c r="U7618" i="12"/>
  <c r="T7619" i="12"/>
  <c r="U7619" i="12"/>
  <c r="T7620" i="12"/>
  <c r="U7620" i="12"/>
  <c r="T7621" i="12"/>
  <c r="U7621" i="12"/>
  <c r="T7622" i="12"/>
  <c r="U7622" i="12"/>
  <c r="T7623" i="12"/>
  <c r="U7623" i="12"/>
  <c r="T7624" i="12"/>
  <c r="U7624" i="12"/>
  <c r="T7625" i="12"/>
  <c r="U7625" i="12"/>
  <c r="T7626" i="12"/>
  <c r="U7626" i="12"/>
  <c r="T7627" i="12"/>
  <c r="U7627" i="12"/>
  <c r="T7628" i="12"/>
  <c r="U7628" i="12"/>
  <c r="T7629" i="12"/>
  <c r="U7629" i="12"/>
  <c r="T7630" i="12"/>
  <c r="U7630" i="12"/>
  <c r="T7631" i="12"/>
  <c r="U7631" i="12"/>
  <c r="T7632" i="12"/>
  <c r="U7632" i="12"/>
  <c r="T7633" i="12"/>
  <c r="U7633" i="12"/>
  <c r="T7634" i="12"/>
  <c r="U7634" i="12"/>
  <c r="T7635" i="12"/>
  <c r="U7635" i="12"/>
  <c r="T7636" i="12"/>
  <c r="U7636" i="12"/>
  <c r="T7637" i="12"/>
  <c r="U7637" i="12"/>
  <c r="T7638" i="12"/>
  <c r="U7638" i="12"/>
  <c r="T7639" i="12"/>
  <c r="U7639" i="12"/>
  <c r="T7640" i="12"/>
  <c r="U7640" i="12"/>
  <c r="T7641" i="12"/>
  <c r="U7641" i="12"/>
  <c r="T7642" i="12"/>
  <c r="U7642" i="12"/>
  <c r="T7643" i="12"/>
  <c r="U7643" i="12"/>
  <c r="T7644" i="12"/>
  <c r="U7644" i="12"/>
  <c r="T7645" i="12"/>
  <c r="U7645" i="12"/>
  <c r="T7646" i="12"/>
  <c r="U7646" i="12"/>
  <c r="T7647" i="12"/>
  <c r="U7647" i="12"/>
  <c r="T7648" i="12"/>
  <c r="U7648" i="12"/>
  <c r="T7649" i="12"/>
  <c r="U7649" i="12"/>
  <c r="T7650" i="12"/>
  <c r="U7650" i="12"/>
  <c r="T7651" i="12"/>
  <c r="U7651" i="12"/>
  <c r="T7652" i="12"/>
  <c r="U7652" i="12"/>
  <c r="T7653" i="12"/>
  <c r="U7653" i="12"/>
  <c r="T7654" i="12"/>
  <c r="U7654" i="12"/>
  <c r="T7655" i="12"/>
  <c r="U7655" i="12"/>
  <c r="T7656" i="12"/>
  <c r="U7656" i="12"/>
  <c r="T7657" i="12"/>
  <c r="U7657" i="12"/>
  <c r="T7658" i="12"/>
  <c r="U7658" i="12"/>
  <c r="T7659" i="12"/>
  <c r="U7659" i="12"/>
  <c r="T7660" i="12"/>
  <c r="U7660" i="12"/>
  <c r="T7661" i="12"/>
  <c r="U7661" i="12"/>
  <c r="T7662" i="12"/>
  <c r="U7662" i="12"/>
  <c r="T7663" i="12"/>
  <c r="U7663" i="12"/>
  <c r="T7664" i="12"/>
  <c r="U7664" i="12"/>
  <c r="T7665" i="12"/>
  <c r="U7665" i="12"/>
  <c r="T7666" i="12"/>
  <c r="U7666" i="12"/>
  <c r="T7667" i="12"/>
  <c r="U7667" i="12"/>
  <c r="T7668" i="12"/>
  <c r="U7668" i="12"/>
  <c r="T7669" i="12"/>
  <c r="U7669" i="12"/>
  <c r="T7670" i="12"/>
  <c r="U7670" i="12"/>
  <c r="T7671" i="12"/>
  <c r="U7671" i="12"/>
  <c r="T7672" i="12"/>
  <c r="U7672" i="12"/>
  <c r="T7673" i="12"/>
  <c r="U7673" i="12"/>
  <c r="T7674" i="12"/>
  <c r="U7674" i="12"/>
  <c r="T7675" i="12"/>
  <c r="U7675" i="12"/>
  <c r="T7676" i="12"/>
  <c r="U7676" i="12"/>
  <c r="T7677" i="12"/>
  <c r="U7677" i="12"/>
  <c r="T7678" i="12"/>
  <c r="U7678" i="12"/>
  <c r="T7679" i="12"/>
  <c r="U7679" i="12"/>
  <c r="T7680" i="12"/>
  <c r="U7680" i="12"/>
  <c r="T7681" i="12"/>
  <c r="U7681" i="12"/>
  <c r="T7682" i="12"/>
  <c r="U7682" i="12"/>
  <c r="T7683" i="12"/>
  <c r="U7683" i="12"/>
  <c r="T7684" i="12"/>
  <c r="U7684" i="12"/>
  <c r="T7685" i="12"/>
  <c r="U7685" i="12"/>
  <c r="T7686" i="12"/>
  <c r="U7686" i="12"/>
  <c r="T7687" i="12"/>
  <c r="U7687" i="12"/>
  <c r="T7688" i="12"/>
  <c r="U7688" i="12"/>
  <c r="T7689" i="12"/>
  <c r="U7689" i="12"/>
  <c r="T7690" i="12"/>
  <c r="U7690" i="12"/>
  <c r="T7691" i="12"/>
  <c r="U7691" i="12"/>
  <c r="T7692" i="12"/>
  <c r="U7692" i="12"/>
  <c r="T7693" i="12"/>
  <c r="U7693" i="12"/>
  <c r="T7694" i="12"/>
  <c r="U7694" i="12"/>
  <c r="T7695" i="12"/>
  <c r="U7695" i="12"/>
  <c r="T7696" i="12"/>
  <c r="U7696" i="12"/>
  <c r="T7697" i="12"/>
  <c r="U7697" i="12"/>
  <c r="T7698" i="12"/>
  <c r="U7698" i="12"/>
  <c r="T7699" i="12"/>
  <c r="U7699" i="12"/>
  <c r="T7700" i="12"/>
  <c r="U7700" i="12"/>
  <c r="T7701" i="12"/>
  <c r="U7701" i="12"/>
  <c r="T7702" i="12"/>
  <c r="U7702" i="12"/>
  <c r="T7703" i="12"/>
  <c r="U7703" i="12"/>
  <c r="T7704" i="12"/>
  <c r="U7704" i="12"/>
  <c r="T7705" i="12"/>
  <c r="U7705" i="12"/>
  <c r="T7706" i="12"/>
  <c r="U7706" i="12"/>
  <c r="T7707" i="12"/>
  <c r="U7707" i="12"/>
  <c r="T7708" i="12"/>
  <c r="U7708" i="12"/>
  <c r="T7709" i="12"/>
  <c r="U7709" i="12"/>
  <c r="T7710" i="12"/>
  <c r="U7710" i="12"/>
  <c r="T7711" i="12"/>
  <c r="U7711" i="12"/>
  <c r="T7712" i="12"/>
  <c r="U7712" i="12"/>
  <c r="T7713" i="12"/>
  <c r="U7713" i="12"/>
  <c r="T7714" i="12"/>
  <c r="U7714" i="12"/>
  <c r="T7715" i="12"/>
  <c r="U7715" i="12"/>
  <c r="T7716" i="12"/>
  <c r="U7716" i="12"/>
  <c r="T7717" i="12"/>
  <c r="U7717" i="12"/>
  <c r="T7718" i="12"/>
  <c r="U7718" i="12"/>
  <c r="T7719" i="12"/>
  <c r="U7719" i="12"/>
  <c r="T7720" i="12"/>
  <c r="U7720" i="12"/>
  <c r="T7721" i="12"/>
  <c r="U7721" i="12"/>
  <c r="T7722" i="12"/>
  <c r="U7722" i="12"/>
  <c r="T7723" i="12"/>
  <c r="U7723" i="12"/>
  <c r="T7724" i="12"/>
  <c r="U7724" i="12"/>
  <c r="T7725" i="12"/>
  <c r="U7725" i="12"/>
  <c r="T7726" i="12"/>
  <c r="U7726" i="12"/>
  <c r="T7727" i="12"/>
  <c r="U7727" i="12"/>
  <c r="T7728" i="12"/>
  <c r="U7728" i="12"/>
  <c r="T7729" i="12"/>
  <c r="U7729" i="12"/>
  <c r="T7730" i="12"/>
  <c r="U7730" i="12"/>
  <c r="T7731" i="12"/>
  <c r="U7731" i="12"/>
  <c r="T7732" i="12"/>
  <c r="U7732" i="12"/>
  <c r="T7733" i="12"/>
  <c r="U7733" i="12"/>
  <c r="T7734" i="12"/>
  <c r="U7734" i="12"/>
  <c r="T7735" i="12"/>
  <c r="U7735" i="12"/>
  <c r="T7736" i="12"/>
  <c r="U7736" i="12"/>
  <c r="T7737" i="12"/>
  <c r="U7737" i="12"/>
  <c r="T7738" i="12"/>
  <c r="U7738" i="12"/>
  <c r="T7739" i="12"/>
  <c r="U7739" i="12"/>
  <c r="T7740" i="12"/>
  <c r="U7740" i="12"/>
  <c r="T7741" i="12"/>
  <c r="U7741" i="12"/>
  <c r="T7742" i="12"/>
  <c r="U7742" i="12"/>
  <c r="T7743" i="12"/>
  <c r="U7743" i="12"/>
  <c r="T7744" i="12"/>
  <c r="U7744" i="12"/>
  <c r="T7745" i="12"/>
  <c r="U7745" i="12"/>
  <c r="T7746" i="12"/>
  <c r="U7746" i="12"/>
  <c r="T7747" i="12"/>
  <c r="U7747" i="12"/>
  <c r="T7748" i="12"/>
  <c r="U7748" i="12"/>
  <c r="T7749" i="12"/>
  <c r="U7749" i="12"/>
  <c r="T7750" i="12"/>
  <c r="U7750" i="12"/>
  <c r="T7751" i="12"/>
  <c r="U7751" i="12"/>
  <c r="T7752" i="12"/>
  <c r="U7752" i="12"/>
  <c r="T7753" i="12"/>
  <c r="U7753" i="12"/>
  <c r="T7754" i="12"/>
  <c r="U7754" i="12"/>
  <c r="T7755" i="12"/>
  <c r="U7755" i="12"/>
  <c r="T7756" i="12"/>
  <c r="U7756" i="12"/>
  <c r="T7757" i="12"/>
  <c r="U7757" i="12"/>
  <c r="T7758" i="12"/>
  <c r="U7758" i="12"/>
  <c r="T7759" i="12"/>
  <c r="U7759" i="12"/>
  <c r="T7760" i="12"/>
  <c r="U7760" i="12"/>
  <c r="T7761" i="12"/>
  <c r="U7761" i="12"/>
  <c r="T7762" i="12"/>
  <c r="U7762" i="12"/>
  <c r="T7763" i="12"/>
  <c r="U7763" i="12"/>
  <c r="T7764" i="12"/>
  <c r="U7764" i="12"/>
  <c r="T7765" i="12"/>
  <c r="U7765" i="12"/>
  <c r="T7766" i="12"/>
  <c r="U7766" i="12"/>
  <c r="T7767" i="12"/>
  <c r="U7767" i="12"/>
  <c r="T7768" i="12"/>
  <c r="U7768" i="12"/>
  <c r="T7769" i="12"/>
  <c r="U7769" i="12"/>
  <c r="T7770" i="12"/>
  <c r="U7770" i="12"/>
  <c r="T7771" i="12"/>
  <c r="U7771" i="12"/>
  <c r="T7772" i="12"/>
  <c r="U7772" i="12"/>
  <c r="T7773" i="12"/>
  <c r="U7773" i="12"/>
  <c r="T7774" i="12"/>
  <c r="U7774" i="12"/>
  <c r="T7775" i="12"/>
  <c r="U7775" i="12"/>
  <c r="T7776" i="12"/>
  <c r="U7776" i="12"/>
  <c r="T7777" i="12"/>
  <c r="U7777" i="12"/>
  <c r="T7778" i="12"/>
  <c r="U7778" i="12"/>
  <c r="T7779" i="12"/>
  <c r="U7779" i="12"/>
  <c r="T7780" i="12"/>
  <c r="U7780" i="12"/>
  <c r="T7781" i="12"/>
  <c r="U7781" i="12"/>
  <c r="T7782" i="12"/>
  <c r="U7782" i="12"/>
  <c r="T7783" i="12"/>
  <c r="U7783" i="12"/>
  <c r="T7784" i="12"/>
  <c r="U7784" i="12"/>
  <c r="T7785" i="12"/>
  <c r="U7785" i="12"/>
  <c r="T7786" i="12"/>
  <c r="U7786" i="12"/>
  <c r="T7787" i="12"/>
  <c r="U7787" i="12"/>
  <c r="T7788" i="12"/>
  <c r="U7788" i="12"/>
  <c r="T7789" i="12"/>
  <c r="U7789" i="12"/>
  <c r="T7790" i="12"/>
  <c r="U7790" i="12"/>
  <c r="T7791" i="12"/>
  <c r="U7791" i="12"/>
  <c r="T7792" i="12"/>
  <c r="U7792" i="12"/>
  <c r="T7793" i="12"/>
  <c r="U7793" i="12"/>
  <c r="T7794" i="12"/>
  <c r="U7794" i="12"/>
  <c r="T7795" i="12"/>
  <c r="U7795" i="12"/>
  <c r="T7796" i="12"/>
  <c r="U7796" i="12"/>
  <c r="T7797" i="12"/>
  <c r="U7797" i="12"/>
  <c r="T7798" i="12"/>
  <c r="U7798" i="12"/>
  <c r="T7799" i="12"/>
  <c r="U7799" i="12"/>
  <c r="T7800" i="12"/>
  <c r="U7800" i="12"/>
  <c r="T7801" i="12"/>
  <c r="U7801" i="12"/>
  <c r="T7802" i="12"/>
  <c r="U7802" i="12"/>
  <c r="T7803" i="12"/>
  <c r="U7803" i="12"/>
  <c r="T7804" i="12"/>
  <c r="U7804" i="12"/>
  <c r="T7805" i="12"/>
  <c r="U7805" i="12"/>
  <c r="T7806" i="12"/>
  <c r="U7806" i="12"/>
  <c r="T7807" i="12"/>
  <c r="U7807" i="12"/>
  <c r="T7808" i="12"/>
  <c r="U7808" i="12"/>
  <c r="T7809" i="12"/>
  <c r="U7809" i="12"/>
  <c r="T7810" i="12"/>
  <c r="U7810" i="12"/>
  <c r="T7811" i="12"/>
  <c r="U7811" i="12"/>
  <c r="T7812" i="12"/>
  <c r="U7812" i="12"/>
  <c r="T7813" i="12"/>
  <c r="U7813" i="12"/>
  <c r="T7814" i="12"/>
  <c r="U7814" i="12"/>
  <c r="T7815" i="12"/>
  <c r="U7815" i="12"/>
  <c r="T7816" i="12"/>
  <c r="U7816" i="12"/>
  <c r="T7817" i="12"/>
  <c r="U7817" i="12"/>
  <c r="T7818" i="12"/>
  <c r="U7818" i="12"/>
  <c r="T7819" i="12"/>
  <c r="U7819" i="12"/>
  <c r="T7820" i="12"/>
  <c r="U7820" i="12"/>
  <c r="T7821" i="12"/>
  <c r="U7821" i="12"/>
  <c r="T7822" i="12"/>
  <c r="U7822" i="12"/>
  <c r="T7823" i="12"/>
  <c r="U7823" i="12"/>
  <c r="T7824" i="12"/>
  <c r="U7824" i="12"/>
  <c r="T7825" i="12"/>
  <c r="U7825" i="12"/>
  <c r="T7826" i="12"/>
  <c r="U7826" i="12"/>
  <c r="T7827" i="12"/>
  <c r="U7827" i="12"/>
  <c r="T7828" i="12"/>
  <c r="U7828" i="12"/>
  <c r="T7829" i="12"/>
  <c r="U7829" i="12"/>
  <c r="T7830" i="12"/>
  <c r="U7830" i="12"/>
  <c r="T7831" i="12"/>
  <c r="U7831" i="12"/>
  <c r="T7832" i="12"/>
  <c r="U7832" i="12"/>
  <c r="T7833" i="12"/>
  <c r="U7833" i="12"/>
  <c r="T7834" i="12"/>
  <c r="U7834" i="12"/>
  <c r="T7835" i="12"/>
  <c r="U7835" i="12"/>
  <c r="T7836" i="12"/>
  <c r="U7836" i="12"/>
  <c r="T7837" i="12"/>
  <c r="U7837" i="12"/>
  <c r="T7838" i="12"/>
  <c r="U7838" i="12"/>
  <c r="T7839" i="12"/>
  <c r="U7839" i="12"/>
  <c r="T7840" i="12"/>
  <c r="U7840" i="12"/>
  <c r="T7841" i="12"/>
  <c r="U7841" i="12"/>
  <c r="T7842" i="12"/>
  <c r="U7842" i="12"/>
  <c r="T7843" i="12"/>
  <c r="U7843" i="12"/>
  <c r="T7844" i="12"/>
  <c r="U7844" i="12"/>
  <c r="T7845" i="12"/>
  <c r="U7845" i="12"/>
  <c r="T7846" i="12"/>
  <c r="U7846" i="12"/>
  <c r="T7847" i="12"/>
  <c r="U7847" i="12"/>
  <c r="T7848" i="12"/>
  <c r="U7848" i="12"/>
  <c r="T7849" i="12"/>
  <c r="U7849" i="12"/>
  <c r="T7850" i="12"/>
  <c r="U7850" i="12"/>
  <c r="T7851" i="12"/>
  <c r="U7851" i="12"/>
  <c r="T7852" i="12"/>
  <c r="U7852" i="12"/>
  <c r="T7853" i="12"/>
  <c r="U7853" i="12"/>
  <c r="T7854" i="12"/>
  <c r="U7854" i="12"/>
  <c r="T7855" i="12"/>
  <c r="U7855" i="12"/>
  <c r="T7856" i="12"/>
  <c r="U7856" i="12"/>
  <c r="T7857" i="12"/>
  <c r="U7857" i="12"/>
  <c r="T7858" i="12"/>
  <c r="U7858" i="12"/>
  <c r="T7859" i="12"/>
  <c r="U7859" i="12"/>
  <c r="T7860" i="12"/>
  <c r="U7860" i="12"/>
  <c r="T7861" i="12"/>
  <c r="U7861" i="12"/>
  <c r="T7862" i="12"/>
  <c r="U7862" i="12"/>
  <c r="T7863" i="12"/>
  <c r="U7863" i="12"/>
  <c r="T7864" i="12"/>
  <c r="U7864" i="12"/>
  <c r="T7865" i="12"/>
  <c r="U7865" i="12"/>
  <c r="T7866" i="12"/>
  <c r="U7866" i="12"/>
  <c r="T7867" i="12"/>
  <c r="U7867" i="12"/>
  <c r="T7868" i="12"/>
  <c r="U7868" i="12"/>
  <c r="T7869" i="12"/>
  <c r="U7869" i="12"/>
  <c r="T7870" i="12"/>
  <c r="U7870" i="12"/>
  <c r="T7871" i="12"/>
  <c r="U7871" i="12"/>
  <c r="T7872" i="12"/>
  <c r="U7872" i="12"/>
  <c r="T7873" i="12"/>
  <c r="U7873" i="12"/>
  <c r="T7874" i="12"/>
  <c r="U7874" i="12"/>
  <c r="T7875" i="12"/>
  <c r="U7875" i="12"/>
  <c r="T7876" i="12"/>
  <c r="U7876" i="12"/>
  <c r="T7877" i="12"/>
  <c r="U7877" i="12"/>
  <c r="T7878" i="12"/>
  <c r="U7878" i="12"/>
  <c r="T7879" i="12"/>
  <c r="U7879" i="12"/>
  <c r="T7880" i="12"/>
  <c r="U7880" i="12"/>
  <c r="T7881" i="12"/>
  <c r="U7881" i="12"/>
  <c r="T7882" i="12"/>
  <c r="U7882" i="12"/>
  <c r="T7883" i="12"/>
  <c r="U7883" i="12"/>
  <c r="T7884" i="12"/>
  <c r="U7884" i="12"/>
  <c r="T7885" i="12"/>
  <c r="U7885" i="12"/>
  <c r="T7886" i="12"/>
  <c r="U7886" i="12"/>
  <c r="T7887" i="12"/>
  <c r="U7887" i="12"/>
  <c r="T7888" i="12"/>
  <c r="U7888" i="12"/>
  <c r="T7889" i="12"/>
  <c r="U7889" i="12"/>
  <c r="T7890" i="12"/>
  <c r="U7890" i="12"/>
  <c r="T7891" i="12"/>
  <c r="U7891" i="12"/>
  <c r="T7892" i="12"/>
  <c r="U7892" i="12"/>
  <c r="T7893" i="12"/>
  <c r="U7893" i="12"/>
  <c r="T7894" i="12"/>
  <c r="U7894" i="12"/>
  <c r="T7895" i="12"/>
  <c r="U7895" i="12"/>
  <c r="T7896" i="12"/>
  <c r="U7896" i="12"/>
  <c r="T7897" i="12"/>
  <c r="U7897" i="12"/>
  <c r="T7898" i="12"/>
  <c r="U7898" i="12"/>
  <c r="T7899" i="12"/>
  <c r="U7899" i="12"/>
  <c r="T7900" i="12"/>
  <c r="U7900" i="12"/>
  <c r="T7901" i="12"/>
  <c r="U7901" i="12"/>
  <c r="T7902" i="12"/>
  <c r="U7902" i="12"/>
  <c r="T7903" i="12"/>
  <c r="U7903" i="12"/>
  <c r="T7904" i="12"/>
  <c r="U7904" i="12"/>
  <c r="T7905" i="12"/>
  <c r="U7905" i="12"/>
  <c r="T7906" i="12"/>
  <c r="U7906" i="12"/>
  <c r="T7907" i="12"/>
  <c r="U7907" i="12"/>
  <c r="T7908" i="12"/>
  <c r="U7908" i="12"/>
  <c r="T7909" i="12"/>
  <c r="U7909" i="12"/>
  <c r="T7910" i="12"/>
  <c r="U7910" i="12"/>
  <c r="T7911" i="12"/>
  <c r="U7911" i="12"/>
  <c r="T7912" i="12"/>
  <c r="U7912" i="12"/>
  <c r="T7913" i="12"/>
  <c r="U7913" i="12"/>
  <c r="T7914" i="12"/>
  <c r="U7914" i="12"/>
  <c r="T7915" i="12"/>
  <c r="U7915" i="12"/>
  <c r="T7916" i="12"/>
  <c r="U7916" i="12"/>
  <c r="T7917" i="12"/>
  <c r="U7917" i="12"/>
  <c r="T7918" i="12"/>
  <c r="U7918" i="12"/>
  <c r="T7919" i="12"/>
  <c r="U7919" i="12"/>
  <c r="T7920" i="12"/>
  <c r="U7920" i="12"/>
  <c r="T7921" i="12"/>
  <c r="U7921" i="12"/>
  <c r="T7922" i="12"/>
  <c r="U7922" i="12"/>
  <c r="T7923" i="12"/>
  <c r="U7923" i="12"/>
  <c r="T7924" i="12"/>
  <c r="U7924" i="12"/>
  <c r="T7925" i="12"/>
  <c r="U7925" i="12"/>
  <c r="T7926" i="12"/>
  <c r="U7926" i="12"/>
  <c r="T7927" i="12"/>
  <c r="U7927" i="12"/>
  <c r="T7928" i="12"/>
  <c r="U7928" i="12"/>
  <c r="T7929" i="12"/>
  <c r="U7929" i="12"/>
  <c r="T7930" i="12"/>
  <c r="U7930" i="12"/>
  <c r="T7931" i="12"/>
  <c r="U7931" i="12"/>
  <c r="T7932" i="12"/>
  <c r="U7932" i="12"/>
  <c r="T7933" i="12"/>
  <c r="U7933" i="12"/>
  <c r="T7934" i="12"/>
  <c r="U7934" i="12"/>
  <c r="T7935" i="12"/>
  <c r="U7935" i="12"/>
  <c r="T7936" i="12"/>
  <c r="U7936" i="12"/>
  <c r="T7937" i="12"/>
  <c r="U7937" i="12"/>
  <c r="T7938" i="12"/>
  <c r="U7938" i="12"/>
  <c r="T7939" i="12"/>
  <c r="U7939" i="12"/>
  <c r="T7940" i="12"/>
  <c r="U7940" i="12"/>
  <c r="T7941" i="12"/>
  <c r="U7941" i="12"/>
  <c r="T7942" i="12"/>
  <c r="U7942" i="12"/>
  <c r="T7943" i="12"/>
  <c r="U7943" i="12"/>
  <c r="T7944" i="12"/>
  <c r="U7944" i="12"/>
  <c r="T7945" i="12"/>
  <c r="U7945" i="12"/>
  <c r="T7946" i="12"/>
  <c r="U7946" i="12"/>
  <c r="T7947" i="12"/>
  <c r="U7947" i="12"/>
  <c r="T7948" i="12"/>
  <c r="U7948" i="12"/>
  <c r="T7949" i="12"/>
  <c r="U7949" i="12"/>
  <c r="T7950" i="12"/>
  <c r="U7950" i="12"/>
  <c r="T7951" i="12"/>
  <c r="U7951" i="12"/>
  <c r="T7952" i="12"/>
  <c r="U7952" i="12"/>
  <c r="T7953" i="12"/>
  <c r="U7953" i="12"/>
  <c r="T7954" i="12"/>
  <c r="U7954" i="12"/>
  <c r="T7955" i="12"/>
  <c r="U7955" i="12"/>
  <c r="T7956" i="12"/>
  <c r="U7956" i="12"/>
  <c r="T7957" i="12"/>
  <c r="U7957" i="12"/>
  <c r="T7958" i="12"/>
  <c r="U7958" i="12"/>
  <c r="T7959" i="12"/>
  <c r="U7959" i="12"/>
  <c r="T7960" i="12"/>
  <c r="U7960" i="12"/>
  <c r="T7961" i="12"/>
  <c r="U7961" i="12"/>
  <c r="T7962" i="12"/>
  <c r="U7962" i="12"/>
  <c r="T7963" i="12"/>
  <c r="U7963" i="12"/>
  <c r="T7964" i="12"/>
  <c r="U7964" i="12"/>
  <c r="T7965" i="12"/>
  <c r="U7965" i="12"/>
  <c r="T7966" i="12"/>
  <c r="U7966" i="12"/>
  <c r="T7967" i="12"/>
  <c r="U7967" i="12"/>
  <c r="T7968" i="12"/>
  <c r="U7968" i="12"/>
  <c r="T7969" i="12"/>
  <c r="U7969" i="12"/>
  <c r="T7970" i="12"/>
  <c r="U7970" i="12"/>
  <c r="T7971" i="12"/>
  <c r="U7971" i="12"/>
  <c r="T7972" i="12"/>
  <c r="U7972" i="12"/>
  <c r="T7973" i="12"/>
  <c r="U7973" i="12"/>
  <c r="T7974" i="12"/>
  <c r="U7974" i="12"/>
  <c r="T7975" i="12"/>
  <c r="U7975" i="12"/>
  <c r="T7976" i="12"/>
  <c r="U7976" i="12"/>
  <c r="T7977" i="12"/>
  <c r="U7977" i="12"/>
  <c r="T7978" i="12"/>
  <c r="U7978" i="12"/>
  <c r="T7979" i="12"/>
  <c r="U7979" i="12"/>
  <c r="T7980" i="12"/>
  <c r="U7980" i="12"/>
  <c r="T7981" i="12"/>
  <c r="U7981" i="12"/>
  <c r="T7982" i="12"/>
  <c r="U7982" i="12"/>
  <c r="T7983" i="12"/>
  <c r="U7983" i="12"/>
  <c r="T7984" i="12"/>
  <c r="U7984" i="12"/>
  <c r="T7985" i="12"/>
  <c r="U7985" i="12"/>
  <c r="T7986" i="12"/>
  <c r="U7986" i="12"/>
  <c r="T7987" i="12"/>
  <c r="U7987" i="12"/>
  <c r="T7988" i="12"/>
  <c r="U7988" i="12"/>
  <c r="T7989" i="12"/>
  <c r="U7989" i="12"/>
  <c r="T7990" i="12"/>
  <c r="U7990" i="12"/>
  <c r="T7991" i="12"/>
  <c r="U7991" i="12"/>
  <c r="T7992" i="12"/>
  <c r="U7992" i="12"/>
  <c r="T7993" i="12"/>
  <c r="U7993" i="12"/>
  <c r="T7994" i="12"/>
  <c r="U7994" i="12"/>
  <c r="T7995" i="12"/>
  <c r="U7995" i="12"/>
  <c r="T7996" i="12"/>
  <c r="U7996" i="12"/>
  <c r="T7997" i="12"/>
  <c r="U7997" i="12"/>
  <c r="T7998" i="12"/>
  <c r="U7998" i="12"/>
  <c r="T7999" i="12"/>
  <c r="U7999" i="12"/>
  <c r="T8000" i="12"/>
  <c r="U8000" i="12"/>
  <c r="T8001" i="12"/>
  <c r="U8001" i="12"/>
  <c r="T8002" i="12"/>
  <c r="U8002" i="12"/>
  <c r="T8003" i="12"/>
  <c r="U8003" i="12"/>
  <c r="T8004" i="12"/>
  <c r="U8004" i="12"/>
  <c r="T8005" i="12"/>
  <c r="U8005" i="12"/>
  <c r="T8006" i="12"/>
  <c r="U8006" i="12"/>
  <c r="T8007" i="12"/>
  <c r="U8007" i="12"/>
  <c r="T8008" i="12"/>
  <c r="U8008" i="12"/>
  <c r="T8009" i="12"/>
  <c r="U8009" i="12"/>
  <c r="T8010" i="12"/>
  <c r="U8010" i="12"/>
  <c r="T8011" i="12"/>
  <c r="U8011" i="12"/>
  <c r="T8012" i="12"/>
  <c r="U8012" i="12"/>
  <c r="T8013" i="12"/>
  <c r="U8013" i="12"/>
  <c r="T8014" i="12"/>
  <c r="U8014" i="12"/>
  <c r="T8015" i="12"/>
  <c r="U8015" i="12"/>
  <c r="T8016" i="12"/>
  <c r="U8016" i="12"/>
  <c r="T8017" i="12"/>
  <c r="U8017" i="12"/>
  <c r="T8018" i="12"/>
  <c r="U8018" i="12"/>
  <c r="T8019" i="12"/>
  <c r="U8019" i="12"/>
  <c r="T8020" i="12"/>
  <c r="U8020" i="12"/>
  <c r="T8021" i="12"/>
  <c r="U8021" i="12"/>
  <c r="T8022" i="12"/>
  <c r="U8022" i="12"/>
  <c r="T8023" i="12"/>
  <c r="U8023" i="12"/>
  <c r="T8024" i="12"/>
  <c r="U8024" i="12"/>
  <c r="T8025" i="12"/>
  <c r="U8025" i="12"/>
  <c r="T8026" i="12"/>
  <c r="U8026" i="12"/>
  <c r="T8027" i="12"/>
  <c r="U8027" i="12"/>
  <c r="T8028" i="12"/>
  <c r="U8028" i="12"/>
  <c r="T8029" i="12"/>
  <c r="U8029" i="12"/>
  <c r="T8030" i="12"/>
  <c r="U8030" i="12"/>
  <c r="T8031" i="12"/>
  <c r="U8031" i="12"/>
  <c r="T8032" i="12"/>
  <c r="U8032" i="12"/>
  <c r="T8033" i="12"/>
  <c r="U8033" i="12"/>
  <c r="T8034" i="12"/>
  <c r="U8034" i="12"/>
  <c r="T8035" i="12"/>
  <c r="U8035" i="12"/>
  <c r="T8036" i="12"/>
  <c r="U8036" i="12"/>
  <c r="T8037" i="12"/>
  <c r="U8037" i="12"/>
  <c r="T8038" i="12"/>
  <c r="U8038" i="12"/>
  <c r="T8039" i="12"/>
  <c r="U8039" i="12"/>
  <c r="T8040" i="12"/>
  <c r="U8040" i="12"/>
  <c r="T8041" i="12"/>
  <c r="U8041" i="12"/>
  <c r="T8042" i="12"/>
  <c r="U8042" i="12"/>
  <c r="T8043" i="12"/>
  <c r="U8043" i="12"/>
  <c r="T8044" i="12"/>
  <c r="U8044" i="12"/>
  <c r="T8045" i="12"/>
  <c r="U8045" i="12"/>
  <c r="T8046" i="12"/>
  <c r="U8046" i="12"/>
  <c r="T8047" i="12"/>
  <c r="U8047" i="12"/>
  <c r="T8048" i="12"/>
  <c r="U8048" i="12"/>
  <c r="T8049" i="12"/>
  <c r="U8049" i="12"/>
  <c r="T8050" i="12"/>
  <c r="U8050" i="12"/>
  <c r="T8051" i="12"/>
  <c r="U8051" i="12"/>
  <c r="T8052" i="12"/>
  <c r="U8052" i="12"/>
  <c r="T8053" i="12"/>
  <c r="U8053" i="12"/>
  <c r="T8054" i="12"/>
  <c r="U8054" i="12"/>
  <c r="T8055" i="12"/>
  <c r="U8055" i="12"/>
  <c r="T8056" i="12"/>
  <c r="U8056" i="12"/>
  <c r="T8057" i="12"/>
  <c r="U8057" i="12"/>
  <c r="T8058" i="12"/>
  <c r="U8058" i="12"/>
  <c r="T8059" i="12"/>
  <c r="U8059" i="12"/>
  <c r="T8060" i="12"/>
  <c r="U8060" i="12"/>
  <c r="T8061" i="12"/>
  <c r="U8061" i="12"/>
  <c r="T8062" i="12"/>
  <c r="U8062" i="12"/>
  <c r="T8063" i="12"/>
  <c r="U8063" i="12"/>
  <c r="T8064" i="12"/>
  <c r="U8064" i="12"/>
  <c r="T8065" i="12"/>
  <c r="U8065" i="12"/>
  <c r="T8066" i="12"/>
  <c r="U8066" i="12"/>
  <c r="T8067" i="12"/>
  <c r="U8067" i="12"/>
  <c r="T8068" i="12"/>
  <c r="U8068" i="12"/>
  <c r="T8069" i="12"/>
  <c r="U8069" i="12"/>
  <c r="T8070" i="12"/>
  <c r="U8070" i="12"/>
  <c r="T8071" i="12"/>
  <c r="U8071" i="12"/>
  <c r="T8072" i="12"/>
  <c r="U8072" i="12"/>
  <c r="T8073" i="12"/>
  <c r="U8073" i="12"/>
  <c r="T8074" i="12"/>
  <c r="U8074" i="12"/>
  <c r="T8075" i="12"/>
  <c r="U8075" i="12"/>
  <c r="T8076" i="12"/>
  <c r="U8076" i="12"/>
  <c r="T8077" i="12"/>
  <c r="U8077" i="12"/>
  <c r="T8078" i="12"/>
  <c r="U8078" i="12"/>
  <c r="T8079" i="12"/>
  <c r="U8079" i="12"/>
  <c r="T8080" i="12"/>
  <c r="U8080" i="12"/>
  <c r="T8081" i="12"/>
  <c r="U8081" i="12"/>
  <c r="T8082" i="12"/>
  <c r="U8082" i="12"/>
  <c r="T8083" i="12"/>
  <c r="U8083" i="12"/>
  <c r="T8084" i="12"/>
  <c r="U8084" i="12"/>
  <c r="T8085" i="12"/>
  <c r="U8085" i="12"/>
  <c r="T8086" i="12"/>
  <c r="U8086" i="12"/>
  <c r="T8087" i="12"/>
  <c r="U8087" i="12"/>
  <c r="T8088" i="12"/>
  <c r="U8088" i="12"/>
  <c r="T8089" i="12"/>
  <c r="U8089" i="12"/>
  <c r="T8090" i="12"/>
  <c r="U8090" i="12"/>
  <c r="T8091" i="12"/>
  <c r="U8091" i="12"/>
  <c r="T8092" i="12"/>
  <c r="U8092" i="12"/>
  <c r="T8093" i="12"/>
  <c r="U8093" i="12"/>
  <c r="T8094" i="12"/>
  <c r="U8094" i="12"/>
  <c r="T8095" i="12"/>
  <c r="U8095" i="12"/>
  <c r="T8096" i="12"/>
  <c r="U8096" i="12"/>
  <c r="T8097" i="12"/>
  <c r="U8097" i="12"/>
  <c r="T8098" i="12"/>
  <c r="U8098" i="12"/>
  <c r="T8099" i="12"/>
  <c r="U8099" i="12"/>
  <c r="T8100" i="12"/>
  <c r="U8100" i="12"/>
  <c r="T8101" i="12"/>
  <c r="U8101" i="12"/>
  <c r="T8102" i="12"/>
  <c r="U8102" i="12"/>
  <c r="T8103" i="12"/>
  <c r="U8103" i="12"/>
  <c r="T8104" i="12"/>
  <c r="U8104" i="12"/>
  <c r="T8105" i="12"/>
  <c r="U8105" i="12"/>
  <c r="T8106" i="12"/>
  <c r="U8106" i="12"/>
  <c r="T8107" i="12"/>
  <c r="U8107" i="12"/>
  <c r="T8108" i="12"/>
  <c r="U8108" i="12"/>
  <c r="T8109" i="12"/>
  <c r="U8109" i="12"/>
  <c r="T8110" i="12"/>
  <c r="U8110" i="12"/>
  <c r="T8111" i="12"/>
  <c r="U8111" i="12"/>
  <c r="T8112" i="12"/>
  <c r="U8112" i="12"/>
  <c r="T8113" i="12"/>
  <c r="U8113" i="12"/>
  <c r="T8114" i="12"/>
  <c r="U8114" i="12"/>
  <c r="T8115" i="12"/>
  <c r="U8115" i="12"/>
  <c r="T8116" i="12"/>
  <c r="U8116" i="12"/>
  <c r="T8117" i="12"/>
  <c r="U8117" i="12"/>
  <c r="T8118" i="12"/>
  <c r="U8118" i="12"/>
  <c r="T8119" i="12"/>
  <c r="U8119" i="12"/>
  <c r="T8120" i="12"/>
  <c r="U8120" i="12"/>
  <c r="T8121" i="12"/>
  <c r="U8121" i="12"/>
  <c r="T8122" i="12"/>
  <c r="U8122" i="12"/>
  <c r="T8123" i="12"/>
  <c r="U8123" i="12"/>
  <c r="T8124" i="12"/>
  <c r="U8124" i="12"/>
  <c r="T8125" i="12"/>
  <c r="U8125" i="12"/>
  <c r="T8126" i="12"/>
  <c r="U8126" i="12"/>
  <c r="T8127" i="12"/>
  <c r="U8127" i="12"/>
  <c r="T8128" i="12"/>
  <c r="U8128" i="12"/>
  <c r="T8129" i="12"/>
  <c r="U8129" i="12"/>
  <c r="T8130" i="12"/>
  <c r="U8130" i="12"/>
  <c r="T8131" i="12"/>
  <c r="U8131" i="12"/>
  <c r="T8132" i="12"/>
  <c r="U8132" i="12"/>
  <c r="T8133" i="12"/>
  <c r="U8133" i="12"/>
  <c r="T8134" i="12"/>
  <c r="U8134" i="12"/>
  <c r="T8135" i="12"/>
  <c r="U8135" i="12"/>
  <c r="T8136" i="12"/>
  <c r="U8136" i="12"/>
  <c r="T8137" i="12"/>
  <c r="U8137" i="12"/>
  <c r="T8138" i="12"/>
  <c r="U8138" i="12"/>
  <c r="T8139" i="12"/>
  <c r="U8139" i="12"/>
  <c r="T8140" i="12"/>
  <c r="U8140" i="12"/>
  <c r="T8141" i="12"/>
  <c r="U8141" i="12"/>
  <c r="T8142" i="12"/>
  <c r="U8142" i="12"/>
  <c r="T8143" i="12"/>
  <c r="U8143" i="12"/>
  <c r="T8144" i="12"/>
  <c r="U8144" i="12"/>
  <c r="T8145" i="12"/>
  <c r="U8145" i="12"/>
  <c r="T8146" i="12"/>
  <c r="U8146" i="12"/>
  <c r="T8147" i="12"/>
  <c r="U8147" i="12"/>
  <c r="T8148" i="12"/>
  <c r="U8148" i="12"/>
  <c r="T8149" i="12"/>
  <c r="U8149" i="12"/>
  <c r="T8150" i="12"/>
  <c r="U8150" i="12"/>
  <c r="T8151" i="12"/>
  <c r="U8151" i="12"/>
  <c r="T8152" i="12"/>
  <c r="U8152" i="12"/>
  <c r="T8153" i="12"/>
  <c r="U8153" i="12"/>
  <c r="T8154" i="12"/>
  <c r="U8154" i="12"/>
  <c r="T8155" i="12"/>
  <c r="U8155" i="12"/>
  <c r="T8156" i="12"/>
  <c r="U8156" i="12"/>
  <c r="T8157" i="12"/>
  <c r="U8157" i="12"/>
  <c r="T8158" i="12"/>
  <c r="U8158" i="12"/>
  <c r="T8159" i="12"/>
  <c r="U8159" i="12"/>
  <c r="T8160" i="12"/>
  <c r="U8160" i="12"/>
  <c r="T8161" i="12"/>
  <c r="U8161" i="12"/>
  <c r="T8162" i="12"/>
  <c r="U8162" i="12"/>
  <c r="T8163" i="12"/>
  <c r="U8163" i="12"/>
  <c r="T8164" i="12"/>
  <c r="U8164" i="12"/>
  <c r="T8165" i="12"/>
  <c r="U8165" i="12"/>
  <c r="T8166" i="12"/>
  <c r="U8166" i="12"/>
  <c r="T8167" i="12"/>
  <c r="U8167" i="12"/>
  <c r="T8168" i="12"/>
  <c r="U8168" i="12"/>
  <c r="T8169" i="12"/>
  <c r="U8169" i="12"/>
  <c r="T8170" i="12"/>
  <c r="U8170" i="12"/>
  <c r="T8171" i="12"/>
  <c r="U8171" i="12"/>
  <c r="T8172" i="12"/>
  <c r="U8172" i="12"/>
  <c r="T8173" i="12"/>
  <c r="U8173" i="12"/>
  <c r="T8174" i="12"/>
  <c r="U8174" i="12"/>
  <c r="T8175" i="12"/>
  <c r="U8175" i="12"/>
  <c r="T8176" i="12"/>
  <c r="U8176" i="12"/>
  <c r="T8177" i="12"/>
  <c r="U8177" i="12"/>
  <c r="T8178" i="12"/>
  <c r="U8178" i="12"/>
  <c r="T8179" i="12"/>
  <c r="U8179" i="12"/>
  <c r="T8180" i="12"/>
  <c r="U8180" i="12"/>
  <c r="T8181" i="12"/>
  <c r="U8181" i="12"/>
  <c r="T8182" i="12"/>
  <c r="U8182" i="12"/>
  <c r="T8183" i="12"/>
  <c r="U8183" i="12"/>
  <c r="T8184" i="12"/>
  <c r="U8184" i="12"/>
  <c r="T8185" i="12"/>
  <c r="U8185" i="12"/>
  <c r="T8186" i="12"/>
  <c r="U8186" i="12"/>
  <c r="T8187" i="12"/>
  <c r="U8187" i="12"/>
  <c r="T8188" i="12"/>
  <c r="U8188" i="12"/>
  <c r="T8189" i="12"/>
  <c r="U8189" i="12"/>
  <c r="T8190" i="12"/>
  <c r="U8190" i="12"/>
  <c r="T8191" i="12"/>
  <c r="U8191" i="12"/>
  <c r="T8192" i="12"/>
  <c r="U8192" i="12"/>
  <c r="T8193" i="12"/>
  <c r="U8193" i="12"/>
  <c r="T8194" i="12"/>
  <c r="U8194" i="12"/>
  <c r="T8195" i="12"/>
  <c r="U8195" i="12"/>
  <c r="T8196" i="12"/>
  <c r="U8196" i="12"/>
  <c r="T8197" i="12"/>
  <c r="U8197" i="12"/>
  <c r="T8198" i="12"/>
  <c r="U8198" i="12"/>
  <c r="T8199" i="12"/>
  <c r="U8199" i="12"/>
  <c r="T8200" i="12"/>
  <c r="U8200" i="12"/>
  <c r="T8201" i="12"/>
  <c r="U8201" i="12"/>
  <c r="T8202" i="12"/>
  <c r="U8202" i="12"/>
  <c r="T8203" i="12"/>
  <c r="U8203" i="12"/>
  <c r="T8204" i="12"/>
  <c r="U8204" i="12"/>
  <c r="T8205" i="12"/>
  <c r="U8205" i="12"/>
  <c r="T8206" i="12"/>
  <c r="U8206" i="12"/>
  <c r="T8207" i="12"/>
  <c r="U8207" i="12"/>
  <c r="T8208" i="12"/>
  <c r="U8208" i="12"/>
  <c r="T8209" i="12"/>
  <c r="U8209" i="12"/>
  <c r="T8210" i="12"/>
  <c r="U8210" i="12"/>
  <c r="T8211" i="12"/>
  <c r="U8211" i="12"/>
  <c r="T8212" i="12"/>
  <c r="U8212" i="12"/>
  <c r="T8213" i="12"/>
  <c r="U8213" i="12"/>
  <c r="T8214" i="12"/>
  <c r="U8214" i="12"/>
  <c r="T8215" i="12"/>
  <c r="U8215" i="12"/>
  <c r="T8216" i="12"/>
  <c r="U8216" i="12"/>
  <c r="T8217" i="12"/>
  <c r="U8217" i="12"/>
  <c r="T8218" i="12"/>
  <c r="U8218" i="12"/>
  <c r="T8219" i="12"/>
  <c r="U8219" i="12"/>
  <c r="T8220" i="12"/>
  <c r="U8220" i="12"/>
  <c r="T8221" i="12"/>
  <c r="U8221" i="12"/>
  <c r="T8222" i="12"/>
  <c r="U8222" i="12"/>
  <c r="T8223" i="12"/>
  <c r="U8223" i="12"/>
  <c r="T8224" i="12"/>
  <c r="U8224" i="12"/>
  <c r="T8225" i="12"/>
  <c r="U8225" i="12"/>
  <c r="T8226" i="12"/>
  <c r="U8226" i="12"/>
  <c r="T8227" i="12"/>
  <c r="U8227" i="12"/>
  <c r="T8228" i="12"/>
  <c r="U8228" i="12"/>
  <c r="T8229" i="12"/>
  <c r="U8229" i="12"/>
  <c r="T8230" i="12"/>
  <c r="U8230" i="12"/>
  <c r="T8231" i="12"/>
  <c r="U8231" i="12"/>
  <c r="T8232" i="12"/>
  <c r="U8232" i="12"/>
  <c r="T8233" i="12"/>
  <c r="U8233" i="12"/>
  <c r="T8234" i="12"/>
  <c r="U8234" i="12"/>
  <c r="T8235" i="12"/>
  <c r="U8235" i="12"/>
  <c r="T8236" i="12"/>
  <c r="U8236" i="12"/>
  <c r="T8237" i="12"/>
  <c r="U8237" i="12"/>
  <c r="T8238" i="12"/>
  <c r="U8238" i="12"/>
  <c r="T8239" i="12"/>
  <c r="U8239" i="12"/>
  <c r="T8240" i="12"/>
  <c r="U8240" i="12"/>
  <c r="T8241" i="12"/>
  <c r="U8241" i="12"/>
  <c r="T8242" i="12"/>
  <c r="U8242" i="12"/>
  <c r="T8243" i="12"/>
  <c r="U8243" i="12"/>
  <c r="T8244" i="12"/>
  <c r="U8244" i="12"/>
  <c r="T8245" i="12"/>
  <c r="U8245" i="12"/>
  <c r="T8246" i="12"/>
  <c r="U8246" i="12"/>
  <c r="T8247" i="12"/>
  <c r="U8247" i="12"/>
  <c r="T8248" i="12"/>
  <c r="U8248" i="12"/>
  <c r="T8249" i="12"/>
  <c r="U8249" i="12"/>
  <c r="T8250" i="12"/>
  <c r="U8250" i="12"/>
  <c r="T8251" i="12"/>
  <c r="U8251" i="12"/>
  <c r="T8252" i="12"/>
  <c r="U8252" i="12"/>
  <c r="T8253" i="12"/>
  <c r="U8253" i="12"/>
  <c r="T8254" i="12"/>
  <c r="U8254" i="12"/>
  <c r="T8255" i="12"/>
  <c r="U8255" i="12"/>
  <c r="T8256" i="12"/>
  <c r="U8256" i="12"/>
  <c r="T8257" i="12"/>
  <c r="U8257" i="12"/>
  <c r="T8258" i="12"/>
  <c r="U8258" i="12"/>
  <c r="T8259" i="12"/>
  <c r="U8259" i="12"/>
  <c r="T8260" i="12"/>
  <c r="U8260" i="12"/>
  <c r="T8261" i="12"/>
  <c r="U8261" i="12"/>
  <c r="T8262" i="12"/>
  <c r="U8262" i="12"/>
  <c r="T8263" i="12"/>
  <c r="U8263" i="12"/>
  <c r="T8264" i="12"/>
  <c r="U8264" i="12"/>
  <c r="T8265" i="12"/>
  <c r="U8265" i="12"/>
  <c r="T8266" i="12"/>
  <c r="U8266" i="12"/>
  <c r="T8267" i="12"/>
  <c r="U8267" i="12"/>
  <c r="T8268" i="12"/>
  <c r="U8268" i="12"/>
  <c r="T8269" i="12"/>
  <c r="U8269" i="12"/>
  <c r="T8270" i="12"/>
  <c r="U8270" i="12"/>
  <c r="T8271" i="12"/>
  <c r="U8271" i="12"/>
  <c r="T8272" i="12"/>
  <c r="U8272" i="12"/>
  <c r="T8273" i="12"/>
  <c r="U8273" i="12"/>
  <c r="T8274" i="12"/>
  <c r="U8274" i="12"/>
  <c r="T8275" i="12"/>
  <c r="U8275" i="12"/>
  <c r="T8276" i="12"/>
  <c r="U8276" i="12"/>
  <c r="T8277" i="12"/>
  <c r="U8277" i="12"/>
  <c r="T8278" i="12"/>
  <c r="U8278" i="12"/>
  <c r="T8279" i="12"/>
  <c r="U8279" i="12"/>
  <c r="T8280" i="12"/>
  <c r="U8280" i="12"/>
  <c r="T8281" i="12"/>
  <c r="U8281" i="12"/>
  <c r="T8282" i="12"/>
  <c r="U8282" i="12"/>
  <c r="T8283" i="12"/>
  <c r="U8283" i="12"/>
  <c r="T8284" i="12"/>
  <c r="U8284" i="12"/>
  <c r="T8285" i="12"/>
  <c r="U8285" i="12"/>
  <c r="T8286" i="12"/>
  <c r="U8286" i="12"/>
  <c r="T8287" i="12"/>
  <c r="U8287" i="12"/>
  <c r="T8288" i="12"/>
  <c r="U8288" i="12"/>
  <c r="T8289" i="12"/>
  <c r="U8289" i="12"/>
  <c r="T8290" i="12"/>
  <c r="U8290" i="12"/>
  <c r="T8291" i="12"/>
  <c r="U8291" i="12"/>
  <c r="T8292" i="12"/>
  <c r="U8292" i="12"/>
  <c r="T8293" i="12"/>
  <c r="U8293" i="12"/>
  <c r="T8294" i="12"/>
  <c r="U8294" i="12"/>
  <c r="T8295" i="12"/>
  <c r="U8295" i="12"/>
  <c r="T8296" i="12"/>
  <c r="U8296" i="12"/>
  <c r="T8297" i="12"/>
  <c r="U8297" i="12"/>
  <c r="T8298" i="12"/>
  <c r="U8298" i="12"/>
  <c r="T8299" i="12"/>
  <c r="U8299" i="12"/>
  <c r="T8300" i="12"/>
  <c r="U8300" i="12"/>
  <c r="T8301" i="12"/>
  <c r="U8301" i="12"/>
  <c r="T8302" i="12"/>
  <c r="U8302" i="12"/>
  <c r="T8303" i="12"/>
  <c r="U8303" i="12"/>
  <c r="T8304" i="12"/>
  <c r="U8304" i="12"/>
  <c r="T8305" i="12"/>
  <c r="U8305" i="12"/>
  <c r="T8306" i="12"/>
  <c r="U8306" i="12"/>
  <c r="T8307" i="12"/>
  <c r="U8307" i="12"/>
  <c r="T8308" i="12"/>
  <c r="U8308" i="12"/>
  <c r="T8309" i="12"/>
  <c r="U8309" i="12"/>
  <c r="T8310" i="12"/>
  <c r="U8310" i="12"/>
  <c r="T8311" i="12"/>
  <c r="U8311" i="12"/>
  <c r="T8312" i="12"/>
  <c r="U8312" i="12"/>
  <c r="T8313" i="12"/>
  <c r="U8313" i="12"/>
  <c r="T8314" i="12"/>
  <c r="U8314" i="12"/>
  <c r="T8315" i="12"/>
  <c r="U8315" i="12"/>
  <c r="T8316" i="12"/>
  <c r="U8316" i="12"/>
  <c r="T8317" i="12"/>
  <c r="U8317" i="12"/>
  <c r="T8318" i="12"/>
  <c r="U8318" i="12"/>
  <c r="T8319" i="12"/>
  <c r="U8319" i="12"/>
  <c r="T8320" i="12"/>
  <c r="U8320" i="12"/>
  <c r="T8321" i="12"/>
  <c r="U8321" i="12"/>
  <c r="T8322" i="12"/>
  <c r="U8322" i="12"/>
  <c r="T8323" i="12"/>
  <c r="U8323" i="12"/>
  <c r="T8324" i="12"/>
  <c r="U8324" i="12"/>
  <c r="T8325" i="12"/>
  <c r="U8325" i="12"/>
  <c r="T8326" i="12"/>
  <c r="U8326" i="12"/>
  <c r="T8327" i="12"/>
  <c r="U8327" i="12"/>
  <c r="T8328" i="12"/>
  <c r="U8328" i="12"/>
  <c r="T8329" i="12"/>
  <c r="U8329" i="12"/>
  <c r="T8330" i="12"/>
  <c r="U8330" i="12"/>
  <c r="T8331" i="12"/>
  <c r="U8331" i="12"/>
  <c r="T8332" i="12"/>
  <c r="U8332" i="12"/>
  <c r="T8333" i="12"/>
  <c r="U8333" i="12"/>
  <c r="T8334" i="12"/>
  <c r="U8334" i="12"/>
  <c r="T8335" i="12"/>
  <c r="U8335" i="12"/>
  <c r="T8336" i="12"/>
  <c r="U8336" i="12"/>
  <c r="T8337" i="12"/>
  <c r="U8337" i="12"/>
  <c r="T8338" i="12"/>
  <c r="U8338" i="12"/>
  <c r="T8339" i="12"/>
  <c r="U8339" i="12"/>
  <c r="T8340" i="12"/>
  <c r="U8340" i="12"/>
  <c r="T8341" i="12"/>
  <c r="U8341" i="12"/>
  <c r="T8342" i="12"/>
  <c r="U8342" i="12"/>
  <c r="T8343" i="12"/>
  <c r="U8343" i="12"/>
  <c r="T8344" i="12"/>
  <c r="U8344" i="12"/>
  <c r="T8345" i="12"/>
  <c r="U8345" i="12"/>
  <c r="T8346" i="12"/>
  <c r="U8346" i="12"/>
  <c r="T8347" i="12"/>
  <c r="U8347" i="12"/>
  <c r="T8348" i="12"/>
  <c r="U8348" i="12"/>
  <c r="T8349" i="12"/>
  <c r="U8349" i="12"/>
  <c r="T8350" i="12"/>
  <c r="U8350" i="12"/>
  <c r="T8351" i="12"/>
  <c r="U8351" i="12"/>
  <c r="T8352" i="12"/>
  <c r="U8352" i="12"/>
  <c r="T8353" i="12"/>
  <c r="U8353" i="12"/>
  <c r="T8354" i="12"/>
  <c r="U8354" i="12"/>
  <c r="T8355" i="12"/>
  <c r="U8355" i="12"/>
  <c r="T8356" i="12"/>
  <c r="U8356" i="12"/>
  <c r="T8357" i="12"/>
  <c r="U8357" i="12"/>
  <c r="T8358" i="12"/>
  <c r="U8358" i="12"/>
  <c r="T8359" i="12"/>
  <c r="U8359" i="12"/>
  <c r="T8360" i="12"/>
  <c r="U8360" i="12"/>
  <c r="T8361" i="12"/>
  <c r="U8361" i="12"/>
  <c r="T8362" i="12"/>
  <c r="U8362" i="12"/>
  <c r="T8363" i="12"/>
  <c r="U8363" i="12"/>
  <c r="T8364" i="12"/>
  <c r="U8364" i="12"/>
  <c r="T8365" i="12"/>
  <c r="U8365" i="12"/>
  <c r="T8366" i="12"/>
  <c r="U8366" i="12"/>
  <c r="T8367" i="12"/>
  <c r="U8367" i="12"/>
  <c r="T8368" i="12"/>
  <c r="U8368" i="12"/>
  <c r="T8369" i="12"/>
  <c r="U8369" i="12"/>
  <c r="T8370" i="12"/>
  <c r="U8370" i="12"/>
  <c r="T8371" i="12"/>
  <c r="U8371" i="12"/>
  <c r="T8372" i="12"/>
  <c r="U8372" i="12"/>
  <c r="T8373" i="12"/>
  <c r="U8373" i="12"/>
  <c r="T8374" i="12"/>
  <c r="U8374" i="12"/>
  <c r="T8375" i="12"/>
  <c r="U8375" i="12"/>
  <c r="T8376" i="12"/>
  <c r="U8376" i="12"/>
  <c r="T8377" i="12"/>
  <c r="U8377" i="12"/>
  <c r="T8378" i="12"/>
  <c r="U8378" i="12"/>
  <c r="T8379" i="12"/>
  <c r="U8379" i="12"/>
  <c r="T8380" i="12"/>
  <c r="U8380" i="12"/>
  <c r="T8381" i="12"/>
  <c r="U8381" i="12"/>
  <c r="T8382" i="12"/>
  <c r="U8382" i="12"/>
  <c r="T8383" i="12"/>
  <c r="U8383" i="12"/>
  <c r="T8384" i="12"/>
  <c r="U8384" i="12"/>
  <c r="T8385" i="12"/>
  <c r="U8385" i="12"/>
  <c r="T8386" i="12"/>
  <c r="U8386" i="12"/>
  <c r="T8387" i="12"/>
  <c r="U8387" i="12"/>
  <c r="T8388" i="12"/>
  <c r="U8388" i="12"/>
  <c r="T8389" i="12"/>
  <c r="U8389" i="12"/>
  <c r="T8390" i="12"/>
  <c r="U8390" i="12"/>
  <c r="T8391" i="12"/>
  <c r="U8391" i="12"/>
  <c r="T8392" i="12"/>
  <c r="U8392" i="12"/>
  <c r="T8393" i="12"/>
  <c r="U8393" i="12"/>
  <c r="T8394" i="12"/>
  <c r="U8394" i="12"/>
  <c r="T8395" i="12"/>
  <c r="U8395" i="12"/>
  <c r="T8396" i="12"/>
  <c r="U8396" i="12"/>
  <c r="T8397" i="12"/>
  <c r="U8397" i="12"/>
  <c r="T8398" i="12"/>
  <c r="U8398" i="12"/>
  <c r="T8399" i="12"/>
  <c r="U8399" i="12"/>
  <c r="T8400" i="12"/>
  <c r="U8400" i="12"/>
  <c r="T8401" i="12"/>
  <c r="U8401" i="12"/>
  <c r="T8402" i="12"/>
  <c r="U8402" i="12"/>
  <c r="T8403" i="12"/>
  <c r="U8403" i="12"/>
  <c r="T8404" i="12"/>
  <c r="U8404" i="12"/>
  <c r="T8405" i="12"/>
  <c r="U8405" i="12"/>
  <c r="T8406" i="12"/>
  <c r="U8406" i="12"/>
  <c r="T8407" i="12"/>
  <c r="U8407" i="12"/>
  <c r="T8408" i="12"/>
  <c r="U8408" i="12"/>
  <c r="T8409" i="12"/>
  <c r="U8409" i="12"/>
  <c r="T8410" i="12"/>
  <c r="U8410" i="12"/>
  <c r="T8411" i="12"/>
  <c r="U8411" i="12"/>
  <c r="T8412" i="12"/>
  <c r="U8412" i="12"/>
  <c r="T8413" i="12"/>
  <c r="U8413" i="12"/>
  <c r="T8414" i="12"/>
  <c r="U8414" i="12"/>
  <c r="T8415" i="12"/>
  <c r="U8415" i="12"/>
  <c r="T8416" i="12"/>
  <c r="U8416" i="12"/>
  <c r="T8417" i="12"/>
  <c r="U8417" i="12"/>
  <c r="T8418" i="12"/>
  <c r="U8418" i="12"/>
  <c r="T8419" i="12"/>
  <c r="U8419" i="12"/>
  <c r="T8420" i="12"/>
  <c r="U8420" i="12"/>
  <c r="T8421" i="12"/>
  <c r="U8421" i="12"/>
  <c r="T8422" i="12"/>
  <c r="U8422" i="12"/>
  <c r="T8423" i="12"/>
  <c r="U8423" i="12"/>
  <c r="T8424" i="12"/>
  <c r="U8424" i="12"/>
  <c r="T8425" i="12"/>
  <c r="U8425" i="12"/>
  <c r="T8426" i="12"/>
  <c r="U8426" i="12"/>
  <c r="T8427" i="12"/>
  <c r="U8427" i="12"/>
  <c r="T8428" i="12"/>
  <c r="U8428" i="12"/>
  <c r="T8429" i="12"/>
  <c r="U8429" i="12"/>
  <c r="T8430" i="12"/>
  <c r="U8430" i="12"/>
  <c r="T8431" i="12"/>
  <c r="U8431" i="12"/>
  <c r="T8432" i="12"/>
  <c r="U8432" i="12"/>
  <c r="T8433" i="12"/>
  <c r="U8433" i="12"/>
  <c r="T8434" i="12"/>
  <c r="U8434" i="12"/>
  <c r="T8435" i="12"/>
  <c r="U8435" i="12"/>
  <c r="T8436" i="12"/>
  <c r="U8436" i="12"/>
  <c r="T8437" i="12"/>
  <c r="U8437" i="12"/>
  <c r="T8438" i="12"/>
  <c r="U8438" i="12"/>
  <c r="T8439" i="12"/>
  <c r="U8439" i="12"/>
  <c r="T8440" i="12"/>
  <c r="U8440" i="12"/>
  <c r="T8441" i="12"/>
  <c r="U8441" i="12"/>
  <c r="T8442" i="12"/>
  <c r="U8442" i="12"/>
  <c r="T8443" i="12"/>
  <c r="U8443" i="12"/>
  <c r="T8444" i="12"/>
  <c r="U8444" i="12"/>
  <c r="T8445" i="12"/>
  <c r="U8445" i="12"/>
  <c r="T8446" i="12"/>
  <c r="U8446" i="12"/>
  <c r="T8447" i="12"/>
  <c r="U8447" i="12"/>
  <c r="T8448" i="12"/>
  <c r="U8448" i="12"/>
  <c r="T8449" i="12"/>
  <c r="U8449" i="12"/>
  <c r="T8450" i="12"/>
  <c r="U8450" i="12"/>
  <c r="T8451" i="12"/>
  <c r="U8451" i="12"/>
  <c r="T8452" i="12"/>
  <c r="U8452" i="12"/>
  <c r="T8453" i="12"/>
  <c r="U8453" i="12"/>
  <c r="T8454" i="12"/>
  <c r="U8454" i="12"/>
  <c r="T8455" i="12"/>
  <c r="U8455" i="12"/>
  <c r="T8456" i="12"/>
  <c r="U8456" i="12"/>
  <c r="T8457" i="12"/>
  <c r="U8457" i="12"/>
  <c r="T8458" i="12"/>
  <c r="U8458" i="12"/>
  <c r="T8459" i="12"/>
  <c r="U8459" i="12"/>
  <c r="T8460" i="12"/>
  <c r="U8460" i="12"/>
  <c r="T8461" i="12"/>
  <c r="U8461" i="12"/>
  <c r="T8462" i="12"/>
  <c r="U8462" i="12"/>
  <c r="T8463" i="12"/>
  <c r="U8463" i="12"/>
  <c r="T8464" i="12"/>
  <c r="U8464" i="12"/>
  <c r="T8465" i="12"/>
  <c r="U8465" i="12"/>
  <c r="T8466" i="12"/>
  <c r="U8466" i="12"/>
  <c r="T8467" i="12"/>
  <c r="U8467" i="12"/>
  <c r="T8468" i="12"/>
  <c r="U8468" i="12"/>
  <c r="T8469" i="12"/>
  <c r="U8469" i="12"/>
  <c r="T8470" i="12"/>
  <c r="U8470" i="12"/>
  <c r="T8471" i="12"/>
  <c r="U8471" i="12"/>
  <c r="T8472" i="12"/>
  <c r="U8472" i="12"/>
  <c r="T8473" i="12"/>
  <c r="U8473" i="12"/>
  <c r="T8474" i="12"/>
  <c r="U8474" i="12"/>
  <c r="T8475" i="12"/>
  <c r="U8475" i="12"/>
  <c r="T8476" i="12"/>
  <c r="U8476" i="12"/>
  <c r="T8477" i="12"/>
  <c r="U8477" i="12"/>
  <c r="T8478" i="12"/>
  <c r="U8478" i="12"/>
  <c r="T8479" i="12"/>
  <c r="U8479" i="12"/>
  <c r="T8480" i="12"/>
  <c r="U8480" i="12"/>
  <c r="T8481" i="12"/>
  <c r="U8481" i="12"/>
  <c r="T8482" i="12"/>
  <c r="U8482" i="12"/>
  <c r="T8483" i="12"/>
  <c r="U8483" i="12"/>
  <c r="T8484" i="12"/>
  <c r="U8484" i="12"/>
  <c r="T8485" i="12"/>
  <c r="U8485" i="12"/>
  <c r="T8486" i="12"/>
  <c r="U8486" i="12"/>
  <c r="T8487" i="12"/>
  <c r="U8487" i="12"/>
  <c r="T8488" i="12"/>
  <c r="U8488" i="12"/>
  <c r="T8489" i="12"/>
  <c r="U8489" i="12"/>
  <c r="T8490" i="12"/>
  <c r="U8490" i="12"/>
  <c r="T8491" i="12"/>
  <c r="U8491" i="12"/>
  <c r="T8492" i="12"/>
  <c r="U8492" i="12"/>
  <c r="T8493" i="12"/>
  <c r="U8493" i="12"/>
  <c r="T8494" i="12"/>
  <c r="U8494" i="12"/>
  <c r="T8495" i="12"/>
  <c r="U8495" i="12"/>
  <c r="T8496" i="12"/>
  <c r="U8496" i="12"/>
  <c r="T8497" i="12"/>
  <c r="U8497" i="12"/>
  <c r="T8498" i="12"/>
  <c r="U8498" i="12"/>
  <c r="T8499" i="12"/>
  <c r="U8499" i="12"/>
  <c r="T8500" i="12"/>
  <c r="U8500" i="12"/>
  <c r="T8501" i="12"/>
  <c r="U8501" i="12"/>
  <c r="T8502" i="12"/>
  <c r="U8502" i="12"/>
  <c r="T8503" i="12"/>
  <c r="U8503" i="12"/>
  <c r="T8504" i="12"/>
  <c r="U8504" i="12"/>
  <c r="T8505" i="12"/>
  <c r="U8505" i="12"/>
  <c r="T8506" i="12"/>
  <c r="U8506" i="12"/>
  <c r="T8507" i="12"/>
  <c r="U8507" i="12"/>
  <c r="T8508" i="12"/>
  <c r="U8508" i="12"/>
  <c r="T8509" i="12"/>
  <c r="U8509" i="12"/>
  <c r="T8510" i="12"/>
  <c r="U8510" i="12"/>
  <c r="T8511" i="12"/>
  <c r="U8511" i="12"/>
  <c r="T8512" i="12"/>
  <c r="U8512" i="12"/>
  <c r="T8513" i="12"/>
  <c r="U8513" i="12"/>
  <c r="T8514" i="12"/>
  <c r="U8514" i="12"/>
  <c r="T8515" i="12"/>
  <c r="U8515" i="12"/>
  <c r="T8516" i="12"/>
  <c r="U8516" i="12"/>
  <c r="T8517" i="12"/>
  <c r="U8517" i="12"/>
  <c r="T8518" i="12"/>
  <c r="U8518" i="12"/>
  <c r="T8519" i="12"/>
  <c r="U8519" i="12"/>
  <c r="T8520" i="12"/>
  <c r="U8520" i="12"/>
  <c r="T8521" i="12"/>
  <c r="U8521" i="12"/>
  <c r="T8522" i="12"/>
  <c r="U8522" i="12"/>
  <c r="T8523" i="12"/>
  <c r="U8523" i="12"/>
  <c r="T8524" i="12"/>
  <c r="U8524" i="12"/>
  <c r="T8525" i="12"/>
  <c r="U8525" i="12"/>
  <c r="T8526" i="12"/>
  <c r="U8526" i="12"/>
  <c r="T8527" i="12"/>
  <c r="U8527" i="12"/>
  <c r="T8528" i="12"/>
  <c r="U8528" i="12"/>
  <c r="T8529" i="12"/>
  <c r="U8529" i="12"/>
  <c r="T8530" i="12"/>
  <c r="U8530" i="12"/>
  <c r="T8531" i="12"/>
  <c r="U8531" i="12"/>
  <c r="T8532" i="12"/>
  <c r="U8532" i="12"/>
  <c r="T8533" i="12"/>
  <c r="U8533" i="12"/>
  <c r="T8534" i="12"/>
  <c r="U8534" i="12"/>
  <c r="T8535" i="12"/>
  <c r="U8535" i="12"/>
  <c r="T8536" i="12"/>
  <c r="U8536" i="12"/>
  <c r="T8537" i="12"/>
  <c r="U8537" i="12"/>
  <c r="T8538" i="12"/>
  <c r="U8538" i="12"/>
  <c r="T8539" i="12"/>
  <c r="U8539" i="12"/>
  <c r="T8540" i="12"/>
  <c r="U8540" i="12"/>
  <c r="T8541" i="12"/>
  <c r="U8541" i="12"/>
  <c r="T8542" i="12"/>
  <c r="U8542" i="12"/>
  <c r="T8543" i="12"/>
  <c r="U8543" i="12"/>
  <c r="T8544" i="12"/>
  <c r="U8544" i="12"/>
  <c r="T8545" i="12"/>
  <c r="U8545" i="12"/>
  <c r="T8546" i="12"/>
  <c r="U8546" i="12"/>
  <c r="T8547" i="12"/>
  <c r="U8547" i="12"/>
  <c r="T8548" i="12"/>
  <c r="U8548" i="12"/>
  <c r="T8549" i="12"/>
  <c r="U8549" i="12"/>
  <c r="T8550" i="12"/>
  <c r="U8550" i="12"/>
  <c r="T8551" i="12"/>
  <c r="U8551" i="12"/>
  <c r="T8552" i="12"/>
  <c r="U8552" i="12"/>
  <c r="T8553" i="12"/>
  <c r="U8553" i="12"/>
  <c r="T8554" i="12"/>
  <c r="U8554" i="12"/>
  <c r="T8555" i="12"/>
  <c r="U8555" i="12"/>
  <c r="T8556" i="12"/>
  <c r="U8556" i="12"/>
  <c r="T8557" i="12"/>
  <c r="U8557" i="12"/>
  <c r="T8558" i="12"/>
  <c r="U8558" i="12"/>
  <c r="T8559" i="12"/>
  <c r="U8559" i="12"/>
  <c r="T8560" i="12"/>
  <c r="U8560" i="12"/>
  <c r="T8561" i="12"/>
  <c r="U8561" i="12"/>
  <c r="T8562" i="12"/>
  <c r="U8562" i="12"/>
  <c r="T8563" i="12"/>
  <c r="U8563" i="12"/>
  <c r="T8564" i="12"/>
  <c r="U8564" i="12"/>
  <c r="T8565" i="12"/>
  <c r="U8565" i="12"/>
  <c r="T8566" i="12"/>
  <c r="U8566" i="12"/>
  <c r="T8567" i="12"/>
  <c r="U8567" i="12"/>
  <c r="T8568" i="12"/>
  <c r="U8568" i="12"/>
  <c r="T8569" i="12"/>
  <c r="U8569" i="12"/>
  <c r="T8570" i="12"/>
  <c r="U8570" i="12"/>
  <c r="T8571" i="12"/>
  <c r="U8571" i="12"/>
  <c r="T8572" i="12"/>
  <c r="U8572" i="12"/>
  <c r="T8573" i="12"/>
  <c r="U8573" i="12"/>
  <c r="T8574" i="12"/>
  <c r="U8574" i="12"/>
  <c r="T8575" i="12"/>
  <c r="U8575" i="12"/>
  <c r="T8576" i="12"/>
  <c r="U8576" i="12"/>
  <c r="T8577" i="12"/>
  <c r="U8577" i="12"/>
  <c r="T8578" i="12"/>
  <c r="U8578" i="12"/>
  <c r="T8579" i="12"/>
  <c r="U8579" i="12"/>
  <c r="T8580" i="12"/>
  <c r="U8580" i="12"/>
  <c r="T8581" i="12"/>
  <c r="U8581" i="12"/>
  <c r="T8582" i="12"/>
  <c r="U8582" i="12"/>
  <c r="T8583" i="12"/>
  <c r="U8583" i="12"/>
  <c r="T8584" i="12"/>
  <c r="U8584" i="12"/>
  <c r="T8585" i="12"/>
  <c r="U8585" i="12"/>
  <c r="T8586" i="12"/>
  <c r="U8586" i="12"/>
  <c r="T8587" i="12"/>
  <c r="U8587" i="12"/>
  <c r="T8588" i="12"/>
  <c r="U8588" i="12"/>
  <c r="T8589" i="12"/>
  <c r="U8589" i="12"/>
  <c r="T8590" i="12"/>
  <c r="U8590" i="12"/>
  <c r="T8591" i="12"/>
  <c r="U8591" i="12"/>
  <c r="T8592" i="12"/>
  <c r="U8592" i="12"/>
  <c r="T8593" i="12"/>
  <c r="U8593" i="12"/>
  <c r="T8594" i="12"/>
  <c r="U8594" i="12"/>
  <c r="T8595" i="12"/>
  <c r="U8595" i="12"/>
  <c r="T8596" i="12"/>
  <c r="U8596" i="12"/>
  <c r="T8597" i="12"/>
  <c r="U8597" i="12"/>
  <c r="T8598" i="12"/>
  <c r="U8598" i="12"/>
  <c r="T8599" i="12"/>
  <c r="U8599" i="12"/>
  <c r="T8600" i="12"/>
  <c r="U8600" i="12"/>
  <c r="T8601" i="12"/>
  <c r="U8601" i="12"/>
  <c r="T8602" i="12"/>
  <c r="U8602" i="12"/>
  <c r="T8603" i="12"/>
  <c r="U8603" i="12"/>
  <c r="T8604" i="12"/>
  <c r="U8604" i="12"/>
  <c r="T8605" i="12"/>
  <c r="U8605" i="12"/>
  <c r="T8606" i="12"/>
  <c r="U8606" i="12"/>
  <c r="T8607" i="12"/>
  <c r="U8607" i="12"/>
  <c r="T8608" i="12"/>
  <c r="U8608" i="12"/>
  <c r="T8609" i="12"/>
  <c r="U8609" i="12"/>
  <c r="T8610" i="12"/>
  <c r="U8610" i="12"/>
  <c r="T8611" i="12"/>
  <c r="U8611" i="12"/>
  <c r="T8612" i="12"/>
  <c r="U8612" i="12"/>
  <c r="T8613" i="12"/>
  <c r="U8613" i="12"/>
  <c r="T8614" i="12"/>
  <c r="U8614" i="12"/>
  <c r="T8615" i="12"/>
  <c r="U8615" i="12"/>
  <c r="T8616" i="12"/>
  <c r="U8616" i="12"/>
  <c r="T8617" i="12"/>
  <c r="U8617" i="12"/>
  <c r="T8618" i="12"/>
  <c r="U8618" i="12"/>
  <c r="T8619" i="12"/>
  <c r="U8619" i="12"/>
  <c r="T8620" i="12"/>
  <c r="U8620" i="12"/>
  <c r="T8621" i="12"/>
  <c r="U8621" i="12"/>
  <c r="T8622" i="12"/>
  <c r="U8622" i="12"/>
  <c r="T8623" i="12"/>
  <c r="U8623" i="12"/>
  <c r="T8624" i="12"/>
  <c r="U8624" i="12"/>
  <c r="T8625" i="12"/>
  <c r="U8625" i="12"/>
  <c r="T8626" i="12"/>
  <c r="U8626" i="12"/>
  <c r="T8627" i="12"/>
  <c r="U8627" i="12"/>
  <c r="T8628" i="12"/>
  <c r="U8628" i="12"/>
  <c r="T8629" i="12"/>
  <c r="U8629" i="12"/>
  <c r="T8630" i="12"/>
  <c r="U8630" i="12"/>
  <c r="T8631" i="12"/>
  <c r="U8631" i="12"/>
  <c r="T8632" i="12"/>
  <c r="U8632" i="12"/>
  <c r="T8633" i="12"/>
  <c r="U8633" i="12"/>
  <c r="T8634" i="12"/>
  <c r="U8634" i="12"/>
  <c r="T8635" i="12"/>
  <c r="U8635" i="12"/>
  <c r="T8636" i="12"/>
  <c r="U8636" i="12"/>
  <c r="T8637" i="12"/>
  <c r="U8637" i="12"/>
  <c r="T8638" i="12"/>
  <c r="U8638" i="12"/>
  <c r="T8639" i="12"/>
  <c r="U8639" i="12"/>
  <c r="T8640" i="12"/>
  <c r="U8640" i="12"/>
  <c r="T8641" i="12"/>
  <c r="U8641" i="12"/>
  <c r="T8642" i="12"/>
  <c r="U8642" i="12"/>
  <c r="T8643" i="12"/>
  <c r="U8643" i="12"/>
  <c r="T8644" i="12"/>
  <c r="U8644" i="12"/>
  <c r="T8645" i="12"/>
  <c r="U8645" i="12"/>
  <c r="T8646" i="12"/>
  <c r="U8646" i="12"/>
  <c r="T8647" i="12"/>
  <c r="U8647" i="12"/>
  <c r="T8648" i="12"/>
  <c r="U8648" i="12"/>
  <c r="T8649" i="12"/>
  <c r="U8649" i="12"/>
  <c r="T8650" i="12"/>
  <c r="U8650" i="12"/>
  <c r="T8651" i="12"/>
  <c r="U8651" i="12"/>
  <c r="T8652" i="12"/>
  <c r="U8652" i="12"/>
  <c r="T8653" i="12"/>
  <c r="U8653" i="12"/>
  <c r="T8654" i="12"/>
  <c r="U8654" i="12"/>
  <c r="T8655" i="12"/>
  <c r="U8655" i="12"/>
  <c r="T8656" i="12"/>
  <c r="U8656" i="12"/>
  <c r="T8657" i="12"/>
  <c r="U8657" i="12"/>
  <c r="T8658" i="12"/>
  <c r="U8658" i="12"/>
  <c r="T8659" i="12"/>
  <c r="U8659" i="12"/>
  <c r="T8660" i="12"/>
  <c r="U8660" i="12"/>
  <c r="T8661" i="12"/>
  <c r="U8661" i="12"/>
  <c r="T8662" i="12"/>
  <c r="U8662" i="12"/>
  <c r="T8663" i="12"/>
  <c r="U8663" i="12"/>
  <c r="T8664" i="12"/>
  <c r="U8664" i="12"/>
  <c r="T8665" i="12"/>
  <c r="U8665" i="12"/>
  <c r="T8666" i="12"/>
  <c r="U8666" i="12"/>
  <c r="T8667" i="12"/>
  <c r="U8667" i="12"/>
  <c r="T8668" i="12"/>
  <c r="U8668" i="12"/>
  <c r="T8669" i="12"/>
  <c r="U8669" i="12"/>
  <c r="T8670" i="12"/>
  <c r="U8670" i="12"/>
  <c r="T8671" i="12"/>
  <c r="U8671" i="12"/>
  <c r="T8672" i="12"/>
  <c r="U8672" i="12"/>
  <c r="T8673" i="12"/>
  <c r="U8673" i="12"/>
  <c r="T8674" i="12"/>
  <c r="U8674" i="12"/>
  <c r="T8675" i="12"/>
  <c r="U8675" i="12"/>
  <c r="T8676" i="12"/>
  <c r="U8676" i="12"/>
  <c r="T8677" i="12"/>
  <c r="U8677" i="12"/>
  <c r="T8678" i="12"/>
  <c r="U8678" i="12"/>
  <c r="T8679" i="12"/>
  <c r="U8679" i="12"/>
  <c r="T8680" i="12"/>
  <c r="U8680" i="12"/>
  <c r="T8681" i="12"/>
  <c r="U8681" i="12"/>
  <c r="T8682" i="12"/>
  <c r="U8682" i="12"/>
  <c r="T8683" i="12"/>
  <c r="U8683" i="12"/>
  <c r="T8684" i="12"/>
  <c r="U8684" i="12"/>
  <c r="T8685" i="12"/>
  <c r="U8685" i="12"/>
  <c r="T8686" i="12"/>
  <c r="U8686" i="12"/>
  <c r="T8687" i="12"/>
  <c r="U8687" i="12"/>
  <c r="T8688" i="12"/>
  <c r="U8688" i="12"/>
  <c r="T8689" i="12"/>
  <c r="U8689" i="12"/>
  <c r="T8690" i="12"/>
  <c r="U8690" i="12"/>
  <c r="T8691" i="12"/>
  <c r="U8691" i="12"/>
  <c r="T8692" i="12"/>
  <c r="U8692" i="12"/>
  <c r="T8693" i="12"/>
  <c r="U8693" i="12"/>
  <c r="T8694" i="12"/>
  <c r="U8694" i="12"/>
  <c r="T8695" i="12"/>
  <c r="U8695" i="12"/>
  <c r="T8696" i="12"/>
  <c r="U8696" i="12"/>
  <c r="T8697" i="12"/>
  <c r="U8697" i="12"/>
  <c r="T8698" i="12"/>
  <c r="U8698" i="12"/>
  <c r="T8699" i="12"/>
  <c r="U8699" i="12"/>
  <c r="T8700" i="12"/>
  <c r="U8700" i="12"/>
  <c r="T8701" i="12"/>
  <c r="U8701" i="12"/>
  <c r="T8702" i="12"/>
  <c r="U8702" i="12"/>
  <c r="T8703" i="12"/>
  <c r="U8703" i="12"/>
  <c r="T8704" i="12"/>
  <c r="U8704" i="12"/>
  <c r="T8705" i="12"/>
  <c r="U8705" i="12"/>
  <c r="T8706" i="12"/>
  <c r="U8706" i="12"/>
  <c r="T8707" i="12"/>
  <c r="U8707" i="12"/>
  <c r="T8708" i="12"/>
  <c r="U8708" i="12"/>
  <c r="T8709" i="12"/>
  <c r="U8709" i="12"/>
  <c r="T8710" i="12"/>
  <c r="U8710" i="12"/>
  <c r="T8711" i="12"/>
  <c r="U8711" i="12"/>
  <c r="T8712" i="12"/>
  <c r="U8712" i="12"/>
  <c r="T8713" i="12"/>
  <c r="U8713" i="12"/>
  <c r="T8714" i="12"/>
  <c r="U8714" i="12"/>
  <c r="T8715" i="12"/>
  <c r="U8715" i="12"/>
  <c r="T8716" i="12"/>
  <c r="U8716" i="12"/>
  <c r="T8717" i="12"/>
  <c r="U8717" i="12"/>
  <c r="T8718" i="12"/>
  <c r="U8718" i="12"/>
  <c r="T8719" i="12"/>
  <c r="U8719" i="12"/>
  <c r="T8720" i="12"/>
  <c r="U8720" i="12"/>
  <c r="T8721" i="12"/>
  <c r="U8721" i="12"/>
  <c r="T8722" i="12"/>
  <c r="U8722" i="12"/>
  <c r="T8723" i="12"/>
  <c r="U8723" i="12"/>
  <c r="T8724" i="12"/>
  <c r="U8724" i="12"/>
  <c r="T8725" i="12"/>
  <c r="U8725" i="12"/>
  <c r="T8726" i="12"/>
  <c r="U8726" i="12"/>
  <c r="T8727" i="12"/>
  <c r="U8727" i="12"/>
  <c r="T8728" i="12"/>
  <c r="U8728" i="12"/>
  <c r="T8729" i="12"/>
  <c r="U8729" i="12"/>
  <c r="T8730" i="12"/>
  <c r="U8730" i="12"/>
  <c r="T8731" i="12"/>
  <c r="U8731" i="12"/>
  <c r="T8732" i="12"/>
  <c r="U8732" i="12"/>
  <c r="T8733" i="12"/>
  <c r="U8733" i="12"/>
  <c r="T8734" i="12"/>
  <c r="U8734" i="12"/>
  <c r="T8735" i="12"/>
  <c r="U8735" i="12"/>
  <c r="T8736" i="12"/>
  <c r="U8736" i="12"/>
  <c r="T8737" i="12"/>
  <c r="U8737" i="12"/>
  <c r="T8738" i="12"/>
  <c r="U8738" i="12"/>
  <c r="T8739" i="12"/>
  <c r="U8739" i="12"/>
  <c r="T8740" i="12"/>
  <c r="U8740" i="12"/>
  <c r="T8741" i="12"/>
  <c r="U8741" i="12"/>
  <c r="T8742" i="12"/>
  <c r="U8742" i="12"/>
  <c r="T8743" i="12"/>
  <c r="U8743" i="12"/>
  <c r="T8744" i="12"/>
  <c r="U8744" i="12"/>
  <c r="T8745" i="12"/>
  <c r="U8745" i="12"/>
  <c r="T8746" i="12"/>
  <c r="U8746" i="12"/>
  <c r="T8747" i="12"/>
  <c r="U8747" i="12"/>
  <c r="T8748" i="12"/>
  <c r="U8748" i="12"/>
  <c r="T8749" i="12"/>
  <c r="U8749" i="12"/>
  <c r="T8750" i="12"/>
  <c r="U8750" i="12"/>
  <c r="T8751" i="12"/>
  <c r="U8751" i="12"/>
  <c r="T8752" i="12"/>
  <c r="U8752" i="12"/>
  <c r="T8753" i="12"/>
  <c r="U8753" i="12"/>
  <c r="T8754" i="12"/>
  <c r="U8754" i="12"/>
  <c r="T8755" i="12"/>
  <c r="U8755" i="12"/>
  <c r="T8756" i="12"/>
  <c r="U8756" i="12"/>
  <c r="T8757" i="12"/>
  <c r="U8757" i="12"/>
  <c r="T8758" i="12"/>
  <c r="U8758" i="12"/>
  <c r="T8759" i="12"/>
  <c r="U8759" i="12"/>
  <c r="T8760" i="12"/>
  <c r="U8760" i="12"/>
  <c r="T8761" i="12"/>
  <c r="U8761" i="12"/>
  <c r="T8762" i="12"/>
  <c r="U8762" i="12"/>
  <c r="T8763" i="12"/>
  <c r="U8763" i="12"/>
  <c r="T8764" i="12"/>
  <c r="U8764" i="12"/>
  <c r="T8765" i="12"/>
  <c r="U8765" i="12"/>
  <c r="T8766" i="12"/>
  <c r="U8766" i="12"/>
  <c r="T8767" i="12"/>
  <c r="U8767" i="12"/>
  <c r="T8768" i="12"/>
  <c r="U8768" i="12"/>
  <c r="T8769" i="12"/>
  <c r="U8769" i="12"/>
  <c r="T8770" i="12"/>
  <c r="U8770" i="12"/>
  <c r="T8771" i="12"/>
  <c r="U8771" i="12"/>
  <c r="T8772" i="12"/>
  <c r="U8772" i="12"/>
  <c r="T8773" i="12"/>
  <c r="U8773" i="12"/>
  <c r="T8774" i="12"/>
  <c r="U8774" i="12"/>
  <c r="T8775" i="12"/>
  <c r="U8775" i="12"/>
  <c r="T8776" i="12"/>
  <c r="U8776" i="12"/>
  <c r="T8777" i="12"/>
  <c r="U8777" i="12"/>
  <c r="T8778" i="12"/>
  <c r="U8778" i="12"/>
  <c r="T8779" i="12"/>
  <c r="U8779" i="12"/>
  <c r="T8780" i="12"/>
  <c r="U8780" i="12"/>
  <c r="T8781" i="12"/>
  <c r="U8781" i="12"/>
  <c r="T8782" i="12"/>
  <c r="U8782" i="12"/>
  <c r="T8783" i="12"/>
  <c r="U8783" i="12"/>
  <c r="T8784" i="12"/>
  <c r="U8784" i="12"/>
  <c r="T8785" i="12"/>
  <c r="U8785" i="12"/>
  <c r="T8786" i="12"/>
  <c r="U8786" i="12"/>
  <c r="T8787" i="12"/>
  <c r="U8787" i="12"/>
  <c r="T8788" i="12"/>
  <c r="U8788" i="12"/>
  <c r="T8789" i="12"/>
  <c r="U8789" i="12"/>
  <c r="T8790" i="12"/>
  <c r="U8790" i="12"/>
  <c r="T8791" i="12"/>
  <c r="U8791" i="12"/>
  <c r="T8792" i="12"/>
  <c r="U8792" i="12"/>
  <c r="T8793" i="12"/>
  <c r="U8793" i="12"/>
  <c r="T8794" i="12"/>
  <c r="U8794" i="12"/>
  <c r="T8795" i="12"/>
  <c r="U8795" i="12"/>
  <c r="T8796" i="12"/>
  <c r="U8796" i="12"/>
  <c r="T8797" i="12"/>
  <c r="U8797" i="12"/>
  <c r="T8798" i="12"/>
  <c r="U8798" i="12"/>
  <c r="T8799" i="12"/>
  <c r="U8799" i="12"/>
  <c r="T8800" i="12"/>
  <c r="U8800" i="12"/>
  <c r="T8801" i="12"/>
  <c r="U8801" i="12"/>
  <c r="T8802" i="12"/>
  <c r="U8802" i="12"/>
  <c r="T8803" i="12"/>
  <c r="U8803" i="12"/>
  <c r="T8804" i="12"/>
  <c r="U8804" i="12"/>
  <c r="T8805" i="12"/>
  <c r="U8805" i="12"/>
  <c r="T8806" i="12"/>
  <c r="U8806" i="12"/>
  <c r="T8807" i="12"/>
  <c r="U8807" i="12"/>
  <c r="T8808" i="12"/>
  <c r="U8808" i="12"/>
  <c r="T8809" i="12"/>
  <c r="U8809" i="12"/>
  <c r="T8810" i="12"/>
  <c r="U8810" i="12"/>
  <c r="T8811" i="12"/>
  <c r="U8811" i="12"/>
  <c r="T8812" i="12"/>
  <c r="U8812" i="12"/>
  <c r="T8813" i="12"/>
  <c r="U8813" i="12"/>
  <c r="T8814" i="12"/>
  <c r="U8814" i="12"/>
  <c r="T8815" i="12"/>
  <c r="U8815" i="12"/>
  <c r="T8816" i="12"/>
  <c r="U8816" i="12"/>
  <c r="T8817" i="12"/>
  <c r="U8817" i="12"/>
  <c r="T8818" i="12"/>
  <c r="U8818" i="12"/>
  <c r="T8819" i="12"/>
  <c r="U8819" i="12"/>
  <c r="T8820" i="12"/>
  <c r="U8820" i="12"/>
  <c r="T8821" i="12"/>
  <c r="U8821" i="12"/>
  <c r="T8822" i="12"/>
  <c r="U8822" i="12"/>
  <c r="T8823" i="12"/>
  <c r="U8823" i="12"/>
  <c r="T8824" i="12"/>
  <c r="U8824" i="12"/>
  <c r="T8825" i="12"/>
  <c r="U8825" i="12"/>
  <c r="T8826" i="12"/>
  <c r="U8826" i="12"/>
  <c r="T8827" i="12"/>
  <c r="U8827" i="12"/>
  <c r="T8828" i="12"/>
  <c r="U8828" i="12"/>
  <c r="T8829" i="12"/>
  <c r="U8829" i="12"/>
  <c r="T8830" i="12"/>
  <c r="U8830" i="12"/>
  <c r="T8831" i="12"/>
  <c r="U8831" i="12"/>
  <c r="T8832" i="12"/>
  <c r="U8832" i="12"/>
  <c r="T8833" i="12"/>
  <c r="U8833" i="12"/>
  <c r="T8834" i="12"/>
  <c r="U8834" i="12"/>
  <c r="T8835" i="12"/>
  <c r="U8835" i="12"/>
  <c r="T8836" i="12"/>
  <c r="U8836" i="12"/>
  <c r="T8837" i="12"/>
  <c r="U8837" i="12"/>
  <c r="T8838" i="12"/>
  <c r="U8838" i="12"/>
  <c r="T8839" i="12"/>
  <c r="U8839" i="12"/>
  <c r="T8840" i="12"/>
  <c r="U8840" i="12"/>
  <c r="T8841" i="12"/>
  <c r="U8841" i="12"/>
  <c r="T8842" i="12"/>
  <c r="U8842" i="12"/>
  <c r="T8843" i="12"/>
  <c r="U8843" i="12"/>
  <c r="T8844" i="12"/>
  <c r="U8844" i="12"/>
  <c r="T8845" i="12"/>
  <c r="U8845" i="12"/>
  <c r="T8846" i="12"/>
  <c r="U8846" i="12"/>
  <c r="T8847" i="12"/>
  <c r="U8847" i="12"/>
  <c r="T8848" i="12"/>
  <c r="U8848" i="12"/>
  <c r="T8849" i="12"/>
  <c r="U8849" i="12"/>
  <c r="T8850" i="12"/>
  <c r="U8850" i="12"/>
  <c r="T8851" i="12"/>
  <c r="U8851" i="12"/>
  <c r="T8852" i="12"/>
  <c r="U8852" i="12"/>
  <c r="T8853" i="12"/>
  <c r="U8853" i="12"/>
  <c r="T8854" i="12"/>
  <c r="U8854" i="12"/>
  <c r="T8855" i="12"/>
  <c r="U8855" i="12"/>
  <c r="T8856" i="12"/>
  <c r="U8856" i="12"/>
  <c r="T8857" i="12"/>
  <c r="U8857" i="12"/>
  <c r="T8858" i="12"/>
  <c r="U8858" i="12"/>
  <c r="T8859" i="12"/>
  <c r="U8859" i="12"/>
  <c r="T8860" i="12"/>
  <c r="U8860" i="12"/>
  <c r="T8861" i="12"/>
  <c r="U8861" i="12"/>
  <c r="T8862" i="12"/>
  <c r="U8862" i="12"/>
  <c r="T8863" i="12"/>
  <c r="U8863" i="12"/>
  <c r="T8864" i="12"/>
  <c r="U8864" i="12"/>
  <c r="T8865" i="12"/>
  <c r="U8865" i="12"/>
  <c r="T8866" i="12"/>
  <c r="U8866" i="12"/>
  <c r="T8867" i="12"/>
  <c r="U8867" i="12"/>
  <c r="T8868" i="12"/>
  <c r="U8868" i="12"/>
  <c r="T8869" i="12"/>
  <c r="U8869" i="12"/>
  <c r="T8870" i="12"/>
  <c r="U8870" i="12"/>
  <c r="T8871" i="12"/>
  <c r="U8871" i="12"/>
  <c r="T8872" i="12"/>
  <c r="U8872" i="12"/>
  <c r="T8873" i="12"/>
  <c r="U8873" i="12"/>
  <c r="T8874" i="12"/>
  <c r="U8874" i="12"/>
  <c r="T8875" i="12"/>
  <c r="U8875" i="12"/>
  <c r="T8876" i="12"/>
  <c r="U8876" i="12"/>
  <c r="T8877" i="12"/>
  <c r="U8877" i="12"/>
  <c r="T8878" i="12"/>
  <c r="U8878" i="12"/>
  <c r="T8879" i="12"/>
  <c r="U8879" i="12"/>
  <c r="T8880" i="12"/>
  <c r="U8880" i="12"/>
  <c r="T8881" i="12"/>
  <c r="U8881" i="12"/>
  <c r="T8882" i="12"/>
  <c r="U8882" i="12"/>
  <c r="T8883" i="12"/>
  <c r="U8883" i="12"/>
  <c r="T8884" i="12"/>
  <c r="U8884" i="12"/>
  <c r="T8885" i="12"/>
  <c r="U8885" i="12"/>
  <c r="T8886" i="12"/>
  <c r="U8886" i="12"/>
  <c r="T8887" i="12"/>
  <c r="U8887" i="12"/>
  <c r="T8888" i="12"/>
  <c r="U8888" i="12"/>
  <c r="T8889" i="12"/>
  <c r="U8889" i="12"/>
  <c r="T8890" i="12"/>
  <c r="U8890" i="12"/>
  <c r="T8891" i="12"/>
  <c r="U8891" i="12"/>
  <c r="T8892" i="12"/>
  <c r="U8892" i="12"/>
  <c r="T8893" i="12"/>
  <c r="U8893" i="12"/>
  <c r="T8894" i="12"/>
  <c r="U8894" i="12"/>
  <c r="T8895" i="12"/>
  <c r="U8895" i="12"/>
  <c r="T8896" i="12"/>
  <c r="U8896" i="12"/>
  <c r="T8897" i="12"/>
  <c r="U8897" i="12"/>
  <c r="T8898" i="12"/>
  <c r="U8898" i="12"/>
  <c r="T8899" i="12"/>
  <c r="U8899" i="12"/>
  <c r="T8900" i="12"/>
  <c r="U8900" i="12"/>
  <c r="T8901" i="12"/>
  <c r="U8901" i="12"/>
  <c r="T8902" i="12"/>
  <c r="U8902" i="12"/>
  <c r="T8903" i="12"/>
  <c r="U8903" i="12"/>
  <c r="T8904" i="12"/>
  <c r="U8904" i="12"/>
  <c r="T8905" i="12"/>
  <c r="U8905" i="12"/>
  <c r="T8906" i="12"/>
  <c r="U8906" i="12"/>
  <c r="T8907" i="12"/>
  <c r="U8907" i="12"/>
  <c r="T8908" i="12"/>
  <c r="U8908" i="12"/>
  <c r="T8909" i="12"/>
  <c r="U8909" i="12"/>
  <c r="T8910" i="12"/>
  <c r="U8910" i="12"/>
  <c r="T8911" i="12"/>
  <c r="U8911" i="12"/>
  <c r="T8912" i="12"/>
  <c r="U8912" i="12"/>
  <c r="T8913" i="12"/>
  <c r="U8913" i="12"/>
  <c r="T8914" i="12"/>
  <c r="U8914" i="12"/>
  <c r="T8915" i="12"/>
  <c r="U8915" i="12"/>
  <c r="T8916" i="12"/>
  <c r="U8916" i="12"/>
  <c r="T8917" i="12"/>
  <c r="U8917" i="12"/>
  <c r="T8918" i="12"/>
  <c r="U8918" i="12"/>
  <c r="T8919" i="12"/>
  <c r="U8919" i="12"/>
  <c r="T8920" i="12"/>
  <c r="U8920" i="12"/>
  <c r="T8921" i="12"/>
  <c r="U8921" i="12"/>
  <c r="T8922" i="12"/>
  <c r="U8922" i="12"/>
  <c r="T8923" i="12"/>
  <c r="U8923" i="12"/>
  <c r="T8924" i="12"/>
  <c r="U8924" i="12"/>
  <c r="T8925" i="12"/>
  <c r="U8925" i="12"/>
  <c r="T8926" i="12"/>
  <c r="U8926" i="12"/>
  <c r="T8927" i="12"/>
  <c r="U8927" i="12"/>
  <c r="T8928" i="12"/>
  <c r="U8928" i="12"/>
  <c r="T8929" i="12"/>
  <c r="U8929" i="12"/>
  <c r="T8930" i="12"/>
  <c r="U8930" i="12"/>
  <c r="T8931" i="12"/>
  <c r="U8931" i="12"/>
  <c r="T8932" i="12"/>
  <c r="U8932" i="12"/>
  <c r="T8933" i="12"/>
  <c r="U8933" i="12"/>
  <c r="T8934" i="12"/>
  <c r="U8934" i="12"/>
  <c r="T8935" i="12"/>
  <c r="U8935" i="12"/>
  <c r="T8936" i="12"/>
  <c r="U8936" i="12"/>
  <c r="T8937" i="12"/>
  <c r="U8937" i="12"/>
  <c r="T8938" i="12"/>
  <c r="U8938" i="12"/>
  <c r="T8939" i="12"/>
  <c r="U8939" i="12"/>
  <c r="T8940" i="12"/>
  <c r="U8940" i="12"/>
  <c r="T8941" i="12"/>
  <c r="U8941" i="12"/>
  <c r="T8942" i="12"/>
  <c r="U8942" i="12"/>
  <c r="T8943" i="12"/>
  <c r="U8943" i="12"/>
  <c r="T8944" i="12"/>
  <c r="U8944" i="12"/>
  <c r="T8945" i="12"/>
  <c r="U8945" i="12"/>
  <c r="T8946" i="12"/>
  <c r="U8946" i="12"/>
  <c r="T8947" i="12"/>
  <c r="U8947" i="12"/>
  <c r="T8948" i="12"/>
  <c r="U8948" i="12"/>
  <c r="T8949" i="12"/>
  <c r="U8949" i="12"/>
  <c r="T8950" i="12"/>
  <c r="U8950" i="12"/>
  <c r="T8951" i="12"/>
  <c r="U8951" i="12"/>
  <c r="T8952" i="12"/>
  <c r="U8952" i="12"/>
  <c r="T8953" i="12"/>
  <c r="U8953" i="12"/>
  <c r="T8954" i="12"/>
  <c r="U8954" i="12"/>
  <c r="T8955" i="12"/>
  <c r="U8955" i="12"/>
  <c r="T8956" i="12"/>
  <c r="U8956" i="12"/>
  <c r="T8957" i="12"/>
  <c r="U8957" i="12"/>
  <c r="T8958" i="12"/>
  <c r="U8958" i="12"/>
  <c r="T8959" i="12"/>
  <c r="U8959" i="12"/>
  <c r="T8960" i="12"/>
  <c r="U8960" i="12"/>
  <c r="T8961" i="12"/>
  <c r="U8961" i="12"/>
  <c r="T8962" i="12"/>
  <c r="U8962" i="12"/>
  <c r="T8963" i="12"/>
  <c r="U8963" i="12"/>
  <c r="T8964" i="12"/>
  <c r="U8964" i="12"/>
  <c r="T8965" i="12"/>
  <c r="U8965" i="12"/>
  <c r="T8966" i="12"/>
  <c r="U8966" i="12"/>
  <c r="T8967" i="12"/>
  <c r="U8967" i="12"/>
  <c r="T8968" i="12"/>
  <c r="U8968" i="12"/>
  <c r="T8969" i="12"/>
  <c r="U8969" i="12"/>
  <c r="T8970" i="12"/>
  <c r="U8970" i="12"/>
  <c r="T8971" i="12"/>
  <c r="U8971" i="12"/>
  <c r="T8972" i="12"/>
  <c r="U8972" i="12"/>
  <c r="T8973" i="12"/>
  <c r="U8973" i="12"/>
  <c r="T8974" i="12"/>
  <c r="U8974" i="12"/>
  <c r="T8975" i="12"/>
  <c r="U8975" i="12"/>
  <c r="T8976" i="12"/>
  <c r="U8976" i="12"/>
  <c r="T8977" i="12"/>
  <c r="U8977" i="12"/>
  <c r="T8978" i="12"/>
  <c r="U8978" i="12"/>
  <c r="T8979" i="12"/>
  <c r="U8979" i="12"/>
  <c r="T8980" i="12"/>
  <c r="U8980" i="12"/>
  <c r="T8981" i="12"/>
  <c r="U8981" i="12"/>
  <c r="T8982" i="12"/>
  <c r="U8982" i="12"/>
  <c r="T8983" i="12"/>
  <c r="U8983" i="12"/>
  <c r="T8984" i="12"/>
  <c r="U8984" i="12"/>
  <c r="T8985" i="12"/>
  <c r="U8985" i="12"/>
  <c r="T8986" i="12"/>
  <c r="U8986" i="12"/>
  <c r="T8987" i="12"/>
  <c r="U8987" i="12"/>
  <c r="T8988" i="12"/>
  <c r="U8988" i="12"/>
  <c r="T8989" i="12"/>
  <c r="U8989" i="12"/>
  <c r="T8990" i="12"/>
  <c r="U8990" i="12"/>
  <c r="T8991" i="12"/>
  <c r="U8991" i="12"/>
  <c r="T8992" i="12"/>
  <c r="U8992" i="12"/>
  <c r="T8993" i="12"/>
  <c r="U8993" i="12"/>
  <c r="T8994" i="12"/>
  <c r="U8994" i="12"/>
  <c r="T8995" i="12"/>
  <c r="U8995" i="12"/>
  <c r="T8996" i="12"/>
  <c r="U8996" i="12"/>
  <c r="T8997" i="12"/>
  <c r="U8997" i="12"/>
  <c r="T8998" i="12"/>
  <c r="U8998" i="12"/>
  <c r="T8999" i="12"/>
  <c r="U8999" i="12"/>
  <c r="T9000" i="12"/>
  <c r="U9000" i="12"/>
  <c r="T9001" i="12"/>
  <c r="U9001" i="12"/>
  <c r="T9002" i="12"/>
  <c r="U9002" i="12"/>
  <c r="T9003" i="12"/>
  <c r="U9003" i="12"/>
  <c r="T9004" i="12"/>
  <c r="U9004" i="12"/>
  <c r="T9005" i="12"/>
  <c r="U9005" i="12"/>
  <c r="T9006" i="12"/>
  <c r="U9006" i="12"/>
  <c r="T9007" i="12"/>
  <c r="U9007" i="12"/>
  <c r="T9008" i="12"/>
  <c r="U9008" i="12"/>
  <c r="T9009" i="12"/>
  <c r="U9009" i="12"/>
  <c r="T9010" i="12"/>
  <c r="U9010" i="12"/>
  <c r="T9011" i="12"/>
  <c r="U9011" i="12"/>
  <c r="T9012" i="12"/>
  <c r="U9012" i="12"/>
  <c r="T9013" i="12"/>
  <c r="U9013" i="12"/>
  <c r="T9014" i="12"/>
  <c r="U9014" i="12"/>
  <c r="T9015" i="12"/>
  <c r="U9015" i="12"/>
  <c r="T9016" i="12"/>
  <c r="U9016" i="12"/>
  <c r="T9017" i="12"/>
  <c r="U9017" i="12"/>
  <c r="T9018" i="12"/>
  <c r="U9018" i="12"/>
  <c r="T9019" i="12"/>
  <c r="U9019" i="12"/>
  <c r="T9020" i="12"/>
  <c r="U9020" i="12"/>
  <c r="T9021" i="12"/>
  <c r="U9021" i="12"/>
  <c r="T9022" i="12"/>
  <c r="U9022" i="12"/>
  <c r="T9023" i="12"/>
  <c r="U9023" i="12"/>
  <c r="T9024" i="12"/>
  <c r="U9024" i="12"/>
  <c r="T9025" i="12"/>
  <c r="U9025" i="12"/>
  <c r="T9026" i="12"/>
  <c r="U9026" i="12"/>
  <c r="T9027" i="12"/>
  <c r="U9027" i="12"/>
  <c r="T9028" i="12"/>
  <c r="U9028" i="12"/>
  <c r="T9029" i="12"/>
  <c r="U9029" i="12"/>
  <c r="T9030" i="12"/>
  <c r="U9030" i="12"/>
  <c r="T9031" i="12"/>
  <c r="U9031" i="12"/>
  <c r="T9032" i="12"/>
  <c r="U9032" i="12"/>
  <c r="T9033" i="12"/>
  <c r="U9033" i="12"/>
  <c r="T9034" i="12"/>
  <c r="U9034" i="12"/>
  <c r="T9035" i="12"/>
  <c r="U9035" i="12"/>
  <c r="T9036" i="12"/>
  <c r="U9036" i="12"/>
  <c r="T9037" i="12"/>
  <c r="U9037" i="12"/>
  <c r="T9038" i="12"/>
  <c r="U9038" i="12"/>
  <c r="T9039" i="12"/>
  <c r="U9039" i="12"/>
  <c r="T9040" i="12"/>
  <c r="U9040" i="12"/>
  <c r="T9041" i="12"/>
  <c r="U9041" i="12"/>
  <c r="T9042" i="12"/>
  <c r="U9042" i="12"/>
  <c r="T9043" i="12"/>
  <c r="U9043" i="12"/>
  <c r="T9044" i="12"/>
  <c r="U9044" i="12"/>
  <c r="T9045" i="12"/>
  <c r="U9045" i="12"/>
  <c r="T9046" i="12"/>
  <c r="U9046" i="12"/>
  <c r="T9047" i="12"/>
  <c r="U9047" i="12"/>
  <c r="T9048" i="12"/>
  <c r="U9048" i="12"/>
  <c r="T9049" i="12"/>
  <c r="U9049" i="12"/>
  <c r="T9050" i="12"/>
  <c r="U9050" i="12"/>
  <c r="T9051" i="12"/>
  <c r="U9051" i="12"/>
  <c r="T9052" i="12"/>
  <c r="U9052" i="12"/>
  <c r="T9053" i="12"/>
  <c r="U9053" i="12"/>
  <c r="T9054" i="12"/>
  <c r="U9054" i="12"/>
  <c r="T9055" i="12"/>
  <c r="U9055" i="12"/>
  <c r="T9056" i="12"/>
  <c r="U9056" i="12"/>
  <c r="T9057" i="12"/>
  <c r="U9057" i="12"/>
  <c r="T9058" i="12"/>
  <c r="U9058" i="12"/>
  <c r="T9059" i="12"/>
  <c r="U9059" i="12"/>
  <c r="T9060" i="12"/>
  <c r="U9060" i="12"/>
  <c r="T9061" i="12"/>
  <c r="U9061" i="12"/>
  <c r="T9062" i="12"/>
  <c r="U9062" i="12"/>
  <c r="T9063" i="12"/>
  <c r="U9063" i="12"/>
  <c r="T9064" i="12"/>
  <c r="U9064" i="12"/>
  <c r="T9065" i="12"/>
  <c r="U9065" i="12"/>
  <c r="T9066" i="12"/>
  <c r="U9066" i="12"/>
  <c r="T9067" i="12"/>
  <c r="U9067" i="12"/>
  <c r="T9068" i="12"/>
  <c r="U9068" i="12"/>
  <c r="T9069" i="12"/>
  <c r="U9069" i="12"/>
  <c r="T9070" i="12"/>
  <c r="U9070" i="12"/>
  <c r="T9071" i="12"/>
  <c r="U9071" i="12"/>
  <c r="T9072" i="12"/>
  <c r="U9072" i="12"/>
  <c r="T9073" i="12"/>
  <c r="U9073" i="12"/>
  <c r="T9074" i="12"/>
  <c r="U9074" i="12"/>
  <c r="T9075" i="12"/>
  <c r="U9075" i="12"/>
  <c r="T9076" i="12"/>
  <c r="U9076" i="12"/>
  <c r="T9077" i="12"/>
  <c r="U9077" i="12"/>
  <c r="T9078" i="12"/>
  <c r="U9078" i="12"/>
  <c r="T9079" i="12"/>
  <c r="U9079" i="12"/>
  <c r="T9080" i="12"/>
  <c r="U9080" i="12"/>
  <c r="T9081" i="12"/>
  <c r="U9081" i="12"/>
  <c r="T9082" i="12"/>
  <c r="U9082" i="12"/>
  <c r="T9083" i="12"/>
  <c r="U9083" i="12"/>
  <c r="T9084" i="12"/>
  <c r="U9084" i="12"/>
  <c r="T9085" i="12"/>
  <c r="U9085" i="12"/>
  <c r="T9086" i="12"/>
  <c r="U9086" i="12"/>
  <c r="T9087" i="12"/>
  <c r="U9087" i="12"/>
  <c r="T9088" i="12"/>
  <c r="U9088" i="12"/>
  <c r="T9089" i="12"/>
  <c r="U9089" i="12"/>
  <c r="T9090" i="12"/>
  <c r="U9090" i="12"/>
  <c r="T9091" i="12"/>
  <c r="U9091" i="12"/>
  <c r="T9092" i="12"/>
  <c r="U9092" i="12"/>
  <c r="T9093" i="12"/>
  <c r="U9093" i="12"/>
  <c r="T9094" i="12"/>
  <c r="U9094" i="12"/>
  <c r="T9095" i="12"/>
  <c r="U9095" i="12"/>
  <c r="T9096" i="12"/>
  <c r="U9096" i="12"/>
  <c r="T9097" i="12"/>
  <c r="U9097" i="12"/>
  <c r="T9098" i="12"/>
  <c r="U9098" i="12"/>
  <c r="T9099" i="12"/>
  <c r="U9099" i="12"/>
  <c r="T9100" i="12"/>
  <c r="U9100" i="12"/>
  <c r="T9101" i="12"/>
  <c r="U9101" i="12"/>
  <c r="T9102" i="12"/>
  <c r="U9102" i="12"/>
  <c r="T9103" i="12"/>
  <c r="U9103" i="12"/>
  <c r="T9104" i="12"/>
  <c r="U9104" i="12"/>
  <c r="T9105" i="12"/>
  <c r="U9105" i="12"/>
  <c r="T9106" i="12"/>
  <c r="U9106" i="12"/>
  <c r="T9107" i="12"/>
  <c r="U9107" i="12"/>
  <c r="T9108" i="12"/>
  <c r="U9108" i="12"/>
  <c r="T9109" i="12"/>
  <c r="U9109" i="12"/>
  <c r="T9110" i="12"/>
  <c r="U9110" i="12"/>
  <c r="T9111" i="12"/>
  <c r="U9111" i="12"/>
  <c r="T9112" i="12"/>
  <c r="U9112" i="12"/>
  <c r="T9113" i="12"/>
  <c r="U9113" i="12"/>
  <c r="T9114" i="12"/>
  <c r="U9114" i="12"/>
  <c r="T9115" i="12"/>
  <c r="U9115" i="12"/>
  <c r="T9116" i="12"/>
  <c r="U9116" i="12"/>
  <c r="T9117" i="12"/>
  <c r="U9117" i="12"/>
  <c r="T9118" i="12"/>
  <c r="U9118" i="12"/>
  <c r="T9119" i="12"/>
  <c r="U9119" i="12"/>
  <c r="T9120" i="12"/>
  <c r="U9120" i="12"/>
  <c r="T9121" i="12"/>
  <c r="U9121" i="12"/>
  <c r="T9122" i="12"/>
  <c r="U9122" i="12"/>
  <c r="T9123" i="12"/>
  <c r="U9123" i="12"/>
  <c r="T9124" i="12"/>
  <c r="U9124" i="12"/>
  <c r="T9125" i="12"/>
  <c r="U9125" i="12"/>
  <c r="T9126" i="12"/>
  <c r="U9126" i="12"/>
  <c r="T9127" i="12"/>
  <c r="U9127" i="12"/>
  <c r="T9128" i="12"/>
  <c r="U9128" i="12"/>
  <c r="T9129" i="12"/>
  <c r="U9129" i="12"/>
  <c r="T9130" i="12"/>
  <c r="U9130" i="12"/>
  <c r="T9131" i="12"/>
  <c r="U9131" i="12"/>
  <c r="T9132" i="12"/>
  <c r="U9132" i="12"/>
  <c r="T9133" i="12"/>
  <c r="U9133" i="12"/>
  <c r="T9134" i="12"/>
  <c r="U9134" i="12"/>
  <c r="T9135" i="12"/>
  <c r="U9135" i="12"/>
  <c r="T9136" i="12"/>
  <c r="U9136" i="12"/>
  <c r="T9137" i="12"/>
  <c r="U9137" i="12"/>
  <c r="T9138" i="12"/>
  <c r="U9138" i="12"/>
  <c r="T9139" i="12"/>
  <c r="U9139" i="12"/>
  <c r="T9140" i="12"/>
  <c r="U9140" i="12"/>
  <c r="T9141" i="12"/>
  <c r="U9141" i="12"/>
  <c r="T9142" i="12"/>
  <c r="U9142" i="12"/>
  <c r="T9143" i="12"/>
  <c r="U9143" i="12"/>
  <c r="T9144" i="12"/>
  <c r="U9144" i="12"/>
  <c r="T9145" i="12"/>
  <c r="U9145" i="12"/>
  <c r="T9146" i="12"/>
  <c r="U9146" i="12"/>
  <c r="T9147" i="12"/>
  <c r="U9147" i="12"/>
  <c r="T9148" i="12"/>
  <c r="U9148" i="12"/>
  <c r="T9149" i="12"/>
  <c r="U9149" i="12"/>
  <c r="T9150" i="12"/>
  <c r="U9150" i="12"/>
  <c r="T9151" i="12"/>
  <c r="U9151" i="12"/>
  <c r="T9152" i="12"/>
  <c r="U9152" i="12"/>
  <c r="T9153" i="12"/>
  <c r="U9153" i="12"/>
  <c r="T9154" i="12"/>
  <c r="U9154" i="12"/>
  <c r="T9155" i="12"/>
  <c r="U9155" i="12"/>
  <c r="T9156" i="12"/>
  <c r="U9156" i="12"/>
  <c r="T9157" i="12"/>
  <c r="U9157" i="12"/>
  <c r="T9158" i="12"/>
  <c r="U9158" i="12"/>
  <c r="T9159" i="12"/>
  <c r="U9159" i="12"/>
  <c r="T9160" i="12"/>
  <c r="U9160" i="12"/>
  <c r="T9161" i="12"/>
  <c r="U9161" i="12"/>
  <c r="T9162" i="12"/>
  <c r="U9162" i="12"/>
  <c r="T9163" i="12"/>
  <c r="U9163" i="12"/>
  <c r="T9164" i="12"/>
  <c r="U9164" i="12"/>
  <c r="T9165" i="12"/>
  <c r="U9165" i="12"/>
  <c r="T9166" i="12"/>
  <c r="U9166" i="12"/>
  <c r="T9167" i="12"/>
  <c r="U9167" i="12"/>
  <c r="T9168" i="12"/>
  <c r="U9168" i="12"/>
  <c r="T9169" i="12"/>
  <c r="U9169" i="12"/>
  <c r="T9170" i="12"/>
  <c r="U9170" i="12"/>
  <c r="T9171" i="12"/>
  <c r="U9171" i="12"/>
  <c r="T9172" i="12"/>
  <c r="U9172" i="12"/>
  <c r="T9173" i="12"/>
  <c r="U9173" i="12"/>
  <c r="T9174" i="12"/>
  <c r="U9174" i="12"/>
  <c r="T9175" i="12"/>
  <c r="U9175" i="12"/>
  <c r="T9176" i="12"/>
  <c r="U9176" i="12"/>
  <c r="T9177" i="12"/>
  <c r="U9177" i="12"/>
  <c r="T9178" i="12"/>
  <c r="U9178" i="12"/>
  <c r="T9179" i="12"/>
  <c r="U9179" i="12"/>
  <c r="T9180" i="12"/>
  <c r="U9180" i="12"/>
  <c r="T9181" i="12"/>
  <c r="U9181" i="12"/>
  <c r="T9182" i="12"/>
  <c r="U9182" i="12"/>
  <c r="T9183" i="12"/>
  <c r="U9183" i="12"/>
  <c r="T9184" i="12"/>
  <c r="U9184" i="12"/>
  <c r="T9185" i="12"/>
  <c r="U9185" i="12"/>
  <c r="T9186" i="12"/>
  <c r="U9186" i="12"/>
  <c r="T9187" i="12"/>
  <c r="U9187" i="12"/>
  <c r="T9188" i="12"/>
  <c r="U9188" i="12"/>
  <c r="T9189" i="12"/>
  <c r="U9189" i="12"/>
  <c r="T9190" i="12"/>
  <c r="U9190" i="12"/>
  <c r="T9191" i="12"/>
  <c r="U9191" i="12"/>
  <c r="T9192" i="12"/>
  <c r="U9192" i="12"/>
  <c r="T9193" i="12"/>
  <c r="U9193" i="12"/>
  <c r="T9194" i="12"/>
  <c r="U9194" i="12"/>
  <c r="T9195" i="12"/>
  <c r="U9195" i="12"/>
  <c r="T9196" i="12"/>
  <c r="U9196" i="12"/>
  <c r="T9197" i="12"/>
  <c r="U9197" i="12"/>
  <c r="T9198" i="12"/>
  <c r="U9198" i="12"/>
  <c r="T9199" i="12"/>
  <c r="U9199" i="12"/>
  <c r="T9200" i="12"/>
  <c r="U9200" i="12"/>
  <c r="T9201" i="12"/>
  <c r="U9201" i="12"/>
  <c r="T9202" i="12"/>
  <c r="U9202" i="12"/>
  <c r="T9203" i="12"/>
  <c r="U9203" i="12"/>
  <c r="T9204" i="12"/>
  <c r="U9204" i="12"/>
  <c r="T9205" i="12"/>
  <c r="U9205" i="12"/>
  <c r="T9206" i="12"/>
  <c r="U9206" i="12"/>
  <c r="T9207" i="12"/>
  <c r="U9207" i="12"/>
  <c r="T9208" i="12"/>
  <c r="U9208" i="12"/>
  <c r="T9209" i="12"/>
  <c r="U9209" i="12"/>
  <c r="T9210" i="12"/>
  <c r="U9210" i="12"/>
  <c r="T9211" i="12"/>
  <c r="U9211" i="12"/>
  <c r="T9212" i="12"/>
  <c r="U9212" i="12"/>
  <c r="T9213" i="12"/>
  <c r="U9213" i="12"/>
  <c r="T9214" i="12"/>
  <c r="U9214" i="12"/>
  <c r="T9215" i="12"/>
  <c r="U9215" i="12"/>
  <c r="T9216" i="12"/>
  <c r="U9216" i="12"/>
  <c r="T9217" i="12"/>
  <c r="U9217" i="12"/>
  <c r="T9218" i="12"/>
  <c r="U9218" i="12"/>
  <c r="T9219" i="12"/>
  <c r="U9219" i="12"/>
  <c r="T9220" i="12"/>
  <c r="U9220" i="12"/>
  <c r="T9221" i="12"/>
  <c r="U9221" i="12"/>
  <c r="T9222" i="12"/>
  <c r="U9222" i="12"/>
  <c r="T9223" i="12"/>
  <c r="U9223" i="12"/>
  <c r="T9224" i="12"/>
  <c r="U9224" i="12"/>
  <c r="T9225" i="12"/>
  <c r="U9225" i="12"/>
  <c r="T9226" i="12"/>
  <c r="U9226" i="12"/>
  <c r="T9227" i="12"/>
  <c r="U9227" i="12"/>
  <c r="T9228" i="12"/>
  <c r="U9228" i="12"/>
  <c r="T9229" i="12"/>
  <c r="U9229" i="12"/>
  <c r="T9230" i="12"/>
  <c r="U9230" i="12"/>
  <c r="T9231" i="12"/>
  <c r="U9231" i="12"/>
  <c r="T9232" i="12"/>
  <c r="U9232" i="12"/>
  <c r="T9233" i="12"/>
  <c r="U9233" i="12"/>
  <c r="T9234" i="12"/>
  <c r="U9234" i="12"/>
  <c r="T9235" i="12"/>
  <c r="U9235" i="12"/>
  <c r="T9236" i="12"/>
  <c r="U9236" i="12"/>
  <c r="T9237" i="12"/>
  <c r="U9237" i="12"/>
  <c r="T9238" i="12"/>
  <c r="U9238" i="12"/>
  <c r="T9239" i="12"/>
  <c r="U9239" i="12"/>
  <c r="T9240" i="12"/>
  <c r="U9240" i="12"/>
  <c r="T9241" i="12"/>
  <c r="U9241" i="12"/>
  <c r="T9242" i="12"/>
  <c r="U9242" i="12"/>
  <c r="T9243" i="12"/>
  <c r="U9243" i="12"/>
  <c r="T9244" i="12"/>
  <c r="U9244" i="12"/>
  <c r="T9245" i="12"/>
  <c r="U9245" i="12"/>
  <c r="T9246" i="12"/>
  <c r="U9246" i="12"/>
  <c r="T9247" i="12"/>
  <c r="U9247" i="12"/>
  <c r="T9248" i="12"/>
  <c r="U9248" i="12"/>
  <c r="T9249" i="12"/>
  <c r="U9249" i="12"/>
  <c r="T9250" i="12"/>
  <c r="U9250" i="12"/>
  <c r="T9251" i="12"/>
  <c r="U9251" i="12"/>
  <c r="T9252" i="12"/>
  <c r="U9252" i="12"/>
  <c r="T9253" i="12"/>
  <c r="U9253" i="12"/>
  <c r="T9254" i="12"/>
  <c r="U9254" i="12"/>
  <c r="T9255" i="12"/>
  <c r="U9255" i="12"/>
  <c r="T9256" i="12"/>
  <c r="U9256" i="12"/>
  <c r="T9257" i="12"/>
  <c r="U9257" i="12"/>
  <c r="T9258" i="12"/>
  <c r="U9258" i="12"/>
  <c r="T9259" i="12"/>
  <c r="U9259" i="12"/>
  <c r="T9260" i="12"/>
  <c r="U9260" i="12"/>
  <c r="T9261" i="12"/>
  <c r="U9261" i="12"/>
  <c r="T9262" i="12"/>
  <c r="U9262" i="12"/>
  <c r="T9263" i="12"/>
  <c r="U9263" i="12"/>
  <c r="T9264" i="12"/>
  <c r="U9264" i="12"/>
  <c r="T9265" i="12"/>
  <c r="U9265" i="12"/>
  <c r="T9266" i="12"/>
  <c r="U9266" i="12"/>
  <c r="T9267" i="12"/>
  <c r="U9267" i="12"/>
  <c r="T9268" i="12"/>
  <c r="U9268" i="12"/>
  <c r="T9269" i="12"/>
  <c r="U9269" i="12"/>
  <c r="T9270" i="12"/>
  <c r="U9270" i="12"/>
  <c r="T9271" i="12"/>
  <c r="U9271" i="12"/>
  <c r="T9272" i="12"/>
  <c r="U9272" i="12"/>
  <c r="T9273" i="12"/>
  <c r="U9273" i="12"/>
  <c r="T9274" i="12"/>
  <c r="U9274" i="12"/>
  <c r="T9275" i="12"/>
  <c r="U9275" i="12"/>
  <c r="T9276" i="12"/>
  <c r="U9276" i="12"/>
  <c r="T9277" i="12"/>
  <c r="U9277" i="12"/>
  <c r="T9278" i="12"/>
  <c r="U9278" i="12"/>
  <c r="T9279" i="12"/>
  <c r="U9279" i="12"/>
  <c r="T9280" i="12"/>
  <c r="U9280" i="12"/>
  <c r="T9281" i="12"/>
  <c r="U9281" i="12"/>
  <c r="T9282" i="12"/>
  <c r="U9282" i="12"/>
  <c r="T9283" i="12"/>
  <c r="U9283" i="12"/>
  <c r="T9284" i="12"/>
  <c r="U9284" i="12"/>
  <c r="T9285" i="12"/>
  <c r="U9285" i="12"/>
  <c r="T9286" i="12"/>
  <c r="U9286" i="12"/>
  <c r="T9287" i="12"/>
  <c r="U9287" i="12"/>
  <c r="T9288" i="12"/>
  <c r="U9288" i="12"/>
  <c r="T9289" i="12"/>
  <c r="U9289" i="12"/>
  <c r="T9290" i="12"/>
  <c r="U9290" i="12"/>
  <c r="T9291" i="12"/>
  <c r="U9291" i="12"/>
  <c r="T9292" i="12"/>
  <c r="U9292" i="12"/>
  <c r="T9293" i="12"/>
  <c r="U9293" i="12"/>
  <c r="T9294" i="12"/>
  <c r="U9294" i="12"/>
  <c r="T9295" i="12"/>
  <c r="U9295" i="12"/>
  <c r="T9296" i="12"/>
  <c r="U9296" i="12"/>
  <c r="T9297" i="12"/>
  <c r="U9297" i="12"/>
  <c r="T9298" i="12"/>
  <c r="U9298" i="12"/>
  <c r="T9299" i="12"/>
  <c r="U9299" i="12"/>
  <c r="T9300" i="12"/>
  <c r="U9300" i="12"/>
  <c r="T9301" i="12"/>
  <c r="U9301" i="12"/>
  <c r="T9302" i="12"/>
  <c r="U9302" i="12"/>
  <c r="T9303" i="12"/>
  <c r="U9303" i="12"/>
  <c r="T9304" i="12"/>
  <c r="U9304" i="12"/>
  <c r="T9305" i="12"/>
  <c r="U9305" i="12"/>
  <c r="T9306" i="12"/>
  <c r="U9306" i="12"/>
  <c r="T9307" i="12"/>
  <c r="U9307" i="12"/>
  <c r="T9308" i="12"/>
  <c r="U9308" i="12"/>
  <c r="T9309" i="12"/>
  <c r="U9309" i="12"/>
  <c r="T9310" i="12"/>
  <c r="U9310" i="12"/>
  <c r="T9311" i="12"/>
  <c r="U9311" i="12"/>
  <c r="T9312" i="12"/>
  <c r="U9312" i="12"/>
  <c r="T9313" i="12"/>
  <c r="U9313" i="12"/>
  <c r="T9314" i="12"/>
  <c r="U9314" i="12"/>
  <c r="T9315" i="12"/>
  <c r="U9315" i="12"/>
  <c r="T9316" i="12"/>
  <c r="U9316" i="12"/>
  <c r="T9317" i="12"/>
  <c r="U9317" i="12"/>
  <c r="T9318" i="12"/>
  <c r="U9318" i="12"/>
  <c r="T9319" i="12"/>
  <c r="U9319" i="12"/>
  <c r="T9320" i="12"/>
  <c r="U9320" i="12"/>
  <c r="T9321" i="12"/>
  <c r="U9321" i="12"/>
  <c r="T9322" i="12"/>
  <c r="U9322" i="12"/>
  <c r="T9323" i="12"/>
  <c r="U9323" i="12"/>
  <c r="T9324" i="12"/>
  <c r="U9324" i="12"/>
  <c r="T9325" i="12"/>
  <c r="U9325" i="12"/>
  <c r="T9326" i="12"/>
  <c r="U9326" i="12"/>
  <c r="T9327" i="12"/>
  <c r="U9327" i="12"/>
  <c r="T9328" i="12"/>
  <c r="U9328" i="12"/>
  <c r="T9329" i="12"/>
  <c r="U9329" i="12"/>
  <c r="T9330" i="12"/>
  <c r="U9330" i="12"/>
  <c r="T9331" i="12"/>
  <c r="U9331" i="12"/>
  <c r="T9332" i="12"/>
  <c r="U9332" i="12"/>
  <c r="T9333" i="12"/>
  <c r="U9333" i="12"/>
  <c r="T9334" i="12"/>
  <c r="U9334" i="12"/>
  <c r="T9335" i="12"/>
  <c r="U9335" i="12"/>
  <c r="T9336" i="12"/>
  <c r="U9336" i="12"/>
  <c r="T9337" i="12"/>
  <c r="U9337" i="12"/>
  <c r="T9338" i="12"/>
  <c r="U9338" i="12"/>
  <c r="T9339" i="12"/>
  <c r="U9339" i="12"/>
  <c r="T9340" i="12"/>
  <c r="U9340" i="12"/>
  <c r="T9341" i="12"/>
  <c r="U9341" i="12"/>
  <c r="T9342" i="12"/>
  <c r="U9342" i="12"/>
  <c r="T9343" i="12"/>
  <c r="U9343" i="12"/>
  <c r="T9344" i="12"/>
  <c r="U9344" i="12"/>
  <c r="T9345" i="12"/>
  <c r="U9345" i="12"/>
  <c r="T9346" i="12"/>
  <c r="U9346" i="12"/>
  <c r="T9347" i="12"/>
  <c r="U9347" i="12"/>
  <c r="T9348" i="12"/>
  <c r="U9348" i="12"/>
  <c r="T9349" i="12"/>
  <c r="U9349" i="12"/>
  <c r="T9350" i="12"/>
  <c r="U9350" i="12"/>
  <c r="T9351" i="12"/>
  <c r="U9351" i="12"/>
  <c r="T9352" i="12"/>
  <c r="U9352" i="12"/>
  <c r="T9353" i="12"/>
  <c r="U9353" i="12"/>
  <c r="T9354" i="12"/>
  <c r="U9354" i="12"/>
  <c r="T9355" i="12"/>
  <c r="U9355" i="12"/>
  <c r="T9356" i="12"/>
  <c r="U9356" i="12"/>
  <c r="T9357" i="12"/>
  <c r="U9357" i="12"/>
  <c r="T9358" i="12"/>
  <c r="U9358" i="12"/>
  <c r="T9359" i="12"/>
  <c r="U9359" i="12"/>
  <c r="T9360" i="12"/>
  <c r="U9360" i="12"/>
  <c r="T9361" i="12"/>
  <c r="U9361" i="12"/>
  <c r="T9362" i="12"/>
  <c r="U9362" i="12"/>
  <c r="T9363" i="12"/>
  <c r="U9363" i="12"/>
  <c r="T9364" i="12"/>
  <c r="U9364" i="12"/>
  <c r="T9365" i="12"/>
  <c r="U9365" i="12"/>
  <c r="T9366" i="12"/>
  <c r="U9366" i="12"/>
  <c r="T9367" i="12"/>
  <c r="U9367" i="12"/>
  <c r="T9368" i="12"/>
  <c r="U9368" i="12"/>
  <c r="T9369" i="12"/>
  <c r="U9369" i="12"/>
  <c r="T9370" i="12"/>
  <c r="U9370" i="12"/>
  <c r="T9371" i="12"/>
  <c r="U9371" i="12"/>
  <c r="T9372" i="12"/>
  <c r="U9372" i="12"/>
  <c r="T9373" i="12"/>
  <c r="U9373" i="12"/>
  <c r="T9374" i="12"/>
  <c r="U9374" i="12"/>
  <c r="T9375" i="12"/>
  <c r="U9375" i="12"/>
  <c r="T9376" i="12"/>
  <c r="U9376" i="12"/>
  <c r="T9377" i="12"/>
  <c r="U9377" i="12"/>
  <c r="T9378" i="12"/>
  <c r="U9378" i="12"/>
  <c r="T9379" i="12"/>
  <c r="U9379" i="12"/>
  <c r="T9380" i="12"/>
  <c r="U9380" i="12"/>
  <c r="T9381" i="12"/>
  <c r="U9381" i="12"/>
  <c r="T9382" i="12"/>
  <c r="U9382" i="12"/>
  <c r="T9383" i="12"/>
  <c r="U9383" i="12"/>
  <c r="T9384" i="12"/>
  <c r="U9384" i="12"/>
  <c r="T9385" i="12"/>
  <c r="U9385" i="12"/>
  <c r="T9386" i="12"/>
  <c r="U9386" i="12"/>
  <c r="T9387" i="12"/>
  <c r="U9387" i="12"/>
  <c r="T9388" i="12"/>
  <c r="U9388" i="12"/>
  <c r="T9389" i="12"/>
  <c r="U9389" i="12"/>
  <c r="T9390" i="12"/>
  <c r="U9390" i="12"/>
  <c r="T9391" i="12"/>
  <c r="U9391" i="12"/>
  <c r="T9392" i="12"/>
  <c r="U9392" i="12"/>
  <c r="T9393" i="12"/>
  <c r="U9393" i="12"/>
  <c r="T9394" i="12"/>
  <c r="U9394" i="12"/>
  <c r="T9395" i="12"/>
  <c r="U9395" i="12"/>
  <c r="T9396" i="12"/>
  <c r="U9396" i="12"/>
  <c r="T9397" i="12"/>
  <c r="U9397" i="12"/>
  <c r="T9398" i="12"/>
  <c r="U9398" i="12"/>
  <c r="T9399" i="12"/>
  <c r="U9399" i="12"/>
  <c r="T9400" i="12"/>
  <c r="U9400" i="12"/>
  <c r="T9401" i="12"/>
  <c r="U9401" i="12"/>
  <c r="T9402" i="12"/>
  <c r="U9402" i="12"/>
  <c r="T9403" i="12"/>
  <c r="U9403" i="12"/>
  <c r="T9404" i="12"/>
  <c r="U9404" i="12"/>
  <c r="T9405" i="12"/>
  <c r="U9405" i="12"/>
  <c r="T9406" i="12"/>
  <c r="U9406" i="12"/>
  <c r="T9407" i="12"/>
  <c r="U9407" i="12"/>
  <c r="T9408" i="12"/>
  <c r="U9408" i="12"/>
  <c r="T9409" i="12"/>
  <c r="U9409" i="12"/>
  <c r="T9410" i="12"/>
  <c r="U9410" i="12"/>
  <c r="T9411" i="12"/>
  <c r="U9411" i="12"/>
  <c r="T9412" i="12"/>
  <c r="U9412" i="12"/>
  <c r="T9413" i="12"/>
  <c r="U9413" i="12"/>
  <c r="T9414" i="12"/>
  <c r="U9414" i="12"/>
  <c r="T9415" i="12"/>
  <c r="U9415" i="12"/>
  <c r="T9416" i="12"/>
  <c r="U9416" i="12"/>
  <c r="T9417" i="12"/>
  <c r="U9417" i="12"/>
  <c r="T9418" i="12"/>
  <c r="U9418" i="12"/>
  <c r="T9419" i="12"/>
  <c r="U9419" i="12"/>
  <c r="T9420" i="12"/>
  <c r="U9420" i="12"/>
  <c r="T9421" i="12"/>
  <c r="U9421" i="12"/>
  <c r="T9422" i="12"/>
  <c r="U9422" i="12"/>
  <c r="T9423" i="12"/>
  <c r="U9423" i="12"/>
  <c r="T9424" i="12"/>
  <c r="U9424" i="12"/>
  <c r="T9425" i="12"/>
  <c r="U9425" i="12"/>
  <c r="T9426" i="12"/>
  <c r="U9426" i="12"/>
  <c r="T9427" i="12"/>
  <c r="U9427" i="12"/>
  <c r="T9428" i="12"/>
  <c r="U9428" i="12"/>
  <c r="T9429" i="12"/>
  <c r="U9429" i="12"/>
  <c r="T9430" i="12"/>
  <c r="U9430" i="12"/>
  <c r="T9431" i="12"/>
  <c r="U9431" i="12"/>
  <c r="T9432" i="12"/>
  <c r="U9432" i="12"/>
  <c r="T9433" i="12"/>
  <c r="U9433" i="12"/>
  <c r="T9434" i="12"/>
  <c r="U9434" i="12"/>
  <c r="T9435" i="12"/>
  <c r="U9435" i="12"/>
  <c r="T9436" i="12"/>
  <c r="U9436" i="12"/>
  <c r="T9437" i="12"/>
  <c r="U9437" i="12"/>
  <c r="T9438" i="12"/>
  <c r="U9438" i="12"/>
  <c r="T9439" i="12"/>
  <c r="U9439" i="12"/>
  <c r="T9440" i="12"/>
  <c r="U9440" i="12"/>
  <c r="T9441" i="12"/>
  <c r="U9441" i="12"/>
  <c r="T9442" i="12"/>
  <c r="U9442" i="12"/>
  <c r="T9443" i="12"/>
  <c r="U9443" i="12"/>
  <c r="T9444" i="12"/>
  <c r="U9444" i="12"/>
  <c r="T9445" i="12"/>
  <c r="U9445" i="12"/>
  <c r="T9446" i="12"/>
  <c r="U9446" i="12"/>
  <c r="T9447" i="12"/>
  <c r="U9447" i="12"/>
  <c r="T9448" i="12"/>
  <c r="U9448" i="12"/>
  <c r="T9449" i="12"/>
  <c r="U9449" i="12"/>
  <c r="T9450" i="12"/>
  <c r="U9450" i="12"/>
  <c r="T9451" i="12"/>
  <c r="U9451" i="12"/>
  <c r="T9452" i="12"/>
  <c r="U9452" i="12"/>
  <c r="T9453" i="12"/>
  <c r="U9453" i="12"/>
  <c r="T9454" i="12"/>
  <c r="U9454" i="12"/>
  <c r="T9455" i="12"/>
  <c r="U9455" i="12"/>
  <c r="T9456" i="12"/>
  <c r="U9456" i="12"/>
  <c r="T9457" i="12"/>
  <c r="U9457" i="12"/>
  <c r="T9458" i="12"/>
  <c r="U9458" i="12"/>
  <c r="T9459" i="12"/>
  <c r="U9459" i="12"/>
  <c r="T9460" i="12"/>
  <c r="U9460" i="12"/>
  <c r="T9461" i="12"/>
  <c r="U9461" i="12"/>
  <c r="T9462" i="12"/>
  <c r="U9462" i="12"/>
  <c r="T9463" i="12"/>
  <c r="U9463" i="12"/>
  <c r="T9464" i="12"/>
  <c r="U9464" i="12"/>
  <c r="T9465" i="12"/>
  <c r="U9465" i="12"/>
  <c r="T9466" i="12"/>
  <c r="U9466" i="12"/>
  <c r="T9467" i="12"/>
  <c r="U9467" i="12"/>
  <c r="T9468" i="12"/>
  <c r="U9468" i="12"/>
  <c r="T9469" i="12"/>
  <c r="U9469" i="12"/>
  <c r="T9470" i="12"/>
  <c r="U9470" i="12"/>
  <c r="T9471" i="12"/>
  <c r="U9471" i="12"/>
  <c r="T9472" i="12"/>
  <c r="U9472" i="12"/>
  <c r="T9473" i="12"/>
  <c r="U9473" i="12"/>
  <c r="T9474" i="12"/>
  <c r="U9474" i="12"/>
  <c r="T9475" i="12"/>
  <c r="U9475" i="12"/>
  <c r="T9476" i="12"/>
  <c r="U9476" i="12"/>
  <c r="T9477" i="12"/>
  <c r="U9477" i="12"/>
  <c r="T9478" i="12"/>
  <c r="U9478" i="12"/>
  <c r="T9479" i="12"/>
  <c r="U9479" i="12"/>
  <c r="T9480" i="12"/>
  <c r="U9480" i="12"/>
  <c r="T9481" i="12"/>
  <c r="U9481" i="12"/>
  <c r="T9482" i="12"/>
  <c r="U9482" i="12"/>
  <c r="T9483" i="12"/>
  <c r="U9483" i="12"/>
  <c r="T9484" i="12"/>
  <c r="U9484" i="12"/>
  <c r="T9485" i="12"/>
  <c r="U9485" i="12"/>
  <c r="T9486" i="12"/>
  <c r="U9486" i="12"/>
  <c r="T9487" i="12"/>
  <c r="U9487" i="12"/>
  <c r="T9488" i="12"/>
  <c r="U9488" i="12"/>
  <c r="T9489" i="12"/>
  <c r="U9489" i="12"/>
  <c r="T9490" i="12"/>
  <c r="U9490" i="12"/>
  <c r="T9491" i="12"/>
  <c r="U9491" i="12"/>
  <c r="T9492" i="12"/>
  <c r="U9492" i="12"/>
  <c r="T9493" i="12"/>
  <c r="U9493" i="12"/>
  <c r="T9494" i="12"/>
  <c r="U9494" i="12"/>
  <c r="T9495" i="12"/>
  <c r="U9495" i="12"/>
  <c r="T9496" i="12"/>
  <c r="U9496" i="12"/>
  <c r="T9497" i="12"/>
  <c r="U9497" i="12"/>
  <c r="T9498" i="12"/>
  <c r="U9498" i="12"/>
  <c r="T9499" i="12"/>
  <c r="U9499" i="12"/>
  <c r="T9500" i="12"/>
  <c r="U9500" i="12"/>
  <c r="T9501" i="12"/>
  <c r="U9501" i="12"/>
  <c r="T9502" i="12"/>
  <c r="U9502" i="12"/>
  <c r="T9503" i="12"/>
  <c r="U9503" i="12"/>
  <c r="T9504" i="12"/>
  <c r="U9504" i="12"/>
  <c r="T9505" i="12"/>
  <c r="U9505" i="12"/>
  <c r="T9506" i="12"/>
  <c r="U9506" i="12"/>
  <c r="T9507" i="12"/>
  <c r="U9507" i="12"/>
  <c r="T9508" i="12"/>
  <c r="U9508" i="12"/>
  <c r="T9509" i="12"/>
  <c r="U9509" i="12"/>
  <c r="T9510" i="12"/>
  <c r="U9510" i="12"/>
  <c r="T9511" i="12"/>
  <c r="U9511" i="12"/>
  <c r="T9512" i="12"/>
  <c r="U9512" i="12"/>
  <c r="T9513" i="12"/>
  <c r="U9513" i="12"/>
  <c r="T9514" i="12"/>
  <c r="U9514" i="12"/>
  <c r="T9515" i="12"/>
  <c r="U9515" i="12"/>
  <c r="T9516" i="12"/>
  <c r="U9516" i="12"/>
  <c r="T9517" i="12"/>
  <c r="U9517" i="12"/>
  <c r="T9518" i="12"/>
  <c r="U9518" i="12"/>
  <c r="T9519" i="12"/>
  <c r="U9519" i="12"/>
  <c r="T9520" i="12"/>
  <c r="U9520" i="12"/>
  <c r="T9521" i="12"/>
  <c r="U9521" i="12"/>
  <c r="T9522" i="12"/>
  <c r="U9522" i="12"/>
  <c r="T9523" i="12"/>
  <c r="U9523" i="12"/>
  <c r="T9524" i="12"/>
  <c r="U9524" i="12"/>
  <c r="T9525" i="12"/>
  <c r="U9525" i="12"/>
  <c r="T9526" i="12"/>
  <c r="U9526" i="12"/>
  <c r="T9527" i="12"/>
  <c r="U9527" i="12"/>
  <c r="T9528" i="12"/>
  <c r="U9528" i="12"/>
  <c r="T9529" i="12"/>
  <c r="U9529" i="12"/>
  <c r="T9530" i="12"/>
  <c r="U9530" i="12"/>
  <c r="T9531" i="12"/>
  <c r="U9531" i="12"/>
  <c r="T9532" i="12"/>
  <c r="U9532" i="12"/>
  <c r="T9533" i="12"/>
  <c r="U9533" i="12"/>
  <c r="T9534" i="12"/>
  <c r="U9534" i="12"/>
  <c r="T9535" i="12"/>
  <c r="U9535" i="12"/>
  <c r="T9536" i="12"/>
  <c r="U9536" i="12"/>
  <c r="T9537" i="12"/>
  <c r="U9537" i="12"/>
  <c r="T9538" i="12"/>
  <c r="U9538" i="12"/>
  <c r="T9539" i="12"/>
  <c r="U9539" i="12"/>
  <c r="T9540" i="12"/>
  <c r="U9540" i="12"/>
  <c r="T9541" i="12"/>
  <c r="U9541" i="12"/>
  <c r="T9542" i="12"/>
  <c r="U9542" i="12"/>
  <c r="T9543" i="12"/>
  <c r="U9543" i="12"/>
  <c r="T9544" i="12"/>
  <c r="U9544" i="12"/>
  <c r="T9545" i="12"/>
  <c r="U9545" i="12"/>
  <c r="T9546" i="12"/>
  <c r="U9546" i="12"/>
  <c r="T9547" i="12"/>
  <c r="U9547" i="12"/>
  <c r="T9548" i="12"/>
  <c r="U9548" i="12"/>
  <c r="T9549" i="12"/>
  <c r="U9549" i="12"/>
  <c r="T9550" i="12"/>
  <c r="U9550" i="12"/>
  <c r="T9551" i="12"/>
  <c r="U9551" i="12"/>
  <c r="T9552" i="12"/>
  <c r="U9552" i="12"/>
  <c r="T9553" i="12"/>
  <c r="U9553" i="12"/>
  <c r="T9554" i="12"/>
  <c r="U9554" i="12"/>
  <c r="T9555" i="12"/>
  <c r="U9555" i="12"/>
  <c r="T9556" i="12"/>
  <c r="U9556" i="12"/>
  <c r="T9557" i="12"/>
  <c r="U9557" i="12"/>
  <c r="T9558" i="12"/>
  <c r="U9558" i="12"/>
  <c r="T9559" i="12"/>
  <c r="U9559" i="12"/>
  <c r="T9560" i="12"/>
  <c r="U9560" i="12"/>
  <c r="T9561" i="12"/>
  <c r="U9561" i="12"/>
  <c r="T9562" i="12"/>
  <c r="U9562" i="12"/>
  <c r="T9563" i="12"/>
  <c r="U9563" i="12"/>
  <c r="T9564" i="12"/>
  <c r="U9564" i="12"/>
  <c r="T9565" i="12"/>
  <c r="U9565" i="12"/>
  <c r="T9566" i="12"/>
  <c r="U9566" i="12"/>
  <c r="T9567" i="12"/>
  <c r="U9567" i="12"/>
  <c r="T9568" i="12"/>
  <c r="U9568" i="12"/>
  <c r="T9569" i="12"/>
  <c r="U9569" i="12"/>
  <c r="T9570" i="12"/>
  <c r="U9570" i="12"/>
  <c r="T9571" i="12"/>
  <c r="U9571" i="12"/>
  <c r="T9572" i="12"/>
  <c r="U9572" i="12"/>
  <c r="T9573" i="12"/>
  <c r="U9573" i="12"/>
  <c r="T9574" i="12"/>
  <c r="U9574" i="12"/>
  <c r="T9575" i="12"/>
  <c r="U9575" i="12"/>
  <c r="T9576" i="12"/>
  <c r="U9576" i="12"/>
  <c r="T9577" i="12"/>
  <c r="U9577" i="12"/>
  <c r="T9578" i="12"/>
  <c r="U9578" i="12"/>
  <c r="T9579" i="12"/>
  <c r="U9579" i="12"/>
  <c r="T9580" i="12"/>
  <c r="U9580" i="12"/>
  <c r="T9581" i="12"/>
  <c r="U9581" i="12"/>
  <c r="T9582" i="12"/>
  <c r="U9582" i="12"/>
  <c r="T9583" i="12"/>
  <c r="U9583" i="12"/>
  <c r="T9584" i="12"/>
  <c r="U9584" i="12"/>
  <c r="T9585" i="12"/>
  <c r="U9585" i="12"/>
  <c r="T9586" i="12"/>
  <c r="U9586" i="12"/>
  <c r="T9587" i="12"/>
  <c r="U9587" i="12"/>
  <c r="T9588" i="12"/>
  <c r="U9588" i="12"/>
  <c r="T9589" i="12"/>
  <c r="U9589" i="12"/>
  <c r="T9590" i="12"/>
  <c r="U9590" i="12"/>
  <c r="T9591" i="12"/>
  <c r="U9591" i="12"/>
  <c r="T9592" i="12"/>
  <c r="U9592" i="12"/>
  <c r="T9593" i="12"/>
  <c r="U9593" i="12"/>
  <c r="T9594" i="12"/>
  <c r="U9594" i="12"/>
  <c r="T9595" i="12"/>
  <c r="U9595" i="12"/>
  <c r="T9596" i="12"/>
  <c r="U9596" i="12"/>
  <c r="T9597" i="12"/>
  <c r="U9597" i="12"/>
  <c r="T9598" i="12"/>
  <c r="U9598" i="12"/>
  <c r="T9599" i="12"/>
  <c r="U9599" i="12"/>
  <c r="T9600" i="12"/>
  <c r="U9600" i="12"/>
  <c r="T9601" i="12"/>
  <c r="U9601" i="12"/>
  <c r="T9602" i="12"/>
  <c r="U9602" i="12"/>
  <c r="T9603" i="12"/>
  <c r="U9603" i="12"/>
  <c r="T9604" i="12"/>
  <c r="U9604" i="12"/>
  <c r="T9605" i="12"/>
  <c r="U9605" i="12"/>
  <c r="T9606" i="12"/>
  <c r="U9606" i="12"/>
  <c r="T9607" i="12"/>
  <c r="U9607" i="12"/>
  <c r="T9608" i="12"/>
  <c r="U9608" i="12"/>
  <c r="T9609" i="12"/>
  <c r="U9609" i="12"/>
  <c r="T9610" i="12"/>
  <c r="U9610" i="12"/>
  <c r="T9611" i="12"/>
  <c r="U9611" i="12"/>
  <c r="T9612" i="12"/>
  <c r="U9612" i="12"/>
  <c r="T9613" i="12"/>
  <c r="U9613" i="12"/>
  <c r="T9614" i="12"/>
  <c r="U9614" i="12"/>
  <c r="T9615" i="12"/>
  <c r="U9615" i="12"/>
  <c r="T9616" i="12"/>
  <c r="U9616" i="12"/>
  <c r="T9617" i="12"/>
  <c r="U9617" i="12"/>
  <c r="T9618" i="12"/>
  <c r="U9618" i="12"/>
  <c r="T9619" i="12"/>
  <c r="U9619" i="12"/>
  <c r="T9620" i="12"/>
  <c r="U9620" i="12"/>
  <c r="T9621" i="12"/>
  <c r="U9621" i="12"/>
  <c r="T9622" i="12"/>
  <c r="U9622" i="12"/>
  <c r="T9623" i="12"/>
  <c r="U9623" i="12"/>
  <c r="T9624" i="12"/>
  <c r="U9624" i="12"/>
  <c r="T9625" i="12"/>
  <c r="U9625" i="12"/>
  <c r="T9626" i="12"/>
  <c r="U9626" i="12"/>
  <c r="T9627" i="12"/>
  <c r="U9627" i="12"/>
  <c r="T9628" i="12"/>
  <c r="U9628" i="12"/>
  <c r="T9629" i="12"/>
  <c r="U9629" i="12"/>
  <c r="T9630" i="12"/>
  <c r="U9630" i="12"/>
  <c r="T9631" i="12"/>
  <c r="U9631" i="12"/>
  <c r="T9632" i="12"/>
  <c r="U9632" i="12"/>
  <c r="T9633" i="12"/>
  <c r="U9633" i="12"/>
  <c r="T9634" i="12"/>
  <c r="U9634" i="12"/>
  <c r="T9635" i="12"/>
  <c r="U9635" i="12"/>
  <c r="T9636" i="12"/>
  <c r="U9636" i="12"/>
  <c r="T9637" i="12"/>
  <c r="U9637" i="12"/>
  <c r="T9638" i="12"/>
  <c r="U9638" i="12"/>
  <c r="T9639" i="12"/>
  <c r="U9639" i="12"/>
  <c r="T9640" i="12"/>
  <c r="U9640" i="12"/>
  <c r="T9641" i="12"/>
  <c r="U9641" i="12"/>
  <c r="T9642" i="12"/>
  <c r="U9642" i="12"/>
  <c r="T9643" i="12"/>
  <c r="U9643" i="12"/>
  <c r="T9644" i="12"/>
  <c r="U9644" i="12"/>
  <c r="T9645" i="12"/>
  <c r="U9645" i="12"/>
  <c r="T9646" i="12"/>
  <c r="U9646" i="12"/>
  <c r="T9647" i="12"/>
  <c r="U9647" i="12"/>
  <c r="T9648" i="12"/>
  <c r="U9648" i="12"/>
  <c r="T9649" i="12"/>
  <c r="U9649" i="12"/>
  <c r="T9650" i="12"/>
  <c r="U9650" i="12"/>
  <c r="T9651" i="12"/>
  <c r="U9651" i="12"/>
  <c r="T9652" i="12"/>
  <c r="U9652" i="12"/>
  <c r="T9653" i="12"/>
  <c r="U9653" i="12"/>
  <c r="T9654" i="12"/>
  <c r="U9654" i="12"/>
  <c r="T9655" i="12"/>
  <c r="U9655" i="12"/>
  <c r="T9656" i="12"/>
  <c r="U9656" i="12"/>
  <c r="T9657" i="12"/>
  <c r="U9657" i="12"/>
  <c r="T9658" i="12"/>
  <c r="U9658" i="12"/>
  <c r="T9659" i="12"/>
  <c r="U9659" i="12"/>
  <c r="T9660" i="12"/>
  <c r="U9660" i="12"/>
  <c r="T9661" i="12"/>
  <c r="U9661" i="12"/>
  <c r="T9662" i="12"/>
  <c r="U9662" i="12"/>
  <c r="T9663" i="12"/>
  <c r="U9663" i="12"/>
  <c r="T9664" i="12"/>
  <c r="U9664" i="12"/>
  <c r="T9665" i="12"/>
  <c r="U9665" i="12"/>
  <c r="T9666" i="12"/>
  <c r="U9666" i="12"/>
  <c r="T9667" i="12"/>
  <c r="U9667" i="12"/>
  <c r="T9668" i="12"/>
  <c r="U9668" i="12"/>
  <c r="T9669" i="12"/>
  <c r="U9669" i="12"/>
  <c r="T9670" i="12"/>
  <c r="U9670" i="12"/>
  <c r="T9671" i="12"/>
  <c r="U9671" i="12"/>
  <c r="T9672" i="12"/>
  <c r="U9672" i="12"/>
  <c r="T9673" i="12"/>
  <c r="U9673" i="12"/>
  <c r="T9674" i="12"/>
  <c r="U9674" i="12"/>
  <c r="T9675" i="12"/>
  <c r="U9675" i="12"/>
  <c r="T9676" i="12"/>
  <c r="U9676" i="12"/>
  <c r="T9677" i="12"/>
  <c r="U9677" i="12"/>
  <c r="T9678" i="12"/>
  <c r="U9678" i="12"/>
  <c r="T9679" i="12"/>
  <c r="U9679" i="12"/>
  <c r="T9680" i="12"/>
  <c r="U9680" i="12"/>
  <c r="T9681" i="12"/>
  <c r="U9681" i="12"/>
  <c r="T9682" i="12"/>
  <c r="U9682" i="12"/>
  <c r="T9683" i="12"/>
  <c r="U9683" i="12"/>
  <c r="T9684" i="12"/>
  <c r="U9684" i="12"/>
  <c r="T9685" i="12"/>
  <c r="U9685" i="12"/>
  <c r="T9686" i="12"/>
  <c r="U9686" i="12"/>
  <c r="T9687" i="12"/>
  <c r="U9687" i="12"/>
  <c r="T9688" i="12"/>
  <c r="U9688" i="12"/>
  <c r="T9689" i="12"/>
  <c r="U9689" i="12"/>
  <c r="T9690" i="12"/>
  <c r="U9690" i="12"/>
  <c r="T9691" i="12"/>
  <c r="U9691" i="12"/>
  <c r="T9692" i="12"/>
  <c r="U9692" i="12"/>
  <c r="T9693" i="12"/>
  <c r="U9693" i="12"/>
  <c r="T9694" i="12"/>
  <c r="U9694" i="12"/>
  <c r="T9695" i="12"/>
  <c r="U9695" i="12"/>
  <c r="T9696" i="12"/>
  <c r="U9696" i="12"/>
  <c r="T9697" i="12"/>
  <c r="U9697" i="12"/>
  <c r="T9698" i="12"/>
  <c r="U9698" i="12"/>
  <c r="T9699" i="12"/>
  <c r="U9699" i="12"/>
  <c r="T9700" i="12"/>
  <c r="U9700" i="12"/>
  <c r="T9701" i="12"/>
  <c r="U9701" i="12"/>
  <c r="T9702" i="12"/>
  <c r="U9702" i="12"/>
  <c r="T9703" i="12"/>
  <c r="U9703" i="12"/>
  <c r="T9704" i="12"/>
  <c r="U9704" i="12"/>
  <c r="T9705" i="12"/>
  <c r="U9705" i="12"/>
  <c r="T9706" i="12"/>
  <c r="U9706" i="12"/>
  <c r="T9707" i="12"/>
  <c r="U9707" i="12"/>
  <c r="T9708" i="12"/>
  <c r="U9708" i="12"/>
  <c r="T9709" i="12"/>
  <c r="U9709" i="12"/>
  <c r="T9710" i="12"/>
  <c r="U9710" i="12"/>
  <c r="T9711" i="12"/>
  <c r="U9711" i="12"/>
  <c r="T9712" i="12"/>
  <c r="U9712" i="12"/>
  <c r="T9713" i="12"/>
  <c r="U9713" i="12"/>
  <c r="T9714" i="12"/>
  <c r="U9714" i="12"/>
  <c r="T9715" i="12"/>
  <c r="U9715" i="12"/>
  <c r="T9716" i="12"/>
  <c r="U9716" i="12"/>
  <c r="T9717" i="12"/>
  <c r="U9717" i="12"/>
  <c r="T9718" i="12"/>
  <c r="U9718" i="12"/>
  <c r="T9719" i="12"/>
  <c r="U9719" i="12"/>
  <c r="T9720" i="12"/>
  <c r="U9720" i="12"/>
  <c r="T9721" i="12"/>
  <c r="U9721" i="12"/>
  <c r="T9722" i="12"/>
  <c r="U9722" i="12"/>
  <c r="T9723" i="12"/>
  <c r="U9723" i="12"/>
  <c r="T9724" i="12"/>
  <c r="U9724" i="12"/>
  <c r="T9725" i="12"/>
  <c r="U9725" i="12"/>
  <c r="T9726" i="12"/>
  <c r="U9726" i="12"/>
  <c r="T9727" i="12"/>
  <c r="U9727" i="12"/>
  <c r="T9728" i="12"/>
  <c r="U9728" i="12"/>
  <c r="T9729" i="12"/>
  <c r="U9729" i="12"/>
  <c r="T9730" i="12"/>
  <c r="U9730" i="12"/>
  <c r="T9731" i="12"/>
  <c r="U9731" i="12"/>
  <c r="T9732" i="12"/>
  <c r="U9732" i="12"/>
  <c r="T9733" i="12"/>
  <c r="U9733" i="12"/>
  <c r="T9734" i="12"/>
  <c r="U9734" i="12"/>
  <c r="T9735" i="12"/>
  <c r="U9735" i="12"/>
  <c r="T9736" i="12"/>
  <c r="U9736" i="12"/>
  <c r="T9737" i="12"/>
  <c r="U9737" i="12"/>
  <c r="T9738" i="12"/>
  <c r="U9738" i="12"/>
  <c r="T9739" i="12"/>
  <c r="U9739" i="12"/>
  <c r="T9740" i="12"/>
  <c r="U9740" i="12"/>
  <c r="T9741" i="12"/>
  <c r="U9741" i="12"/>
  <c r="T9742" i="12"/>
  <c r="U9742" i="12"/>
  <c r="T9743" i="12"/>
  <c r="U9743" i="12"/>
  <c r="T9744" i="12"/>
  <c r="U9744" i="12"/>
  <c r="T9745" i="12"/>
  <c r="U9745" i="12"/>
  <c r="T9746" i="12"/>
  <c r="U9746" i="12"/>
  <c r="T9747" i="12"/>
  <c r="U9747" i="12"/>
  <c r="T9748" i="12"/>
  <c r="U9748" i="12"/>
  <c r="T9749" i="12"/>
  <c r="U9749" i="12"/>
  <c r="T9750" i="12"/>
  <c r="U9750" i="12"/>
  <c r="T9751" i="12"/>
  <c r="U9751" i="12"/>
  <c r="T9752" i="12"/>
  <c r="U9752" i="12"/>
  <c r="T9753" i="12"/>
  <c r="U9753" i="12"/>
  <c r="T9754" i="12"/>
  <c r="U9754" i="12"/>
  <c r="T9755" i="12"/>
  <c r="U9755" i="12"/>
  <c r="T9756" i="12"/>
  <c r="U9756" i="12"/>
  <c r="T9757" i="12"/>
  <c r="U9757" i="12"/>
  <c r="T9758" i="12"/>
  <c r="U9758" i="12"/>
  <c r="T9759" i="12"/>
  <c r="U9759" i="12"/>
  <c r="T9760" i="12"/>
  <c r="U9760" i="12"/>
  <c r="T9761" i="12"/>
  <c r="U9761" i="12"/>
  <c r="T9762" i="12"/>
  <c r="U9762" i="12"/>
  <c r="T9763" i="12"/>
  <c r="U9763" i="12"/>
  <c r="T9764" i="12"/>
  <c r="U9764" i="12"/>
  <c r="T9765" i="12"/>
  <c r="U9765" i="12"/>
  <c r="T9766" i="12"/>
  <c r="U9766" i="12"/>
  <c r="T9767" i="12"/>
  <c r="U9767" i="12"/>
  <c r="T9768" i="12"/>
  <c r="U9768" i="12"/>
  <c r="T9769" i="12"/>
  <c r="U9769" i="12"/>
  <c r="T9770" i="12"/>
  <c r="U9770" i="12"/>
  <c r="T9771" i="12"/>
  <c r="U9771" i="12"/>
  <c r="T9772" i="12"/>
  <c r="U9772" i="12"/>
  <c r="T9773" i="12"/>
  <c r="U9773" i="12"/>
  <c r="T9774" i="12"/>
  <c r="U9774" i="12"/>
  <c r="T9775" i="12"/>
  <c r="U9775" i="12"/>
  <c r="T9776" i="12"/>
  <c r="U9776" i="12"/>
  <c r="T9777" i="12"/>
  <c r="U9777" i="12"/>
  <c r="T9778" i="12"/>
  <c r="U9778" i="12"/>
  <c r="T9779" i="12"/>
  <c r="U9779" i="12"/>
  <c r="T9780" i="12"/>
  <c r="U9780" i="12"/>
  <c r="T9781" i="12"/>
  <c r="U9781" i="12"/>
  <c r="T9782" i="12"/>
  <c r="U9782" i="12"/>
  <c r="T9783" i="12"/>
  <c r="U9783" i="12"/>
  <c r="T9784" i="12"/>
  <c r="U9784" i="12"/>
  <c r="T9785" i="12"/>
  <c r="U9785" i="12"/>
  <c r="T9786" i="12"/>
  <c r="U9786" i="12"/>
  <c r="T9787" i="12"/>
  <c r="U9787" i="12"/>
  <c r="T9788" i="12"/>
  <c r="U9788" i="12"/>
  <c r="T9789" i="12"/>
  <c r="U9789" i="12"/>
  <c r="T9790" i="12"/>
  <c r="U9790" i="12"/>
  <c r="T9791" i="12"/>
  <c r="U9791" i="12"/>
  <c r="T9792" i="12"/>
  <c r="U9792" i="12"/>
  <c r="T9793" i="12"/>
  <c r="U9793" i="12"/>
  <c r="T9794" i="12"/>
  <c r="U9794" i="12"/>
  <c r="T9795" i="12"/>
  <c r="U9795" i="12"/>
  <c r="T9796" i="12"/>
  <c r="U9796" i="12"/>
  <c r="T9797" i="12"/>
  <c r="U9797" i="12"/>
  <c r="T9798" i="12"/>
  <c r="U9798" i="12"/>
  <c r="T9799" i="12"/>
  <c r="U9799" i="12"/>
  <c r="T9800" i="12"/>
  <c r="U9800" i="12"/>
  <c r="T9801" i="12"/>
  <c r="U9801" i="12"/>
  <c r="T9802" i="12"/>
  <c r="U9802" i="12"/>
  <c r="T9803" i="12"/>
  <c r="U9803" i="12"/>
  <c r="T9804" i="12"/>
  <c r="U9804" i="12"/>
  <c r="T9805" i="12"/>
  <c r="U9805" i="12"/>
  <c r="T9806" i="12"/>
  <c r="U9806" i="12"/>
  <c r="T9807" i="12"/>
  <c r="U9807" i="12"/>
  <c r="T9808" i="12"/>
  <c r="U9808" i="12"/>
  <c r="T9809" i="12"/>
  <c r="U9809" i="12"/>
  <c r="T9810" i="12"/>
  <c r="U9810" i="12"/>
  <c r="T9811" i="12"/>
  <c r="U9811" i="12"/>
  <c r="T9812" i="12"/>
  <c r="U9812" i="12"/>
  <c r="T9813" i="12"/>
  <c r="U9813" i="12"/>
  <c r="T9814" i="12"/>
  <c r="U9814" i="12"/>
  <c r="T9815" i="12"/>
  <c r="U9815" i="12"/>
  <c r="T9816" i="12"/>
  <c r="U9816" i="12"/>
  <c r="T9817" i="12"/>
  <c r="U9817" i="12"/>
  <c r="T9818" i="12"/>
  <c r="U9818" i="12"/>
  <c r="T9819" i="12"/>
  <c r="U9819" i="12"/>
  <c r="T9820" i="12"/>
  <c r="U9820" i="12"/>
  <c r="T9821" i="12"/>
  <c r="U9821" i="12"/>
  <c r="T9822" i="12"/>
  <c r="U9822" i="12"/>
  <c r="T9823" i="12"/>
  <c r="U9823" i="12"/>
  <c r="T9824" i="12"/>
  <c r="U9824" i="12"/>
  <c r="T9825" i="12"/>
  <c r="U9825" i="12"/>
  <c r="T9826" i="12"/>
  <c r="U9826" i="12"/>
  <c r="T9827" i="12"/>
  <c r="U9827" i="12"/>
  <c r="T9828" i="12"/>
  <c r="U9828" i="12"/>
  <c r="T9829" i="12"/>
  <c r="U9829" i="12"/>
  <c r="T9830" i="12"/>
  <c r="U9830" i="12"/>
  <c r="T9831" i="12"/>
  <c r="U9831" i="12"/>
  <c r="T9832" i="12"/>
  <c r="U9832" i="12"/>
  <c r="T9833" i="12"/>
  <c r="U9833" i="12"/>
  <c r="T9834" i="12"/>
  <c r="U9834" i="12"/>
  <c r="T9835" i="12"/>
  <c r="U9835" i="12"/>
  <c r="T9836" i="12"/>
  <c r="U9836" i="12"/>
  <c r="T9837" i="12"/>
  <c r="U9837" i="12"/>
  <c r="T9838" i="12"/>
  <c r="U9838" i="12"/>
  <c r="T9839" i="12"/>
  <c r="U9839" i="12"/>
  <c r="T9840" i="12"/>
  <c r="U9840" i="12"/>
  <c r="T9841" i="12"/>
  <c r="U9841" i="12"/>
  <c r="T9842" i="12"/>
  <c r="U9842" i="12"/>
  <c r="T9843" i="12"/>
  <c r="U9843" i="12"/>
  <c r="T9844" i="12"/>
  <c r="U9844" i="12"/>
  <c r="T9845" i="12"/>
  <c r="U9845" i="12"/>
  <c r="T9846" i="12"/>
  <c r="U9846" i="12"/>
  <c r="T9847" i="12"/>
  <c r="U9847" i="12"/>
  <c r="T9848" i="12"/>
  <c r="U9848" i="12"/>
  <c r="T9849" i="12"/>
  <c r="U9849" i="12"/>
  <c r="T9850" i="12"/>
  <c r="U9850" i="12"/>
  <c r="T9851" i="12"/>
  <c r="U9851" i="12"/>
  <c r="T9852" i="12"/>
  <c r="U9852" i="12"/>
  <c r="T9853" i="12"/>
  <c r="U9853" i="12"/>
  <c r="T9854" i="12"/>
  <c r="U9854" i="12"/>
  <c r="T9855" i="12"/>
  <c r="U9855" i="12"/>
  <c r="T9856" i="12"/>
  <c r="U9856" i="12"/>
  <c r="T9857" i="12"/>
  <c r="U9857" i="12"/>
  <c r="T9858" i="12"/>
  <c r="U9858" i="12"/>
  <c r="T9859" i="12"/>
  <c r="U9859" i="12"/>
  <c r="T9860" i="12"/>
  <c r="U9860" i="12"/>
  <c r="T9861" i="12"/>
  <c r="U9861" i="12"/>
  <c r="T9862" i="12"/>
  <c r="U9862" i="12"/>
  <c r="T9863" i="12"/>
  <c r="U9863" i="12"/>
  <c r="T9864" i="12"/>
  <c r="U9864" i="12"/>
  <c r="T9865" i="12"/>
  <c r="U9865" i="12"/>
  <c r="T9866" i="12"/>
  <c r="U9866" i="12"/>
  <c r="T9867" i="12"/>
  <c r="U9867" i="12"/>
  <c r="T9868" i="12"/>
  <c r="U9868" i="12"/>
  <c r="T9869" i="12"/>
  <c r="U9869" i="12"/>
  <c r="T9870" i="12"/>
  <c r="U9870" i="12"/>
  <c r="T9871" i="12"/>
  <c r="U9871" i="12"/>
  <c r="T9872" i="12"/>
  <c r="U9872" i="12"/>
  <c r="T9873" i="12"/>
  <c r="U9873" i="12"/>
  <c r="T9874" i="12"/>
  <c r="U9874" i="12"/>
  <c r="T9875" i="12"/>
  <c r="U9875" i="12"/>
  <c r="T9876" i="12"/>
  <c r="U9876" i="12"/>
  <c r="T9877" i="12"/>
  <c r="U9877" i="12"/>
  <c r="T9878" i="12"/>
  <c r="U9878" i="12"/>
  <c r="T9879" i="12"/>
  <c r="U9879" i="12"/>
  <c r="T9880" i="12"/>
  <c r="U9880" i="12"/>
  <c r="T9881" i="12"/>
  <c r="U9881" i="12"/>
  <c r="T9882" i="12"/>
  <c r="U9882" i="12"/>
  <c r="T9883" i="12"/>
  <c r="U9883" i="12"/>
  <c r="T9884" i="12"/>
  <c r="U9884" i="12"/>
  <c r="T9885" i="12"/>
  <c r="U9885" i="12"/>
  <c r="T9886" i="12"/>
  <c r="U9886" i="12"/>
  <c r="T9887" i="12"/>
  <c r="U9887" i="12"/>
  <c r="T9888" i="12"/>
  <c r="U9888" i="12"/>
  <c r="T9889" i="12"/>
  <c r="U9889" i="12"/>
  <c r="T9890" i="12"/>
  <c r="U9890" i="12"/>
  <c r="T9891" i="12"/>
  <c r="U9891" i="12"/>
  <c r="T9892" i="12"/>
  <c r="U9892" i="12"/>
  <c r="T9893" i="12"/>
  <c r="U9893" i="12"/>
  <c r="T9894" i="12"/>
  <c r="U9894" i="12"/>
  <c r="T9895" i="12"/>
  <c r="U9895" i="12"/>
  <c r="T9896" i="12"/>
  <c r="U9896" i="12"/>
  <c r="T9897" i="12"/>
  <c r="U9897" i="12"/>
  <c r="T9898" i="12"/>
  <c r="U9898" i="12"/>
  <c r="T9899" i="12"/>
  <c r="U9899" i="12"/>
  <c r="T9900" i="12"/>
  <c r="U9900" i="12"/>
  <c r="T9901" i="12"/>
  <c r="U9901" i="12"/>
  <c r="T9902" i="12"/>
  <c r="U9902" i="12"/>
  <c r="T9903" i="12"/>
  <c r="U9903" i="12"/>
  <c r="T9904" i="12"/>
  <c r="U9904" i="12"/>
  <c r="T9905" i="12"/>
  <c r="U9905" i="12"/>
  <c r="T9906" i="12"/>
  <c r="U9906" i="12"/>
  <c r="T9907" i="12"/>
  <c r="U9907" i="12"/>
  <c r="T9908" i="12"/>
  <c r="U9908" i="12"/>
  <c r="T9909" i="12"/>
  <c r="U9909" i="12"/>
  <c r="T9910" i="12"/>
  <c r="U9910" i="12"/>
  <c r="T9911" i="12"/>
  <c r="U9911" i="12"/>
  <c r="T9912" i="12"/>
  <c r="U9912" i="12"/>
  <c r="T9913" i="12"/>
  <c r="U9913" i="12"/>
  <c r="T9914" i="12"/>
  <c r="U9914" i="12"/>
  <c r="T9915" i="12"/>
  <c r="U9915" i="12"/>
  <c r="T9916" i="12"/>
  <c r="U9916" i="12"/>
  <c r="T9917" i="12"/>
  <c r="U9917" i="12"/>
  <c r="T9918" i="12"/>
  <c r="U9918" i="12"/>
  <c r="T9919" i="12"/>
  <c r="U9919" i="12"/>
  <c r="T9920" i="12"/>
  <c r="U9920" i="12"/>
  <c r="T9921" i="12"/>
  <c r="U9921" i="12"/>
  <c r="T9922" i="12"/>
  <c r="U9922" i="12"/>
  <c r="T9923" i="12"/>
  <c r="U9923" i="12"/>
  <c r="T9924" i="12"/>
  <c r="U9924" i="12"/>
  <c r="T9925" i="12"/>
  <c r="U9925" i="12"/>
  <c r="T9926" i="12"/>
  <c r="U9926" i="12"/>
  <c r="T9927" i="12"/>
  <c r="U9927" i="12"/>
  <c r="T9928" i="12"/>
  <c r="U9928" i="12"/>
  <c r="T9929" i="12"/>
  <c r="U9929" i="12"/>
  <c r="T9930" i="12"/>
  <c r="U9930" i="12"/>
  <c r="T9931" i="12"/>
  <c r="U9931" i="12"/>
  <c r="T9932" i="12"/>
  <c r="U9932" i="12"/>
  <c r="T9933" i="12"/>
  <c r="U9933" i="12"/>
  <c r="T9934" i="12"/>
  <c r="U9934" i="12"/>
  <c r="T9935" i="12"/>
  <c r="U9935" i="12"/>
  <c r="T9936" i="12"/>
  <c r="U9936" i="12"/>
  <c r="T9937" i="12"/>
  <c r="U9937" i="12"/>
  <c r="T9938" i="12"/>
  <c r="U9938" i="12"/>
  <c r="T9939" i="12"/>
  <c r="U9939" i="12"/>
  <c r="T9940" i="12"/>
  <c r="U9940" i="12"/>
  <c r="T9941" i="12"/>
  <c r="U9941" i="12"/>
  <c r="T9942" i="12"/>
  <c r="U9942" i="12"/>
  <c r="T9943" i="12"/>
  <c r="U9943" i="12"/>
  <c r="T9944" i="12"/>
  <c r="U9944" i="12"/>
  <c r="T9945" i="12"/>
  <c r="U9945" i="12"/>
  <c r="T9946" i="12"/>
  <c r="U9946" i="12"/>
  <c r="T9947" i="12"/>
  <c r="U9947" i="12"/>
  <c r="T9948" i="12"/>
  <c r="U9948" i="12"/>
  <c r="T9949" i="12"/>
  <c r="U9949" i="12"/>
  <c r="T9950" i="12"/>
  <c r="U9950" i="12"/>
  <c r="T9951" i="12"/>
  <c r="U9951" i="12"/>
  <c r="T9952" i="12"/>
  <c r="U9952" i="12"/>
  <c r="T9953" i="12"/>
  <c r="U9953" i="12"/>
  <c r="T9954" i="12"/>
  <c r="U9954" i="12"/>
  <c r="T9955" i="12"/>
  <c r="U9955" i="12"/>
  <c r="T9956" i="12"/>
  <c r="U9956" i="12"/>
  <c r="T9957" i="12"/>
  <c r="U9957" i="12"/>
  <c r="T9958" i="12"/>
  <c r="U9958" i="12"/>
  <c r="T9959" i="12"/>
  <c r="U9959" i="12"/>
  <c r="T9960" i="12"/>
  <c r="U9960" i="12"/>
  <c r="T9961" i="12"/>
  <c r="U9961" i="12"/>
  <c r="T9962" i="12"/>
  <c r="U9962" i="12"/>
  <c r="T9963" i="12"/>
  <c r="U9963" i="12"/>
  <c r="T9964" i="12"/>
  <c r="U9964" i="12"/>
  <c r="T9965" i="12"/>
  <c r="U9965" i="12"/>
  <c r="T9966" i="12"/>
  <c r="U9966" i="12"/>
  <c r="T9967" i="12"/>
  <c r="U9967" i="12"/>
  <c r="T9968" i="12"/>
  <c r="U9968" i="12"/>
  <c r="T9969" i="12"/>
  <c r="U9969" i="12"/>
  <c r="T9970" i="12"/>
  <c r="U9970" i="12"/>
  <c r="T9971" i="12"/>
  <c r="U9971" i="12"/>
  <c r="T9972" i="12"/>
  <c r="U9972" i="12"/>
  <c r="T9973" i="12"/>
  <c r="U9973" i="12"/>
  <c r="T9974" i="12"/>
  <c r="U9974" i="12"/>
  <c r="T9975" i="12"/>
  <c r="U9975" i="12"/>
  <c r="T9976" i="12"/>
  <c r="U9976" i="12"/>
  <c r="T9977" i="12"/>
  <c r="U9977" i="12"/>
  <c r="T9978" i="12"/>
  <c r="U9978" i="12"/>
  <c r="T9979" i="12"/>
  <c r="U9979" i="12"/>
  <c r="T9980" i="12"/>
  <c r="U9980" i="12"/>
  <c r="T9981" i="12"/>
  <c r="U9981" i="12"/>
  <c r="T9982" i="12"/>
  <c r="U9982" i="12"/>
  <c r="T9983" i="12"/>
  <c r="U9983" i="12"/>
  <c r="T9984" i="12"/>
  <c r="U9984" i="12"/>
  <c r="T9985" i="12"/>
  <c r="U9985" i="12"/>
  <c r="T9986" i="12"/>
  <c r="U9986" i="12"/>
  <c r="T9987" i="12"/>
  <c r="U9987" i="12"/>
  <c r="T9988" i="12"/>
  <c r="U9988" i="12"/>
  <c r="T9989" i="12"/>
  <c r="U9989" i="12"/>
  <c r="T9990" i="12"/>
  <c r="U9990" i="12"/>
  <c r="T9991" i="12"/>
  <c r="U9991" i="12"/>
  <c r="T9992" i="12"/>
  <c r="U9992" i="12"/>
  <c r="T9993" i="12"/>
  <c r="U9993" i="12"/>
  <c r="T9994" i="12"/>
  <c r="U9994" i="12"/>
  <c r="T9995" i="12"/>
  <c r="U9995" i="12"/>
  <c r="T9996" i="12"/>
  <c r="U9996" i="12"/>
  <c r="T9997" i="12"/>
  <c r="U9997" i="12"/>
  <c r="T9998" i="12"/>
  <c r="U9998" i="12"/>
  <c r="T9999" i="12"/>
  <c r="U9999" i="12"/>
  <c r="T10000" i="12"/>
  <c r="U10000" i="12"/>
  <c r="T10001" i="12"/>
  <c r="U10001" i="12"/>
  <c r="T10002" i="12"/>
  <c r="U10002" i="12"/>
  <c r="T10003" i="12"/>
  <c r="U10003" i="12"/>
  <c r="T10004" i="12"/>
  <c r="U10004" i="12"/>
  <c r="T10005" i="12"/>
  <c r="U10005" i="12"/>
  <c r="T10006" i="12"/>
  <c r="U10006" i="12"/>
  <c r="T10007" i="12"/>
  <c r="U10007" i="12"/>
  <c r="T10008" i="12"/>
  <c r="U10008" i="12"/>
  <c r="T10009" i="12"/>
  <c r="U10009" i="12"/>
  <c r="T10010" i="12"/>
  <c r="U10010" i="12"/>
  <c r="T10011" i="12"/>
  <c r="U10011" i="12"/>
  <c r="T10012" i="12"/>
  <c r="U10012" i="12"/>
  <c r="T10013" i="12"/>
  <c r="U10013" i="12"/>
  <c r="T10014" i="12"/>
  <c r="U10014" i="12"/>
  <c r="T10015" i="12"/>
  <c r="U10015" i="12"/>
  <c r="T10016" i="12"/>
  <c r="U10016" i="12"/>
  <c r="T10017" i="12"/>
  <c r="U10017" i="12"/>
  <c r="T10018" i="12"/>
  <c r="U10018" i="12"/>
  <c r="T10019" i="12"/>
  <c r="U10019" i="12"/>
  <c r="T10020" i="12"/>
  <c r="U10020" i="12"/>
  <c r="T10021" i="12"/>
  <c r="U10021" i="12"/>
  <c r="T10022" i="12"/>
  <c r="U10022" i="12"/>
  <c r="T10023" i="12"/>
  <c r="U10023" i="12"/>
  <c r="T10024" i="12"/>
  <c r="U10024" i="12"/>
  <c r="T10025" i="12"/>
  <c r="U10025" i="12"/>
  <c r="T10026" i="12"/>
  <c r="U10026" i="12"/>
  <c r="T10027" i="12"/>
  <c r="U10027" i="12"/>
  <c r="T10028" i="12"/>
  <c r="U10028" i="12"/>
  <c r="T10029" i="12"/>
  <c r="U10029" i="12"/>
  <c r="T10030" i="12"/>
  <c r="U10030" i="12"/>
  <c r="T10031" i="12"/>
  <c r="U10031" i="12"/>
  <c r="T10032" i="12"/>
  <c r="U10032" i="12"/>
  <c r="T10033" i="12"/>
  <c r="U10033" i="12"/>
  <c r="T10034" i="12"/>
  <c r="U10034" i="12"/>
  <c r="T10035" i="12"/>
  <c r="U10035" i="12"/>
  <c r="T10036" i="12"/>
  <c r="U10036" i="12"/>
  <c r="T10037" i="12"/>
  <c r="U10037" i="12"/>
  <c r="T10038" i="12"/>
  <c r="U10038" i="12"/>
  <c r="T10039" i="12"/>
  <c r="U10039" i="12"/>
  <c r="T10040" i="12"/>
  <c r="U10040" i="12"/>
  <c r="T10041" i="12"/>
  <c r="U10041" i="12"/>
  <c r="T10042" i="12"/>
  <c r="U10042" i="12"/>
  <c r="T10043" i="12"/>
  <c r="U10043" i="12"/>
  <c r="T10044" i="12"/>
  <c r="U10044" i="12"/>
  <c r="T10045" i="12"/>
  <c r="U10045" i="12"/>
  <c r="T10046" i="12"/>
  <c r="U10046" i="12"/>
  <c r="T10047" i="12"/>
  <c r="U10047" i="12"/>
  <c r="T10048" i="12"/>
  <c r="U10048" i="12"/>
  <c r="T10049" i="12"/>
  <c r="U10049" i="12"/>
  <c r="T10050" i="12"/>
  <c r="U10050" i="12"/>
  <c r="T10051" i="12"/>
  <c r="U10051" i="12"/>
  <c r="T10052" i="12"/>
  <c r="U10052" i="12"/>
  <c r="T10053" i="12"/>
  <c r="U10053" i="12"/>
  <c r="T10054" i="12"/>
  <c r="U10054" i="12"/>
  <c r="T10055" i="12"/>
  <c r="U10055" i="12"/>
  <c r="T10056" i="12"/>
  <c r="U10056" i="12"/>
  <c r="T10057" i="12"/>
  <c r="U10057" i="12"/>
  <c r="T10058" i="12"/>
  <c r="U10058" i="12"/>
  <c r="T10059" i="12"/>
  <c r="U10059" i="12"/>
  <c r="T10060" i="12"/>
  <c r="U10060" i="12"/>
  <c r="T10061" i="12"/>
  <c r="U10061" i="12"/>
  <c r="T10062" i="12"/>
  <c r="U10062" i="12"/>
  <c r="T10063" i="12"/>
  <c r="U10063" i="12"/>
  <c r="T10064" i="12"/>
  <c r="U10064" i="12"/>
  <c r="T10065" i="12"/>
  <c r="U10065" i="12"/>
  <c r="T10066" i="12"/>
  <c r="U10066" i="12"/>
  <c r="T10067" i="12"/>
  <c r="U10067" i="12"/>
  <c r="T10068" i="12"/>
  <c r="U10068" i="12"/>
  <c r="T10069" i="12"/>
  <c r="U10069" i="12"/>
  <c r="T10070" i="12"/>
  <c r="U10070" i="12"/>
  <c r="T10071" i="12"/>
  <c r="U10071" i="12"/>
  <c r="T10072" i="12"/>
  <c r="U10072" i="12"/>
  <c r="T10073" i="12"/>
  <c r="U10073" i="12"/>
  <c r="T10074" i="12"/>
  <c r="U10074" i="12"/>
  <c r="T10075" i="12"/>
  <c r="U10075" i="12"/>
  <c r="T10076" i="12"/>
  <c r="U10076" i="12"/>
  <c r="T10077" i="12"/>
  <c r="U10077" i="12"/>
  <c r="T10078" i="12"/>
  <c r="U10078" i="12"/>
  <c r="T10079" i="12"/>
  <c r="U10079" i="12"/>
  <c r="T10080" i="12"/>
  <c r="U10080" i="12"/>
  <c r="T10081" i="12"/>
  <c r="U10081" i="12"/>
  <c r="T10082" i="12"/>
  <c r="U10082" i="12"/>
  <c r="T10083" i="12"/>
  <c r="U10083" i="12"/>
  <c r="T10084" i="12"/>
  <c r="U10084" i="12"/>
  <c r="T10085" i="12"/>
  <c r="U10085" i="12"/>
  <c r="T10086" i="12"/>
  <c r="U10086" i="12"/>
  <c r="T10087" i="12"/>
  <c r="U10087" i="12"/>
  <c r="T10088" i="12"/>
  <c r="U10088" i="12"/>
  <c r="T10089" i="12"/>
  <c r="U10089" i="12"/>
  <c r="T10090" i="12"/>
  <c r="U10090" i="12"/>
  <c r="T10091" i="12"/>
  <c r="U10091" i="12"/>
  <c r="T10092" i="12"/>
  <c r="U10092" i="12"/>
  <c r="T10093" i="12"/>
  <c r="U10093" i="12"/>
  <c r="T10094" i="12"/>
  <c r="U10094" i="12"/>
  <c r="T10095" i="12"/>
  <c r="U10095" i="12"/>
  <c r="T10096" i="12"/>
  <c r="U10096" i="12"/>
  <c r="T10097" i="12"/>
  <c r="U10097" i="12"/>
  <c r="T10098" i="12"/>
  <c r="U10098" i="12"/>
  <c r="T10099" i="12"/>
  <c r="U10099" i="12"/>
  <c r="T10100" i="12"/>
  <c r="U10100" i="12"/>
  <c r="T10101" i="12"/>
  <c r="U10101" i="12"/>
  <c r="T10102" i="12"/>
  <c r="U10102" i="12"/>
  <c r="T10103" i="12"/>
  <c r="U10103" i="12"/>
  <c r="T10104" i="12"/>
  <c r="U10104" i="12"/>
  <c r="T10105" i="12"/>
  <c r="U10105" i="12"/>
  <c r="T10106" i="12"/>
  <c r="U10106" i="12"/>
  <c r="T10107" i="12"/>
  <c r="U10107" i="12"/>
  <c r="T10108" i="12"/>
  <c r="U10108" i="12"/>
  <c r="T10109" i="12"/>
  <c r="U10109" i="12"/>
  <c r="T10110" i="12"/>
  <c r="U10110" i="12"/>
  <c r="T10111" i="12"/>
  <c r="U10111" i="12"/>
  <c r="T10112" i="12"/>
  <c r="U10112" i="12"/>
  <c r="T10113" i="12"/>
  <c r="U10113" i="12"/>
  <c r="T10114" i="12"/>
  <c r="U10114" i="12"/>
  <c r="T10115" i="12"/>
  <c r="U10115" i="12"/>
  <c r="T10116" i="12"/>
  <c r="U10116" i="12"/>
  <c r="T10117" i="12"/>
  <c r="U10117" i="12"/>
  <c r="T10118" i="12"/>
  <c r="U10118" i="12"/>
  <c r="T10119" i="12"/>
  <c r="U10119" i="12"/>
  <c r="T10120" i="12"/>
  <c r="U10120" i="12"/>
  <c r="T10121" i="12"/>
  <c r="U10121" i="12"/>
  <c r="T10122" i="12"/>
  <c r="U10122" i="12"/>
  <c r="T10123" i="12"/>
  <c r="U10123" i="12"/>
  <c r="T10124" i="12"/>
  <c r="U10124" i="12"/>
  <c r="T10125" i="12"/>
  <c r="U10125" i="12"/>
  <c r="T10126" i="12"/>
  <c r="U10126" i="12"/>
  <c r="T10127" i="12"/>
  <c r="U10127" i="12"/>
  <c r="T10128" i="12"/>
  <c r="U10128" i="12"/>
  <c r="T10129" i="12"/>
  <c r="U10129" i="12"/>
  <c r="T10130" i="12"/>
  <c r="U10130" i="12"/>
  <c r="T10131" i="12"/>
  <c r="U10131" i="12"/>
  <c r="T10132" i="12"/>
  <c r="U10132" i="12"/>
  <c r="T10133" i="12"/>
  <c r="U10133" i="12"/>
  <c r="T10134" i="12"/>
  <c r="U10134" i="12"/>
  <c r="T10135" i="12"/>
  <c r="U10135" i="12"/>
  <c r="T10136" i="12"/>
  <c r="U10136" i="12"/>
  <c r="T10137" i="12"/>
  <c r="U10137" i="12"/>
  <c r="T10138" i="12"/>
  <c r="U10138" i="12"/>
  <c r="T10139" i="12"/>
  <c r="U10139" i="12"/>
  <c r="T10140" i="12"/>
  <c r="U10140" i="12"/>
  <c r="T10141" i="12"/>
  <c r="U10141" i="12"/>
  <c r="T10142" i="12"/>
  <c r="U10142" i="12"/>
  <c r="T10143" i="12"/>
  <c r="U10143" i="12"/>
  <c r="T10144" i="12"/>
  <c r="U10144" i="12"/>
  <c r="T10145" i="12"/>
  <c r="U10145" i="12"/>
  <c r="T10146" i="12"/>
  <c r="U10146" i="12"/>
  <c r="T10147" i="12"/>
  <c r="U10147" i="12"/>
  <c r="T10148" i="12"/>
  <c r="U10148" i="12"/>
  <c r="T10149" i="12"/>
  <c r="U10149" i="12"/>
  <c r="T10150" i="12"/>
  <c r="U10150" i="12"/>
  <c r="T10151" i="12"/>
  <c r="U10151" i="12"/>
  <c r="T10152" i="12"/>
  <c r="U10152" i="12"/>
  <c r="T10153" i="12"/>
  <c r="U10153" i="12"/>
  <c r="T10154" i="12"/>
  <c r="U10154" i="12"/>
  <c r="T10155" i="12"/>
  <c r="U10155" i="12"/>
  <c r="T10156" i="12"/>
  <c r="U10156" i="12"/>
  <c r="T10157" i="12"/>
  <c r="U10157" i="12"/>
  <c r="T10158" i="12"/>
  <c r="U10158" i="12"/>
  <c r="T10159" i="12"/>
  <c r="U10159" i="12"/>
  <c r="T10160" i="12"/>
  <c r="U10160" i="12"/>
  <c r="T10161" i="12"/>
  <c r="U10161" i="12"/>
  <c r="T10162" i="12"/>
  <c r="U10162" i="12"/>
  <c r="T10163" i="12"/>
  <c r="U10163" i="12"/>
  <c r="T10164" i="12"/>
  <c r="U10164" i="12"/>
  <c r="T10165" i="12"/>
  <c r="U10165" i="12"/>
  <c r="T10166" i="12"/>
  <c r="U10166" i="12"/>
  <c r="T10167" i="12"/>
  <c r="U10167" i="12"/>
  <c r="T10168" i="12"/>
  <c r="U10168" i="12"/>
  <c r="T10169" i="12"/>
  <c r="U10169" i="12"/>
  <c r="T10170" i="12"/>
  <c r="U10170" i="12"/>
  <c r="T10171" i="12"/>
  <c r="U10171" i="12"/>
  <c r="T10172" i="12"/>
  <c r="U10172" i="12"/>
  <c r="T10173" i="12"/>
  <c r="U10173" i="12"/>
  <c r="T10174" i="12"/>
  <c r="U10174" i="12"/>
  <c r="T10175" i="12"/>
  <c r="U10175" i="12"/>
  <c r="T10176" i="12"/>
  <c r="U10176" i="12"/>
  <c r="T10177" i="12"/>
  <c r="U10177" i="12"/>
  <c r="T10178" i="12"/>
  <c r="U10178" i="12"/>
  <c r="T10179" i="12"/>
  <c r="U10179" i="12"/>
  <c r="T10180" i="12"/>
  <c r="U10180" i="12"/>
  <c r="T10181" i="12"/>
  <c r="U10181" i="12"/>
  <c r="T10182" i="12"/>
  <c r="U10182" i="12"/>
  <c r="T10183" i="12"/>
  <c r="U10183" i="12"/>
  <c r="T10184" i="12"/>
  <c r="U10184" i="12"/>
  <c r="T10185" i="12"/>
  <c r="U10185" i="12"/>
  <c r="T10186" i="12"/>
  <c r="U10186" i="12"/>
  <c r="T10187" i="12"/>
  <c r="U10187" i="12"/>
  <c r="T10188" i="12"/>
  <c r="U10188" i="12"/>
  <c r="T10189" i="12"/>
  <c r="U10189" i="12"/>
  <c r="T10190" i="12"/>
  <c r="U10190" i="12"/>
  <c r="T10191" i="12"/>
  <c r="U10191" i="12"/>
  <c r="T10192" i="12"/>
  <c r="U10192" i="12"/>
  <c r="T10193" i="12"/>
  <c r="U10193" i="12"/>
  <c r="T10194" i="12"/>
  <c r="U10194" i="12"/>
  <c r="T10195" i="12"/>
  <c r="U10195" i="12"/>
  <c r="T10196" i="12"/>
  <c r="U10196" i="12"/>
  <c r="T10197" i="12"/>
  <c r="U10197" i="12"/>
  <c r="T10198" i="12"/>
  <c r="U10198" i="12"/>
  <c r="T10199" i="12"/>
  <c r="U10199" i="12"/>
  <c r="T10200" i="12"/>
  <c r="U10200" i="12"/>
  <c r="T10201" i="12"/>
  <c r="U10201" i="12"/>
  <c r="T10202" i="12"/>
  <c r="U10202" i="12"/>
  <c r="T10203" i="12"/>
  <c r="U10203" i="12"/>
  <c r="T10204" i="12"/>
  <c r="U10204" i="12"/>
  <c r="T10205" i="12"/>
  <c r="U10205" i="12"/>
  <c r="T10206" i="12"/>
  <c r="U10206" i="12"/>
  <c r="T10207" i="12"/>
  <c r="U10207" i="12"/>
  <c r="T10208" i="12"/>
  <c r="U10208" i="12"/>
  <c r="T10209" i="12"/>
  <c r="U10209" i="12"/>
  <c r="T10210" i="12"/>
  <c r="U10210" i="12"/>
  <c r="T10211" i="12"/>
  <c r="U10211" i="12"/>
  <c r="T10212" i="12"/>
  <c r="U10212" i="12"/>
  <c r="T10213" i="12"/>
  <c r="U10213" i="12"/>
  <c r="T10214" i="12"/>
  <c r="U10214" i="12"/>
  <c r="T10215" i="12"/>
  <c r="U10215" i="12"/>
  <c r="T10216" i="12"/>
  <c r="U10216" i="12"/>
  <c r="T10217" i="12"/>
  <c r="U10217" i="12"/>
  <c r="T10218" i="12"/>
  <c r="U10218" i="12"/>
  <c r="T10219" i="12"/>
  <c r="U10219" i="12"/>
  <c r="T10220" i="12"/>
  <c r="U10220" i="12"/>
  <c r="T10221" i="12"/>
  <c r="U10221" i="12"/>
  <c r="T10222" i="12"/>
  <c r="U10222" i="12"/>
  <c r="T10223" i="12"/>
  <c r="U10223" i="12"/>
  <c r="T10224" i="12"/>
  <c r="U10224" i="12"/>
  <c r="T10225" i="12"/>
  <c r="U10225" i="12"/>
  <c r="T10226" i="12"/>
  <c r="U10226" i="12"/>
  <c r="T10227" i="12"/>
  <c r="U10227" i="12"/>
  <c r="T10228" i="12"/>
  <c r="U10228" i="12"/>
  <c r="T10229" i="12"/>
  <c r="U10229" i="12"/>
  <c r="T10230" i="12"/>
  <c r="U10230" i="12"/>
  <c r="T10231" i="12"/>
  <c r="U10231" i="12"/>
  <c r="T10232" i="12"/>
  <c r="U10232" i="12"/>
  <c r="T10233" i="12"/>
  <c r="U10233" i="12"/>
  <c r="T10234" i="12"/>
  <c r="U10234" i="12"/>
  <c r="T10235" i="12"/>
  <c r="U10235" i="12"/>
  <c r="T10236" i="12"/>
  <c r="U10236" i="12"/>
  <c r="T10237" i="12"/>
  <c r="U10237" i="12"/>
  <c r="T10238" i="12"/>
  <c r="U10238" i="12"/>
  <c r="T10239" i="12"/>
  <c r="U10239" i="12"/>
  <c r="T10240" i="12"/>
  <c r="U10240" i="12"/>
  <c r="T10241" i="12"/>
  <c r="U10241" i="12"/>
  <c r="T10242" i="12"/>
  <c r="U10242" i="12"/>
  <c r="T10243" i="12"/>
  <c r="U10243" i="12"/>
  <c r="T10244" i="12"/>
  <c r="U10244" i="12"/>
  <c r="T10245" i="12"/>
  <c r="U10245" i="12"/>
  <c r="T10246" i="12"/>
  <c r="U10246" i="12"/>
  <c r="T10247" i="12"/>
  <c r="U10247" i="12"/>
  <c r="T10248" i="12"/>
  <c r="U10248" i="12"/>
  <c r="T10249" i="12"/>
  <c r="U10249" i="12"/>
  <c r="T10250" i="12"/>
  <c r="U10250" i="12"/>
  <c r="T10251" i="12"/>
  <c r="U10251" i="12"/>
  <c r="T10252" i="12"/>
  <c r="U10252" i="12"/>
  <c r="T10253" i="12"/>
  <c r="U10253" i="12"/>
  <c r="T10254" i="12"/>
  <c r="U10254" i="12"/>
  <c r="T10255" i="12"/>
  <c r="U10255" i="12"/>
  <c r="T10256" i="12"/>
  <c r="U10256" i="12"/>
  <c r="T10257" i="12"/>
  <c r="U10257" i="12"/>
  <c r="T10258" i="12"/>
  <c r="U10258" i="12"/>
  <c r="T10259" i="12"/>
  <c r="U10259" i="12"/>
  <c r="T10260" i="12"/>
  <c r="U10260" i="12"/>
  <c r="T10261" i="12"/>
  <c r="U10261" i="12"/>
  <c r="T10262" i="12"/>
  <c r="U10262" i="12"/>
  <c r="T10263" i="12"/>
  <c r="U10263" i="12"/>
  <c r="T10264" i="12"/>
  <c r="U10264" i="12"/>
  <c r="T10265" i="12"/>
  <c r="U10265" i="12"/>
  <c r="T10266" i="12"/>
  <c r="U10266" i="12"/>
  <c r="T10267" i="12"/>
  <c r="U10267" i="12"/>
  <c r="T10268" i="12"/>
  <c r="U10268" i="12"/>
  <c r="T10269" i="12"/>
  <c r="U10269" i="12"/>
  <c r="T10270" i="12"/>
  <c r="U10270" i="12"/>
  <c r="T10271" i="12"/>
  <c r="U10271" i="12"/>
  <c r="T10272" i="12"/>
  <c r="U10272" i="12"/>
  <c r="T10273" i="12"/>
  <c r="U10273" i="12"/>
  <c r="T10274" i="12"/>
  <c r="U10274" i="12"/>
  <c r="T10275" i="12"/>
  <c r="U10275" i="12"/>
  <c r="T10276" i="12"/>
  <c r="U10276" i="12"/>
  <c r="T10277" i="12"/>
  <c r="U10277" i="12"/>
  <c r="T10278" i="12"/>
  <c r="U10278" i="12"/>
  <c r="T10279" i="12"/>
  <c r="U10279" i="12"/>
  <c r="T10280" i="12"/>
  <c r="U10280" i="12"/>
  <c r="T10281" i="12"/>
  <c r="U10281" i="12"/>
  <c r="T10282" i="12"/>
  <c r="U10282" i="12"/>
  <c r="T10283" i="12"/>
  <c r="U10283" i="12"/>
  <c r="T10284" i="12"/>
  <c r="U10284" i="12"/>
  <c r="T10285" i="12"/>
  <c r="U10285" i="12"/>
  <c r="T10286" i="12"/>
  <c r="U10286" i="12"/>
  <c r="T10287" i="12"/>
  <c r="U10287" i="12"/>
  <c r="T10288" i="12"/>
  <c r="U10288" i="12"/>
  <c r="T10289" i="12"/>
  <c r="U10289" i="12"/>
  <c r="T10290" i="12"/>
  <c r="U10290" i="12"/>
  <c r="T10291" i="12"/>
  <c r="U10291" i="12"/>
  <c r="T10292" i="12"/>
  <c r="U10292" i="12"/>
  <c r="T10293" i="12"/>
  <c r="U10293" i="12"/>
  <c r="T10294" i="12"/>
  <c r="U10294" i="12"/>
  <c r="T10295" i="12"/>
  <c r="U10295" i="12"/>
  <c r="T10296" i="12"/>
  <c r="U10296" i="12"/>
  <c r="T10297" i="12"/>
  <c r="U10297" i="12"/>
  <c r="T10298" i="12"/>
  <c r="U10298" i="12"/>
  <c r="T10299" i="12"/>
  <c r="U10299" i="12"/>
  <c r="T10300" i="12"/>
  <c r="U10300" i="12"/>
  <c r="T10301" i="12"/>
  <c r="U10301" i="12"/>
  <c r="T10302" i="12"/>
  <c r="U10302" i="12"/>
  <c r="T10303" i="12"/>
  <c r="U10303" i="12"/>
  <c r="T10304" i="12"/>
  <c r="U10304" i="12"/>
  <c r="T10305" i="12"/>
  <c r="U10305" i="12"/>
  <c r="T10306" i="12"/>
  <c r="U10306" i="12"/>
  <c r="T10307" i="12"/>
  <c r="U10307" i="12"/>
  <c r="T10308" i="12"/>
  <c r="U10308" i="12"/>
  <c r="T10309" i="12"/>
  <c r="U10309" i="12"/>
  <c r="T10310" i="12"/>
  <c r="U10310" i="12"/>
  <c r="T10311" i="12"/>
  <c r="U10311" i="12"/>
  <c r="T10312" i="12"/>
  <c r="U10312" i="12"/>
  <c r="T10313" i="12"/>
  <c r="U10313" i="12"/>
  <c r="T10314" i="12"/>
  <c r="U10314" i="12"/>
  <c r="T10315" i="12"/>
  <c r="U10315" i="12"/>
  <c r="T10316" i="12"/>
  <c r="U10316" i="12"/>
  <c r="T10317" i="12"/>
  <c r="U10317" i="12"/>
  <c r="T10318" i="12"/>
  <c r="U10318" i="12"/>
  <c r="T10319" i="12"/>
  <c r="U10319" i="12"/>
  <c r="T10320" i="12"/>
  <c r="U10320" i="12"/>
  <c r="T10321" i="12"/>
  <c r="U10321" i="12"/>
  <c r="T10322" i="12"/>
  <c r="U10322" i="12"/>
  <c r="T10323" i="12"/>
  <c r="U10323" i="12"/>
  <c r="T10324" i="12"/>
  <c r="U10324" i="12"/>
  <c r="T10325" i="12"/>
  <c r="U10325" i="12"/>
  <c r="T10326" i="12"/>
  <c r="U10326" i="12"/>
  <c r="T10327" i="12"/>
  <c r="U10327" i="12"/>
  <c r="T10328" i="12"/>
  <c r="U10328" i="12"/>
  <c r="T10329" i="12"/>
  <c r="U10329" i="12"/>
  <c r="T10330" i="12"/>
  <c r="U10330" i="12"/>
  <c r="T10331" i="12"/>
  <c r="U10331" i="12"/>
  <c r="T10332" i="12"/>
  <c r="U10332" i="12"/>
  <c r="T10333" i="12"/>
  <c r="U10333" i="12"/>
  <c r="T10334" i="12"/>
  <c r="U10334" i="12"/>
  <c r="T10335" i="12"/>
  <c r="U10335" i="12"/>
  <c r="T10336" i="12"/>
  <c r="U10336" i="12"/>
  <c r="T10337" i="12"/>
  <c r="U10337" i="12"/>
  <c r="T10338" i="12"/>
  <c r="U10338" i="12"/>
  <c r="T10339" i="12"/>
  <c r="U10339" i="12"/>
  <c r="T10340" i="12"/>
  <c r="U10340" i="12"/>
  <c r="T10341" i="12"/>
  <c r="U10341" i="12"/>
  <c r="T10342" i="12"/>
  <c r="U10342" i="12"/>
  <c r="T10343" i="12"/>
  <c r="U10343" i="12"/>
  <c r="T10344" i="12"/>
  <c r="U10344" i="12"/>
  <c r="T10345" i="12"/>
  <c r="U10345" i="12"/>
  <c r="T10346" i="12"/>
  <c r="U10346" i="12"/>
  <c r="T10347" i="12"/>
  <c r="U10347" i="12"/>
  <c r="T10348" i="12"/>
  <c r="U10348" i="12"/>
  <c r="T10349" i="12"/>
  <c r="U10349" i="12"/>
  <c r="T10350" i="12"/>
  <c r="U10350" i="12"/>
  <c r="T10351" i="12"/>
  <c r="U10351" i="12"/>
  <c r="T10352" i="12"/>
  <c r="U10352" i="12"/>
  <c r="T10353" i="12"/>
  <c r="U10353" i="12"/>
  <c r="T10354" i="12"/>
  <c r="U10354" i="12"/>
  <c r="T10355" i="12"/>
  <c r="U10355" i="12"/>
  <c r="T10356" i="12"/>
  <c r="U10356" i="12"/>
  <c r="T10357" i="12"/>
  <c r="U10357" i="12"/>
  <c r="T10358" i="12"/>
  <c r="U10358" i="12"/>
  <c r="T10359" i="12"/>
  <c r="U10359" i="12"/>
  <c r="T10360" i="12"/>
  <c r="U10360" i="12"/>
  <c r="T10361" i="12"/>
  <c r="U10361" i="12"/>
  <c r="T10362" i="12"/>
  <c r="U10362" i="12"/>
  <c r="T10363" i="12"/>
  <c r="U10363" i="12"/>
  <c r="T10364" i="12"/>
  <c r="U10364" i="12"/>
  <c r="T10365" i="12"/>
  <c r="U10365" i="12"/>
  <c r="T10366" i="12"/>
  <c r="U10366" i="12"/>
  <c r="T10367" i="12"/>
  <c r="U10367" i="12"/>
  <c r="T10368" i="12"/>
  <c r="U10368" i="12"/>
  <c r="T10369" i="12"/>
  <c r="U10369" i="12"/>
  <c r="T10370" i="12"/>
  <c r="U10370" i="12"/>
  <c r="T10371" i="12"/>
  <c r="U10371" i="12"/>
  <c r="T10372" i="12"/>
  <c r="U10372" i="12"/>
  <c r="T10373" i="12"/>
  <c r="U10373" i="12"/>
  <c r="T10374" i="12"/>
  <c r="U10374" i="12"/>
  <c r="T10375" i="12"/>
  <c r="U10375" i="12"/>
  <c r="T10376" i="12"/>
  <c r="U10376" i="12"/>
  <c r="T10377" i="12"/>
  <c r="U10377" i="12"/>
  <c r="T10378" i="12"/>
  <c r="U10378" i="12"/>
  <c r="T10379" i="12"/>
  <c r="U10379" i="12"/>
  <c r="T10380" i="12"/>
  <c r="U10380" i="12"/>
  <c r="T10381" i="12"/>
  <c r="U10381" i="12"/>
  <c r="T10382" i="12"/>
  <c r="U10382" i="12"/>
  <c r="T10383" i="12"/>
  <c r="U10383" i="12"/>
  <c r="T10384" i="12"/>
  <c r="U10384" i="12"/>
  <c r="T10385" i="12"/>
  <c r="U10385" i="12"/>
  <c r="T10386" i="12"/>
  <c r="U10386" i="12"/>
  <c r="T10387" i="12"/>
  <c r="U10387" i="12"/>
  <c r="T10388" i="12"/>
  <c r="U10388" i="12"/>
  <c r="T10389" i="12"/>
  <c r="U10389" i="12"/>
  <c r="T10390" i="12"/>
  <c r="U10390" i="12"/>
  <c r="T10391" i="12"/>
  <c r="U10391" i="12"/>
  <c r="T10392" i="12"/>
  <c r="U10392" i="12"/>
  <c r="T10393" i="12"/>
  <c r="U10393" i="12"/>
  <c r="T10394" i="12"/>
  <c r="U10394" i="12"/>
  <c r="T10395" i="12"/>
  <c r="U10395" i="12"/>
  <c r="T10396" i="12"/>
  <c r="U10396" i="12"/>
  <c r="T10397" i="12"/>
  <c r="U10397" i="12"/>
  <c r="T10398" i="12"/>
  <c r="U10398" i="12"/>
  <c r="T10399" i="12"/>
  <c r="U10399" i="12"/>
  <c r="T10400" i="12"/>
  <c r="U10400" i="12"/>
  <c r="T10401" i="12"/>
  <c r="U10401" i="12"/>
  <c r="T10402" i="12"/>
  <c r="U10402" i="12"/>
  <c r="T10403" i="12"/>
  <c r="U10403" i="12"/>
  <c r="T10404" i="12"/>
  <c r="U10404" i="12"/>
  <c r="T10405" i="12"/>
  <c r="U10405" i="12"/>
  <c r="T10406" i="12"/>
  <c r="U10406" i="12"/>
  <c r="T10407" i="12"/>
  <c r="U10407" i="12"/>
  <c r="T10408" i="12"/>
  <c r="U10408" i="12"/>
  <c r="T10409" i="12"/>
  <c r="U10409" i="12"/>
  <c r="T10410" i="12"/>
  <c r="U10410" i="12"/>
  <c r="T10411" i="12"/>
  <c r="U10411" i="12"/>
  <c r="T10412" i="12"/>
  <c r="U10412" i="12"/>
  <c r="T10413" i="12"/>
  <c r="U10413" i="12"/>
  <c r="T10414" i="12"/>
  <c r="U10414" i="12"/>
  <c r="T10415" i="12"/>
  <c r="U10415" i="12"/>
  <c r="T10416" i="12"/>
  <c r="U10416" i="12"/>
  <c r="T10417" i="12"/>
  <c r="U10417" i="12"/>
  <c r="T10418" i="12"/>
  <c r="U10418" i="12"/>
  <c r="T10419" i="12"/>
  <c r="U10419" i="12"/>
  <c r="T10420" i="12"/>
  <c r="U10420" i="12"/>
  <c r="T10421" i="12"/>
  <c r="U10421" i="12"/>
  <c r="T10422" i="12"/>
  <c r="U10422" i="12"/>
  <c r="T10423" i="12"/>
  <c r="U10423" i="12"/>
  <c r="T10424" i="12"/>
  <c r="U10424" i="12"/>
  <c r="T10425" i="12"/>
  <c r="U10425" i="12"/>
  <c r="T10426" i="12"/>
  <c r="U10426" i="12"/>
  <c r="T10427" i="12"/>
  <c r="U10427" i="12"/>
  <c r="T10428" i="12"/>
  <c r="U10428" i="12"/>
  <c r="T10429" i="12"/>
  <c r="U10429" i="12"/>
  <c r="T10430" i="12"/>
  <c r="U10430" i="12"/>
  <c r="T10431" i="12"/>
  <c r="U10431" i="12"/>
  <c r="T10432" i="12"/>
  <c r="U10432" i="12"/>
  <c r="T10433" i="12"/>
  <c r="U10433" i="12"/>
  <c r="T10434" i="12"/>
  <c r="U10434" i="12"/>
  <c r="T10435" i="12"/>
  <c r="U10435" i="12"/>
  <c r="T10436" i="12"/>
  <c r="U10436" i="12"/>
  <c r="T10437" i="12"/>
  <c r="U10437" i="12"/>
  <c r="T10438" i="12"/>
  <c r="U10438" i="12"/>
  <c r="T10439" i="12"/>
  <c r="U10439" i="12"/>
  <c r="T10440" i="12"/>
  <c r="U10440" i="12"/>
  <c r="T10441" i="12"/>
  <c r="U10441" i="12"/>
  <c r="T10442" i="12"/>
  <c r="U10442" i="12"/>
  <c r="T10443" i="12"/>
  <c r="U10443" i="12"/>
  <c r="T10444" i="12"/>
  <c r="U10444" i="12"/>
  <c r="T10445" i="12"/>
  <c r="U10445" i="12"/>
  <c r="T10446" i="12"/>
  <c r="U10446" i="12"/>
  <c r="T10447" i="12"/>
  <c r="U10447" i="12"/>
  <c r="T10448" i="12"/>
  <c r="U10448" i="12"/>
  <c r="T10449" i="12"/>
  <c r="U10449" i="12"/>
  <c r="T10450" i="12"/>
  <c r="U10450" i="12"/>
  <c r="T10451" i="12"/>
  <c r="U10451" i="12"/>
  <c r="T10452" i="12"/>
  <c r="U10452" i="12"/>
  <c r="T10453" i="12"/>
  <c r="U10453" i="12"/>
  <c r="T10454" i="12"/>
  <c r="U10454" i="12"/>
  <c r="T10455" i="12"/>
  <c r="U10455" i="12"/>
  <c r="T10456" i="12"/>
  <c r="U10456" i="12"/>
  <c r="T10457" i="12"/>
  <c r="U10457" i="12"/>
  <c r="T10458" i="12"/>
  <c r="U10458" i="12"/>
  <c r="T10459" i="12"/>
  <c r="U10459" i="12"/>
  <c r="T10460" i="12"/>
  <c r="U10460" i="12"/>
  <c r="T10461" i="12"/>
  <c r="U10461" i="12"/>
  <c r="T10462" i="12"/>
  <c r="U10462" i="12"/>
  <c r="T10463" i="12"/>
  <c r="U10463" i="12"/>
  <c r="T10464" i="12"/>
  <c r="U10464" i="12"/>
  <c r="T10465" i="12"/>
  <c r="U10465" i="12"/>
  <c r="T10466" i="12"/>
  <c r="U10466" i="12"/>
  <c r="T10467" i="12"/>
  <c r="U10467" i="12"/>
  <c r="T10468" i="12"/>
  <c r="U10468" i="12"/>
  <c r="T10469" i="12"/>
  <c r="U10469" i="12"/>
  <c r="T10470" i="12"/>
  <c r="U10470" i="12"/>
  <c r="T10471" i="12"/>
  <c r="U10471" i="12"/>
  <c r="T10472" i="12"/>
  <c r="U10472" i="12"/>
  <c r="T10473" i="12"/>
  <c r="U10473" i="12"/>
  <c r="T10474" i="12"/>
  <c r="U10474" i="12"/>
  <c r="T10475" i="12"/>
  <c r="U10475" i="12"/>
  <c r="T10476" i="12"/>
  <c r="U10476" i="12"/>
  <c r="T10477" i="12"/>
  <c r="U10477" i="12"/>
  <c r="T10478" i="12"/>
  <c r="U10478" i="12"/>
  <c r="T10479" i="12"/>
  <c r="U10479" i="12"/>
  <c r="T10480" i="12"/>
  <c r="U10480" i="12"/>
  <c r="T10481" i="12"/>
  <c r="U10481" i="12"/>
  <c r="T10482" i="12"/>
  <c r="U10482" i="12"/>
  <c r="T10483" i="12"/>
  <c r="U10483" i="12"/>
  <c r="T10484" i="12"/>
  <c r="U10484" i="12"/>
  <c r="T10485" i="12"/>
  <c r="U10485" i="12"/>
  <c r="T10486" i="12"/>
  <c r="U10486" i="12"/>
  <c r="T10487" i="12"/>
  <c r="U10487" i="12"/>
  <c r="T10488" i="12"/>
  <c r="U10488" i="12"/>
  <c r="T10489" i="12"/>
  <c r="U10489" i="12"/>
  <c r="T10490" i="12"/>
  <c r="U10490" i="12"/>
  <c r="T10491" i="12"/>
  <c r="U10491" i="12"/>
  <c r="T10492" i="12"/>
  <c r="U10492" i="12"/>
  <c r="T10493" i="12"/>
  <c r="U10493" i="12"/>
  <c r="T10494" i="12"/>
  <c r="U10494" i="12"/>
  <c r="T10495" i="12"/>
  <c r="U10495" i="12"/>
  <c r="T10496" i="12"/>
  <c r="U10496" i="12"/>
  <c r="T10497" i="12"/>
  <c r="U10497" i="12"/>
  <c r="T10498" i="12"/>
  <c r="U10498" i="12"/>
  <c r="T10499" i="12"/>
  <c r="U10499" i="12"/>
  <c r="T10500" i="12"/>
  <c r="U10500" i="12"/>
  <c r="T10501" i="12"/>
  <c r="U10501" i="12"/>
  <c r="T10502" i="12"/>
  <c r="U10502" i="12"/>
  <c r="T10503" i="12"/>
  <c r="U10503" i="12"/>
  <c r="T10504" i="12"/>
  <c r="U10504" i="12"/>
  <c r="T10505" i="12"/>
  <c r="U10505" i="12"/>
  <c r="T10506" i="12"/>
  <c r="U10506" i="12"/>
  <c r="T10507" i="12"/>
  <c r="U10507" i="12"/>
  <c r="T10508" i="12"/>
  <c r="U10508" i="12"/>
  <c r="T10509" i="12"/>
  <c r="U10509" i="12"/>
  <c r="T10510" i="12"/>
  <c r="U10510" i="12"/>
  <c r="T10511" i="12"/>
  <c r="U10511" i="12"/>
  <c r="T10512" i="12"/>
  <c r="U10512" i="12"/>
  <c r="T10513" i="12"/>
  <c r="U10513" i="12"/>
  <c r="T10514" i="12"/>
  <c r="U10514" i="12"/>
  <c r="T10515" i="12"/>
  <c r="U10515" i="12"/>
  <c r="T10516" i="12"/>
  <c r="U10516" i="12"/>
  <c r="T10517" i="12"/>
  <c r="U10517" i="12"/>
  <c r="T10518" i="12"/>
  <c r="U10518" i="12"/>
  <c r="T10519" i="12"/>
  <c r="U10519" i="12"/>
  <c r="T10520" i="12"/>
  <c r="U10520" i="12"/>
  <c r="T10521" i="12"/>
  <c r="U10521" i="12"/>
  <c r="T10522" i="12"/>
  <c r="U10522" i="12"/>
  <c r="T10523" i="12"/>
  <c r="U10523" i="12"/>
  <c r="T10524" i="12"/>
  <c r="U10524" i="12"/>
  <c r="T10525" i="12"/>
  <c r="U10525" i="12"/>
  <c r="T10526" i="12"/>
  <c r="U10526" i="12"/>
  <c r="T10527" i="12"/>
  <c r="U10527" i="12"/>
  <c r="T10528" i="12"/>
  <c r="U10528" i="12"/>
  <c r="T10529" i="12"/>
  <c r="U10529" i="12"/>
  <c r="T10530" i="12"/>
  <c r="U10530" i="12"/>
  <c r="T10531" i="12"/>
  <c r="U10531" i="12"/>
  <c r="T10532" i="12"/>
  <c r="U10532" i="12"/>
  <c r="T10533" i="12"/>
  <c r="U10533" i="12"/>
  <c r="T10534" i="12"/>
  <c r="U10534" i="12"/>
  <c r="T10535" i="12"/>
  <c r="U10535" i="12"/>
  <c r="T10536" i="12"/>
  <c r="U10536" i="12"/>
  <c r="T10537" i="12"/>
  <c r="U10537" i="12"/>
  <c r="T10538" i="12"/>
  <c r="U10538" i="12"/>
  <c r="T10539" i="12"/>
  <c r="U10539" i="12"/>
  <c r="T10540" i="12"/>
  <c r="U10540" i="12"/>
  <c r="T10541" i="12"/>
  <c r="U10541" i="12"/>
  <c r="T10542" i="12"/>
  <c r="U10542" i="12"/>
  <c r="T10543" i="12"/>
  <c r="U10543" i="12"/>
  <c r="T10544" i="12"/>
  <c r="U10544" i="12"/>
  <c r="T10545" i="12"/>
  <c r="U10545" i="12"/>
  <c r="T10546" i="12"/>
  <c r="U10546" i="12"/>
  <c r="T10547" i="12"/>
  <c r="U10547" i="12"/>
  <c r="T10548" i="12"/>
  <c r="U10548" i="12"/>
  <c r="T10549" i="12"/>
  <c r="U10549" i="12"/>
  <c r="T10550" i="12"/>
  <c r="U10550" i="12"/>
  <c r="T10551" i="12"/>
  <c r="U10551" i="12"/>
  <c r="T10552" i="12"/>
  <c r="U10552" i="12"/>
  <c r="T10553" i="12"/>
  <c r="U10553" i="12"/>
  <c r="T10554" i="12"/>
  <c r="U10554" i="12"/>
  <c r="T10555" i="12"/>
  <c r="U10555" i="12"/>
  <c r="T10556" i="12"/>
  <c r="U10556" i="12"/>
  <c r="T10557" i="12"/>
  <c r="U10557" i="12"/>
  <c r="T10558" i="12"/>
  <c r="U10558" i="12"/>
  <c r="T10559" i="12"/>
  <c r="U10559" i="12"/>
  <c r="T10560" i="12"/>
  <c r="U10560" i="12"/>
  <c r="T10561" i="12"/>
  <c r="U10561" i="12"/>
  <c r="T10562" i="12"/>
  <c r="U10562" i="12"/>
  <c r="T10563" i="12"/>
  <c r="U10563" i="12"/>
  <c r="T10564" i="12"/>
  <c r="U10564" i="12"/>
  <c r="T10565" i="12"/>
  <c r="U10565" i="12"/>
  <c r="T10566" i="12"/>
  <c r="U10566" i="12"/>
  <c r="T10567" i="12"/>
  <c r="U10567" i="12"/>
  <c r="T10568" i="12"/>
  <c r="U10568" i="12"/>
  <c r="T10569" i="12"/>
  <c r="U10569" i="12"/>
  <c r="T10570" i="12"/>
  <c r="U10570" i="12"/>
  <c r="T10571" i="12"/>
  <c r="U10571" i="12"/>
  <c r="T10572" i="12"/>
  <c r="U10572" i="12"/>
  <c r="T10573" i="12"/>
  <c r="U10573" i="12"/>
  <c r="T10574" i="12"/>
  <c r="U10574" i="12"/>
  <c r="T10575" i="12"/>
  <c r="U10575" i="12"/>
  <c r="T10576" i="12"/>
  <c r="U10576" i="12"/>
  <c r="T10577" i="12"/>
  <c r="U10577" i="12"/>
  <c r="T10578" i="12"/>
  <c r="U10578" i="12"/>
  <c r="T10579" i="12"/>
  <c r="U10579" i="12"/>
  <c r="T10580" i="12"/>
  <c r="U10580" i="12"/>
  <c r="T10581" i="12"/>
  <c r="U10581" i="12"/>
  <c r="T10582" i="12"/>
  <c r="U10582" i="12"/>
  <c r="T10583" i="12"/>
  <c r="U10583" i="12"/>
  <c r="T10584" i="12"/>
  <c r="U10584" i="12"/>
  <c r="T10585" i="12"/>
  <c r="U10585" i="12"/>
  <c r="T10586" i="12"/>
  <c r="U10586" i="12"/>
  <c r="T10587" i="12"/>
  <c r="U10587" i="12"/>
  <c r="T10588" i="12"/>
  <c r="U10588" i="12"/>
  <c r="T10589" i="12"/>
  <c r="U10589" i="12"/>
  <c r="T10590" i="12"/>
  <c r="U10590" i="12"/>
  <c r="T10591" i="12"/>
  <c r="U10591" i="12"/>
  <c r="T10592" i="12"/>
  <c r="U10592" i="12"/>
  <c r="T10593" i="12"/>
  <c r="U10593" i="12"/>
  <c r="T10594" i="12"/>
  <c r="U10594" i="12"/>
  <c r="T10595" i="12"/>
  <c r="U10595" i="12"/>
  <c r="T10596" i="12"/>
  <c r="U10596" i="12"/>
  <c r="T10597" i="12"/>
  <c r="U10597" i="12"/>
  <c r="T10598" i="12"/>
  <c r="U10598" i="12"/>
  <c r="T10599" i="12"/>
  <c r="U10599" i="12"/>
  <c r="T10600" i="12"/>
  <c r="U10600" i="12"/>
  <c r="T10601" i="12"/>
  <c r="U10601" i="12"/>
  <c r="T10602" i="12"/>
  <c r="U10602" i="12"/>
  <c r="T10603" i="12"/>
  <c r="U10603" i="12"/>
  <c r="T10604" i="12"/>
  <c r="U10604" i="12"/>
  <c r="T10605" i="12"/>
  <c r="U10605" i="12"/>
  <c r="T10606" i="12"/>
  <c r="U10606" i="12"/>
  <c r="T10607" i="12"/>
  <c r="U10607" i="12"/>
  <c r="T10608" i="12"/>
  <c r="U10608" i="12"/>
  <c r="T10609" i="12"/>
  <c r="U10609" i="12"/>
  <c r="T10610" i="12"/>
  <c r="U10610" i="12"/>
  <c r="T10611" i="12"/>
  <c r="U10611" i="12"/>
  <c r="T10612" i="12"/>
  <c r="U10612" i="12"/>
  <c r="T10613" i="12"/>
  <c r="U10613" i="12"/>
  <c r="T10614" i="12"/>
  <c r="U10614" i="12"/>
  <c r="T10615" i="12"/>
  <c r="U10615" i="12"/>
  <c r="T10616" i="12"/>
  <c r="U10616" i="12"/>
  <c r="T10617" i="12"/>
  <c r="U10617" i="12"/>
  <c r="T10618" i="12"/>
  <c r="U10618" i="12"/>
  <c r="T10619" i="12"/>
  <c r="U10619" i="12"/>
  <c r="T10620" i="12"/>
  <c r="U10620" i="12"/>
  <c r="T10621" i="12"/>
  <c r="U10621" i="12"/>
  <c r="T10622" i="12"/>
  <c r="U10622" i="12"/>
  <c r="T10623" i="12"/>
  <c r="U10623" i="12"/>
  <c r="T10624" i="12"/>
  <c r="U10624" i="12"/>
  <c r="T10625" i="12"/>
  <c r="U10625" i="12"/>
  <c r="T10626" i="12"/>
  <c r="U10626" i="12"/>
  <c r="T10627" i="12"/>
  <c r="U10627" i="12"/>
  <c r="T10628" i="12"/>
  <c r="U10628" i="12"/>
  <c r="T10629" i="12"/>
  <c r="U10629" i="12"/>
  <c r="T10630" i="12"/>
  <c r="U10630" i="12"/>
  <c r="T10631" i="12"/>
  <c r="U10631" i="12"/>
  <c r="T10632" i="12"/>
  <c r="U10632" i="12"/>
  <c r="T10633" i="12"/>
  <c r="U10633" i="12"/>
  <c r="T10634" i="12"/>
  <c r="U10634" i="12"/>
  <c r="T10635" i="12"/>
  <c r="U10635" i="12"/>
  <c r="T10636" i="12"/>
  <c r="U10636" i="12"/>
  <c r="T10637" i="12"/>
  <c r="U10637" i="12"/>
  <c r="T10638" i="12"/>
  <c r="U10638" i="12"/>
  <c r="T10639" i="12"/>
  <c r="U10639" i="12"/>
  <c r="T10640" i="12"/>
  <c r="U10640" i="12"/>
  <c r="T10641" i="12"/>
  <c r="U10641" i="12"/>
  <c r="T10642" i="12"/>
  <c r="U10642" i="12"/>
  <c r="T10643" i="12"/>
  <c r="U10643" i="12"/>
  <c r="T10644" i="12"/>
  <c r="U10644" i="12"/>
  <c r="T10645" i="12"/>
  <c r="U10645" i="12"/>
  <c r="T10646" i="12"/>
  <c r="U10646" i="12"/>
  <c r="T10647" i="12"/>
  <c r="U10647" i="12"/>
  <c r="T10648" i="12"/>
  <c r="U10648" i="12"/>
  <c r="T10649" i="12"/>
  <c r="U10649" i="12"/>
  <c r="T10650" i="12"/>
  <c r="U10650" i="12"/>
  <c r="T10651" i="12"/>
  <c r="U10651" i="12"/>
  <c r="T10652" i="12"/>
  <c r="U10652" i="12"/>
  <c r="T10653" i="12"/>
  <c r="U10653" i="12"/>
  <c r="T10654" i="12"/>
  <c r="U10654" i="12"/>
  <c r="T10655" i="12"/>
  <c r="U10655" i="12"/>
  <c r="T10656" i="12"/>
  <c r="U10656" i="12"/>
  <c r="T10657" i="12"/>
  <c r="U10657" i="12"/>
  <c r="T10658" i="12"/>
  <c r="U10658" i="12"/>
  <c r="T10659" i="12"/>
  <c r="U10659" i="12"/>
  <c r="T10660" i="12"/>
  <c r="U10660" i="12"/>
  <c r="T10661" i="12"/>
  <c r="U10661" i="12"/>
  <c r="T10662" i="12"/>
  <c r="U10662" i="12"/>
  <c r="T10663" i="12"/>
  <c r="U10663" i="12"/>
  <c r="T10664" i="12"/>
  <c r="U10664" i="12"/>
  <c r="T10665" i="12"/>
  <c r="U10665" i="12"/>
  <c r="T10666" i="12"/>
  <c r="U10666" i="12"/>
  <c r="T10667" i="12"/>
  <c r="U10667" i="12"/>
  <c r="T10668" i="12"/>
  <c r="U10668" i="12"/>
  <c r="T10669" i="12"/>
  <c r="U10669" i="12"/>
  <c r="T10670" i="12"/>
  <c r="U10670" i="12"/>
  <c r="T10671" i="12"/>
  <c r="U10671" i="12"/>
  <c r="T10672" i="12"/>
  <c r="U10672" i="12"/>
  <c r="T10673" i="12"/>
  <c r="U10673" i="12"/>
  <c r="T10674" i="12"/>
  <c r="U10674" i="12"/>
  <c r="T10675" i="12"/>
  <c r="U10675" i="12"/>
  <c r="T10676" i="12"/>
  <c r="U10676" i="12"/>
  <c r="T10677" i="12"/>
  <c r="U10677" i="12"/>
  <c r="T10678" i="12"/>
  <c r="U10678" i="12"/>
  <c r="T10679" i="12"/>
  <c r="U10679" i="12"/>
  <c r="T10680" i="12"/>
  <c r="U10680" i="12"/>
  <c r="T10681" i="12"/>
  <c r="U10681" i="12"/>
  <c r="T10682" i="12"/>
  <c r="U10682" i="12"/>
  <c r="T10683" i="12"/>
  <c r="U10683" i="12"/>
  <c r="T10684" i="12"/>
  <c r="U10684" i="12"/>
  <c r="T10685" i="12"/>
  <c r="U10685" i="12"/>
  <c r="T10686" i="12"/>
  <c r="U10686" i="12"/>
  <c r="T10687" i="12"/>
  <c r="U10687" i="12"/>
  <c r="T10688" i="12"/>
  <c r="U10688" i="12"/>
  <c r="T10689" i="12"/>
  <c r="U10689" i="12"/>
  <c r="T10690" i="12"/>
  <c r="U10690" i="12"/>
  <c r="T10691" i="12"/>
  <c r="U10691" i="12"/>
  <c r="T10692" i="12"/>
  <c r="U10692" i="12"/>
  <c r="T10693" i="12"/>
  <c r="U10693" i="12"/>
  <c r="T10694" i="12"/>
  <c r="U10694" i="12"/>
  <c r="T10695" i="12"/>
  <c r="U10695" i="12"/>
  <c r="T10696" i="12"/>
  <c r="U10696" i="12"/>
  <c r="T10697" i="12"/>
  <c r="U10697" i="12"/>
  <c r="T10698" i="12"/>
  <c r="U10698" i="12"/>
  <c r="T10699" i="12"/>
  <c r="U10699" i="12"/>
  <c r="T10700" i="12"/>
  <c r="U10700" i="12"/>
  <c r="T10701" i="12"/>
  <c r="U10701" i="12"/>
  <c r="T10702" i="12"/>
  <c r="U10702" i="12"/>
  <c r="T10703" i="12"/>
  <c r="U10703" i="12"/>
  <c r="T10704" i="12"/>
  <c r="U10704" i="12"/>
  <c r="T10705" i="12"/>
  <c r="U10705" i="12"/>
  <c r="T10706" i="12"/>
  <c r="U10706" i="12"/>
  <c r="T10707" i="12"/>
  <c r="U10707" i="12"/>
  <c r="T10708" i="12"/>
  <c r="U10708" i="12"/>
  <c r="T10709" i="12"/>
  <c r="U10709" i="12"/>
  <c r="T10710" i="12"/>
  <c r="U10710" i="12"/>
  <c r="T10711" i="12"/>
  <c r="U10711" i="12"/>
  <c r="T10712" i="12"/>
  <c r="U10712" i="12"/>
  <c r="T10713" i="12"/>
  <c r="U10713" i="12"/>
  <c r="T10714" i="12"/>
  <c r="U10714" i="12"/>
  <c r="T10715" i="12"/>
  <c r="U10715" i="12"/>
  <c r="T10716" i="12"/>
  <c r="U10716" i="12"/>
  <c r="T10717" i="12"/>
  <c r="U10717" i="12"/>
  <c r="T10718" i="12"/>
  <c r="U10718" i="12"/>
  <c r="T10719" i="12"/>
  <c r="U10719" i="12"/>
  <c r="T10720" i="12"/>
  <c r="U10720" i="12"/>
  <c r="T10721" i="12"/>
  <c r="U10721" i="12"/>
  <c r="T10722" i="12"/>
  <c r="U10722" i="12"/>
  <c r="T10723" i="12"/>
  <c r="U10723" i="12"/>
  <c r="T10724" i="12"/>
  <c r="U10724" i="12"/>
  <c r="T10725" i="12"/>
  <c r="U10725" i="12"/>
  <c r="T10726" i="12"/>
  <c r="U10726" i="12"/>
  <c r="T10727" i="12"/>
  <c r="U10727" i="12"/>
  <c r="T10728" i="12"/>
  <c r="U10728" i="12"/>
  <c r="T10729" i="12"/>
  <c r="U10729" i="12"/>
  <c r="T10730" i="12"/>
  <c r="U10730" i="12"/>
  <c r="T10731" i="12"/>
  <c r="U10731" i="12"/>
  <c r="T10732" i="12"/>
  <c r="U10732" i="12"/>
  <c r="T10733" i="12"/>
  <c r="U10733" i="12"/>
  <c r="T10734" i="12"/>
  <c r="U10734" i="12"/>
  <c r="T10735" i="12"/>
  <c r="U10735" i="12"/>
  <c r="T10736" i="12"/>
  <c r="U10736" i="12"/>
  <c r="T10737" i="12"/>
  <c r="U10737" i="12"/>
  <c r="T10738" i="12"/>
  <c r="U10738" i="12"/>
  <c r="T10739" i="12"/>
  <c r="U10739" i="12"/>
  <c r="T10740" i="12"/>
  <c r="U10740" i="12"/>
  <c r="T10741" i="12"/>
  <c r="U10741" i="12"/>
  <c r="T10742" i="12"/>
  <c r="U10742" i="12"/>
  <c r="T10743" i="12"/>
  <c r="U10743" i="12"/>
  <c r="T10744" i="12"/>
  <c r="U10744" i="12"/>
  <c r="T10745" i="12"/>
  <c r="U10745" i="12"/>
  <c r="T10746" i="12"/>
  <c r="U10746" i="12"/>
  <c r="T10747" i="12"/>
  <c r="U10747" i="12"/>
  <c r="T10748" i="12"/>
  <c r="U10748" i="12"/>
  <c r="T10749" i="12"/>
  <c r="U10749" i="12"/>
  <c r="T10750" i="12"/>
  <c r="U10750" i="12"/>
  <c r="T10751" i="12"/>
  <c r="U10751" i="12"/>
  <c r="T10752" i="12"/>
  <c r="U10752" i="12"/>
  <c r="T10753" i="12"/>
  <c r="U10753" i="12"/>
  <c r="T10754" i="12"/>
  <c r="U10754" i="12"/>
  <c r="T10755" i="12"/>
  <c r="U10755" i="12"/>
  <c r="T10756" i="12"/>
  <c r="U10756" i="12"/>
  <c r="T10757" i="12"/>
  <c r="U10757" i="12"/>
  <c r="T10758" i="12"/>
  <c r="U10758" i="12"/>
  <c r="T10759" i="12"/>
  <c r="U10759" i="12"/>
  <c r="T10760" i="12"/>
  <c r="U10760" i="12"/>
  <c r="T10761" i="12"/>
  <c r="U10761" i="12"/>
  <c r="T10762" i="12"/>
  <c r="U10762" i="12"/>
  <c r="T10763" i="12"/>
  <c r="U10763" i="12"/>
  <c r="T10764" i="12"/>
  <c r="U10764" i="12"/>
  <c r="T10765" i="12"/>
  <c r="U10765" i="12"/>
  <c r="T10766" i="12"/>
  <c r="U10766" i="12"/>
  <c r="T10767" i="12"/>
  <c r="U10767" i="12"/>
  <c r="T10768" i="12"/>
  <c r="U10768" i="12"/>
  <c r="T10769" i="12"/>
  <c r="U10769" i="12"/>
  <c r="T10770" i="12"/>
  <c r="U10770" i="12"/>
  <c r="T10771" i="12"/>
  <c r="U10771" i="12"/>
  <c r="T10772" i="12"/>
  <c r="U10772" i="12"/>
  <c r="T10773" i="12"/>
  <c r="U10773" i="12"/>
  <c r="T10774" i="12"/>
  <c r="U10774" i="12"/>
  <c r="T10775" i="12"/>
  <c r="U10775" i="12"/>
  <c r="T10776" i="12"/>
  <c r="U10776" i="12"/>
  <c r="T10777" i="12"/>
  <c r="U10777" i="12"/>
  <c r="T10778" i="12"/>
  <c r="U10778" i="12"/>
  <c r="T10779" i="12"/>
  <c r="U10779" i="12"/>
  <c r="T10780" i="12"/>
  <c r="U10780" i="12"/>
  <c r="T10781" i="12"/>
  <c r="U10781" i="12"/>
  <c r="T10782" i="12"/>
  <c r="U10782" i="12"/>
  <c r="T10783" i="12"/>
  <c r="U10783" i="12"/>
  <c r="T10784" i="12"/>
  <c r="U10784" i="12"/>
  <c r="T10785" i="12"/>
  <c r="U10785" i="12"/>
  <c r="T10786" i="12"/>
  <c r="U10786" i="12"/>
  <c r="T10787" i="12"/>
  <c r="U10787" i="12"/>
  <c r="T10788" i="12"/>
  <c r="U10788" i="12"/>
  <c r="T10789" i="12"/>
  <c r="U10789" i="12"/>
  <c r="T10790" i="12"/>
  <c r="U10790" i="12"/>
  <c r="T10791" i="12"/>
  <c r="U10791" i="12"/>
  <c r="T10792" i="12"/>
  <c r="U10792" i="12"/>
  <c r="T10793" i="12"/>
  <c r="U10793" i="12"/>
  <c r="T10794" i="12"/>
  <c r="U10794" i="12"/>
  <c r="T10795" i="12"/>
  <c r="U10795" i="12"/>
  <c r="T10796" i="12"/>
  <c r="U10796" i="12"/>
  <c r="T10797" i="12"/>
  <c r="U10797" i="12"/>
  <c r="T10798" i="12"/>
  <c r="U10798" i="12"/>
  <c r="T10799" i="12"/>
  <c r="U10799" i="12"/>
  <c r="T10800" i="12"/>
  <c r="U10800" i="12"/>
  <c r="T10801" i="12"/>
  <c r="U10801" i="12"/>
  <c r="T10802" i="12"/>
  <c r="U10802" i="12"/>
  <c r="T10803" i="12"/>
  <c r="U10803" i="12"/>
  <c r="T10804" i="12"/>
  <c r="U10804" i="12"/>
  <c r="T10805" i="12"/>
  <c r="U10805" i="12"/>
  <c r="T10806" i="12"/>
  <c r="U10806" i="12"/>
  <c r="T10807" i="12"/>
  <c r="U10807" i="12"/>
  <c r="T10808" i="12"/>
  <c r="U10808" i="12"/>
  <c r="T10809" i="12"/>
  <c r="U10809" i="12"/>
  <c r="T10810" i="12"/>
  <c r="U10810" i="12"/>
  <c r="T10811" i="12"/>
  <c r="U10811" i="12"/>
  <c r="T10812" i="12"/>
  <c r="U10812" i="12"/>
  <c r="T10813" i="12"/>
  <c r="U10813" i="12"/>
  <c r="T10814" i="12"/>
  <c r="U10814" i="12"/>
  <c r="T10815" i="12"/>
  <c r="U10815" i="12"/>
  <c r="T10816" i="12"/>
  <c r="U10816" i="12"/>
  <c r="T10817" i="12"/>
  <c r="U10817" i="12"/>
  <c r="T10818" i="12"/>
  <c r="U10818" i="12"/>
  <c r="T10819" i="12"/>
  <c r="U10819" i="12"/>
  <c r="T10820" i="12"/>
  <c r="U10820" i="12"/>
  <c r="T10821" i="12"/>
  <c r="U10821" i="12"/>
  <c r="T10822" i="12"/>
  <c r="U10822" i="12"/>
  <c r="T10823" i="12"/>
  <c r="U10823" i="12"/>
  <c r="T10824" i="12"/>
  <c r="U10824" i="12"/>
  <c r="T10825" i="12"/>
  <c r="U10825" i="12"/>
  <c r="T10826" i="12"/>
  <c r="U10826" i="12"/>
  <c r="T10827" i="12"/>
  <c r="U10827" i="12"/>
  <c r="T10828" i="12"/>
  <c r="U10828" i="12"/>
  <c r="T10829" i="12"/>
  <c r="U10829" i="12"/>
  <c r="T10830" i="12"/>
  <c r="U10830" i="12"/>
  <c r="T10831" i="12"/>
  <c r="U10831" i="12"/>
  <c r="T10832" i="12"/>
  <c r="U10832" i="12"/>
  <c r="T10833" i="12"/>
  <c r="U10833" i="12"/>
  <c r="T10834" i="12"/>
  <c r="U10834" i="12"/>
  <c r="T10835" i="12"/>
  <c r="U10835" i="12"/>
  <c r="T10836" i="12"/>
  <c r="U10836" i="12"/>
  <c r="T10837" i="12"/>
  <c r="U10837" i="12"/>
  <c r="T10838" i="12"/>
  <c r="U10838" i="12"/>
  <c r="T10839" i="12"/>
  <c r="U10839" i="12"/>
  <c r="T10840" i="12"/>
  <c r="U10840" i="12"/>
  <c r="T10841" i="12"/>
  <c r="U10841" i="12"/>
  <c r="T10842" i="12"/>
  <c r="U10842" i="12"/>
  <c r="T10843" i="12"/>
  <c r="U10843" i="12"/>
  <c r="T10844" i="12"/>
  <c r="U10844" i="12"/>
  <c r="T10845" i="12"/>
  <c r="U10845" i="12"/>
  <c r="T10846" i="12"/>
  <c r="U10846" i="12"/>
  <c r="T10847" i="12"/>
  <c r="U10847" i="12"/>
  <c r="T10848" i="12"/>
  <c r="U10848" i="12"/>
  <c r="T10849" i="12"/>
  <c r="U10849" i="12"/>
  <c r="T10850" i="12"/>
  <c r="U10850" i="12"/>
  <c r="T10851" i="12"/>
  <c r="U10851" i="12"/>
  <c r="T10852" i="12"/>
  <c r="U10852" i="12"/>
  <c r="T10853" i="12"/>
  <c r="U10853" i="12"/>
  <c r="T10854" i="12"/>
  <c r="U10854" i="12"/>
  <c r="T10855" i="12"/>
  <c r="U10855" i="12"/>
  <c r="T10856" i="12"/>
  <c r="U10856" i="12"/>
  <c r="T10857" i="12"/>
  <c r="U10857" i="12"/>
  <c r="T10858" i="12"/>
  <c r="U10858" i="12"/>
  <c r="T10859" i="12"/>
  <c r="U10859" i="12"/>
  <c r="T10860" i="12"/>
  <c r="U10860" i="12"/>
  <c r="T10861" i="12"/>
  <c r="U10861" i="12"/>
  <c r="T10862" i="12"/>
  <c r="U10862" i="12"/>
  <c r="T10863" i="12"/>
  <c r="U10863" i="12"/>
  <c r="T10864" i="12"/>
  <c r="U10864" i="12"/>
  <c r="T10865" i="12"/>
  <c r="U10865" i="12"/>
  <c r="T10866" i="12"/>
  <c r="U10866" i="12"/>
  <c r="T10867" i="12"/>
  <c r="U10867" i="12"/>
  <c r="T10868" i="12"/>
  <c r="U10868" i="12"/>
  <c r="T10869" i="12"/>
  <c r="U10869" i="12"/>
  <c r="T10870" i="12"/>
  <c r="U10870" i="12"/>
  <c r="T10871" i="12"/>
  <c r="U10871" i="12"/>
  <c r="T10872" i="12"/>
  <c r="U10872" i="12"/>
  <c r="T10873" i="12"/>
  <c r="U10873" i="12"/>
  <c r="T10874" i="12"/>
  <c r="U10874" i="12"/>
  <c r="T10875" i="12"/>
  <c r="U10875" i="12"/>
  <c r="T10876" i="12"/>
  <c r="U10876" i="12"/>
  <c r="T10877" i="12"/>
  <c r="U10877" i="12"/>
  <c r="T10878" i="12"/>
  <c r="U10878" i="12"/>
  <c r="T10879" i="12"/>
  <c r="U10879" i="12"/>
  <c r="T10880" i="12"/>
  <c r="U10880" i="12"/>
  <c r="T10881" i="12"/>
  <c r="U10881" i="12"/>
  <c r="T10882" i="12"/>
  <c r="U10882" i="12"/>
  <c r="T10883" i="12"/>
  <c r="U10883" i="12"/>
  <c r="T10884" i="12"/>
  <c r="U10884" i="12"/>
  <c r="T10885" i="12"/>
  <c r="U10885" i="12"/>
  <c r="T10886" i="12"/>
  <c r="U10886" i="12"/>
  <c r="T10887" i="12"/>
  <c r="U10887" i="12"/>
  <c r="T10888" i="12"/>
  <c r="U10888" i="12"/>
  <c r="T10889" i="12"/>
  <c r="U10889" i="12"/>
  <c r="T10890" i="12"/>
  <c r="U10890" i="12"/>
  <c r="T10891" i="12"/>
  <c r="U10891" i="12"/>
  <c r="T10892" i="12"/>
  <c r="U10892" i="12"/>
  <c r="T10893" i="12"/>
  <c r="U10893" i="12"/>
  <c r="T10894" i="12"/>
  <c r="U10894" i="12"/>
  <c r="T10895" i="12"/>
  <c r="U10895" i="12"/>
  <c r="T10896" i="12"/>
  <c r="U10896" i="12"/>
  <c r="T10897" i="12"/>
  <c r="U10897" i="12"/>
  <c r="T10898" i="12"/>
  <c r="U10898" i="12"/>
  <c r="T10899" i="12"/>
  <c r="U10899" i="12"/>
  <c r="T10900" i="12"/>
  <c r="U10900" i="12"/>
  <c r="T10901" i="12"/>
  <c r="U10901" i="12"/>
  <c r="T10902" i="12"/>
  <c r="U10902" i="12"/>
  <c r="T10903" i="12"/>
  <c r="U10903" i="12"/>
  <c r="T10904" i="12"/>
  <c r="U10904" i="12"/>
  <c r="T10905" i="12"/>
  <c r="U10905" i="12"/>
  <c r="T10906" i="12"/>
  <c r="U10906" i="12"/>
  <c r="T10907" i="12"/>
  <c r="U10907" i="12"/>
  <c r="T10908" i="12"/>
  <c r="U10908" i="12"/>
  <c r="T10909" i="12"/>
  <c r="U10909" i="12"/>
  <c r="T10910" i="12"/>
  <c r="U10910" i="12"/>
  <c r="T10911" i="12"/>
  <c r="U10911" i="12"/>
  <c r="T10912" i="12"/>
  <c r="U10912" i="12"/>
  <c r="T10913" i="12"/>
  <c r="U10913" i="12"/>
  <c r="T10914" i="12"/>
  <c r="U10914" i="12"/>
  <c r="T10915" i="12"/>
  <c r="U10915" i="12"/>
  <c r="T10916" i="12"/>
  <c r="U10916" i="12"/>
  <c r="T10917" i="12"/>
  <c r="U10917" i="12"/>
  <c r="T10918" i="12"/>
  <c r="U10918" i="12"/>
  <c r="T10919" i="12"/>
  <c r="U10919" i="12"/>
  <c r="T10920" i="12"/>
  <c r="U10920" i="12"/>
  <c r="T10921" i="12"/>
  <c r="U10921" i="12"/>
  <c r="T10922" i="12"/>
  <c r="U10922" i="12"/>
  <c r="T10923" i="12"/>
  <c r="U10923" i="12"/>
  <c r="T10924" i="12"/>
  <c r="U10924" i="12"/>
  <c r="T10925" i="12"/>
  <c r="U10925" i="12"/>
  <c r="T10926" i="12"/>
  <c r="U10926" i="12"/>
  <c r="T10927" i="12"/>
  <c r="U10927" i="12"/>
  <c r="T10928" i="12"/>
  <c r="U10928" i="12"/>
  <c r="T10929" i="12"/>
  <c r="U10929" i="12"/>
  <c r="T10930" i="12"/>
  <c r="U10930" i="12"/>
  <c r="T10931" i="12"/>
  <c r="U10931" i="12"/>
  <c r="T10932" i="12"/>
  <c r="U10932" i="12"/>
  <c r="T10933" i="12"/>
  <c r="U10933" i="12"/>
  <c r="T10934" i="12"/>
  <c r="U10934" i="12"/>
  <c r="T10935" i="12"/>
  <c r="U10935" i="12"/>
  <c r="T10936" i="12"/>
  <c r="U10936" i="12"/>
  <c r="T10937" i="12"/>
  <c r="U10937" i="12"/>
  <c r="T10938" i="12"/>
  <c r="U10938" i="12"/>
  <c r="T10939" i="12"/>
  <c r="U10939" i="12"/>
  <c r="T10940" i="12"/>
  <c r="U10940" i="12"/>
  <c r="T10941" i="12"/>
  <c r="U10941" i="12"/>
  <c r="T10942" i="12"/>
  <c r="U10942" i="12"/>
  <c r="T10943" i="12"/>
  <c r="U10943" i="12"/>
  <c r="T10944" i="12"/>
  <c r="U10944" i="12"/>
  <c r="T10945" i="12"/>
  <c r="U10945" i="12"/>
  <c r="T10946" i="12"/>
  <c r="U10946" i="12"/>
  <c r="T10947" i="12"/>
  <c r="U10947" i="12"/>
  <c r="T10948" i="12"/>
  <c r="U10948" i="12"/>
  <c r="T10949" i="12"/>
  <c r="U10949" i="12"/>
  <c r="T10950" i="12"/>
  <c r="U10950" i="12"/>
  <c r="T10951" i="12"/>
  <c r="U10951" i="12"/>
  <c r="T10952" i="12"/>
  <c r="U10952" i="12"/>
  <c r="T10953" i="12"/>
  <c r="U10953" i="12"/>
  <c r="T10954" i="12"/>
  <c r="U10954" i="12"/>
  <c r="T10955" i="12"/>
  <c r="U10955" i="12"/>
  <c r="T10956" i="12"/>
  <c r="U10956" i="12"/>
  <c r="T10957" i="12"/>
  <c r="U10957" i="12"/>
  <c r="T10958" i="12"/>
  <c r="U10958" i="12"/>
  <c r="T10959" i="12"/>
  <c r="U10959" i="12"/>
  <c r="T10960" i="12"/>
  <c r="U10960" i="12"/>
  <c r="T10961" i="12"/>
  <c r="U10961" i="12"/>
  <c r="T10962" i="12"/>
  <c r="U10962" i="12"/>
  <c r="T10963" i="12"/>
  <c r="U10963" i="12"/>
  <c r="T10964" i="12"/>
  <c r="U10964" i="12"/>
  <c r="T10965" i="12"/>
  <c r="U10965" i="12"/>
  <c r="T10966" i="12"/>
  <c r="U10966" i="12"/>
  <c r="T10967" i="12"/>
  <c r="U10967" i="12"/>
  <c r="T10968" i="12"/>
  <c r="U10968" i="12"/>
  <c r="T10969" i="12"/>
  <c r="U10969" i="12"/>
  <c r="T10970" i="12"/>
  <c r="U10970" i="12"/>
  <c r="T10971" i="12"/>
  <c r="U10971" i="12"/>
  <c r="T10972" i="12"/>
  <c r="U10972" i="12"/>
  <c r="T10973" i="12"/>
  <c r="U10973" i="12"/>
  <c r="T10974" i="12"/>
  <c r="U10974" i="12"/>
  <c r="T10975" i="12"/>
  <c r="U10975" i="12"/>
  <c r="T10976" i="12"/>
  <c r="U10976" i="12"/>
  <c r="T10977" i="12"/>
  <c r="U10977" i="12"/>
  <c r="T10978" i="12"/>
  <c r="U10978" i="12"/>
  <c r="T10979" i="12"/>
  <c r="U10979" i="12"/>
  <c r="T10980" i="12"/>
  <c r="U10980" i="12"/>
  <c r="T10981" i="12"/>
  <c r="U10981" i="12"/>
  <c r="T10982" i="12"/>
  <c r="U10982" i="12"/>
  <c r="T10983" i="12"/>
  <c r="U10983" i="12"/>
  <c r="T10984" i="12"/>
  <c r="U10984" i="12"/>
  <c r="T10985" i="12"/>
  <c r="U10985" i="12"/>
  <c r="T10986" i="12"/>
  <c r="U10986" i="12"/>
  <c r="T10987" i="12"/>
  <c r="U10987" i="12"/>
  <c r="T10988" i="12"/>
  <c r="U10988" i="12"/>
  <c r="T10989" i="12"/>
  <c r="U10989" i="12"/>
  <c r="T10990" i="12"/>
  <c r="U10990" i="12"/>
  <c r="T10991" i="12"/>
  <c r="U10991" i="12"/>
  <c r="T10992" i="12"/>
  <c r="U10992" i="12"/>
  <c r="T10993" i="12"/>
  <c r="U10993" i="12"/>
  <c r="T10994" i="12"/>
  <c r="U10994" i="12"/>
  <c r="T10995" i="12"/>
  <c r="U10995" i="12"/>
  <c r="T10996" i="12"/>
  <c r="U10996" i="12"/>
  <c r="T10997" i="12"/>
  <c r="U10997" i="12"/>
  <c r="T10998" i="12"/>
  <c r="U10998" i="12"/>
  <c r="T10999" i="12"/>
  <c r="U10999" i="12"/>
  <c r="T11000" i="12"/>
  <c r="U11000" i="12"/>
  <c r="T11001" i="12"/>
  <c r="U11001" i="12"/>
  <c r="T11002" i="12"/>
  <c r="U11002" i="12"/>
  <c r="T11003" i="12"/>
  <c r="U11003" i="12"/>
  <c r="T11004" i="12"/>
  <c r="U11004" i="12"/>
  <c r="T11005" i="12"/>
  <c r="U11005" i="12"/>
  <c r="T11006" i="12"/>
  <c r="U11006" i="12"/>
  <c r="T11007" i="12"/>
  <c r="U11007" i="12"/>
  <c r="T11008" i="12"/>
  <c r="U11008" i="12"/>
  <c r="T11009" i="12"/>
  <c r="U11009" i="12"/>
  <c r="T11010" i="12"/>
  <c r="U11010" i="12"/>
  <c r="T11011" i="12"/>
  <c r="U11011" i="12"/>
  <c r="T11012" i="12"/>
  <c r="U11012" i="12"/>
  <c r="T11013" i="12"/>
  <c r="U11013" i="12"/>
  <c r="T11014" i="12"/>
  <c r="U11014" i="12"/>
  <c r="T11015" i="12"/>
  <c r="U11015" i="12"/>
  <c r="T11016" i="12"/>
  <c r="U11016" i="12"/>
  <c r="T11017" i="12"/>
  <c r="U11017" i="12"/>
  <c r="T11018" i="12"/>
  <c r="U11018" i="12"/>
  <c r="T11019" i="12"/>
  <c r="U11019" i="12"/>
  <c r="T11020" i="12"/>
  <c r="U11020" i="12"/>
  <c r="T11021" i="12"/>
  <c r="U11021" i="12"/>
  <c r="T11022" i="12"/>
  <c r="U11022" i="12"/>
  <c r="T11023" i="12"/>
  <c r="U11023" i="12"/>
  <c r="T11024" i="12"/>
  <c r="U11024" i="12"/>
  <c r="T11025" i="12"/>
  <c r="U11025" i="12"/>
  <c r="T11026" i="12"/>
  <c r="U11026" i="12"/>
  <c r="T11027" i="12"/>
  <c r="U11027" i="12"/>
  <c r="T11028" i="12"/>
  <c r="U11028" i="12"/>
  <c r="T11029" i="12"/>
  <c r="U11029" i="12"/>
  <c r="T11030" i="12"/>
  <c r="U11030" i="12"/>
  <c r="T11031" i="12"/>
  <c r="U11031" i="12"/>
  <c r="T11032" i="12"/>
  <c r="U11032" i="12"/>
  <c r="T11033" i="12"/>
  <c r="U11033" i="12"/>
  <c r="T11034" i="12"/>
  <c r="U11034" i="12"/>
  <c r="T11035" i="12"/>
  <c r="U11035" i="12"/>
  <c r="T11036" i="12"/>
  <c r="U11036" i="12"/>
  <c r="T11037" i="12"/>
  <c r="U11037" i="12"/>
  <c r="T11038" i="12"/>
  <c r="U11038" i="12"/>
  <c r="T11039" i="12"/>
  <c r="U11039" i="12"/>
  <c r="T11040" i="12"/>
  <c r="U11040" i="12"/>
  <c r="T11041" i="12"/>
  <c r="U11041" i="12"/>
  <c r="T11042" i="12"/>
  <c r="U11042" i="12"/>
  <c r="T11043" i="12"/>
  <c r="U11043" i="12"/>
  <c r="T11044" i="12"/>
  <c r="U11044" i="12"/>
  <c r="T11045" i="12"/>
  <c r="U11045" i="12"/>
  <c r="T11046" i="12"/>
  <c r="U11046" i="12"/>
  <c r="T11047" i="12"/>
  <c r="U11047" i="12"/>
  <c r="T11048" i="12"/>
  <c r="U11048" i="12"/>
  <c r="T11049" i="12"/>
  <c r="U11049" i="12"/>
  <c r="T11050" i="12"/>
  <c r="U11050" i="12"/>
  <c r="T11051" i="12"/>
  <c r="U11051" i="12"/>
  <c r="T11052" i="12"/>
  <c r="U11052" i="12"/>
  <c r="T11053" i="12"/>
  <c r="U11053" i="12"/>
  <c r="T11054" i="12"/>
  <c r="U11054" i="12"/>
  <c r="T11055" i="12"/>
  <c r="U11055" i="12"/>
  <c r="T11056" i="12"/>
  <c r="U11056" i="12"/>
  <c r="T11057" i="12"/>
  <c r="U11057" i="12"/>
  <c r="T11058" i="12"/>
  <c r="U11058" i="12"/>
  <c r="T11059" i="12"/>
  <c r="U11059" i="12"/>
  <c r="T11060" i="12"/>
  <c r="U11060" i="12"/>
  <c r="T11061" i="12"/>
  <c r="U11061" i="12"/>
  <c r="T11062" i="12"/>
  <c r="U11062" i="12"/>
  <c r="T11063" i="12"/>
  <c r="U11063" i="12"/>
  <c r="T11064" i="12"/>
  <c r="U11064" i="12"/>
  <c r="T11065" i="12"/>
  <c r="U11065" i="12"/>
  <c r="T11066" i="12"/>
  <c r="U11066" i="12"/>
  <c r="T11067" i="12"/>
  <c r="U11067" i="12"/>
  <c r="T11068" i="12"/>
  <c r="U11068" i="12"/>
  <c r="T11069" i="12"/>
  <c r="U11069" i="12"/>
  <c r="T11070" i="12"/>
  <c r="U11070" i="12"/>
  <c r="T11071" i="12"/>
  <c r="U11071" i="12"/>
  <c r="T11072" i="12"/>
  <c r="U11072" i="12"/>
  <c r="T11073" i="12"/>
  <c r="U11073" i="12"/>
  <c r="T11074" i="12"/>
  <c r="U11074" i="12"/>
  <c r="T11075" i="12"/>
  <c r="U11075" i="12"/>
  <c r="T11076" i="12"/>
  <c r="U11076" i="12"/>
  <c r="T11077" i="12"/>
  <c r="U11077" i="12"/>
  <c r="T11078" i="12"/>
  <c r="U11078" i="12"/>
  <c r="T11079" i="12"/>
  <c r="U11079" i="12"/>
  <c r="T11080" i="12"/>
  <c r="U11080" i="12"/>
  <c r="T11081" i="12"/>
  <c r="U11081" i="12"/>
  <c r="T11082" i="12"/>
  <c r="U11082" i="12"/>
  <c r="T11083" i="12"/>
  <c r="U11083" i="12"/>
  <c r="T11084" i="12"/>
  <c r="U11084" i="12"/>
  <c r="T11085" i="12"/>
  <c r="U11085" i="12"/>
  <c r="T11086" i="12"/>
  <c r="U11086" i="12"/>
  <c r="T11087" i="12"/>
  <c r="U11087" i="12"/>
  <c r="T11088" i="12"/>
  <c r="U11088" i="12"/>
  <c r="T11089" i="12"/>
  <c r="U11089" i="12"/>
  <c r="T11090" i="12"/>
  <c r="U11090" i="12"/>
  <c r="T11091" i="12"/>
  <c r="U11091" i="12"/>
  <c r="T11092" i="12"/>
  <c r="U11092" i="12"/>
  <c r="T11093" i="12"/>
  <c r="U11093" i="12"/>
  <c r="T11094" i="12"/>
  <c r="U11094" i="12"/>
  <c r="T11095" i="12"/>
  <c r="U11095" i="12"/>
  <c r="T11096" i="12"/>
  <c r="U11096" i="12"/>
  <c r="T11097" i="12"/>
  <c r="U11097" i="12"/>
  <c r="T11098" i="12"/>
  <c r="U11098" i="12"/>
  <c r="T11099" i="12"/>
  <c r="U11099" i="12"/>
  <c r="T11100" i="12"/>
  <c r="U11100" i="12"/>
  <c r="T11101" i="12"/>
  <c r="U11101" i="12"/>
  <c r="T11102" i="12"/>
  <c r="U11102" i="12"/>
  <c r="T11103" i="12"/>
  <c r="U11103" i="12"/>
  <c r="T11104" i="12"/>
  <c r="U11104" i="12"/>
  <c r="T11105" i="12"/>
  <c r="U11105" i="12"/>
  <c r="T11106" i="12"/>
  <c r="U11106" i="12"/>
  <c r="T11107" i="12"/>
  <c r="U11107" i="12"/>
  <c r="T11108" i="12"/>
  <c r="U11108" i="12"/>
  <c r="T11109" i="12"/>
  <c r="U11109" i="12"/>
  <c r="T11110" i="12"/>
  <c r="U11110" i="12"/>
  <c r="T11111" i="12"/>
  <c r="U11111" i="12"/>
  <c r="T11112" i="12"/>
  <c r="U11112" i="12"/>
  <c r="T11113" i="12"/>
  <c r="U11113" i="12"/>
  <c r="T11114" i="12"/>
  <c r="U11114" i="12"/>
  <c r="T11115" i="12"/>
  <c r="U11115" i="12"/>
  <c r="T11116" i="12"/>
  <c r="U11116" i="12"/>
  <c r="T11117" i="12"/>
  <c r="U11117" i="12"/>
  <c r="T11118" i="12"/>
  <c r="U11118" i="12"/>
  <c r="T11119" i="12"/>
  <c r="U11119" i="12"/>
  <c r="T11120" i="12"/>
  <c r="U11120" i="12"/>
  <c r="T11121" i="12"/>
  <c r="U11121" i="12"/>
  <c r="T11122" i="12"/>
  <c r="U11122" i="12"/>
  <c r="T11123" i="12"/>
  <c r="U11123" i="12"/>
  <c r="T11124" i="12"/>
  <c r="U11124" i="12"/>
  <c r="T11125" i="12"/>
  <c r="U11125" i="12"/>
  <c r="T11126" i="12"/>
  <c r="U11126" i="12"/>
  <c r="T11127" i="12"/>
  <c r="U11127" i="12"/>
  <c r="T11128" i="12"/>
  <c r="U11128" i="12"/>
  <c r="T11129" i="12"/>
  <c r="U11129" i="12"/>
  <c r="T11130" i="12"/>
  <c r="U11130" i="12"/>
  <c r="T11131" i="12"/>
  <c r="U11131" i="12"/>
  <c r="T11132" i="12"/>
  <c r="U11132" i="12"/>
  <c r="T11133" i="12"/>
  <c r="U11133" i="12"/>
  <c r="T11134" i="12"/>
  <c r="U11134" i="12"/>
  <c r="T11135" i="12"/>
  <c r="U11135" i="12"/>
  <c r="T11136" i="12"/>
  <c r="U11136" i="12"/>
  <c r="T11137" i="12"/>
  <c r="U11137" i="12"/>
  <c r="T11138" i="12"/>
  <c r="U11138" i="12"/>
  <c r="T11139" i="12"/>
  <c r="U11139" i="12"/>
  <c r="T11140" i="12"/>
  <c r="U11140" i="12"/>
  <c r="T11141" i="12"/>
  <c r="U11141" i="12"/>
  <c r="T11142" i="12"/>
  <c r="U11142" i="12"/>
  <c r="T11143" i="12"/>
  <c r="U11143" i="12"/>
  <c r="T11144" i="12"/>
  <c r="U11144" i="12"/>
  <c r="T11145" i="12"/>
  <c r="U11145" i="12"/>
  <c r="T11146" i="12"/>
  <c r="U11146" i="12"/>
  <c r="T11147" i="12"/>
  <c r="U11147" i="12"/>
  <c r="T11148" i="12"/>
  <c r="U11148" i="12"/>
  <c r="T11149" i="12"/>
  <c r="U11149" i="12"/>
  <c r="T11150" i="12"/>
  <c r="U11150" i="12"/>
  <c r="T11151" i="12"/>
  <c r="U11151" i="12"/>
  <c r="T11152" i="12"/>
  <c r="U11152" i="12"/>
  <c r="T11153" i="12"/>
  <c r="U11153" i="12"/>
  <c r="T11154" i="12"/>
  <c r="U11154" i="12"/>
  <c r="T11155" i="12"/>
  <c r="U11155" i="12"/>
  <c r="T11156" i="12"/>
  <c r="U11156" i="12"/>
  <c r="T11157" i="12"/>
  <c r="U11157" i="12"/>
  <c r="T11158" i="12"/>
  <c r="U11158" i="12"/>
  <c r="T11159" i="12"/>
  <c r="U11159" i="12"/>
  <c r="T11160" i="12"/>
  <c r="U11160" i="12"/>
  <c r="T11161" i="12"/>
  <c r="U11161" i="12"/>
  <c r="T11162" i="12"/>
  <c r="U11162" i="12"/>
  <c r="T11163" i="12"/>
  <c r="U11163" i="12"/>
  <c r="T11164" i="12"/>
  <c r="U11164" i="12"/>
  <c r="T11165" i="12"/>
  <c r="U11165" i="12"/>
  <c r="T11166" i="12"/>
  <c r="U11166" i="12"/>
  <c r="T11167" i="12"/>
  <c r="U11167" i="12"/>
  <c r="T11168" i="12"/>
  <c r="U11168" i="12"/>
  <c r="T11169" i="12"/>
  <c r="U11169" i="12"/>
  <c r="T11170" i="12"/>
  <c r="U11170" i="12"/>
  <c r="T11171" i="12"/>
  <c r="U11171" i="12"/>
  <c r="T11172" i="12"/>
  <c r="U11172" i="12"/>
  <c r="T11173" i="12"/>
  <c r="U11173" i="12"/>
  <c r="T11174" i="12"/>
  <c r="U11174" i="12"/>
  <c r="T11175" i="12"/>
  <c r="U11175" i="12"/>
  <c r="T11176" i="12"/>
  <c r="U11176" i="12"/>
  <c r="T11177" i="12"/>
  <c r="U11177" i="12"/>
  <c r="T11178" i="12"/>
  <c r="U11178" i="12"/>
  <c r="T11179" i="12"/>
  <c r="U11179" i="12"/>
  <c r="T11180" i="12"/>
  <c r="U11180" i="12"/>
  <c r="T11181" i="12"/>
  <c r="U11181" i="12"/>
  <c r="T11182" i="12"/>
  <c r="U11182" i="12"/>
  <c r="T11183" i="12"/>
  <c r="U11183" i="12"/>
  <c r="T11184" i="12"/>
  <c r="U11184" i="12"/>
  <c r="T11185" i="12"/>
  <c r="U11185" i="12"/>
  <c r="T11186" i="12"/>
  <c r="U11186" i="12"/>
  <c r="T11187" i="12"/>
  <c r="U11187" i="12"/>
  <c r="T11188" i="12"/>
  <c r="U11188" i="12"/>
  <c r="T11189" i="12"/>
  <c r="U11189" i="12"/>
  <c r="T11190" i="12"/>
  <c r="U11190" i="12"/>
  <c r="T11191" i="12"/>
  <c r="U11191" i="12"/>
  <c r="T11192" i="12"/>
  <c r="U11192" i="12"/>
  <c r="T11193" i="12"/>
  <c r="U11193" i="12"/>
  <c r="T11194" i="12"/>
  <c r="U11194" i="12"/>
  <c r="T11195" i="12"/>
  <c r="U11195" i="12"/>
  <c r="T11196" i="12"/>
  <c r="U11196" i="12"/>
  <c r="T11197" i="12"/>
  <c r="U11197" i="12"/>
  <c r="T11198" i="12"/>
  <c r="U11198" i="12"/>
  <c r="T11199" i="12"/>
  <c r="U11199" i="12"/>
  <c r="T11200" i="12"/>
  <c r="U11200" i="12"/>
  <c r="T11201" i="12"/>
  <c r="U11201" i="12"/>
  <c r="T11202" i="12"/>
  <c r="U11202" i="12"/>
  <c r="T11203" i="12"/>
  <c r="U11203" i="12"/>
  <c r="T11204" i="12"/>
  <c r="U11204" i="12"/>
  <c r="T11205" i="12"/>
  <c r="U11205" i="12"/>
  <c r="T11206" i="12"/>
  <c r="U11206" i="12"/>
  <c r="T11207" i="12"/>
  <c r="U11207" i="12"/>
  <c r="T11208" i="12"/>
  <c r="U11208" i="12"/>
  <c r="T11209" i="12"/>
  <c r="U11209" i="12"/>
  <c r="T11210" i="12"/>
  <c r="U11210" i="12"/>
  <c r="T11211" i="12"/>
  <c r="U11211" i="12"/>
  <c r="T11212" i="12"/>
  <c r="U11212" i="12"/>
  <c r="T11213" i="12"/>
  <c r="U11213" i="12"/>
  <c r="T11214" i="12"/>
  <c r="U11214" i="12"/>
  <c r="T11215" i="12"/>
  <c r="U11215" i="12"/>
  <c r="T11216" i="12"/>
  <c r="U11216" i="12"/>
  <c r="T11217" i="12"/>
  <c r="U11217" i="12"/>
  <c r="T11218" i="12"/>
  <c r="U11218" i="12"/>
  <c r="T11219" i="12"/>
  <c r="U11219" i="12"/>
  <c r="T11220" i="12"/>
  <c r="U11220" i="12"/>
  <c r="T11221" i="12"/>
  <c r="U11221" i="12"/>
  <c r="T11222" i="12"/>
  <c r="U11222" i="12"/>
  <c r="T11223" i="12"/>
  <c r="U11223" i="12"/>
  <c r="T11224" i="12"/>
  <c r="U11224" i="12"/>
  <c r="T11225" i="12"/>
  <c r="U11225" i="12"/>
  <c r="T11226" i="12"/>
  <c r="U11226" i="12"/>
  <c r="T11227" i="12"/>
  <c r="U11227" i="12"/>
  <c r="T11228" i="12"/>
  <c r="U11228" i="12"/>
  <c r="T11229" i="12"/>
  <c r="U11229" i="12"/>
  <c r="T11230" i="12"/>
  <c r="U11230" i="12"/>
  <c r="T11231" i="12"/>
  <c r="U11231" i="12"/>
  <c r="T11232" i="12"/>
  <c r="U11232" i="12"/>
  <c r="T11233" i="12"/>
  <c r="U11233" i="12"/>
  <c r="T11234" i="12"/>
  <c r="U11234" i="12"/>
  <c r="T11235" i="12"/>
  <c r="U11235" i="12"/>
  <c r="T11236" i="12"/>
  <c r="U11236" i="12"/>
  <c r="T11237" i="12"/>
  <c r="U11237" i="12"/>
  <c r="T11238" i="12"/>
  <c r="U11238" i="12"/>
  <c r="T11239" i="12"/>
  <c r="U11239" i="12"/>
  <c r="T11240" i="12"/>
  <c r="U11240" i="12"/>
  <c r="T11241" i="12"/>
  <c r="U11241" i="12"/>
  <c r="T11242" i="12"/>
  <c r="U11242" i="12"/>
  <c r="T11243" i="12"/>
  <c r="U11243" i="12"/>
  <c r="T11244" i="12"/>
  <c r="U11244" i="12"/>
  <c r="T11245" i="12"/>
  <c r="U11245" i="12"/>
  <c r="T11246" i="12"/>
  <c r="U11246" i="12"/>
  <c r="T11247" i="12"/>
  <c r="U11247" i="12"/>
  <c r="T11248" i="12"/>
  <c r="U11248" i="12"/>
  <c r="T11249" i="12"/>
  <c r="U11249" i="12"/>
  <c r="T11250" i="12"/>
  <c r="U11250" i="12"/>
  <c r="T11251" i="12"/>
  <c r="U11251" i="12"/>
  <c r="T11252" i="12"/>
  <c r="U11252" i="12"/>
  <c r="T11253" i="12"/>
  <c r="U11253" i="12"/>
  <c r="T11254" i="12"/>
  <c r="U11254" i="12"/>
  <c r="T11255" i="12"/>
  <c r="U11255" i="12"/>
  <c r="T11256" i="12"/>
  <c r="U11256" i="12"/>
  <c r="T11257" i="12"/>
  <c r="U11257" i="12"/>
  <c r="T11258" i="12"/>
  <c r="U11258" i="12"/>
  <c r="T11259" i="12"/>
  <c r="U11259" i="12"/>
  <c r="T11260" i="12"/>
  <c r="U11260" i="12"/>
  <c r="T11261" i="12"/>
  <c r="U11261" i="12"/>
  <c r="T11262" i="12"/>
  <c r="U11262" i="12"/>
  <c r="T11263" i="12"/>
  <c r="U11263" i="12"/>
  <c r="T11264" i="12"/>
  <c r="U11264" i="12"/>
  <c r="T11265" i="12"/>
  <c r="U11265" i="12"/>
  <c r="T11266" i="12"/>
  <c r="U11266" i="12"/>
  <c r="T11267" i="12"/>
  <c r="U11267" i="12"/>
  <c r="T11268" i="12"/>
  <c r="U11268" i="12"/>
  <c r="T11269" i="12"/>
  <c r="U11269" i="12"/>
  <c r="T11270" i="12"/>
  <c r="U11270" i="12"/>
  <c r="T11271" i="12"/>
  <c r="U11271" i="12"/>
  <c r="T11272" i="12"/>
  <c r="U11272" i="12"/>
  <c r="T11273" i="12"/>
  <c r="U11273" i="12"/>
  <c r="T11274" i="12"/>
  <c r="U11274" i="12"/>
  <c r="T11275" i="12"/>
  <c r="U11275" i="12"/>
  <c r="T11276" i="12"/>
  <c r="U11276" i="12"/>
  <c r="T11277" i="12"/>
  <c r="U11277" i="12"/>
  <c r="T11278" i="12"/>
  <c r="U11278" i="12"/>
  <c r="T11279" i="12"/>
  <c r="U11279" i="12"/>
  <c r="T11280" i="12"/>
  <c r="U11280" i="12"/>
  <c r="T11281" i="12"/>
  <c r="U11281" i="12"/>
  <c r="T11282" i="12"/>
  <c r="U11282" i="12"/>
  <c r="T11283" i="12"/>
  <c r="U11283" i="12"/>
  <c r="T11284" i="12"/>
  <c r="U11284" i="12"/>
  <c r="T11285" i="12"/>
  <c r="U11285" i="12"/>
  <c r="T11286" i="12"/>
  <c r="U11286" i="12"/>
  <c r="T11287" i="12"/>
  <c r="U11287" i="12"/>
  <c r="T11288" i="12"/>
  <c r="U11288" i="12"/>
  <c r="T11289" i="12"/>
  <c r="U11289" i="12"/>
  <c r="T11290" i="12"/>
  <c r="U11290" i="12"/>
  <c r="T11291" i="12"/>
  <c r="U11291" i="12"/>
  <c r="T11292" i="12"/>
  <c r="U11292" i="12"/>
  <c r="T11293" i="12"/>
  <c r="U11293" i="12"/>
  <c r="T11294" i="12"/>
  <c r="U11294" i="12"/>
  <c r="T11295" i="12"/>
  <c r="U11295" i="12"/>
  <c r="T11296" i="12"/>
  <c r="U11296" i="12"/>
  <c r="T11297" i="12"/>
  <c r="U11297" i="12"/>
  <c r="T11298" i="12"/>
  <c r="U11298" i="12"/>
  <c r="T11299" i="12"/>
  <c r="U11299" i="12"/>
  <c r="T11300" i="12"/>
  <c r="U11300" i="12"/>
  <c r="T11301" i="12"/>
  <c r="U11301" i="12"/>
  <c r="T11302" i="12"/>
  <c r="U11302" i="12"/>
  <c r="T11303" i="12"/>
  <c r="U11303" i="12"/>
  <c r="T11304" i="12"/>
  <c r="U11304" i="12"/>
  <c r="T11305" i="12"/>
  <c r="U11305" i="12"/>
  <c r="T11306" i="12"/>
  <c r="U11306" i="12"/>
  <c r="T11307" i="12"/>
  <c r="U11307" i="12"/>
  <c r="T11308" i="12"/>
  <c r="U11308" i="12"/>
  <c r="T11309" i="12"/>
  <c r="U11309" i="12"/>
  <c r="T11310" i="12"/>
  <c r="U11310" i="12"/>
  <c r="T11311" i="12"/>
  <c r="U11311" i="12"/>
  <c r="T11312" i="12"/>
  <c r="U11312" i="12"/>
  <c r="T11313" i="12"/>
  <c r="U11313" i="12"/>
  <c r="T11314" i="12"/>
  <c r="U11314" i="12"/>
  <c r="T11315" i="12"/>
  <c r="U11315" i="12"/>
  <c r="T11316" i="12"/>
  <c r="U11316" i="12"/>
  <c r="T11317" i="12"/>
  <c r="U11317" i="12"/>
  <c r="T11318" i="12"/>
  <c r="U11318" i="12"/>
  <c r="T11319" i="12"/>
  <c r="U11319" i="12"/>
  <c r="T11320" i="12"/>
  <c r="U11320" i="12"/>
  <c r="T11321" i="12"/>
  <c r="U11321" i="12"/>
  <c r="T11322" i="12"/>
  <c r="U11322" i="12"/>
  <c r="T11323" i="12"/>
  <c r="U11323" i="12"/>
  <c r="T11324" i="12"/>
  <c r="U11324" i="12"/>
  <c r="T11325" i="12"/>
  <c r="U11325" i="12"/>
  <c r="T11326" i="12"/>
  <c r="U11326" i="12"/>
  <c r="T11327" i="12"/>
  <c r="U11327" i="12"/>
  <c r="T11328" i="12"/>
  <c r="U11328" i="12"/>
  <c r="T11329" i="12"/>
  <c r="U11329" i="12"/>
  <c r="T11330" i="12"/>
  <c r="U11330" i="12"/>
  <c r="T11331" i="12"/>
  <c r="U11331" i="12"/>
  <c r="T11332" i="12"/>
  <c r="U11332" i="12"/>
  <c r="T11333" i="12"/>
  <c r="U11333" i="12"/>
  <c r="T11334" i="12"/>
  <c r="U11334" i="12"/>
  <c r="T11335" i="12"/>
  <c r="U11335" i="12"/>
  <c r="T11336" i="12"/>
  <c r="U11336" i="12"/>
  <c r="T11337" i="12"/>
  <c r="U11337" i="12"/>
  <c r="T11338" i="12"/>
  <c r="U11338" i="12"/>
  <c r="T11339" i="12"/>
  <c r="U11339" i="12"/>
  <c r="T11340" i="12"/>
  <c r="U11340" i="12"/>
  <c r="T11341" i="12"/>
  <c r="U11341" i="12"/>
  <c r="T11342" i="12"/>
  <c r="U11342" i="12"/>
  <c r="T11343" i="12"/>
  <c r="U11343" i="12"/>
  <c r="T11344" i="12"/>
  <c r="U11344" i="12"/>
  <c r="T11345" i="12"/>
  <c r="U11345" i="12"/>
  <c r="T11346" i="12"/>
  <c r="U11346" i="12"/>
  <c r="T11347" i="12"/>
  <c r="U11347" i="12"/>
  <c r="T11348" i="12"/>
  <c r="U11348" i="12"/>
  <c r="T11349" i="12"/>
  <c r="U11349" i="12"/>
  <c r="T11350" i="12"/>
  <c r="U11350" i="12"/>
  <c r="T11351" i="12"/>
  <c r="U11351" i="12"/>
  <c r="T11352" i="12"/>
  <c r="U11352" i="12"/>
  <c r="T11353" i="12"/>
  <c r="U11353" i="12"/>
  <c r="T11354" i="12"/>
  <c r="U11354" i="12"/>
  <c r="T11355" i="12"/>
  <c r="U11355" i="12"/>
  <c r="T11356" i="12"/>
  <c r="U11356" i="12"/>
  <c r="T11357" i="12"/>
  <c r="U11357" i="12"/>
  <c r="T11358" i="12"/>
  <c r="U11358" i="12"/>
  <c r="T11359" i="12"/>
  <c r="U11359" i="12"/>
  <c r="T11360" i="12"/>
  <c r="U11360" i="12"/>
  <c r="T11361" i="12"/>
  <c r="U11361" i="12"/>
  <c r="T11362" i="12"/>
  <c r="U11362" i="12"/>
  <c r="T11363" i="12"/>
  <c r="U11363" i="12"/>
  <c r="T11364" i="12"/>
  <c r="U11364" i="12"/>
  <c r="T11365" i="12"/>
  <c r="U11365" i="12"/>
  <c r="T11366" i="12"/>
  <c r="U11366" i="12"/>
  <c r="T11367" i="12"/>
  <c r="U11367" i="12"/>
  <c r="T11368" i="12"/>
  <c r="U11368" i="12"/>
  <c r="T11369" i="12"/>
  <c r="U11369" i="12"/>
  <c r="T11370" i="12"/>
  <c r="U11370" i="12"/>
  <c r="T11371" i="12"/>
  <c r="U11371" i="12"/>
  <c r="T11372" i="12"/>
  <c r="U11372" i="12"/>
  <c r="T11373" i="12"/>
  <c r="U11373" i="12"/>
  <c r="T11374" i="12"/>
  <c r="U11374" i="12"/>
  <c r="T11375" i="12"/>
  <c r="U11375" i="12"/>
  <c r="T11376" i="12"/>
  <c r="U11376" i="12"/>
  <c r="T11377" i="12"/>
  <c r="U11377" i="12"/>
  <c r="T11378" i="12"/>
  <c r="U11378" i="12"/>
  <c r="T11379" i="12"/>
  <c r="U11379" i="12"/>
  <c r="T11380" i="12"/>
  <c r="U11380" i="12"/>
  <c r="T11381" i="12"/>
  <c r="U11381" i="12"/>
  <c r="T11382" i="12"/>
  <c r="U11382" i="12"/>
  <c r="T11383" i="12"/>
  <c r="U11383" i="12"/>
  <c r="T11384" i="12"/>
  <c r="U11384" i="12"/>
  <c r="T11385" i="12"/>
  <c r="U11385" i="12"/>
  <c r="T11386" i="12"/>
  <c r="U11386" i="12"/>
  <c r="T11387" i="12"/>
  <c r="U11387" i="12"/>
  <c r="T11388" i="12"/>
  <c r="U11388" i="12"/>
  <c r="T11389" i="12"/>
  <c r="U11389" i="12"/>
  <c r="T11390" i="12"/>
  <c r="U11390" i="12"/>
  <c r="T11391" i="12"/>
  <c r="U11391" i="12"/>
  <c r="T11392" i="12"/>
  <c r="U11392" i="12"/>
  <c r="T11393" i="12"/>
  <c r="U11393" i="12"/>
  <c r="T11394" i="12"/>
  <c r="U11394" i="12"/>
  <c r="T11395" i="12"/>
  <c r="U11395" i="12"/>
  <c r="T11396" i="12"/>
  <c r="U11396" i="12"/>
  <c r="T11397" i="12"/>
  <c r="U11397" i="12"/>
  <c r="T11398" i="12"/>
  <c r="U11398" i="12"/>
  <c r="T11399" i="12"/>
  <c r="U11399" i="12"/>
  <c r="T11400" i="12"/>
  <c r="U11400" i="12"/>
  <c r="T11401" i="12"/>
  <c r="U11401" i="12"/>
  <c r="T11402" i="12"/>
  <c r="U11402" i="12"/>
  <c r="T11403" i="12"/>
  <c r="U11403" i="12"/>
  <c r="T11404" i="12"/>
  <c r="U11404" i="12"/>
  <c r="T11405" i="12"/>
  <c r="U11405" i="12"/>
  <c r="T11406" i="12"/>
  <c r="U11406" i="12"/>
  <c r="T11407" i="12"/>
  <c r="U11407" i="12"/>
  <c r="T11408" i="12"/>
  <c r="U11408" i="12"/>
  <c r="T11409" i="12"/>
  <c r="U11409" i="12"/>
  <c r="T11410" i="12"/>
  <c r="U11410" i="12"/>
  <c r="T11411" i="12"/>
  <c r="U11411" i="12"/>
  <c r="T11412" i="12"/>
  <c r="U11412" i="12"/>
  <c r="T11413" i="12"/>
  <c r="U11413" i="12"/>
  <c r="T11414" i="12"/>
  <c r="U11414" i="12"/>
  <c r="T11415" i="12"/>
  <c r="U11415" i="12"/>
  <c r="T11416" i="12"/>
  <c r="U11416" i="12"/>
  <c r="T11417" i="12"/>
  <c r="U11417" i="12"/>
  <c r="T11418" i="12"/>
  <c r="U11418" i="12"/>
  <c r="T11419" i="12"/>
  <c r="U11419" i="12"/>
  <c r="T11420" i="12"/>
  <c r="U11420" i="12"/>
  <c r="T11421" i="12"/>
  <c r="U11421" i="12"/>
  <c r="T11422" i="12"/>
  <c r="U11422" i="12"/>
  <c r="T11423" i="12"/>
  <c r="U11423" i="12"/>
  <c r="T11424" i="12"/>
  <c r="U11424" i="12"/>
  <c r="T11425" i="12"/>
  <c r="U11425" i="12"/>
  <c r="T11426" i="12"/>
  <c r="U11426" i="12"/>
  <c r="T11427" i="12"/>
  <c r="U11427" i="12"/>
  <c r="T11428" i="12"/>
  <c r="U11428" i="12"/>
  <c r="T11429" i="12"/>
  <c r="U11429" i="12"/>
  <c r="T11430" i="12"/>
  <c r="U11430" i="12"/>
  <c r="T11431" i="12"/>
  <c r="U11431" i="12"/>
  <c r="T11432" i="12"/>
  <c r="U11432" i="12"/>
  <c r="T11433" i="12"/>
  <c r="U11433" i="12"/>
  <c r="T11434" i="12"/>
  <c r="U11434" i="12"/>
  <c r="T11435" i="12"/>
  <c r="U11435" i="12"/>
  <c r="T11436" i="12"/>
  <c r="U11436" i="12"/>
  <c r="T11437" i="12"/>
  <c r="U11437" i="12"/>
  <c r="T11438" i="12"/>
  <c r="U11438" i="12"/>
  <c r="T11439" i="12"/>
  <c r="U11439" i="12"/>
  <c r="T11440" i="12"/>
  <c r="U11440" i="12"/>
  <c r="T11441" i="12"/>
  <c r="U11441" i="12"/>
  <c r="T11442" i="12"/>
  <c r="U11442" i="12"/>
  <c r="T11443" i="12"/>
  <c r="U11443" i="12"/>
  <c r="T11444" i="12"/>
  <c r="U11444" i="12"/>
  <c r="T11445" i="12"/>
  <c r="U11445" i="12"/>
  <c r="T11446" i="12"/>
  <c r="U11446" i="12"/>
  <c r="T11447" i="12"/>
  <c r="U11447" i="12"/>
  <c r="T11448" i="12"/>
  <c r="U11448" i="12"/>
  <c r="T11449" i="12"/>
  <c r="U11449" i="12"/>
  <c r="T11450" i="12"/>
  <c r="U11450" i="12"/>
  <c r="T11451" i="12"/>
  <c r="U11451" i="12"/>
  <c r="T11452" i="12"/>
  <c r="U11452" i="12"/>
  <c r="T11453" i="12"/>
  <c r="U11453" i="12"/>
  <c r="T11454" i="12"/>
  <c r="U11454" i="12"/>
  <c r="T11455" i="12"/>
  <c r="U11455" i="12"/>
  <c r="T11456" i="12"/>
  <c r="U11456" i="12"/>
  <c r="T11457" i="12"/>
  <c r="U11457" i="12"/>
  <c r="T11458" i="12"/>
  <c r="U11458" i="12"/>
  <c r="T11459" i="12"/>
  <c r="U11459" i="12"/>
  <c r="T11460" i="12"/>
  <c r="U11460" i="12"/>
  <c r="T11461" i="12"/>
  <c r="U11461" i="12"/>
  <c r="T11462" i="12"/>
  <c r="U11462" i="12"/>
  <c r="T11463" i="12"/>
  <c r="U11463" i="12"/>
  <c r="T11464" i="12"/>
  <c r="U11464" i="12"/>
  <c r="T11465" i="12"/>
  <c r="U11465" i="12"/>
  <c r="T11466" i="12"/>
  <c r="U11466" i="12"/>
  <c r="T11467" i="12"/>
  <c r="U11467" i="12"/>
  <c r="T11468" i="12"/>
  <c r="U11468" i="12"/>
  <c r="T11469" i="12"/>
  <c r="U11469" i="12"/>
  <c r="T11470" i="12"/>
  <c r="U11470" i="12"/>
  <c r="T11471" i="12"/>
  <c r="U11471" i="12"/>
  <c r="T11472" i="12"/>
  <c r="U11472" i="12"/>
  <c r="T11473" i="12"/>
  <c r="U11473" i="12"/>
  <c r="T11474" i="12"/>
  <c r="U11474" i="12"/>
  <c r="T11475" i="12"/>
  <c r="U11475" i="12"/>
  <c r="T11476" i="12"/>
  <c r="U11476" i="12"/>
  <c r="T11477" i="12"/>
  <c r="U11477" i="12"/>
  <c r="T11478" i="12"/>
  <c r="U11478" i="12"/>
  <c r="T11479" i="12"/>
  <c r="U11479" i="12"/>
  <c r="T11480" i="12"/>
  <c r="U11480" i="12"/>
  <c r="T11481" i="12"/>
  <c r="U11481" i="12"/>
  <c r="T11482" i="12"/>
  <c r="U11482" i="12"/>
  <c r="T11483" i="12"/>
  <c r="U11483" i="12"/>
  <c r="T11484" i="12"/>
  <c r="U11484" i="12"/>
  <c r="T11485" i="12"/>
  <c r="U11485" i="12"/>
  <c r="T11486" i="12"/>
  <c r="U11486" i="12"/>
  <c r="T11487" i="12"/>
  <c r="U11487" i="12"/>
  <c r="T11488" i="12"/>
  <c r="U11488" i="12"/>
  <c r="T11489" i="12"/>
  <c r="U11489" i="12"/>
  <c r="T11490" i="12"/>
  <c r="U11490" i="12"/>
  <c r="T11491" i="12"/>
  <c r="U11491" i="12"/>
  <c r="T11492" i="12"/>
  <c r="U11492" i="12"/>
  <c r="T11493" i="12"/>
  <c r="U11493" i="12"/>
  <c r="T11494" i="12"/>
  <c r="U11494" i="12"/>
  <c r="T11495" i="12"/>
  <c r="U11495" i="12"/>
  <c r="T11496" i="12"/>
  <c r="U11496" i="12"/>
  <c r="T11497" i="12"/>
  <c r="U11497" i="12"/>
  <c r="T11498" i="12"/>
  <c r="U11498" i="12"/>
  <c r="T11499" i="12"/>
  <c r="U11499" i="12"/>
  <c r="T11500" i="12"/>
  <c r="U11500" i="12"/>
  <c r="T11501" i="12"/>
  <c r="U11501" i="12"/>
  <c r="T11502" i="12"/>
  <c r="U11502" i="12"/>
  <c r="T11503" i="12"/>
  <c r="U11503" i="12"/>
  <c r="T11504" i="12"/>
  <c r="U11504" i="12"/>
  <c r="T11505" i="12"/>
  <c r="U11505" i="12"/>
  <c r="T11506" i="12"/>
  <c r="U11506" i="12"/>
  <c r="T11507" i="12"/>
  <c r="U11507" i="12"/>
  <c r="T11508" i="12"/>
  <c r="U11508" i="12"/>
  <c r="T11509" i="12"/>
  <c r="U11509" i="12"/>
  <c r="T11510" i="12"/>
  <c r="U11510" i="12"/>
  <c r="T11511" i="12"/>
  <c r="U11511" i="12"/>
  <c r="T11512" i="12"/>
  <c r="U11512" i="12"/>
  <c r="T11513" i="12"/>
  <c r="U11513" i="12"/>
  <c r="T11514" i="12"/>
  <c r="U11514" i="12"/>
  <c r="T11515" i="12"/>
  <c r="U11515" i="12"/>
  <c r="T11516" i="12"/>
  <c r="U11516" i="12"/>
  <c r="T11517" i="12"/>
  <c r="U11517" i="12"/>
  <c r="T11518" i="12"/>
  <c r="U11518" i="12"/>
  <c r="T11519" i="12"/>
  <c r="U11519" i="12"/>
  <c r="T11520" i="12"/>
  <c r="U11520" i="12"/>
  <c r="T11521" i="12"/>
  <c r="U11521" i="12"/>
  <c r="T11522" i="12"/>
  <c r="U11522" i="12"/>
  <c r="T11523" i="12"/>
  <c r="U11523" i="12"/>
  <c r="T11524" i="12"/>
  <c r="U11524" i="12"/>
  <c r="T11525" i="12"/>
  <c r="U11525" i="12"/>
  <c r="T11526" i="12"/>
  <c r="U11526" i="12"/>
  <c r="T11527" i="12"/>
  <c r="U11527" i="12"/>
  <c r="T11528" i="12"/>
  <c r="U11528" i="12"/>
  <c r="T11529" i="12"/>
  <c r="U11529" i="12"/>
  <c r="T11530" i="12"/>
  <c r="U11530" i="12"/>
  <c r="T11531" i="12"/>
  <c r="U11531" i="12"/>
  <c r="T11532" i="12"/>
  <c r="U11532" i="12"/>
  <c r="T11533" i="12"/>
  <c r="U11533" i="12"/>
  <c r="T11534" i="12"/>
  <c r="U11534" i="12"/>
  <c r="T11535" i="12"/>
  <c r="U11535" i="12"/>
  <c r="T11536" i="12"/>
  <c r="U11536" i="12"/>
  <c r="T11537" i="12"/>
  <c r="U11537" i="12"/>
  <c r="T11538" i="12"/>
  <c r="U11538" i="12"/>
  <c r="T11539" i="12"/>
  <c r="U11539" i="12"/>
  <c r="T11540" i="12"/>
  <c r="U11540" i="12"/>
  <c r="T11541" i="12"/>
  <c r="U11541" i="12"/>
  <c r="T11542" i="12"/>
  <c r="U11542" i="12"/>
  <c r="T11543" i="12"/>
  <c r="U11543" i="12"/>
  <c r="T11544" i="12"/>
  <c r="U11544" i="12"/>
  <c r="T11545" i="12"/>
  <c r="U11545" i="12"/>
  <c r="T11546" i="12"/>
  <c r="U11546" i="12"/>
  <c r="T11547" i="12"/>
  <c r="U11547" i="12"/>
  <c r="T11548" i="12"/>
  <c r="U11548" i="12"/>
  <c r="T11549" i="12"/>
  <c r="U11549" i="12"/>
  <c r="T11550" i="12"/>
  <c r="U11550" i="12"/>
  <c r="T11551" i="12"/>
  <c r="U11551" i="12"/>
  <c r="T11552" i="12"/>
  <c r="U11552" i="12"/>
  <c r="T11553" i="12"/>
  <c r="U11553" i="12"/>
  <c r="T11554" i="12"/>
  <c r="U11554" i="12"/>
  <c r="T11555" i="12"/>
  <c r="U11555" i="12"/>
  <c r="T11556" i="12"/>
  <c r="U11556" i="12"/>
  <c r="T11557" i="12"/>
  <c r="U11557" i="12"/>
  <c r="T11558" i="12"/>
  <c r="U11558" i="12"/>
  <c r="T11559" i="12"/>
  <c r="U11559" i="12"/>
  <c r="T11560" i="12"/>
  <c r="U11560" i="12"/>
  <c r="T11561" i="12"/>
  <c r="U11561" i="12"/>
  <c r="T11562" i="12"/>
  <c r="U11562" i="12"/>
  <c r="T11563" i="12"/>
  <c r="U11563" i="12"/>
  <c r="T11564" i="12"/>
  <c r="U11564" i="12"/>
  <c r="T11565" i="12"/>
  <c r="U11565" i="12"/>
  <c r="T11566" i="12"/>
  <c r="U11566" i="12"/>
  <c r="T11567" i="12"/>
  <c r="U11567" i="12"/>
  <c r="T11568" i="12"/>
  <c r="U11568" i="12"/>
  <c r="T11569" i="12"/>
  <c r="U11569" i="12"/>
  <c r="T11570" i="12"/>
  <c r="U11570" i="12"/>
  <c r="T11571" i="12"/>
  <c r="U11571" i="12"/>
  <c r="T11572" i="12"/>
  <c r="U11572" i="12"/>
  <c r="T11573" i="12"/>
  <c r="U11573" i="12"/>
  <c r="T11574" i="12"/>
  <c r="U11574" i="12"/>
  <c r="T11575" i="12"/>
  <c r="U11575" i="12"/>
  <c r="T11576" i="12"/>
  <c r="U11576" i="12"/>
  <c r="T11577" i="12"/>
  <c r="U11577" i="12"/>
  <c r="T11578" i="12"/>
  <c r="U11578" i="12"/>
  <c r="T11579" i="12"/>
  <c r="U11579" i="12"/>
  <c r="T11580" i="12"/>
  <c r="U11580" i="12"/>
  <c r="T11581" i="12"/>
  <c r="U11581" i="12"/>
  <c r="T11582" i="12"/>
  <c r="U11582" i="12"/>
  <c r="T11583" i="12"/>
  <c r="U11583" i="12"/>
  <c r="T11584" i="12"/>
  <c r="U11584" i="12"/>
  <c r="T11585" i="12"/>
  <c r="U11585" i="12"/>
  <c r="T11586" i="12"/>
  <c r="U11586" i="12"/>
  <c r="T11587" i="12"/>
  <c r="U11587" i="12"/>
  <c r="T11588" i="12"/>
  <c r="U11588" i="12"/>
  <c r="T11589" i="12"/>
  <c r="U11589" i="12"/>
  <c r="T11590" i="12"/>
  <c r="U11590" i="12"/>
  <c r="T11591" i="12"/>
  <c r="U11591" i="12"/>
  <c r="T11592" i="12"/>
  <c r="U11592" i="12"/>
  <c r="T11593" i="12"/>
  <c r="U11593" i="12"/>
  <c r="T11594" i="12"/>
  <c r="U11594" i="12"/>
  <c r="T11595" i="12"/>
  <c r="U11595" i="12"/>
  <c r="T11596" i="12"/>
  <c r="U11596" i="12"/>
  <c r="T11597" i="12"/>
  <c r="U11597" i="12"/>
  <c r="T11598" i="12"/>
  <c r="U11598" i="12"/>
  <c r="T11599" i="12"/>
  <c r="U11599" i="12"/>
  <c r="T11600" i="12"/>
  <c r="U11600" i="12"/>
  <c r="T11601" i="12"/>
  <c r="U11601" i="12"/>
  <c r="T11602" i="12"/>
  <c r="U11602" i="12"/>
  <c r="T11603" i="12"/>
  <c r="U11603" i="12"/>
  <c r="T11604" i="12"/>
  <c r="U11604" i="12"/>
  <c r="T11605" i="12"/>
  <c r="U11605" i="12"/>
  <c r="T11606" i="12"/>
  <c r="U11606" i="12"/>
  <c r="T11607" i="12"/>
  <c r="U11607" i="12"/>
  <c r="T11608" i="12"/>
  <c r="U11608" i="12"/>
  <c r="T11609" i="12"/>
  <c r="U11609" i="12"/>
  <c r="T11610" i="12"/>
  <c r="U11610" i="12"/>
  <c r="T11611" i="12"/>
  <c r="U11611" i="12"/>
  <c r="T11612" i="12"/>
  <c r="U11612" i="12"/>
  <c r="T11613" i="12"/>
  <c r="U11613" i="12"/>
  <c r="T11614" i="12"/>
  <c r="U11614" i="12"/>
  <c r="T11615" i="12"/>
  <c r="U11615" i="12"/>
  <c r="T11616" i="12"/>
  <c r="U11616" i="12"/>
  <c r="T11617" i="12"/>
  <c r="U11617" i="12"/>
  <c r="T11618" i="12"/>
  <c r="U11618" i="12"/>
  <c r="T11619" i="12"/>
  <c r="U11619" i="12"/>
  <c r="T11620" i="12"/>
  <c r="U11620" i="12"/>
  <c r="T11621" i="12"/>
  <c r="U11621" i="12"/>
  <c r="T11622" i="12"/>
  <c r="U11622" i="12"/>
  <c r="T11623" i="12"/>
  <c r="U11623" i="12"/>
  <c r="T11624" i="12"/>
  <c r="U11624" i="12"/>
  <c r="T11625" i="12"/>
  <c r="U11625" i="12"/>
  <c r="T11626" i="12"/>
  <c r="U11626" i="12"/>
  <c r="T11627" i="12"/>
  <c r="U11627" i="12"/>
  <c r="T11628" i="12"/>
  <c r="U11628" i="12"/>
  <c r="T11629" i="12"/>
  <c r="U11629" i="12"/>
  <c r="T11630" i="12"/>
  <c r="U11630" i="12"/>
  <c r="T11631" i="12"/>
  <c r="U11631" i="12"/>
  <c r="T11632" i="12"/>
  <c r="U11632" i="12"/>
  <c r="T11633" i="12"/>
  <c r="U11633" i="12"/>
  <c r="T11634" i="12"/>
  <c r="U11634" i="12"/>
  <c r="T11635" i="12"/>
  <c r="U11635" i="12"/>
  <c r="T11636" i="12"/>
  <c r="U11636" i="12"/>
  <c r="T11637" i="12"/>
  <c r="U11637" i="12"/>
  <c r="T11638" i="12"/>
  <c r="U11638" i="12"/>
  <c r="T11639" i="12"/>
  <c r="U11639" i="12"/>
  <c r="T11640" i="12"/>
  <c r="U11640" i="12"/>
  <c r="T11641" i="12"/>
  <c r="U11641" i="12"/>
  <c r="T11642" i="12"/>
  <c r="U11642" i="12"/>
  <c r="T11643" i="12"/>
  <c r="U11643" i="12"/>
  <c r="T11644" i="12"/>
  <c r="U11644" i="12"/>
  <c r="T11645" i="12"/>
  <c r="U11645" i="12"/>
  <c r="T11646" i="12"/>
  <c r="U11646" i="12"/>
  <c r="T11647" i="12"/>
  <c r="U11647" i="12"/>
  <c r="T11648" i="12"/>
  <c r="U11648" i="12"/>
  <c r="T11649" i="12"/>
  <c r="U11649" i="12"/>
  <c r="T11650" i="12"/>
  <c r="U11650" i="12"/>
  <c r="T11651" i="12"/>
  <c r="U11651" i="12"/>
  <c r="T11652" i="12"/>
  <c r="U11652" i="12"/>
  <c r="T11653" i="12"/>
  <c r="U11653" i="12"/>
  <c r="T11654" i="12"/>
  <c r="U11654" i="12"/>
  <c r="T11655" i="12"/>
  <c r="U11655" i="12"/>
  <c r="T11656" i="12"/>
  <c r="U11656" i="12"/>
  <c r="T11657" i="12"/>
  <c r="U11657" i="12"/>
  <c r="T11658" i="12"/>
  <c r="U11658" i="12"/>
  <c r="T11659" i="12"/>
  <c r="U11659" i="12"/>
  <c r="T11660" i="12"/>
  <c r="U11660" i="12"/>
  <c r="T11661" i="12"/>
  <c r="U11661" i="12"/>
  <c r="T11662" i="12"/>
  <c r="U11662" i="12"/>
  <c r="T11663" i="12"/>
  <c r="U11663" i="12"/>
  <c r="T11664" i="12"/>
  <c r="U11664" i="12"/>
  <c r="T11665" i="12"/>
  <c r="U11665" i="12"/>
  <c r="T11666" i="12"/>
  <c r="U11666" i="12"/>
  <c r="T11667" i="12"/>
  <c r="U11667" i="12"/>
  <c r="T11668" i="12"/>
  <c r="U11668" i="12"/>
  <c r="T11669" i="12"/>
  <c r="U11669" i="12"/>
  <c r="T11670" i="12"/>
  <c r="U11670" i="12"/>
  <c r="T11671" i="12"/>
  <c r="U11671" i="12"/>
  <c r="T11672" i="12"/>
  <c r="U11672" i="12"/>
  <c r="T11673" i="12"/>
  <c r="U11673" i="12"/>
  <c r="T11674" i="12"/>
  <c r="U11674" i="12"/>
  <c r="T11675" i="12"/>
  <c r="U11675" i="12"/>
  <c r="T11676" i="12"/>
  <c r="U11676" i="12"/>
  <c r="T11677" i="12"/>
  <c r="U11677" i="12"/>
  <c r="T11678" i="12"/>
  <c r="U11678" i="12"/>
  <c r="T11679" i="12"/>
  <c r="U11679" i="12"/>
  <c r="T11680" i="12"/>
  <c r="U11680" i="12"/>
  <c r="T11681" i="12"/>
  <c r="U11681" i="12"/>
  <c r="T11682" i="12"/>
  <c r="U11682" i="12"/>
  <c r="T11683" i="12"/>
  <c r="U11683" i="12"/>
  <c r="T11684" i="12"/>
  <c r="U11684" i="12"/>
  <c r="T11685" i="12"/>
  <c r="U11685" i="12"/>
  <c r="T11686" i="12"/>
  <c r="U11686" i="12"/>
  <c r="T11687" i="12"/>
  <c r="U11687" i="12"/>
  <c r="T11688" i="12"/>
  <c r="U11688" i="12"/>
  <c r="T11689" i="12"/>
  <c r="U11689" i="12"/>
  <c r="T11690" i="12"/>
  <c r="U11690" i="12"/>
  <c r="T11691" i="12"/>
  <c r="U11691" i="12"/>
  <c r="T11692" i="12"/>
  <c r="U11692" i="12"/>
  <c r="T11693" i="12"/>
  <c r="U11693" i="12"/>
  <c r="T11694" i="12"/>
  <c r="U11694" i="12"/>
  <c r="T11695" i="12"/>
  <c r="U11695" i="12"/>
  <c r="T11696" i="12"/>
  <c r="U11696" i="12"/>
  <c r="T11697" i="12"/>
  <c r="U11697" i="12"/>
  <c r="T11698" i="12"/>
  <c r="U11698" i="12"/>
  <c r="T11699" i="12"/>
  <c r="U11699" i="12"/>
  <c r="T11700" i="12"/>
  <c r="U11700" i="12"/>
  <c r="T11701" i="12"/>
  <c r="U11701" i="12"/>
  <c r="T11702" i="12"/>
  <c r="U11702" i="12"/>
  <c r="T11703" i="12"/>
  <c r="U11703" i="12"/>
  <c r="T11704" i="12"/>
  <c r="U11704" i="12"/>
  <c r="T11705" i="12"/>
  <c r="U11705" i="12"/>
  <c r="T11706" i="12"/>
  <c r="U11706" i="12"/>
  <c r="T11707" i="12"/>
  <c r="U11707" i="12"/>
  <c r="T11708" i="12"/>
  <c r="U11708" i="12"/>
  <c r="T11709" i="12"/>
  <c r="U11709" i="12"/>
  <c r="T11710" i="12"/>
  <c r="U11710" i="12"/>
  <c r="T11711" i="12"/>
  <c r="U11711" i="12"/>
  <c r="T11712" i="12"/>
  <c r="U11712" i="12"/>
  <c r="T11713" i="12"/>
  <c r="U11713" i="12"/>
  <c r="T11714" i="12"/>
  <c r="U11714" i="12"/>
  <c r="T11715" i="12"/>
  <c r="U11715" i="12"/>
  <c r="T11716" i="12"/>
  <c r="U11716" i="12"/>
  <c r="T11717" i="12"/>
  <c r="U11717" i="12"/>
  <c r="T11718" i="12"/>
  <c r="U11718" i="12"/>
  <c r="T11719" i="12"/>
  <c r="U11719" i="12"/>
  <c r="T11720" i="12"/>
  <c r="U11720" i="12"/>
  <c r="T11721" i="12"/>
  <c r="U11721" i="12"/>
  <c r="T11722" i="12"/>
  <c r="U11722" i="12"/>
  <c r="T11723" i="12"/>
  <c r="U11723" i="12"/>
  <c r="T11724" i="12"/>
  <c r="U11724" i="12"/>
  <c r="T11725" i="12"/>
  <c r="U11725" i="12"/>
  <c r="T11726" i="12"/>
  <c r="U11726" i="12"/>
  <c r="T11727" i="12"/>
  <c r="U11727" i="12"/>
  <c r="T11728" i="12"/>
  <c r="U11728" i="12"/>
  <c r="T11729" i="12"/>
  <c r="U11729" i="12"/>
  <c r="T11730" i="12"/>
  <c r="U11730" i="12"/>
  <c r="T11731" i="12"/>
  <c r="U11731" i="12"/>
  <c r="T11732" i="12"/>
  <c r="U11732" i="12"/>
  <c r="T11733" i="12"/>
  <c r="U11733" i="12"/>
  <c r="T11734" i="12"/>
  <c r="U11734" i="12"/>
  <c r="T11735" i="12"/>
  <c r="U11735" i="12"/>
  <c r="T11736" i="12"/>
  <c r="U11736" i="12"/>
  <c r="T11737" i="12"/>
  <c r="U11737" i="12"/>
  <c r="T11738" i="12"/>
  <c r="U11738" i="12"/>
  <c r="T11739" i="12"/>
  <c r="U11739" i="12"/>
  <c r="T11740" i="12"/>
  <c r="U11740" i="12"/>
  <c r="T11741" i="12"/>
  <c r="U11741" i="12"/>
  <c r="T11742" i="12"/>
  <c r="U11742" i="12"/>
  <c r="T11743" i="12"/>
  <c r="U11743" i="12"/>
  <c r="T11744" i="12"/>
  <c r="U11744" i="12"/>
  <c r="T11745" i="12"/>
  <c r="U11745" i="12"/>
  <c r="T11746" i="12"/>
  <c r="U11746" i="12"/>
  <c r="T11747" i="12"/>
  <c r="U11747" i="12"/>
  <c r="T11748" i="12"/>
  <c r="U11748" i="12"/>
  <c r="T11749" i="12"/>
  <c r="U11749" i="12"/>
  <c r="T11750" i="12"/>
  <c r="U11750" i="12"/>
  <c r="T11751" i="12"/>
  <c r="U11751" i="12"/>
  <c r="T11752" i="12"/>
  <c r="U11752" i="12"/>
  <c r="T11753" i="12"/>
  <c r="U11753" i="12"/>
  <c r="T11754" i="12"/>
  <c r="U11754" i="12"/>
  <c r="T11755" i="12"/>
  <c r="U11755" i="12"/>
  <c r="T11756" i="12"/>
  <c r="U11756" i="12"/>
  <c r="T11757" i="12"/>
  <c r="U11757" i="12"/>
  <c r="T11758" i="12"/>
  <c r="U11758" i="12"/>
  <c r="T11759" i="12"/>
  <c r="U11759" i="12"/>
  <c r="T11760" i="12"/>
  <c r="U11760" i="12"/>
  <c r="T11761" i="12"/>
  <c r="U11761" i="12"/>
  <c r="T11762" i="12"/>
  <c r="U11762" i="12"/>
  <c r="T11763" i="12"/>
  <c r="U11763" i="12"/>
  <c r="T11764" i="12"/>
  <c r="U11764" i="12"/>
  <c r="T11765" i="12"/>
  <c r="U11765" i="12"/>
  <c r="T11766" i="12"/>
  <c r="U11766" i="12"/>
  <c r="T11767" i="12"/>
  <c r="U11767" i="12"/>
  <c r="T11768" i="12"/>
  <c r="U11768" i="12"/>
  <c r="T11769" i="12"/>
  <c r="U11769" i="12"/>
  <c r="T11770" i="12"/>
  <c r="U11770" i="12"/>
  <c r="T11771" i="12"/>
  <c r="U11771" i="12"/>
  <c r="T11772" i="12"/>
  <c r="U11772" i="12"/>
  <c r="T11773" i="12"/>
  <c r="U11773" i="12"/>
  <c r="T11774" i="12"/>
  <c r="U11774" i="12"/>
  <c r="T11775" i="12"/>
  <c r="U11775" i="12"/>
  <c r="T11776" i="12"/>
  <c r="U11776" i="12"/>
  <c r="T11777" i="12"/>
  <c r="U11777" i="12"/>
  <c r="T11778" i="12"/>
  <c r="U11778" i="12"/>
  <c r="T11779" i="12"/>
  <c r="U11779" i="12"/>
  <c r="T11780" i="12"/>
  <c r="U11780" i="12"/>
  <c r="T11781" i="12"/>
  <c r="U11781" i="12"/>
  <c r="T11782" i="12"/>
  <c r="U11782" i="12"/>
  <c r="T11783" i="12"/>
  <c r="U11783" i="12"/>
  <c r="T11784" i="12"/>
  <c r="U11784" i="12"/>
  <c r="T11785" i="12"/>
  <c r="U11785" i="12"/>
  <c r="T11786" i="12"/>
  <c r="U11786" i="12"/>
  <c r="T11787" i="12"/>
  <c r="U11787" i="12"/>
  <c r="T11788" i="12"/>
  <c r="U11788" i="12"/>
  <c r="T11789" i="12"/>
  <c r="U11789" i="12"/>
  <c r="T11790" i="12"/>
  <c r="U11790" i="12"/>
  <c r="T11791" i="12"/>
  <c r="U11791" i="12"/>
  <c r="T11792" i="12"/>
  <c r="U11792" i="12"/>
  <c r="T11793" i="12"/>
  <c r="U11793" i="12"/>
  <c r="T11794" i="12"/>
  <c r="U11794" i="12"/>
  <c r="T11795" i="12"/>
  <c r="U11795" i="12"/>
  <c r="T11796" i="12"/>
  <c r="U11796" i="12"/>
  <c r="T11797" i="12"/>
  <c r="U11797" i="12"/>
  <c r="T11798" i="12"/>
  <c r="U11798" i="12"/>
  <c r="T11799" i="12"/>
  <c r="U11799" i="12"/>
  <c r="T11800" i="12"/>
  <c r="U11800" i="12"/>
  <c r="T11801" i="12"/>
  <c r="U11801" i="12"/>
  <c r="T11802" i="12"/>
  <c r="U11802" i="12"/>
  <c r="T11803" i="12"/>
  <c r="U11803" i="12"/>
  <c r="T11804" i="12"/>
  <c r="U11804" i="12"/>
  <c r="T11805" i="12"/>
  <c r="U11805" i="12"/>
  <c r="T11806" i="12"/>
  <c r="U11806" i="12"/>
  <c r="T11807" i="12"/>
  <c r="U11807" i="12"/>
  <c r="T11808" i="12"/>
  <c r="U11808" i="12"/>
  <c r="T11809" i="12"/>
  <c r="U11809" i="12"/>
  <c r="T11810" i="12"/>
  <c r="U11810" i="12"/>
  <c r="T11811" i="12"/>
  <c r="U11811" i="12"/>
  <c r="T11812" i="12"/>
  <c r="U11812" i="12"/>
  <c r="T11813" i="12"/>
  <c r="U11813" i="12"/>
  <c r="T11814" i="12"/>
  <c r="U11814" i="12"/>
  <c r="T11815" i="12"/>
  <c r="U11815" i="12"/>
  <c r="T11816" i="12"/>
  <c r="U11816" i="12"/>
  <c r="T11817" i="12"/>
  <c r="U11817" i="12"/>
  <c r="T11818" i="12"/>
  <c r="U11818" i="12"/>
  <c r="T11819" i="12"/>
  <c r="U11819" i="12"/>
  <c r="T11820" i="12"/>
  <c r="U11820" i="12"/>
  <c r="T11821" i="12"/>
  <c r="U11821" i="12"/>
  <c r="T11822" i="12"/>
  <c r="U11822" i="12"/>
  <c r="T11823" i="12"/>
  <c r="U11823" i="12"/>
  <c r="T11824" i="12"/>
  <c r="U11824" i="12"/>
  <c r="T11825" i="12"/>
  <c r="U11825" i="12"/>
  <c r="T11826" i="12"/>
  <c r="U11826" i="12"/>
  <c r="T11827" i="12"/>
  <c r="U11827" i="12"/>
  <c r="T11828" i="12"/>
  <c r="U11828" i="12"/>
  <c r="T11829" i="12"/>
  <c r="U11829" i="12"/>
  <c r="T11830" i="12"/>
  <c r="U11830" i="12"/>
  <c r="T11831" i="12"/>
  <c r="U11831" i="12"/>
  <c r="T11832" i="12"/>
  <c r="U11832" i="12"/>
  <c r="T11833" i="12"/>
  <c r="U11833" i="12"/>
  <c r="T11834" i="12"/>
  <c r="U11834" i="12"/>
  <c r="T11835" i="12"/>
  <c r="U11835" i="12"/>
  <c r="T11836" i="12"/>
  <c r="U11836" i="12"/>
  <c r="T11837" i="12"/>
  <c r="U11837" i="12"/>
  <c r="T11838" i="12"/>
  <c r="U11838" i="12"/>
  <c r="T11839" i="12"/>
  <c r="U11839" i="12"/>
  <c r="T11840" i="12"/>
  <c r="U11840" i="12"/>
  <c r="T11841" i="12"/>
  <c r="U11841" i="12"/>
  <c r="T11842" i="12"/>
  <c r="U11842" i="12"/>
  <c r="T11843" i="12"/>
  <c r="U11843" i="12"/>
  <c r="T11844" i="12"/>
  <c r="U11844" i="12"/>
  <c r="T11845" i="12"/>
  <c r="U11845" i="12"/>
  <c r="T11846" i="12"/>
  <c r="U11846" i="12"/>
  <c r="T11847" i="12"/>
  <c r="U11847" i="12"/>
  <c r="T11848" i="12"/>
  <c r="U11848" i="12"/>
  <c r="T11849" i="12"/>
  <c r="U11849" i="12"/>
  <c r="T11850" i="12"/>
  <c r="U11850" i="12"/>
  <c r="T11851" i="12"/>
  <c r="U11851" i="12"/>
  <c r="T11852" i="12"/>
  <c r="U11852" i="12"/>
  <c r="T11853" i="12"/>
  <c r="U11853" i="12"/>
  <c r="T11854" i="12"/>
  <c r="U11854" i="12"/>
  <c r="T11855" i="12"/>
  <c r="U11855" i="12"/>
  <c r="T11856" i="12"/>
  <c r="U11856" i="12"/>
  <c r="T11857" i="12"/>
  <c r="U11857" i="12"/>
  <c r="T11858" i="12"/>
  <c r="U11858" i="12"/>
  <c r="T11859" i="12"/>
  <c r="U11859" i="12"/>
  <c r="T11860" i="12"/>
  <c r="U11860" i="12"/>
  <c r="T11861" i="12"/>
  <c r="U11861" i="12"/>
  <c r="T11862" i="12"/>
  <c r="U11862" i="12"/>
  <c r="T11863" i="12"/>
  <c r="U11863" i="12"/>
  <c r="T11864" i="12"/>
  <c r="U11864" i="12"/>
  <c r="T11865" i="12"/>
  <c r="U11865" i="12"/>
  <c r="T11866" i="12"/>
  <c r="U11866" i="12"/>
  <c r="T11867" i="12"/>
  <c r="U11867" i="12"/>
  <c r="T11868" i="12"/>
  <c r="U11868" i="12"/>
  <c r="T11869" i="12"/>
  <c r="U11869" i="12"/>
  <c r="T11870" i="12"/>
  <c r="U11870" i="12"/>
  <c r="T11871" i="12"/>
  <c r="U11871" i="12"/>
  <c r="T11872" i="12"/>
  <c r="U11872" i="12"/>
  <c r="T11873" i="12"/>
  <c r="U11873" i="12"/>
  <c r="T11874" i="12"/>
  <c r="U11874" i="12"/>
  <c r="T11875" i="12"/>
  <c r="U11875" i="12"/>
  <c r="T11876" i="12"/>
  <c r="U11876" i="12"/>
  <c r="T11877" i="12"/>
  <c r="U11877" i="12"/>
  <c r="T11878" i="12"/>
  <c r="U11878" i="12"/>
  <c r="T11879" i="12"/>
  <c r="U11879" i="12"/>
  <c r="T11880" i="12"/>
  <c r="U11880" i="12"/>
  <c r="T11881" i="12"/>
  <c r="U11881" i="12"/>
  <c r="T11882" i="12"/>
  <c r="U11882" i="12"/>
  <c r="T11883" i="12"/>
  <c r="U11883" i="12"/>
  <c r="T11884" i="12"/>
  <c r="U11884" i="12"/>
  <c r="T11885" i="12"/>
  <c r="U11885" i="12"/>
  <c r="T11886" i="12"/>
  <c r="U11886" i="12"/>
  <c r="T11887" i="12"/>
  <c r="U11887" i="12"/>
  <c r="T11888" i="12"/>
  <c r="U11888" i="12"/>
  <c r="T11889" i="12"/>
  <c r="U11889" i="12"/>
  <c r="T11890" i="12"/>
  <c r="U11890" i="12"/>
  <c r="T11891" i="12"/>
  <c r="U11891" i="12"/>
  <c r="T11892" i="12"/>
  <c r="U11892" i="12"/>
  <c r="T11893" i="12"/>
  <c r="U11893" i="12"/>
  <c r="T11894" i="12"/>
  <c r="U11894" i="12"/>
  <c r="T11895" i="12"/>
  <c r="U11895" i="12"/>
  <c r="T11896" i="12"/>
  <c r="U11896" i="12"/>
  <c r="T11897" i="12"/>
  <c r="U11897" i="12"/>
  <c r="T11898" i="12"/>
  <c r="U11898" i="12"/>
  <c r="T11899" i="12"/>
  <c r="U11899" i="12"/>
  <c r="T11900" i="12"/>
  <c r="U11900" i="12"/>
  <c r="T11901" i="12"/>
  <c r="U11901" i="12"/>
  <c r="T11902" i="12"/>
  <c r="U11902" i="12"/>
  <c r="T11903" i="12"/>
  <c r="U11903" i="12"/>
  <c r="T11904" i="12"/>
  <c r="U11904" i="12"/>
  <c r="T11905" i="12"/>
  <c r="U11905" i="12"/>
  <c r="T11906" i="12"/>
  <c r="U11906" i="12"/>
  <c r="T11907" i="12"/>
  <c r="U11907" i="12"/>
  <c r="T11908" i="12"/>
  <c r="U11908" i="12"/>
  <c r="T11909" i="12"/>
  <c r="U11909" i="12"/>
  <c r="T11910" i="12"/>
  <c r="U11910" i="12"/>
  <c r="T11911" i="12"/>
  <c r="U11911" i="12"/>
  <c r="T11912" i="12"/>
  <c r="U11912" i="12"/>
  <c r="T11913" i="12"/>
  <c r="U11913" i="12"/>
  <c r="T11914" i="12"/>
  <c r="U11914" i="12"/>
  <c r="T11915" i="12"/>
  <c r="U11915" i="12"/>
  <c r="T11916" i="12"/>
  <c r="U11916" i="12"/>
  <c r="T11917" i="12"/>
  <c r="U11917" i="12"/>
  <c r="T11918" i="12"/>
  <c r="U11918" i="12"/>
  <c r="T11919" i="12"/>
  <c r="U11919" i="12"/>
  <c r="T11920" i="12"/>
  <c r="U11920" i="12"/>
  <c r="T11921" i="12"/>
  <c r="U11921" i="12"/>
  <c r="T11922" i="12"/>
  <c r="U11922" i="12"/>
  <c r="T11923" i="12"/>
  <c r="U11923" i="12"/>
  <c r="T11924" i="12"/>
  <c r="U11924" i="12"/>
  <c r="T11925" i="12"/>
  <c r="U11925" i="12"/>
  <c r="T11926" i="12"/>
  <c r="U11926" i="12"/>
  <c r="T11927" i="12"/>
  <c r="U11927" i="12"/>
  <c r="T11928" i="12"/>
  <c r="U11928" i="12"/>
  <c r="T11929" i="12"/>
  <c r="U11929" i="12"/>
  <c r="T11930" i="12"/>
  <c r="U11930" i="12"/>
  <c r="T11931" i="12"/>
  <c r="U11931" i="12"/>
  <c r="T11932" i="12"/>
  <c r="U11932" i="12"/>
  <c r="T11933" i="12"/>
  <c r="U11933" i="12"/>
  <c r="T11934" i="12"/>
  <c r="U11934" i="12"/>
  <c r="T11935" i="12"/>
  <c r="U11935" i="12"/>
  <c r="T11936" i="12"/>
  <c r="U11936" i="12"/>
  <c r="T11937" i="12"/>
  <c r="U11937" i="12"/>
  <c r="T11938" i="12"/>
  <c r="U11938" i="12"/>
  <c r="T11939" i="12"/>
  <c r="U11939" i="12"/>
  <c r="T11940" i="12"/>
  <c r="U11940" i="12"/>
  <c r="T11941" i="12"/>
  <c r="U11941" i="12"/>
  <c r="T11942" i="12"/>
  <c r="U11942" i="12"/>
  <c r="T11943" i="12"/>
  <c r="U11943" i="12"/>
  <c r="T11944" i="12"/>
  <c r="U11944" i="12"/>
  <c r="T11945" i="12"/>
  <c r="U11945" i="12"/>
  <c r="T11946" i="12"/>
  <c r="U11946" i="12"/>
  <c r="T11947" i="12"/>
  <c r="U11947" i="12"/>
  <c r="T11948" i="12"/>
  <c r="U11948" i="12"/>
  <c r="T11949" i="12"/>
  <c r="U11949" i="12"/>
  <c r="T11950" i="12"/>
  <c r="U11950" i="12"/>
  <c r="T11951" i="12"/>
  <c r="U11951" i="12"/>
  <c r="T11952" i="12"/>
  <c r="U11952" i="12"/>
  <c r="T11953" i="12"/>
  <c r="U11953" i="12"/>
  <c r="T11954" i="12"/>
  <c r="U11954" i="12"/>
  <c r="T11955" i="12"/>
  <c r="U11955" i="12"/>
  <c r="T11956" i="12"/>
  <c r="U11956" i="12"/>
  <c r="T11957" i="12"/>
  <c r="U11957" i="12"/>
  <c r="T11958" i="12"/>
  <c r="U11958" i="12"/>
  <c r="T11959" i="12"/>
  <c r="U11959" i="12"/>
  <c r="T11960" i="12"/>
  <c r="U11960" i="12"/>
  <c r="T11961" i="12"/>
  <c r="U11961" i="12"/>
  <c r="T11962" i="12"/>
  <c r="U11962" i="12"/>
  <c r="T11963" i="12"/>
  <c r="U11963" i="12"/>
  <c r="T11964" i="12"/>
  <c r="U11964" i="12"/>
  <c r="T11965" i="12"/>
  <c r="U11965" i="12"/>
  <c r="T11966" i="12"/>
  <c r="U11966" i="12"/>
  <c r="T11967" i="12"/>
  <c r="U11967" i="12"/>
  <c r="T11968" i="12"/>
  <c r="U11968" i="12"/>
  <c r="T11969" i="12"/>
  <c r="U11969" i="12"/>
  <c r="T11970" i="12"/>
  <c r="U11970" i="12"/>
  <c r="T11971" i="12"/>
  <c r="U11971" i="12"/>
  <c r="T11972" i="12"/>
  <c r="U11972" i="12"/>
  <c r="T11973" i="12"/>
  <c r="U11973" i="12"/>
  <c r="T11974" i="12"/>
  <c r="U11974" i="12"/>
  <c r="T11975" i="12"/>
  <c r="U11975" i="12"/>
  <c r="T11976" i="12"/>
  <c r="U11976" i="12"/>
  <c r="T11977" i="12"/>
  <c r="U11977" i="12"/>
  <c r="T11978" i="12"/>
  <c r="U11978" i="12"/>
  <c r="T11979" i="12"/>
  <c r="U11979" i="12"/>
  <c r="T11980" i="12"/>
  <c r="U11980" i="12"/>
  <c r="T11981" i="12"/>
  <c r="U11981" i="12"/>
  <c r="T11982" i="12"/>
  <c r="U11982" i="12"/>
  <c r="T11983" i="12"/>
  <c r="U11983" i="12"/>
  <c r="T11984" i="12"/>
  <c r="U11984" i="12"/>
  <c r="T11985" i="12"/>
  <c r="U11985" i="12"/>
  <c r="T11986" i="12"/>
  <c r="U11986" i="12"/>
  <c r="T11987" i="12"/>
  <c r="U11987" i="12"/>
  <c r="T11988" i="12"/>
  <c r="U11988" i="12"/>
  <c r="T11989" i="12"/>
  <c r="U11989" i="12"/>
  <c r="T11990" i="12"/>
  <c r="U11990" i="12"/>
  <c r="T11991" i="12"/>
  <c r="U11991" i="12"/>
  <c r="T11992" i="12"/>
  <c r="U11992" i="12"/>
  <c r="T11993" i="12"/>
  <c r="U11993" i="12"/>
  <c r="T11994" i="12"/>
  <c r="U11994" i="12"/>
  <c r="T11995" i="12"/>
  <c r="U11995" i="12"/>
  <c r="T11996" i="12"/>
  <c r="U11996" i="12"/>
  <c r="T11997" i="12"/>
  <c r="U11997" i="12"/>
  <c r="T11998" i="12"/>
  <c r="U11998" i="12"/>
  <c r="T11999" i="12"/>
  <c r="U11999" i="12"/>
  <c r="T12000" i="12"/>
  <c r="U12000" i="12"/>
  <c r="T12001" i="12"/>
  <c r="U12001" i="12"/>
  <c r="T12002" i="12"/>
  <c r="U12002" i="12"/>
  <c r="T12003" i="12"/>
  <c r="U12003" i="12"/>
  <c r="T12004" i="12"/>
  <c r="U12004" i="12"/>
  <c r="T12005" i="12"/>
  <c r="U12005" i="12"/>
  <c r="T12006" i="12"/>
  <c r="U12006" i="12"/>
  <c r="T12007" i="12"/>
  <c r="U12007" i="12"/>
  <c r="T12008" i="12"/>
  <c r="U12008" i="12"/>
  <c r="T12009" i="12"/>
  <c r="U12009" i="12"/>
  <c r="T12010" i="12"/>
  <c r="U12010" i="12"/>
  <c r="T12011" i="12"/>
  <c r="U12011" i="12"/>
  <c r="T12012" i="12"/>
  <c r="U12012" i="12"/>
  <c r="T12013" i="12"/>
  <c r="U12013" i="12"/>
  <c r="T12014" i="12"/>
  <c r="U12014" i="12"/>
  <c r="T12015" i="12"/>
  <c r="U12015" i="12"/>
  <c r="T12016" i="12"/>
  <c r="U12016" i="12"/>
  <c r="T12017" i="12"/>
  <c r="U12017" i="12"/>
  <c r="T12018" i="12"/>
  <c r="U12018" i="12"/>
  <c r="T12019" i="12"/>
  <c r="U12019" i="12"/>
  <c r="T12020" i="12"/>
  <c r="U12020" i="12"/>
  <c r="T12021" i="12"/>
  <c r="U12021" i="12"/>
  <c r="T12022" i="12"/>
  <c r="U12022" i="12"/>
  <c r="T12023" i="12"/>
  <c r="U12023" i="12"/>
  <c r="T12024" i="12"/>
  <c r="U12024" i="12"/>
  <c r="T12025" i="12"/>
  <c r="U12025" i="12"/>
  <c r="T12026" i="12"/>
  <c r="U12026" i="12"/>
  <c r="T12027" i="12"/>
  <c r="U12027" i="12"/>
  <c r="T12028" i="12"/>
  <c r="U12028" i="12"/>
  <c r="T12029" i="12"/>
  <c r="U12029" i="12"/>
  <c r="T12030" i="12"/>
  <c r="U12030" i="12"/>
  <c r="T12031" i="12"/>
  <c r="U12031" i="12"/>
  <c r="T12032" i="12"/>
  <c r="U12032" i="12"/>
  <c r="T12033" i="12"/>
  <c r="U12033" i="12"/>
  <c r="T12034" i="12"/>
  <c r="U12034" i="12"/>
  <c r="T12035" i="12"/>
  <c r="U12035" i="12"/>
  <c r="T12036" i="12"/>
  <c r="U12036" i="12"/>
  <c r="T12037" i="12"/>
  <c r="U12037" i="12"/>
  <c r="T12038" i="12"/>
  <c r="U12038" i="12"/>
  <c r="T12039" i="12"/>
  <c r="U12039" i="12"/>
  <c r="T12040" i="12"/>
  <c r="U12040" i="12"/>
  <c r="T12041" i="12"/>
  <c r="U12041" i="12"/>
  <c r="T12042" i="12"/>
  <c r="U12042" i="12"/>
  <c r="T12043" i="12"/>
  <c r="U12043" i="12"/>
  <c r="T12044" i="12"/>
  <c r="U12044" i="12"/>
  <c r="T12045" i="12"/>
  <c r="U12045" i="12"/>
  <c r="T12046" i="12"/>
  <c r="U12046" i="12"/>
  <c r="T12047" i="12"/>
  <c r="U12047" i="12"/>
  <c r="T12048" i="12"/>
  <c r="U12048" i="12"/>
  <c r="T12049" i="12"/>
  <c r="U12049" i="12"/>
  <c r="T12050" i="12"/>
  <c r="U12050" i="12"/>
  <c r="T12051" i="12"/>
  <c r="U12051" i="12"/>
  <c r="T12052" i="12"/>
  <c r="U12052" i="12"/>
  <c r="T12053" i="12"/>
  <c r="U12053" i="12"/>
  <c r="T12054" i="12"/>
  <c r="U12054" i="12"/>
  <c r="T12055" i="12"/>
  <c r="U12055" i="12"/>
  <c r="T12056" i="12"/>
  <c r="U12056" i="12"/>
  <c r="T12057" i="12"/>
  <c r="U12057" i="12"/>
  <c r="T12058" i="12"/>
  <c r="U12058" i="12"/>
  <c r="T12059" i="12"/>
  <c r="U12059" i="12"/>
  <c r="T12060" i="12"/>
  <c r="U12060" i="12"/>
  <c r="T12061" i="12"/>
  <c r="U12061" i="12"/>
  <c r="T12062" i="12"/>
  <c r="U12062" i="12"/>
  <c r="T12063" i="12"/>
  <c r="U12063" i="12"/>
  <c r="T12064" i="12"/>
  <c r="U12064" i="12"/>
  <c r="T12065" i="12"/>
  <c r="U12065" i="12"/>
  <c r="T12066" i="12"/>
  <c r="U12066" i="12"/>
  <c r="T12067" i="12"/>
  <c r="U12067" i="12"/>
  <c r="T12068" i="12"/>
  <c r="U12068" i="12"/>
  <c r="T12069" i="12"/>
  <c r="U12069" i="12"/>
  <c r="T12070" i="12"/>
  <c r="U12070" i="12"/>
  <c r="T12071" i="12"/>
  <c r="U12071" i="12"/>
  <c r="T12072" i="12"/>
  <c r="U12072" i="12"/>
  <c r="T12073" i="12"/>
  <c r="U12073" i="12"/>
  <c r="T12074" i="12"/>
  <c r="U12074" i="12"/>
  <c r="T12075" i="12"/>
  <c r="U12075" i="12"/>
  <c r="T12076" i="12"/>
  <c r="U12076" i="12"/>
  <c r="T12077" i="12"/>
  <c r="U12077" i="12"/>
  <c r="T12078" i="12"/>
  <c r="U12078" i="12"/>
  <c r="T12079" i="12"/>
  <c r="U12079" i="12"/>
  <c r="T12080" i="12"/>
  <c r="U12080" i="12"/>
  <c r="T12081" i="12"/>
  <c r="U12081" i="12"/>
  <c r="T12082" i="12"/>
  <c r="U12082" i="12"/>
  <c r="T12083" i="12"/>
  <c r="U12083" i="12"/>
  <c r="T12084" i="12"/>
  <c r="U12084" i="12"/>
  <c r="T12085" i="12"/>
  <c r="U12085" i="12"/>
  <c r="T12086" i="12"/>
  <c r="U12086" i="12"/>
  <c r="T12087" i="12"/>
  <c r="U12087" i="12"/>
  <c r="T12088" i="12"/>
  <c r="U12088" i="12"/>
  <c r="T12089" i="12"/>
  <c r="U12089" i="12"/>
  <c r="T12090" i="12"/>
  <c r="U12090" i="12"/>
  <c r="T12091" i="12"/>
  <c r="U12091" i="12"/>
  <c r="T12092" i="12"/>
  <c r="U12092" i="12"/>
  <c r="T12093" i="12"/>
  <c r="U12093" i="12"/>
  <c r="T12094" i="12"/>
  <c r="U12094" i="12"/>
  <c r="T12095" i="12"/>
  <c r="U12095" i="12"/>
  <c r="T12096" i="12"/>
  <c r="U12096" i="12"/>
  <c r="T12097" i="12"/>
  <c r="U12097" i="12"/>
  <c r="T12098" i="12"/>
  <c r="U12098" i="12"/>
  <c r="T12099" i="12"/>
  <c r="U12099" i="12"/>
  <c r="T12100" i="12"/>
  <c r="U12100" i="12"/>
  <c r="T12101" i="12"/>
  <c r="U12101" i="12"/>
  <c r="T12102" i="12"/>
  <c r="U12102" i="12"/>
  <c r="T12103" i="12"/>
  <c r="U12103" i="12"/>
  <c r="T12104" i="12"/>
  <c r="U12104" i="12"/>
  <c r="T12105" i="12"/>
  <c r="U12105" i="12"/>
  <c r="T12106" i="12"/>
  <c r="U12106" i="12"/>
  <c r="T12107" i="12"/>
  <c r="U12107" i="12"/>
  <c r="T12108" i="12"/>
  <c r="U12108" i="12"/>
  <c r="T12109" i="12"/>
  <c r="U12109" i="12"/>
  <c r="T12110" i="12"/>
  <c r="U12110" i="12"/>
  <c r="T12111" i="12"/>
  <c r="U12111" i="12"/>
  <c r="T12112" i="12"/>
  <c r="U12112" i="12"/>
  <c r="T12113" i="12"/>
  <c r="U12113" i="12"/>
  <c r="T12114" i="12"/>
  <c r="U12114" i="12"/>
  <c r="T12115" i="12"/>
  <c r="U12115" i="12"/>
  <c r="T12116" i="12"/>
  <c r="U12116" i="12"/>
  <c r="T12117" i="12"/>
  <c r="U12117" i="12"/>
  <c r="T12118" i="12"/>
  <c r="U12118" i="12"/>
  <c r="T12119" i="12"/>
  <c r="U12119" i="12"/>
  <c r="T12120" i="12"/>
  <c r="U12120" i="12"/>
  <c r="T12121" i="12"/>
  <c r="U12121" i="12"/>
  <c r="T12122" i="12"/>
  <c r="U12122" i="12"/>
  <c r="T12123" i="12"/>
  <c r="U12123" i="12"/>
  <c r="T12124" i="12"/>
  <c r="U12124" i="12"/>
  <c r="T12125" i="12"/>
  <c r="U12125" i="12"/>
  <c r="T12126" i="12"/>
  <c r="U12126" i="12"/>
  <c r="T12127" i="12"/>
  <c r="U12127" i="12"/>
  <c r="T12128" i="12"/>
  <c r="U12128" i="12"/>
  <c r="T12129" i="12"/>
  <c r="U12129" i="12"/>
  <c r="T12130" i="12"/>
  <c r="U12130" i="12"/>
  <c r="T12131" i="12"/>
  <c r="U12131" i="12"/>
  <c r="T12132" i="12"/>
  <c r="U12132" i="12"/>
  <c r="T12133" i="12"/>
  <c r="U12133" i="12"/>
  <c r="T12134" i="12"/>
  <c r="U12134" i="12"/>
  <c r="T12135" i="12"/>
  <c r="U12135" i="12"/>
  <c r="T12136" i="12"/>
  <c r="U12136" i="12"/>
  <c r="T12137" i="12"/>
  <c r="U12137" i="12"/>
  <c r="T12138" i="12"/>
  <c r="U12138" i="12"/>
  <c r="T12139" i="12"/>
  <c r="U12139" i="12"/>
  <c r="T12140" i="12"/>
  <c r="U12140" i="12"/>
  <c r="T12141" i="12"/>
  <c r="U12141" i="12"/>
  <c r="T12142" i="12"/>
  <c r="U12142" i="12"/>
  <c r="T12143" i="12"/>
  <c r="U12143" i="12"/>
  <c r="T12144" i="12"/>
  <c r="U12144" i="12"/>
  <c r="T12145" i="12"/>
  <c r="U12145" i="12"/>
  <c r="T12146" i="12"/>
  <c r="U12146" i="12"/>
  <c r="T12147" i="12"/>
  <c r="U12147" i="12"/>
  <c r="T12148" i="12"/>
  <c r="U12148" i="12"/>
  <c r="T12149" i="12"/>
  <c r="U12149" i="12"/>
  <c r="T12150" i="12"/>
  <c r="U12150" i="12"/>
  <c r="T12151" i="12"/>
  <c r="U12151" i="12"/>
  <c r="T12152" i="12"/>
  <c r="U12152" i="12"/>
  <c r="T12153" i="12"/>
  <c r="U12153" i="12"/>
  <c r="T12154" i="12"/>
  <c r="U12154" i="12"/>
  <c r="T12155" i="12"/>
  <c r="U12155" i="12"/>
  <c r="T12156" i="12"/>
  <c r="U12156" i="12"/>
  <c r="T12157" i="12"/>
  <c r="U12157" i="12"/>
  <c r="T12158" i="12"/>
  <c r="U12158" i="12"/>
  <c r="T12159" i="12"/>
  <c r="U12159" i="12"/>
  <c r="T12160" i="12"/>
  <c r="U12160" i="12"/>
  <c r="T12161" i="12"/>
  <c r="U12161" i="12"/>
  <c r="T12162" i="12"/>
  <c r="U12162" i="12"/>
  <c r="T12163" i="12"/>
  <c r="U12163" i="12"/>
  <c r="T12164" i="12"/>
  <c r="U12164" i="12"/>
  <c r="T12165" i="12"/>
  <c r="U12165" i="12"/>
  <c r="T12166" i="12"/>
  <c r="U12166" i="12"/>
  <c r="T12167" i="12"/>
  <c r="U12167" i="12"/>
  <c r="T12168" i="12"/>
  <c r="U12168" i="12"/>
  <c r="T12169" i="12"/>
  <c r="U12169" i="12"/>
  <c r="T12170" i="12"/>
  <c r="U12170" i="12"/>
  <c r="T12171" i="12"/>
  <c r="U12171" i="12"/>
  <c r="T12172" i="12"/>
  <c r="U12172" i="12"/>
  <c r="T12173" i="12"/>
  <c r="U12173" i="12"/>
  <c r="T12174" i="12"/>
  <c r="U12174" i="12"/>
  <c r="T12175" i="12"/>
  <c r="U12175" i="12"/>
  <c r="T12176" i="12"/>
  <c r="U12176" i="12"/>
  <c r="T12177" i="12"/>
  <c r="U12177" i="12"/>
  <c r="T12178" i="12"/>
  <c r="U12178" i="12"/>
  <c r="T12179" i="12"/>
  <c r="U12179" i="12"/>
  <c r="T12180" i="12"/>
  <c r="U12180" i="12"/>
  <c r="T12181" i="12"/>
  <c r="U12181" i="12"/>
  <c r="T12182" i="12"/>
  <c r="U12182" i="12"/>
  <c r="T12183" i="12"/>
  <c r="U12183" i="12"/>
  <c r="T12184" i="12"/>
  <c r="U12184" i="12"/>
  <c r="T12185" i="12"/>
  <c r="U12185" i="12"/>
  <c r="T12186" i="12"/>
  <c r="U12186" i="12"/>
  <c r="T12187" i="12"/>
  <c r="U12187" i="12"/>
  <c r="T12188" i="12"/>
  <c r="U12188" i="12"/>
  <c r="T12189" i="12"/>
  <c r="U12189" i="12"/>
  <c r="T12190" i="12"/>
  <c r="U12190" i="12"/>
  <c r="T12191" i="12"/>
  <c r="U12191" i="12"/>
  <c r="T12192" i="12"/>
  <c r="U12192" i="12"/>
  <c r="T12193" i="12"/>
  <c r="U12193" i="12"/>
  <c r="T12194" i="12"/>
  <c r="U12194" i="12"/>
  <c r="T12195" i="12"/>
  <c r="U12195" i="12"/>
  <c r="T12196" i="12"/>
  <c r="U12196" i="12"/>
  <c r="T12197" i="12"/>
  <c r="U12197" i="12"/>
  <c r="T12198" i="12"/>
  <c r="U12198" i="12"/>
  <c r="T12199" i="12"/>
  <c r="U12199" i="12"/>
  <c r="T12200" i="12"/>
  <c r="U12200" i="12"/>
  <c r="T12201" i="12"/>
  <c r="U12201" i="12"/>
  <c r="T12202" i="12"/>
  <c r="U12202" i="12"/>
  <c r="T12203" i="12"/>
  <c r="U12203" i="12"/>
  <c r="T12204" i="12"/>
  <c r="U12204" i="12"/>
  <c r="T12205" i="12"/>
  <c r="U12205" i="12"/>
  <c r="T12206" i="12"/>
  <c r="U12206" i="12"/>
  <c r="T12207" i="12"/>
  <c r="U12207" i="12"/>
  <c r="T12208" i="12"/>
  <c r="U12208" i="12"/>
  <c r="T12209" i="12"/>
  <c r="U12209" i="12"/>
  <c r="T12210" i="12"/>
  <c r="U12210" i="12"/>
  <c r="T12211" i="12"/>
  <c r="U12211" i="12"/>
  <c r="T12212" i="12"/>
  <c r="U12212" i="12"/>
  <c r="T12213" i="12"/>
  <c r="U12213" i="12"/>
  <c r="T12214" i="12"/>
  <c r="U12214" i="12"/>
  <c r="T12215" i="12"/>
  <c r="U12215" i="12"/>
  <c r="T12216" i="12"/>
  <c r="U12216" i="12"/>
  <c r="T12217" i="12"/>
  <c r="U12217" i="12"/>
  <c r="T12218" i="12"/>
  <c r="U12218" i="12"/>
  <c r="T12219" i="12"/>
  <c r="U12219" i="12"/>
  <c r="T12220" i="12"/>
  <c r="U12220" i="12"/>
  <c r="T12221" i="12"/>
  <c r="U12221" i="12"/>
  <c r="T12222" i="12"/>
  <c r="U12222" i="12"/>
  <c r="T12223" i="12"/>
  <c r="U12223" i="12"/>
  <c r="T12224" i="12"/>
  <c r="U12224" i="12"/>
  <c r="T12225" i="12"/>
  <c r="U12225" i="12"/>
  <c r="T12226" i="12"/>
  <c r="U12226" i="12"/>
  <c r="T12227" i="12"/>
  <c r="U12227" i="12"/>
  <c r="T12228" i="12"/>
  <c r="U12228" i="12"/>
  <c r="T12229" i="12"/>
  <c r="U12229" i="12"/>
  <c r="T12230" i="12"/>
  <c r="U12230" i="12"/>
  <c r="T12231" i="12"/>
  <c r="U12231" i="12"/>
  <c r="T12232" i="12"/>
  <c r="U12232" i="12"/>
  <c r="T12233" i="12"/>
  <c r="U12233" i="12"/>
  <c r="T12234" i="12"/>
  <c r="U12234" i="12"/>
  <c r="T12235" i="12"/>
  <c r="U12235" i="12"/>
  <c r="T12236" i="12"/>
  <c r="U12236" i="12"/>
  <c r="T12237" i="12"/>
  <c r="U12237" i="12"/>
  <c r="T12238" i="12"/>
  <c r="U12238" i="12"/>
  <c r="T12239" i="12"/>
  <c r="U12239" i="12"/>
  <c r="T12240" i="12"/>
  <c r="U12240" i="12"/>
  <c r="T12241" i="12"/>
  <c r="U12241" i="12"/>
  <c r="T12242" i="12"/>
  <c r="U12242" i="12"/>
  <c r="T12243" i="12"/>
  <c r="U12243" i="12"/>
  <c r="T12244" i="12"/>
  <c r="U12244" i="12"/>
  <c r="T12245" i="12"/>
  <c r="U12245" i="12"/>
  <c r="T12246" i="12"/>
  <c r="U12246" i="12"/>
  <c r="T12247" i="12"/>
  <c r="U12247" i="12"/>
  <c r="T12248" i="12"/>
  <c r="U12248" i="12"/>
  <c r="T12249" i="12"/>
  <c r="U12249" i="12"/>
  <c r="T12250" i="12"/>
  <c r="U12250" i="12"/>
  <c r="T12251" i="12"/>
  <c r="U12251" i="12"/>
  <c r="T12252" i="12"/>
  <c r="U12252" i="12"/>
  <c r="T12253" i="12"/>
  <c r="U12253" i="12"/>
  <c r="T12254" i="12"/>
  <c r="U12254" i="12"/>
  <c r="T12255" i="12"/>
  <c r="U12255" i="12"/>
  <c r="T12256" i="12"/>
  <c r="U12256" i="12"/>
  <c r="T12257" i="12"/>
  <c r="U12257" i="12"/>
  <c r="T12258" i="12"/>
  <c r="U12258" i="12"/>
  <c r="T12259" i="12"/>
  <c r="U12259" i="12"/>
  <c r="T12260" i="12"/>
  <c r="U12260" i="12"/>
  <c r="T12261" i="12"/>
  <c r="U12261" i="12"/>
  <c r="T12262" i="12"/>
  <c r="U12262" i="12"/>
  <c r="T12263" i="12"/>
  <c r="U12263" i="12"/>
  <c r="T12264" i="12"/>
  <c r="U12264" i="12"/>
  <c r="T12265" i="12"/>
  <c r="U12265" i="12"/>
  <c r="T12266" i="12"/>
  <c r="U12266" i="12"/>
  <c r="T12267" i="12"/>
  <c r="U12267" i="12"/>
  <c r="T12268" i="12"/>
  <c r="U12268" i="12"/>
  <c r="T12269" i="12"/>
  <c r="U12269" i="12"/>
  <c r="T12270" i="12"/>
  <c r="U12270" i="12"/>
  <c r="T12271" i="12"/>
  <c r="U12271" i="12"/>
  <c r="T12272" i="12"/>
  <c r="U12272" i="12"/>
  <c r="T12273" i="12"/>
  <c r="U12273" i="12"/>
  <c r="T12274" i="12"/>
  <c r="U12274" i="12"/>
  <c r="T12275" i="12"/>
  <c r="U12275" i="12"/>
  <c r="T12276" i="12"/>
  <c r="U12276" i="12"/>
  <c r="T12277" i="12"/>
  <c r="U12277" i="12"/>
  <c r="T12278" i="12"/>
  <c r="U12278" i="12"/>
  <c r="T12279" i="12"/>
  <c r="U12279" i="12"/>
  <c r="T12280" i="12"/>
  <c r="U12280" i="12"/>
  <c r="T12281" i="12"/>
  <c r="U12281" i="12"/>
  <c r="T12282" i="12"/>
  <c r="U12282" i="12"/>
  <c r="T12283" i="12"/>
  <c r="U12283" i="12"/>
  <c r="T12284" i="12"/>
  <c r="U12284" i="12"/>
  <c r="T12285" i="12"/>
  <c r="U12285" i="12"/>
  <c r="T12286" i="12"/>
  <c r="U12286" i="12"/>
  <c r="T12287" i="12"/>
  <c r="U12287" i="12"/>
  <c r="T12288" i="12"/>
  <c r="U12288" i="12"/>
  <c r="T12289" i="12"/>
  <c r="U12289" i="12"/>
  <c r="T12290" i="12"/>
  <c r="U12290" i="12"/>
  <c r="T12291" i="12"/>
  <c r="U12291" i="12"/>
  <c r="T12292" i="12"/>
  <c r="U12292" i="12"/>
  <c r="T12293" i="12"/>
  <c r="U12293" i="12"/>
  <c r="T12294" i="12"/>
  <c r="U12294" i="12"/>
  <c r="T12295" i="12"/>
  <c r="U12295" i="12"/>
  <c r="T12296" i="12"/>
  <c r="U12296" i="12"/>
  <c r="T12297" i="12"/>
  <c r="U12297" i="12"/>
  <c r="T12298" i="12"/>
  <c r="U12298" i="12"/>
  <c r="T12299" i="12"/>
  <c r="U12299" i="12"/>
  <c r="T12300" i="12"/>
  <c r="U12300" i="12"/>
  <c r="T12301" i="12"/>
  <c r="U12301" i="12"/>
  <c r="T12302" i="12"/>
  <c r="U12302" i="12"/>
  <c r="T12303" i="12"/>
  <c r="U12303" i="12"/>
  <c r="T12304" i="12"/>
  <c r="U12304" i="12"/>
  <c r="T12305" i="12"/>
  <c r="U12305" i="12"/>
  <c r="T12306" i="12"/>
  <c r="U12306" i="12"/>
  <c r="T12307" i="12"/>
  <c r="U12307" i="12"/>
  <c r="T12308" i="12"/>
  <c r="U12308" i="12"/>
  <c r="T12309" i="12"/>
  <c r="U12309" i="12"/>
  <c r="T12310" i="12"/>
  <c r="U12310" i="12"/>
  <c r="T12311" i="12"/>
  <c r="U12311" i="12"/>
  <c r="T12312" i="12"/>
  <c r="U12312" i="12"/>
  <c r="T12313" i="12"/>
  <c r="U12313" i="12"/>
  <c r="T12314" i="12"/>
  <c r="U12314" i="12"/>
  <c r="T12315" i="12"/>
  <c r="U12315" i="12"/>
  <c r="T12316" i="12"/>
  <c r="U12316" i="12"/>
  <c r="T12317" i="12"/>
  <c r="U12317" i="12"/>
  <c r="T12318" i="12"/>
  <c r="U12318" i="12"/>
  <c r="T12319" i="12"/>
  <c r="U12319" i="12"/>
  <c r="T12320" i="12"/>
  <c r="U12320" i="12"/>
  <c r="T12321" i="12"/>
  <c r="U12321" i="12"/>
  <c r="T12322" i="12"/>
  <c r="U12322" i="12"/>
  <c r="T12323" i="12"/>
  <c r="U12323" i="12"/>
  <c r="T12324" i="12"/>
  <c r="U12324" i="12"/>
  <c r="T12325" i="12"/>
  <c r="U12325" i="12"/>
  <c r="T12326" i="12"/>
  <c r="U12326" i="12"/>
  <c r="T12327" i="12"/>
  <c r="U12327" i="12"/>
  <c r="T12328" i="12"/>
  <c r="U12328" i="12"/>
  <c r="T12329" i="12"/>
  <c r="U12329" i="12"/>
  <c r="T12330" i="12"/>
  <c r="U12330" i="12"/>
  <c r="T12331" i="12"/>
  <c r="U12331" i="12"/>
  <c r="T12332" i="12"/>
  <c r="U12332" i="12"/>
  <c r="T12333" i="12"/>
  <c r="U12333" i="12"/>
  <c r="T12334" i="12"/>
  <c r="U12334" i="12"/>
  <c r="T12335" i="12"/>
  <c r="U12335" i="12"/>
  <c r="T12336" i="12"/>
  <c r="U12336" i="12"/>
  <c r="T12337" i="12"/>
  <c r="U12337" i="12"/>
  <c r="T12338" i="12"/>
  <c r="U12338" i="12"/>
  <c r="T12339" i="12"/>
  <c r="U12339" i="12"/>
  <c r="T12340" i="12"/>
  <c r="U12340" i="12"/>
  <c r="T12341" i="12"/>
  <c r="U12341" i="12"/>
  <c r="T12342" i="12"/>
  <c r="U12342" i="12"/>
  <c r="T12343" i="12"/>
  <c r="U12343" i="12"/>
  <c r="T12344" i="12"/>
  <c r="U12344" i="12"/>
  <c r="T12345" i="12"/>
  <c r="U12345" i="12"/>
  <c r="T12346" i="12"/>
  <c r="U12346" i="12"/>
  <c r="T12347" i="12"/>
  <c r="U12347" i="12"/>
  <c r="T12348" i="12"/>
  <c r="U12348" i="12"/>
  <c r="T12349" i="12"/>
  <c r="U12349" i="12"/>
  <c r="T12350" i="12"/>
  <c r="U12350" i="12"/>
  <c r="T12351" i="12"/>
  <c r="U12351" i="12"/>
  <c r="T12352" i="12"/>
  <c r="U12352" i="12"/>
  <c r="T12353" i="12"/>
  <c r="U12353" i="12"/>
  <c r="T12354" i="12"/>
  <c r="U12354" i="12"/>
  <c r="T12355" i="12"/>
  <c r="U12355" i="12"/>
  <c r="T12356" i="12"/>
  <c r="U12356" i="12"/>
  <c r="T12357" i="12"/>
  <c r="U12357" i="12"/>
  <c r="T12358" i="12"/>
  <c r="U12358" i="12"/>
  <c r="T12359" i="12"/>
  <c r="U12359" i="12"/>
  <c r="T12360" i="12"/>
  <c r="U12360" i="12"/>
  <c r="T12361" i="12"/>
  <c r="U12361" i="12"/>
  <c r="T12362" i="12"/>
  <c r="U12362" i="12"/>
  <c r="T12363" i="12"/>
  <c r="U12363" i="12"/>
  <c r="T12364" i="12"/>
  <c r="U12364" i="12"/>
  <c r="T12365" i="12"/>
  <c r="U12365" i="12"/>
  <c r="T12366" i="12"/>
  <c r="U12366" i="12"/>
  <c r="T12367" i="12"/>
  <c r="U12367" i="12"/>
  <c r="T12368" i="12"/>
  <c r="U12368" i="12"/>
  <c r="T12369" i="12"/>
  <c r="U12369" i="12"/>
  <c r="T12370" i="12"/>
  <c r="U12370" i="12"/>
  <c r="T12371" i="12"/>
  <c r="U12371" i="12"/>
  <c r="T12372" i="12"/>
  <c r="U12372" i="12"/>
  <c r="T12373" i="12"/>
  <c r="U12373" i="12"/>
  <c r="T12374" i="12"/>
  <c r="U12374" i="12"/>
  <c r="T12375" i="12"/>
  <c r="U12375" i="12"/>
  <c r="T12376" i="12"/>
  <c r="U12376" i="12"/>
  <c r="T12377" i="12"/>
  <c r="U12377" i="12"/>
  <c r="T12378" i="12"/>
  <c r="U12378" i="12"/>
  <c r="T12379" i="12"/>
  <c r="U12379" i="12"/>
  <c r="T12380" i="12"/>
  <c r="U12380" i="12"/>
  <c r="T12381" i="12"/>
  <c r="U12381" i="12"/>
  <c r="T12382" i="12"/>
  <c r="U12382" i="12"/>
  <c r="T12383" i="12"/>
  <c r="U12383" i="12"/>
  <c r="T12384" i="12"/>
  <c r="U12384" i="12"/>
  <c r="T12385" i="12"/>
  <c r="U12385" i="12"/>
  <c r="T12386" i="12"/>
  <c r="U12386" i="12"/>
  <c r="T12387" i="12"/>
  <c r="U12387" i="12"/>
  <c r="T12388" i="12"/>
  <c r="U12388" i="12"/>
  <c r="T12389" i="12"/>
  <c r="U12389" i="12"/>
  <c r="T12390" i="12"/>
  <c r="U12390" i="12"/>
  <c r="T12391" i="12"/>
  <c r="U12391" i="12"/>
  <c r="T12392" i="12"/>
  <c r="U12392" i="12"/>
  <c r="T12393" i="12"/>
  <c r="U12393" i="12"/>
  <c r="T12394" i="12"/>
  <c r="U12394" i="12"/>
  <c r="T12395" i="12"/>
  <c r="U12395" i="12"/>
  <c r="T12396" i="12"/>
  <c r="U12396" i="12"/>
  <c r="T12397" i="12"/>
  <c r="U12397" i="12"/>
  <c r="T12398" i="12"/>
  <c r="U12398" i="12"/>
  <c r="T12399" i="12"/>
  <c r="U12399" i="12"/>
  <c r="T12400" i="12"/>
  <c r="U12400" i="12"/>
  <c r="T12401" i="12"/>
  <c r="U12401" i="12"/>
  <c r="T12402" i="12"/>
  <c r="U12402" i="12"/>
  <c r="T12403" i="12"/>
  <c r="U12403" i="12"/>
  <c r="T12404" i="12"/>
  <c r="U12404" i="12"/>
  <c r="T12405" i="12"/>
  <c r="U12405" i="12"/>
  <c r="T12406" i="12"/>
  <c r="U12406" i="12"/>
  <c r="T12407" i="12"/>
  <c r="U12407" i="12"/>
  <c r="T12408" i="12"/>
  <c r="U12408" i="12"/>
  <c r="T12409" i="12"/>
  <c r="U12409" i="12"/>
  <c r="T12410" i="12"/>
  <c r="U12410" i="12"/>
  <c r="T12411" i="12"/>
  <c r="U12411" i="12"/>
  <c r="T12412" i="12"/>
  <c r="U12412" i="12"/>
  <c r="T12413" i="12"/>
  <c r="U12413" i="12"/>
  <c r="T12414" i="12"/>
  <c r="U12414" i="12"/>
  <c r="T12415" i="12"/>
  <c r="U12415" i="12"/>
  <c r="T12416" i="12"/>
  <c r="U12416" i="12"/>
  <c r="T12417" i="12"/>
  <c r="U12417" i="12"/>
  <c r="T12418" i="12"/>
  <c r="U12418" i="12"/>
  <c r="T12419" i="12"/>
  <c r="U12419" i="12"/>
  <c r="T12420" i="12"/>
  <c r="U12420" i="12"/>
  <c r="T12421" i="12"/>
  <c r="U12421" i="12"/>
  <c r="T12422" i="12"/>
  <c r="U12422" i="12"/>
  <c r="T12423" i="12"/>
  <c r="U12423" i="12"/>
  <c r="T12424" i="12"/>
  <c r="U12424" i="12"/>
  <c r="T12425" i="12"/>
  <c r="U12425" i="12"/>
  <c r="T12426" i="12"/>
  <c r="U12426" i="12"/>
  <c r="T12427" i="12"/>
  <c r="U12427" i="12"/>
  <c r="T12428" i="12"/>
  <c r="U12428" i="12"/>
  <c r="T12429" i="12"/>
  <c r="U12429" i="12"/>
  <c r="T12430" i="12"/>
  <c r="U12430" i="12"/>
  <c r="T12431" i="12"/>
  <c r="U12431" i="12"/>
  <c r="T12432" i="12"/>
  <c r="U12432" i="12"/>
  <c r="T12433" i="12"/>
  <c r="U12433" i="12"/>
  <c r="T12434" i="12"/>
  <c r="U12434" i="12"/>
  <c r="T12435" i="12"/>
  <c r="U12435" i="12"/>
  <c r="T12436" i="12"/>
  <c r="U12436" i="12"/>
  <c r="T12437" i="12"/>
  <c r="U12437" i="12"/>
  <c r="T12438" i="12"/>
  <c r="U12438" i="12"/>
  <c r="T12439" i="12"/>
  <c r="U12439" i="12"/>
  <c r="T12440" i="12"/>
  <c r="U12440" i="12"/>
  <c r="T12441" i="12"/>
  <c r="U12441" i="12"/>
  <c r="T12442" i="12"/>
  <c r="U12442" i="12"/>
  <c r="T12443" i="12"/>
  <c r="U12443" i="12"/>
  <c r="T12444" i="12"/>
  <c r="U12444" i="12"/>
  <c r="T12445" i="12"/>
  <c r="U12445" i="12"/>
  <c r="T12446" i="12"/>
  <c r="U12446" i="12"/>
  <c r="T12447" i="12"/>
  <c r="U12447" i="12"/>
  <c r="T12448" i="12"/>
  <c r="U12448" i="12"/>
  <c r="T12449" i="12"/>
  <c r="U12449" i="12"/>
  <c r="T12450" i="12"/>
  <c r="U12450" i="12"/>
  <c r="T12451" i="12"/>
  <c r="U12451" i="12"/>
  <c r="T12452" i="12"/>
  <c r="U12452" i="12"/>
  <c r="T12453" i="12"/>
  <c r="U12453" i="12"/>
  <c r="T12454" i="12"/>
  <c r="U12454" i="12"/>
  <c r="T12455" i="12"/>
  <c r="U12455" i="12"/>
  <c r="T12456" i="12"/>
  <c r="U12456" i="12"/>
  <c r="T12457" i="12"/>
  <c r="U12457" i="12"/>
  <c r="T12458" i="12"/>
  <c r="U12458" i="12"/>
  <c r="T12459" i="12"/>
  <c r="U12459" i="12"/>
  <c r="T12460" i="12"/>
  <c r="U12460" i="12"/>
  <c r="T12461" i="12"/>
  <c r="U12461" i="12"/>
  <c r="T12462" i="12"/>
  <c r="U12462" i="12"/>
  <c r="T12463" i="12"/>
  <c r="U12463" i="12"/>
  <c r="T12464" i="12"/>
  <c r="U12464" i="12"/>
  <c r="T12465" i="12"/>
  <c r="U12465" i="12"/>
  <c r="T12466" i="12"/>
  <c r="U12466" i="12"/>
  <c r="T12467" i="12"/>
  <c r="U12467" i="12"/>
  <c r="T12468" i="12"/>
  <c r="U12468" i="12"/>
  <c r="T12469" i="12"/>
  <c r="U12469" i="12"/>
  <c r="T12470" i="12"/>
  <c r="U12470" i="12"/>
  <c r="T12471" i="12"/>
  <c r="U12471" i="12"/>
  <c r="T12472" i="12"/>
  <c r="U12472" i="12"/>
  <c r="T12473" i="12"/>
  <c r="U12473" i="12"/>
  <c r="T12474" i="12"/>
  <c r="U12474" i="12"/>
  <c r="T12475" i="12"/>
  <c r="U12475" i="12"/>
  <c r="T12476" i="12"/>
  <c r="U12476" i="12"/>
  <c r="T12477" i="12"/>
  <c r="U12477" i="12"/>
  <c r="T12478" i="12"/>
  <c r="U12478" i="12"/>
  <c r="T12479" i="12"/>
  <c r="U12479" i="12"/>
  <c r="T12480" i="12"/>
  <c r="U12480" i="12"/>
  <c r="T12481" i="12"/>
  <c r="U12481" i="12"/>
  <c r="T12482" i="12"/>
  <c r="U12482" i="12"/>
  <c r="T12483" i="12"/>
  <c r="U12483" i="12"/>
  <c r="T12484" i="12"/>
  <c r="U12484" i="12"/>
  <c r="T12485" i="12"/>
  <c r="U12485" i="12"/>
  <c r="T12486" i="12"/>
  <c r="U12486" i="12"/>
  <c r="T12487" i="12"/>
  <c r="U12487" i="12"/>
  <c r="T12488" i="12"/>
  <c r="U12488" i="12"/>
  <c r="T12489" i="12"/>
  <c r="U12489" i="12"/>
  <c r="T12490" i="12"/>
  <c r="U12490" i="12"/>
  <c r="T12491" i="12"/>
  <c r="U12491" i="12"/>
  <c r="T12492" i="12"/>
  <c r="U12492" i="12"/>
  <c r="T12493" i="12"/>
  <c r="U12493" i="12"/>
  <c r="T12494" i="12"/>
  <c r="U12494" i="12"/>
  <c r="T12495" i="12"/>
  <c r="U12495" i="12"/>
  <c r="T12496" i="12"/>
  <c r="U12496" i="12"/>
  <c r="T12497" i="12"/>
  <c r="U12497" i="12"/>
  <c r="T12498" i="12"/>
  <c r="U12498" i="12"/>
  <c r="T12499" i="12"/>
  <c r="U12499" i="12"/>
  <c r="T12500" i="12"/>
  <c r="U12500" i="12"/>
  <c r="T12501" i="12"/>
  <c r="U12501" i="12"/>
  <c r="T12502" i="12"/>
  <c r="U12502" i="12"/>
  <c r="T12503" i="12"/>
  <c r="U12503" i="12"/>
  <c r="T12504" i="12"/>
  <c r="U12504" i="12"/>
  <c r="T12505" i="12"/>
  <c r="U12505" i="12"/>
  <c r="T12506" i="12"/>
  <c r="U12506" i="12"/>
  <c r="T12507" i="12"/>
  <c r="U12507" i="12"/>
  <c r="T12508" i="12"/>
  <c r="U12508" i="12"/>
  <c r="T12509" i="12"/>
  <c r="U12509" i="12"/>
  <c r="T12510" i="12"/>
  <c r="U12510" i="12"/>
  <c r="T12511" i="12"/>
  <c r="U12511" i="12"/>
  <c r="T12512" i="12"/>
  <c r="U12512" i="12"/>
  <c r="T12513" i="12"/>
  <c r="U12513" i="12"/>
  <c r="T12514" i="12"/>
  <c r="U12514" i="12"/>
  <c r="T12515" i="12"/>
  <c r="U12515" i="12"/>
  <c r="T12516" i="12"/>
  <c r="U12516" i="12"/>
  <c r="T12517" i="12"/>
  <c r="U12517" i="12"/>
  <c r="T12518" i="12"/>
  <c r="U12518" i="12"/>
  <c r="T12519" i="12"/>
  <c r="U12519" i="12"/>
  <c r="T12520" i="12"/>
  <c r="U12520" i="12"/>
  <c r="T12521" i="12"/>
  <c r="U12521" i="12"/>
  <c r="T12522" i="12"/>
  <c r="U12522" i="12"/>
  <c r="T12523" i="12"/>
  <c r="U12523" i="12"/>
  <c r="T12524" i="12"/>
  <c r="U12524" i="12"/>
  <c r="T12525" i="12"/>
  <c r="U12525" i="12"/>
  <c r="T12526" i="12"/>
  <c r="U12526" i="12"/>
  <c r="T12527" i="12"/>
  <c r="U12527" i="12"/>
  <c r="T12528" i="12"/>
  <c r="U12528" i="12"/>
  <c r="T12529" i="12"/>
  <c r="U12529" i="12"/>
  <c r="T12530" i="12"/>
  <c r="U12530" i="12"/>
  <c r="T12531" i="12"/>
  <c r="U12531" i="12"/>
  <c r="T12532" i="12"/>
  <c r="U12532" i="12"/>
  <c r="T12533" i="12"/>
  <c r="U12533" i="12"/>
  <c r="T12534" i="12"/>
  <c r="U12534" i="12"/>
  <c r="T12535" i="12"/>
  <c r="U12535" i="12"/>
  <c r="T12536" i="12"/>
  <c r="U12536" i="12"/>
  <c r="T12537" i="12"/>
  <c r="U12537" i="12"/>
  <c r="T12538" i="12"/>
  <c r="U12538" i="12"/>
  <c r="T12539" i="12"/>
  <c r="U12539" i="12"/>
  <c r="T12540" i="12"/>
  <c r="U12540" i="12"/>
  <c r="T12541" i="12"/>
  <c r="U12541" i="12"/>
  <c r="T12542" i="12"/>
  <c r="U12542" i="12"/>
  <c r="T12543" i="12"/>
  <c r="U12543" i="12"/>
  <c r="T12544" i="12"/>
  <c r="U12544" i="12"/>
  <c r="T12545" i="12"/>
  <c r="U12545" i="12"/>
  <c r="T12546" i="12"/>
  <c r="U12546" i="12"/>
  <c r="T12547" i="12"/>
  <c r="U12547" i="12"/>
  <c r="T12548" i="12"/>
  <c r="U12548" i="12"/>
  <c r="T12549" i="12"/>
  <c r="U12549" i="12"/>
  <c r="T12550" i="12"/>
  <c r="U12550" i="12"/>
  <c r="T12551" i="12"/>
  <c r="U12551" i="12"/>
  <c r="T12552" i="12"/>
  <c r="U12552" i="12"/>
  <c r="T12553" i="12"/>
  <c r="U12553" i="12"/>
  <c r="T12554" i="12"/>
  <c r="U12554" i="12"/>
  <c r="T12555" i="12"/>
  <c r="U12555" i="12"/>
  <c r="T12556" i="12"/>
  <c r="U12556" i="12"/>
  <c r="T12557" i="12"/>
  <c r="U12557" i="12"/>
  <c r="T12558" i="12"/>
  <c r="U12558" i="12"/>
  <c r="T12559" i="12"/>
  <c r="U12559" i="12"/>
  <c r="T12560" i="12"/>
  <c r="U12560" i="12"/>
  <c r="T12561" i="12"/>
  <c r="U12561" i="12"/>
  <c r="T12562" i="12"/>
  <c r="U12562" i="12"/>
  <c r="T12563" i="12"/>
  <c r="U12563" i="12"/>
  <c r="T12564" i="12"/>
  <c r="U12564" i="12"/>
  <c r="T12565" i="12"/>
  <c r="U12565" i="12"/>
  <c r="T12566" i="12"/>
  <c r="U12566" i="12"/>
  <c r="T12567" i="12"/>
  <c r="U12567" i="12"/>
  <c r="T12568" i="12"/>
  <c r="U12568" i="12"/>
  <c r="T12569" i="12"/>
  <c r="U12569" i="12"/>
  <c r="T12570" i="12"/>
  <c r="U12570" i="12"/>
  <c r="T12571" i="12"/>
  <c r="U12571" i="12"/>
  <c r="T12572" i="12"/>
  <c r="U12572" i="12"/>
  <c r="T12573" i="12"/>
  <c r="U12573" i="12"/>
  <c r="T12574" i="12"/>
  <c r="U12574" i="12"/>
  <c r="T12575" i="12"/>
  <c r="U12575" i="12"/>
  <c r="T12576" i="12"/>
  <c r="U12576" i="12"/>
  <c r="T12577" i="12"/>
  <c r="U12577" i="12"/>
  <c r="T12578" i="12"/>
  <c r="U12578" i="12"/>
  <c r="T12579" i="12"/>
  <c r="U12579" i="12"/>
  <c r="T12580" i="12"/>
  <c r="U12580" i="12"/>
  <c r="T12581" i="12"/>
  <c r="U12581" i="12"/>
  <c r="T12582" i="12"/>
  <c r="U12582" i="12"/>
  <c r="T12583" i="12"/>
  <c r="U12583" i="12"/>
  <c r="T12584" i="12"/>
  <c r="U12584" i="12"/>
  <c r="T12585" i="12"/>
  <c r="U12585" i="12"/>
  <c r="T12586" i="12"/>
  <c r="U12586" i="12"/>
  <c r="T12587" i="12"/>
  <c r="U12587" i="12"/>
  <c r="T12588" i="12"/>
  <c r="U12588" i="12"/>
  <c r="T12589" i="12"/>
  <c r="U12589" i="12"/>
  <c r="T12590" i="12"/>
  <c r="U12590" i="12"/>
  <c r="T12591" i="12"/>
  <c r="U12591" i="12"/>
  <c r="T12592" i="12"/>
  <c r="U12592" i="12"/>
  <c r="T12593" i="12"/>
  <c r="U12593" i="12"/>
  <c r="T12594" i="12"/>
  <c r="U12594" i="12"/>
  <c r="T12595" i="12"/>
  <c r="U12595" i="12"/>
  <c r="T12596" i="12"/>
  <c r="U12596" i="12"/>
  <c r="T12597" i="12"/>
  <c r="U12597" i="12"/>
  <c r="T12598" i="12"/>
  <c r="U12598" i="12"/>
  <c r="T12599" i="12"/>
  <c r="U12599" i="12"/>
  <c r="T12600" i="12"/>
  <c r="U12600" i="12"/>
  <c r="T12601" i="12"/>
  <c r="U12601" i="12"/>
  <c r="T12602" i="12"/>
  <c r="U12602" i="12"/>
  <c r="T12603" i="12"/>
  <c r="U12603" i="12"/>
  <c r="T12604" i="12"/>
  <c r="U12604" i="12"/>
  <c r="T12605" i="12"/>
  <c r="U12605" i="12"/>
  <c r="T12606" i="12"/>
  <c r="U12606" i="12"/>
  <c r="T12607" i="12"/>
  <c r="U12607" i="12"/>
  <c r="T12608" i="12"/>
  <c r="U12608" i="12"/>
  <c r="T12609" i="12"/>
  <c r="U12609" i="12"/>
  <c r="T12610" i="12"/>
  <c r="U12610" i="12"/>
  <c r="T12611" i="12"/>
  <c r="U12611" i="12"/>
  <c r="T12612" i="12"/>
  <c r="U12612" i="12"/>
  <c r="T12613" i="12"/>
  <c r="U12613" i="12"/>
  <c r="T12614" i="12"/>
  <c r="U12614" i="12"/>
  <c r="T12615" i="12"/>
  <c r="U12615" i="12"/>
  <c r="T12616" i="12"/>
  <c r="U12616" i="12"/>
  <c r="T12617" i="12"/>
  <c r="U12617" i="12"/>
  <c r="T12618" i="12"/>
  <c r="U12618" i="12"/>
  <c r="T12619" i="12"/>
  <c r="U12619" i="12"/>
  <c r="T12620" i="12"/>
  <c r="U12620" i="12"/>
  <c r="T12621" i="12"/>
  <c r="U12621" i="12"/>
  <c r="T12622" i="12"/>
  <c r="U12622" i="12"/>
  <c r="T12623" i="12"/>
  <c r="U12623" i="12"/>
  <c r="T12624" i="12"/>
  <c r="U12624" i="12"/>
  <c r="T12625" i="12"/>
  <c r="U12625" i="12"/>
  <c r="T12626" i="12"/>
  <c r="U12626" i="12"/>
  <c r="T12627" i="12"/>
  <c r="U12627" i="12"/>
  <c r="T12628" i="12"/>
  <c r="U12628" i="12"/>
  <c r="T12629" i="12"/>
  <c r="U12629" i="12"/>
  <c r="T12630" i="12"/>
  <c r="U12630" i="12"/>
  <c r="T12631" i="12"/>
  <c r="U12631" i="12"/>
  <c r="T12632" i="12"/>
  <c r="U12632" i="12"/>
  <c r="T12633" i="12"/>
  <c r="U12633" i="12"/>
  <c r="T12634" i="12"/>
  <c r="U12634" i="12"/>
  <c r="T12635" i="12"/>
  <c r="U12635" i="12"/>
  <c r="T12636" i="12"/>
  <c r="U12636" i="12"/>
  <c r="T12637" i="12"/>
  <c r="U12637" i="12"/>
  <c r="T12638" i="12"/>
  <c r="U12638" i="12"/>
  <c r="T12639" i="12"/>
  <c r="U12639" i="12"/>
  <c r="T12640" i="12"/>
  <c r="U12640" i="12"/>
  <c r="T12641" i="12"/>
  <c r="U12641" i="12"/>
  <c r="T12642" i="12"/>
  <c r="U12642" i="12"/>
  <c r="T12643" i="12"/>
  <c r="U12643" i="12"/>
  <c r="T12644" i="12"/>
  <c r="U12644" i="12"/>
  <c r="T12645" i="12"/>
  <c r="U12645" i="12"/>
  <c r="T12646" i="12"/>
  <c r="U12646" i="12"/>
  <c r="T12647" i="12"/>
  <c r="U12647" i="12"/>
  <c r="T12648" i="12"/>
  <c r="U12648" i="12"/>
  <c r="T12649" i="12"/>
  <c r="U12649" i="12"/>
  <c r="T12650" i="12"/>
  <c r="U12650" i="12"/>
  <c r="T12651" i="12"/>
  <c r="U12651" i="12"/>
  <c r="T12652" i="12"/>
  <c r="U12652" i="12"/>
  <c r="T12653" i="12"/>
  <c r="U12653" i="12"/>
  <c r="T12654" i="12"/>
  <c r="U12654" i="12"/>
  <c r="T12655" i="12"/>
  <c r="U12655" i="12"/>
  <c r="T12656" i="12"/>
  <c r="U12656" i="12"/>
  <c r="T12657" i="12"/>
  <c r="U12657" i="12"/>
  <c r="T12658" i="12"/>
  <c r="U12658" i="12"/>
  <c r="T12659" i="12"/>
  <c r="U12659" i="12"/>
  <c r="T12660" i="12"/>
  <c r="U12660" i="12"/>
  <c r="T12661" i="12"/>
  <c r="U12661" i="12"/>
  <c r="T12662" i="12"/>
  <c r="U12662" i="12"/>
  <c r="T12663" i="12"/>
  <c r="U12663" i="12"/>
  <c r="T12664" i="12"/>
  <c r="U12664" i="12"/>
  <c r="T12665" i="12"/>
  <c r="U12665" i="12"/>
  <c r="T12666" i="12"/>
  <c r="U12666" i="12"/>
  <c r="T12667" i="12"/>
  <c r="U12667" i="12"/>
  <c r="T12668" i="12"/>
  <c r="U12668" i="12"/>
  <c r="T12669" i="12"/>
  <c r="U12669" i="12"/>
  <c r="T12670" i="12"/>
  <c r="U12670" i="12"/>
  <c r="T12671" i="12"/>
  <c r="U12671" i="12"/>
  <c r="T12672" i="12"/>
  <c r="U12672" i="12"/>
  <c r="T12673" i="12"/>
  <c r="U12673" i="12"/>
  <c r="T12674" i="12"/>
  <c r="U12674" i="12"/>
  <c r="T12675" i="12"/>
  <c r="U12675" i="12"/>
  <c r="T12676" i="12"/>
  <c r="U12676" i="12"/>
  <c r="T12677" i="12"/>
  <c r="U12677" i="12"/>
  <c r="T12678" i="12"/>
  <c r="U12678" i="12"/>
  <c r="T12679" i="12"/>
  <c r="U12679" i="12"/>
  <c r="T12680" i="12"/>
  <c r="U12680" i="12"/>
  <c r="T12681" i="12"/>
  <c r="U12681" i="12"/>
  <c r="T12682" i="12"/>
  <c r="U12682" i="12"/>
  <c r="T12683" i="12"/>
  <c r="U12683" i="12"/>
  <c r="T12684" i="12"/>
  <c r="U12684" i="12"/>
  <c r="T12685" i="12"/>
  <c r="U12685" i="12"/>
  <c r="T12686" i="12"/>
  <c r="U12686" i="12"/>
  <c r="T12687" i="12"/>
  <c r="U12687" i="12"/>
  <c r="T12688" i="12"/>
  <c r="U12688" i="12"/>
  <c r="T12689" i="12"/>
  <c r="U12689" i="12"/>
  <c r="T12690" i="12"/>
  <c r="U12690" i="12"/>
  <c r="T12691" i="12"/>
  <c r="U12691" i="12"/>
  <c r="T12692" i="12"/>
  <c r="U12692" i="12"/>
  <c r="T12693" i="12"/>
  <c r="U12693" i="12"/>
  <c r="T12694" i="12"/>
  <c r="U12694" i="12"/>
  <c r="T12695" i="12"/>
  <c r="U12695" i="12"/>
  <c r="T12696" i="12"/>
  <c r="U12696" i="12"/>
  <c r="T12697" i="12"/>
  <c r="U12697" i="12"/>
  <c r="T12698" i="12"/>
  <c r="U12698" i="12"/>
  <c r="T12699" i="12"/>
  <c r="U12699" i="12"/>
  <c r="T12700" i="12"/>
  <c r="U12700" i="12"/>
  <c r="T12701" i="12"/>
  <c r="U12701" i="12"/>
  <c r="T12702" i="12"/>
  <c r="U12702" i="12"/>
  <c r="T12703" i="12"/>
  <c r="U12703" i="12"/>
  <c r="T12704" i="12"/>
  <c r="U12704" i="12"/>
  <c r="T12705" i="12"/>
  <c r="U12705" i="12"/>
  <c r="T12706" i="12"/>
  <c r="U12706" i="12"/>
  <c r="T12707" i="12"/>
  <c r="U12707" i="12"/>
  <c r="T12708" i="12"/>
  <c r="U12708" i="12"/>
  <c r="T12709" i="12"/>
  <c r="U12709" i="12"/>
  <c r="T12710" i="12"/>
  <c r="U12710" i="12"/>
  <c r="T12711" i="12"/>
  <c r="U12711" i="12"/>
  <c r="T12712" i="12"/>
  <c r="U12712" i="12"/>
  <c r="T12713" i="12"/>
  <c r="U12713" i="12"/>
  <c r="T12714" i="12"/>
  <c r="U12714" i="12"/>
  <c r="T12715" i="12"/>
  <c r="U12715" i="12"/>
  <c r="T12716" i="12"/>
  <c r="U12716" i="12"/>
  <c r="T12717" i="12"/>
  <c r="U12717" i="12"/>
  <c r="T12718" i="12"/>
  <c r="U12718" i="12"/>
  <c r="T12719" i="12"/>
  <c r="U12719" i="12"/>
  <c r="T12720" i="12"/>
  <c r="U12720" i="12"/>
  <c r="T12721" i="12"/>
  <c r="U12721" i="12"/>
  <c r="T12722" i="12"/>
  <c r="U12722" i="12"/>
  <c r="T12723" i="12"/>
  <c r="U12723" i="12"/>
  <c r="T12724" i="12"/>
  <c r="U12724" i="12"/>
  <c r="T12725" i="12"/>
  <c r="U12725" i="12"/>
  <c r="T12726" i="12"/>
  <c r="U12726" i="12"/>
  <c r="T12727" i="12"/>
  <c r="U12727" i="12"/>
  <c r="T12728" i="12"/>
  <c r="U12728" i="12"/>
  <c r="T12729" i="12"/>
  <c r="U12729" i="12"/>
  <c r="T12730" i="12"/>
  <c r="U12730" i="12"/>
  <c r="T12731" i="12"/>
  <c r="U12731" i="12"/>
  <c r="T12732" i="12"/>
  <c r="U12732" i="12"/>
  <c r="T12733" i="12"/>
  <c r="U12733" i="12"/>
  <c r="T12734" i="12"/>
  <c r="U12734" i="12"/>
  <c r="T12735" i="12"/>
  <c r="U12735" i="12"/>
  <c r="T12736" i="12"/>
  <c r="U12736" i="12"/>
  <c r="T12737" i="12"/>
  <c r="U12737" i="12"/>
  <c r="T12738" i="12"/>
  <c r="U12738" i="12"/>
  <c r="T12739" i="12"/>
  <c r="U12739" i="12"/>
  <c r="T12740" i="12"/>
  <c r="U12740" i="12"/>
  <c r="T12741" i="12"/>
  <c r="U12741" i="12"/>
  <c r="T12742" i="12"/>
  <c r="U12742" i="12"/>
  <c r="T12743" i="12"/>
  <c r="U12743" i="12"/>
  <c r="T12744" i="12"/>
  <c r="U12744" i="12"/>
  <c r="T12745" i="12"/>
  <c r="U12745" i="12"/>
  <c r="T12746" i="12"/>
  <c r="U12746" i="12"/>
  <c r="T12747" i="12"/>
  <c r="U12747" i="12"/>
  <c r="T12748" i="12"/>
  <c r="U12748" i="12"/>
  <c r="T12749" i="12"/>
  <c r="U12749" i="12"/>
  <c r="T12750" i="12"/>
  <c r="U12750" i="12"/>
  <c r="T12751" i="12"/>
  <c r="U12751" i="12"/>
  <c r="T12752" i="12"/>
  <c r="U12752" i="12"/>
  <c r="T12753" i="12"/>
  <c r="U12753" i="12"/>
  <c r="T12754" i="12"/>
  <c r="U12754" i="12"/>
  <c r="T12755" i="12"/>
  <c r="U12755" i="12"/>
  <c r="T12756" i="12"/>
  <c r="U12756" i="12"/>
  <c r="T12757" i="12"/>
  <c r="U12757" i="12"/>
  <c r="T12758" i="12"/>
  <c r="U12758" i="12"/>
  <c r="T12759" i="12"/>
  <c r="U12759" i="12"/>
  <c r="T12760" i="12"/>
  <c r="U12760" i="12"/>
  <c r="T12761" i="12"/>
  <c r="U12761" i="12"/>
  <c r="T12762" i="12"/>
  <c r="U12762" i="12"/>
  <c r="T12763" i="12"/>
  <c r="U12763" i="12"/>
  <c r="T12764" i="12"/>
  <c r="U12764" i="12"/>
  <c r="T12765" i="12"/>
  <c r="U12765" i="12"/>
  <c r="T12766" i="12"/>
  <c r="U12766" i="12"/>
  <c r="T12767" i="12"/>
  <c r="U12767" i="12"/>
  <c r="T12768" i="12"/>
  <c r="U12768" i="12"/>
  <c r="T12769" i="12"/>
  <c r="U12769" i="12"/>
  <c r="T12770" i="12"/>
  <c r="U12770" i="12"/>
  <c r="T12771" i="12"/>
  <c r="U12771" i="12"/>
  <c r="T12772" i="12"/>
  <c r="U12772" i="12"/>
  <c r="T12773" i="12"/>
  <c r="U12773" i="12"/>
  <c r="T12774" i="12"/>
  <c r="U12774" i="12"/>
  <c r="T12775" i="12"/>
  <c r="U12775" i="12"/>
  <c r="T12776" i="12"/>
  <c r="U12776" i="12"/>
  <c r="T12777" i="12"/>
  <c r="U12777" i="12"/>
  <c r="T12778" i="12"/>
  <c r="U12778" i="12"/>
  <c r="T12779" i="12"/>
  <c r="U12779" i="12"/>
  <c r="T12780" i="12"/>
  <c r="U12780" i="12"/>
  <c r="T12781" i="12"/>
  <c r="U12781" i="12"/>
  <c r="T12782" i="12"/>
  <c r="U12782" i="12"/>
  <c r="T12783" i="12"/>
  <c r="U12783" i="12"/>
  <c r="T12784" i="12"/>
  <c r="U12784" i="12"/>
  <c r="T12785" i="12"/>
  <c r="U12785" i="12"/>
  <c r="T12786" i="12"/>
  <c r="U12786" i="12"/>
  <c r="T12787" i="12"/>
  <c r="U12787" i="12"/>
  <c r="T12788" i="12"/>
  <c r="U12788" i="12"/>
  <c r="T12789" i="12"/>
  <c r="U12789" i="12"/>
  <c r="T12790" i="12"/>
  <c r="U12790" i="12"/>
  <c r="T12791" i="12"/>
  <c r="U12791" i="12"/>
  <c r="T12792" i="12"/>
  <c r="U12792" i="12"/>
  <c r="T12793" i="12"/>
  <c r="U12793" i="12"/>
  <c r="T12794" i="12"/>
  <c r="U12794" i="12"/>
  <c r="T12795" i="12"/>
  <c r="U12795" i="12"/>
  <c r="T12796" i="12"/>
  <c r="U12796" i="12"/>
  <c r="T12797" i="12"/>
  <c r="U12797" i="12"/>
  <c r="T12798" i="12"/>
  <c r="U12798" i="12"/>
  <c r="T12799" i="12"/>
  <c r="U12799" i="12"/>
  <c r="T12800" i="12"/>
  <c r="U12800" i="12"/>
  <c r="T12801" i="12"/>
  <c r="U12801" i="12"/>
  <c r="T12802" i="12"/>
  <c r="U12802" i="12"/>
  <c r="T12803" i="12"/>
  <c r="U12803" i="12"/>
  <c r="T12804" i="12"/>
  <c r="U12804" i="12"/>
  <c r="T12805" i="12"/>
  <c r="U12805" i="12"/>
  <c r="T12806" i="12"/>
  <c r="U12806" i="12"/>
  <c r="T12807" i="12"/>
  <c r="U12807" i="12"/>
  <c r="T12808" i="12"/>
  <c r="U12808" i="12"/>
  <c r="T12809" i="12"/>
  <c r="U12809" i="12"/>
  <c r="T12810" i="12"/>
  <c r="U12810" i="12"/>
  <c r="T12811" i="12"/>
  <c r="U12811" i="12"/>
  <c r="T12812" i="12"/>
  <c r="U12812" i="12"/>
  <c r="T12813" i="12"/>
  <c r="U12813" i="12"/>
  <c r="T12814" i="12"/>
  <c r="U12814" i="12"/>
  <c r="T12815" i="12"/>
  <c r="U12815" i="12"/>
  <c r="T12816" i="12"/>
  <c r="U12816" i="12"/>
  <c r="T12817" i="12"/>
  <c r="U12817" i="12"/>
  <c r="T12818" i="12"/>
  <c r="U12818" i="12"/>
  <c r="T12819" i="12"/>
  <c r="U12819" i="12"/>
  <c r="T12820" i="12"/>
  <c r="U12820" i="12"/>
  <c r="T12821" i="12"/>
  <c r="U12821" i="12"/>
  <c r="T12822" i="12"/>
  <c r="U12822" i="12"/>
  <c r="T12823" i="12"/>
  <c r="U12823" i="12"/>
  <c r="T12824" i="12"/>
  <c r="U12824" i="12"/>
  <c r="T12825" i="12"/>
  <c r="U12825" i="12"/>
  <c r="T12826" i="12"/>
  <c r="U12826" i="12"/>
  <c r="T12827" i="12"/>
  <c r="U12827" i="12"/>
  <c r="T12828" i="12"/>
  <c r="U12828" i="12"/>
  <c r="T12829" i="12"/>
  <c r="U12829" i="12"/>
  <c r="T12830" i="12"/>
  <c r="U12830" i="12"/>
  <c r="T12831" i="12"/>
  <c r="U12831" i="12"/>
  <c r="T12832" i="12"/>
  <c r="U12832" i="12"/>
  <c r="T12833" i="12"/>
  <c r="U12833" i="12"/>
  <c r="T12834" i="12"/>
  <c r="U12834" i="12"/>
  <c r="T12835" i="12"/>
  <c r="U12835" i="12"/>
  <c r="T12836" i="12"/>
  <c r="U12836" i="12"/>
  <c r="T12837" i="12"/>
  <c r="U12837" i="12"/>
  <c r="T12838" i="12"/>
  <c r="U12838" i="12"/>
  <c r="T12839" i="12"/>
  <c r="U12839" i="12"/>
  <c r="T12840" i="12"/>
  <c r="U12840" i="12"/>
  <c r="T12841" i="12"/>
  <c r="U12841" i="12"/>
  <c r="T12842" i="12"/>
  <c r="U12842" i="12"/>
  <c r="T12843" i="12"/>
  <c r="U12843" i="12"/>
  <c r="T12844" i="12"/>
  <c r="U12844" i="12"/>
  <c r="T12845" i="12"/>
  <c r="U12845" i="12"/>
  <c r="T12846" i="12"/>
  <c r="U12846" i="12"/>
  <c r="T12847" i="12"/>
  <c r="U12847" i="12"/>
  <c r="T12848" i="12"/>
  <c r="U12848" i="12"/>
  <c r="T12849" i="12"/>
  <c r="U12849" i="12"/>
  <c r="T12850" i="12"/>
  <c r="U12850" i="12"/>
  <c r="T12851" i="12"/>
  <c r="U12851" i="12"/>
  <c r="T12852" i="12"/>
  <c r="U12852" i="12"/>
  <c r="T12853" i="12"/>
  <c r="U12853" i="12"/>
  <c r="T12854" i="12"/>
  <c r="U12854" i="12"/>
  <c r="T12855" i="12"/>
  <c r="U12855" i="12"/>
  <c r="T12856" i="12"/>
  <c r="U12856" i="12"/>
  <c r="T12857" i="12"/>
  <c r="U12857" i="12"/>
  <c r="T12858" i="12"/>
  <c r="U12858" i="12"/>
  <c r="T12859" i="12"/>
  <c r="U12859" i="12"/>
  <c r="T12860" i="12"/>
  <c r="U12860" i="12"/>
  <c r="T12861" i="12"/>
  <c r="U12861" i="12"/>
  <c r="T12862" i="12"/>
  <c r="U12862" i="12"/>
  <c r="T12863" i="12"/>
  <c r="U12863" i="12"/>
  <c r="T12864" i="12"/>
  <c r="U12864" i="12"/>
  <c r="T12865" i="12"/>
  <c r="U12865" i="12"/>
  <c r="T12866" i="12"/>
  <c r="U12866" i="12"/>
  <c r="T12867" i="12"/>
  <c r="U12867" i="12"/>
  <c r="T12868" i="12"/>
  <c r="U12868" i="12"/>
  <c r="T12869" i="12"/>
  <c r="U12869" i="12"/>
  <c r="T12870" i="12"/>
  <c r="U12870" i="12"/>
  <c r="T12871" i="12"/>
  <c r="U12871" i="12"/>
  <c r="T12872" i="12"/>
  <c r="U12872" i="12"/>
  <c r="T12873" i="12"/>
  <c r="U12873" i="12"/>
  <c r="T12874" i="12"/>
  <c r="U12874" i="12"/>
  <c r="T12875" i="12"/>
  <c r="U12875" i="12"/>
  <c r="T12876" i="12"/>
  <c r="U12876" i="12"/>
  <c r="T12877" i="12"/>
  <c r="U12877" i="12"/>
  <c r="T12878" i="12"/>
  <c r="U12878" i="12"/>
  <c r="T12879" i="12"/>
  <c r="U12879" i="12"/>
  <c r="T12880" i="12"/>
  <c r="U12880" i="12"/>
  <c r="T12881" i="12"/>
  <c r="U12881" i="12"/>
  <c r="T12882" i="12"/>
  <c r="U12882" i="12"/>
  <c r="T12883" i="12"/>
  <c r="U12883" i="12"/>
  <c r="T12884" i="12"/>
  <c r="U12884" i="12"/>
  <c r="T12885" i="12"/>
  <c r="U12885" i="12"/>
  <c r="T12886" i="12"/>
  <c r="U12886" i="12"/>
  <c r="T12887" i="12"/>
  <c r="U12887" i="12"/>
  <c r="T12888" i="12"/>
  <c r="U12888" i="12"/>
  <c r="T12889" i="12"/>
  <c r="U12889" i="12"/>
  <c r="T12890" i="12"/>
  <c r="U12890" i="12"/>
  <c r="T12891" i="12"/>
  <c r="U12891" i="12"/>
  <c r="T12892" i="12"/>
  <c r="U12892" i="12"/>
  <c r="T12893" i="12"/>
  <c r="U12893" i="12"/>
  <c r="T12894" i="12"/>
  <c r="U12894" i="12"/>
  <c r="T12895" i="12"/>
  <c r="U12895" i="12"/>
  <c r="T12896" i="12"/>
  <c r="U12896" i="12"/>
  <c r="T12897" i="12"/>
  <c r="U12897" i="12"/>
  <c r="T12898" i="12"/>
  <c r="U12898" i="12"/>
  <c r="T12899" i="12"/>
  <c r="U12899" i="12"/>
  <c r="T12900" i="12"/>
  <c r="U12900" i="12"/>
  <c r="T12901" i="12"/>
  <c r="U12901" i="12"/>
  <c r="T12902" i="12"/>
  <c r="U12902" i="12"/>
  <c r="T12903" i="12"/>
  <c r="U12903" i="12"/>
  <c r="T12904" i="12"/>
  <c r="U12904" i="12"/>
  <c r="T12905" i="12"/>
  <c r="U12905" i="12"/>
  <c r="T12906" i="12"/>
  <c r="U12906" i="12"/>
  <c r="T12907" i="12"/>
  <c r="U12907" i="12"/>
  <c r="T12908" i="12"/>
  <c r="U12908" i="12"/>
  <c r="T12909" i="12"/>
  <c r="U12909" i="12"/>
  <c r="T12910" i="12"/>
  <c r="U12910" i="12"/>
  <c r="T12911" i="12"/>
  <c r="U12911" i="12"/>
  <c r="T12912" i="12"/>
  <c r="U12912" i="12"/>
  <c r="T12913" i="12"/>
  <c r="U12913" i="12"/>
  <c r="T12914" i="12"/>
  <c r="U12914" i="12"/>
  <c r="T12915" i="12"/>
  <c r="U12915" i="12"/>
  <c r="T12916" i="12"/>
  <c r="U12916" i="12"/>
  <c r="T12917" i="12"/>
  <c r="U12917" i="12"/>
  <c r="T12918" i="12"/>
  <c r="U12918" i="12"/>
  <c r="T12919" i="12"/>
  <c r="U12919" i="12"/>
  <c r="T12920" i="12"/>
  <c r="U12920" i="12"/>
  <c r="T12921" i="12"/>
  <c r="U12921" i="12"/>
  <c r="T12922" i="12"/>
  <c r="U12922" i="12"/>
  <c r="T12923" i="12"/>
  <c r="U12923" i="12"/>
  <c r="T12924" i="12"/>
  <c r="U12924" i="12"/>
  <c r="T12925" i="12"/>
  <c r="U12925" i="12"/>
  <c r="T12926" i="12"/>
  <c r="U12926" i="12"/>
  <c r="T12927" i="12"/>
  <c r="U12927" i="12"/>
  <c r="T12928" i="12"/>
  <c r="U12928" i="12"/>
  <c r="T12929" i="12"/>
  <c r="U12929" i="12"/>
  <c r="T12930" i="12"/>
  <c r="U12930" i="12"/>
  <c r="T12931" i="12"/>
  <c r="U12931" i="12"/>
  <c r="T12932" i="12"/>
  <c r="U12932" i="12"/>
  <c r="T12933" i="12"/>
  <c r="U12933" i="12"/>
  <c r="T12934" i="12"/>
  <c r="U12934" i="12"/>
  <c r="T12935" i="12"/>
  <c r="U12935" i="12"/>
  <c r="T12936" i="12"/>
  <c r="U12936" i="12"/>
  <c r="T12937" i="12"/>
  <c r="U12937" i="12"/>
  <c r="T12938" i="12"/>
  <c r="U12938" i="12"/>
  <c r="T12939" i="12"/>
  <c r="U12939" i="12"/>
  <c r="T12940" i="12"/>
  <c r="U12940" i="12"/>
  <c r="T12941" i="12"/>
  <c r="U12941" i="12"/>
  <c r="T12942" i="12"/>
  <c r="U12942" i="12"/>
  <c r="T12943" i="12"/>
  <c r="U12943" i="12"/>
  <c r="T12944" i="12"/>
  <c r="U12944" i="12"/>
  <c r="T12945" i="12"/>
  <c r="U12945" i="12"/>
  <c r="T12946" i="12"/>
  <c r="U12946" i="12"/>
  <c r="T12947" i="12"/>
  <c r="U12947" i="12"/>
  <c r="T12948" i="12"/>
  <c r="U12948" i="12"/>
  <c r="T12949" i="12"/>
  <c r="U12949" i="12"/>
  <c r="T12950" i="12"/>
  <c r="U12950" i="12"/>
  <c r="T12951" i="12"/>
  <c r="U12951" i="12"/>
  <c r="T12952" i="12"/>
  <c r="U12952" i="12"/>
  <c r="T12953" i="12"/>
  <c r="U12953" i="12"/>
  <c r="T12954" i="12"/>
  <c r="U12954" i="12"/>
  <c r="T12955" i="12"/>
  <c r="U12955" i="12"/>
  <c r="T12956" i="12"/>
  <c r="U12956" i="12"/>
  <c r="T12957" i="12"/>
  <c r="U12957" i="12"/>
  <c r="T12958" i="12"/>
  <c r="U12958" i="12"/>
  <c r="T12959" i="12"/>
  <c r="U12959" i="12"/>
  <c r="T12960" i="12"/>
  <c r="U12960" i="12"/>
  <c r="T12961" i="12"/>
  <c r="U12961" i="12"/>
  <c r="T12962" i="12"/>
  <c r="U12962" i="12"/>
  <c r="T12963" i="12"/>
  <c r="U12963" i="12"/>
  <c r="T12964" i="12"/>
  <c r="U12964" i="12"/>
  <c r="T12965" i="12"/>
  <c r="U12965" i="12"/>
  <c r="T12966" i="12"/>
  <c r="U12966" i="12"/>
  <c r="T12967" i="12"/>
  <c r="U12967" i="12"/>
  <c r="T12968" i="12"/>
  <c r="U12968" i="12"/>
  <c r="T12969" i="12"/>
  <c r="U12969" i="12"/>
  <c r="T12970" i="12"/>
  <c r="U12970" i="12"/>
  <c r="T12971" i="12"/>
  <c r="U12971" i="12"/>
  <c r="T12972" i="12"/>
  <c r="U12972" i="12"/>
  <c r="T12973" i="12"/>
  <c r="U12973" i="12"/>
  <c r="T12974" i="12"/>
  <c r="U12974" i="12"/>
  <c r="T12975" i="12"/>
  <c r="U12975" i="12"/>
  <c r="T12976" i="12"/>
  <c r="U12976" i="12"/>
  <c r="T12977" i="12"/>
  <c r="U12977" i="12"/>
  <c r="T12978" i="12"/>
  <c r="U12978" i="12"/>
  <c r="T12979" i="12"/>
  <c r="U12979" i="12"/>
  <c r="T12980" i="12"/>
  <c r="U12980" i="12"/>
  <c r="T12981" i="12"/>
  <c r="U12981" i="12"/>
  <c r="T12982" i="12"/>
  <c r="U12982" i="12"/>
  <c r="T12983" i="12"/>
  <c r="U12983" i="12"/>
  <c r="T12984" i="12"/>
  <c r="U12984" i="12"/>
  <c r="T12985" i="12"/>
  <c r="U12985" i="12"/>
  <c r="T12986" i="12"/>
  <c r="U12986" i="12"/>
  <c r="T12987" i="12"/>
  <c r="U12987" i="12"/>
  <c r="T12988" i="12"/>
  <c r="U12988" i="12"/>
  <c r="T12989" i="12"/>
  <c r="U12989" i="12"/>
  <c r="T12990" i="12"/>
  <c r="U12990" i="12"/>
  <c r="T12991" i="12"/>
  <c r="U12991" i="12"/>
  <c r="T12992" i="12"/>
  <c r="U12992" i="12"/>
  <c r="T12993" i="12"/>
  <c r="U12993" i="12"/>
  <c r="T12994" i="12"/>
  <c r="U12994" i="12"/>
  <c r="T12995" i="12"/>
  <c r="U12995" i="12"/>
  <c r="T12996" i="12"/>
  <c r="U12996" i="12"/>
  <c r="T12997" i="12"/>
  <c r="U12997" i="12"/>
  <c r="T12998" i="12"/>
  <c r="U12998" i="12"/>
  <c r="T12999" i="12"/>
  <c r="U12999" i="12"/>
  <c r="T13000" i="12"/>
  <c r="U13000" i="12"/>
  <c r="T13001" i="12"/>
  <c r="U13001" i="12"/>
  <c r="T13002" i="12"/>
  <c r="U13002" i="12"/>
  <c r="T13003" i="12"/>
  <c r="U13003" i="12"/>
  <c r="T13004" i="12"/>
  <c r="U13004" i="12"/>
  <c r="T13005" i="12"/>
  <c r="U13005" i="12"/>
  <c r="T13006" i="12"/>
  <c r="U13006" i="12"/>
  <c r="T13007" i="12"/>
  <c r="U13007" i="12"/>
  <c r="T13008" i="12"/>
  <c r="U13008" i="12"/>
  <c r="T13009" i="12"/>
  <c r="U13009" i="12"/>
  <c r="T13010" i="12"/>
  <c r="U13010" i="12"/>
  <c r="T13011" i="12"/>
  <c r="U13011" i="12"/>
  <c r="T13012" i="12"/>
  <c r="U13012" i="12"/>
  <c r="T13013" i="12"/>
  <c r="U13013" i="12"/>
  <c r="T13014" i="12"/>
  <c r="U13014" i="12"/>
  <c r="T13015" i="12"/>
  <c r="U13015" i="12"/>
  <c r="T13016" i="12"/>
  <c r="U13016" i="12"/>
  <c r="T13017" i="12"/>
  <c r="U13017" i="12"/>
  <c r="T13018" i="12"/>
  <c r="U13018" i="12"/>
  <c r="T13019" i="12"/>
  <c r="U13019" i="12"/>
  <c r="T13020" i="12"/>
  <c r="U13020" i="12"/>
  <c r="T13021" i="12"/>
  <c r="U13021" i="12"/>
  <c r="T13022" i="12"/>
  <c r="U13022" i="12"/>
  <c r="T13023" i="12"/>
  <c r="U13023" i="12"/>
  <c r="T13024" i="12"/>
  <c r="U13024" i="12"/>
  <c r="T13025" i="12"/>
  <c r="U13025" i="12"/>
  <c r="T13026" i="12"/>
  <c r="U13026" i="12"/>
  <c r="T13027" i="12"/>
  <c r="U13027" i="12"/>
  <c r="T13028" i="12"/>
  <c r="U13028" i="12"/>
  <c r="T13029" i="12"/>
  <c r="U13029" i="12"/>
  <c r="T13030" i="12"/>
  <c r="U13030" i="12"/>
  <c r="T13031" i="12"/>
  <c r="U13031" i="12"/>
  <c r="T13032" i="12"/>
  <c r="U13032" i="12"/>
  <c r="T13033" i="12"/>
  <c r="U13033" i="12"/>
  <c r="T13034" i="12"/>
  <c r="U13034" i="12"/>
  <c r="T13035" i="12"/>
  <c r="U13035" i="12"/>
  <c r="T13036" i="12"/>
  <c r="U13036" i="12"/>
  <c r="T13037" i="12"/>
  <c r="U13037" i="12"/>
  <c r="T13038" i="12"/>
  <c r="U13038" i="12"/>
  <c r="T13039" i="12"/>
  <c r="U13039" i="12"/>
  <c r="T13040" i="12"/>
  <c r="U13040" i="12"/>
  <c r="T13041" i="12"/>
  <c r="U13041" i="12"/>
  <c r="T13042" i="12"/>
  <c r="U13042" i="12"/>
  <c r="T13043" i="12"/>
  <c r="U13043" i="12"/>
  <c r="T13044" i="12"/>
  <c r="U13044" i="12"/>
  <c r="T13045" i="12"/>
  <c r="U13045" i="12"/>
  <c r="T13046" i="12"/>
  <c r="U13046" i="12"/>
  <c r="T13047" i="12"/>
  <c r="U13047" i="12"/>
  <c r="T13048" i="12"/>
  <c r="U13048" i="12"/>
  <c r="T13049" i="12"/>
  <c r="U13049" i="12"/>
  <c r="T13050" i="12"/>
  <c r="U13050" i="12"/>
  <c r="T13051" i="12"/>
  <c r="U13051" i="12"/>
  <c r="T13052" i="12"/>
  <c r="U13052" i="12"/>
  <c r="T13053" i="12"/>
  <c r="U13053" i="12"/>
  <c r="T13054" i="12"/>
  <c r="U13054" i="12"/>
  <c r="T13055" i="12"/>
  <c r="U13055" i="12"/>
  <c r="T13056" i="12"/>
  <c r="U13056" i="12"/>
  <c r="T13057" i="12"/>
  <c r="U13057" i="12"/>
  <c r="T13058" i="12"/>
  <c r="U13058" i="12"/>
  <c r="T13059" i="12"/>
  <c r="U13059" i="12"/>
  <c r="T13060" i="12"/>
  <c r="U13060" i="12"/>
  <c r="T13061" i="12"/>
  <c r="U13061" i="12"/>
  <c r="T13062" i="12"/>
  <c r="U13062" i="12"/>
  <c r="T13063" i="12"/>
  <c r="U13063" i="12"/>
  <c r="T13064" i="12"/>
  <c r="U13064" i="12"/>
  <c r="T13065" i="12"/>
  <c r="U13065" i="12"/>
  <c r="T13066" i="12"/>
  <c r="U13066" i="12"/>
  <c r="T13067" i="12"/>
  <c r="U13067" i="12"/>
  <c r="T13068" i="12"/>
  <c r="U13068" i="12"/>
  <c r="T13069" i="12"/>
  <c r="U13069" i="12"/>
  <c r="T13070" i="12"/>
  <c r="U13070" i="12"/>
  <c r="T13071" i="12"/>
  <c r="U13071" i="12"/>
  <c r="T13072" i="12"/>
  <c r="U13072" i="12"/>
  <c r="T13073" i="12"/>
  <c r="U13073" i="12"/>
  <c r="T13074" i="12"/>
  <c r="U13074" i="12"/>
  <c r="T13075" i="12"/>
  <c r="U13075" i="12"/>
  <c r="T13076" i="12"/>
  <c r="U13076" i="12"/>
  <c r="T13077" i="12"/>
  <c r="U13077" i="12"/>
  <c r="T13078" i="12"/>
  <c r="U13078" i="12"/>
  <c r="T13079" i="12"/>
  <c r="U13079" i="12"/>
  <c r="T13080" i="12"/>
  <c r="U13080" i="12"/>
  <c r="T13081" i="12"/>
  <c r="U13081" i="12"/>
  <c r="T13082" i="12"/>
  <c r="U13082" i="12"/>
  <c r="T13083" i="12"/>
  <c r="U13083" i="12"/>
  <c r="T13084" i="12"/>
  <c r="U13084" i="12"/>
  <c r="T13085" i="12"/>
  <c r="U13085" i="12"/>
  <c r="T13086" i="12"/>
  <c r="U13086" i="12"/>
  <c r="T13087" i="12"/>
  <c r="U13087" i="12"/>
  <c r="T13088" i="12"/>
  <c r="U13088" i="12"/>
  <c r="T13089" i="12"/>
  <c r="U13089" i="12"/>
  <c r="T13090" i="12"/>
  <c r="U13090" i="12"/>
  <c r="T13091" i="12"/>
  <c r="U13091" i="12"/>
  <c r="T13092" i="12"/>
  <c r="U13092" i="12"/>
  <c r="T13093" i="12"/>
  <c r="U13093" i="12"/>
  <c r="T13094" i="12"/>
  <c r="U13094" i="12"/>
  <c r="T13095" i="12"/>
  <c r="U13095" i="12"/>
  <c r="T13096" i="12"/>
  <c r="U13096" i="12"/>
  <c r="T13097" i="12"/>
  <c r="U13097" i="12"/>
  <c r="T13098" i="12"/>
  <c r="U13098" i="12"/>
  <c r="T13099" i="12"/>
  <c r="U13099" i="12"/>
  <c r="T13100" i="12"/>
  <c r="U13100" i="12"/>
  <c r="T13101" i="12"/>
  <c r="U13101" i="12"/>
  <c r="T13102" i="12"/>
  <c r="U13102" i="12"/>
  <c r="T13103" i="12"/>
  <c r="U13103" i="12"/>
  <c r="T13104" i="12"/>
  <c r="U13104" i="12"/>
  <c r="T13105" i="12"/>
  <c r="U13105" i="12"/>
  <c r="T13106" i="12"/>
  <c r="U13106" i="12"/>
  <c r="T13107" i="12"/>
  <c r="U13107" i="12"/>
  <c r="T13108" i="12"/>
  <c r="U13108" i="12"/>
  <c r="T13109" i="12"/>
  <c r="U13109" i="12"/>
  <c r="T13110" i="12"/>
  <c r="U13110" i="12"/>
  <c r="T13111" i="12"/>
  <c r="U13111" i="12"/>
  <c r="T13112" i="12"/>
  <c r="U13112" i="12"/>
  <c r="T13113" i="12"/>
  <c r="U13113" i="12"/>
  <c r="T13114" i="12"/>
  <c r="U13114" i="12"/>
  <c r="T13115" i="12"/>
  <c r="U13115" i="12"/>
  <c r="T13116" i="12"/>
  <c r="U13116" i="12"/>
  <c r="T13117" i="12"/>
  <c r="U13117" i="12"/>
  <c r="T13118" i="12"/>
  <c r="U13118" i="12"/>
  <c r="T13119" i="12"/>
  <c r="U13119" i="12"/>
  <c r="T13120" i="12"/>
  <c r="U13120" i="12"/>
  <c r="T13121" i="12"/>
  <c r="U13121" i="12"/>
  <c r="T13122" i="12"/>
  <c r="U13122" i="12"/>
  <c r="T13123" i="12"/>
  <c r="U13123" i="12"/>
  <c r="T13124" i="12"/>
  <c r="U13124" i="12"/>
  <c r="T13125" i="12"/>
  <c r="U13125" i="12"/>
  <c r="T13126" i="12"/>
  <c r="U13126" i="12"/>
  <c r="T13127" i="12"/>
  <c r="U13127" i="12"/>
  <c r="T13128" i="12"/>
  <c r="U13128" i="12"/>
  <c r="T13129" i="12"/>
  <c r="U13129" i="12"/>
  <c r="T13130" i="12"/>
  <c r="U13130" i="12"/>
  <c r="T13131" i="12"/>
  <c r="U13131" i="12"/>
  <c r="T13132" i="12"/>
  <c r="U13132" i="12"/>
  <c r="T13133" i="12"/>
  <c r="U13133" i="12"/>
  <c r="T13134" i="12"/>
  <c r="U13134" i="12"/>
  <c r="T13135" i="12"/>
  <c r="U13135" i="12"/>
  <c r="T13136" i="12"/>
  <c r="U13136" i="12"/>
  <c r="T13137" i="12"/>
  <c r="U13137" i="12"/>
  <c r="T13138" i="12"/>
  <c r="U13138" i="12"/>
  <c r="T13139" i="12"/>
  <c r="U13139" i="12"/>
  <c r="T13140" i="12"/>
  <c r="U13140" i="12"/>
  <c r="T13141" i="12"/>
  <c r="U13141" i="12"/>
  <c r="T13142" i="12"/>
  <c r="U13142" i="12"/>
  <c r="T13143" i="12"/>
  <c r="U13143" i="12"/>
  <c r="T13144" i="12"/>
  <c r="U13144" i="12"/>
  <c r="T13145" i="12"/>
  <c r="U13145" i="12"/>
  <c r="T13146" i="12"/>
  <c r="U13146" i="12"/>
  <c r="T13147" i="12"/>
  <c r="U13147" i="12"/>
  <c r="T13148" i="12"/>
  <c r="U13148" i="12"/>
  <c r="T13149" i="12"/>
  <c r="U13149" i="12"/>
  <c r="T13150" i="12"/>
  <c r="U13150" i="12"/>
  <c r="T13151" i="12"/>
  <c r="U13151" i="12"/>
  <c r="T13152" i="12"/>
  <c r="U13152" i="12"/>
  <c r="T13153" i="12"/>
  <c r="U13153" i="12"/>
  <c r="T13154" i="12"/>
  <c r="U13154" i="12"/>
  <c r="T13155" i="12"/>
  <c r="U13155" i="12"/>
  <c r="T13156" i="12"/>
  <c r="U13156" i="12"/>
  <c r="T13157" i="12"/>
  <c r="U13157" i="12"/>
  <c r="T13158" i="12"/>
  <c r="U13158" i="12"/>
  <c r="T13159" i="12"/>
  <c r="U13159" i="12"/>
  <c r="T13160" i="12"/>
  <c r="U13160" i="12"/>
  <c r="T13161" i="12"/>
  <c r="U13161" i="12"/>
  <c r="T13162" i="12"/>
  <c r="U13162" i="12"/>
  <c r="T13163" i="12"/>
  <c r="U13163" i="12"/>
  <c r="T13164" i="12"/>
  <c r="U13164" i="12"/>
  <c r="T13165" i="12"/>
  <c r="U13165" i="12"/>
  <c r="T13166" i="12"/>
  <c r="U13166" i="12"/>
  <c r="T13167" i="12"/>
  <c r="U13167" i="12"/>
  <c r="T13168" i="12"/>
  <c r="U13168" i="12"/>
  <c r="T13169" i="12"/>
  <c r="U13169" i="12"/>
  <c r="T13170" i="12"/>
  <c r="U13170" i="12"/>
  <c r="T13171" i="12"/>
  <c r="U13171" i="12"/>
  <c r="T13172" i="12"/>
  <c r="U13172" i="12"/>
  <c r="T13173" i="12"/>
  <c r="U13173" i="12"/>
  <c r="T13174" i="12"/>
  <c r="U13174" i="12"/>
  <c r="T13175" i="12"/>
  <c r="U13175" i="12"/>
  <c r="T13176" i="12"/>
  <c r="U13176" i="12"/>
  <c r="T13177" i="12"/>
  <c r="U13177" i="12"/>
  <c r="T13178" i="12"/>
  <c r="U13178" i="12"/>
  <c r="T13179" i="12"/>
  <c r="U13179" i="12"/>
  <c r="T13180" i="12"/>
  <c r="U13180" i="12"/>
  <c r="T13181" i="12"/>
  <c r="U13181" i="12"/>
  <c r="T13182" i="12"/>
  <c r="U13182" i="12"/>
  <c r="T13183" i="12"/>
  <c r="U13183" i="12"/>
  <c r="T13184" i="12"/>
  <c r="U13184" i="12"/>
  <c r="T13185" i="12"/>
  <c r="U13185" i="12"/>
  <c r="T13186" i="12"/>
  <c r="U13186" i="12"/>
  <c r="T13187" i="12"/>
  <c r="U13187" i="12"/>
  <c r="T13188" i="12"/>
  <c r="U13188" i="12"/>
  <c r="T13189" i="12"/>
  <c r="U13189" i="12"/>
  <c r="T13190" i="12"/>
  <c r="U13190" i="12"/>
  <c r="T13191" i="12"/>
  <c r="U13191" i="12"/>
  <c r="T13192" i="12"/>
  <c r="U13192" i="12"/>
  <c r="T13193" i="12"/>
  <c r="U13193" i="12"/>
  <c r="T13194" i="12"/>
  <c r="U13194" i="12"/>
  <c r="T13195" i="12"/>
  <c r="U13195" i="12"/>
  <c r="T13196" i="12"/>
  <c r="U13196" i="12"/>
  <c r="T13197" i="12"/>
  <c r="U13197" i="12"/>
  <c r="T13198" i="12"/>
  <c r="U13198" i="12"/>
  <c r="T13199" i="12"/>
  <c r="U13199" i="12"/>
  <c r="T13200" i="12"/>
  <c r="U13200" i="12"/>
  <c r="T13201" i="12"/>
  <c r="U13201" i="12"/>
  <c r="T13202" i="12"/>
  <c r="U13202" i="12"/>
  <c r="T13203" i="12"/>
  <c r="U13203" i="12"/>
  <c r="T13204" i="12"/>
  <c r="U13204" i="12"/>
  <c r="T13205" i="12"/>
  <c r="U13205" i="12"/>
  <c r="T13206" i="12"/>
  <c r="U13206" i="12"/>
  <c r="T13207" i="12"/>
  <c r="U13207" i="12"/>
  <c r="T13208" i="12"/>
  <c r="U13208" i="12"/>
  <c r="T13209" i="12"/>
  <c r="U13209" i="12"/>
  <c r="T13210" i="12"/>
  <c r="U13210" i="12"/>
  <c r="T13211" i="12"/>
  <c r="U13211" i="12"/>
  <c r="T13212" i="12"/>
  <c r="U13212" i="12"/>
  <c r="T13213" i="12"/>
  <c r="U13213" i="12"/>
  <c r="T13214" i="12"/>
  <c r="U13214" i="12"/>
  <c r="T13215" i="12"/>
  <c r="U13215" i="12"/>
  <c r="T13216" i="12"/>
  <c r="U13216" i="12"/>
  <c r="T13217" i="12"/>
  <c r="U13217" i="12"/>
  <c r="T13218" i="12"/>
  <c r="U13218" i="12"/>
  <c r="T13219" i="12"/>
  <c r="U13219" i="12"/>
  <c r="T13220" i="12"/>
  <c r="U13220" i="12"/>
  <c r="T13221" i="12"/>
  <c r="U13221" i="12"/>
  <c r="T13222" i="12"/>
  <c r="U13222" i="12"/>
  <c r="T13223" i="12"/>
  <c r="U13223" i="12"/>
  <c r="T13224" i="12"/>
  <c r="U13224" i="12"/>
  <c r="T13225" i="12"/>
  <c r="U13225" i="12"/>
  <c r="T13226" i="12"/>
  <c r="U13226" i="12"/>
  <c r="T13227" i="12"/>
  <c r="U13227" i="12"/>
  <c r="T13228" i="12"/>
  <c r="U13228" i="12"/>
  <c r="T13229" i="12"/>
  <c r="U13229" i="12"/>
  <c r="T13230" i="12"/>
  <c r="U13230" i="12"/>
  <c r="T13231" i="12"/>
  <c r="U13231" i="12"/>
  <c r="T13232" i="12"/>
  <c r="U13232" i="12"/>
  <c r="T13233" i="12"/>
  <c r="U13233" i="12"/>
  <c r="T13234" i="12"/>
  <c r="U13234" i="12"/>
  <c r="T13235" i="12"/>
  <c r="U13235" i="12"/>
  <c r="T13236" i="12"/>
  <c r="U13236" i="12"/>
  <c r="T13237" i="12"/>
  <c r="U13237" i="12"/>
  <c r="T13238" i="12"/>
  <c r="U13238" i="12"/>
  <c r="T13239" i="12"/>
  <c r="U13239" i="12"/>
  <c r="T13240" i="12"/>
  <c r="U13240" i="12"/>
  <c r="T13241" i="12"/>
  <c r="U13241" i="12"/>
  <c r="T13242" i="12"/>
  <c r="U13242" i="12"/>
  <c r="T13243" i="12"/>
  <c r="U13243" i="12"/>
  <c r="T13244" i="12"/>
  <c r="U13244" i="12"/>
  <c r="T13245" i="12"/>
  <c r="U13245" i="12"/>
  <c r="T13246" i="12"/>
  <c r="U13246" i="12"/>
  <c r="T13247" i="12"/>
  <c r="U13247" i="12"/>
  <c r="T13248" i="12"/>
  <c r="U13248" i="12"/>
  <c r="T13249" i="12"/>
  <c r="U13249" i="12"/>
  <c r="T13250" i="12"/>
  <c r="U13250" i="12"/>
  <c r="T13251" i="12"/>
  <c r="U13251" i="12"/>
  <c r="T13252" i="12"/>
  <c r="U13252" i="12"/>
  <c r="T13253" i="12"/>
  <c r="U13253" i="12"/>
  <c r="T13254" i="12"/>
  <c r="U13254" i="12"/>
  <c r="T13255" i="12"/>
  <c r="U13255" i="12"/>
  <c r="T13256" i="12"/>
  <c r="U13256" i="12"/>
  <c r="T13257" i="12"/>
  <c r="U13257" i="12"/>
  <c r="T13258" i="12"/>
  <c r="U13258" i="12"/>
  <c r="T13259" i="12"/>
  <c r="U13259" i="12"/>
  <c r="T13260" i="12"/>
  <c r="U13260" i="12"/>
  <c r="T13261" i="12"/>
  <c r="U13261" i="12"/>
  <c r="T13262" i="12"/>
  <c r="U13262" i="12"/>
  <c r="T13263" i="12"/>
  <c r="U13263" i="12"/>
  <c r="T13264" i="12"/>
  <c r="U13264" i="12"/>
  <c r="T13265" i="12"/>
  <c r="U13265" i="12"/>
  <c r="T13266" i="12"/>
  <c r="U13266" i="12"/>
  <c r="T13267" i="12"/>
  <c r="U13267" i="12"/>
  <c r="T13268" i="12"/>
  <c r="U13268" i="12"/>
  <c r="T13269" i="12"/>
  <c r="U13269" i="12"/>
  <c r="T13270" i="12"/>
  <c r="U13270" i="12"/>
  <c r="T13271" i="12"/>
  <c r="U13271" i="12"/>
  <c r="T13272" i="12"/>
  <c r="U13272" i="12"/>
  <c r="T13273" i="12"/>
  <c r="U13273" i="12"/>
  <c r="T13274" i="12"/>
  <c r="U13274" i="12"/>
  <c r="T13275" i="12"/>
  <c r="U13275" i="12"/>
  <c r="T13276" i="12"/>
  <c r="U13276" i="12"/>
  <c r="T13277" i="12"/>
  <c r="U13277" i="12"/>
  <c r="T13278" i="12"/>
  <c r="U13278" i="12"/>
  <c r="T13279" i="12"/>
  <c r="U13279" i="12"/>
  <c r="T13280" i="12"/>
  <c r="U13280" i="12"/>
  <c r="T13281" i="12"/>
  <c r="U13281" i="12"/>
  <c r="T13282" i="12"/>
  <c r="U13282" i="12"/>
  <c r="T13283" i="12"/>
  <c r="U13283" i="12"/>
  <c r="T13284" i="12"/>
  <c r="U13284" i="12"/>
  <c r="T13285" i="12"/>
  <c r="U13285" i="12"/>
  <c r="T13286" i="12"/>
  <c r="U13286" i="12"/>
  <c r="T13287" i="12"/>
  <c r="U13287" i="12"/>
  <c r="T13288" i="12"/>
  <c r="U13288" i="12"/>
  <c r="T13289" i="12"/>
  <c r="U13289" i="12"/>
  <c r="T13290" i="12"/>
  <c r="U13290" i="12"/>
  <c r="T13291" i="12"/>
  <c r="U13291" i="12"/>
  <c r="T13292" i="12"/>
  <c r="U13292" i="12"/>
  <c r="T13293" i="12"/>
  <c r="U13293" i="12"/>
  <c r="T13294" i="12"/>
  <c r="U13294" i="12"/>
  <c r="T13295" i="12"/>
  <c r="U13295" i="12"/>
  <c r="T13296" i="12"/>
  <c r="U13296" i="12"/>
  <c r="T13297" i="12"/>
  <c r="U13297" i="12"/>
  <c r="T13298" i="12"/>
  <c r="U13298" i="12"/>
  <c r="T13299" i="12"/>
  <c r="U13299" i="12"/>
  <c r="T13300" i="12"/>
  <c r="U13300" i="12"/>
  <c r="T13301" i="12"/>
  <c r="U13301" i="12"/>
  <c r="T13302" i="12"/>
  <c r="U13302" i="12"/>
  <c r="T13303" i="12"/>
  <c r="U13303" i="12"/>
  <c r="T13304" i="12"/>
  <c r="U13304" i="12"/>
  <c r="T13305" i="12"/>
  <c r="U13305" i="12"/>
  <c r="T13306" i="12"/>
  <c r="U13306" i="12"/>
  <c r="T13307" i="12"/>
  <c r="U13307" i="12"/>
  <c r="T13308" i="12"/>
  <c r="U13308" i="12"/>
  <c r="T13309" i="12"/>
  <c r="U13309" i="12"/>
  <c r="T13310" i="12"/>
  <c r="U13310" i="12"/>
  <c r="T13311" i="12"/>
  <c r="U13311" i="12"/>
  <c r="T13312" i="12"/>
  <c r="U13312" i="12"/>
  <c r="T13313" i="12"/>
  <c r="U13313" i="12"/>
  <c r="T13314" i="12"/>
  <c r="U13314" i="12"/>
  <c r="T13315" i="12"/>
  <c r="U13315" i="12"/>
  <c r="T13316" i="12"/>
  <c r="U13316" i="12"/>
  <c r="T13317" i="12"/>
  <c r="U13317" i="12"/>
  <c r="T13318" i="12"/>
  <c r="U13318" i="12"/>
  <c r="T13319" i="12"/>
  <c r="U13319" i="12"/>
  <c r="T13320" i="12"/>
  <c r="U13320" i="12"/>
  <c r="T13321" i="12"/>
  <c r="U13321" i="12"/>
  <c r="T13322" i="12"/>
  <c r="U13322" i="12"/>
  <c r="T13323" i="12"/>
  <c r="U13323" i="12"/>
  <c r="T13324" i="12"/>
  <c r="U13324" i="12"/>
  <c r="T13325" i="12"/>
  <c r="U13325" i="12"/>
  <c r="T13326" i="12"/>
  <c r="U13326" i="12"/>
  <c r="T13327" i="12"/>
  <c r="U13327" i="12"/>
  <c r="T13328" i="12"/>
  <c r="U13328" i="12"/>
  <c r="T13329" i="12"/>
  <c r="U13329" i="12"/>
  <c r="T13330" i="12"/>
  <c r="U13330" i="12"/>
  <c r="T13331" i="12"/>
  <c r="U13331" i="12"/>
  <c r="T13332" i="12"/>
  <c r="U13332" i="12"/>
  <c r="T13333" i="12"/>
  <c r="U13333" i="12"/>
  <c r="T13334" i="12"/>
  <c r="U13334" i="12"/>
  <c r="T13335" i="12"/>
  <c r="U13335" i="12"/>
  <c r="T13336" i="12"/>
  <c r="U13336" i="12"/>
  <c r="T13337" i="12"/>
  <c r="U13337" i="12"/>
  <c r="T13338" i="12"/>
  <c r="U13338" i="12"/>
  <c r="T13339" i="12"/>
  <c r="U13339" i="12"/>
  <c r="T13340" i="12"/>
  <c r="U13340" i="12"/>
  <c r="T13341" i="12"/>
  <c r="U13341" i="12"/>
  <c r="T13342" i="12"/>
  <c r="U13342" i="12"/>
  <c r="T13343" i="12"/>
  <c r="U13343" i="12"/>
  <c r="T13344" i="12"/>
  <c r="U13344" i="12"/>
  <c r="T13345" i="12"/>
  <c r="U13345" i="12"/>
  <c r="T13346" i="12"/>
  <c r="U13346" i="12"/>
  <c r="T13347" i="12"/>
  <c r="U13347" i="12"/>
  <c r="T13348" i="12"/>
  <c r="U13348" i="12"/>
  <c r="T13349" i="12"/>
  <c r="U13349" i="12"/>
  <c r="T13350" i="12"/>
  <c r="U13350" i="12"/>
  <c r="T13351" i="12"/>
  <c r="U13351" i="12"/>
  <c r="T13352" i="12"/>
  <c r="U13352" i="12"/>
  <c r="T13353" i="12"/>
  <c r="U13353" i="12"/>
  <c r="T13354" i="12"/>
  <c r="U13354" i="12"/>
  <c r="T13355" i="12"/>
  <c r="U13355" i="12"/>
  <c r="T13356" i="12"/>
  <c r="U13356" i="12"/>
  <c r="T13357" i="12"/>
  <c r="U13357" i="12"/>
  <c r="T13358" i="12"/>
  <c r="U13358" i="12"/>
  <c r="T13359" i="12"/>
  <c r="U13359" i="12"/>
  <c r="T13360" i="12"/>
  <c r="U13360" i="12"/>
  <c r="T13361" i="12"/>
  <c r="U13361" i="12"/>
  <c r="T13362" i="12"/>
  <c r="U13362" i="12"/>
  <c r="T13363" i="12"/>
  <c r="U13363" i="12"/>
  <c r="T13364" i="12"/>
  <c r="U13364" i="12"/>
  <c r="T13365" i="12"/>
  <c r="U13365" i="12"/>
  <c r="T13366" i="12"/>
  <c r="U13366" i="12"/>
  <c r="T13367" i="12"/>
  <c r="U13367" i="12"/>
  <c r="T13368" i="12"/>
  <c r="U13368" i="12"/>
  <c r="T13369" i="12"/>
  <c r="U13369" i="12"/>
  <c r="T13370" i="12"/>
  <c r="U13370" i="12"/>
  <c r="T13371" i="12"/>
  <c r="U13371" i="12"/>
  <c r="T13372" i="12"/>
  <c r="U13372" i="12"/>
  <c r="T13373" i="12"/>
  <c r="U13373" i="12"/>
  <c r="T13374" i="12"/>
  <c r="U13374" i="12"/>
  <c r="T13375" i="12"/>
  <c r="U13375" i="12"/>
  <c r="T13376" i="12"/>
  <c r="U13376" i="12"/>
  <c r="T13377" i="12"/>
  <c r="U13377" i="12"/>
  <c r="T13378" i="12"/>
  <c r="U13378" i="12"/>
  <c r="T13379" i="12"/>
  <c r="U13379" i="12"/>
  <c r="T13380" i="12"/>
  <c r="U13380" i="12"/>
  <c r="T13381" i="12"/>
  <c r="U13381" i="12"/>
  <c r="T13382" i="12"/>
  <c r="U13382" i="12"/>
  <c r="T13383" i="12"/>
  <c r="U13383" i="12"/>
  <c r="T13384" i="12"/>
  <c r="U13384" i="12"/>
  <c r="T13385" i="12"/>
  <c r="U13385" i="12"/>
  <c r="T13386" i="12"/>
  <c r="U13386" i="12"/>
  <c r="T13387" i="12"/>
  <c r="U13387" i="12"/>
  <c r="T13388" i="12"/>
  <c r="U13388" i="12"/>
  <c r="T13389" i="12"/>
  <c r="U13389" i="12"/>
  <c r="T13390" i="12"/>
  <c r="U13390" i="12"/>
  <c r="T13391" i="12"/>
  <c r="U13391" i="12"/>
  <c r="T13392" i="12"/>
  <c r="U13392" i="12"/>
  <c r="T13393" i="12"/>
  <c r="U13393" i="12"/>
  <c r="T13394" i="12"/>
  <c r="U13394" i="12"/>
  <c r="T13395" i="12"/>
  <c r="U13395" i="12"/>
  <c r="T13396" i="12"/>
  <c r="U13396" i="12"/>
  <c r="T13397" i="12"/>
  <c r="U13397" i="12"/>
  <c r="T13398" i="12"/>
  <c r="U13398" i="12"/>
  <c r="T13399" i="12"/>
  <c r="U13399" i="12"/>
  <c r="T13400" i="12"/>
  <c r="U13400" i="12"/>
  <c r="T13401" i="12"/>
  <c r="U13401" i="12"/>
  <c r="T13402" i="12"/>
  <c r="U13402" i="12"/>
  <c r="T13403" i="12"/>
  <c r="U13403" i="12"/>
  <c r="T13404" i="12"/>
  <c r="U13404" i="12"/>
  <c r="T13405" i="12"/>
  <c r="U13405" i="12"/>
  <c r="T13406" i="12"/>
  <c r="U13406" i="12"/>
  <c r="T13407" i="12"/>
  <c r="U13407" i="12"/>
  <c r="T13408" i="12"/>
  <c r="U13408" i="12"/>
  <c r="T13409" i="12"/>
  <c r="U13409" i="12"/>
  <c r="T13410" i="12"/>
  <c r="U13410" i="12"/>
  <c r="T13411" i="12"/>
  <c r="U13411" i="12"/>
  <c r="T13412" i="12"/>
  <c r="U13412" i="12"/>
  <c r="T13413" i="12"/>
  <c r="U13413" i="12"/>
  <c r="T13414" i="12"/>
  <c r="U13414" i="12"/>
  <c r="T13415" i="12"/>
  <c r="U13415" i="12"/>
  <c r="T13416" i="12"/>
  <c r="U13416" i="12"/>
  <c r="T13417" i="12"/>
  <c r="U13417" i="12"/>
  <c r="T13418" i="12"/>
  <c r="U13418" i="12"/>
  <c r="T13419" i="12"/>
  <c r="U13419" i="12"/>
  <c r="T13420" i="12"/>
  <c r="U13420" i="12"/>
  <c r="T13421" i="12"/>
  <c r="U13421" i="12"/>
  <c r="T13422" i="12"/>
  <c r="U13422" i="12"/>
  <c r="T13423" i="12"/>
  <c r="U13423" i="12"/>
  <c r="T13424" i="12"/>
  <c r="U13424" i="12"/>
  <c r="T13425" i="12"/>
  <c r="U13425" i="12"/>
  <c r="T13426" i="12"/>
  <c r="U13426" i="12"/>
  <c r="T13427" i="12"/>
  <c r="U13427" i="12"/>
  <c r="T13428" i="12"/>
  <c r="U13428" i="12"/>
  <c r="T13429" i="12"/>
  <c r="U13429" i="12"/>
  <c r="T13430" i="12"/>
  <c r="U13430" i="12"/>
  <c r="T13431" i="12"/>
  <c r="U13431" i="12"/>
  <c r="T13432" i="12"/>
  <c r="U13432" i="12"/>
  <c r="T13433" i="12"/>
  <c r="U13433" i="12"/>
  <c r="T13434" i="12"/>
  <c r="U13434" i="12"/>
  <c r="T13435" i="12"/>
  <c r="U13435" i="12"/>
  <c r="T13436" i="12"/>
  <c r="U13436" i="12"/>
  <c r="T13437" i="12"/>
  <c r="U13437" i="12"/>
  <c r="T13438" i="12"/>
  <c r="U13438" i="12"/>
  <c r="T13439" i="12"/>
  <c r="U13439" i="12"/>
  <c r="T13440" i="12"/>
  <c r="U13440" i="12"/>
  <c r="T13441" i="12"/>
  <c r="U13441" i="12"/>
  <c r="T13442" i="12"/>
  <c r="U13442" i="12"/>
  <c r="T13443" i="12"/>
  <c r="U13443" i="12"/>
  <c r="T13444" i="12"/>
  <c r="U13444" i="12"/>
  <c r="T13445" i="12"/>
  <c r="U13445" i="12"/>
  <c r="T13446" i="12"/>
  <c r="U13446" i="12"/>
  <c r="T13447" i="12"/>
  <c r="U13447" i="12"/>
  <c r="T13448" i="12"/>
  <c r="U13448" i="12"/>
  <c r="T13449" i="12"/>
  <c r="U13449" i="12"/>
  <c r="T13450" i="12"/>
  <c r="U13450" i="12"/>
  <c r="T13451" i="12"/>
  <c r="U13451" i="12"/>
  <c r="T13452" i="12"/>
  <c r="U13452" i="12"/>
  <c r="T13453" i="12"/>
  <c r="U13453" i="12"/>
  <c r="T13454" i="12"/>
  <c r="U13454" i="12"/>
  <c r="T13455" i="12"/>
  <c r="U13455" i="12"/>
  <c r="T13456" i="12"/>
  <c r="U13456" i="12"/>
  <c r="T13457" i="12"/>
  <c r="U13457" i="12"/>
  <c r="T13458" i="12"/>
  <c r="U13458" i="12"/>
  <c r="T13459" i="12"/>
  <c r="U13459" i="12"/>
  <c r="T13460" i="12"/>
  <c r="U13460" i="12"/>
  <c r="T13461" i="12"/>
  <c r="U13461" i="12"/>
  <c r="T13462" i="12"/>
  <c r="U13462" i="12"/>
  <c r="T13463" i="12"/>
  <c r="U13463" i="12"/>
  <c r="T13464" i="12"/>
  <c r="U13464" i="12"/>
  <c r="T13465" i="12"/>
  <c r="U13465" i="12"/>
  <c r="T13466" i="12"/>
  <c r="U13466" i="12"/>
  <c r="T13467" i="12"/>
  <c r="U13467" i="12"/>
  <c r="T13468" i="12"/>
  <c r="U13468" i="12"/>
  <c r="T13469" i="12"/>
  <c r="U13469" i="12"/>
  <c r="T13470" i="12"/>
  <c r="U13470" i="12"/>
  <c r="T13471" i="12"/>
  <c r="U13471" i="12"/>
  <c r="T13472" i="12"/>
  <c r="U13472" i="12"/>
  <c r="T13473" i="12"/>
  <c r="U13473" i="12"/>
  <c r="T13474" i="12"/>
  <c r="U13474" i="12"/>
  <c r="T13475" i="12"/>
  <c r="U13475" i="12"/>
  <c r="T13476" i="12"/>
  <c r="U13476" i="12"/>
  <c r="T13477" i="12"/>
  <c r="U13477" i="12"/>
  <c r="T13478" i="12"/>
  <c r="U13478" i="12"/>
  <c r="T13479" i="12"/>
  <c r="U13479" i="12"/>
  <c r="T13480" i="12"/>
  <c r="U13480" i="12"/>
  <c r="T13481" i="12"/>
  <c r="U13481" i="12"/>
  <c r="T13482" i="12"/>
  <c r="U13482" i="12"/>
  <c r="T13483" i="12"/>
  <c r="U13483" i="12"/>
  <c r="T13484" i="12"/>
  <c r="U13484" i="12"/>
  <c r="T13485" i="12"/>
  <c r="U13485" i="12"/>
  <c r="T13486" i="12"/>
  <c r="U13486" i="12"/>
  <c r="T13487" i="12"/>
  <c r="U13487" i="12"/>
  <c r="T13488" i="12"/>
  <c r="U13488" i="12"/>
  <c r="T13489" i="12"/>
  <c r="U13489" i="12"/>
  <c r="T13490" i="12"/>
  <c r="U13490" i="12"/>
  <c r="T13491" i="12"/>
  <c r="U13491" i="12"/>
  <c r="T13492" i="12"/>
  <c r="U13492" i="12"/>
  <c r="T13493" i="12"/>
  <c r="U13493" i="12"/>
  <c r="T13494" i="12"/>
  <c r="U13494" i="12"/>
  <c r="T13495" i="12"/>
  <c r="U13495" i="12"/>
  <c r="T13496" i="12"/>
  <c r="U13496" i="12"/>
  <c r="T13497" i="12"/>
  <c r="U13497" i="12"/>
  <c r="T13498" i="12"/>
  <c r="U13498" i="12"/>
  <c r="T13499" i="12"/>
  <c r="U13499" i="12"/>
  <c r="T13500" i="12"/>
  <c r="U13500" i="12"/>
  <c r="T13501" i="12"/>
  <c r="U13501" i="12"/>
  <c r="T13502" i="12"/>
  <c r="U13502" i="12"/>
  <c r="T13503" i="12"/>
  <c r="U13503" i="12"/>
  <c r="T13504" i="12"/>
  <c r="U13504" i="12"/>
  <c r="T13505" i="12"/>
  <c r="U13505" i="12"/>
  <c r="T13506" i="12"/>
  <c r="U13506" i="12"/>
  <c r="T13507" i="12"/>
  <c r="U13507" i="12"/>
  <c r="T13508" i="12"/>
  <c r="U13508" i="12"/>
  <c r="T13509" i="12"/>
  <c r="U13509" i="12"/>
  <c r="T13510" i="12"/>
  <c r="U13510" i="12"/>
  <c r="T13511" i="12"/>
  <c r="U13511" i="12"/>
  <c r="T13512" i="12"/>
  <c r="U13512" i="12"/>
  <c r="T13513" i="12"/>
  <c r="U13513" i="12"/>
  <c r="T13514" i="12"/>
  <c r="U13514" i="12"/>
  <c r="T13515" i="12"/>
  <c r="U13515" i="12"/>
  <c r="T13516" i="12"/>
  <c r="U13516" i="12"/>
  <c r="T13517" i="12"/>
  <c r="U13517" i="12"/>
  <c r="T13518" i="12"/>
  <c r="U13518" i="12"/>
  <c r="T13519" i="12"/>
  <c r="U13519" i="12"/>
  <c r="T13520" i="12"/>
  <c r="U13520" i="12"/>
  <c r="T13521" i="12"/>
  <c r="U13521" i="12"/>
  <c r="T13522" i="12"/>
  <c r="U13522" i="12"/>
  <c r="T13523" i="12"/>
  <c r="U13523" i="12"/>
  <c r="T13524" i="12"/>
  <c r="U13524" i="12"/>
  <c r="T13525" i="12"/>
  <c r="U13525" i="12"/>
  <c r="T13526" i="12"/>
  <c r="U13526" i="12"/>
  <c r="T13527" i="12"/>
  <c r="U13527" i="12"/>
  <c r="T13528" i="12"/>
  <c r="U13528" i="12"/>
  <c r="T13529" i="12"/>
  <c r="U13529" i="12"/>
  <c r="T13530" i="12"/>
  <c r="U13530" i="12"/>
  <c r="T13531" i="12"/>
  <c r="U13531" i="12"/>
  <c r="T13532" i="12"/>
  <c r="U13532" i="12"/>
  <c r="T13533" i="12"/>
  <c r="U13533" i="12"/>
  <c r="T13534" i="12"/>
  <c r="U13534" i="12"/>
  <c r="T13535" i="12"/>
  <c r="U13535" i="12"/>
  <c r="T13536" i="12"/>
  <c r="U13536" i="12"/>
  <c r="T13537" i="12"/>
  <c r="U13537" i="12"/>
  <c r="T13538" i="12"/>
  <c r="U13538" i="12"/>
  <c r="T13539" i="12"/>
  <c r="U13539" i="12"/>
  <c r="T13540" i="12"/>
  <c r="U13540" i="12"/>
  <c r="T13541" i="12"/>
  <c r="U13541" i="12"/>
  <c r="T13542" i="12"/>
  <c r="U13542" i="12"/>
  <c r="T13543" i="12"/>
  <c r="U13543" i="12"/>
  <c r="T13544" i="12"/>
  <c r="U13544" i="12"/>
  <c r="T13545" i="12"/>
  <c r="U13545" i="12"/>
  <c r="T13546" i="12"/>
  <c r="U13546" i="12"/>
  <c r="T13547" i="12"/>
  <c r="U13547" i="12"/>
  <c r="T13548" i="12"/>
  <c r="U13548" i="12"/>
  <c r="T13549" i="12"/>
  <c r="U13549" i="12"/>
  <c r="T13550" i="12"/>
  <c r="U13550" i="12"/>
  <c r="T13551" i="12"/>
  <c r="U13551" i="12"/>
  <c r="T13552" i="12"/>
  <c r="U13552" i="12"/>
  <c r="T13553" i="12"/>
  <c r="U13553" i="12"/>
  <c r="T13554" i="12"/>
  <c r="U13554" i="12"/>
  <c r="T13555" i="12"/>
  <c r="U13555" i="12"/>
  <c r="T13556" i="12"/>
  <c r="U13556" i="12"/>
  <c r="T13557" i="12"/>
  <c r="U13557" i="12"/>
  <c r="T13558" i="12"/>
  <c r="U13558" i="12"/>
  <c r="T13559" i="12"/>
  <c r="U13559" i="12"/>
  <c r="T13560" i="12"/>
  <c r="U13560" i="12"/>
  <c r="T13561" i="12"/>
  <c r="U13561" i="12"/>
  <c r="T13562" i="12"/>
  <c r="U13562" i="12"/>
  <c r="T13563" i="12"/>
  <c r="U13563" i="12"/>
  <c r="T13564" i="12"/>
  <c r="U13564" i="12"/>
  <c r="T13565" i="12"/>
  <c r="U13565" i="12"/>
  <c r="T13566" i="12"/>
  <c r="U13566" i="12"/>
  <c r="T13567" i="12"/>
  <c r="U13567" i="12"/>
  <c r="T13568" i="12"/>
  <c r="U13568" i="12"/>
  <c r="T13569" i="12"/>
  <c r="U13569" i="12"/>
  <c r="T13570" i="12"/>
  <c r="U13570" i="12"/>
  <c r="T13571" i="12"/>
  <c r="U13571" i="12"/>
  <c r="T13572" i="12"/>
  <c r="U13572" i="12"/>
  <c r="T13573" i="12"/>
  <c r="U13573" i="12"/>
  <c r="T13574" i="12"/>
  <c r="U13574" i="12"/>
  <c r="T13575" i="12"/>
  <c r="U13575" i="12"/>
  <c r="T13576" i="12"/>
  <c r="U13576" i="12"/>
  <c r="T13577" i="12"/>
  <c r="U13577" i="12"/>
  <c r="T13578" i="12"/>
  <c r="U13578" i="12"/>
  <c r="T13579" i="12"/>
  <c r="U13579" i="12"/>
  <c r="T13580" i="12"/>
  <c r="U13580" i="12"/>
  <c r="T13581" i="12"/>
  <c r="U13581" i="12"/>
  <c r="T13582" i="12"/>
  <c r="U13582" i="12"/>
  <c r="T13583" i="12"/>
  <c r="U13583" i="12"/>
  <c r="T13584" i="12"/>
  <c r="U13584" i="12"/>
  <c r="T13585" i="12"/>
  <c r="U13585" i="12"/>
  <c r="T13586" i="12"/>
  <c r="U13586" i="12"/>
  <c r="T13587" i="12"/>
  <c r="U13587" i="12"/>
  <c r="T13588" i="12"/>
  <c r="U13588" i="12"/>
  <c r="T13589" i="12"/>
  <c r="U13589" i="12"/>
  <c r="T13590" i="12"/>
  <c r="U13590" i="12"/>
  <c r="T13591" i="12"/>
  <c r="U13591" i="12"/>
  <c r="T13592" i="12"/>
  <c r="U13592" i="12"/>
  <c r="T13593" i="12"/>
  <c r="U13593" i="12"/>
  <c r="T13594" i="12"/>
  <c r="U13594" i="12"/>
  <c r="T13595" i="12"/>
  <c r="U13595" i="12"/>
  <c r="T13596" i="12"/>
  <c r="U13596" i="12"/>
  <c r="T13597" i="12"/>
  <c r="U13597" i="12"/>
  <c r="T13598" i="12"/>
  <c r="U13598" i="12"/>
  <c r="T13599" i="12"/>
  <c r="U13599" i="12"/>
  <c r="T13600" i="12"/>
  <c r="U13600" i="12"/>
  <c r="T13601" i="12"/>
  <c r="U13601" i="12"/>
  <c r="T13602" i="12"/>
  <c r="U13602" i="12"/>
  <c r="T13603" i="12"/>
  <c r="U13603" i="12"/>
  <c r="T13604" i="12"/>
  <c r="U13604" i="12"/>
  <c r="T13605" i="12"/>
  <c r="U13605" i="12"/>
  <c r="T13606" i="12"/>
  <c r="U13606" i="12"/>
  <c r="T13607" i="12"/>
  <c r="U13607" i="12"/>
  <c r="T13608" i="12"/>
  <c r="U13608" i="12"/>
  <c r="T13609" i="12"/>
  <c r="U13609" i="12"/>
  <c r="T13610" i="12"/>
  <c r="U13610" i="12"/>
  <c r="T13611" i="12"/>
  <c r="U13611" i="12"/>
  <c r="T13612" i="12"/>
  <c r="U13612" i="12"/>
  <c r="T13613" i="12"/>
  <c r="U13613" i="12"/>
  <c r="T13614" i="12"/>
  <c r="U13614" i="12"/>
  <c r="T13615" i="12"/>
  <c r="U13615" i="12"/>
  <c r="T13616" i="12"/>
  <c r="U13616" i="12"/>
  <c r="T13617" i="12"/>
  <c r="U13617" i="12"/>
  <c r="T13618" i="12"/>
  <c r="U13618" i="12"/>
  <c r="T13619" i="12"/>
  <c r="U13619" i="12"/>
  <c r="T13620" i="12"/>
  <c r="U13620" i="12"/>
  <c r="T13621" i="12"/>
  <c r="U13621" i="12"/>
  <c r="T13622" i="12"/>
  <c r="U13622" i="12"/>
  <c r="T13623" i="12"/>
  <c r="U13623" i="12"/>
  <c r="T13624" i="12"/>
  <c r="U13624" i="12"/>
  <c r="T13625" i="12"/>
  <c r="U13625" i="12"/>
  <c r="T13626" i="12"/>
  <c r="U13626" i="12"/>
  <c r="T13627" i="12"/>
  <c r="U13627" i="12"/>
  <c r="T13628" i="12"/>
  <c r="U13628" i="12"/>
  <c r="T13629" i="12"/>
  <c r="U13629" i="12"/>
  <c r="T13630" i="12"/>
  <c r="U13630" i="12"/>
  <c r="T13631" i="12"/>
  <c r="U13631" i="12"/>
  <c r="T13632" i="12"/>
  <c r="U13632" i="12"/>
  <c r="T13633" i="12"/>
  <c r="U13633" i="12"/>
  <c r="T13634" i="12"/>
  <c r="U13634" i="12"/>
  <c r="T13635" i="12"/>
  <c r="U13635" i="12"/>
  <c r="T13636" i="12"/>
  <c r="U13636" i="12"/>
  <c r="T13637" i="12"/>
  <c r="U13637" i="12"/>
  <c r="T13638" i="12"/>
  <c r="U13638" i="12"/>
  <c r="T13639" i="12"/>
  <c r="U13639" i="12"/>
  <c r="T13640" i="12"/>
  <c r="U13640" i="12"/>
  <c r="T13641" i="12"/>
  <c r="U13641" i="12"/>
  <c r="T13642" i="12"/>
  <c r="U13642" i="12"/>
  <c r="T13643" i="12"/>
  <c r="U13643" i="12"/>
  <c r="T13644" i="12"/>
  <c r="U13644" i="12"/>
  <c r="T13645" i="12"/>
  <c r="U13645" i="12"/>
  <c r="T13646" i="12"/>
  <c r="U13646" i="12"/>
  <c r="T13647" i="12"/>
  <c r="U13647" i="12"/>
  <c r="T13648" i="12"/>
  <c r="U13648" i="12"/>
  <c r="T13649" i="12"/>
  <c r="U13649" i="12"/>
  <c r="T13650" i="12"/>
  <c r="U13650" i="12"/>
  <c r="T13651" i="12"/>
  <c r="U13651" i="12"/>
  <c r="T13652" i="12"/>
  <c r="U13652" i="12"/>
  <c r="T13653" i="12"/>
  <c r="U13653" i="12"/>
  <c r="T13654" i="12"/>
  <c r="U13654" i="12"/>
  <c r="T13655" i="12"/>
  <c r="U13655" i="12"/>
  <c r="T13656" i="12"/>
  <c r="U13656" i="12"/>
  <c r="T13657" i="12"/>
  <c r="U13657" i="12"/>
  <c r="T13658" i="12"/>
  <c r="U13658" i="12"/>
  <c r="T13659" i="12"/>
  <c r="U13659" i="12"/>
  <c r="T13660" i="12"/>
  <c r="U13660" i="12"/>
  <c r="T13661" i="12"/>
  <c r="U13661" i="12"/>
  <c r="T13662" i="12"/>
  <c r="U13662" i="12"/>
  <c r="T13663" i="12"/>
  <c r="U13663" i="12"/>
  <c r="T13664" i="12"/>
  <c r="U13664" i="12"/>
  <c r="T13665" i="12"/>
  <c r="U13665" i="12"/>
  <c r="T13666" i="12"/>
  <c r="U13666" i="12"/>
  <c r="T13667" i="12"/>
  <c r="U13667" i="12"/>
  <c r="T13668" i="12"/>
  <c r="U13668" i="12"/>
  <c r="T13669" i="12"/>
  <c r="U13669" i="12"/>
  <c r="T13670" i="12"/>
  <c r="U13670" i="12"/>
  <c r="T13671" i="12"/>
  <c r="U13671" i="12"/>
  <c r="T13672" i="12"/>
  <c r="U13672" i="12"/>
  <c r="T13673" i="12"/>
  <c r="U13673" i="12"/>
  <c r="T13674" i="12"/>
  <c r="U13674" i="12"/>
  <c r="T13675" i="12"/>
  <c r="U13675" i="12"/>
  <c r="T13676" i="12"/>
  <c r="U13676" i="12"/>
  <c r="T13677" i="12"/>
  <c r="U13677" i="12"/>
  <c r="T13678" i="12"/>
  <c r="U13678" i="12"/>
  <c r="T13679" i="12"/>
  <c r="U13679" i="12"/>
  <c r="T13680" i="12"/>
  <c r="U13680" i="12"/>
  <c r="T13681" i="12"/>
  <c r="U13681" i="12"/>
  <c r="T13682" i="12"/>
  <c r="U13682" i="12"/>
  <c r="T13683" i="12"/>
  <c r="U13683" i="12"/>
  <c r="T13684" i="12"/>
  <c r="U13684" i="12"/>
  <c r="T13685" i="12"/>
  <c r="U13685" i="12"/>
  <c r="T13686" i="12"/>
  <c r="U13686" i="12"/>
  <c r="T13687" i="12"/>
  <c r="U13687" i="12"/>
  <c r="T13688" i="12"/>
  <c r="U13688" i="12"/>
  <c r="T13689" i="12"/>
  <c r="U13689" i="12"/>
  <c r="T13690" i="12"/>
  <c r="U13690" i="12"/>
  <c r="T13691" i="12"/>
  <c r="U13691" i="12"/>
  <c r="T13692" i="12"/>
  <c r="U13692" i="12"/>
  <c r="T13693" i="12"/>
  <c r="U13693" i="12"/>
  <c r="T13694" i="12"/>
  <c r="U13694" i="12"/>
  <c r="T13695" i="12"/>
  <c r="U13695" i="12"/>
  <c r="T13696" i="12"/>
  <c r="U13696" i="12"/>
  <c r="T13697" i="12"/>
  <c r="U13697" i="12"/>
  <c r="T13698" i="12"/>
  <c r="U13698" i="12"/>
  <c r="T13699" i="12"/>
  <c r="U13699" i="12"/>
  <c r="T13700" i="12"/>
  <c r="U13700" i="12"/>
  <c r="T13701" i="12"/>
  <c r="U13701" i="12"/>
  <c r="T13702" i="12"/>
  <c r="U13702" i="12"/>
  <c r="T13703" i="12"/>
  <c r="U13703" i="12"/>
  <c r="T13704" i="12"/>
  <c r="U13704" i="12"/>
  <c r="T13705" i="12"/>
  <c r="U13705" i="12"/>
  <c r="T13706" i="12"/>
  <c r="U13706" i="12"/>
  <c r="T13707" i="12"/>
  <c r="U13707" i="12"/>
  <c r="T13708" i="12"/>
  <c r="U13708" i="12"/>
  <c r="T13709" i="12"/>
  <c r="U13709" i="12"/>
  <c r="T13710" i="12"/>
  <c r="U13710" i="12"/>
  <c r="T13711" i="12"/>
  <c r="U13711" i="12"/>
  <c r="T13712" i="12"/>
  <c r="U13712" i="12"/>
  <c r="T13713" i="12"/>
  <c r="U13713" i="12"/>
  <c r="T13714" i="12"/>
  <c r="U13714" i="12"/>
  <c r="T13715" i="12"/>
  <c r="U13715" i="12"/>
  <c r="T13716" i="12"/>
  <c r="U13716" i="12"/>
  <c r="T13717" i="12"/>
  <c r="U13717" i="12"/>
  <c r="T13718" i="12"/>
  <c r="U13718" i="12"/>
  <c r="T13719" i="12"/>
  <c r="U13719" i="12"/>
  <c r="T13720" i="12"/>
  <c r="U13720" i="12"/>
  <c r="T13721" i="12"/>
  <c r="U13721" i="12"/>
  <c r="T13722" i="12"/>
  <c r="U13722" i="12"/>
  <c r="T13723" i="12"/>
  <c r="U13723" i="12"/>
  <c r="T13724" i="12"/>
  <c r="U13724" i="12"/>
  <c r="T13725" i="12"/>
  <c r="U13725" i="12"/>
  <c r="T13726" i="12"/>
  <c r="U13726" i="12"/>
  <c r="T13727" i="12"/>
  <c r="U13727" i="12"/>
  <c r="T13728" i="12"/>
  <c r="U13728" i="12"/>
  <c r="T13729" i="12"/>
  <c r="U13729" i="12"/>
  <c r="T13730" i="12"/>
  <c r="U13730" i="12"/>
  <c r="T13731" i="12"/>
  <c r="U13731" i="12"/>
  <c r="T13732" i="12"/>
  <c r="U13732" i="12"/>
  <c r="T13733" i="12"/>
  <c r="U13733" i="12"/>
  <c r="T13734" i="12"/>
  <c r="U13734" i="12"/>
  <c r="T13735" i="12"/>
  <c r="U13735" i="12"/>
  <c r="T13736" i="12"/>
  <c r="U13736" i="12"/>
  <c r="T13737" i="12"/>
  <c r="U13737" i="12"/>
  <c r="T13738" i="12"/>
  <c r="U13738" i="12"/>
  <c r="T13739" i="12"/>
  <c r="U13739" i="12"/>
  <c r="T13740" i="12"/>
  <c r="U13740" i="12"/>
  <c r="T13741" i="12"/>
  <c r="U13741" i="12"/>
  <c r="T13742" i="12"/>
  <c r="U13742" i="12"/>
  <c r="T13743" i="12"/>
  <c r="U13743" i="12"/>
  <c r="T13744" i="12"/>
  <c r="U13744" i="12"/>
  <c r="T13745" i="12"/>
  <c r="U13745" i="12"/>
  <c r="T13746" i="12"/>
  <c r="U13746" i="12"/>
  <c r="T13747" i="12"/>
  <c r="U13747" i="12"/>
  <c r="T13748" i="12"/>
  <c r="U13748" i="12"/>
  <c r="T13749" i="12"/>
  <c r="U13749" i="12"/>
  <c r="T13750" i="12"/>
  <c r="U13750" i="12"/>
  <c r="T13751" i="12"/>
  <c r="U13751" i="12"/>
  <c r="T13752" i="12"/>
  <c r="U13752" i="12"/>
  <c r="T13753" i="12"/>
  <c r="U13753" i="12"/>
  <c r="T13754" i="12"/>
  <c r="U13754" i="12"/>
  <c r="T13755" i="12"/>
  <c r="U13755" i="12"/>
  <c r="T13756" i="12"/>
  <c r="U13756" i="12"/>
  <c r="T13757" i="12"/>
  <c r="U13757" i="12"/>
  <c r="T13758" i="12"/>
  <c r="U13758" i="12"/>
  <c r="T13759" i="12"/>
  <c r="U13759" i="12"/>
  <c r="T13760" i="12"/>
  <c r="U13760" i="12"/>
  <c r="T13761" i="12"/>
  <c r="U13761" i="12"/>
  <c r="T13762" i="12"/>
  <c r="U13762" i="12"/>
  <c r="T13763" i="12"/>
  <c r="U13763" i="12"/>
  <c r="T13764" i="12"/>
  <c r="U13764" i="12"/>
  <c r="T13765" i="12"/>
  <c r="U13765" i="12"/>
  <c r="T13766" i="12"/>
  <c r="U13766" i="12"/>
  <c r="T13767" i="12"/>
  <c r="U13767" i="12"/>
  <c r="T13768" i="12"/>
  <c r="U13768" i="12"/>
  <c r="T13769" i="12"/>
  <c r="U13769" i="12"/>
  <c r="T13770" i="12"/>
  <c r="U13770" i="12"/>
  <c r="T13771" i="12"/>
  <c r="U13771" i="12"/>
  <c r="T13772" i="12"/>
  <c r="U13772" i="12"/>
  <c r="T13773" i="12"/>
  <c r="U13773" i="12"/>
  <c r="T13774" i="12"/>
  <c r="U13774" i="12"/>
  <c r="T13775" i="12"/>
  <c r="U13775" i="12"/>
  <c r="T13776" i="12"/>
  <c r="U13776" i="12"/>
  <c r="T13777" i="12"/>
  <c r="U13777" i="12"/>
  <c r="T13778" i="12"/>
  <c r="U13778" i="12"/>
  <c r="T13779" i="12"/>
  <c r="U13779" i="12"/>
  <c r="T13780" i="12"/>
  <c r="U13780" i="12"/>
  <c r="T13781" i="12"/>
  <c r="U13781" i="12"/>
  <c r="T13782" i="12"/>
  <c r="U13782" i="12"/>
  <c r="T13783" i="12"/>
  <c r="U13783" i="12"/>
  <c r="T13784" i="12"/>
  <c r="U13784" i="12"/>
  <c r="T13785" i="12"/>
  <c r="U13785" i="12"/>
  <c r="T13786" i="12"/>
  <c r="U13786" i="12"/>
  <c r="T13787" i="12"/>
  <c r="U13787" i="12"/>
  <c r="T13788" i="12"/>
  <c r="U13788" i="12"/>
  <c r="T13789" i="12"/>
  <c r="U13789" i="12"/>
  <c r="T13790" i="12"/>
  <c r="U13790" i="12"/>
  <c r="T13791" i="12"/>
  <c r="U13791" i="12"/>
  <c r="T13792" i="12"/>
  <c r="U13792" i="12"/>
  <c r="T13793" i="12"/>
  <c r="U13793" i="12"/>
  <c r="T13794" i="12"/>
  <c r="U13794" i="12"/>
  <c r="T13797" i="12"/>
  <c r="U13797" i="12"/>
  <c r="T13798" i="12"/>
  <c r="U13798" i="12"/>
  <c r="T13799" i="12"/>
  <c r="U13799" i="12"/>
  <c r="T13800" i="12"/>
  <c r="U13800" i="12"/>
  <c r="T13801" i="12"/>
  <c r="U13801" i="12"/>
  <c r="U13795" i="12"/>
  <c r="U13796" i="12"/>
  <c r="T13802" i="12"/>
  <c r="U13802" i="12"/>
  <c r="T13803" i="12"/>
  <c r="U13803" i="12"/>
  <c r="T13804" i="12"/>
  <c r="U13804" i="12"/>
  <c r="T13805" i="12"/>
  <c r="U13805" i="12"/>
  <c r="T13806" i="12"/>
  <c r="U13806" i="12"/>
  <c r="T13807" i="12"/>
  <c r="U13807" i="12"/>
  <c r="T13808" i="12"/>
  <c r="U13808" i="12"/>
  <c r="T13809" i="12"/>
  <c r="U13809" i="12"/>
  <c r="T13810" i="12"/>
  <c r="U13810" i="12"/>
  <c r="T13811" i="12"/>
  <c r="U13811" i="12"/>
  <c r="T13812" i="12"/>
  <c r="U13812" i="12"/>
  <c r="T13813" i="12"/>
  <c r="U13813" i="12"/>
  <c r="T13814" i="12"/>
  <c r="U13814" i="12"/>
  <c r="T13815" i="12"/>
  <c r="U13815" i="12"/>
  <c r="T13816" i="12"/>
  <c r="U13816" i="12"/>
  <c r="T13817" i="12"/>
  <c r="U13817" i="12"/>
  <c r="T13818" i="12"/>
  <c r="U13818" i="12"/>
  <c r="T13819" i="12"/>
  <c r="U13819" i="12"/>
  <c r="T13820" i="12"/>
  <c r="U13820" i="12"/>
  <c r="T13821" i="12"/>
  <c r="U13821" i="12"/>
  <c r="T13822" i="12"/>
  <c r="U13822" i="12"/>
  <c r="T13823" i="12"/>
  <c r="U13823" i="12"/>
  <c r="T13824" i="12"/>
  <c r="U13824" i="12"/>
  <c r="T13825" i="12"/>
  <c r="U13825" i="12"/>
  <c r="T13826" i="12"/>
  <c r="U13826" i="12"/>
  <c r="T13827" i="12"/>
  <c r="U13827" i="12"/>
  <c r="T13828" i="12"/>
  <c r="U13828" i="12"/>
  <c r="T13829" i="12"/>
  <c r="U13829" i="12"/>
  <c r="T13830" i="12"/>
  <c r="U13830" i="12"/>
  <c r="T13831" i="12"/>
  <c r="U13831" i="12"/>
  <c r="T13832" i="12"/>
  <c r="U13832" i="12"/>
  <c r="T13833" i="12"/>
  <c r="U13833" i="12"/>
  <c r="T13834" i="12"/>
  <c r="U13834" i="12"/>
  <c r="T13835" i="12"/>
  <c r="U13835" i="12"/>
  <c r="T13836" i="12"/>
  <c r="U13836" i="12"/>
  <c r="T13837" i="12"/>
  <c r="U13837" i="12"/>
  <c r="T13838" i="12"/>
  <c r="U13838" i="12"/>
  <c r="T13839" i="12"/>
  <c r="U13839" i="12"/>
  <c r="T13840" i="12"/>
  <c r="U13840" i="12"/>
  <c r="T13841" i="12"/>
  <c r="U13841" i="12"/>
  <c r="T13842" i="12"/>
  <c r="U13842" i="12"/>
  <c r="T13843" i="12"/>
  <c r="U13843" i="12"/>
  <c r="T13844" i="12"/>
  <c r="U13844" i="12"/>
  <c r="T13845" i="12"/>
  <c r="U13845" i="12"/>
  <c r="T13846" i="12"/>
  <c r="U13846" i="12"/>
  <c r="T13847" i="12"/>
  <c r="U13847" i="12"/>
  <c r="T13848" i="12"/>
  <c r="U13848" i="12"/>
  <c r="T13849" i="12"/>
  <c r="U13849" i="12"/>
  <c r="T13850" i="12"/>
  <c r="U13850" i="12"/>
  <c r="T13851" i="12"/>
  <c r="U13851" i="12"/>
  <c r="T13852" i="12"/>
  <c r="U13852" i="12"/>
  <c r="T13853" i="12"/>
  <c r="U13853" i="12"/>
  <c r="T13854" i="12"/>
  <c r="U13854" i="12"/>
  <c r="T13855" i="12"/>
  <c r="U13855" i="12"/>
  <c r="T13856" i="12"/>
  <c r="U13856" i="12"/>
  <c r="T13857" i="12"/>
  <c r="U13857" i="12"/>
  <c r="T13858" i="12"/>
  <c r="U13858" i="12"/>
  <c r="T13859" i="12"/>
  <c r="U13859" i="12"/>
  <c r="T13860" i="12"/>
  <c r="U13860" i="12"/>
  <c r="T13861" i="12"/>
  <c r="U13861" i="12"/>
  <c r="T13862" i="12"/>
  <c r="U13862" i="12"/>
  <c r="T13863" i="12"/>
  <c r="U13863" i="12"/>
  <c r="T13864" i="12"/>
  <c r="U13864" i="12"/>
  <c r="T13865" i="12"/>
  <c r="U13865" i="12"/>
  <c r="T13866" i="12"/>
  <c r="U13866" i="12"/>
  <c r="T13867" i="12"/>
  <c r="U13867" i="12"/>
  <c r="T13868" i="12"/>
  <c r="U13868" i="12"/>
  <c r="T13869" i="12"/>
  <c r="U13869" i="12"/>
  <c r="T13870" i="12"/>
  <c r="U13870" i="12"/>
  <c r="T13871" i="12"/>
  <c r="U13871" i="12"/>
  <c r="T13872" i="12"/>
  <c r="U13872" i="12"/>
  <c r="T13873" i="12"/>
  <c r="U13873" i="12"/>
  <c r="T13874" i="12"/>
  <c r="U13874" i="12"/>
  <c r="T13875" i="12"/>
  <c r="U13875" i="12"/>
  <c r="T13876" i="12"/>
  <c r="U13876" i="12"/>
  <c r="T13877" i="12"/>
  <c r="U13877" i="12"/>
  <c r="T13878" i="12"/>
  <c r="U13878" i="12"/>
  <c r="T13879" i="12"/>
  <c r="U13879" i="12"/>
  <c r="T13880" i="12"/>
  <c r="U13880" i="12"/>
  <c r="T13881" i="12"/>
  <c r="U13881" i="12"/>
  <c r="T13882" i="12"/>
  <c r="U13882" i="12"/>
  <c r="T13883" i="12"/>
  <c r="U13883" i="12"/>
  <c r="T13884" i="12"/>
  <c r="U13884" i="12"/>
  <c r="T13885" i="12"/>
  <c r="U13885" i="12"/>
  <c r="T13886" i="12"/>
  <c r="U13886" i="12"/>
  <c r="T13887" i="12"/>
  <c r="U13887" i="12"/>
  <c r="T13888" i="12"/>
  <c r="U13888" i="12"/>
  <c r="T13889" i="12"/>
  <c r="U13889" i="12"/>
  <c r="T13890" i="12"/>
  <c r="U13890" i="12"/>
  <c r="T13891" i="12"/>
  <c r="U13891" i="12"/>
  <c r="T13892" i="12"/>
  <c r="U13892" i="12"/>
  <c r="T13893" i="12"/>
  <c r="U13893" i="12"/>
  <c r="T13894" i="12"/>
  <c r="U13894" i="12"/>
  <c r="T13895" i="12"/>
  <c r="U13895" i="12"/>
  <c r="T13896" i="12"/>
  <c r="U13896" i="12"/>
  <c r="T13897" i="12"/>
  <c r="U13897" i="12"/>
  <c r="T13898" i="12"/>
  <c r="U13898" i="12"/>
  <c r="T13899" i="12"/>
  <c r="U13899" i="12"/>
  <c r="T13900" i="12"/>
  <c r="U13900" i="12"/>
  <c r="T13901" i="12"/>
  <c r="U13901" i="12"/>
  <c r="T13902" i="12"/>
  <c r="U13902" i="12"/>
  <c r="T13903" i="12"/>
  <c r="U13903" i="12"/>
  <c r="T13904" i="12"/>
  <c r="U13904" i="12"/>
  <c r="T13905" i="12"/>
  <c r="U13905" i="12"/>
  <c r="T13906" i="12"/>
  <c r="U13906" i="12"/>
  <c r="T13907" i="12"/>
  <c r="U13907" i="12"/>
  <c r="T13908" i="12"/>
  <c r="U13908" i="12"/>
  <c r="T13909" i="12"/>
  <c r="U13909" i="12"/>
  <c r="T13910" i="12"/>
  <c r="U13910" i="12"/>
  <c r="T13911" i="12"/>
  <c r="U13911" i="12"/>
  <c r="T13912" i="12"/>
  <c r="U13912" i="12"/>
  <c r="T13913" i="12"/>
  <c r="U13913" i="12"/>
  <c r="T13914" i="12"/>
  <c r="U13914" i="12"/>
  <c r="T13915" i="12"/>
  <c r="U13915" i="12"/>
  <c r="T13916" i="12"/>
  <c r="U13916" i="12"/>
  <c r="T13917" i="12"/>
  <c r="U13917" i="12"/>
  <c r="T13918" i="12"/>
  <c r="U13918" i="12"/>
  <c r="T13919" i="12"/>
  <c r="U13919" i="12"/>
  <c r="T13920" i="12"/>
  <c r="U13920" i="12"/>
  <c r="T13921" i="12"/>
  <c r="U13921" i="12"/>
  <c r="T13922" i="12"/>
  <c r="U13922" i="12"/>
  <c r="T13923" i="12"/>
  <c r="U13923" i="12"/>
  <c r="T13924" i="12"/>
  <c r="U13924" i="12"/>
  <c r="T13925" i="12"/>
  <c r="U13925" i="12"/>
  <c r="T13926" i="12"/>
  <c r="U13926" i="12"/>
  <c r="T13927" i="12"/>
  <c r="U13927" i="12"/>
  <c r="T13928" i="12"/>
  <c r="U13928" i="12"/>
  <c r="T13929" i="12"/>
  <c r="U13929" i="12"/>
  <c r="T13930" i="12"/>
  <c r="U13930" i="12"/>
  <c r="T13931" i="12"/>
  <c r="U13931" i="12"/>
  <c r="T13932" i="12"/>
  <c r="U13932" i="12"/>
  <c r="T13933" i="12"/>
  <c r="U13933" i="12"/>
  <c r="T13934" i="12"/>
  <c r="U13934" i="12"/>
  <c r="T13935" i="12"/>
  <c r="U13935" i="12"/>
  <c r="T13936" i="12"/>
  <c r="U13936" i="12"/>
  <c r="T13937" i="12"/>
  <c r="U13937" i="12"/>
  <c r="T13938" i="12"/>
  <c r="U13938" i="12"/>
  <c r="T13939" i="12"/>
  <c r="U13939" i="12"/>
  <c r="T13940" i="12"/>
  <c r="U13940" i="12"/>
  <c r="T13941" i="12"/>
  <c r="U13941" i="12"/>
  <c r="T13942" i="12"/>
  <c r="U13942" i="12"/>
  <c r="T13943" i="12"/>
  <c r="U13943" i="12"/>
  <c r="T13944" i="12"/>
  <c r="U13944" i="12"/>
  <c r="T13945" i="12"/>
  <c r="U13945" i="12"/>
  <c r="T13946" i="12"/>
  <c r="U13946" i="12"/>
  <c r="T13947" i="12"/>
  <c r="U13947" i="12"/>
  <c r="T13948" i="12"/>
  <c r="U13948" i="12"/>
  <c r="T13949" i="12"/>
  <c r="U13949" i="12"/>
  <c r="T13950" i="12"/>
  <c r="U13950" i="12"/>
  <c r="T13951" i="12"/>
  <c r="U13951" i="12"/>
  <c r="T13952" i="12"/>
  <c r="U13952" i="12"/>
  <c r="T13953" i="12"/>
  <c r="U13953" i="12"/>
  <c r="T13954" i="12"/>
  <c r="U13954" i="12"/>
  <c r="T13955" i="12"/>
  <c r="U13955" i="12"/>
  <c r="T13956" i="12"/>
  <c r="U13956" i="12"/>
  <c r="T13957" i="12"/>
  <c r="U13957" i="12"/>
  <c r="T13958" i="12"/>
  <c r="U13958" i="12"/>
  <c r="T13959" i="12"/>
  <c r="U13959" i="12"/>
  <c r="T13960" i="12"/>
  <c r="U13960" i="12"/>
  <c r="T13961" i="12"/>
  <c r="U13961" i="12"/>
  <c r="T13962" i="12"/>
  <c r="U13962" i="12"/>
  <c r="T13963" i="12"/>
  <c r="U13963" i="12"/>
  <c r="T13964" i="12"/>
  <c r="U13964" i="12"/>
  <c r="T13965" i="12"/>
  <c r="U13965" i="12"/>
  <c r="T13966" i="12"/>
  <c r="U13966" i="12"/>
  <c r="T13967" i="12"/>
  <c r="U13967" i="12"/>
  <c r="T13968" i="12"/>
  <c r="U13968" i="12"/>
  <c r="T13969" i="12"/>
  <c r="U13969" i="12"/>
  <c r="T13970" i="12"/>
  <c r="U13970" i="12"/>
  <c r="T13971" i="12"/>
  <c r="U13971" i="12"/>
  <c r="T13972" i="12"/>
  <c r="U13972" i="12"/>
  <c r="T13973" i="12"/>
  <c r="U13973" i="12"/>
  <c r="T13974" i="12"/>
  <c r="U13974" i="12"/>
  <c r="T13975" i="12"/>
  <c r="U13975" i="12"/>
  <c r="T13976" i="12"/>
  <c r="U13976" i="12"/>
  <c r="T13977" i="12"/>
  <c r="U13977" i="12"/>
  <c r="T13978" i="12"/>
  <c r="U13978" i="12"/>
  <c r="T13979" i="12"/>
  <c r="U13979" i="12"/>
  <c r="T13980" i="12"/>
  <c r="U13980" i="12"/>
  <c r="T13981" i="12"/>
  <c r="U13981" i="12"/>
  <c r="T13982" i="12"/>
  <c r="U13982" i="12"/>
  <c r="T13983" i="12"/>
  <c r="U13983" i="12"/>
  <c r="T13984" i="12"/>
  <c r="U13984" i="12"/>
  <c r="T13985" i="12"/>
  <c r="U13985" i="12"/>
  <c r="T13986" i="12"/>
  <c r="U13986" i="12"/>
  <c r="T13987" i="12"/>
  <c r="U13987" i="12"/>
  <c r="T13988" i="12"/>
  <c r="U13988" i="12"/>
  <c r="T13989" i="12"/>
  <c r="U13989" i="12"/>
  <c r="T13990" i="12"/>
  <c r="U13990" i="12"/>
  <c r="T13991" i="12"/>
  <c r="U13991" i="12"/>
  <c r="T13992" i="12"/>
  <c r="U13992" i="12"/>
  <c r="T13993" i="12"/>
  <c r="U13993" i="12"/>
  <c r="T13994" i="12"/>
  <c r="U13994" i="12"/>
  <c r="T13995" i="12"/>
  <c r="U13995" i="12"/>
  <c r="T13996" i="12"/>
  <c r="U13996" i="12"/>
  <c r="T13997" i="12"/>
  <c r="U13997" i="12"/>
  <c r="T13998" i="12"/>
  <c r="U13998" i="12"/>
  <c r="T13999" i="12"/>
  <c r="U13999" i="12"/>
  <c r="T14000" i="12"/>
  <c r="U14000" i="12"/>
  <c r="T14001" i="12"/>
  <c r="U14001" i="12"/>
  <c r="T14002" i="12"/>
  <c r="U14002" i="12"/>
  <c r="T14003" i="12"/>
  <c r="U14003" i="12"/>
  <c r="T14004" i="12"/>
  <c r="U14004" i="12"/>
  <c r="T14005" i="12"/>
  <c r="U14005" i="12"/>
  <c r="T14006" i="12"/>
  <c r="U14006" i="12"/>
  <c r="T14007" i="12"/>
  <c r="U14007" i="12"/>
  <c r="T14008" i="12"/>
  <c r="U14008" i="12"/>
  <c r="T14009" i="12"/>
  <c r="U14009" i="12"/>
  <c r="T14010" i="12"/>
  <c r="U14010" i="12"/>
  <c r="T14011" i="12"/>
  <c r="U14011" i="12"/>
  <c r="T14012" i="12"/>
  <c r="U14012" i="12"/>
  <c r="T14013" i="12"/>
  <c r="U14013" i="12"/>
  <c r="T14014" i="12"/>
  <c r="U14014" i="12"/>
  <c r="T14015" i="12"/>
  <c r="U14015" i="12"/>
  <c r="T14016" i="12"/>
  <c r="U14016" i="12"/>
  <c r="T14017" i="12"/>
  <c r="U14017" i="12"/>
  <c r="T14018" i="12"/>
  <c r="U14018" i="12"/>
  <c r="T14019" i="12"/>
  <c r="U14019" i="12"/>
  <c r="T14020" i="12"/>
  <c r="U14020" i="12"/>
  <c r="T14021" i="12"/>
  <c r="U14021" i="12"/>
  <c r="T14022" i="12"/>
  <c r="U14022" i="12"/>
  <c r="T14023" i="12"/>
  <c r="U14023" i="12"/>
  <c r="T14024" i="12"/>
  <c r="U14024" i="12"/>
  <c r="T14025" i="12"/>
  <c r="U14025" i="12"/>
  <c r="T14026" i="12"/>
  <c r="U14026" i="12"/>
  <c r="T14027" i="12"/>
  <c r="U14027" i="12"/>
  <c r="T14028" i="12"/>
  <c r="U14028" i="12"/>
  <c r="T14029" i="12"/>
  <c r="U14029" i="12"/>
  <c r="T14030" i="12"/>
  <c r="U14030" i="12"/>
  <c r="T14031" i="12"/>
  <c r="U14031" i="12"/>
  <c r="T14032" i="12"/>
  <c r="U14032" i="12"/>
  <c r="T14033" i="12"/>
  <c r="U14033" i="12"/>
  <c r="T14034" i="12"/>
  <c r="U14034" i="12"/>
  <c r="T14035" i="12"/>
  <c r="U14035" i="12"/>
  <c r="T14036" i="12"/>
  <c r="U14036" i="12"/>
  <c r="T14037" i="12"/>
  <c r="U14037" i="12"/>
  <c r="T14038" i="12"/>
  <c r="U14038" i="12"/>
  <c r="T14039" i="12"/>
  <c r="U14039" i="12"/>
  <c r="T14040" i="12"/>
  <c r="U14040" i="12"/>
  <c r="T14041" i="12"/>
  <c r="U14041" i="12"/>
  <c r="T14042" i="12"/>
  <c r="U14042" i="12"/>
  <c r="T14043" i="12"/>
  <c r="U14043" i="12"/>
  <c r="T14044" i="12"/>
  <c r="U14044" i="12"/>
  <c r="T14045" i="12"/>
  <c r="U14045" i="12"/>
  <c r="T14046" i="12"/>
  <c r="U14046" i="12"/>
  <c r="T14047" i="12"/>
  <c r="U14047" i="12"/>
  <c r="T14048" i="12"/>
  <c r="U14048" i="12"/>
  <c r="T14049" i="12"/>
  <c r="U14049" i="12"/>
  <c r="T14050" i="12"/>
  <c r="U14050" i="12"/>
  <c r="T14051" i="12"/>
  <c r="U14051" i="12"/>
  <c r="T14052" i="12"/>
  <c r="U14052" i="12"/>
  <c r="T14053" i="12"/>
  <c r="U14053" i="12"/>
  <c r="T14054" i="12"/>
  <c r="U14054" i="12"/>
  <c r="T14055" i="12"/>
  <c r="U14055" i="12"/>
  <c r="T14056" i="12"/>
  <c r="U14056" i="12"/>
  <c r="T14057" i="12"/>
  <c r="U14057" i="12"/>
  <c r="T14058" i="12"/>
  <c r="U14058" i="12"/>
  <c r="T14059" i="12"/>
  <c r="U14059" i="12"/>
  <c r="T14060" i="12"/>
  <c r="U14060" i="12"/>
  <c r="T14061" i="12"/>
  <c r="U14061" i="12"/>
  <c r="T14062" i="12"/>
  <c r="U14062" i="12"/>
  <c r="T14063" i="12"/>
  <c r="U14063" i="12"/>
  <c r="T14064" i="12"/>
  <c r="U14064" i="12"/>
  <c r="T14065" i="12"/>
  <c r="U14065" i="12"/>
  <c r="T14066" i="12"/>
  <c r="U14066" i="12"/>
  <c r="T14067" i="12"/>
  <c r="U14067" i="12"/>
  <c r="T14068" i="12"/>
  <c r="U14068" i="12"/>
  <c r="T14069" i="12"/>
  <c r="U14069" i="12"/>
  <c r="T14070" i="12"/>
  <c r="U14070" i="12"/>
  <c r="T14071" i="12"/>
  <c r="U14071" i="12"/>
  <c r="T14072" i="12"/>
  <c r="U14072" i="12"/>
  <c r="T14073" i="12"/>
  <c r="U14073" i="12"/>
  <c r="T14074" i="12"/>
  <c r="U14074" i="12"/>
  <c r="T14075" i="12"/>
  <c r="U14075" i="12"/>
  <c r="T14076" i="12"/>
  <c r="U14076" i="12"/>
  <c r="T14077" i="12"/>
  <c r="U14077" i="12"/>
  <c r="T14078" i="12"/>
  <c r="U14078" i="12"/>
  <c r="T14079" i="12"/>
  <c r="U14079" i="12"/>
  <c r="T14080" i="12"/>
  <c r="U14080" i="12"/>
  <c r="T14081" i="12"/>
  <c r="U14081" i="12"/>
  <c r="T14082" i="12"/>
  <c r="U14082" i="12"/>
  <c r="T14083" i="12"/>
  <c r="U14083" i="12"/>
  <c r="T14084" i="12"/>
  <c r="U14084" i="12"/>
  <c r="T14085" i="12"/>
  <c r="U14085" i="12"/>
  <c r="T14086" i="12"/>
  <c r="U14086" i="12"/>
  <c r="T14087" i="12"/>
  <c r="U14087" i="12"/>
  <c r="T14088" i="12"/>
  <c r="U14088" i="12"/>
  <c r="T14089" i="12"/>
  <c r="U14089" i="12"/>
  <c r="T14090" i="12"/>
  <c r="U14090" i="12"/>
  <c r="T14091" i="12"/>
  <c r="U14091" i="12"/>
  <c r="T14092" i="12"/>
  <c r="U14092" i="12"/>
  <c r="T14093" i="12"/>
  <c r="U14093" i="12"/>
  <c r="T14094" i="12"/>
  <c r="U14094" i="12"/>
  <c r="T14095" i="12"/>
  <c r="U14095" i="12"/>
  <c r="T14096" i="12"/>
  <c r="U14096" i="12"/>
  <c r="T14097" i="12"/>
  <c r="U14097" i="12"/>
  <c r="T14098" i="12"/>
  <c r="U14098" i="12"/>
  <c r="T14099" i="12"/>
  <c r="U14099" i="12"/>
  <c r="T14100" i="12"/>
  <c r="U14100" i="12"/>
  <c r="T14101" i="12"/>
  <c r="U14101" i="12"/>
  <c r="T14102" i="12"/>
  <c r="U14102" i="12"/>
  <c r="T14103" i="12"/>
  <c r="U14103" i="12"/>
  <c r="T14104" i="12"/>
  <c r="U14104" i="12"/>
  <c r="T14105" i="12"/>
  <c r="U14105" i="12"/>
  <c r="T14106" i="12"/>
  <c r="U14106" i="12"/>
  <c r="T14107" i="12"/>
  <c r="U14107" i="12"/>
  <c r="T14108" i="12"/>
  <c r="U14108" i="12"/>
  <c r="T14109" i="12"/>
  <c r="U14109" i="12"/>
  <c r="T14110" i="12"/>
  <c r="U14110" i="12"/>
  <c r="T14111" i="12"/>
  <c r="U14111" i="12"/>
  <c r="T14112" i="12"/>
  <c r="U14112" i="12"/>
  <c r="T14113" i="12"/>
  <c r="U14113" i="12"/>
  <c r="T14114" i="12"/>
  <c r="U14114" i="12"/>
  <c r="T14115" i="12"/>
  <c r="U14115" i="12"/>
  <c r="T14116" i="12"/>
  <c r="U14116" i="12"/>
  <c r="T14117" i="12"/>
  <c r="U14117" i="12"/>
  <c r="T14118" i="12"/>
  <c r="U14118" i="12"/>
  <c r="T14119" i="12"/>
  <c r="U14119" i="12"/>
  <c r="T14120" i="12"/>
  <c r="U14120" i="12"/>
  <c r="T14121" i="12"/>
  <c r="U14121" i="12"/>
  <c r="T14122" i="12"/>
  <c r="U14122" i="12"/>
  <c r="T14123" i="12"/>
  <c r="U14123" i="12"/>
  <c r="T14124" i="12"/>
  <c r="U14124" i="12"/>
  <c r="T14125" i="12"/>
  <c r="U14125" i="12"/>
  <c r="T14126" i="12"/>
  <c r="U14126" i="12"/>
  <c r="T14127" i="12"/>
  <c r="U14127" i="12"/>
  <c r="T14128" i="12"/>
  <c r="U14128" i="12"/>
  <c r="T14129" i="12"/>
  <c r="U14129" i="12"/>
  <c r="T14130" i="12"/>
  <c r="U14130" i="12"/>
  <c r="T14131" i="12"/>
  <c r="U14131" i="12"/>
  <c r="T14132" i="12"/>
  <c r="U14132" i="12"/>
  <c r="T14133" i="12"/>
  <c r="U14133" i="12"/>
  <c r="T14134" i="12"/>
  <c r="U14134" i="12"/>
  <c r="T14135" i="12"/>
  <c r="U14135" i="12"/>
  <c r="T14136" i="12"/>
  <c r="U14136" i="12"/>
  <c r="T14137" i="12"/>
  <c r="U14137" i="12"/>
  <c r="T14138" i="12"/>
  <c r="U14138" i="12"/>
  <c r="T14139" i="12"/>
  <c r="U14139" i="12"/>
  <c r="T14140" i="12"/>
  <c r="U14140" i="12"/>
  <c r="T14141" i="12"/>
  <c r="U14141" i="12"/>
  <c r="T14142" i="12"/>
  <c r="U14142" i="12"/>
  <c r="T14143" i="12"/>
  <c r="U14143" i="12"/>
  <c r="T14144" i="12"/>
  <c r="U14144" i="12"/>
  <c r="T14145" i="12"/>
  <c r="U14145" i="12"/>
  <c r="T14146" i="12"/>
  <c r="U14146" i="12"/>
  <c r="T14147" i="12"/>
  <c r="U14147" i="12"/>
  <c r="T14148" i="12"/>
  <c r="U14148" i="12"/>
  <c r="T14149" i="12"/>
  <c r="U14149" i="12"/>
  <c r="T14150" i="12"/>
  <c r="U14150" i="12"/>
  <c r="T14151" i="12"/>
  <c r="U14151" i="12"/>
  <c r="T14152" i="12"/>
  <c r="U14152" i="12"/>
  <c r="T14153" i="12"/>
  <c r="U14153" i="12"/>
  <c r="T14154" i="12"/>
  <c r="U14154" i="12"/>
  <c r="T14155" i="12"/>
  <c r="U14155" i="12"/>
  <c r="T14156" i="12"/>
  <c r="U14156" i="12"/>
  <c r="T14157" i="12"/>
  <c r="U14157" i="12"/>
  <c r="T14158" i="12"/>
  <c r="U14158" i="12"/>
  <c r="T14159" i="12"/>
  <c r="U14159" i="12"/>
  <c r="T14160" i="12"/>
  <c r="U14160" i="12"/>
  <c r="T14161" i="12"/>
  <c r="U14161" i="12"/>
  <c r="T14162" i="12"/>
  <c r="U14162" i="12"/>
  <c r="T14163" i="12"/>
  <c r="U14163" i="12"/>
  <c r="T14164" i="12"/>
  <c r="U14164" i="12"/>
  <c r="T14165" i="12"/>
  <c r="U14165" i="12"/>
  <c r="T14166" i="12"/>
  <c r="U14166" i="12"/>
  <c r="T14167" i="12"/>
  <c r="U14167" i="12"/>
  <c r="T14168" i="12"/>
  <c r="U14168" i="12"/>
  <c r="T14169" i="12"/>
  <c r="U14169" i="12"/>
  <c r="T14170" i="12"/>
  <c r="U14170" i="12"/>
  <c r="T14171" i="12"/>
  <c r="U14171" i="12"/>
  <c r="T14172" i="12"/>
  <c r="U14172" i="12"/>
  <c r="T14173" i="12"/>
  <c r="U14173" i="12"/>
  <c r="T14174" i="12"/>
  <c r="U14174" i="12"/>
  <c r="T14175" i="12"/>
  <c r="U14175" i="12"/>
  <c r="T14176" i="12"/>
  <c r="U14176" i="12"/>
  <c r="T14177" i="12"/>
  <c r="U14177" i="12"/>
  <c r="T14178" i="12"/>
  <c r="U14178" i="12"/>
  <c r="T14179" i="12"/>
  <c r="U14179" i="12"/>
  <c r="T14180" i="12"/>
  <c r="U14180" i="12"/>
  <c r="T14181" i="12"/>
  <c r="U14181" i="12"/>
  <c r="T14182" i="12"/>
  <c r="U14182" i="12"/>
  <c r="T14183" i="12"/>
  <c r="U14183" i="12"/>
  <c r="T14184" i="12"/>
  <c r="U14184" i="12"/>
  <c r="T14185" i="12"/>
  <c r="U14185" i="12"/>
  <c r="T14186" i="12"/>
  <c r="U14186" i="12"/>
  <c r="T14187" i="12"/>
  <c r="U14187" i="12"/>
  <c r="T14188" i="12"/>
  <c r="U14188" i="12"/>
  <c r="T14189" i="12"/>
  <c r="U14189" i="12"/>
  <c r="T14190" i="12"/>
  <c r="U14190" i="12"/>
  <c r="T14191" i="12"/>
  <c r="U14191" i="12"/>
  <c r="T14192" i="12"/>
  <c r="U14192" i="12"/>
  <c r="T14193" i="12"/>
  <c r="U14193" i="12"/>
  <c r="T14194" i="12"/>
  <c r="U14194" i="12"/>
  <c r="T14195" i="12"/>
  <c r="U14195" i="12"/>
  <c r="T14196" i="12"/>
  <c r="U14196" i="12"/>
  <c r="T14197" i="12"/>
  <c r="U14197" i="12"/>
  <c r="T14198" i="12"/>
  <c r="U14198" i="12"/>
  <c r="T14199" i="12"/>
  <c r="U14199" i="12"/>
  <c r="T14200" i="12"/>
  <c r="U14200" i="12"/>
  <c r="T14201" i="12"/>
  <c r="U14201" i="12"/>
  <c r="T14202" i="12"/>
  <c r="U14202" i="12"/>
  <c r="T14203" i="12"/>
  <c r="U14203" i="12"/>
  <c r="T14204" i="12"/>
  <c r="U14204" i="12"/>
  <c r="T14205" i="12"/>
  <c r="U14205" i="12"/>
  <c r="T14206" i="12"/>
  <c r="U14206" i="12"/>
  <c r="T14207" i="12"/>
  <c r="U14207" i="12"/>
  <c r="T14208" i="12"/>
  <c r="U14208" i="12"/>
  <c r="T14209" i="12"/>
  <c r="U14209" i="12"/>
  <c r="T14210" i="12"/>
  <c r="U14210" i="12"/>
  <c r="T14211" i="12"/>
  <c r="U14211" i="12"/>
  <c r="T14212" i="12"/>
  <c r="U14212" i="12"/>
  <c r="T14213" i="12"/>
  <c r="U14213" i="12"/>
  <c r="T14214" i="12"/>
  <c r="U14214" i="12"/>
  <c r="T14215" i="12"/>
  <c r="U14215" i="12"/>
  <c r="T14216" i="12"/>
  <c r="U14216" i="12"/>
  <c r="T14217" i="12"/>
  <c r="U14217" i="12"/>
  <c r="T14218" i="12"/>
  <c r="U14218" i="12"/>
  <c r="T14219" i="12"/>
  <c r="U14219" i="12"/>
  <c r="T14220" i="12"/>
  <c r="U14220" i="12"/>
  <c r="T14221" i="12"/>
  <c r="U14221" i="12"/>
  <c r="T14222" i="12"/>
  <c r="U14222" i="12"/>
  <c r="T14223" i="12"/>
  <c r="U14223" i="12"/>
  <c r="T14224" i="12"/>
  <c r="U14224" i="12"/>
  <c r="T14225" i="12"/>
  <c r="U14225" i="12"/>
  <c r="T14226" i="12"/>
  <c r="U14226" i="12"/>
  <c r="T14227" i="12"/>
  <c r="U14227" i="12"/>
  <c r="T14228" i="12"/>
  <c r="U14228" i="12"/>
  <c r="T14229" i="12"/>
  <c r="U14229" i="12"/>
  <c r="T14230" i="12"/>
  <c r="U14230" i="12"/>
  <c r="T14231" i="12"/>
  <c r="U14231" i="12"/>
  <c r="T14232" i="12"/>
  <c r="U14232" i="12"/>
  <c r="T14233" i="12"/>
  <c r="U14233" i="12"/>
  <c r="T14234" i="12"/>
  <c r="U14234" i="12"/>
  <c r="T14235" i="12"/>
  <c r="U14235" i="12"/>
  <c r="T14236" i="12"/>
  <c r="U14236" i="12"/>
  <c r="T14237" i="12"/>
  <c r="U14237" i="12"/>
  <c r="T14238" i="12"/>
  <c r="U14238" i="12"/>
  <c r="T14239" i="12"/>
  <c r="U14239" i="12"/>
  <c r="T14240" i="12"/>
  <c r="U14240" i="12"/>
  <c r="T14241" i="12"/>
  <c r="U14241" i="12"/>
  <c r="T14242" i="12"/>
  <c r="U14242" i="12"/>
  <c r="T14243" i="12"/>
  <c r="U14243" i="12"/>
  <c r="T14244" i="12"/>
  <c r="U14244" i="12"/>
  <c r="T14245" i="12"/>
  <c r="U14245" i="12"/>
  <c r="T14246" i="12"/>
  <c r="U14246" i="12"/>
  <c r="T14247" i="12"/>
  <c r="U14247" i="12"/>
  <c r="T14248" i="12"/>
  <c r="U14248" i="12"/>
  <c r="T14249" i="12"/>
  <c r="U14249" i="12"/>
  <c r="T14250" i="12"/>
  <c r="U14250" i="12"/>
  <c r="T14251" i="12"/>
  <c r="U14251" i="12"/>
  <c r="T14252" i="12"/>
  <c r="U14252" i="12"/>
  <c r="T14253" i="12"/>
  <c r="U14253" i="12"/>
  <c r="T14254" i="12"/>
  <c r="U14254" i="12"/>
  <c r="T14255" i="12"/>
  <c r="U14255" i="12"/>
  <c r="T14256" i="12"/>
  <c r="U14256" i="12"/>
  <c r="T14257" i="12"/>
  <c r="U14257" i="12"/>
  <c r="T14258" i="12"/>
  <c r="U14258" i="12"/>
  <c r="T14259" i="12"/>
  <c r="U14259" i="12"/>
  <c r="T14260" i="12"/>
  <c r="U14260" i="12"/>
  <c r="T14261" i="12"/>
  <c r="U14261" i="12"/>
  <c r="T14262" i="12"/>
  <c r="U14262" i="12"/>
  <c r="T14263" i="12"/>
  <c r="U14263" i="12"/>
  <c r="T14264" i="12"/>
  <c r="U14264" i="12"/>
  <c r="T14265" i="12"/>
  <c r="U14265" i="12"/>
  <c r="T14266" i="12"/>
  <c r="U14266" i="12"/>
  <c r="T14267" i="12"/>
  <c r="U14267" i="12"/>
  <c r="T14268" i="12"/>
  <c r="U14268" i="12"/>
  <c r="T14269" i="12"/>
  <c r="U14269" i="12"/>
  <c r="T14270" i="12"/>
  <c r="U14270" i="12"/>
  <c r="T14271" i="12"/>
  <c r="U14271" i="12"/>
  <c r="T14272" i="12"/>
  <c r="U14272" i="12"/>
  <c r="T14273" i="12"/>
  <c r="U14273" i="12"/>
  <c r="T14274" i="12"/>
  <c r="U14274" i="12"/>
  <c r="T14275" i="12"/>
  <c r="U14275" i="12"/>
  <c r="T14276" i="12"/>
  <c r="U14276" i="12"/>
  <c r="T14277" i="12"/>
  <c r="U14277" i="12"/>
  <c r="T14278" i="12"/>
  <c r="U14278" i="12"/>
  <c r="T14279" i="12"/>
  <c r="U14279" i="12"/>
  <c r="T14280" i="12"/>
  <c r="U14280" i="12"/>
  <c r="T14281" i="12"/>
  <c r="U14281" i="12"/>
  <c r="T14282" i="12"/>
  <c r="U14282" i="12"/>
  <c r="T14283" i="12"/>
  <c r="U14283" i="12"/>
  <c r="T14284" i="12"/>
  <c r="U14284" i="12"/>
  <c r="T14285" i="12"/>
  <c r="U14285" i="12"/>
  <c r="T14286" i="12"/>
  <c r="U14286" i="12"/>
  <c r="T14287" i="12"/>
  <c r="U14287" i="12"/>
  <c r="T14288" i="12"/>
  <c r="U14288" i="12"/>
  <c r="T14289" i="12"/>
  <c r="U14289" i="12"/>
  <c r="T14290" i="12"/>
  <c r="U14290" i="12"/>
  <c r="T14291" i="12"/>
  <c r="U14291" i="12"/>
  <c r="T14292" i="12"/>
  <c r="U14292" i="12"/>
  <c r="T14293" i="12"/>
  <c r="U14293" i="12"/>
  <c r="T14294" i="12"/>
  <c r="U14294" i="12"/>
  <c r="T14295" i="12"/>
  <c r="U14295" i="12"/>
  <c r="T14296" i="12"/>
  <c r="U14296" i="12"/>
  <c r="T14297" i="12"/>
  <c r="U14297" i="12"/>
  <c r="T14298" i="12"/>
  <c r="U14298" i="12"/>
  <c r="T14299" i="12"/>
  <c r="U14299" i="12"/>
  <c r="T14300" i="12"/>
  <c r="U14300" i="12"/>
  <c r="T14301" i="12"/>
  <c r="U14301" i="12"/>
  <c r="T14302" i="12"/>
  <c r="U14302" i="12"/>
  <c r="T14303" i="12"/>
  <c r="U14303" i="12"/>
  <c r="T14304" i="12"/>
  <c r="U14304" i="12"/>
  <c r="T14305" i="12"/>
  <c r="U14305" i="12"/>
  <c r="T14306" i="12"/>
  <c r="U14306" i="12"/>
  <c r="T14307" i="12"/>
  <c r="U14307" i="12"/>
  <c r="T14308" i="12"/>
  <c r="U14308" i="12"/>
  <c r="T14309" i="12"/>
  <c r="U14309" i="12"/>
  <c r="T14310" i="12"/>
  <c r="U14310" i="12"/>
  <c r="T14311" i="12"/>
  <c r="U14311" i="12"/>
  <c r="T14312" i="12"/>
  <c r="U14312" i="12"/>
  <c r="T14313" i="12"/>
  <c r="U14313" i="12"/>
  <c r="T14314" i="12"/>
  <c r="U14314" i="12"/>
  <c r="T14315" i="12"/>
  <c r="U14315" i="12"/>
  <c r="T14316" i="12"/>
  <c r="U14316" i="12"/>
  <c r="T14317" i="12"/>
  <c r="U14317" i="12"/>
  <c r="T14318" i="12"/>
  <c r="U14318" i="12"/>
  <c r="T14319" i="12"/>
  <c r="U14319" i="12"/>
  <c r="T14320" i="12"/>
  <c r="U14320" i="12"/>
  <c r="T14321" i="12"/>
  <c r="U14321" i="12"/>
  <c r="T14322" i="12"/>
  <c r="U14322" i="12"/>
  <c r="T14323" i="12"/>
  <c r="U14323" i="12"/>
  <c r="T14324" i="12"/>
  <c r="U14324" i="12"/>
  <c r="T14325" i="12"/>
  <c r="U14325" i="12"/>
  <c r="T14326" i="12"/>
  <c r="U14326" i="12"/>
  <c r="T14327" i="12"/>
  <c r="U14327" i="12"/>
  <c r="T14328" i="12"/>
  <c r="U14328" i="12"/>
  <c r="T14329" i="12"/>
  <c r="U14329" i="12"/>
  <c r="T14330" i="12"/>
  <c r="U14330" i="12"/>
  <c r="T14331" i="12"/>
  <c r="U14331" i="12"/>
  <c r="T14332" i="12"/>
  <c r="U14332" i="12"/>
  <c r="T14333" i="12"/>
  <c r="U14333" i="12"/>
  <c r="T14334" i="12"/>
  <c r="U14334" i="12"/>
  <c r="T14335" i="12"/>
  <c r="U14335" i="12"/>
  <c r="T14336" i="12"/>
  <c r="U14336" i="12"/>
  <c r="T14337" i="12"/>
  <c r="U14337" i="12"/>
  <c r="T14338" i="12"/>
  <c r="U14338" i="12"/>
  <c r="T14339" i="12"/>
  <c r="U14339" i="12"/>
  <c r="T14340" i="12"/>
  <c r="U14340" i="12"/>
  <c r="T14341" i="12"/>
  <c r="U14341" i="12"/>
  <c r="T14342" i="12"/>
  <c r="U14342" i="12"/>
  <c r="T14343" i="12"/>
  <c r="U14343" i="12"/>
  <c r="T14344" i="12"/>
  <c r="U14344" i="12"/>
  <c r="T14345" i="12"/>
  <c r="U14345" i="12"/>
  <c r="T14346" i="12"/>
  <c r="U14346" i="12"/>
  <c r="T14347" i="12"/>
  <c r="U14347" i="12"/>
  <c r="T14348" i="12"/>
  <c r="U14348" i="12"/>
  <c r="T14349" i="12"/>
  <c r="U14349" i="12"/>
  <c r="T14350" i="12"/>
  <c r="U14350" i="12"/>
  <c r="T14351" i="12"/>
  <c r="U14351" i="12"/>
  <c r="T14352" i="12"/>
  <c r="U14352" i="12"/>
  <c r="T14353" i="12"/>
  <c r="U14353" i="12"/>
  <c r="T14354" i="12"/>
  <c r="U14354" i="12"/>
  <c r="T14355" i="12"/>
  <c r="U14355" i="12"/>
  <c r="T14356" i="12"/>
  <c r="U14356" i="12"/>
  <c r="T14357" i="12"/>
  <c r="U14357" i="12"/>
  <c r="T14358" i="12"/>
  <c r="U14358" i="12"/>
  <c r="T14359" i="12"/>
  <c r="U14359" i="12"/>
  <c r="T14360" i="12"/>
  <c r="U14360" i="12"/>
  <c r="T14361" i="12"/>
  <c r="U14361" i="12"/>
  <c r="T14362" i="12"/>
  <c r="U14362" i="12"/>
  <c r="T14363" i="12"/>
  <c r="U14363" i="12"/>
  <c r="T14364" i="12"/>
  <c r="U14364" i="12"/>
  <c r="T14365" i="12"/>
  <c r="U14365" i="12"/>
  <c r="T14366" i="12"/>
  <c r="U14366" i="12"/>
  <c r="T14367" i="12"/>
  <c r="U14367" i="12"/>
  <c r="T14368" i="12"/>
  <c r="U14368" i="12"/>
  <c r="T14369" i="12"/>
  <c r="U14369" i="12"/>
  <c r="T14370" i="12"/>
  <c r="U14370" i="12"/>
  <c r="T14371" i="12"/>
  <c r="U14371" i="12"/>
  <c r="T14372" i="12"/>
  <c r="U14372" i="12"/>
  <c r="T14373" i="12"/>
  <c r="U14373" i="12"/>
  <c r="T14374" i="12"/>
  <c r="U14374" i="12"/>
  <c r="T14375" i="12"/>
  <c r="U14375" i="12"/>
  <c r="T14376" i="12"/>
  <c r="U14376" i="12"/>
  <c r="T14377" i="12"/>
  <c r="U14377" i="12"/>
  <c r="T14378" i="12"/>
  <c r="U14378" i="12"/>
  <c r="T14379" i="12"/>
  <c r="U14379" i="12"/>
  <c r="T14380" i="12"/>
  <c r="U14380" i="12"/>
  <c r="T14381" i="12"/>
  <c r="U14381" i="12"/>
  <c r="T14382" i="12"/>
  <c r="U14382" i="12"/>
  <c r="T14383" i="12"/>
  <c r="U14383" i="12"/>
  <c r="T14384" i="12"/>
  <c r="U14384" i="12"/>
  <c r="T14385" i="12"/>
  <c r="U14385" i="12"/>
  <c r="T14386" i="12"/>
  <c r="U14386" i="12"/>
  <c r="T14387" i="12"/>
  <c r="U14387" i="12"/>
  <c r="T14388" i="12"/>
  <c r="U14388" i="12"/>
  <c r="T14389" i="12"/>
  <c r="U14389" i="12"/>
  <c r="T14390" i="12"/>
  <c r="U14390" i="12"/>
  <c r="T14391" i="12"/>
  <c r="U14391" i="12"/>
  <c r="T14392" i="12"/>
  <c r="U14392" i="12"/>
  <c r="T14393" i="12"/>
  <c r="U14393" i="12"/>
  <c r="T14394" i="12"/>
  <c r="U14394" i="12"/>
  <c r="T14395" i="12"/>
  <c r="U14395" i="12"/>
  <c r="T14396" i="12"/>
  <c r="U14396" i="12"/>
  <c r="T14397" i="12"/>
  <c r="U14397" i="12"/>
  <c r="T14398" i="12"/>
  <c r="U14398" i="12"/>
  <c r="T14399" i="12"/>
  <c r="U14399" i="12"/>
  <c r="T14400" i="12"/>
  <c r="U14400" i="12"/>
  <c r="T14401" i="12"/>
  <c r="U14401" i="12"/>
  <c r="T14402" i="12"/>
  <c r="U14402" i="12"/>
  <c r="T14403" i="12"/>
  <c r="U14403" i="12"/>
  <c r="T14404" i="12"/>
  <c r="U14404" i="12"/>
  <c r="T14405" i="12"/>
  <c r="U14405" i="12"/>
  <c r="T14406" i="12"/>
  <c r="U14406" i="12"/>
  <c r="T14407" i="12"/>
  <c r="U14407" i="12"/>
  <c r="T14408" i="12"/>
  <c r="U14408" i="12"/>
  <c r="T14409" i="12"/>
  <c r="U14409" i="12"/>
  <c r="T14410" i="12"/>
  <c r="U14410" i="12"/>
  <c r="T14411" i="12"/>
  <c r="U14411" i="12"/>
  <c r="T14412" i="12"/>
  <c r="U14412" i="12"/>
  <c r="T14413" i="12"/>
  <c r="U14413" i="12"/>
  <c r="T14414" i="12"/>
  <c r="U14414" i="12"/>
  <c r="T14415" i="12"/>
  <c r="U14415" i="12"/>
  <c r="T14416" i="12"/>
  <c r="U14416" i="12"/>
  <c r="T14417" i="12"/>
  <c r="U14417" i="12"/>
  <c r="T14418" i="12"/>
  <c r="U14418" i="12"/>
  <c r="T14419" i="12"/>
  <c r="U14419" i="12"/>
  <c r="T14420" i="12"/>
  <c r="U14420" i="12"/>
  <c r="T14421" i="12"/>
  <c r="U14421" i="12"/>
  <c r="T14422" i="12"/>
  <c r="U14422" i="12"/>
  <c r="T14423" i="12"/>
  <c r="U14423" i="12"/>
  <c r="T14424" i="12"/>
  <c r="U14424" i="12"/>
  <c r="T14425" i="12"/>
  <c r="U14425" i="12"/>
  <c r="T14426" i="12"/>
  <c r="U14426" i="12"/>
  <c r="T14427" i="12"/>
  <c r="U14427" i="12"/>
  <c r="T14428" i="12"/>
  <c r="U14428" i="12"/>
  <c r="T14429" i="12"/>
  <c r="U14429" i="12"/>
  <c r="T14430" i="12"/>
  <c r="U14430" i="12"/>
  <c r="T14431" i="12"/>
  <c r="U14431" i="12"/>
  <c r="T14432" i="12"/>
  <c r="U14432" i="12"/>
  <c r="T14433" i="12"/>
  <c r="U14433" i="12"/>
  <c r="T14434" i="12"/>
  <c r="U14434" i="12"/>
  <c r="T14435" i="12"/>
  <c r="U14435" i="12"/>
  <c r="T14436" i="12"/>
  <c r="U14436" i="12"/>
  <c r="T14437" i="12"/>
  <c r="U14437" i="12"/>
  <c r="T14438" i="12"/>
  <c r="U14438" i="12"/>
  <c r="T14439" i="12"/>
  <c r="U14439" i="12"/>
  <c r="T14440" i="12"/>
  <c r="U14440" i="12"/>
  <c r="T14441" i="12"/>
  <c r="U14441" i="12"/>
  <c r="T14442" i="12"/>
  <c r="U14442" i="12"/>
  <c r="T14443" i="12"/>
  <c r="U14443" i="12"/>
  <c r="T14444" i="12"/>
  <c r="U14444" i="12"/>
  <c r="T14445" i="12"/>
  <c r="U14445" i="12"/>
  <c r="T14446" i="12"/>
  <c r="U14446" i="12"/>
  <c r="T14447" i="12"/>
  <c r="U14447" i="12"/>
  <c r="T14448" i="12"/>
  <c r="U14448" i="12"/>
  <c r="T14449" i="12"/>
  <c r="U14449" i="12"/>
  <c r="T14450" i="12"/>
  <c r="U14450" i="12"/>
  <c r="T14451" i="12"/>
  <c r="U14451" i="12"/>
  <c r="T14452" i="12"/>
  <c r="U14452" i="12"/>
  <c r="T14453" i="12"/>
  <c r="U14453" i="12"/>
  <c r="T14454" i="12"/>
  <c r="U14454" i="12"/>
  <c r="T14455" i="12"/>
  <c r="U14455" i="12"/>
  <c r="T14456" i="12"/>
  <c r="U14456" i="12"/>
  <c r="T14457" i="12"/>
  <c r="U14457" i="12"/>
  <c r="T14458" i="12"/>
  <c r="U14458" i="12"/>
  <c r="T14459" i="12"/>
  <c r="U14459" i="12"/>
  <c r="T14460" i="12"/>
  <c r="U14460" i="12"/>
  <c r="T14461" i="12"/>
  <c r="U14461" i="12"/>
  <c r="T14462" i="12"/>
  <c r="U14462" i="12"/>
  <c r="T14463" i="12"/>
  <c r="U14463" i="12"/>
  <c r="T14464" i="12"/>
  <c r="U14464" i="12"/>
  <c r="T14465" i="12"/>
  <c r="U14465" i="12"/>
  <c r="T14466" i="12"/>
  <c r="U14466" i="12"/>
  <c r="T14467" i="12"/>
  <c r="U14467" i="12"/>
  <c r="T14468" i="12"/>
  <c r="U14468" i="12"/>
  <c r="T14469" i="12"/>
  <c r="U14469" i="12"/>
  <c r="T14470" i="12"/>
  <c r="U14470" i="12"/>
  <c r="T14471" i="12"/>
  <c r="U14471" i="12"/>
  <c r="T14472" i="12"/>
  <c r="U14472" i="12"/>
  <c r="T14473" i="12"/>
  <c r="U14473" i="12"/>
  <c r="T14474" i="12"/>
  <c r="U14474" i="12"/>
  <c r="T14475" i="12"/>
  <c r="U14475" i="12"/>
  <c r="T14476" i="12"/>
  <c r="U14476" i="12"/>
  <c r="T14477" i="12"/>
  <c r="U14477" i="12"/>
  <c r="T14478" i="12"/>
  <c r="U14478" i="12"/>
  <c r="T14479" i="12"/>
  <c r="U14479" i="12"/>
  <c r="T14480" i="12"/>
  <c r="U14480" i="12"/>
  <c r="T14481" i="12"/>
  <c r="U14481" i="12"/>
  <c r="T14482" i="12"/>
  <c r="U14482" i="12"/>
  <c r="T14483" i="12"/>
  <c r="U14483" i="12"/>
  <c r="T14484" i="12"/>
  <c r="U14484" i="12"/>
  <c r="T14485" i="12"/>
  <c r="U14485" i="12"/>
  <c r="T14486" i="12"/>
  <c r="U14486" i="12"/>
  <c r="T14487" i="12"/>
  <c r="U14487" i="12"/>
  <c r="T14488" i="12"/>
  <c r="U14488" i="12"/>
  <c r="T14489" i="12"/>
  <c r="U14489" i="12"/>
  <c r="T14490" i="12"/>
  <c r="U14490" i="12"/>
  <c r="T14491" i="12"/>
  <c r="U14491" i="12"/>
  <c r="T14492" i="12"/>
  <c r="U14492" i="12"/>
  <c r="T14493" i="12"/>
  <c r="U14493" i="12"/>
  <c r="T14494" i="12"/>
  <c r="U14494" i="12"/>
  <c r="T14495" i="12"/>
  <c r="U14495" i="12"/>
  <c r="T14496" i="12"/>
  <c r="U14496" i="12"/>
  <c r="T14497" i="12"/>
  <c r="U14497" i="12"/>
  <c r="T14498" i="12"/>
  <c r="U14498" i="12"/>
  <c r="T14499" i="12"/>
  <c r="U14499" i="12"/>
  <c r="T14500" i="12"/>
  <c r="U14500" i="12"/>
  <c r="T14501" i="12"/>
  <c r="U14501" i="12"/>
  <c r="T14502" i="12"/>
  <c r="U14502" i="12"/>
  <c r="T14503" i="12"/>
  <c r="U14503" i="12"/>
  <c r="T14504" i="12"/>
  <c r="U14504" i="12"/>
  <c r="T14505" i="12"/>
  <c r="U14505" i="12"/>
  <c r="T14506" i="12"/>
  <c r="U14506" i="12"/>
  <c r="T14507" i="12"/>
  <c r="U14507" i="12"/>
  <c r="T14508" i="12"/>
  <c r="U14508" i="12"/>
  <c r="T14509" i="12"/>
  <c r="U14509" i="12"/>
  <c r="T14510" i="12"/>
  <c r="U14510" i="12"/>
  <c r="T14511" i="12"/>
  <c r="U14511" i="12"/>
  <c r="T14512" i="12"/>
  <c r="U14512" i="12"/>
  <c r="T14513" i="12"/>
  <c r="U14513" i="12"/>
  <c r="T14514" i="12"/>
  <c r="U14514" i="12"/>
  <c r="T14515" i="12"/>
  <c r="U14515" i="12"/>
  <c r="T14516" i="12"/>
  <c r="U14516" i="12"/>
  <c r="T14517" i="12"/>
  <c r="U14517" i="12"/>
  <c r="T14518" i="12"/>
  <c r="U14518" i="12"/>
  <c r="T14519" i="12"/>
  <c r="U14519" i="12"/>
  <c r="T14520" i="12"/>
  <c r="U14520" i="12"/>
  <c r="T14521" i="12"/>
  <c r="U14521" i="12"/>
  <c r="T14522" i="12"/>
  <c r="U14522" i="12"/>
  <c r="T14523" i="12"/>
  <c r="U14523" i="12"/>
  <c r="T14524" i="12"/>
  <c r="U14524" i="12"/>
  <c r="T14525" i="12"/>
  <c r="U14525" i="12"/>
  <c r="T14526" i="12"/>
  <c r="U14526" i="12"/>
  <c r="T14527" i="12"/>
  <c r="U14527" i="12"/>
  <c r="T14528" i="12"/>
  <c r="U14528" i="12"/>
  <c r="T14529" i="12"/>
  <c r="U14529" i="12"/>
  <c r="T14530" i="12"/>
  <c r="U14530" i="12"/>
  <c r="T14531" i="12"/>
  <c r="U14531" i="12"/>
  <c r="T14532" i="12"/>
  <c r="U14532" i="12"/>
  <c r="T14533" i="12"/>
  <c r="U14533" i="12"/>
  <c r="T14534" i="12"/>
  <c r="U14534" i="12"/>
  <c r="T14535" i="12"/>
  <c r="U14535" i="12"/>
  <c r="T14536" i="12"/>
  <c r="U14536" i="12"/>
  <c r="T14537" i="12"/>
  <c r="U14537" i="12"/>
  <c r="T14538" i="12"/>
  <c r="U14538" i="12"/>
  <c r="T14539" i="12"/>
  <c r="U14539" i="12"/>
  <c r="T14540" i="12"/>
  <c r="U14540" i="12"/>
  <c r="T14541" i="12"/>
  <c r="U14541" i="12"/>
  <c r="T14542" i="12"/>
  <c r="U14542" i="12"/>
  <c r="T14543" i="12"/>
  <c r="U14543" i="12"/>
  <c r="T14544" i="12"/>
  <c r="U14544" i="12"/>
  <c r="T14545" i="12"/>
  <c r="U14545" i="12"/>
  <c r="T14546" i="12"/>
  <c r="U14546" i="12"/>
  <c r="T14547" i="12"/>
  <c r="U14547" i="12"/>
  <c r="T14548" i="12"/>
  <c r="U14548" i="12"/>
  <c r="T14549" i="12"/>
  <c r="U14549" i="12"/>
  <c r="T14550" i="12"/>
  <c r="U14550" i="12"/>
  <c r="T14551" i="12"/>
  <c r="U14551" i="12"/>
  <c r="T14552" i="12"/>
  <c r="U14552" i="12"/>
  <c r="T14553" i="12"/>
  <c r="U14553" i="12"/>
  <c r="T14554" i="12"/>
  <c r="U14554" i="12"/>
  <c r="T14555" i="12"/>
  <c r="U14555" i="12"/>
  <c r="T14556" i="12"/>
  <c r="U14556" i="12"/>
  <c r="T14557" i="12"/>
  <c r="U14557" i="12"/>
  <c r="T14558" i="12"/>
  <c r="U14558" i="12"/>
  <c r="T14559" i="12"/>
  <c r="U14559" i="12"/>
  <c r="T14560" i="12"/>
  <c r="U14560" i="12"/>
  <c r="T14561" i="12"/>
  <c r="U14561" i="12"/>
  <c r="T14562" i="12"/>
  <c r="U14562" i="12"/>
  <c r="T14563" i="12"/>
  <c r="U14563" i="12"/>
  <c r="T14564" i="12"/>
  <c r="U14564" i="12"/>
  <c r="T14565" i="12"/>
  <c r="U14565" i="12"/>
  <c r="T14566" i="12"/>
  <c r="U14566" i="12"/>
  <c r="T14567" i="12"/>
  <c r="U14567" i="12"/>
  <c r="T14568" i="12"/>
  <c r="U14568" i="12"/>
  <c r="T14569" i="12"/>
  <c r="U14569" i="12"/>
  <c r="T14570" i="12"/>
  <c r="U14570" i="12"/>
  <c r="T14571" i="12"/>
  <c r="U14571" i="12"/>
  <c r="T14572" i="12"/>
  <c r="U14572" i="12"/>
  <c r="T14573" i="12"/>
  <c r="U14573" i="12"/>
  <c r="T14574" i="12"/>
  <c r="U14574" i="12"/>
  <c r="T14575" i="12"/>
  <c r="U14575" i="12"/>
  <c r="T14576" i="12"/>
  <c r="U14576" i="12"/>
  <c r="T14577" i="12"/>
  <c r="U14577" i="12"/>
  <c r="T14578" i="12"/>
  <c r="U14578" i="12"/>
  <c r="T14579" i="12"/>
  <c r="U14579" i="12"/>
  <c r="T14580" i="12"/>
  <c r="U14580" i="12"/>
  <c r="T14581" i="12"/>
  <c r="U14581" i="12"/>
  <c r="T14582" i="12"/>
  <c r="U14582" i="12"/>
  <c r="T14583" i="12"/>
  <c r="U14583" i="12"/>
  <c r="T14584" i="12"/>
  <c r="U14584" i="12"/>
  <c r="T14585" i="12"/>
  <c r="U14585" i="12"/>
  <c r="T14586" i="12"/>
  <c r="U14586" i="12"/>
  <c r="T14587" i="12"/>
  <c r="U14587" i="12"/>
  <c r="T14588" i="12"/>
  <c r="U14588" i="12"/>
  <c r="T14589" i="12"/>
  <c r="U14589" i="12"/>
  <c r="T14590" i="12"/>
  <c r="U14590" i="12"/>
  <c r="T14591" i="12"/>
  <c r="U14591" i="12"/>
  <c r="T14592" i="12"/>
  <c r="U14592" i="12"/>
  <c r="T14593" i="12"/>
  <c r="U14593" i="12"/>
  <c r="T14594" i="12"/>
  <c r="U14594" i="12"/>
  <c r="T14595" i="12"/>
  <c r="U14595" i="12"/>
  <c r="T14596" i="12"/>
  <c r="U14596" i="12"/>
  <c r="T14597" i="12"/>
  <c r="U14597" i="12"/>
  <c r="T14598" i="12"/>
  <c r="U14598" i="12"/>
  <c r="T14599" i="12"/>
  <c r="U14599" i="12"/>
  <c r="T14600" i="12"/>
  <c r="U14600" i="12"/>
  <c r="T14601" i="12"/>
  <c r="U14601" i="12"/>
  <c r="T14602" i="12"/>
  <c r="U14602" i="12"/>
  <c r="T14603" i="12"/>
  <c r="U14603" i="12"/>
  <c r="T14604" i="12"/>
  <c r="U14604" i="12"/>
  <c r="T14605" i="12"/>
  <c r="U14605" i="12"/>
  <c r="T14606" i="12"/>
  <c r="U14606" i="12"/>
  <c r="T14607" i="12"/>
  <c r="U14607" i="12"/>
  <c r="T14608" i="12"/>
  <c r="U14608" i="12"/>
  <c r="T14609" i="12"/>
  <c r="U14609" i="12"/>
  <c r="T14610" i="12"/>
  <c r="U14610" i="12"/>
  <c r="T14611" i="12"/>
  <c r="U14611" i="12"/>
  <c r="T14612" i="12"/>
  <c r="U14612" i="12"/>
  <c r="T14613" i="12"/>
  <c r="U14613" i="12"/>
  <c r="T14614" i="12"/>
  <c r="U14614" i="12"/>
  <c r="T14615" i="12"/>
  <c r="U14615" i="12"/>
  <c r="T14616" i="12"/>
  <c r="U14616" i="12"/>
  <c r="T14617" i="12"/>
  <c r="U14617" i="12"/>
  <c r="T14618" i="12"/>
  <c r="U14618" i="12"/>
  <c r="T14619" i="12"/>
  <c r="U14619" i="12"/>
  <c r="T14620" i="12"/>
  <c r="U14620" i="12"/>
  <c r="T14621" i="12"/>
  <c r="U14621" i="12"/>
  <c r="T14622" i="12"/>
  <c r="U14622" i="12"/>
  <c r="T14623" i="12"/>
  <c r="U14623" i="12"/>
  <c r="T14624" i="12"/>
  <c r="U14624" i="12"/>
  <c r="T14625" i="12"/>
  <c r="U14625" i="12"/>
  <c r="T14626" i="12"/>
  <c r="U14626" i="12"/>
  <c r="T14627" i="12"/>
  <c r="U14627" i="12"/>
  <c r="T14628" i="12"/>
  <c r="U14628" i="12"/>
  <c r="T14629" i="12"/>
  <c r="U14629" i="12"/>
  <c r="T14630" i="12"/>
  <c r="U14630" i="12"/>
  <c r="T14631" i="12"/>
  <c r="U14631" i="12"/>
  <c r="T14632" i="12"/>
  <c r="U14632" i="12"/>
  <c r="T14633" i="12"/>
  <c r="U14633" i="12"/>
  <c r="T14634" i="12"/>
  <c r="U14634" i="12"/>
  <c r="T14635" i="12"/>
  <c r="U14635" i="12"/>
  <c r="T14636" i="12"/>
  <c r="U14636" i="12"/>
  <c r="T14637" i="12"/>
  <c r="U14637" i="12"/>
  <c r="T14638" i="12"/>
  <c r="U14638" i="12"/>
  <c r="T14639" i="12"/>
  <c r="U14639" i="12"/>
  <c r="T14640" i="12"/>
  <c r="U14640" i="12"/>
  <c r="T14641" i="12"/>
  <c r="U14641" i="12"/>
  <c r="T14642" i="12"/>
  <c r="U14642" i="12"/>
  <c r="T14643" i="12"/>
  <c r="U14643" i="12"/>
  <c r="T14644" i="12"/>
  <c r="U14644" i="12"/>
  <c r="T14645" i="12"/>
  <c r="U14645" i="12"/>
  <c r="T14646" i="12"/>
  <c r="U14646" i="12"/>
  <c r="T14647" i="12"/>
  <c r="U14647" i="12"/>
  <c r="T14648" i="12"/>
  <c r="U14648" i="12"/>
  <c r="T14649" i="12"/>
  <c r="U14649" i="12"/>
  <c r="T14650" i="12"/>
  <c r="U14650" i="12"/>
  <c r="T14651" i="12"/>
  <c r="U14651" i="12"/>
  <c r="T14652" i="12"/>
  <c r="U14652" i="12"/>
  <c r="T14653" i="12"/>
  <c r="U14653" i="12"/>
  <c r="T14654" i="12"/>
  <c r="U14654" i="12"/>
  <c r="T14655" i="12"/>
  <c r="U14655" i="12"/>
  <c r="T14656" i="12"/>
  <c r="U14656" i="12"/>
  <c r="T14657" i="12"/>
  <c r="U14657" i="12"/>
  <c r="T14658" i="12"/>
  <c r="U14658" i="12"/>
  <c r="T14659" i="12"/>
  <c r="U14659" i="12"/>
  <c r="T14660" i="12"/>
  <c r="U14660" i="12"/>
  <c r="T14661" i="12"/>
  <c r="U14661" i="12"/>
  <c r="T14662" i="12"/>
  <c r="U14662" i="12"/>
  <c r="T14663" i="12"/>
  <c r="U14663" i="12"/>
  <c r="T14664" i="12"/>
  <c r="U14664" i="12"/>
  <c r="T14665" i="12"/>
  <c r="U14665" i="12"/>
  <c r="T14666" i="12"/>
  <c r="U14666" i="12"/>
  <c r="T14667" i="12"/>
  <c r="U14667" i="12"/>
  <c r="T14668" i="12"/>
  <c r="U14668" i="12"/>
  <c r="T14669" i="12"/>
  <c r="U14669" i="12"/>
  <c r="T14670" i="12"/>
  <c r="U14670" i="12"/>
  <c r="T14671" i="12"/>
  <c r="U14671" i="12"/>
  <c r="T14672" i="12"/>
  <c r="U14672" i="12"/>
  <c r="T14673" i="12"/>
  <c r="U14673" i="12"/>
  <c r="T14674" i="12"/>
  <c r="U14674" i="12"/>
  <c r="T14675" i="12"/>
  <c r="U14675" i="12"/>
  <c r="T14676" i="12"/>
  <c r="U14676" i="12"/>
  <c r="T14677" i="12"/>
  <c r="U14677" i="12"/>
  <c r="T14678" i="12"/>
  <c r="U14678" i="12"/>
  <c r="T14679" i="12"/>
  <c r="U14679" i="12"/>
  <c r="T14680" i="12"/>
  <c r="U14680" i="12"/>
  <c r="T14681" i="12"/>
  <c r="U14681" i="12"/>
  <c r="T14682" i="12"/>
  <c r="U14682" i="12"/>
  <c r="T14683" i="12"/>
  <c r="U14683" i="12"/>
  <c r="T14684" i="12"/>
  <c r="U14684" i="12"/>
  <c r="T14685" i="12"/>
  <c r="U14685" i="12"/>
  <c r="T14686" i="12"/>
  <c r="U14686" i="12"/>
  <c r="T14687" i="12"/>
  <c r="U14687" i="12"/>
  <c r="T14688" i="12"/>
  <c r="U14688" i="12"/>
  <c r="T14689" i="12"/>
  <c r="U14689" i="12"/>
  <c r="T14690" i="12"/>
  <c r="U14690" i="12"/>
  <c r="T14691" i="12"/>
  <c r="U14691" i="12"/>
  <c r="D2" i="8"/>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D140" i="8"/>
  <c r="D141" i="8"/>
  <c r="D142" i="8"/>
  <c r="D143" i="8"/>
  <c r="D144" i="8"/>
  <c r="D145" i="8"/>
  <c r="D146" i="8"/>
  <c r="D147" i="8"/>
  <c r="D148" i="8"/>
  <c r="D149" i="8"/>
  <c r="D150" i="8"/>
  <c r="D151" i="8"/>
  <c r="D152" i="8"/>
  <c r="D153" i="8"/>
  <c r="D154" i="8"/>
  <c r="D155" i="8"/>
  <c r="D156" i="8"/>
  <c r="D157" i="8"/>
  <c r="D158" i="8"/>
  <c r="D159" i="8"/>
  <c r="D160" i="8"/>
  <c r="D161" i="8"/>
  <c r="D162" i="8"/>
  <c r="D163" i="8"/>
  <c r="D164" i="8"/>
  <c r="D165" i="8"/>
  <c r="D166" i="8"/>
  <c r="D167" i="8"/>
  <c r="D168" i="8"/>
  <c r="D169" i="8"/>
  <c r="D170" i="8"/>
  <c r="D171" i="8"/>
  <c r="D172" i="8"/>
  <c r="D173" i="8"/>
  <c r="D174" i="8"/>
  <c r="D175" i="8"/>
  <c r="D176" i="8"/>
  <c r="D177" i="8"/>
  <c r="D178" i="8"/>
  <c r="D179" i="8"/>
  <c r="D180" i="8"/>
  <c r="D181" i="8"/>
  <c r="D182" i="8"/>
  <c r="D183" i="8"/>
  <c r="D184" i="8"/>
  <c r="D185" i="8"/>
  <c r="D186" i="8"/>
  <c r="D187" i="8"/>
  <c r="D188" i="8"/>
  <c r="D189" i="8"/>
  <c r="D190" i="8"/>
  <c r="D191" i="8"/>
  <c r="D192" i="8"/>
  <c r="D193" i="8"/>
  <c r="D194" i="8"/>
  <c r="D195" i="8"/>
  <c r="D196" i="8"/>
  <c r="D197" i="8"/>
  <c r="D198" i="8"/>
  <c r="D199" i="8"/>
  <c r="D200" i="8"/>
  <c r="D201" i="8"/>
  <c r="D202" i="8"/>
  <c r="D203" i="8"/>
  <c r="D204" i="8"/>
  <c r="D205" i="8"/>
  <c r="D206" i="8"/>
  <c r="D207" i="8"/>
  <c r="D208" i="8"/>
  <c r="D209" i="8"/>
  <c r="D210" i="8"/>
  <c r="D211" i="8"/>
  <c r="D212" i="8"/>
  <c r="D213" i="8"/>
  <c r="D214" i="8"/>
  <c r="D215" i="8"/>
  <c r="D216" i="8"/>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66" i="8"/>
  <c r="D267" i="8"/>
  <c r="D268" i="8"/>
  <c r="D269" i="8"/>
  <c r="D270" i="8"/>
  <c r="D271" i="8"/>
  <c r="D272" i="8"/>
  <c r="D273" i="8"/>
  <c r="D274" i="8"/>
  <c r="D275" i="8"/>
  <c r="D276" i="8"/>
  <c r="D277" i="8"/>
  <c r="D278" i="8"/>
  <c r="D279" i="8"/>
  <c r="D280" i="8"/>
  <c r="D281" i="8"/>
  <c r="D282" i="8"/>
  <c r="D283" i="8"/>
  <c r="D284" i="8"/>
  <c r="D285" i="8"/>
  <c r="D286" i="8"/>
  <c r="D287" i="8"/>
  <c r="D288" i="8"/>
  <c r="D289" i="8"/>
  <c r="D290" i="8"/>
  <c r="D291" i="8"/>
  <c r="D292" i="8"/>
  <c r="D293" i="8"/>
  <c r="D294" i="8"/>
  <c r="D295" i="8"/>
  <c r="D296" i="8"/>
  <c r="D297" i="8"/>
  <c r="D298" i="8"/>
  <c r="D299" i="8"/>
  <c r="D300" i="8"/>
  <c r="D301" i="8"/>
  <c r="D302" i="8"/>
  <c r="D303" i="8"/>
  <c r="D304" i="8"/>
  <c r="D305" i="8"/>
  <c r="D306" i="8"/>
  <c r="D307" i="8"/>
  <c r="D308" i="8"/>
  <c r="D309" i="8"/>
  <c r="D310" i="8"/>
  <c r="D311" i="8"/>
  <c r="D312" i="8"/>
  <c r="D313" i="8"/>
  <c r="D314" i="8"/>
  <c r="D315" i="8"/>
  <c r="D316" i="8"/>
  <c r="D317" i="8"/>
  <c r="D318" i="8"/>
  <c r="D319" i="8"/>
  <c r="D320" i="8"/>
  <c r="D321" i="8"/>
  <c r="D322" i="8"/>
  <c r="D323" i="8"/>
  <c r="D324" i="8"/>
  <c r="D325" i="8"/>
  <c r="D326" i="8"/>
  <c r="D327" i="8"/>
  <c r="D328" i="8"/>
  <c r="D329" i="8"/>
  <c r="D330" i="8"/>
  <c r="D331" i="8"/>
  <c r="D332" i="8"/>
  <c r="D333" i="8"/>
  <c r="D334" i="8"/>
  <c r="D335" i="8"/>
  <c r="D336" i="8"/>
  <c r="D337" i="8"/>
  <c r="D338" i="8"/>
  <c r="D339" i="8"/>
  <c r="D340" i="8"/>
  <c r="D341" i="8"/>
  <c r="D342" i="8"/>
  <c r="D343" i="8"/>
  <c r="D344" i="8"/>
  <c r="D345" i="8"/>
  <c r="D346" i="8"/>
  <c r="D347" i="8"/>
  <c r="D348" i="8"/>
  <c r="D349" i="8"/>
  <c r="D350" i="8"/>
  <c r="D351" i="8"/>
  <c r="D352" i="8"/>
  <c r="D353" i="8"/>
  <c r="D354" i="8"/>
  <c r="D355" i="8"/>
  <c r="D356" i="8"/>
  <c r="D357" i="8"/>
  <c r="D358" i="8"/>
  <c r="D359" i="8"/>
  <c r="D360" i="8"/>
  <c r="D361" i="8"/>
  <c r="D362" i="8"/>
  <c r="D363" i="8"/>
  <c r="D364" i="8"/>
  <c r="D365" i="8"/>
  <c r="D366" i="8"/>
  <c r="D367" i="8"/>
  <c r="D368" i="8"/>
  <c r="D369" i="8"/>
  <c r="D370" i="8"/>
  <c r="D371" i="8"/>
  <c r="D372" i="8"/>
  <c r="D373" i="8"/>
  <c r="D374" i="8"/>
  <c r="D375" i="8"/>
  <c r="D376" i="8"/>
  <c r="D377" i="8"/>
  <c r="D378" i="8"/>
  <c r="D379" i="8"/>
  <c r="D380" i="8"/>
  <c r="D381" i="8"/>
  <c r="D382" i="8"/>
  <c r="D383" i="8"/>
  <c r="D384" i="8"/>
  <c r="D385" i="8"/>
  <c r="D386" i="8"/>
  <c r="D387" i="8"/>
  <c r="D388" i="8"/>
  <c r="D389" i="8"/>
  <c r="D390" i="8"/>
  <c r="D391" i="8"/>
  <c r="D392" i="8"/>
  <c r="D393" i="8"/>
  <c r="D394" i="8"/>
  <c r="D395" i="8"/>
  <c r="D396" i="8"/>
  <c r="D397" i="8"/>
  <c r="D398" i="8"/>
  <c r="D399" i="8"/>
  <c r="D400" i="8"/>
  <c r="D401" i="8"/>
  <c r="D402" i="8"/>
  <c r="D403" i="8"/>
  <c r="D404" i="8"/>
  <c r="D405" i="8"/>
  <c r="D406" i="8"/>
  <c r="D407" i="8"/>
  <c r="D408" i="8"/>
  <c r="D409" i="8"/>
  <c r="D410" i="8"/>
  <c r="D411" i="8"/>
  <c r="D412" i="8"/>
  <c r="D413" i="8"/>
  <c r="D414" i="8"/>
  <c r="D415" i="8"/>
  <c r="D416" i="8"/>
  <c r="D417" i="8"/>
  <c r="D418" i="8"/>
  <c r="D419" i="8"/>
  <c r="D420" i="8"/>
  <c r="D421" i="8"/>
  <c r="D422" i="8"/>
  <c r="D423" i="8"/>
  <c r="D424" i="8"/>
  <c r="D425" i="8"/>
  <c r="D426" i="8"/>
  <c r="D427" i="8"/>
  <c r="D428" i="8"/>
  <c r="D429" i="8"/>
  <c r="D430" i="8"/>
  <c r="D431" i="8"/>
  <c r="D432" i="8"/>
  <c r="D433" i="8"/>
  <c r="D434" i="8"/>
  <c r="D435" i="8"/>
  <c r="D436" i="8"/>
  <c r="D437" i="8"/>
  <c r="D438" i="8"/>
  <c r="D439" i="8"/>
  <c r="D440" i="8"/>
  <c r="D441" i="8"/>
  <c r="D442" i="8"/>
  <c r="D443" i="8"/>
  <c r="D444" i="8"/>
  <c r="D445" i="8"/>
  <c r="D446" i="8"/>
  <c r="D447" i="8"/>
  <c r="D448" i="8"/>
  <c r="D449" i="8"/>
  <c r="D450" i="8"/>
  <c r="D451" i="8"/>
  <c r="D452" i="8"/>
  <c r="D453" i="8"/>
  <c r="D454" i="8"/>
  <c r="D455" i="8"/>
  <c r="D456" i="8"/>
  <c r="D457" i="8"/>
  <c r="D458" i="8"/>
  <c r="D459" i="8"/>
  <c r="D460" i="8"/>
  <c r="D461" i="8"/>
  <c r="D462" i="8"/>
  <c r="D463" i="8"/>
  <c r="D464" i="8"/>
  <c r="D465" i="8"/>
  <c r="D466" i="8"/>
  <c r="D467" i="8"/>
  <c r="D468" i="8"/>
  <c r="D469" i="8"/>
  <c r="D470" i="8"/>
  <c r="D471" i="8"/>
  <c r="D472" i="8"/>
  <c r="D473" i="8"/>
  <c r="D474" i="8"/>
  <c r="D475" i="8"/>
  <c r="D476" i="8"/>
  <c r="D477" i="8"/>
  <c r="D478" i="8"/>
  <c r="D479" i="8"/>
  <c r="D480" i="8"/>
  <c r="D481" i="8"/>
  <c r="D482" i="8"/>
  <c r="D483" i="8"/>
  <c r="D484" i="8"/>
  <c r="D485" i="8"/>
  <c r="D486" i="8"/>
  <c r="D487" i="8"/>
  <c r="D488" i="8"/>
  <c r="D489" i="8"/>
  <c r="D490" i="8"/>
  <c r="D491" i="8"/>
  <c r="D492" i="8"/>
  <c r="D493" i="8"/>
  <c r="D494" i="8"/>
  <c r="D495" i="8"/>
  <c r="D496" i="8"/>
  <c r="D497" i="8"/>
  <c r="D498" i="8"/>
  <c r="D499" i="8"/>
  <c r="D500" i="8"/>
  <c r="D501" i="8"/>
  <c r="D502" i="8"/>
  <c r="D503" i="8"/>
  <c r="D504" i="8"/>
  <c r="D505" i="8"/>
  <c r="D506" i="8"/>
  <c r="D507" i="8"/>
  <c r="D508" i="8"/>
  <c r="D509" i="8"/>
  <c r="D510" i="8"/>
  <c r="D511" i="8"/>
  <c r="D512" i="8"/>
  <c r="D513" i="8"/>
  <c r="D514" i="8"/>
  <c r="D515" i="8"/>
  <c r="D516" i="8"/>
  <c r="D517" i="8"/>
  <c r="D518" i="8"/>
  <c r="D519" i="8"/>
  <c r="D520" i="8"/>
  <c r="D521" i="8"/>
  <c r="D522" i="8"/>
  <c r="D523" i="8"/>
  <c r="D524" i="8"/>
  <c r="D525" i="8"/>
  <c r="D526" i="8"/>
  <c r="D527" i="8"/>
  <c r="D528" i="8"/>
  <c r="D529" i="8"/>
  <c r="D530" i="8"/>
  <c r="D531" i="8"/>
  <c r="D532" i="8"/>
  <c r="D533" i="8"/>
  <c r="D534" i="8"/>
  <c r="D535" i="8"/>
  <c r="D536" i="8"/>
  <c r="D537" i="8"/>
  <c r="D538" i="8"/>
  <c r="D539" i="8"/>
  <c r="D540" i="8"/>
  <c r="D541" i="8"/>
  <c r="D542" i="8"/>
  <c r="D543" i="8"/>
  <c r="D544" i="8"/>
  <c r="D545" i="8"/>
  <c r="D546" i="8"/>
  <c r="D547" i="8"/>
  <c r="D548" i="8"/>
  <c r="D549" i="8"/>
  <c r="D550" i="8"/>
  <c r="D551" i="8"/>
  <c r="D552" i="8"/>
  <c r="D553" i="8"/>
  <c r="D554" i="8"/>
  <c r="D555" i="8"/>
  <c r="D556" i="8"/>
  <c r="D557" i="8"/>
  <c r="D558" i="8"/>
  <c r="D559" i="8"/>
  <c r="D560" i="8"/>
  <c r="D561" i="8"/>
  <c r="D562" i="8"/>
  <c r="D563" i="8"/>
  <c r="D564" i="8"/>
  <c r="D565" i="8"/>
  <c r="D566" i="8"/>
  <c r="D567" i="8"/>
  <c r="D568" i="8"/>
  <c r="D569" i="8"/>
  <c r="D570" i="8"/>
  <c r="D571" i="8"/>
  <c r="D572" i="8"/>
  <c r="D573" i="8"/>
  <c r="D574" i="8"/>
  <c r="D575" i="8"/>
  <c r="D576" i="8"/>
  <c r="D577" i="8"/>
  <c r="D578" i="8"/>
  <c r="D579" i="8"/>
  <c r="D580" i="8"/>
  <c r="D581" i="8"/>
  <c r="D582" i="8"/>
  <c r="D583" i="8"/>
  <c r="D584" i="8"/>
  <c r="D585" i="8"/>
  <c r="D586" i="8"/>
  <c r="D587" i="8"/>
  <c r="D588" i="8"/>
  <c r="D589" i="8"/>
  <c r="D590" i="8"/>
  <c r="D591" i="8"/>
  <c r="D592" i="8"/>
  <c r="D593" i="8"/>
  <c r="D594" i="8"/>
  <c r="D595" i="8"/>
  <c r="D596" i="8"/>
  <c r="D597" i="8"/>
  <c r="D598" i="8"/>
  <c r="D599" i="8"/>
  <c r="D600" i="8"/>
  <c r="D601" i="8"/>
  <c r="D602" i="8"/>
  <c r="D603" i="8"/>
  <c r="D604" i="8"/>
  <c r="D605" i="8"/>
  <c r="D606" i="8"/>
  <c r="D607" i="8"/>
  <c r="D608" i="8"/>
  <c r="D609" i="8"/>
  <c r="D610" i="8"/>
  <c r="D611" i="8"/>
  <c r="D612" i="8"/>
  <c r="D613" i="8"/>
  <c r="D614" i="8"/>
  <c r="D615" i="8"/>
  <c r="D616" i="8"/>
  <c r="D617" i="8"/>
  <c r="D618" i="8"/>
  <c r="D619" i="8"/>
  <c r="D620" i="8"/>
  <c r="D621" i="8"/>
  <c r="D622" i="8"/>
  <c r="D623" i="8"/>
  <c r="D624" i="8"/>
  <c r="D625" i="8"/>
  <c r="D626" i="8"/>
  <c r="D627" i="8"/>
  <c r="D628" i="8"/>
  <c r="D629" i="8"/>
  <c r="D630" i="8"/>
  <c r="D631" i="8"/>
  <c r="D632" i="8"/>
  <c r="D633" i="8"/>
  <c r="D634" i="8"/>
  <c r="D635" i="8"/>
  <c r="D636" i="8"/>
  <c r="D637" i="8"/>
  <c r="D638" i="8"/>
  <c r="D639" i="8"/>
  <c r="D640" i="8"/>
  <c r="D641" i="8"/>
  <c r="D642" i="8"/>
  <c r="D643" i="8"/>
  <c r="D644" i="8"/>
  <c r="D645" i="8"/>
  <c r="D646" i="8"/>
  <c r="D647" i="8"/>
  <c r="D648" i="8"/>
  <c r="D649" i="8"/>
  <c r="D650" i="8"/>
  <c r="D651" i="8"/>
  <c r="D652" i="8"/>
  <c r="D653" i="8"/>
  <c r="D654" i="8"/>
  <c r="D655" i="8"/>
  <c r="D656" i="8"/>
  <c r="D657" i="8"/>
  <c r="D658" i="8"/>
  <c r="D659" i="8"/>
  <c r="D660" i="8"/>
  <c r="D661" i="8"/>
  <c r="D662" i="8"/>
  <c r="D663" i="8"/>
  <c r="D664" i="8"/>
  <c r="D665" i="8"/>
  <c r="D666" i="8"/>
  <c r="D667" i="8"/>
  <c r="D668" i="8"/>
  <c r="D669" i="8"/>
  <c r="D670" i="8"/>
  <c r="D671" i="8"/>
  <c r="D672" i="8"/>
  <c r="D673" i="8"/>
  <c r="D674" i="8"/>
  <c r="D675" i="8"/>
  <c r="D676" i="8"/>
  <c r="D677" i="8"/>
  <c r="D678" i="8"/>
  <c r="D679" i="8"/>
  <c r="D680" i="8"/>
  <c r="D681" i="8"/>
  <c r="D682" i="8"/>
  <c r="D683" i="8"/>
  <c r="D684" i="8"/>
  <c r="D685" i="8"/>
  <c r="D686" i="8"/>
  <c r="D687" i="8"/>
  <c r="D688" i="8"/>
  <c r="D689" i="8"/>
  <c r="D690" i="8"/>
  <c r="D691" i="8"/>
  <c r="D692" i="8"/>
  <c r="D693" i="8"/>
  <c r="D694" i="8"/>
  <c r="D695" i="8"/>
  <c r="D696" i="8"/>
  <c r="D697" i="8"/>
  <c r="D698" i="8"/>
  <c r="D699" i="8"/>
  <c r="D700" i="8"/>
  <c r="D701" i="8"/>
  <c r="D702" i="8"/>
  <c r="D703" i="8"/>
  <c r="D704" i="8"/>
  <c r="D705" i="8"/>
  <c r="D706" i="8"/>
  <c r="D707" i="8"/>
  <c r="D708" i="8"/>
  <c r="D709" i="8"/>
  <c r="D710" i="8"/>
  <c r="D711" i="8"/>
  <c r="D712" i="8"/>
  <c r="D713" i="8"/>
  <c r="D714" i="8"/>
  <c r="D715" i="8"/>
  <c r="D716" i="8"/>
  <c r="D717" i="8"/>
  <c r="D718" i="8"/>
  <c r="D719" i="8"/>
  <c r="D720" i="8"/>
  <c r="D721" i="8"/>
  <c r="D722" i="8"/>
  <c r="D723" i="8"/>
  <c r="D724" i="8"/>
  <c r="D725" i="8"/>
  <c r="D726" i="8"/>
  <c r="D727" i="8"/>
  <c r="D728" i="8"/>
  <c r="D729" i="8"/>
  <c r="D730" i="8"/>
  <c r="D731" i="8"/>
  <c r="D732" i="8"/>
  <c r="D733" i="8"/>
  <c r="D734" i="8"/>
  <c r="D735" i="8"/>
  <c r="D736" i="8"/>
  <c r="D737" i="8"/>
  <c r="D738" i="8"/>
  <c r="D739" i="8"/>
  <c r="D740" i="8"/>
  <c r="D741" i="8"/>
  <c r="D742" i="8"/>
  <c r="D743" i="8"/>
  <c r="D744" i="8"/>
  <c r="D745" i="8"/>
  <c r="D746" i="8"/>
  <c r="D747" i="8"/>
  <c r="D748" i="8"/>
  <c r="D749" i="8"/>
  <c r="D750" i="8"/>
  <c r="D751" i="8"/>
  <c r="D752" i="8"/>
  <c r="D753" i="8"/>
  <c r="D754" i="8"/>
  <c r="D755" i="8"/>
  <c r="D756" i="8"/>
  <c r="D757" i="8"/>
  <c r="D758" i="8"/>
  <c r="D759" i="8"/>
  <c r="D760" i="8"/>
  <c r="D761" i="8"/>
  <c r="D762" i="8"/>
  <c r="D763" i="8"/>
  <c r="D764" i="8"/>
  <c r="D765" i="8"/>
  <c r="D766" i="8"/>
  <c r="D767" i="8"/>
  <c r="D768" i="8"/>
  <c r="D769" i="8"/>
  <c r="D770" i="8"/>
  <c r="D771" i="8"/>
  <c r="D772" i="8"/>
  <c r="D773" i="8"/>
  <c r="D774" i="8"/>
  <c r="D775" i="8"/>
  <c r="D776" i="8"/>
  <c r="D777" i="8"/>
  <c r="D778" i="8"/>
  <c r="D779" i="8"/>
  <c r="D780" i="8"/>
  <c r="D781" i="8"/>
  <c r="D782" i="8"/>
  <c r="D783" i="8"/>
  <c r="D784" i="8"/>
  <c r="D785" i="8"/>
  <c r="D786" i="8"/>
  <c r="D787" i="8"/>
  <c r="D788" i="8"/>
  <c r="D789" i="8"/>
  <c r="D790" i="8"/>
  <c r="D791" i="8"/>
  <c r="D792" i="8"/>
  <c r="D793" i="8"/>
  <c r="D794" i="8"/>
  <c r="D795" i="8"/>
  <c r="D796" i="8"/>
  <c r="D797" i="8"/>
  <c r="D798" i="8"/>
  <c r="D799" i="8"/>
  <c r="D800" i="8"/>
  <c r="D801" i="8"/>
  <c r="D802" i="8"/>
  <c r="D803" i="8"/>
  <c r="D804" i="8"/>
  <c r="D805" i="8"/>
  <c r="D806" i="8"/>
  <c r="D807" i="8"/>
  <c r="D808" i="8"/>
  <c r="D809" i="8"/>
  <c r="D810" i="8"/>
  <c r="D811" i="8"/>
  <c r="D812" i="8"/>
  <c r="D813" i="8"/>
  <c r="D814" i="8"/>
  <c r="D815" i="8"/>
  <c r="D816" i="8"/>
  <c r="D817" i="8"/>
  <c r="D818" i="8"/>
  <c r="D819" i="8"/>
  <c r="D820" i="8"/>
  <c r="D821" i="8"/>
  <c r="D822" i="8"/>
  <c r="D823" i="8"/>
  <c r="D824" i="8"/>
  <c r="D825" i="8"/>
  <c r="D826" i="8"/>
  <c r="D827" i="8"/>
  <c r="D828" i="8"/>
  <c r="D829" i="8"/>
  <c r="D830" i="8"/>
  <c r="D831" i="8"/>
  <c r="D832" i="8"/>
  <c r="D833" i="8"/>
  <c r="D834" i="8"/>
  <c r="D835" i="8"/>
  <c r="D836" i="8"/>
  <c r="D837" i="8"/>
  <c r="D838" i="8"/>
  <c r="D839" i="8"/>
  <c r="D840" i="8"/>
  <c r="D841" i="8"/>
  <c r="D842" i="8"/>
  <c r="D843" i="8"/>
  <c r="D844" i="8"/>
  <c r="D845" i="8"/>
  <c r="D846" i="8"/>
  <c r="D847" i="8"/>
  <c r="D848" i="8"/>
  <c r="D849" i="8"/>
  <c r="D850" i="8"/>
  <c r="D851" i="8"/>
  <c r="D852" i="8"/>
  <c r="D853" i="8"/>
  <c r="D854" i="8"/>
  <c r="D855" i="8"/>
  <c r="D856" i="8"/>
  <c r="D857" i="8"/>
  <c r="D858" i="8"/>
  <c r="D859" i="8"/>
  <c r="D860" i="8"/>
  <c r="D861" i="8"/>
  <c r="D862" i="8"/>
  <c r="D863" i="8"/>
  <c r="D864" i="8"/>
  <c r="D865" i="8"/>
  <c r="D866" i="8"/>
  <c r="D867" i="8"/>
  <c r="D868" i="8"/>
  <c r="D869" i="8"/>
  <c r="D870" i="8"/>
  <c r="D871" i="8"/>
  <c r="D872" i="8"/>
  <c r="D873" i="8"/>
  <c r="D874" i="8"/>
  <c r="D875" i="8"/>
  <c r="D876" i="8"/>
  <c r="D877" i="8"/>
  <c r="D878" i="8"/>
  <c r="D879" i="8"/>
  <c r="D880" i="8"/>
  <c r="D881" i="8"/>
  <c r="D882" i="8"/>
  <c r="D883" i="8"/>
  <c r="D884" i="8"/>
  <c r="D885" i="8"/>
  <c r="D886" i="8"/>
  <c r="D887" i="8"/>
  <c r="D888" i="8"/>
  <c r="D889" i="8"/>
  <c r="D890" i="8"/>
  <c r="D891" i="8"/>
  <c r="D892" i="8"/>
  <c r="D893" i="8"/>
  <c r="D894" i="8"/>
  <c r="D895" i="8"/>
  <c r="D896" i="8"/>
  <c r="D897" i="8"/>
  <c r="D898" i="8"/>
  <c r="D899" i="8"/>
  <c r="D900" i="8"/>
  <c r="D901" i="8"/>
  <c r="D902" i="8"/>
  <c r="D903" i="8"/>
  <c r="D904" i="8"/>
  <c r="D905" i="8"/>
  <c r="D906" i="8"/>
  <c r="D907" i="8"/>
  <c r="D908" i="8"/>
  <c r="D909" i="8"/>
  <c r="D910" i="8"/>
  <c r="D911" i="8"/>
  <c r="D912" i="8"/>
  <c r="D913" i="8"/>
  <c r="D914" i="8"/>
  <c r="D915" i="8"/>
  <c r="D916" i="8"/>
  <c r="D917" i="8"/>
  <c r="D918" i="8"/>
  <c r="D919" i="8"/>
  <c r="D920" i="8"/>
  <c r="D921" i="8"/>
  <c r="D922" i="8"/>
  <c r="D923" i="8"/>
  <c r="D924" i="8"/>
  <c r="D925" i="8"/>
  <c r="D926" i="8"/>
  <c r="D927" i="8"/>
  <c r="D928" i="8"/>
  <c r="D929" i="8"/>
  <c r="D930" i="8"/>
  <c r="D931" i="8"/>
  <c r="D932" i="8"/>
  <c r="D933" i="8"/>
  <c r="D934" i="8"/>
  <c r="D935" i="8"/>
  <c r="D936" i="8"/>
  <c r="D937" i="8"/>
  <c r="D938" i="8"/>
  <c r="D939" i="8"/>
  <c r="D940" i="8"/>
  <c r="D941" i="8"/>
  <c r="D942" i="8"/>
  <c r="D943" i="8"/>
  <c r="D944" i="8"/>
  <c r="D945" i="8"/>
  <c r="D946" i="8"/>
  <c r="D947" i="8"/>
  <c r="D948" i="8"/>
  <c r="D949" i="8"/>
  <c r="D950" i="8"/>
  <c r="D951" i="8"/>
  <c r="D952" i="8"/>
  <c r="D953" i="8"/>
  <c r="D954" i="8"/>
  <c r="D955" i="8"/>
  <c r="D956" i="8"/>
  <c r="D957" i="8"/>
  <c r="D958" i="8"/>
  <c r="D959" i="8"/>
  <c r="D960" i="8"/>
  <c r="D961" i="8"/>
  <c r="D962" i="8"/>
  <c r="D963" i="8"/>
  <c r="D964" i="8"/>
  <c r="D965" i="8"/>
  <c r="D966" i="8"/>
  <c r="D967" i="8"/>
  <c r="D968" i="8"/>
  <c r="D969" i="8"/>
  <c r="D970" i="8"/>
  <c r="D971" i="8"/>
  <c r="D972" i="8"/>
  <c r="D973" i="8"/>
  <c r="D974" i="8"/>
  <c r="D975" i="8"/>
  <c r="D976" i="8"/>
  <c r="D977" i="8"/>
  <c r="D978" i="8"/>
  <c r="D979" i="8"/>
  <c r="D980" i="8"/>
  <c r="D981" i="8"/>
  <c r="D982" i="8"/>
  <c r="D983" i="8"/>
  <c r="D984" i="8"/>
  <c r="D985" i="8"/>
  <c r="D986" i="8"/>
  <c r="D987" i="8"/>
  <c r="D988" i="8"/>
  <c r="D989" i="8"/>
  <c r="D990" i="8"/>
  <c r="D991" i="8"/>
  <c r="D992" i="8"/>
  <c r="D993" i="8"/>
  <c r="D994" i="8"/>
  <c r="D995" i="8"/>
  <c r="D996" i="8"/>
  <c r="D997" i="8"/>
  <c r="D998" i="8"/>
  <c r="D999" i="8"/>
  <c r="D1000" i="8"/>
  <c r="D1001" i="8"/>
  <c r="D1002" i="8"/>
  <c r="D1003" i="8"/>
  <c r="D1004" i="8"/>
  <c r="D1005" i="8"/>
  <c r="D1006" i="8"/>
  <c r="D1007" i="8"/>
  <c r="D1008" i="8"/>
  <c r="D1009" i="8"/>
  <c r="D1010" i="8"/>
  <c r="D1011" i="8"/>
  <c r="D1012" i="8"/>
  <c r="D1013" i="8"/>
  <c r="D1014" i="8"/>
  <c r="D1015" i="8"/>
  <c r="D1016" i="8"/>
  <c r="D1017" i="8"/>
  <c r="D1018" i="8"/>
  <c r="D1019" i="8"/>
  <c r="D1020" i="8"/>
  <c r="D1021" i="8"/>
  <c r="D1022" i="8"/>
  <c r="D1023" i="8"/>
  <c r="D1024" i="8"/>
  <c r="D1025" i="8"/>
  <c r="D1026" i="8"/>
  <c r="D1027" i="8"/>
  <c r="D1028" i="8"/>
  <c r="D1029" i="8"/>
  <c r="D1030" i="8"/>
  <c r="D1031" i="8"/>
  <c r="D1032" i="8"/>
  <c r="D1033" i="8"/>
  <c r="D1034" i="8"/>
  <c r="D1035" i="8"/>
  <c r="D1036" i="8"/>
  <c r="D1037" i="8"/>
  <c r="D1038" i="8"/>
  <c r="D1039" i="8"/>
  <c r="D1040" i="8"/>
  <c r="D1041" i="8"/>
  <c r="D1042" i="8"/>
  <c r="D1043" i="8"/>
  <c r="D1044" i="8"/>
  <c r="D1045" i="8"/>
  <c r="D1046" i="8"/>
  <c r="D1047" i="8"/>
  <c r="D1048" i="8"/>
  <c r="D1049" i="8"/>
  <c r="D1050" i="8"/>
  <c r="D1051" i="8"/>
  <c r="D1052" i="8"/>
  <c r="D1053" i="8"/>
  <c r="D1054" i="8"/>
  <c r="D1055" i="8"/>
  <c r="D1056" i="8"/>
  <c r="D1057" i="8"/>
  <c r="D1058" i="8"/>
  <c r="D1059" i="8"/>
  <c r="D1060" i="8"/>
  <c r="D1061" i="8"/>
  <c r="D1062" i="8"/>
  <c r="D1063" i="8"/>
  <c r="D1064" i="8"/>
  <c r="D1065" i="8"/>
  <c r="D1066" i="8"/>
  <c r="D1067" i="8"/>
  <c r="D1068" i="8"/>
  <c r="D1069" i="8"/>
  <c r="D1070" i="8"/>
  <c r="D1071" i="8"/>
  <c r="D1072" i="8"/>
  <c r="D1073" i="8"/>
  <c r="D1074" i="8"/>
  <c r="D1075" i="8"/>
  <c r="D1076" i="8"/>
  <c r="D1077" i="8"/>
  <c r="D1078" i="8"/>
  <c r="D1079" i="8"/>
  <c r="D1080" i="8"/>
  <c r="D1081" i="8"/>
  <c r="D1082" i="8"/>
  <c r="D1083" i="8"/>
  <c r="D1084" i="8"/>
  <c r="D1085" i="8"/>
  <c r="D1086" i="8"/>
  <c r="D1087" i="8"/>
  <c r="D1088" i="8"/>
  <c r="D1089" i="8"/>
  <c r="D1090" i="8"/>
  <c r="D1091" i="8"/>
  <c r="D1092" i="8"/>
  <c r="D1093" i="8"/>
  <c r="D1094" i="8"/>
  <c r="D1095" i="8"/>
  <c r="D1096" i="8"/>
  <c r="D1097" i="8"/>
  <c r="D1098" i="8"/>
  <c r="D1099" i="8"/>
  <c r="D1100" i="8"/>
  <c r="D1101" i="8"/>
  <c r="D1102" i="8"/>
  <c r="D1103" i="8"/>
  <c r="D1104" i="8"/>
  <c r="D1105" i="8"/>
  <c r="D1106" i="8"/>
  <c r="D1107" i="8"/>
  <c r="D1108" i="8"/>
  <c r="D1109" i="8"/>
  <c r="D1110" i="8"/>
  <c r="D1111" i="8"/>
  <c r="D1112" i="8"/>
  <c r="D1113" i="8"/>
  <c r="D1114" i="8"/>
  <c r="D1115" i="8"/>
  <c r="D1116" i="8"/>
  <c r="D1117" i="8"/>
  <c r="D1118" i="8"/>
  <c r="D1119" i="8"/>
  <c r="D1120" i="8"/>
  <c r="D1121" i="8"/>
  <c r="D1122" i="8"/>
  <c r="D1123" i="8"/>
  <c r="D1124" i="8"/>
  <c r="D1125" i="8"/>
  <c r="D1126" i="8"/>
  <c r="D1127" i="8"/>
  <c r="D1128" i="8"/>
  <c r="D1129" i="8"/>
  <c r="D1130" i="8"/>
  <c r="D1131" i="8"/>
  <c r="D1132" i="8"/>
  <c r="D1133" i="8"/>
  <c r="D1134" i="8"/>
  <c r="D1135" i="8"/>
  <c r="D1136" i="8"/>
  <c r="D1137" i="8"/>
  <c r="D1138" i="8"/>
  <c r="D1139" i="8"/>
  <c r="D1140" i="8"/>
  <c r="D1141" i="8"/>
  <c r="D1142" i="8"/>
  <c r="D1143" i="8"/>
  <c r="D1144" i="8"/>
  <c r="D1145" i="8"/>
  <c r="D1146" i="8"/>
  <c r="D1147" i="8"/>
  <c r="D1148" i="8"/>
  <c r="D1149" i="8"/>
  <c r="D1150" i="8"/>
  <c r="D1151" i="8"/>
  <c r="D1152" i="8"/>
  <c r="D1153" i="8"/>
  <c r="D1154" i="8"/>
  <c r="D1155" i="8"/>
  <c r="D1156" i="8"/>
  <c r="D1157" i="8"/>
  <c r="D1158" i="8"/>
  <c r="D1159" i="8"/>
  <c r="D1160" i="8"/>
  <c r="D1161" i="8"/>
  <c r="D1162" i="8"/>
  <c r="D1163" i="8"/>
  <c r="D1164" i="8"/>
  <c r="D1165" i="8"/>
  <c r="D1166" i="8"/>
  <c r="D1167" i="8"/>
  <c r="D1168" i="8"/>
  <c r="D1169" i="8"/>
  <c r="D1170" i="8"/>
  <c r="D1171" i="8"/>
  <c r="D1172" i="8"/>
  <c r="D1173" i="8"/>
  <c r="D1174" i="8"/>
  <c r="D1175" i="8"/>
  <c r="D1176" i="8"/>
  <c r="D1177" i="8"/>
  <c r="D1178" i="8"/>
  <c r="D1179" i="8"/>
  <c r="D1180" i="8"/>
  <c r="D1181" i="8"/>
  <c r="D1182" i="8"/>
  <c r="D1183" i="8"/>
  <c r="D1184" i="8"/>
  <c r="D1185" i="8"/>
  <c r="D1186" i="8"/>
  <c r="D1187" i="8"/>
  <c r="D1188" i="8"/>
  <c r="D1189" i="8"/>
  <c r="D1190" i="8"/>
  <c r="D1191" i="8"/>
  <c r="D1192" i="8"/>
  <c r="D1193" i="8"/>
  <c r="D1194" i="8"/>
  <c r="D1195" i="8"/>
  <c r="D1196" i="8"/>
  <c r="D1197" i="8"/>
  <c r="D1198" i="8"/>
  <c r="D1199" i="8"/>
  <c r="D1200" i="8"/>
  <c r="D1201" i="8"/>
  <c r="D1202" i="8"/>
  <c r="D1203" i="8"/>
  <c r="D1204" i="8"/>
  <c r="D1205" i="8"/>
  <c r="D1206" i="8"/>
  <c r="D1207" i="8"/>
  <c r="D1208" i="8"/>
  <c r="D1209" i="8"/>
  <c r="D1210" i="8"/>
  <c r="D1211" i="8"/>
  <c r="D1212" i="8"/>
  <c r="D1213" i="8"/>
  <c r="D1214" i="8"/>
  <c r="D1215" i="8"/>
  <c r="D1216" i="8"/>
  <c r="D1217" i="8"/>
  <c r="D1218" i="8"/>
  <c r="D1219" i="8"/>
  <c r="D1220" i="8"/>
  <c r="D1221" i="8"/>
  <c r="D1222" i="8"/>
  <c r="D1223" i="8"/>
  <c r="D1224" i="8"/>
  <c r="D1225" i="8"/>
  <c r="D1226" i="8"/>
  <c r="D1227" i="8"/>
  <c r="D1228" i="8"/>
  <c r="D1229" i="8"/>
  <c r="D1230" i="8"/>
  <c r="D1231" i="8"/>
  <c r="D1232" i="8"/>
  <c r="D1233" i="8"/>
  <c r="D1234" i="8"/>
  <c r="D1235" i="8"/>
  <c r="D1236" i="8"/>
  <c r="D1237" i="8"/>
  <c r="D1238" i="8"/>
  <c r="D1239" i="8"/>
  <c r="D1240" i="8"/>
  <c r="D1241" i="8"/>
  <c r="D1242" i="8"/>
  <c r="D1243" i="8"/>
  <c r="D1244" i="8"/>
  <c r="D1245" i="8"/>
  <c r="D1246" i="8"/>
  <c r="D1247" i="8"/>
  <c r="D1248" i="8"/>
  <c r="D1249" i="8"/>
  <c r="D1250" i="8"/>
  <c r="D1251" i="8"/>
  <c r="D1252" i="8"/>
  <c r="D1253" i="8"/>
  <c r="D1254" i="8"/>
  <c r="D1255" i="8"/>
  <c r="D1256" i="8"/>
  <c r="D1257" i="8"/>
  <c r="D1258" i="8"/>
  <c r="D1259" i="8"/>
  <c r="D1260" i="8"/>
  <c r="D1261" i="8"/>
  <c r="D1262" i="8"/>
  <c r="D1263" i="8"/>
  <c r="D1264" i="8"/>
  <c r="D1265" i="8"/>
  <c r="D1266" i="8"/>
  <c r="D1267" i="8"/>
  <c r="D1268" i="8"/>
  <c r="D1269" i="8"/>
  <c r="D1270" i="8"/>
  <c r="D1271" i="8"/>
  <c r="D1272" i="8"/>
  <c r="D1273" i="8"/>
  <c r="D1274" i="8"/>
  <c r="D1275" i="8"/>
  <c r="D1276" i="8"/>
  <c r="D1277" i="8"/>
  <c r="D1278" i="8"/>
  <c r="D1279" i="8"/>
  <c r="D1280" i="8"/>
  <c r="D1281" i="8"/>
  <c r="D1282" i="8"/>
  <c r="D1283" i="8"/>
  <c r="D1284" i="8"/>
  <c r="D1285" i="8"/>
  <c r="D1286" i="8"/>
  <c r="D1287" i="8"/>
  <c r="D1288" i="8"/>
  <c r="D1289" i="8"/>
  <c r="D1290" i="8"/>
  <c r="D1291" i="8"/>
  <c r="D1292" i="8"/>
  <c r="D1293" i="8"/>
  <c r="D1294" i="8"/>
  <c r="D1295" i="8"/>
  <c r="D1296" i="8"/>
  <c r="D1297" i="8"/>
  <c r="D1298" i="8"/>
  <c r="D1299" i="8"/>
  <c r="D1300" i="8"/>
  <c r="D1301" i="8"/>
  <c r="D1302" i="8"/>
  <c r="D1303" i="8"/>
  <c r="D1304" i="8"/>
  <c r="D1305" i="8"/>
  <c r="D1306" i="8"/>
  <c r="D1307" i="8"/>
  <c r="D1308" i="8"/>
  <c r="D1309" i="8"/>
  <c r="D1310" i="8"/>
  <c r="D1311" i="8"/>
  <c r="D1312" i="8"/>
  <c r="D1313" i="8"/>
  <c r="D1314" i="8"/>
  <c r="D1315" i="8"/>
  <c r="D1316" i="8"/>
  <c r="D1317" i="8"/>
  <c r="D1318" i="8"/>
  <c r="D1319" i="8"/>
  <c r="D1320" i="8"/>
  <c r="D1321" i="8"/>
  <c r="D1322" i="8"/>
  <c r="D1323" i="8"/>
  <c r="D1324" i="8"/>
  <c r="D1325" i="8"/>
  <c r="D1326" i="8"/>
  <c r="D1327" i="8"/>
  <c r="D1328" i="8"/>
  <c r="D1329" i="8"/>
  <c r="D1330" i="8"/>
  <c r="D1331" i="8"/>
  <c r="D1332" i="8"/>
  <c r="D1333" i="8"/>
  <c r="D1334" i="8"/>
  <c r="D1335" i="8"/>
  <c r="D1336" i="8"/>
  <c r="D1337" i="8"/>
  <c r="D1338" i="8"/>
  <c r="D1339" i="8"/>
  <c r="D1340" i="8"/>
  <c r="D1341" i="8"/>
  <c r="D1342" i="8"/>
  <c r="D1343" i="8"/>
  <c r="D1344" i="8"/>
  <c r="D1345" i="8"/>
  <c r="D1346" i="8"/>
  <c r="D1347" i="8"/>
  <c r="D1348" i="8"/>
  <c r="D1349" i="8"/>
  <c r="D1350" i="8"/>
  <c r="D1351" i="8"/>
  <c r="D1352" i="8"/>
  <c r="D1353" i="8"/>
  <c r="D1354" i="8"/>
  <c r="D1355" i="8"/>
  <c r="D1356" i="8"/>
  <c r="D1357" i="8"/>
  <c r="D1358" i="8"/>
  <c r="D1359" i="8"/>
  <c r="D1360" i="8"/>
  <c r="D1361" i="8"/>
  <c r="D1362" i="8"/>
  <c r="D1363" i="8"/>
  <c r="D1364" i="8"/>
  <c r="D1365" i="8"/>
  <c r="D1366" i="8"/>
  <c r="D1367" i="8"/>
  <c r="D1368" i="8"/>
  <c r="D1369" i="8"/>
  <c r="D1370" i="8"/>
  <c r="D1371" i="8"/>
  <c r="D1372" i="8"/>
  <c r="D1373" i="8"/>
  <c r="D1374" i="8"/>
  <c r="D1375" i="8"/>
  <c r="D1376" i="8"/>
  <c r="D1377" i="8"/>
  <c r="D1378" i="8"/>
  <c r="D1379" i="8"/>
  <c r="D1380" i="8"/>
  <c r="D1381" i="8"/>
  <c r="D1382" i="8"/>
  <c r="D1383" i="8"/>
  <c r="D1384" i="8"/>
  <c r="D1385" i="8"/>
  <c r="D1386" i="8"/>
  <c r="D1387" i="8"/>
  <c r="D1388" i="8"/>
  <c r="D1389" i="8"/>
  <c r="D1390" i="8"/>
  <c r="D1391" i="8"/>
  <c r="D1392" i="8"/>
  <c r="D1393" i="8"/>
  <c r="D1394" i="8"/>
  <c r="D1395" i="8"/>
  <c r="D1396" i="8"/>
  <c r="D1397" i="8"/>
  <c r="D1398" i="8"/>
  <c r="D1399" i="8"/>
  <c r="D1400" i="8"/>
  <c r="D1401" i="8"/>
  <c r="D1402" i="8"/>
  <c r="D1403" i="8"/>
  <c r="D1404" i="8"/>
  <c r="D1405" i="8"/>
  <c r="D1406" i="8"/>
  <c r="D1407" i="8"/>
  <c r="D1408" i="8"/>
  <c r="D1409" i="8"/>
  <c r="D1410" i="8"/>
  <c r="D1411" i="8"/>
  <c r="D1412" i="8"/>
  <c r="D1413" i="8"/>
  <c r="D1414" i="8"/>
  <c r="D1415" i="8"/>
  <c r="D1416" i="8"/>
  <c r="D1417" i="8"/>
  <c r="D1418" i="8"/>
  <c r="D1419" i="8"/>
  <c r="D1420" i="8"/>
  <c r="D1421" i="8"/>
  <c r="D1422" i="8"/>
  <c r="D1423" i="8"/>
  <c r="D1424" i="8"/>
  <c r="D1425" i="8"/>
  <c r="D1426" i="8"/>
  <c r="D1427" i="8"/>
  <c r="D1428" i="8"/>
  <c r="D1429" i="8"/>
  <c r="D1430" i="8"/>
  <c r="D1431" i="8"/>
  <c r="D1432" i="8"/>
  <c r="D1433" i="8"/>
  <c r="D1434" i="8"/>
  <c r="D1435" i="8"/>
  <c r="D1436" i="8"/>
  <c r="D1437" i="8"/>
  <c r="D1438" i="8"/>
  <c r="D1439" i="8"/>
  <c r="D1440" i="8"/>
  <c r="D1441" i="8"/>
  <c r="D1442" i="8"/>
  <c r="D1443" i="8"/>
  <c r="D1444" i="8"/>
  <c r="D1445" i="8"/>
  <c r="D1446" i="8"/>
  <c r="D1447" i="8"/>
  <c r="D1448" i="8"/>
  <c r="D1449" i="8"/>
  <c r="D1450" i="8"/>
  <c r="D1451" i="8"/>
  <c r="D1452" i="8"/>
  <c r="D1453" i="8"/>
  <c r="D1454" i="8"/>
  <c r="D1455" i="8"/>
  <c r="D1456" i="8"/>
  <c r="D1457" i="8"/>
  <c r="D1458" i="8"/>
  <c r="D1459" i="8"/>
  <c r="D1460" i="8"/>
  <c r="D1461" i="8"/>
  <c r="D1462" i="8"/>
  <c r="D1463" i="8"/>
  <c r="D1464" i="8"/>
  <c r="D1465" i="8"/>
  <c r="D1466" i="8"/>
  <c r="D1467" i="8"/>
  <c r="D1468" i="8"/>
  <c r="D1469" i="8"/>
  <c r="D1470" i="8"/>
  <c r="D1471" i="8"/>
  <c r="D1472" i="8"/>
  <c r="D1473" i="8"/>
  <c r="D1474" i="8"/>
  <c r="D1475" i="8"/>
  <c r="D1476" i="8"/>
  <c r="D1477" i="8"/>
  <c r="D1478" i="8"/>
  <c r="D1479" i="8"/>
  <c r="D1480" i="8"/>
  <c r="D1481" i="8"/>
  <c r="D1482" i="8"/>
  <c r="D1483" i="8"/>
  <c r="D1484" i="8"/>
  <c r="D1485" i="8"/>
  <c r="D1486" i="8"/>
  <c r="D1487" i="8"/>
  <c r="D1488" i="8"/>
  <c r="D1489" i="8"/>
  <c r="D1490" i="8"/>
  <c r="D1491" i="8"/>
  <c r="D1492" i="8"/>
  <c r="D1493" i="8"/>
  <c r="D1494" i="8"/>
  <c r="D1495" i="8"/>
  <c r="D1496" i="8"/>
  <c r="D1497" i="8"/>
  <c r="D1498" i="8"/>
  <c r="D1499" i="8"/>
  <c r="D1500" i="8"/>
  <c r="D1501" i="8"/>
  <c r="D1502" i="8"/>
  <c r="D1503" i="8"/>
  <c r="D1504" i="8"/>
  <c r="D1505" i="8"/>
  <c r="D1506" i="8"/>
  <c r="D1507" i="8"/>
  <c r="D1508" i="8"/>
  <c r="D1509" i="8"/>
  <c r="D1510" i="8"/>
  <c r="D1511" i="8"/>
  <c r="D1512" i="8"/>
  <c r="D1513" i="8"/>
  <c r="D1514" i="8"/>
  <c r="D1515" i="8"/>
  <c r="D1516" i="8"/>
  <c r="D1517" i="8"/>
  <c r="D1518" i="8"/>
  <c r="D1519" i="8"/>
  <c r="D1520" i="8"/>
  <c r="D1521" i="8"/>
  <c r="D1522" i="8"/>
  <c r="D1523" i="8"/>
  <c r="D1524" i="8"/>
  <c r="D1525" i="8"/>
  <c r="D1526" i="8"/>
  <c r="D1527" i="8"/>
  <c r="D1528" i="8"/>
  <c r="D1529" i="8"/>
  <c r="D1530" i="8"/>
  <c r="D1531" i="8"/>
  <c r="D1532" i="8"/>
  <c r="D1533" i="8"/>
  <c r="D1534" i="8"/>
  <c r="D1535" i="8"/>
  <c r="D1536" i="8"/>
  <c r="D1537" i="8"/>
  <c r="D1538" i="8"/>
  <c r="D1539" i="8"/>
  <c r="D1540" i="8"/>
  <c r="D1541" i="8"/>
  <c r="D1542" i="8"/>
  <c r="D1543" i="8"/>
  <c r="D1544" i="8"/>
  <c r="D1545" i="8"/>
  <c r="D1546" i="8"/>
  <c r="D1547" i="8"/>
  <c r="D1548" i="8"/>
  <c r="D1549" i="8"/>
  <c r="D1550" i="8"/>
  <c r="D1551" i="8"/>
  <c r="D1552" i="8"/>
  <c r="D1553" i="8"/>
  <c r="D1554" i="8"/>
  <c r="D1555" i="8"/>
  <c r="D1556" i="8"/>
  <c r="D1557" i="8"/>
  <c r="D1558" i="8"/>
  <c r="D1559" i="8"/>
  <c r="D1560" i="8"/>
  <c r="D1561" i="8"/>
  <c r="D1562" i="8"/>
  <c r="D1563" i="8"/>
  <c r="D1564" i="8"/>
  <c r="D1565" i="8"/>
  <c r="D1566" i="8"/>
  <c r="D1567" i="8"/>
  <c r="D1568" i="8"/>
  <c r="D1569" i="8"/>
  <c r="D1570" i="8"/>
  <c r="D1571" i="8"/>
  <c r="D1572" i="8"/>
  <c r="D1573" i="8"/>
  <c r="D1574" i="8"/>
  <c r="D1575" i="8"/>
  <c r="D1576" i="8"/>
  <c r="D1577" i="8"/>
  <c r="D1578" i="8"/>
  <c r="D1579" i="8"/>
  <c r="D1580" i="8"/>
  <c r="D1581" i="8"/>
  <c r="D1582" i="8"/>
  <c r="D1583" i="8"/>
  <c r="D1584" i="8"/>
  <c r="D1585" i="8"/>
  <c r="D1586" i="8"/>
  <c r="D1587" i="8"/>
  <c r="D1588" i="8"/>
  <c r="D1589" i="8"/>
  <c r="D1590" i="8"/>
  <c r="D1591" i="8"/>
  <c r="D1592" i="8"/>
  <c r="D1593" i="8"/>
  <c r="D1594" i="8"/>
  <c r="D1595" i="8"/>
  <c r="D1596" i="8"/>
  <c r="D1597" i="8"/>
  <c r="D1598" i="8"/>
  <c r="D1599" i="8"/>
  <c r="D1600" i="8"/>
  <c r="D1601" i="8"/>
  <c r="D1602" i="8"/>
  <c r="D1603" i="8"/>
  <c r="D1604" i="8"/>
  <c r="D1605" i="8"/>
  <c r="D1606" i="8"/>
  <c r="D1607" i="8"/>
  <c r="D1608" i="8"/>
  <c r="D1609" i="8"/>
  <c r="D1610" i="8"/>
  <c r="D1611" i="8"/>
  <c r="D1612" i="8"/>
  <c r="D1613" i="8"/>
  <c r="D1614" i="8"/>
  <c r="D1615" i="8"/>
  <c r="D1616" i="8"/>
  <c r="D1617" i="8"/>
  <c r="D1618" i="8"/>
  <c r="D1619" i="8"/>
  <c r="D1620" i="8"/>
  <c r="D1621" i="8"/>
  <c r="D1622" i="8"/>
  <c r="D1623" i="8"/>
  <c r="D1624" i="8"/>
  <c r="D1625" i="8"/>
  <c r="D1626" i="8"/>
  <c r="D1627" i="8"/>
  <c r="D1628" i="8"/>
  <c r="D1629" i="8"/>
  <c r="D1630" i="8"/>
  <c r="D1631" i="8"/>
  <c r="D1632" i="8"/>
  <c r="D1633" i="8"/>
  <c r="D1634" i="8"/>
  <c r="D1635" i="8"/>
  <c r="D1636" i="8"/>
  <c r="D1637" i="8"/>
  <c r="D1638" i="8"/>
  <c r="D1639" i="8"/>
  <c r="D1640" i="8"/>
  <c r="D1641" i="8"/>
  <c r="D1642" i="8"/>
  <c r="D1643" i="8"/>
  <c r="D1644" i="8"/>
  <c r="D1645" i="8"/>
  <c r="D1646" i="8"/>
  <c r="D1647" i="8"/>
  <c r="D1648" i="8"/>
  <c r="D1649" i="8"/>
  <c r="D1650" i="8"/>
  <c r="D1651" i="8"/>
  <c r="D1652" i="8"/>
  <c r="D1653" i="8"/>
  <c r="D1654" i="8"/>
  <c r="D1655" i="8"/>
  <c r="D1656" i="8"/>
  <c r="D1657" i="8"/>
  <c r="D1658" i="8"/>
  <c r="D1659" i="8"/>
  <c r="D1660" i="8"/>
  <c r="D1661" i="8"/>
  <c r="D1662" i="8"/>
  <c r="D1663" i="8"/>
  <c r="D1664" i="8"/>
  <c r="D1665" i="8"/>
  <c r="D1666" i="8"/>
  <c r="D1667" i="8"/>
  <c r="D1668" i="8"/>
  <c r="D1669" i="8"/>
  <c r="D1670" i="8"/>
  <c r="D1671" i="8"/>
  <c r="D1672" i="8"/>
  <c r="D1673" i="8"/>
  <c r="D1674" i="8"/>
  <c r="D1675" i="8"/>
  <c r="D1676" i="8"/>
  <c r="D1677" i="8"/>
  <c r="D1678" i="8"/>
  <c r="D1679" i="8"/>
  <c r="D1680" i="8"/>
  <c r="D1681" i="8"/>
  <c r="D1682" i="8"/>
  <c r="D1683" i="8"/>
  <c r="D1684" i="8"/>
  <c r="D1685" i="8"/>
  <c r="D1686" i="8"/>
  <c r="D1687" i="8"/>
  <c r="D1688" i="8"/>
  <c r="D1689" i="8"/>
  <c r="D1690" i="8"/>
  <c r="D1691" i="8"/>
  <c r="D1692" i="8"/>
  <c r="D1693" i="8"/>
  <c r="D1694" i="8"/>
  <c r="D1695" i="8"/>
  <c r="D1696" i="8"/>
  <c r="D1697" i="8"/>
  <c r="D1698" i="8"/>
  <c r="D1699" i="8"/>
  <c r="D1700" i="8"/>
  <c r="D1701" i="8"/>
  <c r="D1702" i="8"/>
  <c r="D1703" i="8"/>
  <c r="D1704" i="8"/>
  <c r="D1705" i="8"/>
  <c r="D1706" i="8"/>
  <c r="D1707" i="8"/>
  <c r="D1708" i="8"/>
  <c r="D1709" i="8"/>
  <c r="D1710" i="8"/>
  <c r="D1711" i="8"/>
  <c r="D1712" i="8"/>
  <c r="D1713" i="8"/>
  <c r="D1714" i="8"/>
  <c r="D1715" i="8"/>
  <c r="D1716" i="8"/>
  <c r="D1717" i="8"/>
  <c r="D1718" i="8"/>
  <c r="D1719" i="8"/>
  <c r="D1720" i="8"/>
  <c r="D1721" i="8"/>
  <c r="D1722" i="8"/>
  <c r="D1723" i="8"/>
  <c r="D1724" i="8"/>
  <c r="D1725" i="8"/>
  <c r="D1726" i="8"/>
  <c r="D1727" i="8"/>
  <c r="D1728" i="8"/>
  <c r="D1729" i="8"/>
  <c r="D1730" i="8"/>
  <c r="D1731" i="8"/>
  <c r="D1732" i="8"/>
  <c r="D1733" i="8"/>
  <c r="D1734" i="8"/>
  <c r="D1735" i="8"/>
  <c r="D1736" i="8"/>
  <c r="D1737" i="8"/>
  <c r="D1738" i="8"/>
  <c r="D1739" i="8"/>
  <c r="D1740" i="8"/>
  <c r="D1741" i="8"/>
  <c r="D1742" i="8"/>
  <c r="D1743" i="8"/>
  <c r="D1744" i="8"/>
  <c r="D1745" i="8"/>
  <c r="D1746" i="8"/>
  <c r="D1747" i="8"/>
  <c r="D1748" i="8"/>
  <c r="D1749" i="8"/>
  <c r="D1750" i="8"/>
  <c r="D1751" i="8"/>
  <c r="D1752" i="8"/>
  <c r="D1753" i="8"/>
  <c r="D1754" i="8"/>
  <c r="D1755" i="8"/>
  <c r="D1756" i="8"/>
  <c r="D1757" i="8"/>
  <c r="D1758" i="8"/>
  <c r="D1759" i="8"/>
  <c r="D1760" i="8"/>
  <c r="D1761" i="8"/>
  <c r="D1762" i="8"/>
  <c r="D1763" i="8"/>
  <c r="D1764" i="8"/>
  <c r="D1765" i="8"/>
  <c r="D1766" i="8"/>
  <c r="D1767" i="8"/>
  <c r="D1768" i="8"/>
  <c r="D1769" i="8"/>
  <c r="D1770" i="8"/>
  <c r="D1771" i="8"/>
  <c r="D1772" i="8"/>
  <c r="D1773" i="8"/>
  <c r="D1774" i="8"/>
  <c r="D1775" i="8"/>
  <c r="D1776" i="8"/>
  <c r="D1777" i="8"/>
  <c r="D1778" i="8"/>
  <c r="D1779" i="8"/>
  <c r="D1780" i="8"/>
  <c r="D1781" i="8"/>
  <c r="D1782" i="8"/>
  <c r="D1783" i="8"/>
  <c r="D1784" i="8"/>
  <c r="D1785" i="8"/>
  <c r="D1786" i="8"/>
  <c r="D1787" i="8"/>
  <c r="D1788" i="8"/>
  <c r="D1789" i="8"/>
  <c r="D1790" i="8"/>
  <c r="D1791" i="8"/>
  <c r="D1792" i="8"/>
  <c r="D1793" i="8"/>
  <c r="D1794" i="8"/>
  <c r="D1795" i="8"/>
  <c r="D1796" i="8"/>
  <c r="D1797" i="8"/>
  <c r="D1798" i="8"/>
  <c r="D1799" i="8"/>
  <c r="D1800" i="8"/>
  <c r="D1801" i="8"/>
  <c r="D1802" i="8"/>
  <c r="D1803" i="8"/>
  <c r="D1804" i="8"/>
  <c r="D1805" i="8"/>
  <c r="D1806" i="8"/>
  <c r="D1807" i="8"/>
  <c r="D1808" i="8"/>
  <c r="D1809" i="8"/>
  <c r="D1810" i="8"/>
  <c r="D1811" i="8"/>
  <c r="D1812" i="8"/>
  <c r="D1813" i="8"/>
  <c r="D1814" i="8"/>
  <c r="D1815" i="8"/>
  <c r="D1816" i="8"/>
  <c r="D1817" i="8"/>
  <c r="D1818" i="8"/>
  <c r="D1819" i="8"/>
  <c r="D1820" i="8"/>
  <c r="D1821" i="8"/>
  <c r="D1822" i="8"/>
  <c r="D1823" i="8"/>
  <c r="D1824" i="8"/>
  <c r="D1825" i="8"/>
  <c r="D1826" i="8"/>
  <c r="D1827" i="8"/>
  <c r="D1828" i="8"/>
  <c r="D1829" i="8"/>
  <c r="D1830" i="8"/>
  <c r="D1831" i="8"/>
  <c r="D1832" i="8"/>
  <c r="D1833" i="8"/>
  <c r="D1834" i="8"/>
  <c r="D1835" i="8"/>
  <c r="D1836" i="8"/>
  <c r="D1837" i="8"/>
  <c r="D1838" i="8"/>
  <c r="D1839" i="8"/>
  <c r="D1840" i="8"/>
  <c r="D1841" i="8"/>
  <c r="D1842" i="8"/>
  <c r="D1843" i="8"/>
  <c r="D1844" i="8"/>
  <c r="D1845" i="8"/>
  <c r="D1846" i="8"/>
  <c r="D1847" i="8"/>
  <c r="D1848" i="8"/>
  <c r="D1849" i="8"/>
  <c r="D1850" i="8"/>
  <c r="D1851" i="8"/>
  <c r="D1852" i="8"/>
  <c r="D1853" i="8"/>
  <c r="D1854" i="8"/>
  <c r="D1855" i="8"/>
  <c r="D1856" i="8"/>
  <c r="D1857" i="8"/>
  <c r="D1858" i="8"/>
  <c r="D1859" i="8"/>
  <c r="D1860" i="8"/>
  <c r="D1861" i="8"/>
  <c r="D1862" i="8"/>
  <c r="D1863" i="8"/>
  <c r="D1864" i="8"/>
  <c r="D1865" i="8"/>
  <c r="D1866" i="8"/>
  <c r="D1867" i="8"/>
  <c r="D1868" i="8"/>
  <c r="D1869" i="8"/>
  <c r="D1870" i="8"/>
  <c r="D1871" i="8"/>
  <c r="D1872" i="8"/>
  <c r="D1873" i="8"/>
  <c r="D1874" i="8"/>
  <c r="D1875" i="8"/>
  <c r="D1876" i="8"/>
  <c r="D1877" i="8"/>
  <c r="D1878" i="8"/>
  <c r="D1879" i="8"/>
  <c r="D1880" i="8"/>
  <c r="D1881" i="8"/>
  <c r="D1882" i="8"/>
  <c r="D1883" i="8"/>
  <c r="D1884" i="8"/>
  <c r="D1885" i="8"/>
  <c r="D1886" i="8"/>
  <c r="D1887" i="8"/>
  <c r="D1888" i="8"/>
  <c r="D1889" i="8"/>
  <c r="D1890" i="8"/>
  <c r="D1891" i="8"/>
  <c r="D1892" i="8"/>
  <c r="D1893" i="8"/>
  <c r="D1894" i="8"/>
  <c r="D1895" i="8"/>
  <c r="D1896" i="8"/>
  <c r="D1897" i="8"/>
  <c r="D1898" i="8"/>
  <c r="D1899" i="8"/>
  <c r="D1900" i="8"/>
  <c r="D1901" i="8"/>
  <c r="D1902" i="8"/>
  <c r="D1903" i="8"/>
  <c r="D1904" i="8"/>
  <c r="D1905" i="8"/>
  <c r="D1906" i="8"/>
  <c r="D1907" i="8"/>
  <c r="D1908" i="8"/>
  <c r="D1909" i="8"/>
  <c r="D1910" i="8"/>
  <c r="D1911" i="8"/>
  <c r="D1912" i="8"/>
  <c r="D1913" i="8"/>
  <c r="D1914" i="8"/>
  <c r="D1915" i="8"/>
  <c r="D1916" i="8"/>
  <c r="D1917" i="8"/>
  <c r="D1918" i="8"/>
  <c r="D1919" i="8"/>
  <c r="D1920" i="8"/>
  <c r="D1921" i="8"/>
  <c r="D1922" i="8"/>
  <c r="D1923" i="8"/>
  <c r="D1924" i="8"/>
  <c r="D1925" i="8"/>
  <c r="D1926" i="8"/>
  <c r="D1927" i="8"/>
  <c r="D1928" i="8"/>
  <c r="D1929" i="8"/>
  <c r="D1930" i="8"/>
  <c r="D1931" i="8"/>
  <c r="D1932" i="8"/>
  <c r="D1933" i="8"/>
  <c r="D1934" i="8"/>
  <c r="D1935" i="8"/>
  <c r="D1936" i="8"/>
  <c r="D1937" i="8"/>
  <c r="D1938" i="8"/>
  <c r="D1939" i="8"/>
  <c r="D1940" i="8"/>
  <c r="D1941" i="8"/>
  <c r="D1942" i="8"/>
  <c r="D1943" i="8"/>
  <c r="D1944" i="8"/>
  <c r="D1945" i="8"/>
  <c r="D1946" i="8"/>
  <c r="D1947" i="8"/>
  <c r="D1948" i="8"/>
  <c r="D1949" i="8"/>
  <c r="D1950" i="8"/>
  <c r="D1951" i="8"/>
  <c r="D1952" i="8"/>
  <c r="D1953" i="8"/>
  <c r="D1954" i="8"/>
  <c r="D1955" i="8"/>
  <c r="D1956" i="8"/>
  <c r="D1957" i="8"/>
  <c r="D1958" i="8"/>
  <c r="D1959" i="8"/>
  <c r="D1960" i="8"/>
  <c r="D1961" i="8"/>
  <c r="D1962" i="8"/>
  <c r="D1963" i="8"/>
  <c r="D1964" i="8"/>
  <c r="D1965" i="8"/>
  <c r="D1966" i="8"/>
  <c r="D1967" i="8"/>
  <c r="D1968" i="8"/>
  <c r="D1969" i="8"/>
  <c r="D1970" i="8"/>
  <c r="D1971" i="8"/>
  <c r="D1972" i="8"/>
  <c r="D1973" i="8"/>
  <c r="D1974" i="8"/>
  <c r="D1975" i="8"/>
  <c r="D1976" i="8"/>
  <c r="D1977" i="8"/>
  <c r="D1978" i="8"/>
  <c r="D1979" i="8"/>
  <c r="D1980" i="8"/>
  <c r="D1981" i="8"/>
  <c r="D1982" i="8"/>
  <c r="D1983" i="8"/>
  <c r="D1984" i="8"/>
  <c r="D1985" i="8"/>
  <c r="D1986" i="8"/>
  <c r="D1987" i="8"/>
  <c r="D1988" i="8"/>
  <c r="D1989" i="8"/>
  <c r="D1990" i="8"/>
  <c r="D1991" i="8"/>
  <c r="D1992" i="8"/>
  <c r="D1993" i="8"/>
  <c r="D1994" i="8"/>
  <c r="D1995" i="8"/>
  <c r="D1996" i="8"/>
  <c r="D1997" i="8"/>
  <c r="D1998" i="8"/>
  <c r="D1999" i="8"/>
  <c r="D2000" i="8"/>
  <c r="D2001" i="8"/>
  <c r="D2002" i="8"/>
  <c r="D2003" i="8"/>
  <c r="D2004" i="8"/>
  <c r="D2005" i="8"/>
  <c r="D2006" i="8"/>
  <c r="D2007" i="8"/>
  <c r="D2008" i="8"/>
  <c r="D2009" i="8"/>
  <c r="D2010" i="8"/>
  <c r="D2011" i="8"/>
  <c r="D2012" i="8"/>
  <c r="D2013" i="8"/>
  <c r="D2014" i="8"/>
  <c r="D2015" i="8"/>
  <c r="D2016" i="8"/>
  <c r="D2017" i="8"/>
  <c r="D2018" i="8"/>
  <c r="D2019" i="8"/>
  <c r="D2020" i="8"/>
  <c r="D2021" i="8"/>
  <c r="D2022" i="8"/>
  <c r="D2023" i="8"/>
  <c r="D2024" i="8"/>
  <c r="D2025" i="8"/>
  <c r="D2026" i="8"/>
  <c r="D2027" i="8"/>
  <c r="D2028" i="8"/>
  <c r="D2029" i="8"/>
  <c r="D2030" i="8"/>
  <c r="D2031" i="8"/>
  <c r="D2032" i="8"/>
  <c r="D2033" i="8"/>
  <c r="D2034" i="8"/>
  <c r="D2035" i="8"/>
  <c r="D2036" i="8"/>
  <c r="D2037" i="8"/>
  <c r="D2038" i="8"/>
  <c r="D2039" i="8"/>
  <c r="D2040" i="8"/>
  <c r="D2041" i="8"/>
  <c r="D2042" i="8"/>
  <c r="D2043" i="8"/>
  <c r="D2044" i="8"/>
  <c r="D2045" i="8"/>
  <c r="D2046" i="8"/>
  <c r="D2047" i="8"/>
  <c r="D2048" i="8"/>
  <c r="D2049" i="8"/>
  <c r="D2050" i="8"/>
  <c r="D2051" i="8"/>
  <c r="D2052" i="8"/>
  <c r="D2053" i="8"/>
  <c r="D2054" i="8"/>
  <c r="D2055" i="8"/>
  <c r="D2056" i="8"/>
  <c r="D2057" i="8"/>
  <c r="D2058" i="8"/>
  <c r="D2059" i="8"/>
  <c r="D2060" i="8"/>
  <c r="D2061" i="8"/>
  <c r="D2062" i="8"/>
  <c r="D2063" i="8"/>
  <c r="D2064" i="8"/>
  <c r="D2065" i="8"/>
  <c r="D2066" i="8"/>
  <c r="D2067" i="8"/>
  <c r="D2068" i="8"/>
  <c r="D2069" i="8"/>
  <c r="D2070" i="8"/>
  <c r="D2071" i="8"/>
  <c r="D2072" i="8"/>
  <c r="D2073" i="8"/>
  <c r="D2074" i="8"/>
  <c r="D2075" i="8"/>
  <c r="D2076" i="8"/>
  <c r="D2077" i="8"/>
  <c r="D2078" i="8"/>
  <c r="D2079" i="8"/>
  <c r="D2080" i="8"/>
  <c r="D2081" i="8"/>
  <c r="D2082" i="8"/>
  <c r="D2083" i="8"/>
  <c r="D2084" i="8"/>
  <c r="D2085" i="8"/>
  <c r="D2086" i="8"/>
  <c r="D2087" i="8"/>
  <c r="D2088" i="8"/>
  <c r="D2089" i="8"/>
  <c r="D2090" i="8"/>
  <c r="D2091" i="8"/>
  <c r="D2092" i="8"/>
  <c r="D2093" i="8"/>
  <c r="D2094" i="8"/>
  <c r="D2095" i="8"/>
  <c r="D2096" i="8"/>
  <c r="D2097" i="8"/>
  <c r="D2098" i="8"/>
  <c r="D2099" i="8"/>
  <c r="D2100" i="8"/>
  <c r="D2101" i="8"/>
  <c r="D2102" i="8"/>
  <c r="D2103" i="8"/>
  <c r="D2104" i="8"/>
  <c r="D2105" i="8"/>
  <c r="D2106" i="8"/>
  <c r="D2107" i="8"/>
  <c r="D2108" i="8"/>
  <c r="D2109" i="8"/>
  <c r="D2110" i="8"/>
  <c r="D2111" i="8"/>
  <c r="D2112" i="8"/>
  <c r="D2113" i="8"/>
  <c r="D2114" i="8"/>
  <c r="D2115" i="8"/>
  <c r="D2116" i="8"/>
  <c r="D2117" i="8"/>
  <c r="D2118" i="8"/>
  <c r="D2119" i="8"/>
  <c r="D2120" i="8"/>
  <c r="D2121" i="8"/>
  <c r="D2122" i="8"/>
  <c r="D2123" i="8"/>
  <c r="D2124" i="8"/>
  <c r="D2125" i="8"/>
  <c r="D2126" i="8"/>
  <c r="D2127" i="8"/>
  <c r="D2128" i="8"/>
  <c r="D2129" i="8"/>
  <c r="D2130" i="8"/>
  <c r="D2131" i="8"/>
  <c r="D2132" i="8"/>
  <c r="D2133" i="8"/>
  <c r="D2134" i="8"/>
  <c r="D2135" i="8"/>
  <c r="D2136" i="8"/>
  <c r="D2137" i="8"/>
  <c r="D2138" i="8"/>
  <c r="D2139" i="8"/>
  <c r="D2140" i="8"/>
  <c r="D2141" i="8"/>
  <c r="D2142" i="8"/>
  <c r="D2143" i="8"/>
  <c r="D2144" i="8"/>
  <c r="D2145" i="8"/>
  <c r="D2146" i="8"/>
  <c r="D2147" i="8"/>
  <c r="D2148" i="8"/>
  <c r="D2149" i="8"/>
  <c r="D2150" i="8"/>
  <c r="D2151" i="8"/>
  <c r="D2152" i="8"/>
  <c r="D2153" i="8"/>
  <c r="D2154" i="8"/>
  <c r="D2155" i="8"/>
  <c r="D2156" i="8"/>
  <c r="D2157" i="8"/>
  <c r="D2158" i="8"/>
  <c r="D2159" i="8"/>
  <c r="D2160" i="8"/>
  <c r="D2161" i="8"/>
  <c r="D2162" i="8"/>
  <c r="D2163" i="8"/>
  <c r="D2164" i="8"/>
  <c r="D2165" i="8"/>
  <c r="D2166" i="8"/>
  <c r="D2167" i="8"/>
  <c r="D2168" i="8"/>
  <c r="D2169" i="8"/>
  <c r="D2170" i="8"/>
  <c r="D2171" i="8"/>
  <c r="D2172" i="8"/>
  <c r="D2173" i="8"/>
  <c r="D2174" i="8"/>
  <c r="D2175" i="8"/>
  <c r="D2176" i="8"/>
  <c r="D2177" i="8"/>
  <c r="D2178" i="8"/>
  <c r="D2179" i="8"/>
  <c r="D2180" i="8"/>
  <c r="D2181" i="8"/>
  <c r="D2182" i="8"/>
  <c r="D2183" i="8"/>
  <c r="D2184" i="8"/>
  <c r="D2185" i="8"/>
  <c r="D2186" i="8"/>
  <c r="D2187" i="8"/>
  <c r="D2188" i="8"/>
  <c r="D2189" i="8"/>
  <c r="D2190" i="8"/>
  <c r="D2191" i="8"/>
  <c r="D2192" i="8"/>
  <c r="D2193" i="8"/>
  <c r="D2194" i="8"/>
  <c r="D2195" i="8"/>
  <c r="D2196" i="8"/>
  <c r="D2197" i="8"/>
  <c r="D2198" i="8"/>
  <c r="D2199" i="8"/>
  <c r="D2200" i="8"/>
  <c r="D2201" i="8"/>
  <c r="D2202" i="8"/>
  <c r="D2203" i="8"/>
  <c r="D2204" i="8"/>
  <c r="D2205" i="8"/>
  <c r="D2206" i="8"/>
  <c r="D2207" i="8"/>
  <c r="D2208" i="8"/>
  <c r="D2209" i="8"/>
  <c r="D2210" i="8"/>
  <c r="D2211" i="8"/>
  <c r="D2212" i="8"/>
  <c r="D2213" i="8"/>
  <c r="D2214" i="8"/>
  <c r="D2215" i="8"/>
  <c r="D2216" i="8"/>
  <c r="D2217" i="8"/>
  <c r="D2218" i="8"/>
  <c r="D2219" i="8"/>
  <c r="D2220" i="8"/>
  <c r="D2221" i="8"/>
  <c r="D2222" i="8"/>
  <c r="D2223" i="8"/>
  <c r="D2224" i="8"/>
  <c r="D2225" i="8"/>
  <c r="D2226" i="8"/>
  <c r="D2227" i="8"/>
  <c r="D2228" i="8"/>
  <c r="D2229" i="8"/>
  <c r="D2230" i="8"/>
  <c r="D2231" i="8"/>
  <c r="D2232" i="8"/>
  <c r="D2233" i="8"/>
  <c r="D2234" i="8"/>
  <c r="D2235" i="8"/>
  <c r="D2236" i="8"/>
  <c r="D2237" i="8"/>
  <c r="D2238" i="8"/>
  <c r="D2239" i="8"/>
  <c r="D2240" i="8"/>
  <c r="D2241" i="8"/>
  <c r="D2242" i="8"/>
  <c r="D2243" i="8"/>
  <c r="D2244" i="8"/>
  <c r="D2245" i="8"/>
  <c r="D2246" i="8"/>
  <c r="D2247" i="8"/>
  <c r="D2248" i="8"/>
  <c r="D2249" i="8"/>
  <c r="D2250" i="8"/>
  <c r="D2251" i="8"/>
  <c r="D2252" i="8"/>
  <c r="D2253" i="8"/>
  <c r="D2254" i="8"/>
  <c r="D2255" i="8"/>
  <c r="D2256" i="8"/>
  <c r="D2257" i="8"/>
  <c r="D2258" i="8"/>
  <c r="D2259" i="8"/>
  <c r="D2260" i="8"/>
  <c r="D2261" i="8"/>
  <c r="D2262" i="8"/>
  <c r="D2263" i="8"/>
  <c r="D2264" i="8"/>
  <c r="D2265" i="8"/>
  <c r="D2266" i="8"/>
  <c r="D2267" i="8"/>
  <c r="D2268" i="8"/>
  <c r="D2269" i="8"/>
  <c r="D2270" i="8"/>
  <c r="D2271" i="8"/>
  <c r="D2272" i="8"/>
  <c r="D2273" i="8"/>
  <c r="D2274" i="8"/>
  <c r="D2275" i="8"/>
  <c r="D2276" i="8"/>
  <c r="D2277" i="8"/>
  <c r="D2278" i="8"/>
  <c r="D2279" i="8"/>
  <c r="D2280" i="8"/>
  <c r="D2281" i="8"/>
  <c r="D2282" i="8"/>
  <c r="D2283" i="8"/>
  <c r="D2284" i="8"/>
  <c r="D2285" i="8"/>
  <c r="D2286" i="8"/>
  <c r="D2287" i="8"/>
  <c r="D2288" i="8"/>
  <c r="D2289" i="8"/>
  <c r="D2290" i="8"/>
  <c r="D2291" i="8"/>
  <c r="D2292" i="8"/>
  <c r="D2293" i="8"/>
  <c r="D2294" i="8"/>
  <c r="D2295" i="8"/>
  <c r="D2296" i="8"/>
  <c r="D2297" i="8"/>
  <c r="D2298" i="8"/>
  <c r="D2299" i="8"/>
  <c r="D2300" i="8"/>
  <c r="D2301" i="8"/>
  <c r="D2302" i="8"/>
  <c r="D2303" i="8"/>
  <c r="D2304" i="8"/>
  <c r="D2305" i="8"/>
  <c r="D2306" i="8"/>
  <c r="D2307" i="8"/>
  <c r="D2308" i="8"/>
  <c r="D2309" i="8"/>
  <c r="D2310" i="8"/>
  <c r="D2311" i="8"/>
  <c r="D2312" i="8"/>
  <c r="D2313" i="8"/>
  <c r="D2314" i="8"/>
  <c r="D2315" i="8"/>
  <c r="D2316" i="8"/>
  <c r="D2317" i="8"/>
  <c r="D2318" i="8"/>
  <c r="D2319" i="8"/>
  <c r="D2320" i="8"/>
  <c r="D2321" i="8"/>
  <c r="D2322" i="8"/>
  <c r="D2323" i="8"/>
  <c r="D2324" i="8"/>
  <c r="D2325" i="8"/>
  <c r="D2326" i="8"/>
  <c r="D2327" i="8"/>
  <c r="D2328" i="8"/>
  <c r="D2329" i="8"/>
  <c r="D2330" i="8"/>
  <c r="D2331" i="8"/>
  <c r="D2332" i="8"/>
  <c r="D2333" i="8"/>
  <c r="D2334" i="8"/>
  <c r="D2335" i="8"/>
  <c r="D2336" i="8"/>
  <c r="D2337" i="8"/>
  <c r="D2338" i="8"/>
  <c r="D2339" i="8"/>
  <c r="D2340" i="8"/>
  <c r="D2341" i="8"/>
  <c r="D2342" i="8"/>
  <c r="D2343" i="8"/>
  <c r="D2344" i="8"/>
  <c r="D2345" i="8"/>
  <c r="D2346" i="8"/>
  <c r="D2347" i="8"/>
  <c r="D2348" i="8"/>
  <c r="D2349" i="8"/>
  <c r="D2350" i="8"/>
  <c r="D2351" i="8"/>
  <c r="D2352" i="8"/>
  <c r="D2353" i="8"/>
  <c r="D2354" i="8"/>
  <c r="D2355" i="8"/>
  <c r="D2356" i="8"/>
  <c r="D2357" i="8"/>
  <c r="D2358" i="8"/>
  <c r="D2359" i="8"/>
  <c r="D2360" i="8"/>
  <c r="D2361" i="8"/>
  <c r="D2362" i="8"/>
  <c r="D2363" i="8"/>
  <c r="D2364" i="8"/>
  <c r="D2365" i="8"/>
  <c r="D2366" i="8"/>
  <c r="D2367" i="8"/>
  <c r="D2368" i="8"/>
  <c r="D2369" i="8"/>
  <c r="D2370" i="8"/>
  <c r="D2371" i="8"/>
  <c r="D2372" i="8"/>
  <c r="D2373" i="8"/>
  <c r="D2374" i="8"/>
  <c r="D2375" i="8"/>
  <c r="D2376" i="8"/>
  <c r="D2377" i="8"/>
  <c r="D2378" i="8"/>
  <c r="D2379" i="8"/>
  <c r="D2380" i="8"/>
  <c r="D2381" i="8"/>
  <c r="D2382" i="8"/>
  <c r="D2383" i="8"/>
  <c r="D2384" i="8"/>
  <c r="D2385" i="8"/>
  <c r="D2386" i="8"/>
  <c r="D2387" i="8"/>
  <c r="D2388" i="8"/>
  <c r="D2389" i="8"/>
  <c r="D2390" i="8"/>
  <c r="D2391" i="8"/>
  <c r="D2392" i="8"/>
  <c r="D2393" i="8"/>
  <c r="D2394" i="8"/>
  <c r="D2395" i="8"/>
  <c r="D2396" i="8"/>
  <c r="D2397" i="8"/>
  <c r="D2398" i="8"/>
  <c r="D2399" i="8"/>
  <c r="D2400" i="8"/>
  <c r="D2401" i="8"/>
  <c r="D2402" i="8"/>
  <c r="D2403" i="8"/>
  <c r="D2404" i="8"/>
  <c r="D2405" i="8"/>
  <c r="D2406" i="8"/>
  <c r="D2407" i="8"/>
  <c r="D2408" i="8"/>
  <c r="D2409" i="8"/>
  <c r="D2410" i="8"/>
  <c r="D2411" i="8"/>
  <c r="D2412" i="8"/>
  <c r="D2413" i="8"/>
  <c r="D2414" i="8"/>
  <c r="D2415" i="8"/>
  <c r="D2416" i="8"/>
  <c r="D2417" i="8"/>
  <c r="D2418" i="8"/>
  <c r="D2419" i="8"/>
  <c r="D2420" i="8"/>
  <c r="D2421" i="8"/>
  <c r="D2422" i="8"/>
  <c r="D2423" i="8"/>
  <c r="D2424" i="8"/>
  <c r="D2425" i="8"/>
  <c r="D2426" i="8"/>
  <c r="D2427" i="8"/>
  <c r="D2428" i="8"/>
  <c r="D2429" i="8"/>
  <c r="D2430" i="8"/>
  <c r="D2431" i="8"/>
  <c r="D2432" i="8"/>
  <c r="D2433" i="8"/>
  <c r="D2434" i="8"/>
  <c r="D2435" i="8"/>
  <c r="D2436" i="8"/>
  <c r="D2437" i="8"/>
  <c r="D2438" i="8"/>
  <c r="D2439" i="8"/>
  <c r="D2440" i="8"/>
  <c r="D2441" i="8"/>
  <c r="D2442" i="8"/>
  <c r="D2443" i="8"/>
  <c r="D2444" i="8"/>
  <c r="D2445" i="8"/>
  <c r="D2446" i="8"/>
  <c r="D2447" i="8"/>
  <c r="D2448" i="8"/>
  <c r="D2449" i="8"/>
  <c r="D2450" i="8"/>
  <c r="D2451" i="8"/>
  <c r="D2452" i="8"/>
  <c r="D2453" i="8"/>
  <c r="D2454" i="8"/>
  <c r="D2455" i="8"/>
  <c r="D2456" i="8"/>
  <c r="D2457" i="8"/>
  <c r="D2458" i="8"/>
  <c r="D2459" i="8"/>
  <c r="D2460" i="8"/>
  <c r="D2461" i="8"/>
  <c r="D2462" i="8"/>
  <c r="D2463" i="8"/>
  <c r="D2464" i="8"/>
  <c r="D2465" i="8"/>
  <c r="D2466" i="8"/>
  <c r="D2467" i="8"/>
  <c r="D2468" i="8"/>
  <c r="D2469" i="8"/>
  <c r="D2470" i="8"/>
  <c r="D2471" i="8"/>
  <c r="D2472" i="8"/>
  <c r="D2473" i="8"/>
  <c r="D2474" i="8"/>
  <c r="D2475" i="8"/>
  <c r="D2476" i="8"/>
  <c r="D2477" i="8"/>
  <c r="D2478" i="8"/>
  <c r="D2479" i="8"/>
  <c r="D2480" i="8"/>
  <c r="D2481" i="8"/>
  <c r="D2482" i="8"/>
  <c r="D2483" i="8"/>
  <c r="D2484" i="8"/>
  <c r="D2485" i="8"/>
  <c r="D2486" i="8"/>
  <c r="D2487" i="8"/>
  <c r="D2488" i="8"/>
  <c r="D2489" i="8"/>
  <c r="D2490" i="8"/>
  <c r="D2491" i="8"/>
  <c r="D2492" i="8"/>
  <c r="D2493" i="8"/>
  <c r="D2494" i="8"/>
  <c r="D2495" i="8"/>
  <c r="D2496" i="8"/>
  <c r="D2497" i="8"/>
  <c r="D2498" i="8"/>
  <c r="D2499" i="8"/>
  <c r="D2500" i="8"/>
  <c r="D2501" i="8"/>
  <c r="D2502" i="8"/>
  <c r="D2503" i="8"/>
  <c r="D2504" i="8"/>
  <c r="D2505" i="8"/>
  <c r="D2506" i="8"/>
  <c r="D2507" i="8"/>
  <c r="D2508" i="8"/>
  <c r="D2509" i="8"/>
  <c r="D2510" i="8"/>
  <c r="D2511" i="8"/>
  <c r="D2512" i="8"/>
  <c r="D2513" i="8"/>
  <c r="D2514" i="8"/>
  <c r="D2515" i="8"/>
  <c r="D2516" i="8"/>
  <c r="D2517" i="8"/>
  <c r="D2518" i="8"/>
  <c r="D2519" i="8"/>
  <c r="D2520" i="8"/>
  <c r="D2521" i="8"/>
  <c r="D2522" i="8"/>
  <c r="D2523" i="8"/>
  <c r="D2524" i="8"/>
  <c r="D2525" i="8"/>
  <c r="D2526" i="8"/>
  <c r="D2527" i="8"/>
  <c r="D2528" i="8"/>
  <c r="D2529" i="8"/>
  <c r="D2530" i="8"/>
  <c r="D2531" i="8"/>
  <c r="D2532" i="8"/>
  <c r="D2533" i="8"/>
  <c r="D2534" i="8"/>
  <c r="D2535" i="8"/>
  <c r="D2536" i="8"/>
  <c r="D2537" i="8"/>
  <c r="D2538" i="8"/>
  <c r="D2539" i="8"/>
  <c r="D2540" i="8"/>
  <c r="D2541" i="8"/>
  <c r="D2542" i="8"/>
  <c r="D2543" i="8"/>
  <c r="D2544" i="8"/>
  <c r="D2545" i="8"/>
  <c r="D2546" i="8"/>
  <c r="D2547" i="8"/>
  <c r="D2548" i="8"/>
  <c r="D2549" i="8"/>
  <c r="D2550" i="8"/>
  <c r="D2551" i="8"/>
  <c r="D2552" i="8"/>
  <c r="D2553" i="8"/>
  <c r="D2554" i="8"/>
  <c r="D2555" i="8"/>
  <c r="D2556" i="8"/>
  <c r="D2557" i="8"/>
  <c r="D2558" i="8"/>
  <c r="D2559" i="8"/>
  <c r="D2560" i="8"/>
  <c r="D2561" i="8"/>
  <c r="D2562" i="8"/>
  <c r="D2563" i="8"/>
  <c r="D2564" i="8"/>
  <c r="D2565" i="8"/>
  <c r="D2566" i="8"/>
  <c r="D2567" i="8"/>
  <c r="D2568" i="8"/>
  <c r="D2569" i="8"/>
  <c r="D2570" i="8"/>
  <c r="D2571" i="8"/>
  <c r="D2572" i="8"/>
  <c r="D2573" i="8"/>
  <c r="D2574" i="8"/>
  <c r="D2575" i="8"/>
  <c r="D2576" i="8"/>
  <c r="D2577" i="8"/>
  <c r="D2578" i="8"/>
  <c r="D2579" i="8"/>
  <c r="D2580" i="8"/>
  <c r="D2581" i="8"/>
  <c r="D2582" i="8"/>
  <c r="D2583" i="8"/>
  <c r="D2584" i="8"/>
  <c r="D2585" i="8"/>
  <c r="D2586" i="8"/>
  <c r="D2587" i="8"/>
  <c r="D2588" i="8"/>
  <c r="D2589" i="8"/>
  <c r="D2590" i="8"/>
  <c r="D2591" i="8"/>
  <c r="D2592" i="8"/>
  <c r="D2593" i="8"/>
  <c r="D2594" i="8"/>
  <c r="D2595" i="8"/>
  <c r="D2596" i="8"/>
  <c r="D2597" i="8"/>
  <c r="D2598" i="8"/>
  <c r="D2599" i="8"/>
  <c r="D2600" i="8"/>
  <c r="D2601" i="8"/>
  <c r="D2602" i="8"/>
  <c r="D2603" i="8"/>
  <c r="D2604" i="8"/>
  <c r="D2605" i="8"/>
  <c r="D2606" i="8"/>
  <c r="D2607" i="8"/>
  <c r="D2608" i="8"/>
  <c r="D2609" i="8"/>
  <c r="D2610" i="8"/>
  <c r="D2611" i="8"/>
  <c r="D2612" i="8"/>
  <c r="D2613" i="8"/>
  <c r="D2614" i="8"/>
  <c r="D2615" i="8"/>
  <c r="D2616" i="8"/>
  <c r="D2617" i="8"/>
  <c r="D2618" i="8"/>
  <c r="D2619" i="8"/>
  <c r="D2620" i="8"/>
  <c r="D2621" i="8"/>
  <c r="D2622" i="8"/>
  <c r="D2623" i="8"/>
  <c r="D2624" i="8"/>
  <c r="D2625" i="8"/>
  <c r="D2626" i="8"/>
  <c r="D2627" i="8"/>
  <c r="D2628" i="8"/>
  <c r="D2629" i="8"/>
  <c r="D2630" i="8"/>
  <c r="D2631" i="8"/>
  <c r="D2632" i="8"/>
  <c r="D2633" i="8"/>
  <c r="D2634" i="8"/>
  <c r="D2635" i="8"/>
  <c r="D2636" i="8"/>
  <c r="D2637" i="8"/>
  <c r="D2638" i="8"/>
  <c r="D2639" i="8"/>
  <c r="D2640" i="8"/>
  <c r="D2641" i="8"/>
  <c r="D2642" i="8"/>
  <c r="D2643" i="8"/>
  <c r="D2644" i="8"/>
  <c r="D2645" i="8"/>
  <c r="D2646" i="8"/>
  <c r="D2647" i="8"/>
  <c r="D2648" i="8"/>
  <c r="D2649" i="8"/>
  <c r="D2650" i="8"/>
  <c r="D2651" i="8"/>
  <c r="D2652" i="8"/>
  <c r="D2653" i="8"/>
  <c r="D2654" i="8"/>
  <c r="D2655" i="8"/>
  <c r="D2656" i="8"/>
  <c r="D2657" i="8"/>
  <c r="D2658" i="8"/>
  <c r="D2659" i="8"/>
  <c r="D2660" i="8"/>
  <c r="D2661" i="8"/>
  <c r="D2662" i="8"/>
  <c r="D2663" i="8"/>
  <c r="D2664" i="8"/>
  <c r="D2665" i="8"/>
  <c r="D2666" i="8"/>
  <c r="D2667" i="8"/>
  <c r="D2668" i="8"/>
  <c r="D2669" i="8"/>
  <c r="D2670" i="8"/>
  <c r="D2671" i="8"/>
  <c r="D2672" i="8"/>
  <c r="D2673" i="8"/>
  <c r="D2674" i="8"/>
  <c r="D2675" i="8"/>
  <c r="D2676" i="8"/>
  <c r="D2677" i="8"/>
  <c r="D2678" i="8"/>
  <c r="D2679" i="8"/>
  <c r="D2680" i="8"/>
  <c r="D2681" i="8"/>
  <c r="D2682" i="8"/>
  <c r="D2683" i="8"/>
  <c r="D2684" i="8"/>
  <c r="D2685" i="8"/>
  <c r="D2686" i="8"/>
  <c r="D2687" i="8"/>
  <c r="D2688" i="8"/>
  <c r="D2689" i="8"/>
  <c r="D2690" i="8"/>
  <c r="D2691" i="8"/>
  <c r="D2692" i="8"/>
  <c r="D2693" i="8"/>
  <c r="D2694" i="8"/>
  <c r="D2695" i="8"/>
  <c r="D2696" i="8"/>
  <c r="D2697" i="8"/>
  <c r="D2698" i="8"/>
  <c r="D2699" i="8"/>
  <c r="D2700" i="8"/>
  <c r="D2701" i="8"/>
  <c r="D2702" i="8"/>
  <c r="D2703" i="8"/>
  <c r="D2704" i="8"/>
  <c r="D2705" i="8"/>
  <c r="D2706" i="8"/>
  <c r="D2707" i="8"/>
  <c r="D2708" i="8"/>
  <c r="D2709" i="8"/>
  <c r="D2710" i="8"/>
  <c r="D2711" i="8"/>
  <c r="D2712" i="8"/>
  <c r="D2713" i="8"/>
  <c r="D2714" i="8"/>
  <c r="D2715" i="8"/>
  <c r="D2716" i="8"/>
  <c r="D2717" i="8"/>
  <c r="D2718" i="8"/>
  <c r="D2719" i="8"/>
  <c r="D2720" i="8"/>
  <c r="D2721" i="8"/>
  <c r="D2722" i="8"/>
  <c r="D2723" i="8"/>
  <c r="D2724" i="8"/>
  <c r="D2725" i="8"/>
  <c r="D2726" i="8"/>
  <c r="D2727" i="8"/>
  <c r="D2728" i="8"/>
  <c r="D2729" i="8"/>
  <c r="D2730" i="8"/>
  <c r="D2731" i="8"/>
  <c r="D2732" i="8"/>
  <c r="D2733" i="8"/>
  <c r="D2734" i="8"/>
  <c r="D2735" i="8"/>
  <c r="D2736" i="8"/>
  <c r="D2737" i="8"/>
  <c r="D2738" i="8"/>
  <c r="D2739" i="8"/>
  <c r="D2740" i="8"/>
  <c r="D2741" i="8"/>
  <c r="D2742" i="8"/>
  <c r="D2743" i="8"/>
  <c r="D2744" i="8"/>
  <c r="D2745" i="8"/>
  <c r="D2746" i="8"/>
  <c r="D2747" i="8"/>
  <c r="D2748" i="8"/>
  <c r="D2749" i="8"/>
  <c r="D2750" i="8"/>
  <c r="D2751" i="8"/>
  <c r="D2752" i="8"/>
  <c r="D2753" i="8"/>
  <c r="D2754" i="8"/>
  <c r="D2755" i="8"/>
  <c r="D2756" i="8"/>
  <c r="D2757" i="8"/>
  <c r="D2758" i="8"/>
  <c r="D2759" i="8"/>
  <c r="D2760" i="8"/>
  <c r="D2761" i="8"/>
  <c r="D2762" i="8"/>
  <c r="D2763" i="8"/>
  <c r="D2764" i="8"/>
  <c r="D2765" i="8"/>
  <c r="D2766" i="8"/>
  <c r="D2767" i="8"/>
  <c r="D2768" i="8"/>
  <c r="D2769" i="8"/>
  <c r="D2770" i="8"/>
  <c r="D2771" i="8"/>
  <c r="D2772" i="8"/>
  <c r="D2773" i="8"/>
  <c r="D2774" i="8"/>
  <c r="D2775" i="8"/>
  <c r="D2776" i="8"/>
  <c r="D2777" i="8"/>
  <c r="D2778" i="8"/>
  <c r="D2779" i="8"/>
  <c r="D2780" i="8"/>
  <c r="D2781" i="8"/>
  <c r="D2782" i="8"/>
  <c r="D2783" i="8"/>
  <c r="D2784" i="8"/>
  <c r="D2785" i="8"/>
  <c r="D2786" i="8"/>
  <c r="D2787" i="8"/>
  <c r="D2788" i="8"/>
  <c r="D2789" i="8"/>
  <c r="D2790" i="8"/>
  <c r="D2791" i="8"/>
  <c r="D2792" i="8"/>
  <c r="D2793" i="8"/>
  <c r="D2794" i="8"/>
  <c r="D2795" i="8"/>
  <c r="D2796" i="8"/>
  <c r="D2797" i="8"/>
  <c r="D2798" i="8"/>
  <c r="D2799" i="8"/>
  <c r="D2800" i="8"/>
  <c r="D2801" i="8"/>
  <c r="D2802" i="8"/>
  <c r="D2803" i="8"/>
  <c r="D2804" i="8"/>
  <c r="D2805" i="8"/>
  <c r="D2806" i="8"/>
  <c r="D2807" i="8"/>
  <c r="D2808" i="8"/>
  <c r="D2809" i="8"/>
  <c r="D2810" i="8"/>
  <c r="D2811" i="8"/>
  <c r="D2812" i="8"/>
  <c r="D2813" i="8"/>
  <c r="D2814" i="8"/>
  <c r="D2815" i="8"/>
  <c r="D2816" i="8"/>
  <c r="D2817" i="8"/>
  <c r="D2818" i="8"/>
  <c r="D2819" i="8"/>
  <c r="D2820" i="8"/>
  <c r="D2821" i="8"/>
  <c r="D2822" i="8"/>
  <c r="D2823" i="8"/>
  <c r="D2824" i="8"/>
  <c r="D2825" i="8"/>
  <c r="D2826" i="8"/>
  <c r="D2827" i="8"/>
  <c r="D2828" i="8"/>
  <c r="D2829" i="8"/>
  <c r="D2830" i="8"/>
  <c r="D2831" i="8"/>
  <c r="D2832" i="8"/>
  <c r="D2833" i="8"/>
  <c r="D2834" i="8"/>
  <c r="D2835" i="8"/>
  <c r="D2836" i="8"/>
  <c r="D2837" i="8"/>
  <c r="D2838" i="8"/>
  <c r="D2839" i="8"/>
  <c r="D2840" i="8"/>
  <c r="D2841" i="8"/>
  <c r="D2842" i="8"/>
  <c r="D2843" i="8"/>
  <c r="D2844" i="8"/>
  <c r="D2845" i="8"/>
  <c r="D2846" i="8"/>
  <c r="D2847" i="8"/>
  <c r="D2848" i="8"/>
  <c r="D2849" i="8"/>
  <c r="D2850" i="8"/>
  <c r="D2851" i="8"/>
  <c r="D2852" i="8"/>
  <c r="D2853" i="8"/>
  <c r="D2854" i="8"/>
  <c r="D2855" i="8"/>
  <c r="D2856" i="8"/>
  <c r="D2857" i="8"/>
  <c r="D2858" i="8"/>
  <c r="D2859" i="8"/>
  <c r="D2860" i="8"/>
  <c r="D2861" i="8"/>
  <c r="D2862" i="8"/>
  <c r="D2863" i="8"/>
  <c r="D2864" i="8"/>
  <c r="D2865" i="8"/>
  <c r="D2866" i="8"/>
  <c r="D2867" i="8"/>
  <c r="D2868" i="8"/>
  <c r="D2869" i="8"/>
  <c r="D2870" i="8"/>
  <c r="D2871" i="8"/>
  <c r="D2872" i="8"/>
  <c r="D2873" i="8"/>
  <c r="D2874" i="8"/>
  <c r="D2875" i="8"/>
  <c r="D2876" i="8"/>
  <c r="D2877" i="8"/>
  <c r="D2878" i="8"/>
  <c r="D2879" i="8"/>
  <c r="D2880" i="8"/>
  <c r="D2881" i="8"/>
  <c r="D2882" i="8"/>
  <c r="D2883" i="8"/>
  <c r="D2884" i="8"/>
  <c r="D2885" i="8"/>
  <c r="D2886" i="8"/>
  <c r="D2887" i="8"/>
  <c r="D2888" i="8"/>
  <c r="D2889" i="8"/>
  <c r="D2890" i="8"/>
  <c r="D2891" i="8"/>
  <c r="D2892" i="8"/>
  <c r="D2893" i="8"/>
  <c r="E8" i="2" l="1"/>
  <c r="E4" i="2"/>
</calcChain>
</file>

<file path=xl/sharedStrings.xml><?xml version="1.0" encoding="utf-8"?>
<sst xmlns="http://schemas.openxmlformats.org/spreadsheetml/2006/main" count="151276" uniqueCount="24859">
  <si>
    <t>Deltacoronavirus</t>
  </si>
  <si>
    <t>Bacillarnavirus</t>
  </si>
  <si>
    <t>Chaetoceros tenuissimus RNA virus 01</t>
  </si>
  <si>
    <t>Rhizosolenia setigera RNA virus 01</t>
  </si>
  <si>
    <t>Labyrnavirus</t>
  </si>
  <si>
    <t>Aurantiochytrium single-stranded RNA virus 01</t>
  </si>
  <si>
    <t>Tepovirus</t>
  </si>
  <si>
    <t>Bombyx mori latent virus</t>
  </si>
  <si>
    <t>Poinsettia mosaic virus</t>
  </si>
  <si>
    <t>Alphatetraviridae</t>
  </si>
  <si>
    <t>Alvernaviridae</t>
  </si>
  <si>
    <t>Dinornavirus</t>
  </si>
  <si>
    <t>Heterocapsa circularisquama RNA virus 01</t>
  </si>
  <si>
    <t>Kappatorquevirus</t>
  </si>
  <si>
    <t>Lambdatorquevirus</t>
  </si>
  <si>
    <t>Bidnaviridae</t>
  </si>
  <si>
    <t>Bidensovirus</t>
  </si>
  <si>
    <t>Bombyx mori bidensovirus</t>
  </si>
  <si>
    <t>Carmotetraviridae</t>
  </si>
  <si>
    <t>Alphacarmotetravirus</t>
  </si>
  <si>
    <t>Solendovirus</t>
  </si>
  <si>
    <t>Clavaviridae</t>
  </si>
  <si>
    <t>Clavavirus</t>
  </si>
  <si>
    <t>Hytrosaviridae</t>
  </si>
  <si>
    <t>Glossinavirus</t>
  </si>
  <si>
    <t>Muscavirus</t>
  </si>
  <si>
    <t>Megabirnaviridae</t>
  </si>
  <si>
    <t>Megabirnavirus</t>
  </si>
  <si>
    <t>Alphapapillomavirus 1</t>
  </si>
  <si>
    <t>Alphapapillomavirus 10</t>
  </si>
  <si>
    <t>Alphapapillomavirus 11</t>
  </si>
  <si>
    <t>Alphapapillomavirus 12</t>
  </si>
  <si>
    <t>Alphapapillomavirus 13</t>
  </si>
  <si>
    <t>Alphapapillomavirus 14</t>
  </si>
  <si>
    <t>Alphapapillomavirus 2</t>
  </si>
  <si>
    <t>Alphapapillomavirus 3</t>
  </si>
  <si>
    <t>Alphapapillomavirus 4</t>
  </si>
  <si>
    <t>Alphapapillomavirus 5</t>
  </si>
  <si>
    <t>Alphapapillomavirus 6</t>
  </si>
  <si>
    <t>Alphapapillomavirus 7</t>
  </si>
  <si>
    <t>Alphapapillomavirus 8</t>
  </si>
  <si>
    <t>Alphapapillomavirus 9</t>
  </si>
  <si>
    <t>Betapapillomavirus 1</t>
  </si>
  <si>
    <t>Betapapillomavirus 2</t>
  </si>
  <si>
    <t>Betapapillomavirus 3</t>
  </si>
  <si>
    <t>Betapapillomavirus 4</t>
  </si>
  <si>
    <t>Betapapillomavirus 5</t>
  </si>
  <si>
    <t>Betapapillomavirus 6</t>
  </si>
  <si>
    <t>Chipapillomavirus</t>
  </si>
  <si>
    <t>Chipapillomavirus 1</t>
  </si>
  <si>
    <t>Chipapillomavirus 2</t>
  </si>
  <si>
    <t>Deltapapillomavirus 1</t>
  </si>
  <si>
    <t>Deltapapillomavirus 2</t>
  </si>
  <si>
    <t>Deltapapillomavirus 3</t>
  </si>
  <si>
    <t>Deltapapillomavirus 4</t>
  </si>
  <si>
    <t>Deltapapillomavirus 5</t>
  </si>
  <si>
    <t>Dyodeltapapillomavirus</t>
  </si>
  <si>
    <t>Dyodeltapapillomavirus 1</t>
  </si>
  <si>
    <t>Dyoepsilonpapillomavirus</t>
  </si>
  <si>
    <t>Dyoepsilonpapillomavirus 1</t>
  </si>
  <si>
    <t>Dyoetapapillomavirus</t>
  </si>
  <si>
    <t>Dyoetapapillomavirus 1</t>
  </si>
  <si>
    <t>Dyoiotapapillomavirus</t>
  </si>
  <si>
    <t>Dyoiotapapillomavirus 1</t>
  </si>
  <si>
    <t>Dyothetapapillomavirus</t>
  </si>
  <si>
    <t>Dyothetapapillomavirus 1</t>
  </si>
  <si>
    <t>Dyozetapapillomavirus</t>
  </si>
  <si>
    <t>Dyozetapapillomavirus 1</t>
  </si>
  <si>
    <t>Epsilonpapillomavirus 1</t>
  </si>
  <si>
    <t>Etapapillomavirus 1</t>
  </si>
  <si>
    <t>Gammapapillomavirus 1</t>
  </si>
  <si>
    <t>Gammapapillomavirus 10</t>
  </si>
  <si>
    <t>Gammapapillomavirus 2</t>
  </si>
  <si>
    <t>Gammapapillomavirus 3</t>
  </si>
  <si>
    <t>Gammapapillomavirus 4</t>
  </si>
  <si>
    <t>Gammapapillomavirus 5</t>
  </si>
  <si>
    <t>Gammapapillomavirus 6</t>
  </si>
  <si>
    <t>Gammapapillomavirus 7</t>
  </si>
  <si>
    <t>Gammapapillomavirus 8</t>
  </si>
  <si>
    <t>Gammapapillomavirus 9</t>
  </si>
  <si>
    <t>Iotapapillomavirus 1</t>
  </si>
  <si>
    <t>Kappapapillomavirus 1</t>
  </si>
  <si>
    <t>Kappapapillomavirus 2</t>
  </si>
  <si>
    <t>Lambdapapillomavirus 1</t>
  </si>
  <si>
    <t>Lambdapapillomavirus 2</t>
  </si>
  <si>
    <t>Lambdapapillomavirus 3</t>
  </si>
  <si>
    <t>Lambdapapillomavirus 4</t>
  </si>
  <si>
    <t>Mupapillomavirus 1</t>
  </si>
  <si>
    <t>Mupapillomavirus 2</t>
  </si>
  <si>
    <t>Nupapillomavirus 1</t>
  </si>
  <si>
    <t>Omegapapillomavirus</t>
  </si>
  <si>
    <t>Omegapapillomavirus 1</t>
  </si>
  <si>
    <t>Omikronpapillomavirus 1</t>
  </si>
  <si>
    <t>Phipapillomavirus</t>
  </si>
  <si>
    <t>Phipapillomavirus 1</t>
  </si>
  <si>
    <t>Pipapillomavirus 1</t>
  </si>
  <si>
    <t>Pipapillomavirus 2</t>
  </si>
  <si>
    <t>Psipapillomavirus</t>
  </si>
  <si>
    <t>Psipapillomavirus 1</t>
  </si>
  <si>
    <t>Rhopapillomavirus</t>
  </si>
  <si>
    <t>Rhopapillomavirus 1</t>
  </si>
  <si>
    <t>Sigmapapillomavirus</t>
  </si>
  <si>
    <t>Sigmapapillomavirus 1</t>
  </si>
  <si>
    <t>Taupapillomavirus</t>
  </si>
  <si>
    <t>Taupapillomavirus 1</t>
  </si>
  <si>
    <t>Thetapapillomavirus 1</t>
  </si>
  <si>
    <t>Upsilonpapillomavirus</t>
  </si>
  <si>
    <t>Upsilonpapillomavirus 1</t>
  </si>
  <si>
    <t>Upsilonpapillomavirus 2</t>
  </si>
  <si>
    <t>Xipapillomavirus 1</t>
  </si>
  <si>
    <t>Zetapapillomavirus 1</t>
  </si>
  <si>
    <t>Permutotetraviridae</t>
  </si>
  <si>
    <t>Alphapermutotetravirus</t>
  </si>
  <si>
    <t>Poacevirus</t>
  </si>
  <si>
    <t>Crocodylidpoxvirus</t>
  </si>
  <si>
    <t>Trichomonasvirus</t>
  </si>
  <si>
    <t>Dinodnavirus</t>
  </si>
  <si>
    <t>Heterocapsa circularisquama DNA virus 01</t>
  </si>
  <si>
    <t>Citrivirus</t>
  </si>
  <si>
    <t>Foveavirus</t>
  </si>
  <si>
    <t>Rotavirus</t>
  </si>
  <si>
    <t>Phytoreovirus</t>
  </si>
  <si>
    <t>Hepadnaviridae</t>
  </si>
  <si>
    <t>Hypoviridae</t>
  </si>
  <si>
    <t>Hordeivirus</t>
  </si>
  <si>
    <t>Idaeovirus</t>
  </si>
  <si>
    <t>Ourmiavirus</t>
  </si>
  <si>
    <t>Cassava virus C</t>
  </si>
  <si>
    <t>Epirus cherry virus</t>
  </si>
  <si>
    <t>Ourmia melon virus</t>
  </si>
  <si>
    <t>Pecluvirus</t>
  </si>
  <si>
    <t>Capillovirus</t>
  </si>
  <si>
    <t>Mycoflexivirus</t>
  </si>
  <si>
    <t>Alphaflexiviridae</t>
  </si>
  <si>
    <t>Bafinivirus</t>
  </si>
  <si>
    <t>Anelloviridae</t>
  </si>
  <si>
    <t>Alphatorquevirus</t>
  </si>
  <si>
    <t>Betatorquevirus</t>
  </si>
  <si>
    <t>Gammatorquevirus</t>
  </si>
  <si>
    <t>Deltatorquevirus</t>
  </si>
  <si>
    <t>Mandarivirus</t>
  </si>
  <si>
    <t>Trichovirus</t>
  </si>
  <si>
    <t>Seadornavirus</t>
  </si>
  <si>
    <t>Retroviridae</t>
  </si>
  <si>
    <t>Orthoretrovirinae</t>
  </si>
  <si>
    <t>Alpharetrovirus</t>
  </si>
  <si>
    <t>Topocuvirus</t>
  </si>
  <si>
    <t>Globuloviridae</t>
  </si>
  <si>
    <t>Polemovirus</t>
  </si>
  <si>
    <t>Pomovirus</t>
  </si>
  <si>
    <t>Rhizidiovirus</t>
  </si>
  <si>
    <t>Rhizidiomyces virus</t>
  </si>
  <si>
    <t>Allexivirus</t>
  </si>
  <si>
    <t>Carlavirus</t>
  </si>
  <si>
    <t>Gammacoronavirus</t>
  </si>
  <si>
    <t>Torovirinae</t>
  </si>
  <si>
    <t>Tobamovirus</t>
  </si>
  <si>
    <t>Betacoronavirus</t>
  </si>
  <si>
    <t>Coleviroid</t>
  </si>
  <si>
    <t>Hostuviroid</t>
  </si>
  <si>
    <t>Pospiviroid</t>
  </si>
  <si>
    <t>Potyviridae</t>
  </si>
  <si>
    <t>Bymovirus</t>
  </si>
  <si>
    <t>Molluscipoxvirus</t>
  </si>
  <si>
    <t>Leporipoxvirus</t>
  </si>
  <si>
    <t>Capripoxvirus</t>
  </si>
  <si>
    <t>Brambyvirus</t>
  </si>
  <si>
    <t>Emaravirus</t>
  </si>
  <si>
    <t>Omikronpapillomavirus</t>
  </si>
  <si>
    <t>Avsunviroidae</t>
  </si>
  <si>
    <t>Avsunviroid</t>
  </si>
  <si>
    <t>Elaviroid</t>
  </si>
  <si>
    <t>Pelamoviroid</t>
  </si>
  <si>
    <t>Mamastrovirus</t>
  </si>
  <si>
    <t>Potyvirus</t>
  </si>
  <si>
    <t>Enterovirus</t>
  </si>
  <si>
    <t>Erbovirus</t>
  </si>
  <si>
    <t>Hepatovirus</t>
  </si>
  <si>
    <t>Kobuvirus</t>
  </si>
  <si>
    <t>Gammabaculovirus</t>
  </si>
  <si>
    <t>Sequivirus</t>
  </si>
  <si>
    <t>Cheravirus</t>
  </si>
  <si>
    <t>Bicaudaviridae</t>
  </si>
  <si>
    <t>Bicaudavirus</t>
  </si>
  <si>
    <t>Cucumovirus</t>
  </si>
  <si>
    <t>Picovirinae</t>
  </si>
  <si>
    <t>Asfarviridae</t>
  </si>
  <si>
    <t>Asfivirus</t>
  </si>
  <si>
    <t>African swine fever virus</t>
  </si>
  <si>
    <t>Astroviridae</t>
  </si>
  <si>
    <t>Avastrovirus</t>
  </si>
  <si>
    <t>Betaentomopoxvirus</t>
  </si>
  <si>
    <t>Mastrevirus</t>
  </si>
  <si>
    <t>Siadenovirus</t>
  </si>
  <si>
    <t>Cytomegalovirus</t>
  </si>
  <si>
    <t>Muromegalovirus</t>
  </si>
  <si>
    <t>Betaretrovirus</t>
  </si>
  <si>
    <t>Phlebovirus</t>
  </si>
  <si>
    <t>Botrexvirus</t>
  </si>
  <si>
    <t>Sirevirus</t>
  </si>
  <si>
    <t>Aquareovirus</t>
  </si>
  <si>
    <t>Cardoreovirus</t>
  </si>
  <si>
    <t>Coltivirus</t>
  </si>
  <si>
    <t>Cypovirus</t>
  </si>
  <si>
    <t>Cavemovirus</t>
  </si>
  <si>
    <t>Petuvirus</t>
  </si>
  <si>
    <t>Alfamovirus</t>
  </si>
  <si>
    <t>Anulavirus</t>
  </si>
  <si>
    <t>Bromovirus</t>
  </si>
  <si>
    <t>Chrysoviridae</t>
  </si>
  <si>
    <t>Circoviridae</t>
  </si>
  <si>
    <t>Circovirus</t>
  </si>
  <si>
    <t>Yatapoxvirus</t>
  </si>
  <si>
    <t>Entomopoxvirinae</t>
  </si>
  <si>
    <t>Victorivirus</t>
  </si>
  <si>
    <t>Tombusviridae</t>
  </si>
  <si>
    <t>Aureusvirus</t>
  </si>
  <si>
    <t>Avenavirus</t>
  </si>
  <si>
    <t>Ahlum waterborne virus</t>
  </si>
  <si>
    <t>Bean mild mosaic virus</t>
  </si>
  <si>
    <t>Deltaretrovirus</t>
  </si>
  <si>
    <t>Epsilonretrovirus</t>
  </si>
  <si>
    <t>Gammaretrovirus</t>
  </si>
  <si>
    <t>Isavirus</t>
  </si>
  <si>
    <t>Thogotovirus</t>
  </si>
  <si>
    <t>Papillomaviridae</t>
  </si>
  <si>
    <t>Alphapapillomavirus</t>
  </si>
  <si>
    <t>Coccolithovirus</t>
  </si>
  <si>
    <t>Ipomovirus</t>
  </si>
  <si>
    <t>Epsilonpapillomavirus</t>
  </si>
  <si>
    <t>Omegatetravirus</t>
  </si>
  <si>
    <t>Togaviridae</t>
  </si>
  <si>
    <t>Alphavirus</t>
  </si>
  <si>
    <t>Betapapillomavirus</t>
  </si>
  <si>
    <t>Picobirnaviridae</t>
  </si>
  <si>
    <t>Chenopodium necrosis virus</t>
  </si>
  <si>
    <t>Herpesvirales</t>
  </si>
  <si>
    <t>Alloherpesviridae</t>
  </si>
  <si>
    <t>Alphaherpesvirinae</t>
  </si>
  <si>
    <t>Iltovirus</t>
  </si>
  <si>
    <t>Phaeovirus</t>
  </si>
  <si>
    <t>Macluravirus</t>
  </si>
  <si>
    <t>Etapapillomavirus</t>
  </si>
  <si>
    <t>Gammapapillomavirus</t>
  </si>
  <si>
    <t>Prasinovirus</t>
  </si>
  <si>
    <t>Prymnesiovirus</t>
  </si>
  <si>
    <t>Raphidovirus</t>
  </si>
  <si>
    <t>Plasmaviridae</t>
  </si>
  <si>
    <t>Plasmavirus</t>
  </si>
  <si>
    <t>Parechovirus</t>
  </si>
  <si>
    <t>Teschovirus</t>
  </si>
  <si>
    <t>Polyomaviridae</t>
  </si>
  <si>
    <t>Senecavirus</t>
  </si>
  <si>
    <t>Tremovirus</t>
  </si>
  <si>
    <t>Ostreavirus</t>
  </si>
  <si>
    <t>Mononegavirales</t>
  </si>
  <si>
    <t>Ichtadenovirus</t>
  </si>
  <si>
    <t>Salterprovirus</t>
  </si>
  <si>
    <t>Sobemovirus</t>
  </si>
  <si>
    <t>Cocksfoot mottle virus</t>
  </si>
  <si>
    <t>Plectrovirus</t>
  </si>
  <si>
    <t>Narnavirus</t>
  </si>
  <si>
    <t>Lymphocystivirus</t>
  </si>
  <si>
    <t>Megalocytivirus</t>
  </si>
  <si>
    <t>Ranavirus</t>
  </si>
  <si>
    <t>Iridovirus</t>
  </si>
  <si>
    <t>Dicistroviridae</t>
  </si>
  <si>
    <t>Cripavirus</t>
  </si>
  <si>
    <t>Aphthovirus</t>
  </si>
  <si>
    <t>Order</t>
  </si>
  <si>
    <t>Errantivirus</t>
  </si>
  <si>
    <t>Iotapapillomavirus</t>
  </si>
  <si>
    <t>Metavirus</t>
  </si>
  <si>
    <t>Ampullaviridae</t>
  </si>
  <si>
    <t>Arenaviridae</t>
  </si>
  <si>
    <t>Torovirus</t>
  </si>
  <si>
    <t>Roniviridae</t>
  </si>
  <si>
    <t>Okavirus</t>
  </si>
  <si>
    <t>Picornavirales</t>
  </si>
  <si>
    <t>Sapelovirus</t>
  </si>
  <si>
    <t>Malacoherpesviridae</t>
  </si>
  <si>
    <t>Avihepatovirus</t>
  </si>
  <si>
    <t>Hepeviridae</t>
  </si>
  <si>
    <t>Tenuivirus</t>
  </si>
  <si>
    <t>Narnaviridae</t>
  </si>
  <si>
    <t>Nimaviridae</t>
  </si>
  <si>
    <t>Whispovirus</t>
  </si>
  <si>
    <t>White spot syndrome virus</t>
  </si>
  <si>
    <t>Nodaviridae</t>
  </si>
  <si>
    <t>Alphanodavirus</t>
  </si>
  <si>
    <t>Betanodavirus</t>
  </si>
  <si>
    <t>Iflaviridae</t>
  </si>
  <si>
    <t>Iflavirus</t>
  </si>
  <si>
    <t>Marnaviridae</t>
  </si>
  <si>
    <t>Marnavirus</t>
  </si>
  <si>
    <t>Heterosigma akashiwo RNA virus</t>
  </si>
  <si>
    <t>Picornaviridae</t>
  </si>
  <si>
    <t>Deltalipothrixvirus</t>
  </si>
  <si>
    <t>Novirhabdovirus</t>
  </si>
  <si>
    <t>Enamovirus</t>
  </si>
  <si>
    <t>Luteovirus</t>
  </si>
  <si>
    <t>Curtovirus</t>
  </si>
  <si>
    <t>Flaviviridae</t>
  </si>
  <si>
    <t>Kappapapillomavirus</t>
  </si>
  <si>
    <t>Lambdapapillomavirus</t>
  </si>
  <si>
    <t>Mupapillomavirus</t>
  </si>
  <si>
    <t>Nupapillomavirus</t>
  </si>
  <si>
    <t>Pipapillomavirus</t>
  </si>
  <si>
    <t>Thetapapillomavirus</t>
  </si>
  <si>
    <t>Gokushovirinae</t>
  </si>
  <si>
    <t>Caenorhabditis elegans Cer13 virus</t>
  </si>
  <si>
    <t>Drosophila melanogaster Bel virus</t>
  </si>
  <si>
    <t>Drosophila melanogaster Roo virus</t>
  </si>
  <si>
    <t>Betabaculovirus</t>
  </si>
  <si>
    <t>Tymovirales</t>
  </si>
  <si>
    <t>Betaflexiviridae</t>
  </si>
  <si>
    <t>Hepacivirus</t>
  </si>
  <si>
    <t>Pestivirus</t>
  </si>
  <si>
    <t>Soymovirus</t>
  </si>
  <si>
    <t>Tungrovirus</t>
  </si>
  <si>
    <t>Spumaretrovirinae</t>
  </si>
  <si>
    <t>Potexvirus</t>
  </si>
  <si>
    <t>Orthopoxvirus</t>
  </si>
  <si>
    <t>Parapoxvirus</t>
  </si>
  <si>
    <t>Suipoxvirus</t>
  </si>
  <si>
    <t>Avihepadnavirus</t>
  </si>
  <si>
    <t>Orthohepadnavirus</t>
  </si>
  <si>
    <t>Cryspovirus</t>
  </si>
  <si>
    <t>Benyvirus</t>
  </si>
  <si>
    <t>Deltavirus</t>
  </si>
  <si>
    <t>Furovirus</t>
  </si>
  <si>
    <t>Weddel waterborne virus</t>
  </si>
  <si>
    <t>Dianthovirus</t>
  </si>
  <si>
    <t>Machlomovirus</t>
  </si>
  <si>
    <t>Percavirus</t>
  </si>
  <si>
    <t>Rhadinovirus</t>
  </si>
  <si>
    <t>Simplexvirus</t>
  </si>
  <si>
    <t>Varicellovirus</t>
  </si>
  <si>
    <t>Rudiviridae</t>
  </si>
  <si>
    <t>Lymphocryptovirus</t>
  </si>
  <si>
    <t>Orthoreovirus</t>
  </si>
  <si>
    <t>Oryzavirus</t>
  </si>
  <si>
    <t>Macavirus</t>
  </si>
  <si>
    <t>Henipavirus</t>
  </si>
  <si>
    <t>Morbillivirus</t>
  </si>
  <si>
    <t>Respirovirus</t>
  </si>
  <si>
    <t>Totivirus</t>
  </si>
  <si>
    <t>Tymoviridae</t>
  </si>
  <si>
    <t>Maculavirus</t>
  </si>
  <si>
    <t>Marafivirus</t>
  </si>
  <si>
    <t>Spounavirinae</t>
  </si>
  <si>
    <t>Tevenvirinae</t>
  </si>
  <si>
    <t>Scutavirus</t>
  </si>
  <si>
    <t>Aquaparamyxovirus</t>
  </si>
  <si>
    <t>Ferlavirus</t>
  </si>
  <si>
    <t>Phycodnaviridae</t>
  </si>
  <si>
    <t>Chlorovirus</t>
  </si>
  <si>
    <t>Aparavirus</t>
  </si>
  <si>
    <t>Ephemerovirus</t>
  </si>
  <si>
    <t>Lyssavirus</t>
  </si>
  <si>
    <t>Mardivirus</t>
  </si>
  <si>
    <t>Coronaviridae</t>
  </si>
  <si>
    <t>Aviadenovirus</t>
  </si>
  <si>
    <t>Cucumber soil-borne virus</t>
  </si>
  <si>
    <t>Betaherpesvirinae</t>
  </si>
  <si>
    <t>Proboscivirus</t>
  </si>
  <si>
    <t>Roseolovirus</t>
  </si>
  <si>
    <t>Gammaherpesvirinae</t>
  </si>
  <si>
    <t>Bornaviridae</t>
  </si>
  <si>
    <t>Filoviridae</t>
  </si>
  <si>
    <t>Paramyxoviridae</t>
  </si>
  <si>
    <t>Iridoviridae</t>
  </si>
  <si>
    <t>Chloriridovirus</t>
  </si>
  <si>
    <t>Lentivirus</t>
  </si>
  <si>
    <t>Rhabdoviridae</t>
  </si>
  <si>
    <t>Cytorhabdovirus</t>
  </si>
  <si>
    <t>Vesiculovirus</t>
  </si>
  <si>
    <t>Nidovirales</t>
  </si>
  <si>
    <t>Arteriviridae</t>
  </si>
  <si>
    <t>Mastadenovirus</t>
  </si>
  <si>
    <t>Guttaviridae</t>
  </si>
  <si>
    <t>Tymovirus</t>
  </si>
  <si>
    <t>Varicosavirus</t>
  </si>
  <si>
    <t>Rymovirus</t>
  </si>
  <si>
    <t>Tritimovirus</t>
  </si>
  <si>
    <t>Cervidpoxvirus</t>
  </si>
  <si>
    <t>Tectiviridae</t>
  </si>
  <si>
    <t>Dinovernavirus</t>
  </si>
  <si>
    <t>Leishmaniavirus</t>
  </si>
  <si>
    <t>Idnoreovirus</t>
  </si>
  <si>
    <t>Parvovirinae</t>
  </si>
  <si>
    <t>Ophiovirus</t>
  </si>
  <si>
    <t>Orthomyxoviridae</t>
  </si>
  <si>
    <t>Lipothrixviridae</t>
  </si>
  <si>
    <t>Betalipothrixvirus</t>
  </si>
  <si>
    <t>Polerovirus</t>
  </si>
  <si>
    <t>Endornaviridae</t>
  </si>
  <si>
    <t>Metaviridae</t>
  </si>
  <si>
    <t>Vitivirus</t>
  </si>
  <si>
    <t>Xipapillomavirus</t>
  </si>
  <si>
    <t>Zetapapillomavirus</t>
  </si>
  <si>
    <t>Partitiviridae</t>
  </si>
  <si>
    <t>Inoviridae</t>
  </si>
  <si>
    <t>Inovirus</t>
  </si>
  <si>
    <t>Drosophila simulans Ninja virus</t>
  </si>
  <si>
    <t>Microviridae</t>
  </si>
  <si>
    <t>Gammaflexiviridae</t>
  </si>
  <si>
    <t>Sclerodarnavirus</t>
  </si>
  <si>
    <t>Epsilontorquevirus</t>
  </si>
  <si>
    <t>Zetatorquevirus</t>
  </si>
  <si>
    <t>Etatorquevirus</t>
  </si>
  <si>
    <t>Thetatorquevirus</t>
  </si>
  <si>
    <t>Iotatorquevirus</t>
  </si>
  <si>
    <t>Tobravirus</t>
  </si>
  <si>
    <t>Umbravirus</t>
  </si>
  <si>
    <t>Baculoviridae</t>
  </si>
  <si>
    <t>Alphabaculovirus</t>
  </si>
  <si>
    <t>Cardiovirus</t>
  </si>
  <si>
    <t>Deltabaculovirus</t>
  </si>
  <si>
    <t>Barnaviridae</t>
  </si>
  <si>
    <t>Barnavirus</t>
  </si>
  <si>
    <t>Mushroom bacilliform virus</t>
  </si>
  <si>
    <t>Birnaviridae</t>
  </si>
  <si>
    <t>Aquabirnavirus</t>
  </si>
  <si>
    <t>Avibirnavirus</t>
  </si>
  <si>
    <t>Sadwavirus</t>
  </si>
  <si>
    <t>Adenoviridae</t>
  </si>
  <si>
    <t>Blosnavirus</t>
  </si>
  <si>
    <t>Entomobirnavirus</t>
  </si>
  <si>
    <t>Bromoviridae</t>
  </si>
  <si>
    <t>Ilarvirus</t>
  </si>
  <si>
    <t>Ascoviridae</t>
  </si>
  <si>
    <t>Ascovirus</t>
  </si>
  <si>
    <t>Alphaentomopoxvirus</t>
  </si>
  <si>
    <t>Rubivirus</t>
  </si>
  <si>
    <t>Fijivirus</t>
  </si>
  <si>
    <t>Family</t>
  </si>
  <si>
    <t>Subfamily</t>
  </si>
  <si>
    <t>Genus</t>
  </si>
  <si>
    <t>Species</t>
  </si>
  <si>
    <t>Nebovirus</t>
  </si>
  <si>
    <t>Alphacoronavirus</t>
  </si>
  <si>
    <t>Betatetravirus</t>
  </si>
  <si>
    <t>Deltapapillomavirus</t>
  </si>
  <si>
    <t>Waikavirus</t>
  </si>
  <si>
    <t>Comovirus</t>
  </si>
  <si>
    <t>Fabavirus</t>
  </si>
  <si>
    <t>Nepovirus</t>
  </si>
  <si>
    <t>Comovirinae</t>
  </si>
  <si>
    <t>Pseudovirus</t>
  </si>
  <si>
    <t>Panicovirus</t>
  </si>
  <si>
    <t>Tombusvirus</t>
  </si>
  <si>
    <t>Giardiavirus</t>
  </si>
  <si>
    <t>Parvoviridae</t>
  </si>
  <si>
    <t>Densovirinae</t>
  </si>
  <si>
    <t>Mimoreovirus</t>
  </si>
  <si>
    <t>Mycoreovirus</t>
  </si>
  <si>
    <t>Orbivirus</t>
  </si>
  <si>
    <t>Bdellomicrovirus</t>
  </si>
  <si>
    <t>Chlamydiamicrovirus</t>
  </si>
  <si>
    <t>Gyrovirus</t>
  </si>
  <si>
    <t>Closteroviridae</t>
  </si>
  <si>
    <t>Ampelovirus</t>
  </si>
  <si>
    <t>Oleavirus</t>
  </si>
  <si>
    <t>Orthobunyavirus</t>
  </si>
  <si>
    <t>Cilevirus</t>
  </si>
  <si>
    <t>Virgaviridae</t>
  </si>
  <si>
    <t>Torradovirus</t>
  </si>
  <si>
    <t>Secoviridae</t>
  </si>
  <si>
    <t>Caliciviridae</t>
  </si>
  <si>
    <t>Lagovirus</t>
  </si>
  <si>
    <t>Norovirus</t>
  </si>
  <si>
    <t>Sapovirus</t>
  </si>
  <si>
    <t>Vesivirus</t>
  </si>
  <si>
    <t>Caulimoviridae</t>
  </si>
  <si>
    <t>Badnavirus</t>
  </si>
  <si>
    <t>Semotivirus</t>
  </si>
  <si>
    <t>Anopheles gambiae Moose virus</t>
  </si>
  <si>
    <t>Ascaris lumbricoides Tas virus</t>
  </si>
  <si>
    <t>Bombyx mori Pao virus</t>
  </si>
  <si>
    <t>Spiromicrovirus</t>
  </si>
  <si>
    <t>Mimiviridae</t>
  </si>
  <si>
    <t>Mimivirus</t>
  </si>
  <si>
    <t>Nanoviridae</t>
  </si>
  <si>
    <t>Babuvirus</t>
  </si>
  <si>
    <t>Nanovirus</t>
  </si>
  <si>
    <t>Pospiviroidae</t>
  </si>
  <si>
    <t>Apscaviroid</t>
  </si>
  <si>
    <t>Cocadviroid</t>
  </si>
  <si>
    <t>Closterovirus</t>
  </si>
  <si>
    <t>Crinivirus</t>
  </si>
  <si>
    <t>Corticoviridae</t>
  </si>
  <si>
    <t>Corticovirus</t>
  </si>
  <si>
    <t>Cystoviridae</t>
  </si>
  <si>
    <t>Poxviridae</t>
  </si>
  <si>
    <t>Chordopoxvirinae</t>
  </si>
  <si>
    <t>Avipoxvirus</t>
  </si>
  <si>
    <t>Cystovirus</t>
  </si>
  <si>
    <t>Fuselloviridae</t>
  </si>
  <si>
    <t>Geminiviridae</t>
  </si>
  <si>
    <t>Begomovirus</t>
  </si>
  <si>
    <t>Lolavirus</t>
  </si>
  <si>
    <t>Caulimovirus</t>
  </si>
  <si>
    <t>Pseudoviridae</t>
  </si>
  <si>
    <t>Hemivirus</t>
  </si>
  <si>
    <t>Aurivirus</t>
  </si>
  <si>
    <t>Ligamenvirales</t>
  </si>
  <si>
    <t>Perhabdovirus</t>
  </si>
  <si>
    <t>Sigmavirus</t>
  </si>
  <si>
    <t>Tibrovirus</t>
  </si>
  <si>
    <t>Mesoniviridae</t>
  </si>
  <si>
    <t>Alphamesonivirus</t>
  </si>
  <si>
    <t>Aquamavirus</t>
  </si>
  <si>
    <t>Cosavirus</t>
  </si>
  <si>
    <t>Dicipivirus</t>
  </si>
  <si>
    <t>Megrivirus</t>
  </si>
  <si>
    <t>Salivirus</t>
  </si>
  <si>
    <t>Banana virus X</t>
  </si>
  <si>
    <t>Pegivirus</t>
  </si>
  <si>
    <t>Alphafusellovirus</t>
  </si>
  <si>
    <t>Betafusellovirus</t>
  </si>
  <si>
    <t>Becurtovirus</t>
  </si>
  <si>
    <t>Eragrovirus</t>
  </si>
  <si>
    <t>Turncurtovirus</t>
  </si>
  <si>
    <t>Betaguttavirus</t>
  </si>
  <si>
    <t>Quaranjavirus</t>
  </si>
  <si>
    <t>Quadriviridae</t>
  </si>
  <si>
    <t>Quadrivirus</t>
  </si>
  <si>
    <t>Alphanecrovirus</t>
  </si>
  <si>
    <t>Betanecrovirus</t>
  </si>
  <si>
    <t>Gallantivirus</t>
  </si>
  <si>
    <t>Macanavirus</t>
  </si>
  <si>
    <t>Zeavirus</t>
  </si>
  <si>
    <t>Cuevavirus</t>
  </si>
  <si>
    <t>Nyamiviridae</t>
  </si>
  <si>
    <t>Nyavirus</t>
  </si>
  <si>
    <t>Sprivivirus</t>
  </si>
  <si>
    <t>Tupavirus</t>
  </si>
  <si>
    <t>Avisivirus</t>
  </si>
  <si>
    <t>Gallivirus</t>
  </si>
  <si>
    <t>Hunnivirus</t>
  </si>
  <si>
    <t>Mischivirus</t>
  </si>
  <si>
    <t>Mosavirus</t>
  </si>
  <si>
    <t>Oscivirus</t>
  </si>
  <si>
    <t>Pasivirus</t>
  </si>
  <si>
    <t>Passerivirus</t>
  </si>
  <si>
    <t>Rosavirus</t>
  </si>
  <si>
    <t>Amalgaviridae</t>
  </si>
  <si>
    <t>Amalgavirus</t>
  </si>
  <si>
    <t>Benyviridae</t>
  </si>
  <si>
    <t>Velarivirus</t>
  </si>
  <si>
    <t>Marseilleviridae</t>
  </si>
  <si>
    <t>Marseillevirus</t>
  </si>
  <si>
    <t>Nudiviridae</t>
  </si>
  <si>
    <t>Alphanudivirus</t>
  </si>
  <si>
    <t>Betanudivirus</t>
  </si>
  <si>
    <t>Chipapillomavirus 3</t>
  </si>
  <si>
    <t>Deltapapillomavirus 6</t>
  </si>
  <si>
    <t>Dyoiotapapillomavirus 2</t>
  </si>
  <si>
    <t>Dyokappapapillomavirus</t>
  </si>
  <si>
    <t>Dyokappapapillomavirus 1</t>
  </si>
  <si>
    <t>Dyolambdapapillomavirus</t>
  </si>
  <si>
    <t>Dyolambdapapillomavirus 1</t>
  </si>
  <si>
    <t>Dyomupapillomavirus</t>
  </si>
  <si>
    <t>Dyomupapillomavirus 1</t>
  </si>
  <si>
    <t>Dyonupapillomavirus</t>
  </si>
  <si>
    <t>Dyonupapillomavirus 1</t>
  </si>
  <si>
    <t>Dyoomikronpapillomavirus</t>
  </si>
  <si>
    <t>Dyoomikronpapillomavirus 1</t>
  </si>
  <si>
    <t>Dyopipapillomavirus</t>
  </si>
  <si>
    <t>Dyopipapillomavirus 1</t>
  </si>
  <si>
    <t>Dyorhopapillomavirus</t>
  </si>
  <si>
    <t>Dyorhopapillomavirus 1</t>
  </si>
  <si>
    <t>Dyosigmapapillomavirus</t>
  </si>
  <si>
    <t>Dyosigmapapillomavirus 1</t>
  </si>
  <si>
    <t>Dyoxipapillomavirus</t>
  </si>
  <si>
    <t>Dyoxipapillomavirus 1</t>
  </si>
  <si>
    <t>Gammapapillomavirus 11</t>
  </si>
  <si>
    <t>Gammapapillomavirus 12</t>
  </si>
  <si>
    <t>Gammapapillomavirus 13</t>
  </si>
  <si>
    <t>Gammapapillomavirus 14</t>
  </si>
  <si>
    <t>Gammapapillomavirus 15</t>
  </si>
  <si>
    <t>Gammapapillomavirus 16</t>
  </si>
  <si>
    <t>Gammapapillomavirus 17</t>
  </si>
  <si>
    <t>Gammapapillomavirus 18</t>
  </si>
  <si>
    <t>Gammapapillomavirus 19</t>
  </si>
  <si>
    <t>Gammapapillomavirus 20</t>
  </si>
  <si>
    <t>Lambdapapillomavirus 5</t>
  </si>
  <si>
    <t>Taupapillomavirus 2</t>
  </si>
  <si>
    <t>Upsilonpapillomavirus 3</t>
  </si>
  <si>
    <t>Xipapillomavirus 2</t>
  </si>
  <si>
    <t>Alphapartitivirus</t>
  </si>
  <si>
    <t>Betapartitivirus</t>
  </si>
  <si>
    <t>Deltapartitivirus</t>
  </si>
  <si>
    <t>Gammapartitivirus</t>
  </si>
  <si>
    <t>Iteradensovirus</t>
  </si>
  <si>
    <t>Amdoparvovirus</t>
  </si>
  <si>
    <t>Aveparvovirus</t>
  </si>
  <si>
    <t>Bocaparvovirus</t>
  </si>
  <si>
    <t>Copiparvovirus</t>
  </si>
  <si>
    <t>Dependoparvovirus</t>
  </si>
  <si>
    <t>Erythroparvovirus</t>
  </si>
  <si>
    <t>Protoparvovirus</t>
  </si>
  <si>
    <t>Tetraparvovirus</t>
  </si>
  <si>
    <t>Spiraviridae</t>
  </si>
  <si>
    <t>Alphaspiravirus</t>
  </si>
  <si>
    <t>Turriviridae</t>
  </si>
  <si>
    <t>Alphaturrivirus</t>
  </si>
  <si>
    <t>Higrevirus</t>
  </si>
  <si>
    <t>Eucampyvirinae</t>
  </si>
  <si>
    <t>Kunsagivirus</t>
  </si>
  <si>
    <t>Sakobuvirus</t>
  </si>
  <si>
    <t>Sicinivirus</t>
  </si>
  <si>
    <t>Mammarenavirus</t>
  </si>
  <si>
    <t>Reptarenavirus</t>
  </si>
  <si>
    <t>Rosadnavirus</t>
  </si>
  <si>
    <t>Piscihepevirus</t>
  </si>
  <si>
    <t>Sphaerolipoviridae</t>
  </si>
  <si>
    <t>Alphasphaerolipovirus</t>
  </si>
  <si>
    <t>dsDNA</t>
  </si>
  <si>
    <t>ssRNA(-)</t>
  </si>
  <si>
    <t>ssRNA(+)</t>
  </si>
  <si>
    <t>ssDNA</t>
  </si>
  <si>
    <t>dsRNA</t>
  </si>
  <si>
    <t>ssRNA-RT</t>
  </si>
  <si>
    <t>Genome Composition</t>
  </si>
  <si>
    <t>Taxon History URL</t>
  </si>
  <si>
    <t>Last Change</t>
  </si>
  <si>
    <t>Campylobacter virus IBB35</t>
  </si>
  <si>
    <t>Kayvirus</t>
  </si>
  <si>
    <t>Silviavirus</t>
  </si>
  <si>
    <t>Twortvirus</t>
  </si>
  <si>
    <t>Acinetobacter virus 133</t>
  </si>
  <si>
    <t>Vequintavirinae</t>
  </si>
  <si>
    <t>Agatevirus</t>
  </si>
  <si>
    <t>Bastillevirus</t>
  </si>
  <si>
    <t>Bcepmuvirus</t>
  </si>
  <si>
    <t>Biquartavirus</t>
  </si>
  <si>
    <t>Hapunavirus</t>
  </si>
  <si>
    <t>Muvirus</t>
  </si>
  <si>
    <t>Myohalovirus</t>
  </si>
  <si>
    <t>Aeromonas virus 43</t>
  </si>
  <si>
    <t>Pakpunavirus</t>
  </si>
  <si>
    <t>Pbunavirus</t>
  </si>
  <si>
    <t>Pseudomonas virus DL68</t>
  </si>
  <si>
    <t>Pseudomonas virus JG024</t>
  </si>
  <si>
    <t>Phikzvirus</t>
  </si>
  <si>
    <t>Vhmlvirus</t>
  </si>
  <si>
    <t>Wphvirus</t>
  </si>
  <si>
    <t>Phikmvvirus</t>
  </si>
  <si>
    <t>Nonanavirus</t>
  </si>
  <si>
    <t>Pagevirus</t>
  </si>
  <si>
    <t>Guernseyvirinae</t>
  </si>
  <si>
    <t>Jerseyvirus</t>
  </si>
  <si>
    <t>Tunavirinae</t>
  </si>
  <si>
    <t>Rtpvirus</t>
  </si>
  <si>
    <t>Tlsvirus</t>
  </si>
  <si>
    <t>Andromedavirus</t>
  </si>
  <si>
    <t>Barnyardvirus</t>
  </si>
  <si>
    <t>Bignuzvirus</t>
  </si>
  <si>
    <t>Biseptimavirus</t>
  </si>
  <si>
    <t>Bronvirus</t>
  </si>
  <si>
    <t>Mycobacterium virus Bron</t>
  </si>
  <si>
    <t>Cbastvirus</t>
  </si>
  <si>
    <t>Cecivirus</t>
  </si>
  <si>
    <t>Charlievirus</t>
  </si>
  <si>
    <t>Mycobacterium virus Ardmore</t>
  </si>
  <si>
    <t>Mycobacterium virus Boomer</t>
  </si>
  <si>
    <t>Mycobacterium virus Che8</t>
  </si>
  <si>
    <t>Mycobacterium virus Dlane</t>
  </si>
  <si>
    <t>Mycobacterium virus Dorothy</t>
  </si>
  <si>
    <t>Mycobacterium virus Drago</t>
  </si>
  <si>
    <t>Mycobacterium virus Fruitloop</t>
  </si>
  <si>
    <t>Mycobacterium virus Ibhubesi</t>
  </si>
  <si>
    <t>Mycobacterium virus Llij</t>
  </si>
  <si>
    <t>Mycobacterium virus Mozy</t>
  </si>
  <si>
    <t>Mycobacterium virus Mutaforma13</t>
  </si>
  <si>
    <t>Mycobacterium virus Pacc40</t>
  </si>
  <si>
    <t>Mycobacterium virus PMC</t>
  </si>
  <si>
    <t>Mycobacterium virus Ramsey</t>
  </si>
  <si>
    <t>Mycobacterium virus SG4</t>
  </si>
  <si>
    <t>Mycobacterium virus Shauna1</t>
  </si>
  <si>
    <t>Mycobacterium virus Shilan</t>
  </si>
  <si>
    <t>Mycobacterium virus Spartacus</t>
  </si>
  <si>
    <t>Mycobacterium virus Taj</t>
  </si>
  <si>
    <t>Mycobacterium virus Tweety</t>
  </si>
  <si>
    <t>Mycobacterium virus Wee</t>
  </si>
  <si>
    <t>Chivirus</t>
  </si>
  <si>
    <t>Corndogvirus</t>
  </si>
  <si>
    <t>Lambdavirus</t>
  </si>
  <si>
    <t>Liefievirus</t>
  </si>
  <si>
    <t>Mycobacterium virus Halo</t>
  </si>
  <si>
    <t>Mycobacterium virus Liefie</t>
  </si>
  <si>
    <t>Nonagvirus</t>
  </si>
  <si>
    <t>Omegavirus</t>
  </si>
  <si>
    <t>Phietavirus</t>
  </si>
  <si>
    <t>Phifelvirus</t>
  </si>
  <si>
    <t>Psavirus</t>
  </si>
  <si>
    <t>Psimunavirus</t>
  </si>
  <si>
    <t>Reyvirus</t>
  </si>
  <si>
    <t>Seuratvirus</t>
  </si>
  <si>
    <t>Sextaecvirus</t>
  </si>
  <si>
    <t>Slashvirus</t>
  </si>
  <si>
    <t>Spbetavirus</t>
  </si>
  <si>
    <t>Mycobacterium virus TM4</t>
  </si>
  <si>
    <t>Triavirus</t>
  </si>
  <si>
    <t>Wbetavirus</t>
  </si>
  <si>
    <t>Yuavirus</t>
  </si>
  <si>
    <t>Pseudomonas virus M6</t>
  </si>
  <si>
    <t>Pseudomonas virus Yua</t>
  </si>
  <si>
    <t>Mymonaviridae</t>
  </si>
  <si>
    <t>Sclerotimonavirus</t>
  </si>
  <si>
    <t>Socyvirus</t>
  </si>
  <si>
    <t>Pneumoviridae</t>
  </si>
  <si>
    <t>Orthopneumovirus</t>
  </si>
  <si>
    <t>Dichorhavirus</t>
  </si>
  <si>
    <t>Sunviridae</t>
  </si>
  <si>
    <t>Sunshinevirus</t>
  </si>
  <si>
    <t>Anphevirus</t>
  </si>
  <si>
    <t>Arlivirus</t>
  </si>
  <si>
    <t>Crustavirus</t>
  </si>
  <si>
    <t>Triatovirus</t>
  </si>
  <si>
    <t>Limnipivirus</t>
  </si>
  <si>
    <t>Potamipivirus</t>
  </si>
  <si>
    <t>Platypuvirus</t>
  </si>
  <si>
    <t>Quinvirinae</t>
  </si>
  <si>
    <t>Robigovirus</t>
  </si>
  <si>
    <t>Trivirinae</t>
  </si>
  <si>
    <t>Chordovirus</t>
  </si>
  <si>
    <t>Divavirus</t>
  </si>
  <si>
    <t>Prunevirus</t>
  </si>
  <si>
    <t>ssDNA(-)</t>
  </si>
  <si>
    <t>ssRNA(+/-)</t>
  </si>
  <si>
    <t>Toursvirus</t>
  </si>
  <si>
    <t>dsDNA-RT</t>
  </si>
  <si>
    <t>ssDNA(+/-)</t>
  </si>
  <si>
    <t>Cyclovirus</t>
  </si>
  <si>
    <t>Genomoviridae</t>
  </si>
  <si>
    <t>Gemycircularvirus</t>
  </si>
  <si>
    <t>ssDNA(+)</t>
  </si>
  <si>
    <t>Mavirus</t>
  </si>
  <si>
    <t>Sputnikvirus</t>
  </si>
  <si>
    <t>Bullavirinae</t>
  </si>
  <si>
    <t>Bdellovibrio virus MAC1</t>
  </si>
  <si>
    <t>Dyochipapillomavirus</t>
  </si>
  <si>
    <t>Dyochipapillomavirus 1</t>
  </si>
  <si>
    <t>Dyokappapapillomavirus 2</t>
  </si>
  <si>
    <t>Dyoomegapapillomavirus 1</t>
  </si>
  <si>
    <t>Dyophipapillomavirus</t>
  </si>
  <si>
    <t>Dyophipapillomavirus 1</t>
  </si>
  <si>
    <t>Dyopsipapillomavirus</t>
  </si>
  <si>
    <t>Dyopsipapillomavirus 1</t>
  </si>
  <si>
    <t>Dyotaupapillomavirus</t>
  </si>
  <si>
    <t>Dyotaupapillomavirus 1</t>
  </si>
  <si>
    <t>Dyoupsilonpapillomavirus</t>
  </si>
  <si>
    <t>Dyoupsilonpapillomavirus 1</t>
  </si>
  <si>
    <t>Gammapapillomavirus 21</t>
  </si>
  <si>
    <t>Gammapapillomavirus 22</t>
  </si>
  <si>
    <t>Gammapapillomavirus 23</t>
  </si>
  <si>
    <t>Gammapapillomavirus 24</t>
  </si>
  <si>
    <t>Gammapapillomavirus 25</t>
  </si>
  <si>
    <t>Gammapapillomavirus 26</t>
  </si>
  <si>
    <t>Mupapillomavirus 3</t>
  </si>
  <si>
    <t>Rhopapillomavirus 2</t>
  </si>
  <si>
    <t>Taupapillomavirus 3</t>
  </si>
  <si>
    <t>Treisdeltapapillomavirus</t>
  </si>
  <si>
    <t>Treisdeltapapillomavirus 1</t>
  </si>
  <si>
    <t>Treisepsilonpapillomavirus</t>
  </si>
  <si>
    <t>Treisepsilonpapillomavirus 1</t>
  </si>
  <si>
    <t>Treisetapapillomavirus</t>
  </si>
  <si>
    <t>Treisetapapillomavirus 1</t>
  </si>
  <si>
    <t>Treiszetapapillomavirus</t>
  </si>
  <si>
    <t>Treiszetapapillomavirus 1</t>
  </si>
  <si>
    <t>Xipapillomavirus 3</t>
  </si>
  <si>
    <t>Pleolipoviridae</t>
  </si>
  <si>
    <t>Alphapleolipovirus</t>
  </si>
  <si>
    <t>Betapleolipovirus</t>
  </si>
  <si>
    <t>Gammapleolipovirus</t>
  </si>
  <si>
    <t>Alphapolyomavirus</t>
  </si>
  <si>
    <t>Betapolyomavirus</t>
  </si>
  <si>
    <t>Deltapolyomavirus</t>
  </si>
  <si>
    <t>Gammapolyomavirus</t>
  </si>
  <si>
    <t>Sarthroviridae</t>
  </si>
  <si>
    <t>Macronovirus</t>
  </si>
  <si>
    <t>Alphacarmovirus</t>
  </si>
  <si>
    <t>Betacarmovirus</t>
  </si>
  <si>
    <t>Gammacarmovirus</t>
  </si>
  <si>
    <t>Pelarspovirus</t>
  </si>
  <si>
    <t>Albetovirus</t>
  </si>
  <si>
    <t>Tobacco albetovirus 1</t>
  </si>
  <si>
    <t>Tobacco albetovirus 2</t>
  </si>
  <si>
    <t>Tobacco albetovirus 3</t>
  </si>
  <si>
    <t>Aumaivirus</t>
  </si>
  <si>
    <t>Maize aumaivirus 1</t>
  </si>
  <si>
    <t>Botybirnavirus</t>
  </si>
  <si>
    <t>Papanivirus</t>
  </si>
  <si>
    <t>Panicum papanivirus 1</t>
  </si>
  <si>
    <t>Sinaivirus</t>
  </si>
  <si>
    <t>Lake Sinai virus 1</t>
  </si>
  <si>
    <t>Lake Sinai virus 2</t>
  </si>
  <si>
    <t>Virtovirus</t>
  </si>
  <si>
    <t>Tobacco virtovirus 1</t>
  </si>
  <si>
    <t>Goravirus</t>
  </si>
  <si>
    <t>Metapneumovirus</t>
  </si>
  <si>
    <t>Dyoomegapapillomavirus</t>
  </si>
  <si>
    <t>Spreadsheet Column Name</t>
  </si>
  <si>
    <t>Definition</t>
  </si>
  <si>
    <t>The web url link that provides the complete taxonomic history of the species. The proposal indicated above can be downloaded from the link provided by the last changed entry in the history.</t>
  </si>
  <si>
    <t>MSL of Last Change</t>
  </si>
  <si>
    <t>Alphaendornavirus</t>
  </si>
  <si>
    <t>Fimoviridae</t>
  </si>
  <si>
    <t>Hantaviridae</t>
  </si>
  <si>
    <t>Orthohantavirus</t>
  </si>
  <si>
    <t>Nairoviridae</t>
  </si>
  <si>
    <t>Orthonairovirus</t>
  </si>
  <si>
    <t>Peribunyaviridae</t>
  </si>
  <si>
    <t>Phenuiviridae</t>
  </si>
  <si>
    <t>Ounavirinae</t>
  </si>
  <si>
    <t>Elvirus</t>
  </si>
  <si>
    <t>Bclasvirinae</t>
  </si>
  <si>
    <t>Acadianvirus</t>
  </si>
  <si>
    <t>Coopervirus</t>
  </si>
  <si>
    <t>Pipefishvirus</t>
  </si>
  <si>
    <t>Rosebushvirus</t>
  </si>
  <si>
    <t>Mclasvirinae</t>
  </si>
  <si>
    <t>Bongovirus</t>
  </si>
  <si>
    <t>Pclasvirinae</t>
  </si>
  <si>
    <t>Fishburnevirus</t>
  </si>
  <si>
    <t>Patiencevirus</t>
  </si>
  <si>
    <t>Hapavirus</t>
  </si>
  <si>
    <t>Betaendornavirus</t>
  </si>
  <si>
    <t>Fibrovirus</t>
  </si>
  <si>
    <t>Lineavirus</t>
  </si>
  <si>
    <t>Saetivirus</t>
  </si>
  <si>
    <t>Vespertiliovirus</t>
  </si>
  <si>
    <t>Alphairidovirinae</t>
  </si>
  <si>
    <t>Betairidovirinae</t>
  </si>
  <si>
    <t>Tristromaviridae</t>
  </si>
  <si>
    <t>Alphatristromavirus</t>
  </si>
  <si>
    <t>Herbevirus</t>
  </si>
  <si>
    <t>Phasmaviridae</t>
  </si>
  <si>
    <t>Orthophasmavirus</t>
  </si>
  <si>
    <t>Goukovirus</t>
  </si>
  <si>
    <t>Phasivirus</t>
  </si>
  <si>
    <t>Mooglevirus</t>
  </si>
  <si>
    <t>Suspvirus</t>
  </si>
  <si>
    <t>Tsarbombavirus</t>
  </si>
  <si>
    <t>Moonvirus</t>
  </si>
  <si>
    <t>Abouovirus</t>
  </si>
  <si>
    <t>Jimmervirus</t>
  </si>
  <si>
    <t>Marthavirus</t>
  </si>
  <si>
    <t>Pradovirus</t>
  </si>
  <si>
    <t>Sepvirinae</t>
  </si>
  <si>
    <t>Arquatrovirinae</t>
  </si>
  <si>
    <t>Camvirus</t>
  </si>
  <si>
    <t>Likavirus</t>
  </si>
  <si>
    <t>Phayoncevirus</t>
  </si>
  <si>
    <t>Pseudomonas virus Ab18</t>
  </si>
  <si>
    <t>Pseudomonas virus Ab19</t>
  </si>
  <si>
    <t>Pseudomonas virus PaMx11</t>
  </si>
  <si>
    <t>Amigovirus</t>
  </si>
  <si>
    <t>Cronusvirus</t>
  </si>
  <si>
    <t>Decurrovirus</t>
  </si>
  <si>
    <t>Demosthenesvirus</t>
  </si>
  <si>
    <t>Eiauvirus</t>
  </si>
  <si>
    <t>Gaiavirus</t>
  </si>
  <si>
    <t>Gilesvirus</t>
  </si>
  <si>
    <t>Gordonvirus</t>
  </si>
  <si>
    <t>Gordtnkvirus</t>
  </si>
  <si>
    <t>Harrisonvirus</t>
  </si>
  <si>
    <t>Jenstvirus</t>
  </si>
  <si>
    <t>Kelleziovirus</t>
  </si>
  <si>
    <t>Korravirus</t>
  </si>
  <si>
    <t>Laroyevirus</t>
  </si>
  <si>
    <t>Marvinvirus</t>
  </si>
  <si>
    <t>Mudcatvirus</t>
  </si>
  <si>
    <t>Smoothievirus</t>
  </si>
  <si>
    <t>Soupsvirus</t>
  </si>
  <si>
    <t>Tankvirus</t>
  </si>
  <si>
    <t>Titanvirus</t>
  </si>
  <si>
    <t>Vegasvirus</t>
  </si>
  <si>
    <t>Vendettavirus</t>
  </si>
  <si>
    <t>Wildcatvirus</t>
  </si>
  <si>
    <t>Mycobacterium virus Wildcat</t>
  </si>
  <si>
    <t>Woesvirus</t>
  </si>
  <si>
    <t>Pseudomonas virus LKO4</t>
  </si>
  <si>
    <t>Pseudomonas virus MP1412</t>
  </si>
  <si>
    <t>Pseudomonas virus PAE1</t>
  </si>
  <si>
    <t>Peropuvirus</t>
  </si>
  <si>
    <t>Almendravirus</t>
  </si>
  <si>
    <t>Curiovirus</t>
  </si>
  <si>
    <t>Ledantevirus</t>
  </si>
  <si>
    <t>Sripuvirus</t>
  </si>
  <si>
    <t>Ampivirus</t>
  </si>
  <si>
    <t>Harkavirus</t>
  </si>
  <si>
    <t>Rabovirus</t>
  </si>
  <si>
    <t>Torchivirus</t>
  </si>
  <si>
    <t>Capulavirus</t>
  </si>
  <si>
    <t>Grablovirus</t>
  </si>
  <si>
    <t>Gemyduguivirus</t>
  </si>
  <si>
    <t>Gemygorvirus</t>
  </si>
  <si>
    <t>Gemykibivirus</t>
  </si>
  <si>
    <t>Gemykolovirus</t>
  </si>
  <si>
    <t>Gemykrogvirus</t>
  </si>
  <si>
    <t>Gemykroznavirus</t>
  </si>
  <si>
    <t>Gemytondvirus</t>
  </si>
  <si>
    <t>Gemyvongvirus</t>
  </si>
  <si>
    <t>Habenivirus</t>
  </si>
  <si>
    <t>Centapoxvirus</t>
  </si>
  <si>
    <t>Solinviviridae</t>
  </si>
  <si>
    <t>Invictavirus</t>
  </si>
  <si>
    <t>Nyfulvavirus</t>
  </si>
  <si>
    <t>Tolecusatellitidae</t>
  </si>
  <si>
    <t>Betasatellite</t>
  </si>
  <si>
    <t>Deltasatellite</t>
  </si>
  <si>
    <t>Blunervirus</t>
  </si>
  <si>
    <t>Tilapinevirus</t>
  </si>
  <si>
    <t>New,</t>
  </si>
  <si>
    <t>Renamed,Moved,</t>
  </si>
  <si>
    <t>Moved,</t>
  </si>
  <si>
    <t>Renamed,</t>
  </si>
  <si>
    <t>Ackermannviridae</t>
  </si>
  <si>
    <t>Aglimvirinae</t>
  </si>
  <si>
    <t>Limestonevirus</t>
  </si>
  <si>
    <t>Cvivirinae</t>
  </si>
  <si>
    <t>Machinavirus</t>
  </si>
  <si>
    <t>Svunavirus</t>
  </si>
  <si>
    <t>Jwalphavirus</t>
  </si>
  <si>
    <t>Chebruvirinae</t>
  </si>
  <si>
    <t>Brujitavirus</t>
  </si>
  <si>
    <t>Dclasvirinae</t>
  </si>
  <si>
    <t>Hawkeyevirus</t>
  </si>
  <si>
    <t>Plotvirus</t>
  </si>
  <si>
    <t>Mccleskeyvirinae</t>
  </si>
  <si>
    <t>Nclasvirinae</t>
  </si>
  <si>
    <t>Nymbaxtervirinae</t>
  </si>
  <si>
    <t>Nymphadoravirus</t>
  </si>
  <si>
    <t>Anatolevirus</t>
  </si>
  <si>
    <t>Attisvirus</t>
  </si>
  <si>
    <t>Doucettevirus</t>
  </si>
  <si>
    <t>Escherichia virus DE3</t>
  </si>
  <si>
    <t>Trigintaduovirus</t>
  </si>
  <si>
    <t>Wizardvirus</t>
  </si>
  <si>
    <t>Carbovirus</t>
  </si>
  <si>
    <t>Orthobornavirus</t>
  </si>
  <si>
    <t>Ortervirales</t>
  </si>
  <si>
    <t>Belpaoviridae</t>
  </si>
  <si>
    <t>Antheraea semotivirus Tamy</t>
  </si>
  <si>
    <t>Drosophila semotivirus Max</t>
  </si>
  <si>
    <t>Schistosoma semotivirus Sinbad</t>
  </si>
  <si>
    <t>Takifugu rubripes Suzu virus</t>
  </si>
  <si>
    <t xml:space="preserve">Proposal for Last Change </t>
  </si>
  <si>
    <t>Bovispumavirus</t>
  </si>
  <si>
    <t>Equispumavirus</t>
  </si>
  <si>
    <t>Felispumavirus</t>
  </si>
  <si>
    <t>Prosimiispumavirus</t>
  </si>
  <si>
    <t>Simiispumavirus</t>
  </si>
  <si>
    <t>Aalivirus</t>
  </si>
  <si>
    <t>Bopivirus</t>
  </si>
  <si>
    <t>Crohivirus</t>
  </si>
  <si>
    <t>Orivirus</t>
  </si>
  <si>
    <t>Shanbavirus</t>
  </si>
  <si>
    <t>Polycipiviridae</t>
  </si>
  <si>
    <t>Chipolycivirus</t>
  </si>
  <si>
    <t>Hupolycivirus</t>
  </si>
  <si>
    <t>Sopolycivirus</t>
  </si>
  <si>
    <t>Chaetoceros socialis forma radians RNA virus 1</t>
  </si>
  <si>
    <t>Deltaflexiviridae</t>
  </si>
  <si>
    <t>Deltaflexivirus</t>
  </si>
  <si>
    <t>Alphasatellitidae</t>
  </si>
  <si>
    <t>Geminialphasatellitinae</t>
  </si>
  <si>
    <t>Ageyesisatellite</t>
  </si>
  <si>
    <t>Clecrusatellite</t>
  </si>
  <si>
    <t>Colecusatellite</t>
  </si>
  <si>
    <t>Gosmusatellite</t>
  </si>
  <si>
    <t>Nanoalphasatellitinae</t>
  </si>
  <si>
    <t>Babusatellite</t>
  </si>
  <si>
    <t>Clostunsatellite</t>
  </si>
  <si>
    <t>Fabenesatellite</t>
  </si>
  <si>
    <t>Milvetsatellite</t>
  </si>
  <si>
    <t>Mivedwarsatellite</t>
  </si>
  <si>
    <t>Sophoyesatellite</t>
  </si>
  <si>
    <t>Subclovsatellite</t>
  </si>
  <si>
    <t>Hartmanivirus</t>
  </si>
  <si>
    <t>Aspiviridae</t>
  </si>
  <si>
    <t>Bacilladnaviridae</t>
  </si>
  <si>
    <t>Diatodnavirus</t>
  </si>
  <si>
    <t>Kieseladnavirus</t>
  </si>
  <si>
    <t>Protobacilladnavirus</t>
  </si>
  <si>
    <t>Alphainfluenzavirus</t>
  </si>
  <si>
    <t>Betainfluenzavirus</t>
  </si>
  <si>
    <t>Deltainfluenzavirus</t>
  </si>
  <si>
    <t>Gammainfluenzavirus</t>
  </si>
  <si>
    <t>Firstpapillomavirinae</t>
  </si>
  <si>
    <t>Deltapapillomavirus 7</t>
  </si>
  <si>
    <t>Dyokappapapillomavirus 3</t>
  </si>
  <si>
    <t>Dyokappapapillomavirus 4</t>
  </si>
  <si>
    <t>Dyokappapapillomavirus 5</t>
  </si>
  <si>
    <t>Dyoxipapillomavirus 2</t>
  </si>
  <si>
    <t>Epsilonpapillomavirus 2</t>
  </si>
  <si>
    <t>Gammapapillomavirus 27</t>
  </si>
  <si>
    <t>Iotapapillomavirus 2</t>
  </si>
  <si>
    <t>Psipapillomavirus 2</t>
  </si>
  <si>
    <t>Psipapillomavirus 3</t>
  </si>
  <si>
    <t>Taupapillomavirus 4</t>
  </si>
  <si>
    <t>Treisiotapapillomavirus</t>
  </si>
  <si>
    <t>Treisiotapapillomavirus 1</t>
  </si>
  <si>
    <t>Treiskappapapillomavirus</t>
  </si>
  <si>
    <t>Treiskappapapillomavirus 1</t>
  </si>
  <si>
    <t>Treisthetapapillomavirus</t>
  </si>
  <si>
    <t>Treisthetapapillomavirus 1</t>
  </si>
  <si>
    <t>Xipapillomavirus 4</t>
  </si>
  <si>
    <t>Xipapillomavirus 5</t>
  </si>
  <si>
    <t>Secondpapillomavirinae</t>
  </si>
  <si>
    <t>Alefpapillomavirus</t>
  </si>
  <si>
    <t>Alefpapillomavirus 1</t>
  </si>
  <si>
    <t>Portogloboviridae</t>
  </si>
  <si>
    <t>Alphaportoglobovirus</t>
  </si>
  <si>
    <t>Bevemovirus</t>
  </si>
  <si>
    <t>Roymovirus</t>
  </si>
  <si>
    <t>Smacoviridae</t>
  </si>
  <si>
    <t>Bovismacovirus</t>
  </si>
  <si>
    <t>Cosmacovirus</t>
  </si>
  <si>
    <t>Dragsmacovirus</t>
  </si>
  <si>
    <t>Drosmacovirus</t>
  </si>
  <si>
    <t>Huchismacovirus</t>
  </si>
  <si>
    <t>Porprismacovirus</t>
  </si>
  <si>
    <t>Solemoviridae</t>
  </si>
  <si>
    <t>Alphatectivirus</t>
  </si>
  <si>
    <t>Betatectivirus</t>
  </si>
  <si>
    <t>Realm</t>
  </si>
  <si>
    <t>Subrealm</t>
  </si>
  <si>
    <t>Kingdom</t>
  </si>
  <si>
    <t>Subkingdom</t>
  </si>
  <si>
    <t>Phylum</t>
  </si>
  <si>
    <t>Subphylum</t>
  </si>
  <si>
    <t>Class</t>
  </si>
  <si>
    <t>Subclass</t>
  </si>
  <si>
    <t>Suborder</t>
  </si>
  <si>
    <t>Subgenus</t>
  </si>
  <si>
    <t>Negarnaviricota</t>
  </si>
  <si>
    <t>Haploviricotina</t>
  </si>
  <si>
    <t>Chunqiuviricetes</t>
  </si>
  <si>
    <t>Muvirales</t>
  </si>
  <si>
    <t>Qinviridae</t>
  </si>
  <si>
    <t>Yingvirus</t>
  </si>
  <si>
    <t>Milneviricetes</t>
  </si>
  <si>
    <t>Monjiviricetes</t>
  </si>
  <si>
    <t>Jingchuvirales</t>
  </si>
  <si>
    <t>Chuviridae</t>
  </si>
  <si>
    <t>Mivirus</t>
  </si>
  <si>
    <t>Artoviridae</t>
  </si>
  <si>
    <t>Lispiviridae</t>
  </si>
  <si>
    <t>Berhavirus</t>
  </si>
  <si>
    <t>Orinovirus</t>
  </si>
  <si>
    <t>Tapwovirus</t>
  </si>
  <si>
    <t>Xinmoviridae</t>
  </si>
  <si>
    <t>Yunchangviricetes</t>
  </si>
  <si>
    <t>Goujianvirales</t>
  </si>
  <si>
    <t>Yueviridae</t>
  </si>
  <si>
    <t>Yuyuevirus</t>
  </si>
  <si>
    <t>Polyploviricotina</t>
  </si>
  <si>
    <t>Cruliviridae</t>
  </si>
  <si>
    <t>Lincruvirus</t>
  </si>
  <si>
    <t>Loanvirus</t>
  </si>
  <si>
    <t>Mobatvirus</t>
  </si>
  <si>
    <t>Thottimvirus</t>
  </si>
  <si>
    <t>Mypoviridae</t>
  </si>
  <si>
    <t>Hubavirus</t>
  </si>
  <si>
    <t>Shaspivirus</t>
  </si>
  <si>
    <t>Striwavirus</t>
  </si>
  <si>
    <t>Shangavirus</t>
  </si>
  <si>
    <t>Feravirus</t>
  </si>
  <si>
    <t>Jonvirus</t>
  </si>
  <si>
    <t>Wuhivirus</t>
  </si>
  <si>
    <t>Beidivirus</t>
  </si>
  <si>
    <t>Horwuvirus</t>
  </si>
  <si>
    <t>Hudivirus</t>
  </si>
  <si>
    <t>Hudovirus</t>
  </si>
  <si>
    <t>Mobuvirus</t>
  </si>
  <si>
    <t>Pidchovirus</t>
  </si>
  <si>
    <t>Wupedeviridae</t>
  </si>
  <si>
    <t>Wumivirus</t>
  </si>
  <si>
    <t>Insthoviricetes</t>
  </si>
  <si>
    <t>Articulavirales</t>
  </si>
  <si>
    <t>Amnoonviridae</t>
  </si>
  <si>
    <t>Abnidovirineae</t>
  </si>
  <si>
    <t>Abyssoviridae</t>
  </si>
  <si>
    <t>Tiamatvirinae</t>
  </si>
  <si>
    <t>Alphaabyssovirus</t>
  </si>
  <si>
    <t>Aplyccavirus</t>
  </si>
  <si>
    <t>Arnidovirineae</t>
  </si>
  <si>
    <t>Crocarterivirinae</t>
  </si>
  <si>
    <t>Muarterivirus</t>
  </si>
  <si>
    <t>Muarterivirus afrigant</t>
  </si>
  <si>
    <t>Equarterivirinae</t>
  </si>
  <si>
    <t>Alphaarterivirus</t>
  </si>
  <si>
    <t>Alphaarterivirus equid</t>
  </si>
  <si>
    <t>Heroarterivirinae</t>
  </si>
  <si>
    <t>Lambdaarterivirus</t>
  </si>
  <si>
    <t>Lambdaarterivirus afriporav</t>
  </si>
  <si>
    <t>Simarterivirinae</t>
  </si>
  <si>
    <t>Deltaarterivirus</t>
  </si>
  <si>
    <t>Hedartevirus</t>
  </si>
  <si>
    <t>Deltaarterivirus hemfev</t>
  </si>
  <si>
    <t>Epsilonarterivirus</t>
  </si>
  <si>
    <t>Sheartevirus</t>
  </si>
  <si>
    <t>Epsilonarterivirus hemcep</t>
  </si>
  <si>
    <t>Epsilonarterivirus safriver</t>
  </si>
  <si>
    <t>Epsilonarterivirus zamalb</t>
  </si>
  <si>
    <t>Etaarterivirus</t>
  </si>
  <si>
    <t>Iotaarterivirus</t>
  </si>
  <si>
    <t>Kigiartevirus</t>
  </si>
  <si>
    <t>Thetaarterivirus</t>
  </si>
  <si>
    <t>Mitartevirus</t>
  </si>
  <si>
    <t>Variarterivirinae</t>
  </si>
  <si>
    <t>Betaarterivirus</t>
  </si>
  <si>
    <t>Ampobartevirus</t>
  </si>
  <si>
    <t>Debiartevirus</t>
  </si>
  <si>
    <t>Iotaarterivirus debrazmo</t>
  </si>
  <si>
    <t>Kaftartevirus</t>
  </si>
  <si>
    <t>Thetaarterivirus kafuba</t>
  </si>
  <si>
    <t>Gammaarterivirus</t>
  </si>
  <si>
    <t>Gammaarterivirus lacdeh</t>
  </si>
  <si>
    <t>Zealarterivirinae</t>
  </si>
  <si>
    <t>Kappaarterivirus</t>
  </si>
  <si>
    <t>Kappaarterivirus wobum</t>
  </si>
  <si>
    <t>Zetaarterivirus</t>
  </si>
  <si>
    <t>Cornidovirineae</t>
  </si>
  <si>
    <t>Letovirinae</t>
  </si>
  <si>
    <t>Alphaletovirus</t>
  </si>
  <si>
    <t>Milecovirus</t>
  </si>
  <si>
    <t>Chibartevirus</t>
  </si>
  <si>
    <t>Betaarterivirus ninrav</t>
  </si>
  <si>
    <t>Eurpobartevirus</t>
  </si>
  <si>
    <t>Orthocoronavirinae</t>
  </si>
  <si>
    <t>Colacovirus</t>
  </si>
  <si>
    <t>Luchacovirus</t>
  </si>
  <si>
    <t>Minacovirus</t>
  </si>
  <si>
    <t>Myotacovirus</t>
  </si>
  <si>
    <t>Nyctacovirus</t>
  </si>
  <si>
    <t>Decacovirus</t>
  </si>
  <si>
    <t>Pedacovirus</t>
  </si>
  <si>
    <t>Duvinacovirus</t>
  </si>
  <si>
    <t>Rhinacovirus</t>
  </si>
  <si>
    <t>Setracovirus</t>
  </si>
  <si>
    <t>Minunacovirus</t>
  </si>
  <si>
    <t>Tegacovirus</t>
  </si>
  <si>
    <t>Hibecovirus</t>
  </si>
  <si>
    <t>Nobecovirus</t>
  </si>
  <si>
    <t>Sarbecovirus</t>
  </si>
  <si>
    <t>Embecovirus</t>
  </si>
  <si>
    <t>Buldecovirus</t>
  </si>
  <si>
    <t>Merbecovirus</t>
  </si>
  <si>
    <t>Herdecovirus</t>
  </si>
  <si>
    <t>Igacovirus</t>
  </si>
  <si>
    <t>Andecovirus</t>
  </si>
  <si>
    <t>Mesnidovirineae</t>
  </si>
  <si>
    <t>Medioniviridae</t>
  </si>
  <si>
    <t>Medionivirinae</t>
  </si>
  <si>
    <t>Turrinivirus</t>
  </si>
  <si>
    <t>Beturrivirus</t>
  </si>
  <si>
    <t>Bolenivirus</t>
  </si>
  <si>
    <t>Balbicanovirus</t>
  </si>
  <si>
    <t>Cegacovirus</t>
  </si>
  <si>
    <t>Hexponivirinae</t>
  </si>
  <si>
    <t>Casualivirus</t>
  </si>
  <si>
    <t>Kadilivirus</t>
  </si>
  <si>
    <t>Karsalivirus</t>
  </si>
  <si>
    <t>Ofalivirus</t>
  </si>
  <si>
    <t>Enselivirus</t>
  </si>
  <si>
    <t>Hanalivirus</t>
  </si>
  <si>
    <t>Monidovirineae</t>
  </si>
  <si>
    <t>Mononiviridae</t>
  </si>
  <si>
    <t>Mononivirinae</t>
  </si>
  <si>
    <t>Alphamononivirus</t>
  </si>
  <si>
    <t>Dumedivirus</t>
  </si>
  <si>
    <t>Menolivirus</t>
  </si>
  <si>
    <t>Ronidovirineae</t>
  </si>
  <si>
    <t>Euroniviridae</t>
  </si>
  <si>
    <t>Ceronivirinae</t>
  </si>
  <si>
    <t>Charybnivirus</t>
  </si>
  <si>
    <t>Cradenivirus</t>
  </si>
  <si>
    <t>Namcalivirus</t>
  </si>
  <si>
    <t>Wenilivirus</t>
  </si>
  <si>
    <t>Paguronivirus</t>
  </si>
  <si>
    <t>Behecravirus</t>
  </si>
  <si>
    <t>Okanivirinae</t>
  </si>
  <si>
    <t>Tipravirus</t>
  </si>
  <si>
    <t>Tornidovirineae</t>
  </si>
  <si>
    <t>Tobaniviridae</t>
  </si>
  <si>
    <t>Piscanivirinae</t>
  </si>
  <si>
    <t>Pimfabavirus</t>
  </si>
  <si>
    <t>Oncotshavirus</t>
  </si>
  <si>
    <t>Salnivirus</t>
  </si>
  <si>
    <t>Remotovirinae</t>
  </si>
  <si>
    <t>Bostovirus</t>
  </si>
  <si>
    <t>Bosnitovirus</t>
  </si>
  <si>
    <t>Serpentovirinae</t>
  </si>
  <si>
    <t>Infratovirus</t>
  </si>
  <si>
    <t>Xintolivirus</t>
  </si>
  <si>
    <t>Pregotovirus</t>
  </si>
  <si>
    <t>Roypretovirus</t>
  </si>
  <si>
    <t>Blicbavirus</t>
  </si>
  <si>
    <t>Sectovirus</t>
  </si>
  <si>
    <t>Sanematovirus</t>
  </si>
  <si>
    <t>Tilitovirus</t>
  </si>
  <si>
    <t>Renitovirus</t>
  </si>
  <si>
    <t>ssRNA</t>
  </si>
  <si>
    <t>A  'Family' is a rank in the taxonomic hierarchy into which virus species can be classified.</t>
  </si>
  <si>
    <t>A  'Subrealm' is a rank in the taxonomic hierarchy into which virus species can be classified.</t>
  </si>
  <si>
    <t>A  'Kingdom' is a rank in the taxonomic hierarchy into which virus species can be classified.</t>
  </si>
  <si>
    <t>A  'Subkingdom' is a rank in the taxonomic hierarchy into which virus species can be classified.</t>
  </si>
  <si>
    <t>A  'Phylum' is a rank in the taxonomic hierarchy into which virus species can be classified.</t>
  </si>
  <si>
    <t>A  'Subphylum' is a rank in the taxonomic hierarchy into which virus species can be classified.</t>
  </si>
  <si>
    <t>A  'Class' is a rank in the taxonomic hierarchy into which virus species can be classified.</t>
  </si>
  <si>
    <t>A  'Subclass' is a rank in the taxonomic hierarchy into which virus species can be classified.</t>
  </si>
  <si>
    <t>A  'Order' is a rank in the taxonomic hierarchy into which virus species can be classified.</t>
  </si>
  <si>
    <t>A  'suborder' is a rank in the taxonomic hierarchy into which virus species can be classified.</t>
  </si>
  <si>
    <t>A  'Subfamily' is a rank in the taxonomic hierarchy into which virus species can be classified.</t>
  </si>
  <si>
    <t>A  'Genus' is a rank in the taxonomic hierarchy into which virus species can be classified.</t>
  </si>
  <si>
    <t>A  'Subgenus' is a rank in the taxonomic hierarchy into which virus species can be classified.</t>
  </si>
  <si>
    <t>A 'Realm' is the highest taxonomic rank into which virus species can be classified.</t>
  </si>
  <si>
    <r>
      <t xml:space="preserve">A Species is the lowest taxonomic rank in the hierarchy approved by the ICTV. While subspecies levels of classification may exist for some viruses (e.g. </t>
    </r>
    <r>
      <rPr>
        <i/>
        <sz val="12"/>
        <color indexed="8"/>
        <rFont val="Arial"/>
        <family val="2"/>
      </rPr>
      <t>Hepatitis C virus</t>
    </r>
    <r>
      <rPr>
        <sz val="12"/>
        <color indexed="8"/>
        <rFont val="Arial"/>
        <family val="2"/>
      </rPr>
      <t>), the ICTV does not classify viruses below the species level.</t>
    </r>
  </si>
  <si>
    <t>The molecular and genetic composition of the virus genome packaged into the virion. Possible values are:
- dsDNA
- ssDNA
- ssDNA(-)
- ssDNA(+)
- ssDNA(+/-)
- dsDNA-RT
- ssRNA-RT
- dsRNA
- ssRNA
- ssRNA(-)
- ssRNA(+)
- ssRNA(+/-)</t>
  </si>
  <si>
    <t>An integer that, when sorted in numeric order, will produce the correct rank and alphabetic sorting of these species in the MSL.</t>
  </si>
  <si>
    <t>Riboviria</t>
  </si>
  <si>
    <t>Cultervirus</t>
  </si>
  <si>
    <t>Striavirus</t>
  </si>
  <si>
    <t>Thamnovirus</t>
  </si>
  <si>
    <t>Avulavirinae</t>
  </si>
  <si>
    <t>Metaavulavirus</t>
  </si>
  <si>
    <t>Orthoavulavirus</t>
  </si>
  <si>
    <t>Paraavulavirus</t>
  </si>
  <si>
    <t>Metaparamyxovirinae</t>
  </si>
  <si>
    <t>Synodonvirus</t>
  </si>
  <si>
    <t>Orthoparamyxovirinae</t>
  </si>
  <si>
    <t>Jeilongvirus</t>
  </si>
  <si>
    <t>Narmovirus</t>
  </si>
  <si>
    <t>Salemvirus</t>
  </si>
  <si>
    <t>Rubulavirinae</t>
  </si>
  <si>
    <t>Orthorubulavirus</t>
  </si>
  <si>
    <t>Pararubulavirus</t>
  </si>
  <si>
    <t>Alphanemrhavirus</t>
  </si>
  <si>
    <t>Caligrhavirus</t>
  </si>
  <si>
    <t>Antennavirus</t>
  </si>
  <si>
    <t>Actantavirinae</t>
  </si>
  <si>
    <t>Actinovirus</t>
  </si>
  <si>
    <t>Agantavirinae</t>
  </si>
  <si>
    <t>Agnathovirus</t>
  </si>
  <si>
    <t>Mammantavirinae</t>
  </si>
  <si>
    <t>Repantavirinae</t>
  </si>
  <si>
    <t>Reptillovirus</t>
  </si>
  <si>
    <t>Leishbuviridae</t>
  </si>
  <si>
    <t>Shilevirus</t>
  </si>
  <si>
    <t>Pacuvirus</t>
  </si>
  <si>
    <t>Sawastrivirus</t>
  </si>
  <si>
    <t>Laulavirus</t>
  </si>
  <si>
    <t>Wenrivirus</t>
  </si>
  <si>
    <t>Tospoviridae</t>
  </si>
  <si>
    <t>Orthotospovirus</t>
  </si>
  <si>
    <t>Coguvirus</t>
  </si>
  <si>
    <t>Kusarnavirus</t>
  </si>
  <si>
    <t>Astarnavirus</t>
  </si>
  <si>
    <t>Locarnavirus</t>
  </si>
  <si>
    <t>Jericarnavirus B</t>
  </si>
  <si>
    <t>Sanfarnavirus 1</t>
  </si>
  <si>
    <t>Sanfarnavirus 2</t>
  </si>
  <si>
    <t>Sanfarnavirus 3</t>
  </si>
  <si>
    <t>Salisharnavirus</t>
  </si>
  <si>
    <t>Britarnavirus 1</t>
  </si>
  <si>
    <t>Britarnavirus 4</t>
  </si>
  <si>
    <t>Palmarnavirus 128</t>
  </si>
  <si>
    <t>Palmarnavirus 473</t>
  </si>
  <si>
    <t>Sogarnavirus</t>
  </si>
  <si>
    <t>Britarnavirus 2</t>
  </si>
  <si>
    <t>Britarnavirus 3</t>
  </si>
  <si>
    <t>Chaetarnavirus 2</t>
  </si>
  <si>
    <t>Chaetenuissarnavirus II</t>
  </si>
  <si>
    <t>Jericarnavirus A</t>
  </si>
  <si>
    <t>Palmarnavirus 156</t>
  </si>
  <si>
    <t>Ailurivirus</t>
  </si>
  <si>
    <t>Anativirus</t>
  </si>
  <si>
    <t>Livupivirus</t>
  </si>
  <si>
    <t>Malagasivirus</t>
  </si>
  <si>
    <t>Poecivirus</t>
  </si>
  <si>
    <t>Rafivirus</t>
  </si>
  <si>
    <t>Tottorivirus</t>
  </si>
  <si>
    <t>Wamavirus</t>
  </si>
  <si>
    <t>Zybavirus</t>
  </si>
  <si>
    <t>Botourmiaviridae</t>
  </si>
  <si>
    <t>Botoulivirus</t>
  </si>
  <si>
    <t>Botrytis botoulivirus</t>
  </si>
  <si>
    <t>Sclerotinia botoulivirus 2</t>
  </si>
  <si>
    <t>Magoulivirus</t>
  </si>
  <si>
    <t>Magnaporthe magoulivirus 1</t>
  </si>
  <si>
    <t>Rhizoctonia magoulivirus 1</t>
  </si>
  <si>
    <t>Scleroulivirus</t>
  </si>
  <si>
    <t>Sclerotinia scleroulivirus 1</t>
  </si>
  <si>
    <t>Soybean scleroulivirus 1</t>
  </si>
  <si>
    <t>Soybean scleroulivirus 2</t>
  </si>
  <si>
    <t>Bavovirus</t>
  </si>
  <si>
    <t>Minovirus</t>
  </si>
  <si>
    <t>Nacovirus</t>
  </si>
  <si>
    <t>Recovirus</t>
  </si>
  <si>
    <t>Salovirus</t>
  </si>
  <si>
    <t>Valovirus</t>
  </si>
  <si>
    <t>Alphachrysovirus</t>
  </si>
  <si>
    <t>Betachrysovirus</t>
  </si>
  <si>
    <t>Kitaviridae</t>
  </si>
  <si>
    <t>Matonaviridae</t>
  </si>
  <si>
    <t>Calvusvirinae</t>
  </si>
  <si>
    <t>Procedovirinae</t>
  </si>
  <si>
    <t>Regressovirinae</t>
  </si>
  <si>
    <t>Agtrevirus</t>
  </si>
  <si>
    <t>Kuttervirus</t>
  </si>
  <si>
    <t>Herelleviridae</t>
  </si>
  <si>
    <t>Bastillevirinae</t>
  </si>
  <si>
    <t>Caeruleovirus</t>
  </si>
  <si>
    <t>Brockvirinae</t>
  </si>
  <si>
    <t>Kochikohdavirus</t>
  </si>
  <si>
    <t>Pecentumvirus</t>
  </si>
  <si>
    <t>Okubovirus</t>
  </si>
  <si>
    <t>Twortvirinae</t>
  </si>
  <si>
    <t>Firehammervirus</t>
  </si>
  <si>
    <t>Fletchervirus</t>
  </si>
  <si>
    <t>Felixounavirus</t>
  </si>
  <si>
    <t>Kolesnikvirus</t>
  </si>
  <si>
    <t>Hpunavirus</t>
  </si>
  <si>
    <t>Peduovirus</t>
  </si>
  <si>
    <t>Dhakavirus</t>
  </si>
  <si>
    <t>Gaprivervirus</t>
  </si>
  <si>
    <t>Gelderlandvirus</t>
  </si>
  <si>
    <t>Jiaodavirus</t>
  </si>
  <si>
    <t>Karamvirus</t>
  </si>
  <si>
    <t>Krischvirus</t>
  </si>
  <si>
    <t>Mosigvirus</t>
  </si>
  <si>
    <t>Schizotequatrovirus</t>
  </si>
  <si>
    <t>Slopekvirus</t>
  </si>
  <si>
    <t>Tequatrovirus</t>
  </si>
  <si>
    <t>Escherichia virus CF2</t>
  </si>
  <si>
    <t>Avunavirus</t>
  </si>
  <si>
    <t>Certrevirus</t>
  </si>
  <si>
    <t>Seunavirus</t>
  </si>
  <si>
    <t>Vequintavirus</t>
  </si>
  <si>
    <t>Agricanvirus</t>
  </si>
  <si>
    <t>Alcyoneusvirus</t>
  </si>
  <si>
    <t>Aphroditevirus</t>
  </si>
  <si>
    <t>Asteriusvirus</t>
  </si>
  <si>
    <t>Bequatrovirus</t>
  </si>
  <si>
    <t>Bixzunavirus</t>
  </si>
  <si>
    <t>Brunovirus</t>
  </si>
  <si>
    <t>Busanvirus</t>
  </si>
  <si>
    <t>Chakrabartyvirus</t>
  </si>
  <si>
    <t>Chiangmaivirus</t>
  </si>
  <si>
    <t>Emdodecavirus</t>
  </si>
  <si>
    <t>Eneladusvirus</t>
  </si>
  <si>
    <t>Erskinevirus</t>
  </si>
  <si>
    <t>Ficleduovirus</t>
  </si>
  <si>
    <t>Flaumdravirus</t>
  </si>
  <si>
    <t>Gofduovirus</t>
  </si>
  <si>
    <t>Iapetusvirus</t>
  </si>
  <si>
    <t>Iodovirus</t>
  </si>
  <si>
    <t>Ionavirus</t>
  </si>
  <si>
    <t>Jedunavirus</t>
  </si>
  <si>
    <t>Jilinvirus</t>
  </si>
  <si>
    <t>Kleczkowskavirus</t>
  </si>
  <si>
    <t>Lubbockvirus</t>
  </si>
  <si>
    <t>Metrivirus</t>
  </si>
  <si>
    <t>Mieseafarmvirus</t>
  </si>
  <si>
    <t>Mimasvirus</t>
  </si>
  <si>
    <t>Nankokuvirus</t>
  </si>
  <si>
    <t>Nazgulvirus</t>
  </si>
  <si>
    <t>Burkholderia virus BcepNazgul</t>
  </si>
  <si>
    <t>Nitunavirus</t>
  </si>
  <si>
    <t>Noxifervirus</t>
  </si>
  <si>
    <t>Obolenskvirus</t>
  </si>
  <si>
    <t>Otagovirus</t>
  </si>
  <si>
    <t>Pseudomonas virus NH4</t>
  </si>
  <si>
    <t>Peatvirus</t>
  </si>
  <si>
    <t>Plaisancevirus</t>
  </si>
  <si>
    <t>Polybotosvirus</t>
  </si>
  <si>
    <t>Popoffvirus</t>
  </si>
  <si>
    <t>Punavirus</t>
  </si>
  <si>
    <t>Ripduovirus</t>
  </si>
  <si>
    <t>Risingsunvirus</t>
  </si>
  <si>
    <t>Seoulvirus</t>
  </si>
  <si>
    <t>Sepunavirus</t>
  </si>
  <si>
    <t>Shalavirus</t>
  </si>
  <si>
    <t>Siminovitchvirus</t>
  </si>
  <si>
    <t>Tegunavirus</t>
  </si>
  <si>
    <t>Thornevirus</t>
  </si>
  <si>
    <t>Tidunavirus</t>
  </si>
  <si>
    <t>Tijeunavirus</t>
  </si>
  <si>
    <t>Tulanevirus</t>
  </si>
  <si>
    <t>Winklervirus</t>
  </si>
  <si>
    <t>Yokohamavirus</t>
  </si>
  <si>
    <t>Drulisvirus</t>
  </si>
  <si>
    <t>Friunavirus</t>
  </si>
  <si>
    <t>Napahaivirus</t>
  </si>
  <si>
    <t>Phimunavirus</t>
  </si>
  <si>
    <t>Pollyceevirus</t>
  </si>
  <si>
    <t>Przondovirus</t>
  </si>
  <si>
    <t>Teseptimavirus</t>
  </si>
  <si>
    <t>Zindervirus</t>
  </si>
  <si>
    <t>Cepunavirus</t>
  </si>
  <si>
    <t>Negarvirus</t>
  </si>
  <si>
    <t>Rosenblumvirus</t>
  </si>
  <si>
    <t>Salasvirus</t>
  </si>
  <si>
    <t>Diegovirus</t>
  </si>
  <si>
    <t>Oslovirus</t>
  </si>
  <si>
    <t>Traversvirus</t>
  </si>
  <si>
    <t>Aqualcavirus</t>
  </si>
  <si>
    <t>Baltimorevirus</t>
  </si>
  <si>
    <t>Bifseptvirus</t>
  </si>
  <si>
    <t>Bjornvirus</t>
  </si>
  <si>
    <t>Bruynoghevirus</t>
  </si>
  <si>
    <t>Enhodamvirus</t>
  </si>
  <si>
    <t>Enquatrovirus</t>
  </si>
  <si>
    <t>Fipvunavirus</t>
  </si>
  <si>
    <t>Gamaleyavirus</t>
  </si>
  <si>
    <t>Hollowayvirus</t>
  </si>
  <si>
    <t>Ithacavirus</t>
  </si>
  <si>
    <t>Jasminevirus</t>
  </si>
  <si>
    <t>Johnsonvirus</t>
  </si>
  <si>
    <t>Kafunavirus</t>
  </si>
  <si>
    <t>Kochitakasuvirus</t>
  </si>
  <si>
    <t>Krylovvirus</t>
  </si>
  <si>
    <t>Kuravirus</t>
  </si>
  <si>
    <t>Lederbergvirus</t>
  </si>
  <si>
    <t>Lessievirus</t>
  </si>
  <si>
    <t>Lightbulbvirus</t>
  </si>
  <si>
    <t>Litunavirus</t>
  </si>
  <si>
    <t>Luzseptimavirus</t>
  </si>
  <si>
    <t>Myxoctovirus</t>
  </si>
  <si>
    <t>Perisivirus</t>
  </si>
  <si>
    <t>Rauchvirus</t>
  </si>
  <si>
    <t>Schmidvirus</t>
  </si>
  <si>
    <t>Tabernariusvirus</t>
  </si>
  <si>
    <t>Uetakevirus</t>
  </si>
  <si>
    <t>Vicosavirus</t>
  </si>
  <si>
    <t>Arequatrovirus</t>
  </si>
  <si>
    <t>Pegunavirus</t>
  </si>
  <si>
    <t>Cornellvirus</t>
  </si>
  <si>
    <t>Kagunavirus</t>
  </si>
  <si>
    <t>Limdunavirus</t>
  </si>
  <si>
    <t>Unaquatrovirus</t>
  </si>
  <si>
    <t>Eclunavirus</t>
  </si>
  <si>
    <t>Hanrivervirus</t>
  </si>
  <si>
    <t>Rogunavirus</t>
  </si>
  <si>
    <t>Sertoctavirus</t>
  </si>
  <si>
    <t>Tunavirus</t>
  </si>
  <si>
    <t>Webervirus</t>
  </si>
  <si>
    <t>Abidjanvirus</t>
  </si>
  <si>
    <t>Ahduovirus</t>
  </si>
  <si>
    <t>Burkholderia virus AH2</t>
  </si>
  <si>
    <t>Bantamvirus</t>
  </si>
  <si>
    <t>Beetrevirus</t>
  </si>
  <si>
    <t>Bendigovirus</t>
  </si>
  <si>
    <t>Bernalvirus</t>
  </si>
  <si>
    <t>Betterkatzvirus</t>
  </si>
  <si>
    <t>Bingvirus</t>
  </si>
  <si>
    <t>Bowservirus</t>
  </si>
  <si>
    <t>Britbratvirus</t>
  </si>
  <si>
    <t>Brussowvirus</t>
  </si>
  <si>
    <t>Casadabanvirus</t>
  </si>
  <si>
    <t>Ceduovirus</t>
  </si>
  <si>
    <t>Ceetrepovirus</t>
  </si>
  <si>
    <t>Corynebacterium virus C3PO</t>
  </si>
  <si>
    <t>Corynebacterium virus Darwin</t>
  </si>
  <si>
    <t>Corynebacterium virus Zion</t>
  </si>
  <si>
    <t>Cequinquevirus</t>
  </si>
  <si>
    <t>Cetovirus</t>
  </si>
  <si>
    <t>Chenonavirus</t>
  </si>
  <si>
    <t>Cheoctovirus</t>
  </si>
  <si>
    <t>Chunghsingvirus</t>
  </si>
  <si>
    <t>Corynebacterium virus P1201</t>
  </si>
  <si>
    <t>Cimpunavirus</t>
  </si>
  <si>
    <t>Cinunavirus</t>
  </si>
  <si>
    <t>Coetzeevirus</t>
  </si>
  <si>
    <t>Delepquintavirus</t>
  </si>
  <si>
    <t>Detrevirus</t>
  </si>
  <si>
    <t>Dhillonvirus</t>
  </si>
  <si>
    <t>Dismasvirus</t>
  </si>
  <si>
    <t>Efquatrovirus</t>
  </si>
  <si>
    <t>Eisenstarkvirus</t>
  </si>
  <si>
    <t>Elerivirus</t>
  </si>
  <si>
    <t>Emalynvirus</t>
  </si>
  <si>
    <t>Eyrevirus</t>
  </si>
  <si>
    <t>Farahnazvirus</t>
  </si>
  <si>
    <t>Fromanvirus</t>
  </si>
  <si>
    <t>Galaxyvirus</t>
  </si>
  <si>
    <t>Galunavirus</t>
  </si>
  <si>
    <t>Gamtrevirus</t>
  </si>
  <si>
    <t>Gesputvirus</t>
  </si>
  <si>
    <t>Getseptimavirus</t>
  </si>
  <si>
    <t>Ghobesvirus</t>
  </si>
  <si>
    <t>Gorganvirus</t>
  </si>
  <si>
    <t>Gorjumvirus</t>
  </si>
  <si>
    <t>Gustavvirus</t>
  </si>
  <si>
    <t>Hedwigvirus</t>
  </si>
  <si>
    <t>Helsingorvirus</t>
  </si>
  <si>
    <t>Holosalinivirus</t>
  </si>
  <si>
    <t>Homburgvirus</t>
  </si>
  <si>
    <t>Ikedavirus</t>
  </si>
  <si>
    <t>Ilzatvirus</t>
  </si>
  <si>
    <t>Inhavirus</t>
  </si>
  <si>
    <t>Jesfedecavirus</t>
  </si>
  <si>
    <t>Kairosalinivirus</t>
  </si>
  <si>
    <t>Klementvirus</t>
  </si>
  <si>
    <t>Kojivirus</t>
  </si>
  <si>
    <t>Kostyavirus</t>
  </si>
  <si>
    <t>Kryptosalinivirus</t>
  </si>
  <si>
    <t>Lacusarxvirus</t>
  </si>
  <si>
    <t>Lilyvirus</t>
  </si>
  <si>
    <t>Lokivirus</t>
  </si>
  <si>
    <t>Lomovskayavirus</t>
  </si>
  <si>
    <t>Lwoffvirus</t>
  </si>
  <si>
    <t>Magadivirus</t>
  </si>
  <si>
    <t>Mapvirus</t>
  </si>
  <si>
    <t>Mardecavirus</t>
  </si>
  <si>
    <t>Minunavirus</t>
  </si>
  <si>
    <t>Moineauvirus</t>
  </si>
  <si>
    <t>Myunavirus</t>
  </si>
  <si>
    <t>Nanhaivirus</t>
  </si>
  <si>
    <t>Nickievirus</t>
  </si>
  <si>
    <t>Nipunavirus</t>
  </si>
  <si>
    <t>Novosibvirus</t>
  </si>
  <si>
    <t>Nyceiraevirus</t>
  </si>
  <si>
    <t>Orchidvirus</t>
  </si>
  <si>
    <t>Oshimavirus</t>
  </si>
  <si>
    <t>Pahexavirus</t>
  </si>
  <si>
    <t>Pamexvirus</t>
  </si>
  <si>
    <t>Papyrusvirus</t>
  </si>
  <si>
    <t>Pepyhexavirus</t>
  </si>
  <si>
    <t>Pikminvirus</t>
  </si>
  <si>
    <t>Poushouvirus</t>
  </si>
  <si>
    <t>Priunavirus</t>
  </si>
  <si>
    <t>Pulverervirus</t>
  </si>
  <si>
    <t>Ravinvirus</t>
  </si>
  <si>
    <t>Rerduovirus</t>
  </si>
  <si>
    <t>Rigallicvirus</t>
  </si>
  <si>
    <t>Rimavirus</t>
  </si>
  <si>
    <t>Roufvirus</t>
  </si>
  <si>
    <t>Samistivirus</t>
  </si>
  <si>
    <t>Samunavirus</t>
  </si>
  <si>
    <t>Sanovirus</t>
  </si>
  <si>
    <t>Xylella virus Sano</t>
  </si>
  <si>
    <t>Saphexavirus</t>
  </si>
  <si>
    <t>Sasvirus</t>
  </si>
  <si>
    <t>Saundersvirus</t>
  </si>
  <si>
    <t>Scapunavirus</t>
  </si>
  <si>
    <t>Septimatrevirus</t>
  </si>
  <si>
    <t>Skunavirus</t>
  </si>
  <si>
    <t>Sourvirus</t>
  </si>
  <si>
    <t>Stanholtvirus</t>
  </si>
  <si>
    <t>Steinhofvirus</t>
  </si>
  <si>
    <t>Sugarlandvirus</t>
  </si>
  <si>
    <t>Tequintavirus</t>
  </si>
  <si>
    <t>Timquatrovirus</t>
  </si>
  <si>
    <t>Tinduovirus</t>
  </si>
  <si>
    <t>Tortellinivirus</t>
  </si>
  <si>
    <t>Mycobacterium virus Tortellini</t>
  </si>
  <si>
    <t>Trinavirus</t>
  </si>
  <si>
    <t>Unahavirus</t>
  </si>
  <si>
    <t>Vhulanivirus</t>
  </si>
  <si>
    <t>Vidquintavirus</t>
  </si>
  <si>
    <t>Vieuvirus</t>
  </si>
  <si>
    <t>Vividuovirus</t>
  </si>
  <si>
    <t>Gordonia virus Lennon</t>
  </si>
  <si>
    <t>Weaselvirus</t>
  </si>
  <si>
    <t>Wilnyevirus</t>
  </si>
  <si>
    <t>Woodruffvirus</t>
  </si>
  <si>
    <t>Xiamenvirus</t>
  </si>
  <si>
    <t>Xipdecavirus</t>
  </si>
  <si>
    <t>Yvonnevirus</t>
  </si>
  <si>
    <t>Gordonia virus Yvonnetastic</t>
  </si>
  <si>
    <t>Mutorquevirus</t>
  </si>
  <si>
    <t>Nutorquevirus</t>
  </si>
  <si>
    <t>Decapodiridovirus</t>
  </si>
  <si>
    <t>Alphatrevirus</t>
  </si>
  <si>
    <t>Gequatrovirus</t>
  </si>
  <si>
    <t>Sinsheimervirus</t>
  </si>
  <si>
    <t>Ovaliviridae</t>
  </si>
  <si>
    <t>Alphaovalivirus</t>
  </si>
  <si>
    <t>Gammatectivirus</t>
  </si>
  <si>
    <t>Sort</t>
  </si>
  <si>
    <t>Duplodnaviria</t>
  </si>
  <si>
    <t>Heunggongvirae</t>
  </si>
  <si>
    <t>Peploviricota</t>
  </si>
  <si>
    <t>Herviviricetes</t>
  </si>
  <si>
    <t>Uroviricota</t>
  </si>
  <si>
    <t>Caudoviricetes</t>
  </si>
  <si>
    <t>Taipeivirus</t>
  </si>
  <si>
    <t>Autographiviridae</t>
  </si>
  <si>
    <t>Beijerinckvirinae</t>
  </si>
  <si>
    <t>Daemvirus</t>
  </si>
  <si>
    <t>Pettyvirus</t>
  </si>
  <si>
    <t>Colwellvirinae</t>
  </si>
  <si>
    <t>Gutovirus</t>
  </si>
  <si>
    <t>Kaohsiungvirus</t>
  </si>
  <si>
    <t>Murciavirus</t>
  </si>
  <si>
    <t>Trungvirus</t>
  </si>
  <si>
    <t>Uliginvirus</t>
  </si>
  <si>
    <t>Corkvirinae</t>
  </si>
  <si>
    <t>Kantovirus</t>
  </si>
  <si>
    <t>Kotilavirus</t>
  </si>
  <si>
    <t>Stompvirus</t>
  </si>
  <si>
    <t>Krylovirinae</t>
  </si>
  <si>
    <t>Kirikabuvirus</t>
  </si>
  <si>
    <t>Stubburvirus</t>
  </si>
  <si>
    <t>Melnykvirinae</t>
  </si>
  <si>
    <t>Aerosvirus</t>
  </si>
  <si>
    <t>Aghbyvirus</t>
  </si>
  <si>
    <t>Ahphunavirus</t>
  </si>
  <si>
    <t>Cronosvirus</t>
  </si>
  <si>
    <t>Panjvirus</t>
  </si>
  <si>
    <t>Pienvirus</t>
  </si>
  <si>
    <t>Pokrovskaiavirus</t>
  </si>
  <si>
    <t>Wanjuvirus</t>
  </si>
  <si>
    <t>Molineuxvirinae</t>
  </si>
  <si>
    <t>Acadevirus</t>
  </si>
  <si>
    <t>Axomammavirus</t>
  </si>
  <si>
    <t>Eracentumvirus</t>
  </si>
  <si>
    <t>Tuodvirus</t>
  </si>
  <si>
    <t>Vectrevirus</t>
  </si>
  <si>
    <t>Okabevirinae</t>
  </si>
  <si>
    <t>Ampunavirus</t>
  </si>
  <si>
    <t>Higashivirus</t>
  </si>
  <si>
    <t>Mguuvirus</t>
  </si>
  <si>
    <t>Risjevirus</t>
  </si>
  <si>
    <t>Sukuvirus</t>
  </si>
  <si>
    <t>Slopekvirinae</t>
  </si>
  <si>
    <t>Bucovirus</t>
  </si>
  <si>
    <t>Koutsourovirus</t>
  </si>
  <si>
    <t>Novosibovirus</t>
  </si>
  <si>
    <t>Studiervirinae</t>
  </si>
  <si>
    <t>Aarhusvirus</t>
  </si>
  <si>
    <t>Apdecimavirus</t>
  </si>
  <si>
    <t>Berlinvirus</t>
  </si>
  <si>
    <t>Caroctavirus</t>
  </si>
  <si>
    <t>Chatterjeevirus</t>
  </si>
  <si>
    <t>Eapunavirus</t>
  </si>
  <si>
    <t>Elunavirus</t>
  </si>
  <si>
    <t>Foetvirus</t>
  </si>
  <si>
    <t>Ghunavirus</t>
  </si>
  <si>
    <t>Helsettvirus</t>
  </si>
  <si>
    <t>Jarilovirus</t>
  </si>
  <si>
    <t>Kayfunavirus</t>
  </si>
  <si>
    <t>Minipunavirus</t>
  </si>
  <si>
    <t>Ningirsuvirus</t>
  </si>
  <si>
    <t>Pektosvirus</t>
  </si>
  <si>
    <t>Phutvirus</t>
  </si>
  <si>
    <t>Pifdecavirus</t>
  </si>
  <si>
    <t>Pijolavirus</t>
  </si>
  <si>
    <t>Teetrevirus</t>
  </si>
  <si>
    <t>Troedvirus</t>
  </si>
  <si>
    <t>Unyawovirus</t>
  </si>
  <si>
    <t>Aegirvirus</t>
  </si>
  <si>
    <t>Ashivirus</t>
  </si>
  <si>
    <t>Ashivirus S45C4</t>
  </si>
  <si>
    <t>Atuphduovirus</t>
  </si>
  <si>
    <t>Ayakvirus</t>
  </si>
  <si>
    <t>Ayaqvirus</t>
  </si>
  <si>
    <t>Ayaqvirus S45C18</t>
  </si>
  <si>
    <t>Banchanvirus</t>
  </si>
  <si>
    <t>Bonnellvirus</t>
  </si>
  <si>
    <t>Cheungvirus</t>
  </si>
  <si>
    <t>Chosvirus</t>
  </si>
  <si>
    <t>Chosvirus KM23C739</t>
  </si>
  <si>
    <t>Cuernavacavirus</t>
  </si>
  <si>
    <t>Cyclitvirus</t>
  </si>
  <si>
    <t>Ermolevavirus</t>
  </si>
  <si>
    <t>Foturvirus</t>
  </si>
  <si>
    <t>Foussvirus</t>
  </si>
  <si>
    <t>Foussvirus S46C10</t>
  </si>
  <si>
    <t>Fussvirus</t>
  </si>
  <si>
    <t>Fussvirus S30C28</t>
  </si>
  <si>
    <t>Gajwadongvirus</t>
  </si>
  <si>
    <t>Gyeongsanvirus</t>
  </si>
  <si>
    <t>Igirivirus</t>
  </si>
  <si>
    <t>Jalkavirus</t>
  </si>
  <si>
    <t>Jalkavirus S08C159</t>
  </si>
  <si>
    <t>Jiaoyazivirus</t>
  </si>
  <si>
    <t>Kafavirus</t>
  </si>
  <si>
    <t>Kajamvirus</t>
  </si>
  <si>
    <t>Kakivirus</t>
  </si>
  <si>
    <t>Kalppathivirus</t>
  </si>
  <si>
    <t>Kelmasvirus</t>
  </si>
  <si>
    <t>Kembevirus</t>
  </si>
  <si>
    <t>Krakvirus</t>
  </si>
  <si>
    <t>Krakvirus S39C11</t>
  </si>
  <si>
    <t>Lauvirus</t>
  </si>
  <si>
    <t>Limelightvirus</t>
  </si>
  <si>
    <t>Lingvirus</t>
  </si>
  <si>
    <t>Lirvirus</t>
  </si>
  <si>
    <t>Lullwatervirus</t>
  </si>
  <si>
    <t>Maculvirus</t>
  </si>
  <si>
    <t>Nohivirus</t>
  </si>
  <si>
    <t>Nohivirus S31C1</t>
  </si>
  <si>
    <t>Oinezvirus</t>
  </si>
  <si>
    <t>Oinezvirus S37C6</t>
  </si>
  <si>
    <t>Paadamvirus</t>
  </si>
  <si>
    <t>Pagavirus</t>
  </si>
  <si>
    <t>Pagavirus S05C849</t>
  </si>
  <si>
    <t>Pairvirus</t>
  </si>
  <si>
    <t>Pedosvirus</t>
  </si>
  <si>
    <t>Pedosvirus S28C3</t>
  </si>
  <si>
    <t>Pekhitvirus</t>
  </si>
  <si>
    <t>Pekhitvirus S04C24</t>
  </si>
  <si>
    <t>Pelagivirus</t>
  </si>
  <si>
    <t>Pelagivirus S35C6</t>
  </si>
  <si>
    <t>Percyvirus</t>
  </si>
  <si>
    <t>Piedvirus</t>
  </si>
  <si>
    <t>Podivirus</t>
  </si>
  <si>
    <t>Podivirus S05C243</t>
  </si>
  <si>
    <t>Poseidonvirus</t>
  </si>
  <si>
    <t>Powvirus</t>
  </si>
  <si>
    <t>Powvirus S08C41</t>
  </si>
  <si>
    <t>Qadamvirus</t>
  </si>
  <si>
    <t>Scottvirus</t>
  </si>
  <si>
    <t>Sednavirus</t>
  </si>
  <si>
    <t>Serkorvirus</t>
  </si>
  <si>
    <t>Sieqvirus</t>
  </si>
  <si>
    <t>Sieqvirus S42C7</t>
  </si>
  <si>
    <t>Stompelvirus</t>
  </si>
  <si>
    <t>Stopalavirus</t>
  </si>
  <si>
    <t>Stopalavirus S38C3</t>
  </si>
  <si>
    <t>Stopavirus</t>
  </si>
  <si>
    <t>Stupnyavirus</t>
  </si>
  <si>
    <t>Stupnyavirus KM16C193</t>
  </si>
  <si>
    <t>Tangaroavirus</t>
  </si>
  <si>
    <t>Tawavirus</t>
  </si>
  <si>
    <t>Tiamatvirus</t>
  </si>
  <si>
    <t>Tiilvirus</t>
  </si>
  <si>
    <t>Tritonvirus</t>
  </si>
  <si>
    <t>Voetvirus</t>
  </si>
  <si>
    <t>Votkovvirus</t>
  </si>
  <si>
    <t>Votkovvirus S28C10</t>
  </si>
  <si>
    <t>Waewaevirus</t>
  </si>
  <si>
    <t>Wuhanvirus</t>
  </si>
  <si>
    <t>Chaseviridae</t>
  </si>
  <si>
    <t>Carltongylesvirus</t>
  </si>
  <si>
    <t>Faunusvirus</t>
  </si>
  <si>
    <t>Loessnervirus</t>
  </si>
  <si>
    <t>Pahsextavirus</t>
  </si>
  <si>
    <t>Suwonvirus</t>
  </si>
  <si>
    <t>Yushanvirus</t>
  </si>
  <si>
    <t>Demerecviridae</t>
  </si>
  <si>
    <t>Ermolyevavirinae</t>
  </si>
  <si>
    <t>Vipunavirus</t>
  </si>
  <si>
    <t>Markadamsvirinae</t>
  </si>
  <si>
    <t>Epseptimavirus</t>
  </si>
  <si>
    <t>Mccorquodalevirinae</t>
  </si>
  <si>
    <t>Hongcheonvirus</t>
  </si>
  <si>
    <t>Pogseptimavirus</t>
  </si>
  <si>
    <t>Shenzhenvirus</t>
  </si>
  <si>
    <t>Drexlerviridae</t>
  </si>
  <si>
    <t>Braunvirinae</t>
  </si>
  <si>
    <t>Christensenvirus</t>
  </si>
  <si>
    <t>Guelphvirus</t>
  </si>
  <si>
    <t>Loudonvirus</t>
  </si>
  <si>
    <t>Rogunavirinae</t>
  </si>
  <si>
    <t>Eastlansingvirus</t>
  </si>
  <si>
    <t>Lindendrivevirus</t>
  </si>
  <si>
    <t>Wilsonroadvirus</t>
  </si>
  <si>
    <t>Tempevirinae</t>
  </si>
  <si>
    <t>Warwickvirus</t>
  </si>
  <si>
    <t>Badaguanvirus</t>
  </si>
  <si>
    <t>Nouzillyvirus</t>
  </si>
  <si>
    <t>Sauletekiovirus</t>
  </si>
  <si>
    <t>Vilniusvirus</t>
  </si>
  <si>
    <t>Schiekvirus</t>
  </si>
  <si>
    <t>Baoshanvirus</t>
  </si>
  <si>
    <t>Harbinvirus</t>
  </si>
  <si>
    <t>Sciuriunavirus</t>
  </si>
  <si>
    <t>Aresaunavirus</t>
  </si>
  <si>
    <t>Baylorvirus</t>
  </si>
  <si>
    <t>Bielevirus</t>
  </si>
  <si>
    <t>Canoevirus</t>
  </si>
  <si>
    <t>Catalunyavirus</t>
  </si>
  <si>
    <t>Citexvirus</t>
  </si>
  <si>
    <t>Eganvirus</t>
  </si>
  <si>
    <t>Entnonagintavirus</t>
  </si>
  <si>
    <t>Felsduovirus</t>
  </si>
  <si>
    <t>Irtavirus</t>
  </si>
  <si>
    <t>Kisquattuordecimvirus</t>
  </si>
  <si>
    <t>Kisquinquevirus</t>
  </si>
  <si>
    <t>Longwoodvirus</t>
  </si>
  <si>
    <t>Nampongvirus</t>
  </si>
  <si>
    <t>Phitrevirus</t>
  </si>
  <si>
    <t>Playavirus</t>
  </si>
  <si>
    <t>Reginaelenavirus</t>
  </si>
  <si>
    <t>Senquatrovirus</t>
  </si>
  <si>
    <t>Seongnamvirus</t>
  </si>
  <si>
    <t>Simpcentumvirus</t>
  </si>
  <si>
    <t>Tigrvirus</t>
  </si>
  <si>
    <t>Vulnificusvirus</t>
  </si>
  <si>
    <t>Xuanwuvirus</t>
  </si>
  <si>
    <t>Acionnavirus</t>
  </si>
  <si>
    <t>Ahtivirus</t>
  </si>
  <si>
    <t>Alexandravirus</t>
  </si>
  <si>
    <t>Anamdongvirus</t>
  </si>
  <si>
    <t>Anaposvirus</t>
  </si>
  <si>
    <t>Aokuangvirus</t>
  </si>
  <si>
    <t>Atlauavirus</t>
  </si>
  <si>
    <t>Aurunvirus</t>
  </si>
  <si>
    <t>Baikalvirus</t>
  </si>
  <si>
    <t>Barbavirus</t>
  </si>
  <si>
    <t>Bellamyvirus</t>
  </si>
  <si>
    <t>Brigitvirus</t>
  </si>
  <si>
    <t>Brizovirus</t>
  </si>
  <si>
    <t>Carpasinavirus</t>
  </si>
  <si>
    <t>Charybdisvirus</t>
  </si>
  <si>
    <t>Cymopoleiavirus</t>
  </si>
  <si>
    <t>Derbicusvirus</t>
  </si>
  <si>
    <t>Eponavirus</t>
  </si>
  <si>
    <t>Eurybiavirus</t>
  </si>
  <si>
    <t>Goslarvirus</t>
  </si>
  <si>
    <t>Heilongjiangvirus</t>
  </si>
  <si>
    <t>Kanaloavirus</t>
  </si>
  <si>
    <t>Lagaffevirus</t>
  </si>
  <si>
    <t>Leucotheavirus</t>
  </si>
  <si>
    <t>Libanvirus</t>
  </si>
  <si>
    <t>Llyrvirus</t>
  </si>
  <si>
    <t>Loughboroughvirus</t>
  </si>
  <si>
    <t>Mazuvirus</t>
  </si>
  <si>
    <t>Mushuvirus</t>
  </si>
  <si>
    <t>Naesvirus</t>
  </si>
  <si>
    <t>Namakavirus</t>
  </si>
  <si>
    <t>Neptunevirus</t>
  </si>
  <si>
    <t>Nereusvirus</t>
  </si>
  <si>
    <t>Nerrivikvirus</t>
  </si>
  <si>
    <t>Nodensvirus</t>
  </si>
  <si>
    <t>Palaemonvirus</t>
  </si>
  <si>
    <t>Petsuvirus</t>
  </si>
  <si>
    <t>Phabquatrovirus</t>
  </si>
  <si>
    <t>Phapecoctavirus</t>
  </si>
  <si>
    <t>Escherichia phage ESCO13</t>
  </si>
  <si>
    <t>Escherichia virus ESCO5</t>
  </si>
  <si>
    <t>Escherichia virus phAPEC8</t>
  </si>
  <si>
    <t>Escherichia virus Schickermooser</t>
  </si>
  <si>
    <t>Klebsiella virus ZCKP1</t>
  </si>
  <si>
    <t>Pontusvirus</t>
  </si>
  <si>
    <t>Qingdaovirus</t>
  </si>
  <si>
    <t>Rosemountvirus</t>
  </si>
  <si>
    <t>Saclayvirus</t>
  </si>
  <si>
    <t>Salacisavirus</t>
  </si>
  <si>
    <t>Salmondvirus</t>
  </si>
  <si>
    <t>Sasquatchvirus</t>
  </si>
  <si>
    <t>Schmittlotzvirus</t>
  </si>
  <si>
    <t>Tamkungvirus</t>
  </si>
  <si>
    <t>Taranisvirus</t>
  </si>
  <si>
    <t>Tefnutvirus</t>
  </si>
  <si>
    <t>Thaumasvirus</t>
  </si>
  <si>
    <t>Thetisvirus</t>
  </si>
  <si>
    <t>Toutatisvirus</t>
  </si>
  <si>
    <t>Vellamovirus</t>
  </si>
  <si>
    <t>Wellingtonvirus</t>
  </si>
  <si>
    <t>Wifcevirus</t>
  </si>
  <si>
    <t>Yoloswagvirus</t>
  </si>
  <si>
    <t>Rakietenvirinae</t>
  </si>
  <si>
    <t>Andhravirus</t>
  </si>
  <si>
    <t>Fischettivirus</t>
  </si>
  <si>
    <t>Kelquatrovirus</t>
  </si>
  <si>
    <t>Mukerjeevirus</t>
  </si>
  <si>
    <t>Ryyoungvirus</t>
  </si>
  <si>
    <t>Shizishanvirus</t>
  </si>
  <si>
    <t>Skarprettervirus</t>
  </si>
  <si>
    <t>Sortsnevirus</t>
  </si>
  <si>
    <t>Xuquatrovirus</t>
  </si>
  <si>
    <t>Dolichocephalovirinae</t>
  </si>
  <si>
    <t>Bertelyvirus</t>
  </si>
  <si>
    <t>Colossusvirus</t>
  </si>
  <si>
    <t>Poindextervirus</t>
  </si>
  <si>
    <t>Shapirovirus</t>
  </si>
  <si>
    <t>Langleyhallvirinae</t>
  </si>
  <si>
    <t>Getalongvirus</t>
  </si>
  <si>
    <t>Horusvirus</t>
  </si>
  <si>
    <t>Phistoryvirus</t>
  </si>
  <si>
    <t>Tybeckvirinae</t>
  </si>
  <si>
    <t>Douglaswolinvirus</t>
  </si>
  <si>
    <t>Lenusvirus</t>
  </si>
  <si>
    <t>Lidleunavirus</t>
  </si>
  <si>
    <t>Maenadvirus</t>
  </si>
  <si>
    <t>Abbeymikolonvirus</t>
  </si>
  <si>
    <t>Andrewvirus</t>
  </si>
  <si>
    <t>Appavirus</t>
  </si>
  <si>
    <t>Apricotvirus</t>
  </si>
  <si>
    <t>Armstrongvirus</t>
  </si>
  <si>
    <t>Attoomivirus</t>
  </si>
  <si>
    <t>Austintatiousvirus</t>
  </si>
  <si>
    <t>Bridgettevirus</t>
  </si>
  <si>
    <t>Mycobacterium virus JoeDirt</t>
  </si>
  <si>
    <t>Mycobacterium virus DeadP</t>
  </si>
  <si>
    <t>Mycobacterium virus DotProduct</t>
  </si>
  <si>
    <t>Mycobacterium virus GUmbie</t>
  </si>
  <si>
    <t>Mycobacterium virus RockyHorror</t>
  </si>
  <si>
    <t>Coralvirus</t>
  </si>
  <si>
    <t>Daredevilvirus</t>
  </si>
  <si>
    <t>Edenvirus</t>
  </si>
  <si>
    <t>Fairfaxidumvirus</t>
  </si>
  <si>
    <t>Feofaniavirus</t>
  </si>
  <si>
    <t>Fibralongavirus</t>
  </si>
  <si>
    <t>Franklinbayvirus</t>
  </si>
  <si>
    <t>Gillianvirus</t>
  </si>
  <si>
    <t>Godonkavirus</t>
  </si>
  <si>
    <t>Goodmanvirus</t>
  </si>
  <si>
    <t>Hiyaavirus</t>
  </si>
  <si>
    <t>Jacevirus</t>
  </si>
  <si>
    <t>Juiceboxvirus</t>
  </si>
  <si>
    <t>Kilunavirus</t>
  </si>
  <si>
    <t>Krampusvirus</t>
  </si>
  <si>
    <t>Lanavirus</t>
  </si>
  <si>
    <t>Lentavirus</t>
  </si>
  <si>
    <t>Liebevirus</t>
  </si>
  <si>
    <t>Luckybarnesvirus</t>
  </si>
  <si>
    <t>Luckytenvirus</t>
  </si>
  <si>
    <t>Lughvirus</t>
  </si>
  <si>
    <t>Majavirus</t>
  </si>
  <si>
    <t>Manhattanvirus</t>
  </si>
  <si>
    <t>Maxrubnervirus</t>
  </si>
  <si>
    <t>Mementomorivirus</t>
  </si>
  <si>
    <t>Metamorphoovirus</t>
  </si>
  <si>
    <t>Montyvirus</t>
  </si>
  <si>
    <t>Murrayvirus</t>
  </si>
  <si>
    <t>Neferthenavirus</t>
  </si>
  <si>
    <t>Oengusvirus</t>
  </si>
  <si>
    <t>Oneupvirus</t>
  </si>
  <si>
    <t>Picardvirus</t>
  </si>
  <si>
    <t>Quhwahvirus</t>
  </si>
  <si>
    <t>Raleighvirus</t>
  </si>
  <si>
    <t>Rogerhendrixvirus</t>
  </si>
  <si>
    <t>Ronaldovirus</t>
  </si>
  <si>
    <t>Rowavirus</t>
  </si>
  <si>
    <t>Ruthyvirus</t>
  </si>
  <si>
    <t>Samwavirus</t>
  </si>
  <si>
    <t>Sansavirus</t>
  </si>
  <si>
    <t>Caulobacter virus Sansa</t>
  </si>
  <si>
    <t>Sashavirus</t>
  </si>
  <si>
    <t>Schnabeltiervirus</t>
  </si>
  <si>
    <t>Schubertvirus</t>
  </si>
  <si>
    <t>Seussvirus</t>
  </si>
  <si>
    <t>Sonalivirus</t>
  </si>
  <si>
    <t>Squashvirus</t>
  </si>
  <si>
    <t>Terapinvirus</t>
  </si>
  <si>
    <t>Tigunavirus</t>
  </si>
  <si>
    <t>Trinevirus</t>
  </si>
  <si>
    <t>Vashvirus</t>
  </si>
  <si>
    <t>Vojvodinavirus</t>
  </si>
  <si>
    <t>Bordetella virus CN1</t>
  </si>
  <si>
    <t>Bordetella virus CN2</t>
  </si>
  <si>
    <t>Bordetella virus FP1</t>
  </si>
  <si>
    <t>Bordetella virus MW2</t>
  </si>
  <si>
    <t>Yangvirus</t>
  </si>
  <si>
    <t>Zetavirus</t>
  </si>
  <si>
    <t>Monodnaviria</t>
  </si>
  <si>
    <t>Loebvirae</t>
  </si>
  <si>
    <t>Hofneiviricota</t>
  </si>
  <si>
    <t>Faserviricetes</t>
  </si>
  <si>
    <t>Tubulavirales</t>
  </si>
  <si>
    <t>Affertcholeramvirus</t>
  </si>
  <si>
    <t>Bifilivirus</t>
  </si>
  <si>
    <t>Capistrivirus</t>
  </si>
  <si>
    <t>Coriovirus</t>
  </si>
  <si>
    <t>Infulavirus</t>
  </si>
  <si>
    <t>Parhipatevirus</t>
  </si>
  <si>
    <t>Primolicivirus</t>
  </si>
  <si>
    <t>Psecadovirus</t>
  </si>
  <si>
    <t>Restivirus</t>
  </si>
  <si>
    <t>Scuticavirus</t>
  </si>
  <si>
    <t>Staminivirus</t>
  </si>
  <si>
    <t>Subteminivirus</t>
  </si>
  <si>
    <t>Tertilicivirus</t>
  </si>
  <si>
    <t>Thomixvirus</t>
  </si>
  <si>
    <t>Versovirus</t>
  </si>
  <si>
    <t>Vicialiavirus</t>
  </si>
  <si>
    <t>Villovirus</t>
  </si>
  <si>
    <t>Xylivirus</t>
  </si>
  <si>
    <t>Plectroviridae</t>
  </si>
  <si>
    <t>Suturavirus</t>
  </si>
  <si>
    <t>Sangervirae</t>
  </si>
  <si>
    <t>Phixviricota</t>
  </si>
  <si>
    <t>Malgrandaviricetes</t>
  </si>
  <si>
    <t>Petitvirales</t>
  </si>
  <si>
    <t>Shotokuvirae</t>
  </si>
  <si>
    <t>Cossaviricota</t>
  </si>
  <si>
    <t>Mouviricetes</t>
  </si>
  <si>
    <t>Polivirales</t>
  </si>
  <si>
    <t>Papovaviricetes</t>
  </si>
  <si>
    <t>Sepolyvirales</t>
  </si>
  <si>
    <t>Zurhausenvirales</t>
  </si>
  <si>
    <t>Quintoviricetes</t>
  </si>
  <si>
    <t>Piccovirales</t>
  </si>
  <si>
    <t>Aquambidensovirus</t>
  </si>
  <si>
    <t>Blattambidensovirus</t>
  </si>
  <si>
    <t>Hemiambidensovirus</t>
  </si>
  <si>
    <t>Miniambidensovirus</t>
  </si>
  <si>
    <t>Orthopteran miniambidensovirus 1</t>
  </si>
  <si>
    <t>Pefuambidensovirus</t>
  </si>
  <si>
    <t>Penstylhamaparvovirus</t>
  </si>
  <si>
    <t>Protoambidensovirus</t>
  </si>
  <si>
    <t>Scindoambidensovirus</t>
  </si>
  <si>
    <t>Hamaparvovirinae</t>
  </si>
  <si>
    <t>Brevihamaparvovirus</t>
  </si>
  <si>
    <t>Chaphamaparvovirus</t>
  </si>
  <si>
    <t>Hepanhamaparvovirus</t>
  </si>
  <si>
    <t>Artiparvovirus</t>
  </si>
  <si>
    <t>Loriparvovirus</t>
  </si>
  <si>
    <t>Cressdnaviricota</t>
  </si>
  <si>
    <t>Arfiviricetes</t>
  </si>
  <si>
    <t>Baphyvirales</t>
  </si>
  <si>
    <t>Cirlivirales</t>
  </si>
  <si>
    <t>Cremevirales</t>
  </si>
  <si>
    <t>Mulpavirales</t>
  </si>
  <si>
    <t>Recrevirales</t>
  </si>
  <si>
    <t>Redondoviridae</t>
  </si>
  <si>
    <t>Torbevirus</t>
  </si>
  <si>
    <t>Repensiviricetes</t>
  </si>
  <si>
    <t>Geplafuvirales</t>
  </si>
  <si>
    <t>Trapavirae</t>
  </si>
  <si>
    <t>Saleviricota</t>
  </si>
  <si>
    <t>Huolimaviricetes</t>
  </si>
  <si>
    <t>Haloruvirales</t>
  </si>
  <si>
    <t>Orthornavirae</t>
  </si>
  <si>
    <t>Duplornaviricota</t>
  </si>
  <si>
    <t>Chrymotiviricetes</t>
  </si>
  <si>
    <t>Ghabrivirales</t>
  </si>
  <si>
    <t>Resentoviricetes</t>
  </si>
  <si>
    <t>Reovirales</t>
  </si>
  <si>
    <t>Vidaverviricetes</t>
  </si>
  <si>
    <t>Mindivirales</t>
  </si>
  <si>
    <t>Kitrinoviricota</t>
  </si>
  <si>
    <t>Alsuviricetes</t>
  </si>
  <si>
    <t>Hepelivirales</t>
  </si>
  <si>
    <t>Martellivirales</t>
  </si>
  <si>
    <t>Mayoviridae</t>
  </si>
  <si>
    <t>Pteridovirus</t>
  </si>
  <si>
    <t>Ravavirus</t>
  </si>
  <si>
    <t>Flasuviricetes</t>
  </si>
  <si>
    <t>Amarillovirales</t>
  </si>
  <si>
    <t>Magsaviricetes</t>
  </si>
  <si>
    <t>Nodamuvirales</t>
  </si>
  <si>
    <t>Sinhaliviridae</t>
  </si>
  <si>
    <t>Tolucaviricetes</t>
  </si>
  <si>
    <t>Tolivirales</t>
  </si>
  <si>
    <t>Lenarviricota</t>
  </si>
  <si>
    <t>Amabiliviricetes</t>
  </si>
  <si>
    <t>Wolframvirales</t>
  </si>
  <si>
    <t>Howeltoviricetes</t>
  </si>
  <si>
    <t>Cryppavirales</t>
  </si>
  <si>
    <t>Mitoviridae</t>
  </si>
  <si>
    <t>Miaviricetes</t>
  </si>
  <si>
    <t>Ourlivirales</t>
  </si>
  <si>
    <t>Hexartovirus</t>
  </si>
  <si>
    <t>Dianlovirus</t>
  </si>
  <si>
    <t>Hubramonavirus</t>
  </si>
  <si>
    <t>Cynoglossusvirus</t>
  </si>
  <si>
    <t>Hoplichthysvirus</t>
  </si>
  <si>
    <t>Scoliodonvirus</t>
  </si>
  <si>
    <t>Alphanucleorhabdovirus</t>
  </si>
  <si>
    <t>Arurhavirus</t>
  </si>
  <si>
    <t>Betanucleorhabdovirus</t>
  </si>
  <si>
    <t>Gammanucleorhabdovirus</t>
  </si>
  <si>
    <t>Mousrhavirus</t>
  </si>
  <si>
    <t>Ohlsrhavirus</t>
  </si>
  <si>
    <t>Sunrhavirus</t>
  </si>
  <si>
    <t>Bandavirus</t>
  </si>
  <si>
    <t>Coguvirus eburi</t>
  </si>
  <si>
    <t>Entovirus</t>
  </si>
  <si>
    <t>Ixovirus</t>
  </si>
  <si>
    <t>Lentinuvirus</t>
  </si>
  <si>
    <t>Rubodvirus</t>
  </si>
  <si>
    <t>Uukuvirus</t>
  </si>
  <si>
    <t>Pisuviricota</t>
  </si>
  <si>
    <t>Duplopiviricetes</t>
  </si>
  <si>
    <t>Durnavirales</t>
  </si>
  <si>
    <t>Pisoniviricetes</t>
  </si>
  <si>
    <t>Iotaarterivirus pejah</t>
  </si>
  <si>
    <t>Betaarterivirus sheoin</t>
  </si>
  <si>
    <t>Betaarterivirus timiclar</t>
  </si>
  <si>
    <t>Nuarterivirus</t>
  </si>
  <si>
    <t>Nuarterivirus guemel</t>
  </si>
  <si>
    <t>Cremegaviridae</t>
  </si>
  <si>
    <t>Rodepovirinae</t>
  </si>
  <si>
    <t>Pontunivirus</t>
  </si>
  <si>
    <t>Gresnaviridae</t>
  </si>
  <si>
    <t>Reternivirinae</t>
  </si>
  <si>
    <t>Cyclophivirus</t>
  </si>
  <si>
    <t>Olifoviridae</t>
  </si>
  <si>
    <t>Gofosavirinae</t>
  </si>
  <si>
    <t>Kukrinivirus</t>
  </si>
  <si>
    <t>Soracovirus</t>
  </si>
  <si>
    <t>Sunacovirus</t>
  </si>
  <si>
    <t>Brangacovirus</t>
  </si>
  <si>
    <t>Nanidovirineae</t>
  </si>
  <si>
    <t>Nanghoshaviridae</t>
  </si>
  <si>
    <t>Chimanivirinae</t>
  </si>
  <si>
    <t>Chimshavirus</t>
  </si>
  <si>
    <t>Nanhypoviridae</t>
  </si>
  <si>
    <t>Hyporhamsavirinae</t>
  </si>
  <si>
    <t>Sajorinivirus</t>
  </si>
  <si>
    <t>Hepoptovirus</t>
  </si>
  <si>
    <t>Lyctovirus</t>
  </si>
  <si>
    <t>Rebatovirus</t>
  </si>
  <si>
    <t>Snaturtovirus</t>
  </si>
  <si>
    <t>Boosepivirus</t>
  </si>
  <si>
    <t>Crahelivirus</t>
  </si>
  <si>
    <t>Diresapivirus</t>
  </si>
  <si>
    <t>Felipivirus</t>
  </si>
  <si>
    <t>Fipivirus</t>
  </si>
  <si>
    <t>Gruhelivirus</t>
  </si>
  <si>
    <t>Grusopivirus</t>
  </si>
  <si>
    <t>Hemipivirus</t>
  </si>
  <si>
    <t>Ludopivirus</t>
  </si>
  <si>
    <t>Mupivirus</t>
  </si>
  <si>
    <t>Myrropivirus</t>
  </si>
  <si>
    <t>Parabovirus</t>
  </si>
  <si>
    <t>Pemapivirus</t>
  </si>
  <si>
    <t>Rohelivirus</t>
  </si>
  <si>
    <t>Symapivirus</t>
  </si>
  <si>
    <t>Tropivirus</t>
  </si>
  <si>
    <t>Cholivirus</t>
  </si>
  <si>
    <t>Satsumavirus</t>
  </si>
  <si>
    <t>Stramovirus</t>
  </si>
  <si>
    <t>Sobelivirales</t>
  </si>
  <si>
    <t>Stelpaviricetes</t>
  </si>
  <si>
    <t>Patatavirales</t>
  </si>
  <si>
    <t>Arepavirus</t>
  </si>
  <si>
    <t>Celavirus</t>
  </si>
  <si>
    <t>Stellavirales</t>
  </si>
  <si>
    <t>Dronavirus</t>
  </si>
  <si>
    <t>Ronavirus</t>
  </si>
  <si>
    <t>Telnavirus</t>
  </si>
  <si>
    <t>Pararnavirae</t>
  </si>
  <si>
    <t>Artverviricota</t>
  </si>
  <si>
    <t>Revtraviricetes</t>
  </si>
  <si>
    <t>Blubervirales</t>
  </si>
  <si>
    <t>Herpetohepadnavirus</t>
  </si>
  <si>
    <t>Metahepadnavirus</t>
  </si>
  <si>
    <t>Parahepadnavirus</t>
  </si>
  <si>
    <t>Dioscovirus</t>
  </si>
  <si>
    <t>Vaccinivirus</t>
  </si>
  <si>
    <t>Polymycoviridae</t>
  </si>
  <si>
    <t>Polymycovirus</t>
  </si>
  <si>
    <t>Varidnaviria</t>
  </si>
  <si>
    <t>Bamfordvirae</t>
  </si>
  <si>
    <t>Nucleocytoviricota</t>
  </si>
  <si>
    <t>Megaviricetes</t>
  </si>
  <si>
    <t>Algavirales</t>
  </si>
  <si>
    <t>Imitervirales</t>
  </si>
  <si>
    <t>Pimascovirales</t>
  </si>
  <si>
    <t>Pokkesviricetes</t>
  </si>
  <si>
    <t>Asfuvirales</t>
  </si>
  <si>
    <t>Chitovirales</t>
  </si>
  <si>
    <t>Macropopoxvirus</t>
  </si>
  <si>
    <t>Mustelpoxvirus</t>
  </si>
  <si>
    <t>Oryzopoxvirus</t>
  </si>
  <si>
    <t>Pteropopoxvirus</t>
  </si>
  <si>
    <t>Salmonpoxvirus</t>
  </si>
  <si>
    <t>Sciuripoxvirus</t>
  </si>
  <si>
    <t>Vespertilionpoxvirus</t>
  </si>
  <si>
    <t>Deltaentomopoxvirus</t>
  </si>
  <si>
    <t>Preplasmiviricota</t>
  </si>
  <si>
    <t>Maveriviricetes</t>
  </si>
  <si>
    <t>Priklausovirales</t>
  </si>
  <si>
    <t>Tectiliviricetes</t>
  </si>
  <si>
    <t>Belfryvirales</t>
  </si>
  <si>
    <t>Kalamavirales</t>
  </si>
  <si>
    <t>Rowavirales</t>
  </si>
  <si>
    <t>Vinavirales</t>
  </si>
  <si>
    <t>Helvetiavirae</t>
  </si>
  <si>
    <t>Dividoviricota</t>
  </si>
  <si>
    <t>Laserviricetes</t>
  </si>
  <si>
    <t>Halopanivirales</t>
  </si>
  <si>
    <t>Alphalipothrixvirus</t>
  </si>
  <si>
    <t>Finnlakeviridae</t>
  </si>
  <si>
    <t>Finnlakevirus</t>
  </si>
  <si>
    <t>Halspiviridae</t>
  </si>
  <si>
    <t>Thaspiviridae</t>
  </si>
  <si>
    <t>Nitmarvirus</t>
  </si>
  <si>
    <t>Barhavirus</t>
  </si>
  <si>
    <t>Lostrhavirus</t>
  </si>
  <si>
    <t>Sawgrhavirus</t>
  </si>
  <si>
    <t>Zarhavirus</t>
  </si>
  <si>
    <t>Adnaviria</t>
  </si>
  <si>
    <t>Zilligvirae</t>
  </si>
  <si>
    <t>Taleaviricota</t>
  </si>
  <si>
    <t>Tokiviricetes</t>
  </si>
  <si>
    <t>Azorudivirus</t>
  </si>
  <si>
    <t>Hoswirudivirus</t>
  </si>
  <si>
    <t>Icerudivirus</t>
  </si>
  <si>
    <t>Itarudivirus</t>
  </si>
  <si>
    <t>Japarudivirus</t>
  </si>
  <si>
    <t>Mexirudivirus</t>
  </si>
  <si>
    <t>Usarudivirus</t>
  </si>
  <si>
    <t>Primavirales</t>
  </si>
  <si>
    <t>Betatristromavirus</t>
  </si>
  <si>
    <t>Quwivirus</t>
  </si>
  <si>
    <t>Bossavirus</t>
  </si>
  <si>
    <t>Manticavirus</t>
  </si>
  <si>
    <t>Patagivirus</t>
  </si>
  <si>
    <t>Campanilevirus</t>
  </si>
  <si>
    <t>Kujavirus</t>
  </si>
  <si>
    <t>Miltonvirus</t>
  </si>
  <si>
    <t>Nezavisimistyvirus</t>
  </si>
  <si>
    <t>Tedavirus</t>
  </si>
  <si>
    <t>Vapseptimavirus</t>
  </si>
  <si>
    <t>Warsawvirus</t>
  </si>
  <si>
    <t>Anchaingvirus</t>
  </si>
  <si>
    <t>Cleopatravirinae</t>
  </si>
  <si>
    <t>Myducvirus</t>
  </si>
  <si>
    <t>Sabourvirus</t>
  </si>
  <si>
    <t>Nefertitivirinae</t>
  </si>
  <si>
    <t>Veterinaerplatzvirus</t>
  </si>
  <si>
    <t>Changchunvirus</t>
  </si>
  <si>
    <t>Henuseptimavirus</t>
  </si>
  <si>
    <t>Hicfunavirus</t>
  </si>
  <si>
    <t>Jhansiroadvirus</t>
  </si>
  <si>
    <t>Kyungwonvirus</t>
  </si>
  <si>
    <t>Guelinviridae</t>
  </si>
  <si>
    <t>Denniswatsonvirinae</t>
  </si>
  <si>
    <t>Capvunavirus</t>
  </si>
  <si>
    <t>Gregsiragusavirus</t>
  </si>
  <si>
    <t>Brucesealvirus</t>
  </si>
  <si>
    <t>Susfortunavirus</t>
  </si>
  <si>
    <t>Eldridgevirus</t>
  </si>
  <si>
    <t>Goettingenvirus</t>
  </si>
  <si>
    <t>Grisebachstrassevirus</t>
  </si>
  <si>
    <t>Jeonjuvirus</t>
  </si>
  <si>
    <t>Matervirus</t>
  </si>
  <si>
    <t>Moonbeamvirus</t>
  </si>
  <si>
    <t>Siophivirus</t>
  </si>
  <si>
    <t>Elpedvirus</t>
  </si>
  <si>
    <t>Hopescreekvirus</t>
  </si>
  <si>
    <t>Mooreparkvirus</t>
  </si>
  <si>
    <t>Salchichonvirus</t>
  </si>
  <si>
    <t>Tybeckvirus</t>
  </si>
  <si>
    <t>Watanabevirus</t>
  </si>
  <si>
    <t>Emmerichvirinae</t>
  </si>
  <si>
    <t>Ceceduovirus</t>
  </si>
  <si>
    <t>Ishigurovirus</t>
  </si>
  <si>
    <t>Gorgonvirinae</t>
  </si>
  <si>
    <t>Irrigatiovirus</t>
  </si>
  <si>
    <t>Novemvirus</t>
  </si>
  <si>
    <t>Reipivirus</t>
  </si>
  <si>
    <t>Vimunumvirus</t>
  </si>
  <si>
    <t>Yongunavirus</t>
  </si>
  <si>
    <t>Pseudotevenvirus</t>
  </si>
  <si>
    <t>Twarogvirinae</t>
  </si>
  <si>
    <t>Acajnonavirus</t>
  </si>
  <si>
    <t>Hadassahvirus</t>
  </si>
  <si>
    <t>Lasallevirus</t>
  </si>
  <si>
    <t>Acinetobacter virus Acj61</t>
  </si>
  <si>
    <t>Lazarusvirus</t>
  </si>
  <si>
    <t>Zedzedvirus</t>
  </si>
  <si>
    <t>Henunavirus</t>
  </si>
  <si>
    <t>Mydovirus</t>
  </si>
  <si>
    <t>Ayohtrevirus</t>
  </si>
  <si>
    <t>Bakolyvirus</t>
  </si>
  <si>
    <t>Bcepfunavirus</t>
  </si>
  <si>
    <t>Becedseptimavirus</t>
  </si>
  <si>
    <t>Borockvirus</t>
  </si>
  <si>
    <t>Colneyvirus</t>
  </si>
  <si>
    <t>Dibbivirus</t>
  </si>
  <si>
    <t>Donellivirus</t>
  </si>
  <si>
    <t>Elmenteitavirus</t>
  </si>
  <si>
    <t>Fukuivirus</t>
  </si>
  <si>
    <t>Haloferacalesvirus</t>
  </si>
  <si>
    <t>Kanagawavirus</t>
  </si>
  <si>
    <t>Klausavirus</t>
  </si>
  <si>
    <t>Kungbxnavirus</t>
  </si>
  <si>
    <t>Kylevirus</t>
  </si>
  <si>
    <t>Lietduovirus</t>
  </si>
  <si>
    <t>Marfavirus</t>
  </si>
  <si>
    <t>Merged,</t>
  </si>
  <si>
    <t>Menderavirus</t>
  </si>
  <si>
    <t>Moabitevirus</t>
  </si>
  <si>
    <t>Moturavirus</t>
  </si>
  <si>
    <t>Muldoonvirus</t>
  </si>
  <si>
    <t>Myoalterovirus</t>
  </si>
  <si>
    <t>Myosmarvirus</t>
  </si>
  <si>
    <t>Nylescharonvirus</t>
  </si>
  <si>
    <t>Pemunavirus</t>
  </si>
  <si>
    <t>Pippivirus</t>
  </si>
  <si>
    <t>Plateaulakevirus</t>
  </si>
  <si>
    <t>Rahariannevirus</t>
  </si>
  <si>
    <t>Ronodorvirus</t>
  </si>
  <si>
    <t>Saintgironsvirus</t>
  </si>
  <si>
    <t>Sarumanvirus</t>
  </si>
  <si>
    <t>Shandongvirus</t>
  </si>
  <si>
    <t>Sherbrookevirus</t>
  </si>
  <si>
    <t>Shirahamavirus</t>
  </si>
  <si>
    <t>Takahashivirus</t>
  </si>
  <si>
    <t>Vibakivirus</t>
  </si>
  <si>
    <t>Yongloolinvirus</t>
  </si>
  <si>
    <t>Beephvirinae</t>
  </si>
  <si>
    <t>Flowerpowervirus</t>
  </si>
  <si>
    <t>Immanueltrevirus</t>
  </si>
  <si>
    <t>Manuelvirus</t>
  </si>
  <si>
    <t>Eekayvirinae</t>
  </si>
  <si>
    <t>Akonivirus</t>
  </si>
  <si>
    <t>Tinytimothyvirus</t>
  </si>
  <si>
    <t>Anjalivirus</t>
  </si>
  <si>
    <t>Astrithrvirus</t>
  </si>
  <si>
    <t>Badaztecvirus</t>
  </si>
  <si>
    <t>Burrovirus</t>
  </si>
  <si>
    <t>Chopinvirus</t>
  </si>
  <si>
    <t>Cimandefvirus</t>
  </si>
  <si>
    <t>Delislevirus</t>
  </si>
  <si>
    <t>Dybvigvirus</t>
  </si>
  <si>
    <t>Firingavirus</t>
  </si>
  <si>
    <t>Gervaisevirus</t>
  </si>
  <si>
    <t>Kozyakovvirus</t>
  </si>
  <si>
    <t>Lahexavirus</t>
  </si>
  <si>
    <t>Lastavirus</t>
  </si>
  <si>
    <t>Parlovirus</t>
  </si>
  <si>
    <t>Privateervirus</t>
  </si>
  <si>
    <t>Sendosyvirus</t>
  </si>
  <si>
    <t>Wumpquatrovirus</t>
  </si>
  <si>
    <t>Wumptrevirus</t>
  </si>
  <si>
    <t>Rountreeviridae</t>
  </si>
  <si>
    <t>Sarlesvirinae</t>
  </si>
  <si>
    <t>Copernicusvirus</t>
  </si>
  <si>
    <t>Minhovirus</t>
  </si>
  <si>
    <t>Salasmaviridae</t>
  </si>
  <si>
    <t>Northropvirinae</t>
  </si>
  <si>
    <t>Claudivirus</t>
  </si>
  <si>
    <t>Hemphillvirus</t>
  </si>
  <si>
    <t>Klosterneuburgvirus</t>
  </si>
  <si>
    <t>Beecentumtrevirus</t>
  </si>
  <si>
    <t>Tatarstanvirinae</t>
  </si>
  <si>
    <t>Gaunavirus</t>
  </si>
  <si>
    <t>Karezivirus</t>
  </si>
  <si>
    <t>Bundooravirus</t>
  </si>
  <si>
    <t>Harambevirus</t>
  </si>
  <si>
    <t>Mingyongvirus</t>
  </si>
  <si>
    <t>Schitoviridae</t>
  </si>
  <si>
    <t>Enquatrovirinae</t>
  </si>
  <si>
    <t>Kaypoctavirus</t>
  </si>
  <si>
    <t>Erskinevirinae</t>
  </si>
  <si>
    <t>Yonginvirus</t>
  </si>
  <si>
    <t>Fuhrmanvirinae</t>
  </si>
  <si>
    <t>Matsuvirus</t>
  </si>
  <si>
    <t>Stoningtonvirus</t>
  </si>
  <si>
    <t>Humphriesvirinae</t>
  </si>
  <si>
    <t>Pollockvirus</t>
  </si>
  <si>
    <t>Pylasvirus</t>
  </si>
  <si>
    <t>Migulavirinae</t>
  </si>
  <si>
    <t>Pontosvirinae</t>
  </si>
  <si>
    <t>Dorisvirus</t>
  </si>
  <si>
    <t>Galateavirus</t>
  </si>
  <si>
    <t>Nahantvirus</t>
  </si>
  <si>
    <t>Rhodovirinae</t>
  </si>
  <si>
    <t>Aoqinvirus</t>
  </si>
  <si>
    <t>Aorunvirus</t>
  </si>
  <si>
    <t>Plymouthvirus</t>
  </si>
  <si>
    <t>Pomeroyivirus</t>
  </si>
  <si>
    <t>Raunefjordenvirus</t>
  </si>
  <si>
    <t>Sanyabayvirus</t>
  </si>
  <si>
    <t>Rothmandenesvirinae</t>
  </si>
  <si>
    <t>Dongdastvirus</t>
  </si>
  <si>
    <t>Inbricusvirus</t>
  </si>
  <si>
    <t>Pourcelvirus</t>
  </si>
  <si>
    <t>Cbunavirus</t>
  </si>
  <si>
    <t>Dendoorenvirus</t>
  </si>
  <si>
    <t>Eceepunavirus</t>
  </si>
  <si>
    <t>Huelvavirus</t>
  </si>
  <si>
    <t>Littlefixvirus</t>
  </si>
  <si>
    <t>Pacinivirus</t>
  </si>
  <si>
    <t>Pokkenvirus</t>
  </si>
  <si>
    <t>Presleyvirus</t>
  </si>
  <si>
    <t>Riverridervirus</t>
  </si>
  <si>
    <t>Waedenswilvirus</t>
  </si>
  <si>
    <t>Zicotriavirus</t>
  </si>
  <si>
    <t>Zurivirus</t>
  </si>
  <si>
    <t>Azeredovirinae</t>
  </si>
  <si>
    <t>Dubowvirus</t>
  </si>
  <si>
    <t>Bronfenbrennervirinae</t>
  </si>
  <si>
    <t>Peeveelvirus</t>
  </si>
  <si>
    <t>Deejayvirinae</t>
  </si>
  <si>
    <t>Kenoshavirus</t>
  </si>
  <si>
    <t>Secretariatvirus</t>
  </si>
  <si>
    <t>Tanisvirus</t>
  </si>
  <si>
    <t>Gochnauervirinae</t>
  </si>
  <si>
    <t>Dragolirvirus</t>
  </si>
  <si>
    <t>Wanderervirus</t>
  </si>
  <si>
    <t>Gutmannvirinae</t>
  </si>
  <si>
    <t>Carmenvirus</t>
  </si>
  <si>
    <t>Pebcunavirus</t>
  </si>
  <si>
    <t>Hendrixvirinae</t>
  </si>
  <si>
    <t>Byrnievirus</t>
  </si>
  <si>
    <t>Cuauhtlivirus</t>
  </si>
  <si>
    <t>Kwaitsingvirus</t>
  </si>
  <si>
    <t>Nochtlivirus</t>
  </si>
  <si>
    <t>Saikungvirus</t>
  </si>
  <si>
    <t>Shamshuipovirus</t>
  </si>
  <si>
    <t>Wanchaivirus</t>
  </si>
  <si>
    <t>Wongtaivirus</t>
  </si>
  <si>
    <t>Yautsimvirus</t>
  </si>
  <si>
    <t>Queuovirinae</t>
  </si>
  <si>
    <t>Amoyvirus</t>
  </si>
  <si>
    <t>Skryabinvirinae</t>
  </si>
  <si>
    <t>Bembunaquatrovirus</t>
  </si>
  <si>
    <t>Pushchinovirus</t>
  </si>
  <si>
    <t>Trabyvirinae</t>
  </si>
  <si>
    <t>Jelitavirus</t>
  </si>
  <si>
    <t>Slepowronvirus</t>
  </si>
  <si>
    <t>Agmunavirus</t>
  </si>
  <si>
    <t>Aguilavirus</t>
  </si>
  <si>
    <t>Alachuavirus</t>
  </si>
  <si>
    <t>Alegriavirus</t>
  </si>
  <si>
    <t>Annadreamyvirus</t>
  </si>
  <si>
    <t>Arawnvirus</t>
  </si>
  <si>
    <t>Ashduovirus</t>
  </si>
  <si>
    <t>Audreyjarvisvirus</t>
  </si>
  <si>
    <t>Avanivirus</t>
  </si>
  <si>
    <t>Beceayunavirus</t>
  </si>
  <si>
    <t>Behunavirus</t>
  </si>
  <si>
    <t>Bievrevirus</t>
  </si>
  <si>
    <t>Camtrevirus</t>
  </si>
  <si>
    <t>Chertseyvirus</t>
  </si>
  <si>
    <t>Salmonella virus BP12C</t>
  </si>
  <si>
    <t>Colunavirus</t>
  </si>
  <si>
    <t>Cornievirus</t>
  </si>
  <si>
    <t>Mycobacterium virus Cornie</t>
  </si>
  <si>
    <t>Coventryvirus</t>
  </si>
  <si>
    <t>Cukevirus</t>
  </si>
  <si>
    <t>Deurplevirus</t>
  </si>
  <si>
    <t>Dinavirus</t>
  </si>
  <si>
    <t>Fattrevirus</t>
  </si>
  <si>
    <t>Fernvirus</t>
  </si>
  <si>
    <t>Fowlmouthvirus</t>
  </si>
  <si>
    <t>Fremauxvirus</t>
  </si>
  <si>
    <t>Gilsonvirus</t>
  </si>
  <si>
    <t>Glaedevirus</t>
  </si>
  <si>
    <t>Halcyonevirus</t>
  </si>
  <si>
    <t>Hattifnattvirus</t>
  </si>
  <si>
    <t>Hnatkovirus</t>
  </si>
  <si>
    <t>Hubeivirus</t>
  </si>
  <si>
    <t>Iaduovirus</t>
  </si>
  <si>
    <t>Indlulamithivirus</t>
  </si>
  <si>
    <t>Jarrellvirus</t>
  </si>
  <si>
    <t>Jouyvirus</t>
  </si>
  <si>
    <t>Junavirus</t>
  </si>
  <si>
    <t>Kamchatkavirus</t>
  </si>
  <si>
    <t>Karimacvirus</t>
  </si>
  <si>
    <t>Streptomyces virus Karimac</t>
  </si>
  <si>
    <t>Streptomyces virus LukeCage</t>
  </si>
  <si>
    <t>Streptomyces virus StarPlatinum</t>
  </si>
  <si>
    <t>Streptomyces virus Wollford</t>
  </si>
  <si>
    <t>Streptomyces virus Yaboi</t>
  </si>
  <si>
    <t>Knuthellervirus</t>
  </si>
  <si>
    <t>Konstantinevirus</t>
  </si>
  <si>
    <t>Kuleanavirus</t>
  </si>
  <si>
    <t>Labanvirus</t>
  </si>
  <si>
    <t>Lacnuvirus</t>
  </si>
  <si>
    <t>Lafunavirus</t>
  </si>
  <si>
    <t>Lambovirus</t>
  </si>
  <si>
    <t>Larmunavirus</t>
  </si>
  <si>
    <t>Latrobevirus</t>
  </si>
  <si>
    <t>Leicestervirus</t>
  </si>
  <si>
    <t>Arthrobacter virus Liebe</t>
  </si>
  <si>
    <t>Lillamyvirus</t>
  </si>
  <si>
    <t>Marienburgvirus</t>
  </si>
  <si>
    <t>Mufasoctovirus</t>
  </si>
  <si>
    <t>Muminvirus</t>
  </si>
  <si>
    <t>Nesevirus</t>
  </si>
  <si>
    <t>Nevevirus</t>
  </si>
  <si>
    <t>Pankowvirus</t>
  </si>
  <si>
    <t>Pleeduovirus</t>
  </si>
  <si>
    <t>Pleetrevirus</t>
  </si>
  <si>
    <t>Predatorvirus</t>
  </si>
  <si>
    <t>Questintvirus</t>
  </si>
  <si>
    <t>Radostvirus</t>
  </si>
  <si>
    <t>Ravarandavirus</t>
  </si>
  <si>
    <t>Rockefellervirus</t>
  </si>
  <si>
    <t>Rockvillevirus</t>
  </si>
  <si>
    <t>Sandinevirus</t>
  </si>
  <si>
    <t>Sawaravirus</t>
  </si>
  <si>
    <t>Seongbukvirus</t>
  </si>
  <si>
    <t>Sleepyheadvirus</t>
  </si>
  <si>
    <t>Sozzivirus</t>
  </si>
  <si>
    <t>Sparkyvirus</t>
  </si>
  <si>
    <t>Spizizenvirus</t>
  </si>
  <si>
    <t>Squirtyvirus</t>
  </si>
  <si>
    <t>Mycobacterium virus Squirty</t>
  </si>
  <si>
    <t>Sukhumvitvirus</t>
  </si>
  <si>
    <t>Tandoganvirus</t>
  </si>
  <si>
    <t>Tantvirus</t>
  </si>
  <si>
    <t>Teubervirus</t>
  </si>
  <si>
    <t>Thetabobvirus</t>
  </si>
  <si>
    <t>Mycobacterium virus Renaud18</t>
  </si>
  <si>
    <t>Mycobacterium virus TChen</t>
  </si>
  <si>
    <t>Mycobacterium virus ThetaBob</t>
  </si>
  <si>
    <t>Triplejayvirus</t>
  </si>
  <si>
    <t>Uwajimavirus</t>
  </si>
  <si>
    <t>Vedamuthuvirus</t>
  </si>
  <si>
    <t>Waukeshavirus</t>
  </si>
  <si>
    <t>Whackvirus</t>
  </si>
  <si>
    <t>Whiteheadvirus</t>
  </si>
  <si>
    <t>Yonseivirus</t>
  </si>
  <si>
    <t>Zobellviridae</t>
  </si>
  <si>
    <t>Cobavirinae</t>
  </si>
  <si>
    <t>Siovirus</t>
  </si>
  <si>
    <t>Veravirus</t>
  </si>
  <si>
    <t>Citrovirus</t>
  </si>
  <si>
    <t>Icepovirus</t>
  </si>
  <si>
    <t>Melvirus</t>
  </si>
  <si>
    <t>Paundecimvirus</t>
  </si>
  <si>
    <t>Salinovirus</t>
  </si>
  <si>
    <t>Vipivirus</t>
  </si>
  <si>
    <t>Paulinoviridae</t>
  </si>
  <si>
    <t>Enterogokushovirus</t>
  </si>
  <si>
    <t>Enterogokushovirus EC6098</t>
  </si>
  <si>
    <t>Epsilonpolyomavirus</t>
  </si>
  <si>
    <t>Zetapolyomavirus</t>
  </si>
  <si>
    <t>Diciambidensovirus</t>
  </si>
  <si>
    <t>Muscodensovirus</t>
  </si>
  <si>
    <t>Tetuambidensovirus</t>
  </si>
  <si>
    <t>Babosmacovirus</t>
  </si>
  <si>
    <t>Babosmacovirus babas1</t>
  </si>
  <si>
    <t>Bonzesmacovirus</t>
  </si>
  <si>
    <t>Bonzesmacovirus bovas1</t>
  </si>
  <si>
    <t>Bostasmacovirus</t>
  </si>
  <si>
    <t>Bostasmacovirus bovas1</t>
  </si>
  <si>
    <t>Bovismacovirus bovas1</t>
  </si>
  <si>
    <t>Bovismacovirus bovas2</t>
  </si>
  <si>
    <t>Bovismacovirus draga1</t>
  </si>
  <si>
    <t>Cosmacovirus bovas1</t>
  </si>
  <si>
    <t>Dragsmacovirus draga1</t>
  </si>
  <si>
    <t>Drosmacovirus bovas1</t>
  </si>
  <si>
    <t>Drosmacovirus camas1</t>
  </si>
  <si>
    <t>Drosmacovirus camas2</t>
  </si>
  <si>
    <t>Felismacovirus</t>
  </si>
  <si>
    <t>Felismacovirus lynas1</t>
  </si>
  <si>
    <t>Huchismacovirus chicas1</t>
  </si>
  <si>
    <t>Huchismacovirus chicas2</t>
  </si>
  <si>
    <t>Huchismacovirus humas1</t>
  </si>
  <si>
    <t>Huchismacovirus humas2</t>
  </si>
  <si>
    <t>Huchismacovirus humas3</t>
  </si>
  <si>
    <t>Inpeasmacovirus</t>
  </si>
  <si>
    <t>Inpeasmacovirus humas1</t>
  </si>
  <si>
    <t>Inpeasmacovirus peafo1</t>
  </si>
  <si>
    <t>Porprismacovirus alecas1</t>
  </si>
  <si>
    <t>Porprismacovirus avias1</t>
  </si>
  <si>
    <t>Porprismacovirus babas1</t>
  </si>
  <si>
    <t>Porprismacovirus bovas1</t>
  </si>
  <si>
    <t>Porprismacovirus bovas2</t>
  </si>
  <si>
    <t>Porprismacovirus camas1</t>
  </si>
  <si>
    <t>Porprismacovirus camas2</t>
  </si>
  <si>
    <t>Porprismacovirus camas3</t>
  </si>
  <si>
    <t>Porprismacovirus camas4</t>
  </si>
  <si>
    <t>Porprismacovirus capas1</t>
  </si>
  <si>
    <t>Porprismacovirus chicas1</t>
  </si>
  <si>
    <t>Porprismacovirus chicas2</t>
  </si>
  <si>
    <t>Porprismacovirus chicas3</t>
  </si>
  <si>
    <t>Porprismacovirus chicas4</t>
  </si>
  <si>
    <t>Porprismacovirus chicas5</t>
  </si>
  <si>
    <t>Porprismacovirus chicas6</t>
  </si>
  <si>
    <t>Porprismacovirus chicas7</t>
  </si>
  <si>
    <t>Porprismacovirus chimas1</t>
  </si>
  <si>
    <t>Porprismacovirus chimas2</t>
  </si>
  <si>
    <t>Porprismacovirus flas1</t>
  </si>
  <si>
    <t>Porprismacovirus goas1</t>
  </si>
  <si>
    <t>Porprismacovirus goras1</t>
  </si>
  <si>
    <t>Porprismacovirus howas1</t>
  </si>
  <si>
    <t>Porprismacovirus humas1</t>
  </si>
  <si>
    <t>Porprismacovirus humas2</t>
  </si>
  <si>
    <t>Porprismacovirus humas3</t>
  </si>
  <si>
    <t>Porprismacovirus humas4</t>
  </si>
  <si>
    <t>Porprismacovirus lemas1</t>
  </si>
  <si>
    <t>Porprismacovirus leo1</t>
  </si>
  <si>
    <t>Porprismacovirus lynas2</t>
  </si>
  <si>
    <t>Porprismacovirus macas1</t>
  </si>
  <si>
    <t>Porprismacovirus macas2</t>
  </si>
  <si>
    <t>Porprismacovirus macas3</t>
  </si>
  <si>
    <t>Porprismacovirus macas4</t>
  </si>
  <si>
    <t>Porprismacovirus macas5</t>
  </si>
  <si>
    <t>Porprismacovirus macas6</t>
  </si>
  <si>
    <t>Porprismacovirus malbas1</t>
  </si>
  <si>
    <t>Porprismacovirus peafo1</t>
  </si>
  <si>
    <t>Porprismacovirus porci1</t>
  </si>
  <si>
    <t>Porprismacovirus porci2</t>
  </si>
  <si>
    <t>Porprismacovirus porci3</t>
  </si>
  <si>
    <t>Porprismacovirus porci4</t>
  </si>
  <si>
    <t>Porprismacovirus porci5</t>
  </si>
  <si>
    <t>Porprismacovirus porci6</t>
  </si>
  <si>
    <t>Porprismacovirus porci7</t>
  </si>
  <si>
    <t>Porprismacovirus porci8</t>
  </si>
  <si>
    <t>Porprismacovirus porci9</t>
  </si>
  <si>
    <t>Porprismacovirus porci10</t>
  </si>
  <si>
    <t>Porprismacovirus porci11</t>
  </si>
  <si>
    <t>Porprismacovirus porci12</t>
  </si>
  <si>
    <t>Porprismacovirus porci13</t>
  </si>
  <si>
    <t>Porprismacovirus porci14</t>
  </si>
  <si>
    <t>Porprismacovirus porci15</t>
  </si>
  <si>
    <t>Porprismacovirus porci16</t>
  </si>
  <si>
    <t>Porprismacovirus porci17</t>
  </si>
  <si>
    <t>Porprismacovirus porci18</t>
  </si>
  <si>
    <t>Porprismacovirus porci19</t>
  </si>
  <si>
    <t>Porprismacovirus porci20</t>
  </si>
  <si>
    <t>Porprismacovirus ratas1</t>
  </si>
  <si>
    <t>Porprismacovirus sheas1</t>
  </si>
  <si>
    <t>Porprismacovirus sheas2</t>
  </si>
  <si>
    <t>Porprismacovirus sheas3</t>
  </si>
  <si>
    <t>Porprismacovirus turas1</t>
  </si>
  <si>
    <t>Simismacovirus</t>
  </si>
  <si>
    <t>Simismacovirus malbas1</t>
  </si>
  <si>
    <t>Simismacovirus malbas2</t>
  </si>
  <si>
    <t>Metaxyviridae</t>
  </si>
  <si>
    <t>Cofodevirus</t>
  </si>
  <si>
    <t>Citlodavirus</t>
  </si>
  <si>
    <t>Maldovirus</t>
  </si>
  <si>
    <t>Mulcrilevirus</t>
  </si>
  <si>
    <t>Opunvirus</t>
  </si>
  <si>
    <t>Topilevirus</t>
  </si>
  <si>
    <t>Gemycircularvirus abati1</t>
  </si>
  <si>
    <t>Gemycircularvirus alces1</t>
  </si>
  <si>
    <t>Gemycircularvirus alces2</t>
  </si>
  <si>
    <t>Gemycircularvirus ansal1</t>
  </si>
  <si>
    <t>Gemycircularvirus aspar1</t>
  </si>
  <si>
    <t>Gemycircularvirus austro1</t>
  </si>
  <si>
    <t>Gemycircularvirus austro2</t>
  </si>
  <si>
    <t>Gemycircularvirus austro3</t>
  </si>
  <si>
    <t>Gemycircularvirus austro4</t>
  </si>
  <si>
    <t>Gemycircularvirus austro5</t>
  </si>
  <si>
    <t>Gemycircularvirus austro6</t>
  </si>
  <si>
    <t>Gemycircularvirus bemta1</t>
  </si>
  <si>
    <t>Gemycircularvirus blabi1</t>
  </si>
  <si>
    <t>Gemycircularvirus bovas1</t>
  </si>
  <si>
    <t>Gemycircularvirus bromas1</t>
  </si>
  <si>
    <t>Gemycircularvirus canlup1</t>
  </si>
  <si>
    <t>Gemycircularvirus cassa1</t>
  </si>
  <si>
    <t>Gemycircularvirus chicas1</t>
  </si>
  <si>
    <t>Gemycircularvirus chicas2</t>
  </si>
  <si>
    <t>Gemycircularvirus chickad1</t>
  </si>
  <si>
    <t>Gemycircularvirus citas1</t>
  </si>
  <si>
    <t>Gemycircularvirus cybusi1</t>
  </si>
  <si>
    <t>Gemycircularvirus denbre1</t>
  </si>
  <si>
    <t>Gemycircularvirus denbre2</t>
  </si>
  <si>
    <t>Gemycircularvirus denbre3</t>
  </si>
  <si>
    <t>Gemycircularvirus denbre4</t>
  </si>
  <si>
    <t>Gemycircularvirus denpo1</t>
  </si>
  <si>
    <t>Gemycircularvirus derva1</t>
  </si>
  <si>
    <t>Gemycircularvirus dichism1</t>
  </si>
  <si>
    <t>Gemycircularvirus draga1</t>
  </si>
  <si>
    <t>Gemycircularvirus echiam1</t>
  </si>
  <si>
    <t>Gemycircularvirus equas1</t>
  </si>
  <si>
    <t>Gemycircularvirus erati1</t>
  </si>
  <si>
    <t>Gemycircularvirus euhet1</t>
  </si>
  <si>
    <t>Gemycircularvirus furse1</t>
  </si>
  <si>
    <t>Gemycircularvirus geras1</t>
  </si>
  <si>
    <t>Gemycircularvirus geras2</t>
  </si>
  <si>
    <t>Gemycircularvirus geras3</t>
  </si>
  <si>
    <t>Gemycircularvirus giapa1</t>
  </si>
  <si>
    <t>Gemycircularvirus giapa2</t>
  </si>
  <si>
    <t>Gemycircularvirus giapa3</t>
  </si>
  <si>
    <t>Gemycircularvirus giapa4</t>
  </si>
  <si>
    <t>Gemycircularvirus giapa5</t>
  </si>
  <si>
    <t>Gemycircularvirus giapa6</t>
  </si>
  <si>
    <t>Gemycircularvirus giapa7</t>
  </si>
  <si>
    <t>Gemycircularvirus giapa8</t>
  </si>
  <si>
    <t>Gemycircularvirus gopha1</t>
  </si>
  <si>
    <t>Gemycircularvirus gopha2</t>
  </si>
  <si>
    <t>Gemycircularvirus gopha3</t>
  </si>
  <si>
    <t>Gemycircularvirus hadtis1</t>
  </si>
  <si>
    <t>Gemycircularvirus haeme1</t>
  </si>
  <si>
    <t>Gemycircularvirus haeme2</t>
  </si>
  <si>
    <t>Gemycircularvirus hydro1</t>
  </si>
  <si>
    <t>Gemycircularvirus hypas1</t>
  </si>
  <si>
    <t>Gemycircularvirus ixode1</t>
  </si>
  <si>
    <t>Gemycircularvirus lamas1</t>
  </si>
  <si>
    <t>Gemycircularvirus lebec1</t>
  </si>
  <si>
    <t>Gemycircularvirus legle1</t>
  </si>
  <si>
    <t>Gemycircularvirus lepa2</t>
  </si>
  <si>
    <t>Gemycircularvirus lepam1</t>
  </si>
  <si>
    <t>Gemycircularvirus lepam2</t>
  </si>
  <si>
    <t>Gemycircularvirus lepam3</t>
  </si>
  <si>
    <t>Gemycircularvirus lynca1</t>
  </si>
  <si>
    <t>Gemycircularvirus lynca2</t>
  </si>
  <si>
    <t>Gemycircularvirus lynca3</t>
  </si>
  <si>
    <t>Gemycircularvirus lynca4</t>
  </si>
  <si>
    <t>Gemycircularvirus malas1</t>
  </si>
  <si>
    <t>Gemycircularvirus minio1</t>
  </si>
  <si>
    <t>Gemycircularvirus miniti1</t>
  </si>
  <si>
    <t>Gemycircularvirus miniti2</t>
  </si>
  <si>
    <t>Gemycircularvirus miniti3</t>
  </si>
  <si>
    <t>Gemycircularvirus miniti4</t>
  </si>
  <si>
    <t>Gemycircularvirus minti6</t>
  </si>
  <si>
    <t>Gemycircularvirus mocha1</t>
  </si>
  <si>
    <t>Gemycircularvirus monas1</t>
  </si>
  <si>
    <t>Gemycircularvirus mosqi1</t>
  </si>
  <si>
    <t>Gemycircularvirus mouti1</t>
  </si>
  <si>
    <t>Gemycircularvirus mouti2</t>
  </si>
  <si>
    <t>Gemycircularvirus mouti3</t>
  </si>
  <si>
    <t>Gemycircularvirus mouti4</t>
  </si>
  <si>
    <t>Gemycircularvirus mouti5</t>
  </si>
  <si>
    <t>Gemycircularvirus mouti6</t>
  </si>
  <si>
    <t>Gemycircularvirus mouti7</t>
  </si>
  <si>
    <t>Gemycircularvirus mouti8</t>
  </si>
  <si>
    <t>Gemycircularvirus mouti9</t>
  </si>
  <si>
    <t>Gemycircularvirus mouti10</t>
  </si>
  <si>
    <t>Gemycircularvirus mouti11</t>
  </si>
  <si>
    <t>Gemycircularvirus mouti12</t>
  </si>
  <si>
    <t>Gemycircularvirus odona1</t>
  </si>
  <si>
    <t>Gemycircularvirus odona2</t>
  </si>
  <si>
    <t>Gemycircularvirus oltre1</t>
  </si>
  <si>
    <t>Gemycircularvirus opunt1</t>
  </si>
  <si>
    <t>Gemycircularvirus oxcor1</t>
  </si>
  <si>
    <t>Gemycircularvirus pleca1</t>
  </si>
  <si>
    <t>Gemycircularvirus poass1</t>
  </si>
  <si>
    <t>Gemycircularvirus porci1</t>
  </si>
  <si>
    <t>Gemycircularvirus porci2</t>
  </si>
  <si>
    <t>Gemycircularvirus ptero1</t>
  </si>
  <si>
    <t>Gemycircularvirus ptero2</t>
  </si>
  <si>
    <t>Gemycircularvirus ptero3</t>
  </si>
  <si>
    <t>Gemycircularvirus ptero4</t>
  </si>
  <si>
    <t>Gemycircularvirus ptero5</t>
  </si>
  <si>
    <t>Gemycircularvirus ptero6</t>
  </si>
  <si>
    <t>Gemycircularvirus ptero7</t>
  </si>
  <si>
    <t>Gemycircularvirus ptero8</t>
  </si>
  <si>
    <t>Gemycircularvirus ptero9</t>
  </si>
  <si>
    <t>Gemycircularvirus ptero10</t>
  </si>
  <si>
    <t>Gemycircularvirus raski1</t>
  </si>
  <si>
    <t>Gemycircularvirus ratas1</t>
  </si>
  <si>
    <t>Gemycircularvirus rebac1</t>
  </si>
  <si>
    <t>Gemycircularvirus recro1</t>
  </si>
  <si>
    <t>Gemycircularvirus sarpe1</t>
  </si>
  <si>
    <t>Gemycircularvirus sclero1</t>
  </si>
  <si>
    <t>Gemycircularvirus sewopo1</t>
  </si>
  <si>
    <t>Gemycircularvirus sewopo2</t>
  </si>
  <si>
    <t>Gemycircularvirus sewopo3</t>
  </si>
  <si>
    <t>Gemycircularvirus sewopo4</t>
  </si>
  <si>
    <t>Gemycircularvirus sewopo5</t>
  </si>
  <si>
    <t>Gemycircularvirus sheas1</t>
  </si>
  <si>
    <t>Gemycircularvirus siedo1</t>
  </si>
  <si>
    <t>Gemycircularvirus solas1</t>
  </si>
  <si>
    <t>Gemycircularvirus soybe1</t>
  </si>
  <si>
    <t>Gemycircularvirus termi1</t>
  </si>
  <si>
    <t>Gemycircularvirus trilo1</t>
  </si>
  <si>
    <t>Gemycircularvirus turti1</t>
  </si>
  <si>
    <t>Gemycircularvirus willde1</t>
  </si>
  <si>
    <t>Gemyduguivirus arteca1</t>
  </si>
  <si>
    <t>Gemyduguivirus austo1</t>
  </si>
  <si>
    <t>Gemyduguivirus bemta1</t>
  </si>
  <si>
    <t>Gemyduguivirus draga1</t>
  </si>
  <si>
    <t>Gemyduguivirus hydro1</t>
  </si>
  <si>
    <t>Gemyduguivirus hydro2</t>
  </si>
  <si>
    <t>Gemyduguivirus hydro3</t>
  </si>
  <si>
    <t>Gemyduguivirus macra1</t>
  </si>
  <si>
    <t>Gemyduguivirus merre1</t>
  </si>
  <si>
    <t>Gemyduguivirus minti1</t>
  </si>
  <si>
    <t>Gemyduguivirus minti2</t>
  </si>
  <si>
    <t>Gemyduguivirus recro1</t>
  </si>
  <si>
    <t>Gemygorvirus cania1</t>
  </si>
  <si>
    <t>Gemygorvirus hydro1</t>
  </si>
  <si>
    <t>Gemygorvirus malas1</t>
  </si>
  <si>
    <t>Gemygorvirus opunt1</t>
  </si>
  <si>
    <t>Gemygorvirus poaspe1</t>
  </si>
  <si>
    <t>Gemygorvirus ptero1</t>
  </si>
  <si>
    <t>Gemygorvirus sewopo1</t>
  </si>
  <si>
    <t>Gemygorvirus stara1</t>
  </si>
  <si>
    <t>Gemykibivirus abati1</t>
  </si>
  <si>
    <t>Gemykibivirus abati2</t>
  </si>
  <si>
    <t>Gemykibivirus anima1</t>
  </si>
  <si>
    <t>Gemykibivirus badas1</t>
  </si>
  <si>
    <t>Gemykibivirus bemta1</t>
  </si>
  <si>
    <t>Gemykibivirus blabi1</t>
  </si>
  <si>
    <t>Gemykibivirus blaro1</t>
  </si>
  <si>
    <t>Gemykibivirus bovas1</t>
  </si>
  <si>
    <t>Gemykibivirus canfam1</t>
  </si>
  <si>
    <t>Gemykibivirus cowchi1</t>
  </si>
  <si>
    <t>Gemykibivirus cybusi1</t>
  </si>
  <si>
    <t>Gemykibivirus cynas1</t>
  </si>
  <si>
    <t>Gemykibivirus draga1</t>
  </si>
  <si>
    <t>Gemykibivirus echi1</t>
  </si>
  <si>
    <t>Gemykibivirus galga1</t>
  </si>
  <si>
    <t>Gemykibivirus galga2</t>
  </si>
  <si>
    <t>Gemykibivirus galga3</t>
  </si>
  <si>
    <t>Gemykibivirus giapa1</t>
  </si>
  <si>
    <t>Gemykibivirus hadtis1</t>
  </si>
  <si>
    <t>Gemykibivirus haeme1</t>
  </si>
  <si>
    <t>Gemykibivirus haeme2</t>
  </si>
  <si>
    <t>Gemykibivirus haeme3</t>
  </si>
  <si>
    <t>Gemykibivirus haeme4</t>
  </si>
  <si>
    <t>Gemykibivirus haeme5</t>
  </si>
  <si>
    <t>Gemykibivirus hipla1</t>
  </si>
  <si>
    <t>Gemykibivirus humas1</t>
  </si>
  <si>
    <t>Gemykibivirus humas2</t>
  </si>
  <si>
    <t>Gemykibivirus humas3</t>
  </si>
  <si>
    <t>Gemykibivirus humas4</t>
  </si>
  <si>
    <t>Gemykibivirus humas5</t>
  </si>
  <si>
    <t>Gemykibivirus hydro1</t>
  </si>
  <si>
    <t>Gemykibivirus hydro2</t>
  </si>
  <si>
    <t>Gemykibivirus hydro3</t>
  </si>
  <si>
    <t>Gemykibivirus minti1</t>
  </si>
  <si>
    <t>Gemykibivirus monas1</t>
  </si>
  <si>
    <t>Gemykibivirus mouti1</t>
  </si>
  <si>
    <t>Gemykibivirus mouti2</t>
  </si>
  <si>
    <t>Gemykibivirus pitis1</t>
  </si>
  <si>
    <t>Gemykibivirus pitis2</t>
  </si>
  <si>
    <t>Gemykibivirus planta1</t>
  </si>
  <si>
    <t>Gemykibivirus planta2</t>
  </si>
  <si>
    <t>Gemykibivirus ptero1</t>
  </si>
  <si>
    <t>Gemykibivirus raski1</t>
  </si>
  <si>
    <t>Gemykibivirus rhina1</t>
  </si>
  <si>
    <t>Gemykibivirus rhina2</t>
  </si>
  <si>
    <t>Gemykibivirus sewopo1</t>
  </si>
  <si>
    <t>Gemykibivirus sewopo2</t>
  </si>
  <si>
    <t>Gemykibivirus turti1</t>
  </si>
  <si>
    <t>Gemykibivirus waste1</t>
  </si>
  <si>
    <t>Gemykibivirus womot1</t>
  </si>
  <si>
    <t>Gemykolovirus abati1</t>
  </si>
  <si>
    <t>Gemykolovirus citas1</t>
  </si>
  <si>
    <t>Gemykolovirus derva1</t>
  </si>
  <si>
    <t>Gemykolovirus easlu1</t>
  </si>
  <si>
    <t>Gemykolovirus echia1</t>
  </si>
  <si>
    <t>Gemykolovirus gopha1</t>
  </si>
  <si>
    <t>Gemykolovirus gopha2</t>
  </si>
  <si>
    <t>Gemykolovirus hadtis1</t>
  </si>
  <si>
    <t>Gemykolovirus heris1</t>
  </si>
  <si>
    <t>Gemykolovirus lepam1</t>
  </si>
  <si>
    <t>Gemykolovirus poaspe1</t>
  </si>
  <si>
    <t>Gemykolovirus prupe1</t>
  </si>
  <si>
    <t>Gemykolovirus ptero1</t>
  </si>
  <si>
    <t>Gemykolovirus ptero2</t>
  </si>
  <si>
    <t>Gemykolovirus segpa1</t>
  </si>
  <si>
    <t>Gemykolovirus troti1</t>
  </si>
  <si>
    <t>Gemykrogvirus abati1</t>
  </si>
  <si>
    <t>Gemykrogvirus apime1</t>
  </si>
  <si>
    <t>Gemykrogvirus bovas1</t>
  </si>
  <si>
    <t>Gemykrogvirus carib1</t>
  </si>
  <si>
    <t>Gemykrogvirus galga1</t>
  </si>
  <si>
    <t>Gemykrogvirus galga2</t>
  </si>
  <si>
    <t>Gemykrogvirus galga3</t>
  </si>
  <si>
    <t>Gemykrogvirus galga4</t>
  </si>
  <si>
    <t>Gemykrogvirus galga5</t>
  </si>
  <si>
    <t>Gemykrogvirus giapa1</t>
  </si>
  <si>
    <t>Gemykrogvirus hadtis1</t>
  </si>
  <si>
    <t>Gemykrogvirus humas1</t>
  </si>
  <si>
    <t>Gemykrogvirus sewopo1</t>
  </si>
  <si>
    <t>Gemykroznavirus anima1</t>
  </si>
  <si>
    <t>Gemykroznavirus haeme1</t>
  </si>
  <si>
    <t>Gemykroznavirus hydro1</t>
  </si>
  <si>
    <t>Gemykroznavirus poaspe1</t>
  </si>
  <si>
    <t>Gemykroznavirus rabas1</t>
  </si>
  <si>
    <t>Gemykroznavirus solas1</t>
  </si>
  <si>
    <t>Gemykroznavirus zizan1</t>
  </si>
  <si>
    <t>Gemytondvirus ostri1</t>
  </si>
  <si>
    <t>Gemytripvirus</t>
  </si>
  <si>
    <t>Gemytripvirus fugra1</t>
  </si>
  <si>
    <t>Gemyvongvirus humas1</t>
  </si>
  <si>
    <t>Gemyvongvirus minit1</t>
  </si>
  <si>
    <t>Gemyvongvirus minit2</t>
  </si>
  <si>
    <t>Rubivirus rubellae</t>
  </si>
  <si>
    <t>Rubivirus ruteetense</t>
  </si>
  <si>
    <t>Rubivirus strelense</t>
  </si>
  <si>
    <t>Acarallexivirus</t>
  </si>
  <si>
    <t>Leviviricetes</t>
  </si>
  <si>
    <t>Norzivirales</t>
  </si>
  <si>
    <t>Atkinsviridae</t>
  </si>
  <si>
    <t>Andhevirus</t>
  </si>
  <si>
    <t>Andhevirus chorohabitans</t>
  </si>
  <si>
    <t>Apihcavirus</t>
  </si>
  <si>
    <t>Apihcavirus arvenecus</t>
  </si>
  <si>
    <t>Apihcavirus borborovicinum</t>
  </si>
  <si>
    <t>Arihsbuvirus</t>
  </si>
  <si>
    <t>Arihsbuvirus caenadaptatum</t>
  </si>
  <si>
    <t>Bahdevuvirus</t>
  </si>
  <si>
    <t>Bahdevuvirus caenivivens</t>
  </si>
  <si>
    <t>Bahdevuvirus limadaptatum</t>
  </si>
  <si>
    <t>Bilifuvirus</t>
  </si>
  <si>
    <t>Bilifuvirus defluviicola</t>
  </si>
  <si>
    <t>Blinduvirus</t>
  </si>
  <si>
    <t>Blinduvirus asiadaptatum</t>
  </si>
  <si>
    <t>Blinduvirus terrihabitans</t>
  </si>
  <si>
    <t>Cahtebovirus</t>
  </si>
  <si>
    <t>Cahtebovirus humivicinum</t>
  </si>
  <si>
    <t>Chinihovirus</t>
  </si>
  <si>
    <t>Chinihovirus lutihabitans</t>
  </si>
  <si>
    <t>Chounavirus</t>
  </si>
  <si>
    <t>Chounavirus chorenecus</t>
  </si>
  <si>
    <t>Cihsnivirus</t>
  </si>
  <si>
    <t>Cihsnivirus pelenecus</t>
  </si>
  <si>
    <t>Diydovirus</t>
  </si>
  <si>
    <t>Diydovirus borborovicinum</t>
  </si>
  <si>
    <t>Dugnivirus</t>
  </si>
  <si>
    <t>Dugnivirus chthonadaptatum</t>
  </si>
  <si>
    <t>Dugnivirus solivicinum</t>
  </si>
  <si>
    <t>Dugnivirus solivivens</t>
  </si>
  <si>
    <t>Firunevirus</t>
  </si>
  <si>
    <t>Firunevirus limicola</t>
  </si>
  <si>
    <t>Gohshovirus</t>
  </si>
  <si>
    <t>Gohshovirus asiadaptatum</t>
  </si>
  <si>
    <t>Hehspivirus</t>
  </si>
  <si>
    <t>Hehspivirus edaphadaptatum</t>
  </si>
  <si>
    <t>Helacdivirus</t>
  </si>
  <si>
    <t>Helacdivirus borborovicinum</t>
  </si>
  <si>
    <t>Hirvovirus</t>
  </si>
  <si>
    <t>Hirvovirus caenivicinum</t>
  </si>
  <si>
    <t>Huhmpluvirus</t>
  </si>
  <si>
    <t>Huhmpluvirus limenecus</t>
  </si>
  <si>
    <t>Huleruivirus</t>
  </si>
  <si>
    <t>Huleruivirus geocola</t>
  </si>
  <si>
    <t>Hysdruvirus</t>
  </si>
  <si>
    <t>Hysdruvirus geovivens</t>
  </si>
  <si>
    <t>Hysdruvirus telluradaptatum</t>
  </si>
  <si>
    <t>Hysdruvirus tellurenecus</t>
  </si>
  <si>
    <t>Hysdruvirus telluricola</t>
  </si>
  <si>
    <t>Hysdruvirus tellurihabitans</t>
  </si>
  <si>
    <t>Hysdruvirus tellurivicinum</t>
  </si>
  <si>
    <t>Ichonovirus</t>
  </si>
  <si>
    <t>Ichonovirus limivicinum</t>
  </si>
  <si>
    <t>Isoihlovirus</t>
  </si>
  <si>
    <t>Isoihlovirus terrihabitans</t>
  </si>
  <si>
    <t>Kempsvovirus</t>
  </si>
  <si>
    <t>Kempsvovirus caenivivens</t>
  </si>
  <si>
    <t>Kihrivirus</t>
  </si>
  <si>
    <t>Kihrivirus limicola</t>
  </si>
  <si>
    <t>Kimihcavirus</t>
  </si>
  <si>
    <t>Kimihcavirus limivivens</t>
  </si>
  <si>
    <t>Kudohovirus</t>
  </si>
  <si>
    <t>Kudohovirus pelocola</t>
  </si>
  <si>
    <t>Kuhfotivirus</t>
  </si>
  <si>
    <t>Kuhfotivirus pelohabitans</t>
  </si>
  <si>
    <t>Lahcomavirus</t>
  </si>
  <si>
    <t>Lahcomavirus asienecus</t>
  </si>
  <si>
    <t>Lobdovirus</t>
  </si>
  <si>
    <t>Lobdovirus arvadaptatum</t>
  </si>
  <si>
    <t>Lobdovirus arvenecus</t>
  </si>
  <si>
    <t>Lobdovirus arvicola</t>
  </si>
  <si>
    <t>Lobdovirus chorovicinum</t>
  </si>
  <si>
    <t>Lobdovirus chorovivens</t>
  </si>
  <si>
    <t>Madisduvirus</t>
  </si>
  <si>
    <t>Madisduvirus caenivivens</t>
  </si>
  <si>
    <t>Mitdiwavirus</t>
  </si>
  <si>
    <t>Mitdiwavirus asiocola</t>
  </si>
  <si>
    <t>Moloevirus</t>
  </si>
  <si>
    <t>Moloevirus chthonenecus</t>
  </si>
  <si>
    <t>Monekavirus</t>
  </si>
  <si>
    <t>Monekavirus asiovivens</t>
  </si>
  <si>
    <t>Neratovirus</t>
  </si>
  <si>
    <t>Neratovirus caenihabitans</t>
  </si>
  <si>
    <t>Niginuvirus</t>
  </si>
  <si>
    <t>Niginuvirus limadaptatum</t>
  </si>
  <si>
    <t>Pagohnivirus</t>
  </si>
  <si>
    <t>Pagohnivirus humenecus</t>
  </si>
  <si>
    <t>Pihngevirus</t>
  </si>
  <si>
    <t>Pihngevirus agrivivens</t>
  </si>
  <si>
    <t>Pihngevirus choradaptatum</t>
  </si>
  <si>
    <t>Pihngevirus chorocola</t>
  </si>
  <si>
    <t>Pohlydovirus</t>
  </si>
  <si>
    <t>Pohlydovirus arvivicinum</t>
  </si>
  <si>
    <t>Pohlydovirus arvivivens</t>
  </si>
  <si>
    <t>Psoetuvirus</t>
  </si>
  <si>
    <t>Psoetuvirus pedenecus</t>
  </si>
  <si>
    <t>Scloravirus</t>
  </si>
  <si>
    <t>Scloravirus humicola</t>
  </si>
  <si>
    <t>Sdribtuvirus</t>
  </si>
  <si>
    <t>Sdribtuvirus humivicinum</t>
  </si>
  <si>
    <t>Stupavirus</t>
  </si>
  <si>
    <t>Stupavirus arvadaptatum</t>
  </si>
  <si>
    <t>Stupavirus chorovivens</t>
  </si>
  <si>
    <t>Wahbolevirus</t>
  </si>
  <si>
    <t>Wahbolevirus lutadaptatum</t>
  </si>
  <si>
    <t>Wecineivirus</t>
  </si>
  <si>
    <t>Wecineivirus lutihabitans</t>
  </si>
  <si>
    <t>Whodehavirus</t>
  </si>
  <si>
    <t>Whodehavirus pelovicinum</t>
  </si>
  <si>
    <t>Wulosvivirus</t>
  </si>
  <si>
    <t>Wulosvivirus asiocola</t>
  </si>
  <si>
    <t>Yekorevirus</t>
  </si>
  <si>
    <t>Yekorevirus terrivivens</t>
  </si>
  <si>
    <t>Yeshinuvirus</t>
  </si>
  <si>
    <t>Yeshinuvirus humadaptatum</t>
  </si>
  <si>
    <t>Yeshinuvirus humicola</t>
  </si>
  <si>
    <t>Duinviridae</t>
  </si>
  <si>
    <t>Apeevirus</t>
  </si>
  <si>
    <t>Apeevirus quebecense</t>
  </si>
  <si>
    <t>Beshanovirus</t>
  </si>
  <si>
    <t>Beshanovirus aquicola</t>
  </si>
  <si>
    <t>Kahshuvirus</t>
  </si>
  <si>
    <t>Kahshuvirus borborenecus</t>
  </si>
  <si>
    <t>Kohmavirus</t>
  </si>
  <si>
    <t>Kohmavirus luticola</t>
  </si>
  <si>
    <t>Samuneavirus</t>
  </si>
  <si>
    <t>Samuneavirus asiocola</t>
  </si>
  <si>
    <t>Tehuhdavirus</t>
  </si>
  <si>
    <t>Tehuhdavirus pelovivens</t>
  </si>
  <si>
    <t>Fiersviridae</t>
  </si>
  <si>
    <t>Amubhivirus</t>
  </si>
  <si>
    <t>Amubhivirus agrivicinum</t>
  </si>
  <si>
    <t>Andhasavirus</t>
  </si>
  <si>
    <t>Andhasavirus agrivivens</t>
  </si>
  <si>
    <t>Andhasavirus borborocola</t>
  </si>
  <si>
    <t>Andhaxevirus</t>
  </si>
  <si>
    <t>Andhaxevirus choradaptatum</t>
  </si>
  <si>
    <t>Andhaxevirus chorenecus</t>
  </si>
  <si>
    <t>Andhaxevirus chorocola</t>
  </si>
  <si>
    <t>Ashucavirus</t>
  </si>
  <si>
    <t>Ashucavirus caenicola</t>
  </si>
  <si>
    <t>Ashucavirus caenihabitans</t>
  </si>
  <si>
    <t>Ashucavirus caenivicinum</t>
  </si>
  <si>
    <t>Bahscuvirus</t>
  </si>
  <si>
    <t>Bahscuvirus limivicinum</t>
  </si>
  <si>
    <t>Behevivirus</t>
  </si>
  <si>
    <t>Behevivirus limivivens</t>
  </si>
  <si>
    <t>Behlfluvirus</t>
  </si>
  <si>
    <t>Behlfluvirus lutadaptatum</t>
  </si>
  <si>
    <t>Bihdovirus</t>
  </si>
  <si>
    <t>Bihdovirus pelohabitans</t>
  </si>
  <si>
    <t>Bisdanovirus</t>
  </si>
  <si>
    <t>Bisdanovirus hydrocola</t>
  </si>
  <si>
    <t>Blafavirus</t>
  </si>
  <si>
    <t>Blafavirus pelovivens</t>
  </si>
  <si>
    <t>Bohnovirus</t>
  </si>
  <si>
    <t>Bohnovirus asienecus</t>
  </si>
  <si>
    <t>Bohwovirus</t>
  </si>
  <si>
    <t>Bohwovirus asiocola</t>
  </si>
  <si>
    <t>Boschuvirus</t>
  </si>
  <si>
    <t>Boschuvirus borborocola</t>
  </si>
  <si>
    <t>Breudwovirus</t>
  </si>
  <si>
    <t>Breudwovirus borborohabitans</t>
  </si>
  <si>
    <t>Buhdavirus</t>
  </si>
  <si>
    <t>Buhdavirus caenihabitans</t>
  </si>
  <si>
    <t>Cahdavirus</t>
  </si>
  <si>
    <t>Cahdavirus humicola</t>
  </si>
  <si>
    <t>Cahrpivirus</t>
  </si>
  <si>
    <t>Cahrpivirus caenivivens</t>
  </si>
  <si>
    <t>Cahrpivirus humenecus</t>
  </si>
  <si>
    <t>Caloevirus</t>
  </si>
  <si>
    <t>Caloevirus agradaptatum</t>
  </si>
  <si>
    <t>Caloevirus humivivens</t>
  </si>
  <si>
    <t>Cauhldivirus</t>
  </si>
  <si>
    <t>Cauhldivirus limadaptatum</t>
  </si>
  <si>
    <t>Cauhldivirus limenecus</t>
  </si>
  <si>
    <t>Cauhldivirus limicola</t>
  </si>
  <si>
    <t>Cehakivirus</t>
  </si>
  <si>
    <t>Cehakivirus limihabitans</t>
  </si>
  <si>
    <t>Chaedoavirus</t>
  </si>
  <si>
    <t>Chaedoavirus insecticola</t>
  </si>
  <si>
    <t>Chahsmivirus</t>
  </si>
  <si>
    <t>Chahsmivirus agrivicinum</t>
  </si>
  <si>
    <t>Chahsmivirus agrivivens</t>
  </si>
  <si>
    <t>Chahsmivirus choradaptatum</t>
  </si>
  <si>
    <t>Chahsmivirus limivicinum</t>
  </si>
  <si>
    <t>Chahsmivirus limivivens</t>
  </si>
  <si>
    <t>Chahsmivirus lutadaptatum</t>
  </si>
  <si>
    <t>Chihyovirus</t>
  </si>
  <si>
    <t>Chihyovirus lutenecus</t>
  </si>
  <si>
    <t>Chobevirus</t>
  </si>
  <si>
    <t>Chobevirus lutivicinum</t>
  </si>
  <si>
    <t>Choctavirus</t>
  </si>
  <si>
    <t>Choctavirus fulminicola</t>
  </si>
  <si>
    <t>Cintrevirus</t>
  </si>
  <si>
    <t>Cintrevirus pelocola</t>
  </si>
  <si>
    <t>Cunavirus</t>
  </si>
  <si>
    <t>Cunavirus pretoriense</t>
  </si>
  <si>
    <t>Dahmuvirus</t>
  </si>
  <si>
    <t>Dahmuvirus insecticola</t>
  </si>
  <si>
    <t>Darnbovirus</t>
  </si>
  <si>
    <t>Darnbovirus asiadaptatum</t>
  </si>
  <si>
    <t>Decadevirus</t>
  </si>
  <si>
    <t>Decadevirus asienecus</t>
  </si>
  <si>
    <t>Decadevirus asiocola</t>
  </si>
  <si>
    <t>Denfovirus</t>
  </si>
  <si>
    <t>Denfovirus borborenecus</t>
  </si>
  <si>
    <t>Depandovirus</t>
  </si>
  <si>
    <t>Depandovirus solicola</t>
  </si>
  <si>
    <t>Dihsdivirus</t>
  </si>
  <si>
    <t>Dihsdivirus solenecus</t>
  </si>
  <si>
    <t>Dohlivirus</t>
  </si>
  <si>
    <t>Dohlivirus borborovivens</t>
  </si>
  <si>
    <t>Dosmizivirus</t>
  </si>
  <si>
    <t>Dosmizivirus solihabitans</t>
  </si>
  <si>
    <t>Duhcivirus</t>
  </si>
  <si>
    <t>Duhcivirus defluviicola</t>
  </si>
  <si>
    <t>Emesvirus</t>
  </si>
  <si>
    <t>Emesvirus japonicum</t>
  </si>
  <si>
    <t>Emesvirus piscicola</t>
  </si>
  <si>
    <t>Emesvirus zinderi</t>
  </si>
  <si>
    <t>Empivirus</t>
  </si>
  <si>
    <t>Empivirus allolyticum</t>
  </si>
  <si>
    <t>Fagihyuvirus</t>
  </si>
  <si>
    <t>Fagihyuvirus caenivicinum</t>
  </si>
  <si>
    <t>Fiyodovirus</t>
  </si>
  <si>
    <t>Fiyodovirus limihabitans</t>
  </si>
  <si>
    <t>Gahlovirus</t>
  </si>
  <si>
    <t>Gahlovirus lutihabitans</t>
  </si>
  <si>
    <t>Garovuvirus</t>
  </si>
  <si>
    <t>Garovuvirus peladaptatum</t>
  </si>
  <si>
    <t>Gehnevirus</t>
  </si>
  <si>
    <t>Gehnevirus pelenecus</t>
  </si>
  <si>
    <t>Glyciruvirus</t>
  </si>
  <si>
    <t>Glyciruvirus geovicinum</t>
  </si>
  <si>
    <t>Glyciruvirus geovivens</t>
  </si>
  <si>
    <t>Gmuhndevirus</t>
  </si>
  <si>
    <t>Gmuhndevirus pelovivens</t>
  </si>
  <si>
    <t>Gorodievirus</t>
  </si>
  <si>
    <t>Gorodievirus telluradaptatum</t>
  </si>
  <si>
    <t>Grendvuvirus</t>
  </si>
  <si>
    <t>Grendvuvirus asiocola</t>
  </si>
  <si>
    <t>Gunawavirus</t>
  </si>
  <si>
    <t>Gunawavirus borboradaptatum</t>
  </si>
  <si>
    <t>Hagavirus</t>
  </si>
  <si>
    <t>Hagavirus psychrophilum</t>
  </si>
  <si>
    <t>Hahdsevirus</t>
  </si>
  <si>
    <t>Hahdsevirus borborenecus</t>
  </si>
  <si>
    <t>Halcalevirus</t>
  </si>
  <si>
    <t>Halcalevirus arvivivens</t>
  </si>
  <si>
    <t>Hihdivirus</t>
  </si>
  <si>
    <t>Hihdivirus caenenecus</t>
  </si>
  <si>
    <t>Hihdivirus caenicola</t>
  </si>
  <si>
    <t>Hukohnovirus</t>
  </si>
  <si>
    <t>Hukohnovirus limicola</t>
  </si>
  <si>
    <t>Icumivirus</t>
  </si>
  <si>
    <t>Icumivirus limivivens</t>
  </si>
  <si>
    <t>Ideskevirus</t>
  </si>
  <si>
    <t>Ideskevirus lutadaptatum</t>
  </si>
  <si>
    <t>Imeberivirus</t>
  </si>
  <si>
    <t>Imeberivirus lutenecus</t>
  </si>
  <si>
    <t>Imeberivirus luticola</t>
  </si>
  <si>
    <t>Ineyimevirus</t>
  </si>
  <si>
    <t>Ineyimevirus lutihabitans</t>
  </si>
  <si>
    <t>Ineyimevirus lutivicinum</t>
  </si>
  <si>
    <t>Iruqauvirus</t>
  </si>
  <si>
    <t>Iruqauvirus pelocola</t>
  </si>
  <si>
    <t>Ishugivirus</t>
  </si>
  <si>
    <t>Ishugivirus pelohabitans</t>
  </si>
  <si>
    <t>Jiesduavirus</t>
  </si>
  <si>
    <t>Jiesduavirus defluviicola</t>
  </si>
  <si>
    <t>Johnovirus</t>
  </si>
  <si>
    <t>Johnovirus asienecus</t>
  </si>
  <si>
    <t>Jupbevirus</t>
  </si>
  <si>
    <t>Jupbevirus asiocola</t>
  </si>
  <si>
    <t>Jupbevirus asiohabitans</t>
  </si>
  <si>
    <t>Kahfsdivirus</t>
  </si>
  <si>
    <t>Kahfsdivirus asiovicinum</t>
  </si>
  <si>
    <t>Keghovirus</t>
  </si>
  <si>
    <t>Keghovirus borborovivens</t>
  </si>
  <si>
    <t>Keghovirus caenadaptatum</t>
  </si>
  <si>
    <t>Kehmevirus</t>
  </si>
  <si>
    <t>Kehmevirus caenenecus</t>
  </si>
  <si>
    <t>Kemicevirus</t>
  </si>
  <si>
    <t>Kemicevirus caenicola</t>
  </si>
  <si>
    <t>Kemicevirus caenihabitans</t>
  </si>
  <si>
    <t>Kihryuvirus</t>
  </si>
  <si>
    <t>Kihryuvirus limihabitans</t>
  </si>
  <si>
    <t>Kirnavirus</t>
  </si>
  <si>
    <t>Kirnavirus lutenecus</t>
  </si>
  <si>
    <t>Kiwsmaevirus</t>
  </si>
  <si>
    <t>Kiwsmaevirus defluviicola</t>
  </si>
  <si>
    <t>Konkivirus</t>
  </si>
  <si>
    <t>Konkivirus lutihabitans</t>
  </si>
  <si>
    <t>Kowinovirus</t>
  </si>
  <si>
    <t>Kowinovirus pelenecus</t>
  </si>
  <si>
    <t>Kuhshuvirus</t>
  </si>
  <si>
    <t>Kuhshuvirus pelovicinum</t>
  </si>
  <si>
    <t>Lohmavirus</t>
  </si>
  <si>
    <t>Lohmavirus borborovivens</t>
  </si>
  <si>
    <t>Loslovirus</t>
  </si>
  <si>
    <t>Loslovirus caenicola</t>
  </si>
  <si>
    <t>Luthavirus</t>
  </si>
  <si>
    <t>Luthavirus edaphovicinum</t>
  </si>
  <si>
    <t>Luthavirus edaphovivens</t>
  </si>
  <si>
    <t>Luthavirus pedadaptatum</t>
  </si>
  <si>
    <t>Mahqeavirus</t>
  </si>
  <si>
    <t>Mahqeavirus limicola</t>
  </si>
  <si>
    <t>Mahqeavirus limihabitans</t>
  </si>
  <si>
    <t>Mahraivirus</t>
  </si>
  <si>
    <t>Mahraivirus limivicinum</t>
  </si>
  <si>
    <t>Manrohovirus</t>
  </si>
  <si>
    <t>Manrohovirus lutadaptatum</t>
  </si>
  <si>
    <t>Martavirus</t>
  </si>
  <si>
    <t>Martavirus lutenecus</t>
  </si>
  <si>
    <t>Meblowovirus</t>
  </si>
  <si>
    <t>Meblowovirus defluviicola</t>
  </si>
  <si>
    <t>Mehraxmevirus</t>
  </si>
  <si>
    <t>Mehraxmevirus pedohabitans</t>
  </si>
  <si>
    <t>Mekintivirus</t>
  </si>
  <si>
    <t>Mekintivirus lutihabitans</t>
  </si>
  <si>
    <t>Methovirus</t>
  </si>
  <si>
    <t>Methovirus lutivicinum</t>
  </si>
  <si>
    <t>Mihkrovirus</t>
  </si>
  <si>
    <t>Mihkrovirus pedovicinum</t>
  </si>
  <si>
    <t>Mihkrovirus pedovivens</t>
  </si>
  <si>
    <t>Mihkrovirus peladaptatum</t>
  </si>
  <si>
    <t>Mihkrovirus pelenecus</t>
  </si>
  <si>
    <t>Mihkrovirus pelocola</t>
  </si>
  <si>
    <t>Mihkrovirus soladaptatum</t>
  </si>
  <si>
    <t>Mihkrovirus solenecus</t>
  </si>
  <si>
    <t>Mihkrovirus solicola</t>
  </si>
  <si>
    <t>Mintuvirus</t>
  </si>
  <si>
    <t>Mintuvirus asiadaptatum</t>
  </si>
  <si>
    <t>Mintuvirus asienecus</t>
  </si>
  <si>
    <t>Mintuvirus pelovivens</t>
  </si>
  <si>
    <t>Muyegivirus</t>
  </si>
  <si>
    <t>Muyegivirus borborenecus</t>
  </si>
  <si>
    <t>Nadsecevirus</t>
  </si>
  <si>
    <t>Nadsecevirus borborocola</t>
  </si>
  <si>
    <t>Niankuvirus</t>
  </si>
  <si>
    <t>Niankuvirus caenivicinum</t>
  </si>
  <si>
    <t>Niuhvovirus</t>
  </si>
  <si>
    <t>Niuhvovirus limivicinum</t>
  </si>
  <si>
    <t>Niuhvovirus limivivens</t>
  </si>
  <si>
    <t>Oceshuvirus</t>
  </si>
  <si>
    <t>Oceshuvirus lutenecus</t>
  </si>
  <si>
    <t>Olmsdivirus</t>
  </si>
  <si>
    <t>Olmsdivirus lutivivens</t>
  </si>
  <si>
    <t>Omohevirus</t>
  </si>
  <si>
    <t>Omohevirus peladaptatum</t>
  </si>
  <si>
    <t>Onohmuvirus</t>
  </si>
  <si>
    <t>Onohmuvirus pelenecus</t>
  </si>
  <si>
    <t>Opdykovirus</t>
  </si>
  <si>
    <t>Opdykovirus pelocola</t>
  </si>
  <si>
    <t>Owenocuvirus</t>
  </si>
  <si>
    <t>Owenocuvirus pelohabitans</t>
  </si>
  <si>
    <t>Oxychlovirus</t>
  </si>
  <si>
    <t>Oxychlovirus humadaptatum</t>
  </si>
  <si>
    <t>Oxychlovirus terrenecus</t>
  </si>
  <si>
    <t>Oxychlovirus terricola</t>
  </si>
  <si>
    <t>Oxychlovirus terrihabitans</t>
  </si>
  <si>
    <t>Oxychlovirus terrivicinum</t>
  </si>
  <si>
    <t>Oxychlovirus terrivivens</t>
  </si>
  <si>
    <t>Palsdevirus</t>
  </si>
  <si>
    <t>Palsdevirus asienecus</t>
  </si>
  <si>
    <t>Paysduvirus</t>
  </si>
  <si>
    <t>Paysduvirus asiocola</t>
  </si>
  <si>
    <t>Pehohrivirus</t>
  </si>
  <si>
    <t>Pehohrivirus asiohabitans</t>
  </si>
  <si>
    <t>Pehohrivirus asiovicinum</t>
  </si>
  <si>
    <t>Pehsaduvirus</t>
  </si>
  <si>
    <t>Pehsaduvirus asiovivens</t>
  </si>
  <si>
    <t>Pepevirus</t>
  </si>
  <si>
    <t>Pepevirus rubrum</t>
  </si>
  <si>
    <t>Perrunavirus</t>
  </si>
  <si>
    <t>Perrunavirus olsenii</t>
  </si>
  <si>
    <t>Philtcovirus</t>
  </si>
  <si>
    <t>Philtcovirus borboradaptatum</t>
  </si>
  <si>
    <t>Phobpsivirus</t>
  </si>
  <si>
    <t>Phobpsivirus agradaptatum</t>
  </si>
  <si>
    <t>Phobpsivirus agricola</t>
  </si>
  <si>
    <t>Piponevirus</t>
  </si>
  <si>
    <t>Piponevirus borborenecus</t>
  </si>
  <si>
    <t>Piponevirus borborocola</t>
  </si>
  <si>
    <t>Pohlevirus</t>
  </si>
  <si>
    <t>Pohlevirus arvadaptatum</t>
  </si>
  <si>
    <t>Pohlevirus arvenecus</t>
  </si>
  <si>
    <t>Pohlevirus arvicola</t>
  </si>
  <si>
    <t>Pohlevirus caenicola</t>
  </si>
  <si>
    <t>Pohlevirus chorovivens</t>
  </si>
  <si>
    <t>Poncivirus</t>
  </si>
  <si>
    <t>Poncivirus insecticola</t>
  </si>
  <si>
    <t>Psimevirus</t>
  </si>
  <si>
    <t>Psimevirus caenivicinum</t>
  </si>
  <si>
    <t>Psimevirus pedocola</t>
  </si>
  <si>
    <t>Pudlivirus</t>
  </si>
  <si>
    <t>Pudlivirus limivicinum</t>
  </si>
  <si>
    <t>Qubevirus</t>
  </si>
  <si>
    <t>Qubevirus durum</t>
  </si>
  <si>
    <t>Qubevirus faecium</t>
  </si>
  <si>
    <t>Radbaivirus</t>
  </si>
  <si>
    <t>Radbaivirus tellurenecus</t>
  </si>
  <si>
    <t>Radbaivirus telluricola</t>
  </si>
  <si>
    <t>Radbaivirus tellurihabitans</t>
  </si>
  <si>
    <t>Rehihmevirus</t>
  </si>
  <si>
    <t>Rehihmevirus terrenecus</t>
  </si>
  <si>
    <t>Rehudzovirus</t>
  </si>
  <si>
    <t>Rehudzovirus terrihabitans</t>
  </si>
  <si>
    <t>Rusvolovirus</t>
  </si>
  <si>
    <t>Rusvolovirus asiadaptatum</t>
  </si>
  <si>
    <t>Rusvolovirus asienecus</t>
  </si>
  <si>
    <t>Scuadavirus</t>
  </si>
  <si>
    <t>Scuadavirus asiohabitans</t>
  </si>
  <si>
    <t>Sehpovirus</t>
  </si>
  <si>
    <t>Sehpovirus borboradaptatum</t>
  </si>
  <si>
    <t>Seybrovirus</t>
  </si>
  <si>
    <t>Seybrovirus borborohabitans</t>
  </si>
  <si>
    <t>Shebanavirus</t>
  </si>
  <si>
    <t>Shebanavirus borborovicinum</t>
  </si>
  <si>
    <t>Shihovirus</t>
  </si>
  <si>
    <t>Shihovirus caenadaptatum</t>
  </si>
  <si>
    <t>Sholavirus</t>
  </si>
  <si>
    <t>Sholavirus caenivivens</t>
  </si>
  <si>
    <t>Shomudavirus</t>
  </si>
  <si>
    <t>Shomudavirus limadaptatum</t>
  </si>
  <si>
    <t>Sincthavirus</t>
  </si>
  <si>
    <t>Sincthavirus limivicinum</t>
  </si>
  <si>
    <t>Skhembuvirus</t>
  </si>
  <si>
    <t>Skhembuvirus limivivens</t>
  </si>
  <si>
    <t>Smudhfivirus</t>
  </si>
  <si>
    <t>Smudhfivirus lutadaptatum</t>
  </si>
  <si>
    <t>Soetuvirus</t>
  </si>
  <si>
    <t>Soetuvirus lutenecus</t>
  </si>
  <si>
    <t>Stehlmavirus</t>
  </si>
  <si>
    <t>Stehlmavirus lutihabitans</t>
  </si>
  <si>
    <t>Swihdzovirus</t>
  </si>
  <si>
    <t>Swihdzovirus paludicola</t>
  </si>
  <si>
    <t>Tahluvirus</t>
  </si>
  <si>
    <t>Tahluvirus peladaptatum</t>
  </si>
  <si>
    <t>Tapikevirus</t>
  </si>
  <si>
    <t>Tapikevirus pelocola</t>
  </si>
  <si>
    <t>Teciucevirus</t>
  </si>
  <si>
    <t>Teciucevirus pelohabitans</t>
  </si>
  <si>
    <t>Tehnexuvirus</t>
  </si>
  <si>
    <t>Tehnexuvirus edaphadaptatum</t>
  </si>
  <si>
    <t>Thiwvovirus</t>
  </si>
  <si>
    <t>Thiwvovirus asienecus</t>
  </si>
  <si>
    <t>Thiyevirus</t>
  </si>
  <si>
    <t>Thiyevirus asiocola</t>
  </si>
  <si>
    <t>Thobivirus</t>
  </si>
  <si>
    <t>Thobivirus asiohabitans</t>
  </si>
  <si>
    <t>Ticahravirus</t>
  </si>
  <si>
    <t>Ticahravirus asiovicinum</t>
  </si>
  <si>
    <t>Tohvovirus</t>
  </si>
  <si>
    <t>Tohvovirus borborohabitans</t>
  </si>
  <si>
    <t>Trucevirus</t>
  </si>
  <si>
    <t>Trucevirus pedenecus</t>
  </si>
  <si>
    <t>Ureyisuvirus</t>
  </si>
  <si>
    <t>Ureyisuvirus caenihabitans</t>
  </si>
  <si>
    <t>Ushumevirus</t>
  </si>
  <si>
    <t>Ushumevirus caenivicinum</t>
  </si>
  <si>
    <t>Vohsuavirus</t>
  </si>
  <si>
    <t>Vohsuavirus limihabitans</t>
  </si>
  <si>
    <t>Vohsuavirus limivicinum</t>
  </si>
  <si>
    <t>Vohsuavirus pedovivens</t>
  </si>
  <si>
    <t>Vohsuavirus soladaptatum</t>
  </si>
  <si>
    <t>Vohsuavirus solenecus</t>
  </si>
  <si>
    <t>Vohsuavirus solicola</t>
  </si>
  <si>
    <t>Whietlevirus</t>
  </si>
  <si>
    <t>Whietlevirus defluviicola</t>
  </si>
  <si>
    <t>Whilavirus</t>
  </si>
  <si>
    <t>Whilavirus pelohabitans</t>
  </si>
  <si>
    <t>Wohudhevirus</t>
  </si>
  <si>
    <t>Wohudhevirus asienecus</t>
  </si>
  <si>
    <t>Wyahnevirus</t>
  </si>
  <si>
    <t>Wyahnevirus asiohabitans</t>
  </si>
  <si>
    <t>Yahnavirus</t>
  </si>
  <si>
    <t>Yahnavirus asiovicinum</t>
  </si>
  <si>
    <t>Yemegivirus</t>
  </si>
  <si>
    <t>Yemegivirus asiovivens</t>
  </si>
  <si>
    <t>Yohcadevirus</t>
  </si>
  <si>
    <t>Yohcadevirus borborocola</t>
  </si>
  <si>
    <t>Yuhrihovirus</t>
  </si>
  <si>
    <t>Yuhrihovirus borborohabitans</t>
  </si>
  <si>
    <t>Yuhrihovirus borborovicinum</t>
  </si>
  <si>
    <t>Yuhrihovirus borborovivens</t>
  </si>
  <si>
    <t>Yuhrihovirus humenecus</t>
  </si>
  <si>
    <t>Solspiviridae</t>
  </si>
  <si>
    <t>Andihavirus</t>
  </si>
  <si>
    <t>Andihavirus borborohabitans</t>
  </si>
  <si>
    <t>Dibaevirus</t>
  </si>
  <si>
    <t>Dibaevirus borborocola</t>
  </si>
  <si>
    <t>Dilzevirus</t>
  </si>
  <si>
    <t>Dilzevirus borborohabitans</t>
  </si>
  <si>
    <t>Eosonovirus</t>
  </si>
  <si>
    <t>Eosonovirus caenenecus</t>
  </si>
  <si>
    <t>Etdyvivirus</t>
  </si>
  <si>
    <t>Etdyvivirus caenicola</t>
  </si>
  <si>
    <t>Fahrmivirus</t>
  </si>
  <si>
    <t>Fahrmivirus caenivivens</t>
  </si>
  <si>
    <t>Fahrmivirus limadaptatum</t>
  </si>
  <si>
    <t>Hinehbovirus</t>
  </si>
  <si>
    <t>Hinehbovirus caenihabitans</t>
  </si>
  <si>
    <t>Insbruvirus</t>
  </si>
  <si>
    <t>Insbruvirus lutivivens</t>
  </si>
  <si>
    <t>Jargovirus</t>
  </si>
  <si>
    <t>Jargovirus pelovivens</t>
  </si>
  <si>
    <t>Mahshuvirus</t>
  </si>
  <si>
    <t>Mahshuvirus limivivens</t>
  </si>
  <si>
    <t>Mintinovirus</t>
  </si>
  <si>
    <t>Mintinovirus pelohabitans</t>
  </si>
  <si>
    <t>Mintinovirus pelovicinum</t>
  </si>
  <si>
    <t>Puhrivirus</t>
  </si>
  <si>
    <t>Puhrivirus limivivens</t>
  </si>
  <si>
    <t>Puirovirus</t>
  </si>
  <si>
    <t>Puirovirus lutadaptatum</t>
  </si>
  <si>
    <t>Sexopuavirus</t>
  </si>
  <si>
    <t>Sexopuavirus agricola</t>
  </si>
  <si>
    <t>Thiuhmevirus</t>
  </si>
  <si>
    <t>Thiuhmevirus pedadaptatum</t>
  </si>
  <si>
    <t>Tohkunevirus</t>
  </si>
  <si>
    <t>Tohkunevirus borborocola</t>
  </si>
  <si>
    <t>Tyrahlevirus</t>
  </si>
  <si>
    <t>Tyrahlevirus caenicola</t>
  </si>
  <si>
    <t>Vendavirus</t>
  </si>
  <si>
    <t>Vendavirus caenivivens</t>
  </si>
  <si>
    <t>Voulevirus</t>
  </si>
  <si>
    <t>Voulevirus limivivens</t>
  </si>
  <si>
    <t>Timlovirales</t>
  </si>
  <si>
    <t>Blumeviridae</t>
  </si>
  <si>
    <t>Alehndavirus</t>
  </si>
  <si>
    <t>Alehndavirus ruminicola</t>
  </si>
  <si>
    <t>Bonghivirus</t>
  </si>
  <si>
    <t>Bonghivirus borborenecus</t>
  </si>
  <si>
    <t>Dahmuivirus</t>
  </si>
  <si>
    <t>Dahmuivirus pelovivens</t>
  </si>
  <si>
    <t>Dehgumevirus</t>
  </si>
  <si>
    <t>Dehgumevirus asiovivens</t>
  </si>
  <si>
    <t>Dehkhevirus</t>
  </si>
  <si>
    <t>Dehkhevirus borboradaptatum</t>
  </si>
  <si>
    <t>Espurtavirus</t>
  </si>
  <si>
    <t>Espurtavirus simiicola</t>
  </si>
  <si>
    <t>Gifriavirus</t>
  </si>
  <si>
    <t>Gifriavirus ruminicola</t>
  </si>
  <si>
    <t>Hehrovirus</t>
  </si>
  <si>
    <t>Hehrovirus borborohabitans</t>
  </si>
  <si>
    <t>Ivolevirus</t>
  </si>
  <si>
    <t>Ivolevirus faecicola</t>
  </si>
  <si>
    <t>Kahnayevirus</t>
  </si>
  <si>
    <t>Kahnayevirus asiovivens</t>
  </si>
  <si>
    <t>Kahraivirus</t>
  </si>
  <si>
    <t>Kahraivirus borboradaptatum</t>
  </si>
  <si>
    <t>Kemiovirus</t>
  </si>
  <si>
    <t>Kemiovirus caenivicinum</t>
  </si>
  <si>
    <t>Kerishovirus</t>
  </si>
  <si>
    <t>Kerishovirus limenecus</t>
  </si>
  <si>
    <t>Konmavirus</t>
  </si>
  <si>
    <t>Konmavirus lutivicinum</t>
  </si>
  <si>
    <t>Konmavirus lutivivens</t>
  </si>
  <si>
    <t>Konmavirus peladaptatum</t>
  </si>
  <si>
    <t>Lirnavirus</t>
  </si>
  <si>
    <t>Lirnavirus borborovicinum</t>
  </si>
  <si>
    <t>Marskhivirus</t>
  </si>
  <si>
    <t>Marskhivirus piscicola</t>
  </si>
  <si>
    <t>Nehpavirus</t>
  </si>
  <si>
    <t>Nehpavirus caenenecus</t>
  </si>
  <si>
    <t>Pacehavirus</t>
  </si>
  <si>
    <t>Pacehavirus humicola</t>
  </si>
  <si>
    <t>Pacehavirus pelovicinum</t>
  </si>
  <si>
    <t>Pacehavirus pelovivens</t>
  </si>
  <si>
    <t>Pahdacivirus</t>
  </si>
  <si>
    <t>Pahdacivirus asiadaptatum</t>
  </si>
  <si>
    <t>Semodevirus</t>
  </si>
  <si>
    <t>Semodevirus borborenecus</t>
  </si>
  <si>
    <t>Shihwivirus</t>
  </si>
  <si>
    <t>Shihwivirus caenenecus</t>
  </si>
  <si>
    <t>Wahdswovirus</t>
  </si>
  <si>
    <t>Wahdswovirus lutenecus</t>
  </si>
  <si>
    <t>Yenihzavirus</t>
  </si>
  <si>
    <t>Yenihzavirus borboradaptatum</t>
  </si>
  <si>
    <t>Steitzviridae</t>
  </si>
  <si>
    <t>Adahmuvirus</t>
  </si>
  <si>
    <t>Adahmuvirus asiocola</t>
  </si>
  <si>
    <t>Alehxovirus</t>
  </si>
  <si>
    <t>Alehxovirus agradaptatum</t>
  </si>
  <si>
    <t>Alehxovirus agrenecus</t>
  </si>
  <si>
    <t>Alehxovirus agricola</t>
  </si>
  <si>
    <t>Alehxovirus agrihabitans</t>
  </si>
  <si>
    <t>Alehxovirus asiohabitans</t>
  </si>
  <si>
    <t>Alehxovirus asiovicinum</t>
  </si>
  <si>
    <t>Alehxovirus asiovivens</t>
  </si>
  <si>
    <t>Alehxovirus borboradaptatum</t>
  </si>
  <si>
    <t>Alehxovirus humivicinum</t>
  </si>
  <si>
    <t>Alehxovirus humivivens</t>
  </si>
  <si>
    <t>Ashcevirus</t>
  </si>
  <si>
    <t>Ashcevirus caenenecus</t>
  </si>
  <si>
    <t>Berdovirus</t>
  </si>
  <si>
    <t>Berdovirus luticola</t>
  </si>
  <si>
    <t>Bicehmovirus</t>
  </si>
  <si>
    <t>Bicehmovirus lutivivens</t>
  </si>
  <si>
    <t>Bicehmovirus peladaptatum</t>
  </si>
  <si>
    <t>Bicehmovirus pelenecus</t>
  </si>
  <si>
    <t>Brikhyavirus</t>
  </si>
  <si>
    <t>Brikhyavirus terrivicinum</t>
  </si>
  <si>
    <t>Cahrlavirus</t>
  </si>
  <si>
    <t>Cahrlavirus caenivicinum</t>
  </si>
  <si>
    <t>Cebevirus</t>
  </si>
  <si>
    <t>Cebevirus agrenecus</t>
  </si>
  <si>
    <t>Cebevirus halophobicum</t>
  </si>
  <si>
    <t>Endehruvirus</t>
  </si>
  <si>
    <t>Endehruvirus chthonenecus</t>
  </si>
  <si>
    <t>Endehruvirus chthonocola</t>
  </si>
  <si>
    <t>Fagihovirus</t>
  </si>
  <si>
    <t>Fagihovirus caenihabitans</t>
  </si>
  <si>
    <t>Fagihovirus chthonovivens</t>
  </si>
  <si>
    <t>Fejonovirus</t>
  </si>
  <si>
    <t>Fejonovirus limenecus</t>
  </si>
  <si>
    <t>Ferahgovirus</t>
  </si>
  <si>
    <t>Ferahgovirus geoadaptatum</t>
  </si>
  <si>
    <t>Fluruvirus</t>
  </si>
  <si>
    <t>Fluruvirus limivicinum</t>
  </si>
  <si>
    <t>Frobavirus</t>
  </si>
  <si>
    <t>Frobavirus limivivens</t>
  </si>
  <si>
    <t>Fudhoevirus</t>
  </si>
  <si>
    <t>Fudhoevirus lutadaptatum</t>
  </si>
  <si>
    <t>Fudhoevirus lutenecus</t>
  </si>
  <si>
    <t>Gahmegovirus</t>
  </si>
  <si>
    <t>Gahmegovirus lutivicinum</t>
  </si>
  <si>
    <t>Garnievirus</t>
  </si>
  <si>
    <t>Garnievirus lutivivens</t>
  </si>
  <si>
    <t>Gehrmavirus</t>
  </si>
  <si>
    <t>Gehrmavirus geocola</t>
  </si>
  <si>
    <t>Gehrmavirus pelocola</t>
  </si>
  <si>
    <t>Gihfavirus</t>
  </si>
  <si>
    <t>Gihfavirus geohabitans</t>
  </si>
  <si>
    <t>Gihfavirus pelohabitans</t>
  </si>
  <si>
    <t>Gulmivirus</t>
  </si>
  <si>
    <t>Gulmivirus arvadaptatum</t>
  </si>
  <si>
    <t>Gulmivirus arvenecus</t>
  </si>
  <si>
    <t>Gulmivirus arvicola</t>
  </si>
  <si>
    <t>Gulmivirus arvihabitans</t>
  </si>
  <si>
    <t>Gulmivirus arvivicinum</t>
  </si>
  <si>
    <t>Gulmivirus asiohabitans</t>
  </si>
  <si>
    <t>Gulmivirus asiovicinum</t>
  </si>
  <si>
    <t>Gulmivirus asiovivens</t>
  </si>
  <si>
    <t>Hahkesevirus</t>
  </si>
  <si>
    <t>Hahkesevirus borborocola</t>
  </si>
  <si>
    <t>Hohrdovirus</t>
  </si>
  <si>
    <t>Hohrdovirus caenivivens</t>
  </si>
  <si>
    <t>Hohrdovirus edaphohabitans</t>
  </si>
  <si>
    <t>Hohrdovirus edaphovicinum</t>
  </si>
  <si>
    <t>Hohrdovirus edaphovivens</t>
  </si>
  <si>
    <t>Hohrdovirus limadaptatum</t>
  </si>
  <si>
    <t>Hohrdovirus pedadaptatum</t>
  </si>
  <si>
    <t>Hohrdovirus pedenecus</t>
  </si>
  <si>
    <t>Hohrdovirus pedocola</t>
  </si>
  <si>
    <t>Hohrdovirus pedohabitans</t>
  </si>
  <si>
    <t>Hohrdovirus pedovicinum</t>
  </si>
  <si>
    <t>Hohrdovirus pedovivens</t>
  </si>
  <si>
    <t>Hohrdovirus soladaptatum</t>
  </si>
  <si>
    <t>Hohrdovirus solenecus</t>
  </si>
  <si>
    <t>Hohrdovirus solicola</t>
  </si>
  <si>
    <t>Hohrdovirus solihabitans</t>
  </si>
  <si>
    <t>Huhbevirus</t>
  </si>
  <si>
    <t>Huhbevirus chthonadaptatum</t>
  </si>
  <si>
    <t>Huhbevirus chthonenecus</t>
  </si>
  <si>
    <t>Huhbevirus chthonocola</t>
  </si>
  <si>
    <t>Huhbevirus chthonohabitans</t>
  </si>
  <si>
    <t>Huhbevirus chthonovicinum</t>
  </si>
  <si>
    <t>Huhbevirus chthonovivens</t>
  </si>
  <si>
    <t>Huhbevirus geoadaptatum</t>
  </si>
  <si>
    <t>Huhbevirus solivicinum</t>
  </si>
  <si>
    <t>Huhbevirus solivivens</t>
  </si>
  <si>
    <t>Huohcivirus</t>
  </si>
  <si>
    <t>Huohcivirus geoenecus</t>
  </si>
  <si>
    <t>Huylevirus</t>
  </si>
  <si>
    <t>Huylevirus limihabitans</t>
  </si>
  <si>
    <t>Hyjrovirus</t>
  </si>
  <si>
    <t>Hyjrovirus geohabitans</t>
  </si>
  <si>
    <t>Iwahcevirus</t>
  </si>
  <si>
    <t>Iwahcevirus pelovicinum</t>
  </si>
  <si>
    <t>Kecuhnavirus</t>
  </si>
  <si>
    <t>Kecuhnavirus borborohabitans</t>
  </si>
  <si>
    <t>Kecuhnavirus borborovicinum</t>
  </si>
  <si>
    <t>Kecuhnavirus terrivicinum</t>
  </si>
  <si>
    <t>Kihsiravirus</t>
  </si>
  <si>
    <t>Kihsiravirus limivicinum</t>
  </si>
  <si>
    <t>Kinglevirus</t>
  </si>
  <si>
    <t>Kinglevirus lutadaptatum</t>
  </si>
  <si>
    <t>Laimuvirus</t>
  </si>
  <si>
    <t>Laimuvirus asiocola</t>
  </si>
  <si>
    <t>Lazuovirus</t>
  </si>
  <si>
    <t>Lazuovirus agrenecus</t>
  </si>
  <si>
    <t>Lihvevirus</t>
  </si>
  <si>
    <t>Lihvevirus borborenecus</t>
  </si>
  <si>
    <t>Limaivirus</t>
  </si>
  <si>
    <t>Limaivirus borborocola</t>
  </si>
  <si>
    <t>Limaivirus borborohabitans</t>
  </si>
  <si>
    <t>Lomnativirus</t>
  </si>
  <si>
    <t>Lomnativirus arvihabitans</t>
  </si>
  <si>
    <t>Loptevirus</t>
  </si>
  <si>
    <t>Loptevirus arvivicinum</t>
  </si>
  <si>
    <t>Loptevirus arvivivens</t>
  </si>
  <si>
    <t>Loptevirus caenenecus</t>
  </si>
  <si>
    <t>Mahdsavirus</t>
  </si>
  <si>
    <t>Mahdsavirus limadaptatum</t>
  </si>
  <si>
    <t>Metsavirus</t>
  </si>
  <si>
    <t>Metsavirus lutivivens</t>
  </si>
  <si>
    <t>Minusuvirus</t>
  </si>
  <si>
    <t>Minusuvirus solivicinum</t>
  </si>
  <si>
    <t>Mocruvirus</t>
  </si>
  <si>
    <t>Mocruvirus chthonadaptatum</t>
  </si>
  <si>
    <t>Mocruvirus chthonocola</t>
  </si>
  <si>
    <t>Mocruvirus solivivens</t>
  </si>
  <si>
    <t>Molucevirus</t>
  </si>
  <si>
    <t>Molucevirus chthonohabitans</t>
  </si>
  <si>
    <t>Molucevirus chthonovicinum</t>
  </si>
  <si>
    <t>Molucevirus chthonovivens</t>
  </si>
  <si>
    <t>Molucevirus geoadaptatum</t>
  </si>
  <si>
    <t>Nehumivirus</t>
  </si>
  <si>
    <t>Nehumivirus tellurihabitans</t>
  </si>
  <si>
    <t>Pahspavirus</t>
  </si>
  <si>
    <t>Pahspavirus humihabitans</t>
  </si>
  <si>
    <t>Pirifovirus</t>
  </si>
  <si>
    <t>Pirifovirus chorovicinum</t>
  </si>
  <si>
    <t>Podtsbuvirus</t>
  </si>
  <si>
    <t>Podtsbuvirus caenenecus</t>
  </si>
  <si>
    <t>Pohlodivirus</t>
  </si>
  <si>
    <t>Pohlodivirus arvihabitans</t>
  </si>
  <si>
    <t>Psiaduvirus</t>
  </si>
  <si>
    <t>Psiaduvirus pedadaptatum</t>
  </si>
  <si>
    <t>Puduphavirus</t>
  </si>
  <si>
    <t>Puduphavirus pedovivens</t>
  </si>
  <si>
    <t>Rodtovirus</t>
  </si>
  <si>
    <t>Rodtovirus pelovivens</t>
  </si>
  <si>
    <t>Sidiruavirus</t>
  </si>
  <si>
    <t>Sidiruavirus agrenecus</t>
  </si>
  <si>
    <t>Sperdavirus</t>
  </si>
  <si>
    <t>Sperdavirus luticola</t>
  </si>
  <si>
    <t>Stehnavirus</t>
  </si>
  <si>
    <t>Stehnavirus lutivicinum</t>
  </si>
  <si>
    <t>Suhnsivirus</t>
  </si>
  <si>
    <t>Suhnsivirus arvicola</t>
  </si>
  <si>
    <t>Suhnsivirus lutivivens</t>
  </si>
  <si>
    <t>Surghavirus</t>
  </si>
  <si>
    <t>Surghavirus arvenecus</t>
  </si>
  <si>
    <t>Surghavirus arvihabitans</t>
  </si>
  <si>
    <t>Tamanovirus</t>
  </si>
  <si>
    <t>Tamanovirus pelenecus</t>
  </si>
  <si>
    <t>Tehmuvirus</t>
  </si>
  <si>
    <t>Tehmuvirus arvivivens</t>
  </si>
  <si>
    <t>Tehnicivirus</t>
  </si>
  <si>
    <t>Tehnicivirus edaphenecus</t>
  </si>
  <si>
    <t>Thehlovirus</t>
  </si>
  <si>
    <t>Thehlovirus edaphovicinum</t>
  </si>
  <si>
    <t>Tikiyavirus</t>
  </si>
  <si>
    <t>Tikiyavirus asiovivens</t>
  </si>
  <si>
    <t>Timirovirus</t>
  </si>
  <si>
    <t>Timirovirus borboradaptatum</t>
  </si>
  <si>
    <t>Tsuhreavirus</t>
  </si>
  <si>
    <t>Tsuhreavirus borborovivens</t>
  </si>
  <si>
    <t>Tuskovirus</t>
  </si>
  <si>
    <t>Tuskovirus caenadaptatum</t>
  </si>
  <si>
    <t>Tuwendivirus</t>
  </si>
  <si>
    <t>Tuwendivirus caenenecus</t>
  </si>
  <si>
    <t>Vindevirus</t>
  </si>
  <si>
    <t>Vindevirus pedovicinum</t>
  </si>
  <si>
    <t>Widsokivirus</t>
  </si>
  <si>
    <t>Widsokivirus pelovivens</t>
  </si>
  <si>
    <t>Yeziwivirus</t>
  </si>
  <si>
    <t>Yeziwivirus borborenecus</t>
  </si>
  <si>
    <t>Chimpavirus</t>
  </si>
  <si>
    <t>Chimpavirus luticola</t>
  </si>
  <si>
    <t>Mahrahovirus</t>
  </si>
  <si>
    <t>Mahrahovirus simiicola</t>
  </si>
  <si>
    <t>Nicedsevirus</t>
  </si>
  <si>
    <t>Nicedsevirus caenivivens</t>
  </si>
  <si>
    <t>Skrubnovirus</t>
  </si>
  <si>
    <t>Skrubnovirus agrihabitans</t>
  </si>
  <si>
    <t>Epicoccum botoulivirus</t>
  </si>
  <si>
    <t>Sclerotinia botoulivirus 3</t>
  </si>
  <si>
    <t>Acremonium magoulivirus</t>
  </si>
  <si>
    <t>Cladosporium magoulivirus 1</t>
  </si>
  <si>
    <t>Cladosporium magoulivirus 2</t>
  </si>
  <si>
    <t>Colletotrichum magoulivirus</t>
  </si>
  <si>
    <t>Penicillium magoulivirus</t>
  </si>
  <si>
    <t>Phaeoacremonium magoulivirus</t>
  </si>
  <si>
    <t>Penoulivirus</t>
  </si>
  <si>
    <t>Aspergillus penoulivirus</t>
  </si>
  <si>
    <t>Cladosporium penoulivirus</t>
  </si>
  <si>
    <t>Epicoccum penoulivirus</t>
  </si>
  <si>
    <t>Magnaporthe penoulivirus</t>
  </si>
  <si>
    <t>Neofusicoccum penoulivirus</t>
  </si>
  <si>
    <t>Penicillium penoulivirus</t>
  </si>
  <si>
    <t>Phaeoacremonium penoulivirus</t>
  </si>
  <si>
    <t>Phoma penoulivirus</t>
  </si>
  <si>
    <t>Phomosis penoulivirus</t>
  </si>
  <si>
    <t>Pyricularia penoulivirus</t>
  </si>
  <si>
    <t>Sclerotinia penoulivirus</t>
  </si>
  <si>
    <t>Rhizoulivirus</t>
  </si>
  <si>
    <t>Rhizoctonia rhizoulivirus</t>
  </si>
  <si>
    <t>Cladosporium scleroulivirus</t>
  </si>
  <si>
    <t>Pyricularia scleroulivirus 3</t>
  </si>
  <si>
    <t>Aliusviridae</t>
  </si>
  <si>
    <t>Obscuruvirus</t>
  </si>
  <si>
    <t>Obscuruvirus quintum</t>
  </si>
  <si>
    <t>Ollusvirus</t>
  </si>
  <si>
    <t>Ollusvirus coleopteri</t>
  </si>
  <si>
    <t>Ollusvirus culvertonense</t>
  </si>
  <si>
    <t>Ollusvirus hanchengense</t>
  </si>
  <si>
    <t>Ollusvirus hymenopteri</t>
  </si>
  <si>
    <t>Ollusvirus insectii</t>
  </si>
  <si>
    <t>Ollusvirus scaldisense</t>
  </si>
  <si>
    <t>Ollusvirus taiyuanense</t>
  </si>
  <si>
    <t>Boscovirus</t>
  </si>
  <si>
    <t>Boscovirus hippoboscidae</t>
  </si>
  <si>
    <t>Boscovirus hypoboscidae</t>
  </si>
  <si>
    <t>Chuvivirus</t>
  </si>
  <si>
    <t>Chuvivirus brunnichi</t>
  </si>
  <si>
    <t>Chuvivirus canceris</t>
  </si>
  <si>
    <t>Culicidavirus</t>
  </si>
  <si>
    <t>Culicidavirus culicidae</t>
  </si>
  <si>
    <t>Culicidavirus culicis</t>
  </si>
  <si>
    <t>Culicidavirus imjinense</t>
  </si>
  <si>
    <t>Culicidavirus quitotaense</t>
  </si>
  <si>
    <t>Demapteravirus</t>
  </si>
  <si>
    <t>Demapteravirus dermapteri</t>
  </si>
  <si>
    <t>Doliuvirus</t>
  </si>
  <si>
    <t>Doliuvirus culisetae</t>
  </si>
  <si>
    <t>Mivirus amblyommae</t>
  </si>
  <si>
    <t>Mivirus boleense</t>
  </si>
  <si>
    <t>Mivirus changpingense</t>
  </si>
  <si>
    <t>Mivirus dermacentoris</t>
  </si>
  <si>
    <t>Mivirus genovaense</t>
  </si>
  <si>
    <t>Mivirus karukeraense</t>
  </si>
  <si>
    <t>Mivirus rhipicephali</t>
  </si>
  <si>
    <t>Mivirus suffolkense</t>
  </si>
  <si>
    <t>Mivirus wuhanense</t>
  </si>
  <si>
    <t>Morsusvirus</t>
  </si>
  <si>
    <t>Morsusvirus argatis</t>
  </si>
  <si>
    <t>Nigecruvirus</t>
  </si>
  <si>
    <t>Nigecruvirus ixodes</t>
  </si>
  <si>
    <t>Odonatavirus</t>
  </si>
  <si>
    <t>Odonatavirus draconis</t>
  </si>
  <si>
    <t>Odonatavirus fabricii</t>
  </si>
  <si>
    <t>Odonatavirus odontis</t>
  </si>
  <si>
    <t>Pediavirus</t>
  </si>
  <si>
    <t>Pediavirus cirripedis</t>
  </si>
  <si>
    <t>Piscichuvirus</t>
  </si>
  <si>
    <t>Piscichuvirus franki</t>
  </si>
  <si>
    <t>Piscichuvirus lycodontis</t>
  </si>
  <si>
    <t>Piscichuvirus sanxiaense</t>
  </si>
  <si>
    <t>Piscichuvirus wenlingense</t>
  </si>
  <si>
    <t>Pterovirus</t>
  </si>
  <si>
    <t>Pterovirus chulinense</t>
  </si>
  <si>
    <t>Scarabeuvirus</t>
  </si>
  <si>
    <t>Scarabeuvirus blattae</t>
  </si>
  <si>
    <t>Scarabeuvirus dentati</t>
  </si>
  <si>
    <t>Scarabeuvirus hubeiense</t>
  </si>
  <si>
    <t>Scarabeuvirus lampyris</t>
  </si>
  <si>
    <t>Scarabeuvirus lishiense</t>
  </si>
  <si>
    <t>Taceavirus</t>
  </si>
  <si>
    <t>Taceavirus wenlingense</t>
  </si>
  <si>
    <t>Crepuscuviridae</t>
  </si>
  <si>
    <t>Aqualaruvirus</t>
  </si>
  <si>
    <t>Aqualaruvirus sialis</t>
  </si>
  <si>
    <t>Myriaviridae</t>
  </si>
  <si>
    <t>Myriavirus</t>
  </si>
  <si>
    <t>Myriavirus myriapedis</t>
  </si>
  <si>
    <t>Natareviridae</t>
  </si>
  <si>
    <t>Charybdivirus</t>
  </si>
  <si>
    <t>Charybdivirus charybdis</t>
  </si>
  <si>
    <t>Auricularimonavirus</t>
  </si>
  <si>
    <t>Auricularimonavirus auriculariae</t>
  </si>
  <si>
    <t>Botrytimonavirus</t>
  </si>
  <si>
    <t>Botrytimonavirus botrytidis</t>
  </si>
  <si>
    <t>Botrytimonavirus glycinis</t>
  </si>
  <si>
    <t>Botrytimonavirus sclerotiniae</t>
  </si>
  <si>
    <t>Hubramonavirus hubeiense</t>
  </si>
  <si>
    <t>Hubramonavirus terrae</t>
  </si>
  <si>
    <t>Lentimonavirus</t>
  </si>
  <si>
    <t>Lentimonavirus lentinulae</t>
  </si>
  <si>
    <t>Penicillimonavirus</t>
  </si>
  <si>
    <t>Penicillimonavirus alphapenicillii</t>
  </si>
  <si>
    <t>Penicillimonavirus alphaplasmoparae</t>
  </si>
  <si>
    <t>Penicillimonavirus betapenicillii</t>
  </si>
  <si>
    <t>Penicillimonavirus betaplasmoparae</t>
  </si>
  <si>
    <t>Penicillimonavirus deltaplasmoparae</t>
  </si>
  <si>
    <t>Penicillimonavirus epsilonplasmoparae</t>
  </si>
  <si>
    <t>Penicillimonavirus etaplasmoparae</t>
  </si>
  <si>
    <t>Penicillimonavirus gammaplasmopara</t>
  </si>
  <si>
    <t>Penicillimonavirus kilnbarnense</t>
  </si>
  <si>
    <t>Penicillimonavirus zetaplasmoparae</t>
  </si>
  <si>
    <t>Phyllomonavirus</t>
  </si>
  <si>
    <t>Phyllomonavirus gysingense</t>
  </si>
  <si>
    <t>Phyllomonavirus phyllospherae</t>
  </si>
  <si>
    <t>Plasmopamonavirus</t>
  </si>
  <si>
    <t>Plasmopamonavirus plasmoparae</t>
  </si>
  <si>
    <t>Rhizomonavirus</t>
  </si>
  <si>
    <t>Rhizomonavirus mali</t>
  </si>
  <si>
    <t>Sclerotimonavirus alphaclarireediae</t>
  </si>
  <si>
    <t>Sclerotimonavirus alphaplasmoparae</t>
  </si>
  <si>
    <t>Sclerotimonavirus alternariae</t>
  </si>
  <si>
    <t>Sclerotimonavirus betaclarireediae</t>
  </si>
  <si>
    <t>Sclerotimonavirus betaplasmoparae</t>
  </si>
  <si>
    <t>Sclerotimonavirus botrytidis</t>
  </si>
  <si>
    <t>Sclerotimonavirus fusarii</t>
  </si>
  <si>
    <t>Sclerotimonavirus illinoisense</t>
  </si>
  <si>
    <t>Sclerotimonavirus penicillii</t>
  </si>
  <si>
    <t>Sclerotimonavirus sclerotiniae</t>
  </si>
  <si>
    <t>Sclerotimonavirus terrae</t>
  </si>
  <si>
    <t>Formivirus</t>
  </si>
  <si>
    <t>Alpharhabdovirinae</t>
  </si>
  <si>
    <t>Alphapaprhavirus</t>
  </si>
  <si>
    <t>Alpharicinrhavirus</t>
  </si>
  <si>
    <t>Merhavirus</t>
  </si>
  <si>
    <t>Betarhabdovirinae</t>
  </si>
  <si>
    <t>Gammarhabdovirinae</t>
  </si>
  <si>
    <t>Alphacrustrhavirus</t>
  </si>
  <si>
    <t>Alphadrosrhavirus</t>
  </si>
  <si>
    <t>Alphahymrhavirus</t>
  </si>
  <si>
    <t>Betahymrhavirus</t>
  </si>
  <si>
    <t>Betanemrhavirus</t>
  </si>
  <si>
    <t>Betapaprhavirus</t>
  </si>
  <si>
    <t>Betaricinrhavirus</t>
  </si>
  <si>
    <t>Lincruvirus europense</t>
  </si>
  <si>
    <t>Lincruvirus sinense</t>
  </si>
  <si>
    <t>Lincruvirus wenlingense</t>
  </si>
  <si>
    <t>Norwavirus</t>
  </si>
  <si>
    <t>Ocetevirus</t>
  </si>
  <si>
    <t>Sabavirus</t>
  </si>
  <si>
    <t>Xinspivirus</t>
  </si>
  <si>
    <t>Hymovirus</t>
  </si>
  <si>
    <t>Tanzavirus</t>
  </si>
  <si>
    <t>Curvulaviridae</t>
  </si>
  <si>
    <t>Orthocurvulavirus</t>
  </si>
  <si>
    <t>Peiartevirus</t>
  </si>
  <si>
    <t>Mibartevirus</t>
  </si>
  <si>
    <t>Caecilivirus</t>
  </si>
  <si>
    <t>Danipivirus</t>
  </si>
  <si>
    <t>Marsupivirus</t>
  </si>
  <si>
    <t>Pygoscepivirus</t>
  </si>
  <si>
    <t>Rajidapivirus</t>
  </si>
  <si>
    <t>Ruflodivirus</t>
  </si>
  <si>
    <t>Ribozyviria</t>
  </si>
  <si>
    <t>Kolmioviridae</t>
  </si>
  <si>
    <t>Daazvirus</t>
  </si>
  <si>
    <t>Daazvirus cynopis</t>
  </si>
  <si>
    <t>Dagazvirus</t>
  </si>
  <si>
    <t>Dagazvirus schedorhinotermitis</t>
  </si>
  <si>
    <t>Daletvirus</t>
  </si>
  <si>
    <t>Daletvirus boae</t>
  </si>
  <si>
    <t>Dalvirus</t>
  </si>
  <si>
    <t>Dalvirus anatis</t>
  </si>
  <si>
    <t>Deevirus</t>
  </si>
  <si>
    <t>Deevirus actinopterygii</t>
  </si>
  <si>
    <t>Deltavirus cameroonense</t>
  </si>
  <si>
    <t>Deltavirus carense</t>
  </si>
  <si>
    <t>Deltavirus italiense</t>
  </si>
  <si>
    <t>Deltavirus japanense</t>
  </si>
  <si>
    <t>Deltavirus peruense</t>
  </si>
  <si>
    <t>Deltavirus senegalense</t>
  </si>
  <si>
    <t>Deltavirus taiwanense</t>
  </si>
  <si>
    <t>Deltavirus togense</t>
  </si>
  <si>
    <t>Dobrovirus</t>
  </si>
  <si>
    <t>Dobrovirus bufonis</t>
  </si>
  <si>
    <t>Thurisazvirus</t>
  </si>
  <si>
    <t>Thurisazvirus myis</t>
  </si>
  <si>
    <t>Daphniairidovirus</t>
  </si>
  <si>
    <t>Polintoviricetes</t>
  </si>
  <si>
    <t>Orthopolintovirales</t>
  </si>
  <si>
    <t>Adintoviridae</t>
  </si>
  <si>
    <t>Alphadintovirus</t>
  </si>
  <si>
    <t>Alphadintovirus mayetiola</t>
  </si>
  <si>
    <t>Betadintovirus</t>
  </si>
  <si>
    <t>Betadintovirus terrapene</t>
  </si>
  <si>
    <t>Deltatectivirus</t>
  </si>
  <si>
    <t>Epsilontectivirus</t>
  </si>
  <si>
    <t>Testadenovirus</t>
  </si>
  <si>
    <t>Autolykiviridae</t>
  </si>
  <si>
    <t>Livvievirus</t>
  </si>
  <si>
    <t>Livvievirus viph1249a</t>
  </si>
  <si>
    <t>Paulavirus viph1044o</t>
  </si>
  <si>
    <t>Paulavirus</t>
  </si>
  <si>
    <t>Paulavirus viph1008o</t>
  </si>
  <si>
    <t>Paulavirus viph1020o</t>
  </si>
  <si>
    <t>Paulavirus viph1080o</t>
  </si>
  <si>
    <t>Hukuchivirus</t>
  </si>
  <si>
    <t>Hukuchivirus IN93</t>
  </si>
  <si>
    <t>Simuloviridae</t>
  </si>
  <si>
    <t>Yingchengvirus</t>
  </si>
  <si>
    <t>Naldaviricetes</t>
  </si>
  <si>
    <t>Lefavirales</t>
  </si>
  <si>
    <t>Deltanudivirus</t>
  </si>
  <si>
    <t>Gammanudivirus</t>
  </si>
  <si>
    <t>Draflysatellite</t>
  </si>
  <si>
    <t>Somasatellite</t>
  </si>
  <si>
    <t>Whiflysatellite</t>
  </si>
  <si>
    <t>Petromoalphasatellitinae</t>
  </si>
  <si>
    <t>Cocosatellite</t>
  </si>
  <si>
    <t>Coprasatellite</t>
  </si>
  <si>
    <t>Kobbarisatellite</t>
  </si>
  <si>
    <t>Muscarsatellite</t>
  </si>
  <si>
    <t>Bottigliavirus</t>
  </si>
  <si>
    <t>Aleptorquevirus</t>
  </si>
  <si>
    <t>Chitorquevirus</t>
  </si>
  <si>
    <t>Dalettorquevirus</t>
  </si>
  <si>
    <t>Gimeltorquevirus</t>
  </si>
  <si>
    <t>Gyrovirus fulgla1</t>
  </si>
  <si>
    <t>Gyrovirus galga1</t>
  </si>
  <si>
    <t>Gyrovirus galga2</t>
  </si>
  <si>
    <t>Gyrovirus homsa1</t>
  </si>
  <si>
    <t>Gyrovirus homsa2</t>
  </si>
  <si>
    <t>Gyrovirus homsa3</t>
  </si>
  <si>
    <t>Gyrovirus homsa4</t>
  </si>
  <si>
    <t>Gyrovirus hydho1</t>
  </si>
  <si>
    <t>Gyrovirus myferr1</t>
  </si>
  <si>
    <t>Hetorquevirus</t>
  </si>
  <si>
    <t>Omegatorquevirus</t>
  </si>
  <si>
    <t>Omicrontorquevirus</t>
  </si>
  <si>
    <t>Pitorquevirus</t>
  </si>
  <si>
    <t>Psitorquevirus</t>
  </si>
  <si>
    <t>Rhotorquevirus</t>
  </si>
  <si>
    <t>Sigmatorquevirus</t>
  </si>
  <si>
    <t>Tettorquevirus</t>
  </si>
  <si>
    <t>Upsilontorquevirus</t>
  </si>
  <si>
    <t>Wawtorquevirus</t>
  </si>
  <si>
    <t>Xitorquevirus</t>
  </si>
  <si>
    <t>Zayintorquevirus</t>
  </si>
  <si>
    <t>Alphaglobulovirus</t>
  </si>
  <si>
    <t>Moved,Removed as Type Species,</t>
  </si>
  <si>
    <t>Renamed,Moved,Removed as Type Species,</t>
  </si>
  <si>
    <t>Removed as Type Species,</t>
  </si>
  <si>
    <t>Renamed,Removed as Type Species,</t>
  </si>
  <si>
    <t>Abolished: The taxon is abolished (deleted) from the MSL. All constituent taxa need to be moved, otherwise they will also be deleted.
Demoted: (This one is new for 2020.) A higher rank taxon is moved to a lower rank (potentially requiring a rename). This does NOT necessarily imply that the constituent members of the promoted taxon are subject to any change.
Merged: Two separate taxa will be merged into a single taxon. The single taxon may be one of the initial two, or it could be a newly created taxon. All constituent, lower rank members will be automatically moved into the merged taxon.
Moved: A lower rank taxon and its constituent members is moved from one higher rank taxon to another. (The move usually, but not necessarily, is to a taxon (existing or new) at the same rank as the original parent.)
New: Creation of a new taxon. New ranks higher than Species must contain new (or moved) lower-rank members.
Promoted: A lower rank taxon is moved to a higher rank (usually also requiring a rename). This does NOT necessarily imply that the constituent members of the promoted taxon are subject to any change.
Renamed: A taxon is renamed. The new name must adhere to the naming rules of the ICTV Code of Virus Classification and Nomenclature.
Split: A taxon, along with its constituent members, are split into two or more taxa. The original taxon that was split may, or may not, be retained, and the resulting set of taxa into which the original was split, may consist of existing or new taxa. The change must be accompanied with an indication of where each of the constituent member taxa are to be moved. Theoretically, this action could be accomplished with a combination of changes involving Moved, Abolished, and New, but was created to maintain the history of all changes to the original taxon and its members.</t>
  </si>
  <si>
    <t>Change  definitions</t>
  </si>
  <si>
    <t>The last change made to each virus species across the entire history of the taxon. Possible changes include a combination of the following:
- Abolished
- Demoted
- Merged
- Moved
- New
- Promoted
- Renamed
- Split</t>
  </si>
  <si>
    <t>Ungulaviridae</t>
  </si>
  <si>
    <t>Captovirus</t>
  </si>
  <si>
    <t>Maximonvirales</t>
  </si>
  <si>
    <t>Ahmunviridae</t>
  </si>
  <si>
    <t>Yumkaaxvirus</t>
  </si>
  <si>
    <t>Yumkaaxvirus pescaderoense</t>
  </si>
  <si>
    <t>Batravirus</t>
  </si>
  <si>
    <t>Batravirus ranidallo1</t>
  </si>
  <si>
    <t>Batravirus ranidallo2</t>
  </si>
  <si>
    <t>Batravirus ranidallo3</t>
  </si>
  <si>
    <t>Cyvirus</t>
  </si>
  <si>
    <t>Cyvirus anguillidallo1</t>
  </si>
  <si>
    <t>Cyvirus cyprinidallo1</t>
  </si>
  <si>
    <t>Cyvirus cyprinidallo2</t>
  </si>
  <si>
    <t>Cyvirus cyprinidallo3</t>
  </si>
  <si>
    <t>Ictavirus</t>
  </si>
  <si>
    <t>Ictavirus acipenseridallo2</t>
  </si>
  <si>
    <t>Ictavirus ictaluridallo1</t>
  </si>
  <si>
    <t>Ictavirus ictaluridallo2</t>
  </si>
  <si>
    <t>Salmovirus</t>
  </si>
  <si>
    <t>Salmovirus salmonidallo1</t>
  </si>
  <si>
    <t>Salmovirus salmonidallo2</t>
  </si>
  <si>
    <t>Salmovirus salmonidallo3</t>
  </si>
  <si>
    <t>Aurivirus haliotidmalaco1</t>
  </si>
  <si>
    <t>Ostreavirus ostreidmalaco1</t>
  </si>
  <si>
    <t>Orthoherpesviridae</t>
  </si>
  <si>
    <t>Iltovirus cacatuidalpha2</t>
  </si>
  <si>
    <t>Iltovirus gallidalpha1</t>
  </si>
  <si>
    <t>Iltovirus psittacidalpha1</t>
  </si>
  <si>
    <t>Iltovirus psittacidalpha5</t>
  </si>
  <si>
    <t>Mardivirus anatidalpha1</t>
  </si>
  <si>
    <t>Mardivirus columbidalpha1</t>
  </si>
  <si>
    <t>Mardivirus gallidalpha2</t>
  </si>
  <si>
    <t>Mardivirus gallidalpha3</t>
  </si>
  <si>
    <t>Mardivirus meleagridalpha1</t>
  </si>
  <si>
    <t>Mardivirus spheniscidalpha1</t>
  </si>
  <si>
    <t>Scutavirus chelonidalpha5</t>
  </si>
  <si>
    <t>Scutavirus testudinidalpha3</t>
  </si>
  <si>
    <t>Simplexvirus atelinealpha1</t>
  </si>
  <si>
    <t>Simplexvirus bovinealpha2</t>
  </si>
  <si>
    <t>Simplexvirus cercopithecinealpha2</t>
  </si>
  <si>
    <t>Simplexvirus humanalpha1</t>
  </si>
  <si>
    <t>Simplexvirus humanalpha2</t>
  </si>
  <si>
    <t>Simplexvirus leporidalpha4</t>
  </si>
  <si>
    <t>Simplexvirus macacinealpha1</t>
  </si>
  <si>
    <t>Simplexvirus macacinealpha2</t>
  </si>
  <si>
    <t>Simplexvirus macacinealpha3</t>
  </si>
  <si>
    <t>Simplexvirus macropodidalpha1</t>
  </si>
  <si>
    <t>Simplexvirus macropodidalpha2</t>
  </si>
  <si>
    <t>Simplexvirus macropodidalpha4</t>
  </si>
  <si>
    <t>Simplexvirus paninealpha3</t>
  </si>
  <si>
    <t>Simplexvirus papiinealpha2</t>
  </si>
  <si>
    <t>Simplexvirus pteropodidalpha1</t>
  </si>
  <si>
    <t>Simplexvirus pteropodidalpha2</t>
  </si>
  <si>
    <t>Simplexvirus saimiriinealpha1</t>
  </si>
  <si>
    <t>Varicellovirus bovinealpha1</t>
  </si>
  <si>
    <t>Varicellovirus bovinealpha5</t>
  </si>
  <si>
    <t>Varicellovirus bubalinealpha1</t>
  </si>
  <si>
    <t>Varicellovirus canidalpha1</t>
  </si>
  <si>
    <t>Varicellovirus caprinealpha1</t>
  </si>
  <si>
    <t>Varicellovirus cercopithecinealpha9</t>
  </si>
  <si>
    <t>Varicellovirus cervidalpha1</t>
  </si>
  <si>
    <t>Varicellovirus cervidalpha2</t>
  </si>
  <si>
    <t>Varicellovirus cervidalpha3</t>
  </si>
  <si>
    <t>Varicellovirus equidalpha1</t>
  </si>
  <si>
    <t>Varicellovirus equidalpha3</t>
  </si>
  <si>
    <t>Varicellovirus equidalpha4</t>
  </si>
  <si>
    <t>Varicellovirus equidalpha6</t>
  </si>
  <si>
    <t>Varicellovirus equidalpha8</t>
  </si>
  <si>
    <t>Varicellovirus equidalpha9</t>
  </si>
  <si>
    <t>Varicellovirus felidalpha1</t>
  </si>
  <si>
    <t>Varicellovirus humanalpha3</t>
  </si>
  <si>
    <t>Varicellovirus monodontidalpha1</t>
  </si>
  <si>
    <t>Varicellovirus phocidalpha1</t>
  </si>
  <si>
    <t>Varicellovirus suidalpha1</t>
  </si>
  <si>
    <t>Cytomegalovirus aotinebeta1</t>
  </si>
  <si>
    <t>Cytomegalovirus cebinebeta1</t>
  </si>
  <si>
    <t>Cytomegalovirus cercopithecinebeta5</t>
  </si>
  <si>
    <t>Cytomegalovirus humanbeta5</t>
  </si>
  <si>
    <t>Cytomegalovirus macacinebeta3</t>
  </si>
  <si>
    <t>Cytomegalovirus macacinebeta8</t>
  </si>
  <si>
    <t>Cytomegalovirus mandrillinebeta1</t>
  </si>
  <si>
    <t>Cytomegalovirus paninebeta2</t>
  </si>
  <si>
    <t>Cytomegalovirus papiinebeta3</t>
  </si>
  <si>
    <t>Cytomegalovirus papiinebeta4</t>
  </si>
  <si>
    <t>Cytomegalovirus saimiriinebeta4</t>
  </si>
  <si>
    <t>Muromegalovirus muridbeta1</t>
  </si>
  <si>
    <t>Muromegalovirus muridbeta2</t>
  </si>
  <si>
    <t>Muromegalovirus muridbeta8</t>
  </si>
  <si>
    <t>Proboscivirus elephantidbeta1</t>
  </si>
  <si>
    <t>Proboscivirus elephantidbeta3</t>
  </si>
  <si>
    <t>Proboscivirus elephantidbeta4</t>
  </si>
  <si>
    <t>Proboscivirus elephantidbeta5</t>
  </si>
  <si>
    <t>Quwivirus caviidbeta2</t>
  </si>
  <si>
    <t>Quwivirus miniopteridbeta1</t>
  </si>
  <si>
    <t>Quwivirus tupaiidbeta1</t>
  </si>
  <si>
    <t>Roseolovirus humanbeta7</t>
  </si>
  <si>
    <t>Roseolovirus humanbeta6a</t>
  </si>
  <si>
    <t>Roseolovirus humanbeta6b</t>
  </si>
  <si>
    <t>Roseolovirus macacinebeta9</t>
  </si>
  <si>
    <t>Roseolovirus muridbeta3</t>
  </si>
  <si>
    <t>Roseolovirus suidbeta2</t>
  </si>
  <si>
    <t>Bossavirus delphinidgamma1</t>
  </si>
  <si>
    <t>Lymphocryptovirus callitrichinegamma3</t>
  </si>
  <si>
    <t>Lymphocryptovirus gorillinegamma1</t>
  </si>
  <si>
    <t>Lymphocryptovirus humangamma4</t>
  </si>
  <si>
    <t>Lymphocryptovirus macacinegamma4</t>
  </si>
  <si>
    <t>Lymphocryptovirus macacinegamma10</t>
  </si>
  <si>
    <t>Lymphocryptovirus macacinegamma13</t>
  </si>
  <si>
    <t>Lymphocryptovirus paninegamma1</t>
  </si>
  <si>
    <t>Lymphocryptovirus papiinegamma1</t>
  </si>
  <si>
    <t>Lymphocryptovirus ponginegamma2</t>
  </si>
  <si>
    <t>Macavirus alcelaphinegamma1</t>
  </si>
  <si>
    <t>Macavirus alcelaphinegamma2</t>
  </si>
  <si>
    <t>Macavirus bovinegamma6</t>
  </si>
  <si>
    <t>Macavirus caprinegamma2</t>
  </si>
  <si>
    <t>Macavirus hippotraginegamma1</t>
  </si>
  <si>
    <t>Macavirus ovinegamma2</t>
  </si>
  <si>
    <t>Macavirus suidgamma3</t>
  </si>
  <si>
    <t>Macavirus suidgamma4</t>
  </si>
  <si>
    <t>Macavirus suidgamma5</t>
  </si>
  <si>
    <t>Manticavirus phascolarctidgamma1</t>
  </si>
  <si>
    <t>Manticavirus vombatidgamma1</t>
  </si>
  <si>
    <t>Patagivirus vespertilionidgamma3</t>
  </si>
  <si>
    <t>Percavirus equidgamma2</t>
  </si>
  <si>
    <t>Percavirus equidgamma5</t>
  </si>
  <si>
    <t>Percavirus felidgamma1</t>
  </si>
  <si>
    <t>Percavirus mustelidgamma1</t>
  </si>
  <si>
    <t>Percavirus phocidgamma3</t>
  </si>
  <si>
    <t>Percavirus rhinolophidgamma1</t>
  </si>
  <si>
    <t>Percavirus vespertilionidgamma1</t>
  </si>
  <si>
    <t>Rhadinovirus atelinegamma2</t>
  </si>
  <si>
    <t>Rhadinovirus atelinegamma3</t>
  </si>
  <si>
    <t>Rhadinovirus bovinegamma4</t>
  </si>
  <si>
    <t>Rhadinovirus colobinegamma1</t>
  </si>
  <si>
    <t>Rhadinovirus cricetidgamma2</t>
  </si>
  <si>
    <t>Rhadinovirus humangamma8</t>
  </si>
  <si>
    <t>Rhadinovirus macacinegamma5</t>
  </si>
  <si>
    <t>Rhadinovirus macacinegamma8</t>
  </si>
  <si>
    <t>Rhadinovirus macacinegamma11</t>
  </si>
  <si>
    <t>Rhadinovirus macacinegamma12</t>
  </si>
  <si>
    <t>Rhadinovirus muridgamma4</t>
  </si>
  <si>
    <t>Rhadinovirus muridgamma7</t>
  </si>
  <si>
    <t>Rhadinovirus saimiriinegamma2</t>
  </si>
  <si>
    <t>Crassvirales</t>
  </si>
  <si>
    <t>Crevaviridae</t>
  </si>
  <si>
    <t>Coarsevirinae</t>
  </si>
  <si>
    <t>Junduvirus</t>
  </si>
  <si>
    <t>Junduvirus communis</t>
  </si>
  <si>
    <t>Junduvirus copri</t>
  </si>
  <si>
    <t>Doltivirinae</t>
  </si>
  <si>
    <t>Kahucivirus</t>
  </si>
  <si>
    <t>Kahucivirus intestinalis</t>
  </si>
  <si>
    <t>Kingevirus</t>
  </si>
  <si>
    <t>Kingevirus communis</t>
  </si>
  <si>
    <t>Intestiviridae</t>
  </si>
  <si>
    <t>Churivirinae</t>
  </si>
  <si>
    <t>Jahgtovirus</t>
  </si>
  <si>
    <t>Jahgtovirus gastrointestinalis</t>
  </si>
  <si>
    <t>Jahgtovirus intestinalis</t>
  </si>
  <si>
    <t>Jahgtovirus intestinihominis</t>
  </si>
  <si>
    <t>Jahgtovirus secundus</t>
  </si>
  <si>
    <t>Crudevirinae</t>
  </si>
  <si>
    <t>Carjivirus</t>
  </si>
  <si>
    <t>Carjivirus communis</t>
  </si>
  <si>
    <t>Carjivirus hominis</t>
  </si>
  <si>
    <t>Dabirmavirus</t>
  </si>
  <si>
    <t>Dabirmavirus hominis</t>
  </si>
  <si>
    <t>Delmidovirus</t>
  </si>
  <si>
    <t>Delmidovirus copri</t>
  </si>
  <si>
    <t>Delmidovirus intestinihominis</t>
  </si>
  <si>
    <t>Delmidovirus splanchnicus</t>
  </si>
  <si>
    <t>Diorhovirus</t>
  </si>
  <si>
    <t>Diorhovirus copri</t>
  </si>
  <si>
    <t>Diorhovirus intestinalis</t>
  </si>
  <si>
    <t>Drivevirus</t>
  </si>
  <si>
    <t>Drivevirus gastrointestinalis</t>
  </si>
  <si>
    <t>Endlipuvirus</t>
  </si>
  <si>
    <t>Endlipuvirus intestinihominis</t>
  </si>
  <si>
    <t>Whopevirus</t>
  </si>
  <si>
    <t>Whopevirus animalis</t>
  </si>
  <si>
    <t>Obtuvirinae</t>
  </si>
  <si>
    <t>Fohxhuevirus</t>
  </si>
  <si>
    <t>Fohxhuevirus gastrointestinalis</t>
  </si>
  <si>
    <t>Hacihdavirus</t>
  </si>
  <si>
    <t>Hacihdavirus animalis</t>
  </si>
  <si>
    <t>Wotdevirus</t>
  </si>
  <si>
    <t>Wotdevirus murinus</t>
  </si>
  <si>
    <t>Steigviridae</t>
  </si>
  <si>
    <t>Asinivirinae</t>
  </si>
  <si>
    <t>Akihdevirus</t>
  </si>
  <si>
    <t>Akihdevirus balticus</t>
  </si>
  <si>
    <t>Kahnovirus</t>
  </si>
  <si>
    <t>Kahnovirus copri</t>
  </si>
  <si>
    <t>Kahnovirus oralis</t>
  </si>
  <si>
    <t>Kehishuvirus</t>
  </si>
  <si>
    <t>Kehishuvirus primarius</t>
  </si>
  <si>
    <t>Kehishuvirus splanchnicus</t>
  </si>
  <si>
    <t>Kolpuevirus</t>
  </si>
  <si>
    <t>Kolpuevirus coli</t>
  </si>
  <si>
    <t>Kolpuevirus hominis</t>
  </si>
  <si>
    <t>Lahndsivirus</t>
  </si>
  <si>
    <t>Lahndsivirus rarus</t>
  </si>
  <si>
    <t>Lebriduvirus</t>
  </si>
  <si>
    <t>Lebriduvirus gastrointestinalis</t>
  </si>
  <si>
    <t>Mahlunavirus</t>
  </si>
  <si>
    <t>Mahlunavirus rarus</t>
  </si>
  <si>
    <t>Mahstovirus</t>
  </si>
  <si>
    <t>Mahstovirus faecalis</t>
  </si>
  <si>
    <t>Pamirivirus</t>
  </si>
  <si>
    <t>Pamirivirus faecium</t>
  </si>
  <si>
    <t>Paundivirus</t>
  </si>
  <si>
    <t>Paundivirus hollandii</t>
  </si>
  <si>
    <t>Pipoluvirus</t>
  </si>
  <si>
    <t>Pipoluvirus rarus</t>
  </si>
  <si>
    <t>Wulfhauvirus</t>
  </si>
  <si>
    <t>Wulfhauvirus bangladeshii</t>
  </si>
  <si>
    <t>Suoliviridae</t>
  </si>
  <si>
    <t>Bearivirinae</t>
  </si>
  <si>
    <t>Afonbuvirus</t>
  </si>
  <si>
    <t>Afonbuvirus coli</t>
  </si>
  <si>
    <t>Afonbuvirus faecalis</t>
  </si>
  <si>
    <t>Afonbuvirus intestinihominis</t>
  </si>
  <si>
    <t>Boorivirinae</t>
  </si>
  <si>
    <t>Canhaevirus</t>
  </si>
  <si>
    <t>Canhaevirus faecalis</t>
  </si>
  <si>
    <t>Canhaevirus hiberniae</t>
  </si>
  <si>
    <t>Cohcovirus</t>
  </si>
  <si>
    <t>Cohcovirus hiberniae</t>
  </si>
  <si>
    <t>Cohcovirus splanchnicus</t>
  </si>
  <si>
    <t>Culoivirus</t>
  </si>
  <si>
    <t>Culoivirus americanus</t>
  </si>
  <si>
    <t>Culoivirus faecalis</t>
  </si>
  <si>
    <t>Culoivirus intestinalis</t>
  </si>
  <si>
    <t>Loutivirinae</t>
  </si>
  <si>
    <t>Blohavirus</t>
  </si>
  <si>
    <t>Blohavirus americanus</t>
  </si>
  <si>
    <t>Blohavirus faecalis</t>
  </si>
  <si>
    <t>Buchavirus</t>
  </si>
  <si>
    <t>Buchavirus coli</t>
  </si>
  <si>
    <t>Buchavirus copri</t>
  </si>
  <si>
    <t>Buchavirus faecalis</t>
  </si>
  <si>
    <t>Buchavirus hiberniae</t>
  </si>
  <si>
    <t>Buchavirus hominis</t>
  </si>
  <si>
    <t>Buchavirus intestinalis</t>
  </si>
  <si>
    <t>Buchavirus oralis</t>
  </si>
  <si>
    <t>Buchavirus splanchnicus</t>
  </si>
  <si>
    <t>Buorbuivirus</t>
  </si>
  <si>
    <t>Buorbuivirus hominis</t>
  </si>
  <si>
    <t>Oafivirinae</t>
  </si>
  <si>
    <t>Bohxovirus</t>
  </si>
  <si>
    <t>Bohxovirus oralis</t>
  </si>
  <si>
    <t>Buhlduvirus</t>
  </si>
  <si>
    <t>Buhlduvirus animalis</t>
  </si>
  <si>
    <t>Buhlduvirus porcinus</t>
  </si>
  <si>
    <t>Burzaovirus</t>
  </si>
  <si>
    <t>Burzaovirus coli</t>
  </si>
  <si>
    <t>Burzaovirus faecalis</t>
  </si>
  <si>
    <t>Burzaovirus intestinihominis</t>
  </si>
  <si>
    <t>Cacepaovirus</t>
  </si>
  <si>
    <t>Cacepaovirus simiae</t>
  </si>
  <si>
    <t>Chuhaivirus</t>
  </si>
  <si>
    <t>Chuhaivirus simiae</t>
  </si>
  <si>
    <t>Uncouvirinae</t>
  </si>
  <si>
    <t>Aurodevirus</t>
  </si>
  <si>
    <t>Aurodevirus hiberniae</t>
  </si>
  <si>
    <t>Aurodevirus hominis</t>
  </si>
  <si>
    <t>Aurodevirus intestinalis</t>
  </si>
  <si>
    <t>Besingivirus</t>
  </si>
  <si>
    <t>Besingivirus coli</t>
  </si>
  <si>
    <t>Birpovirus</t>
  </si>
  <si>
    <t>Birpovirus hiberniae</t>
  </si>
  <si>
    <t>Birpovirus hominis</t>
  </si>
  <si>
    <t>Dechshavirus</t>
  </si>
  <si>
    <t>Dechshavirus japanensis</t>
  </si>
  <si>
    <t>Juravirales</t>
  </si>
  <si>
    <t>Yangangviridae</t>
  </si>
  <si>
    <t>Mathaucavirus</t>
  </si>
  <si>
    <t>Mathaucavirus yangshanense</t>
  </si>
  <si>
    <t>Nohelivirus</t>
  </si>
  <si>
    <t>Nohelivirus yangshanense</t>
  </si>
  <si>
    <t>Senitvirus</t>
  </si>
  <si>
    <t>Senitvirus yangshanense</t>
  </si>
  <si>
    <t>Yanlukaviridae</t>
  </si>
  <si>
    <t>Sweetvirus</t>
  </si>
  <si>
    <t>Sweetvirus yangshanense</t>
  </si>
  <si>
    <t>Kirjokansivirales</t>
  </si>
  <si>
    <t>Graaviviridae</t>
  </si>
  <si>
    <t>Beejeyvirus</t>
  </si>
  <si>
    <t>Seejivirus</t>
  </si>
  <si>
    <t>Haloferuviridae</t>
  </si>
  <si>
    <t>Dpdavirus</t>
  </si>
  <si>
    <t>Retbasiphovirus</t>
  </si>
  <si>
    <t>Saldibavirus</t>
  </si>
  <si>
    <t>Pyrstoviridae</t>
  </si>
  <si>
    <t>Hatrivirus</t>
  </si>
  <si>
    <t>Shortaselviridae</t>
  </si>
  <si>
    <t>Lonfivirus</t>
  </si>
  <si>
    <t>Magrovirales</t>
  </si>
  <si>
    <t>Aoguangviridae</t>
  </si>
  <si>
    <t>Aobingvirus</t>
  </si>
  <si>
    <t>Aobingvirus yangshanense</t>
  </si>
  <si>
    <t>Methanobavirales</t>
  </si>
  <si>
    <t>Anaerodiviridae</t>
  </si>
  <si>
    <t>Metforvirus</t>
  </si>
  <si>
    <t>Leisingerviridae</t>
  </si>
  <si>
    <t>Nakonvirales</t>
  </si>
  <si>
    <t>Ahpuchviridae</t>
  </si>
  <si>
    <t>Kisinvirus</t>
  </si>
  <si>
    <t>Kisinvirus pescaderoense</t>
  </si>
  <si>
    <t>Ekchuahviridae</t>
  </si>
  <si>
    <t>Kukulkanvirus</t>
  </si>
  <si>
    <t>Kukulkanvirus guaymasense</t>
  </si>
  <si>
    <t>Kukulkanvirus mexicoense</t>
  </si>
  <si>
    <t>Thumleimavirales</t>
  </si>
  <si>
    <t>Druskaviridae</t>
  </si>
  <si>
    <t>Hacavirus</t>
  </si>
  <si>
    <t>Tredecimvirus</t>
  </si>
  <si>
    <t>Hafunaviridae</t>
  </si>
  <si>
    <t>Laminvirus</t>
  </si>
  <si>
    <t>Mincapvirus</t>
  </si>
  <si>
    <t>Minorvirus</t>
  </si>
  <si>
    <t>Halomagnusviridae</t>
  </si>
  <si>
    <t>Hagravirus</t>
  </si>
  <si>
    <t>Soleiviridae</t>
  </si>
  <si>
    <t>Eilatmyovirus</t>
  </si>
  <si>
    <t>Agtrevirus AG3</t>
  </si>
  <si>
    <t>Agtrevirus EM4</t>
  </si>
  <si>
    <t>Agtrevirus MK13</t>
  </si>
  <si>
    <t>Agtrevirus P46FS4</t>
  </si>
  <si>
    <t>Agtrevirus SKML39</t>
  </si>
  <si>
    <t>Limestonevirus limestone</t>
  </si>
  <si>
    <t>Limestonevirus RC2014</t>
  </si>
  <si>
    <t>Kuttervirus aagejoakim</t>
  </si>
  <si>
    <t>Kuttervirus allotria</t>
  </si>
  <si>
    <t>Kuttervirus barely</t>
  </si>
  <si>
    <t>Kuttervirus bering</t>
  </si>
  <si>
    <t>Kuttervirus BSP101</t>
  </si>
  <si>
    <t>Kuttervirus CBA120</t>
  </si>
  <si>
    <t>Kuttervirus Det7</t>
  </si>
  <si>
    <t>Kuttervirus dinky</t>
  </si>
  <si>
    <t>Kuttervirus ECML4</t>
  </si>
  <si>
    <t>Kuttervirus EP75</t>
  </si>
  <si>
    <t>Kuttervirus FEC14</t>
  </si>
  <si>
    <t>Kuttervirus GG32</t>
  </si>
  <si>
    <t>Kuttervirus heyday</t>
  </si>
  <si>
    <t>Kuttervirus kv38</t>
  </si>
  <si>
    <t>Kuttervirus maane</t>
  </si>
  <si>
    <t>Kuttervirus marshall</t>
  </si>
  <si>
    <t>Kuttervirus maynard</t>
  </si>
  <si>
    <t>Kuttervirus moki</t>
  </si>
  <si>
    <t>Kuttervirus mutine</t>
  </si>
  <si>
    <t>Kuttervirus pertopsoe</t>
  </si>
  <si>
    <t>Kuttervirus PhaxI</t>
  </si>
  <si>
    <t>Kuttervirus PM10</t>
  </si>
  <si>
    <t>Kuttervirus rabagast</t>
  </si>
  <si>
    <t>Kuttervirus S118</t>
  </si>
  <si>
    <t>Kuttervirus SE14</t>
  </si>
  <si>
    <t>Kuttervirus SeB</t>
  </si>
  <si>
    <t>Kuttervirus SeG</t>
  </si>
  <si>
    <t>Kuttervirus SeJ</t>
  </si>
  <si>
    <t>Kuttervirus SenALZ1</t>
  </si>
  <si>
    <t>Kuttervirus SenASZ3</t>
  </si>
  <si>
    <t>Kuttervirus SeSz1</t>
  </si>
  <si>
    <t>Kuttervirus SFP10</t>
  </si>
  <si>
    <t>Kuttervirus SH19</t>
  </si>
  <si>
    <t>Kuttervirus SJ2</t>
  </si>
  <si>
    <t>Kuttervirus SJ3</t>
  </si>
  <si>
    <t>Kuttervirus SP1</t>
  </si>
  <si>
    <t>Kuttervirus SS9</t>
  </si>
  <si>
    <t>Kuttervirus STML131</t>
  </si>
  <si>
    <t>Kuttervirus STW77</t>
  </si>
  <si>
    <t>Kuttervirus ViI</t>
  </si>
  <si>
    <t>Campanilevirus YC</t>
  </si>
  <si>
    <t>Kujavirus kuja</t>
  </si>
  <si>
    <t>Miltonvirus 3M</t>
  </si>
  <si>
    <t>Miltonvirus MAM1</t>
  </si>
  <si>
    <t>Nezavisimistyvirus bue1</t>
  </si>
  <si>
    <t>Nezavisimistyvirus Ea2809</t>
  </si>
  <si>
    <t>Taipeivirus 0507KN21</t>
  </si>
  <si>
    <t>Taipeivirus IME250</t>
  </si>
  <si>
    <t>Taipeivirus KpS110</t>
  </si>
  <si>
    <t>Taipeivirus KWBSE436</t>
  </si>
  <si>
    <t>Taipeivirus magnus</t>
  </si>
  <si>
    <t>Taipeivirus may</t>
  </si>
  <si>
    <t>Taipeivirus menlow</t>
  </si>
  <si>
    <t>Taipeivirus UPM2146</t>
  </si>
  <si>
    <t>Tedavirus A829</t>
  </si>
  <si>
    <t>Vapseptimavirus VAP7</t>
  </si>
  <si>
    <t>Aggregaviridae</t>
  </si>
  <si>
    <t>Harrekavirus</t>
  </si>
  <si>
    <t>Harrekavirus harreka</t>
  </si>
  <si>
    <t>Aliceevansviridae</t>
  </si>
  <si>
    <t>Brussowvirus 20617</t>
  </si>
  <si>
    <t>Brussowvirus ALQ132</t>
  </si>
  <si>
    <t>Brussowvirus bv858</t>
  </si>
  <si>
    <t>Brussowvirus bv2972</t>
  </si>
  <si>
    <t>Brussowvirus bvO1205</t>
  </si>
  <si>
    <t>Brussowvirus CHPC640</t>
  </si>
  <si>
    <t>Brussowvirus CHPC869</t>
  </si>
  <si>
    <t>Brussowvirus CHPC931</t>
  </si>
  <si>
    <t>Brussowvirus CHPC951</t>
  </si>
  <si>
    <t>Brussowvirus CHPC952</t>
  </si>
  <si>
    <t>Brussowvirus CHPC1042</t>
  </si>
  <si>
    <t>Brussowvirus CHPC1109</t>
  </si>
  <si>
    <t>Brussowvirus CHPC1152</t>
  </si>
  <si>
    <t>Brussowvirus CHPC1230</t>
  </si>
  <si>
    <t>Brussowvirus CHPC1246</t>
  </si>
  <si>
    <t>Brussowvirus CHPC1247</t>
  </si>
  <si>
    <t>Brussowvirus CHPC1248</t>
  </si>
  <si>
    <t>Brussowvirus P4761</t>
  </si>
  <si>
    <t>Brussowvirus P7571</t>
  </si>
  <si>
    <t>Brussowvirus P7951</t>
  </si>
  <si>
    <t>Brussowvirus P7952</t>
  </si>
  <si>
    <t>Brussowvirus P7953</t>
  </si>
  <si>
    <t>Brussowvirus P7954</t>
  </si>
  <si>
    <t>Brussowvirus P7955</t>
  </si>
  <si>
    <t>Brussowvirus P9853</t>
  </si>
  <si>
    <t>Brussowvirus Sfi11</t>
  </si>
  <si>
    <t>Brussowvirus SW13</t>
  </si>
  <si>
    <t>Brussowvirus SW14</t>
  </si>
  <si>
    <t>Brussowvirus SW15</t>
  </si>
  <si>
    <t>Brussowvirus SW18</t>
  </si>
  <si>
    <t>Brussowvirus SW1151</t>
  </si>
  <si>
    <t>Brussowvirus TP778L</t>
  </si>
  <si>
    <t>Brussowvirus TPJ34</t>
  </si>
  <si>
    <t>Brussowvirus VS2018a</t>
  </si>
  <si>
    <t>Moineauvirus Abc2</t>
  </si>
  <si>
    <t>Moineauvirus B0</t>
  </si>
  <si>
    <t>Moineauvirus CHPC572</t>
  </si>
  <si>
    <t>Moineauvirus CHPC595</t>
  </si>
  <si>
    <t>Moineauvirus CHPC642</t>
  </si>
  <si>
    <t>Moineauvirus CHPC663</t>
  </si>
  <si>
    <t>Moineauvirus CHPC873</t>
  </si>
  <si>
    <t>Moineauvirus CHPC875</t>
  </si>
  <si>
    <t>Moineauvirus CHPC877</t>
  </si>
  <si>
    <t>Moineauvirus CHPC879</t>
  </si>
  <si>
    <t>Moineauvirus CHPC919</t>
  </si>
  <si>
    <t>Moineauvirus CHPC925</t>
  </si>
  <si>
    <t>Moineauvirus CHPC927</t>
  </si>
  <si>
    <t>Moineauvirus CHPC928</t>
  </si>
  <si>
    <t>Moineauvirus CHPC930</t>
  </si>
  <si>
    <t>Moineauvirus CHPC950</t>
  </si>
  <si>
    <t>Moineauvirus CHPC979</t>
  </si>
  <si>
    <t>Moineauvirus CHPC1005</t>
  </si>
  <si>
    <t>Moineauvirus CHPC1027</t>
  </si>
  <si>
    <t>Moineauvirus CHPC1029</t>
  </si>
  <si>
    <t>Moineauvirus CHPC1033</t>
  </si>
  <si>
    <t>Moineauvirus CHPC1036</t>
  </si>
  <si>
    <t>Moineauvirus CHPC1041</t>
  </si>
  <si>
    <t>Moineauvirus CHPC1045</t>
  </si>
  <si>
    <t>Moineauvirus CHPC1046</t>
  </si>
  <si>
    <t>Moineauvirus CHPC1062</t>
  </si>
  <si>
    <t>Moineauvirus CHPC1067</t>
  </si>
  <si>
    <t>Moineauvirus CHPC1091</t>
  </si>
  <si>
    <t>Moineauvirus CHPC1148</t>
  </si>
  <si>
    <t>Moineauvirus CHPC1156</t>
  </si>
  <si>
    <t>Moineauvirus D1024</t>
  </si>
  <si>
    <t>Moineauvirus D1811</t>
  </si>
  <si>
    <t>Moineauvirus D4276</t>
  </si>
  <si>
    <t>Moineauvirus DT1</t>
  </si>
  <si>
    <t>Moineauvirus L5A1</t>
  </si>
  <si>
    <t>Moineauvirus M19</t>
  </si>
  <si>
    <t>Moineauvirus MM25</t>
  </si>
  <si>
    <t>Moineauvirus mv53</t>
  </si>
  <si>
    <t>Moineauvirus mv73</t>
  </si>
  <si>
    <t>Moineauvirus mv128</t>
  </si>
  <si>
    <t>Moineauvirus mv7201</t>
  </si>
  <si>
    <t>Moineauvirus mv7A5</t>
  </si>
  <si>
    <t>Moineauvirus P0091</t>
  </si>
  <si>
    <t>Moineauvirus P3681</t>
  </si>
  <si>
    <t>Moineauvirus P3684</t>
  </si>
  <si>
    <t>Moineauvirus P5641</t>
  </si>
  <si>
    <t>Moineauvirus P5651</t>
  </si>
  <si>
    <t>Moineauvirus P7132</t>
  </si>
  <si>
    <t>Moineauvirus P7133</t>
  </si>
  <si>
    <t>Moineauvirus P7134</t>
  </si>
  <si>
    <t>Moineauvirus P7151</t>
  </si>
  <si>
    <t>Moineauvirus P7152</t>
  </si>
  <si>
    <t>Moineauvirus P7154</t>
  </si>
  <si>
    <t>Moineauvirus P7573</t>
  </si>
  <si>
    <t>Moineauvirus P7574</t>
  </si>
  <si>
    <t>Moineauvirus P7601</t>
  </si>
  <si>
    <t>Moineauvirus P7602</t>
  </si>
  <si>
    <t>Moineauvirus P7631</t>
  </si>
  <si>
    <t>Moineauvirus P7632</t>
  </si>
  <si>
    <t>Moineauvirus P7633</t>
  </si>
  <si>
    <t>Moineauvirus P9851</t>
  </si>
  <si>
    <t>Moineauvirus P9854</t>
  </si>
  <si>
    <t>Moineauvirus P9901</t>
  </si>
  <si>
    <t>Moineauvirus P9902</t>
  </si>
  <si>
    <t>Moineauvirus P9903</t>
  </si>
  <si>
    <t>Moineauvirus Sfi19</t>
  </si>
  <si>
    <t>Moineauvirus Sfi21</t>
  </si>
  <si>
    <t>Moineauvirus STP1</t>
  </si>
  <si>
    <t>Moineauvirus SW1</t>
  </si>
  <si>
    <t>Moineauvirus SW2</t>
  </si>
  <si>
    <t>Moineauvirus SW3</t>
  </si>
  <si>
    <t>Moineauvirus SW5</t>
  </si>
  <si>
    <t>Moineauvirus SW6</t>
  </si>
  <si>
    <t>Moineauvirus SW7</t>
  </si>
  <si>
    <t>Moineauvirus SW8</t>
  </si>
  <si>
    <t>Moineauvirus SW11</t>
  </si>
  <si>
    <t>Moineauvirus SW12</t>
  </si>
  <si>
    <t>Moineauvirus SWK3</t>
  </si>
  <si>
    <t>Moineauvirus SWK6</t>
  </si>
  <si>
    <t>Moineauvirus VA214</t>
  </si>
  <si>
    <t>Moineauvirus VA460</t>
  </si>
  <si>
    <t>Vansinderenvirus</t>
  </si>
  <si>
    <t>Vansinderenvirus 5093</t>
  </si>
  <si>
    <t>Vansinderenvirus CHPC1198</t>
  </si>
  <si>
    <t>Vansinderenvirus CHPC1232</t>
  </si>
  <si>
    <t>Vansinderenvirus CHPC1282</t>
  </si>
  <si>
    <t>Vansinderenvirus P0092</t>
  </si>
  <si>
    <t>Vansinderenvirus P0093</t>
  </si>
  <si>
    <t>Vansinderenvirus P0095</t>
  </si>
  <si>
    <t>Vansinderenvirus SW4</t>
  </si>
  <si>
    <t>Vansinderenvirus SW19</t>
  </si>
  <si>
    <t>Vansinderenvirus SW24</t>
  </si>
  <si>
    <t>Vansinderenvirus SW27</t>
  </si>
  <si>
    <t>Arenbergviridae</t>
  </si>
  <si>
    <t>Wroclawvirus</t>
  </si>
  <si>
    <t>Wroclawvirus PA5oct</t>
  </si>
  <si>
    <t>Assiduviridae</t>
  </si>
  <si>
    <t>Cebadecemvirus</t>
  </si>
  <si>
    <t>Cebadecemvirus phi10una</t>
  </si>
  <si>
    <t>Cellubavirus</t>
  </si>
  <si>
    <t>Cellubavirus phi19una</t>
  </si>
  <si>
    <t>Nekkelsvirus</t>
  </si>
  <si>
    <t>Nekkelsvirus Nekkels</t>
  </si>
  <si>
    <t>Daemvirus acibel007</t>
  </si>
  <si>
    <t>Friunavirus AB1</t>
  </si>
  <si>
    <t>Friunavirus AB3</t>
  </si>
  <si>
    <t>Friunavirus AB6</t>
  </si>
  <si>
    <t>Friunavirus AbKT21III</t>
  </si>
  <si>
    <t>Friunavirus Abp1</t>
  </si>
  <si>
    <t>Friunavirus Aci07</t>
  </si>
  <si>
    <t>Friunavirus Aci08</t>
  </si>
  <si>
    <t>Friunavirus AS11</t>
  </si>
  <si>
    <t>Friunavirus AS12</t>
  </si>
  <si>
    <t>Friunavirus B1</t>
  </si>
  <si>
    <t>Friunavirus B3</t>
  </si>
  <si>
    <t>Friunavirus B5</t>
  </si>
  <si>
    <t>Friunavirus D2</t>
  </si>
  <si>
    <t>Friunavirus Fri1</t>
  </si>
  <si>
    <t>Friunavirus fv15519</t>
  </si>
  <si>
    <t>Friunavirus IME200</t>
  </si>
  <si>
    <t>Friunavirus P1</t>
  </si>
  <si>
    <t>Friunavirus P2</t>
  </si>
  <si>
    <t>Friunavirus PD6A3</t>
  </si>
  <si>
    <t>Friunavirus PDAB9</t>
  </si>
  <si>
    <t>Friunavirus SWHAb1</t>
  </si>
  <si>
    <t>Friunavirus SWHAb3</t>
  </si>
  <si>
    <t>Friunavirus WCHABP5</t>
  </si>
  <si>
    <t>Pettyvirus petty</t>
  </si>
  <si>
    <t>Gutovirus Vc1</t>
  </si>
  <si>
    <t>Kaohsiungvirus A318</t>
  </si>
  <si>
    <t>Kaohsiungvirus AS51</t>
  </si>
  <si>
    <t>Kaohsiungvirus Vp670</t>
  </si>
  <si>
    <t>Murciavirus CB5A</t>
  </si>
  <si>
    <t>Murciavirus CPP1m</t>
  </si>
  <si>
    <t>Trungvirus VEN</t>
  </si>
  <si>
    <t>Uliginvirus achelous</t>
  </si>
  <si>
    <t>Uliginvirus alpheus</t>
  </si>
  <si>
    <t>Uliginvirus nerthus</t>
  </si>
  <si>
    <t>Uliginvirus njord</t>
  </si>
  <si>
    <t>Uliginvirus uligo</t>
  </si>
  <si>
    <t>Kantovirus C171</t>
  </si>
  <si>
    <t>Kotilavirus PP16</t>
  </si>
  <si>
    <t>Kotilavirus PPWS1</t>
  </si>
  <si>
    <t>Kotilavirus PPWS2</t>
  </si>
  <si>
    <t>Phimunavirus CB5</t>
  </si>
  <si>
    <t>Phimunavirus Clickz</t>
  </si>
  <si>
    <t>Phimunavirus fM1</t>
  </si>
  <si>
    <t>Phimunavirus gaspode</t>
  </si>
  <si>
    <t>Phimunavirus khlen</t>
  </si>
  <si>
    <t>Phimunavirus koot</t>
  </si>
  <si>
    <t>Phimunavirus lelidair</t>
  </si>
  <si>
    <t>Phimunavirus nobby</t>
  </si>
  <si>
    <t>Phimunavirus peat1</t>
  </si>
  <si>
    <t>Phimunavirus phoria</t>
  </si>
  <si>
    <t>Phimunavirus PP90</t>
  </si>
  <si>
    <t>Phimunavirus zenivior</t>
  </si>
  <si>
    <t>Stompvirus BF2512</t>
  </si>
  <si>
    <t>Kirikabuvirus NV3</t>
  </si>
  <si>
    <t>Phikmvvirus 15pyo</t>
  </si>
  <si>
    <t>Phikmvvirus Ab05</t>
  </si>
  <si>
    <t>Phikmvvirus ABTNL</t>
  </si>
  <si>
    <t>Phikmvvirus DL62</t>
  </si>
  <si>
    <t>Phikmvvirus kF77</t>
  </si>
  <si>
    <t>Phikmvvirus LKD16</t>
  </si>
  <si>
    <t>Phikmvvirus LUZ19</t>
  </si>
  <si>
    <t>Phikmvvirus MPK6</t>
  </si>
  <si>
    <t>Phikmvvirus MPK7</t>
  </si>
  <si>
    <t>Phikmvvirus NFS</t>
  </si>
  <si>
    <t>Phikmvvirus PAXYB1</t>
  </si>
  <si>
    <t>Phikmvvirus phiKMV</t>
  </si>
  <si>
    <t>Phikmvvirus PT2</t>
  </si>
  <si>
    <t>Phikmvvirus PT5</t>
  </si>
  <si>
    <t>Phikmvvirus pv130113</t>
  </si>
  <si>
    <t>Phikmvvirus RLP</t>
  </si>
  <si>
    <t>Stubburvirus LKA1</t>
  </si>
  <si>
    <t>Tunggulvirus</t>
  </si>
  <si>
    <t>Tunggulvirus f2</t>
  </si>
  <si>
    <t>Aerosvirus AS7</t>
  </si>
  <si>
    <t>Aerosvirus av25AhydR2PP</t>
  </si>
  <si>
    <t>Aerosvirus ZPAH7</t>
  </si>
  <si>
    <t>Aghbyvirus ISAO8</t>
  </si>
  <si>
    <t>Ahphunavirus Ahp1</t>
  </si>
  <si>
    <t>Ahphunavirus CF7</t>
  </si>
  <si>
    <t>Cronosvirus DevCD23823</t>
  </si>
  <si>
    <t>Cronosvirus GAP227</t>
  </si>
  <si>
    <t>Panjvirus Spp16</t>
  </si>
  <si>
    <t>Pienvirus R801</t>
  </si>
  <si>
    <t>Pokrovskaiavirus fHeYen301</t>
  </si>
  <si>
    <t>Pokrovskaiavirus pv8018</t>
  </si>
  <si>
    <t>Wanjuvirus arno160</t>
  </si>
  <si>
    <t>Wanjuvirus PP2</t>
  </si>
  <si>
    <t>Acadevirus PM85</t>
  </si>
  <si>
    <t>Acadevirus PM93</t>
  </si>
  <si>
    <t>Acadevirus PM116</t>
  </si>
  <si>
    <t>Acadevirus Pm5460</t>
  </si>
  <si>
    <t>Axomammavirus PP1</t>
  </si>
  <si>
    <t>Eracentumvirus era103</t>
  </si>
  <si>
    <t>Eracentumvirus S2</t>
  </si>
  <si>
    <t>Tuodvirus phD2B</t>
  </si>
  <si>
    <t>Vectrevirus AAPEc6</t>
  </si>
  <si>
    <t>Vectrevirus ACGC91</t>
  </si>
  <si>
    <t>Vectrevirus bee</t>
  </si>
  <si>
    <t>Vectrevirus cee</t>
  </si>
  <si>
    <t>Vectrevirus CrRp3</t>
  </si>
  <si>
    <t>Vectrevirus K15</t>
  </si>
  <si>
    <t>Vectrevirus K1E</t>
  </si>
  <si>
    <t>Vectrevirus kay</t>
  </si>
  <si>
    <t>Vectrevirus LL11</t>
  </si>
  <si>
    <t>Vectrevirus mutPK1A2</t>
  </si>
  <si>
    <t>Vectrevirus VEc3</t>
  </si>
  <si>
    <t>Zindervirus BP12B</t>
  </si>
  <si>
    <t>Zindervirus SP6</t>
  </si>
  <si>
    <t>Zindervirus UAB78</t>
  </si>
  <si>
    <t>Ampunavirus BpAMP1</t>
  </si>
  <si>
    <t>Ampunavirus RSPI1</t>
  </si>
  <si>
    <t>Higashivirus RSB1</t>
  </si>
  <si>
    <t>Higashivirus RsoP1IDN</t>
  </si>
  <si>
    <t>Mguuvirus JG068</t>
  </si>
  <si>
    <t>Risjevirus RSJ2</t>
  </si>
  <si>
    <t>Risjevirus RSJ5</t>
  </si>
  <si>
    <t>Sukuvirus RSPII1</t>
  </si>
  <si>
    <t>Bucovirus buco</t>
  </si>
  <si>
    <t>Drulisvirus altogao</t>
  </si>
  <si>
    <t>Drulisvirus BO1E</t>
  </si>
  <si>
    <t>Drulisvirus F19</t>
  </si>
  <si>
    <t>Drulisvirus K244</t>
  </si>
  <si>
    <t>Drulisvirus Kp2</t>
  </si>
  <si>
    <t>Drulisvirus KP34</t>
  </si>
  <si>
    <t>Drulisvirus KPRio2015</t>
  </si>
  <si>
    <t>Drulisvirus KpS2</t>
  </si>
  <si>
    <t>Drulisvirus KpV41</t>
  </si>
  <si>
    <t>Drulisvirus KpV48</t>
  </si>
  <si>
    <t>Drulisvirus KpV71</t>
  </si>
  <si>
    <t>Drulisvirus KpV74</t>
  </si>
  <si>
    <t>Drulisvirus KpV475</t>
  </si>
  <si>
    <t>Drulisvirus KPV811</t>
  </si>
  <si>
    <t>Drulisvirus minorna</t>
  </si>
  <si>
    <t>Drulisvirus myPSH1235</t>
  </si>
  <si>
    <t>Drulisvirus SFN6B</t>
  </si>
  <si>
    <t>Drulisvirus SU503</t>
  </si>
  <si>
    <t>Drulisvirus SU552A</t>
  </si>
  <si>
    <t>Koutsourovirus KDA1</t>
  </si>
  <si>
    <t>Novosibovirus PM16</t>
  </si>
  <si>
    <t>Novosibovirus PM75</t>
  </si>
  <si>
    <t>Aarhusvirus dagda</t>
  </si>
  <si>
    <t>Aarhusvirus katbat</t>
  </si>
  <si>
    <t>Aarhusvirus luksen</t>
  </si>
  <si>
    <t>Aarhusvirus mysterion</t>
  </si>
  <si>
    <t>Apdecimavirus AP10</t>
  </si>
  <si>
    <t>Berlinvirus 285P</t>
  </si>
  <si>
    <t>Berlinvirus A7</t>
  </si>
  <si>
    <t>Berlinvirus BA14</t>
  </si>
  <si>
    <t>Berlinvirus berlin</t>
  </si>
  <si>
    <t>Berlinvirus BP12A</t>
  </si>
  <si>
    <t>Berlinvirus BSP161</t>
  </si>
  <si>
    <t>Berlinvirus FE44</t>
  </si>
  <si>
    <t>Berlinvirus Kvp1</t>
  </si>
  <si>
    <t>Berlinvirus P483</t>
  </si>
  <si>
    <t>Berlinvirus P694</t>
  </si>
  <si>
    <t>Berlinvirus PP74</t>
  </si>
  <si>
    <t>Berlinvirus PYPS50</t>
  </si>
  <si>
    <t>Berlinvirus RN5i1</t>
  </si>
  <si>
    <t>Berlinvirus S523</t>
  </si>
  <si>
    <t>Berlinvirus Yepe2</t>
  </si>
  <si>
    <t>Berlinvirus Yepf</t>
  </si>
  <si>
    <t>Caroctavirus CR8</t>
  </si>
  <si>
    <t>Chatterjeevirus ICP3</t>
  </si>
  <si>
    <t>Chatterjeevirus N4</t>
  </si>
  <si>
    <t>Chatterjeevirus VP4</t>
  </si>
  <si>
    <t>Eapunavirus Eap1</t>
  </si>
  <si>
    <t>Elunavirus L1</t>
  </si>
  <si>
    <t>Foetvirus SRT7</t>
  </si>
  <si>
    <t>Ghunavirus 17A</t>
  </si>
  <si>
    <t>Ghunavirus gh1</t>
  </si>
  <si>
    <t>Ghunavirus henninger</t>
  </si>
  <si>
    <t>Ghunavirus KNP</t>
  </si>
  <si>
    <t>Ghunavirus Pf1ERZ2017</t>
  </si>
  <si>
    <t>Ghunavirus PPPL1</t>
  </si>
  <si>
    <t>Ghunavirus PSA2</t>
  </si>
  <si>
    <t>Ghunavirus Psa17</t>
  </si>
  <si>
    <t>Ghunavirus shl2</t>
  </si>
  <si>
    <t>Ghunavirus WRT</t>
  </si>
  <si>
    <t>Helsettvirus fPS9</t>
  </si>
  <si>
    <t>Helsettvirus fPS53</t>
  </si>
  <si>
    <t>Helsettvirus fPS59</t>
  </si>
  <si>
    <t>Helsettvirus fPS54ocr</t>
  </si>
  <si>
    <t>Jarilovirus jarilo</t>
  </si>
  <si>
    <t>Kayfunavirus CR44b</t>
  </si>
  <si>
    <t>Kayfunavirus Dev2</t>
  </si>
  <si>
    <t>Kayfunavirus EcoDS1</t>
  </si>
  <si>
    <t>Kayfunavirus EcpYZU01</t>
  </si>
  <si>
    <t>Kayfunavirus F</t>
  </si>
  <si>
    <t>Kayfunavirus GA2A</t>
  </si>
  <si>
    <t>Kayfunavirus GW1</t>
  </si>
  <si>
    <t>Kayfunavirus IMM002</t>
  </si>
  <si>
    <t>Kayfunavirus K1F</t>
  </si>
  <si>
    <t>Kayfunavirus LM33P1</t>
  </si>
  <si>
    <t>Kayfunavirus PE31</t>
  </si>
  <si>
    <t>Kayfunavirus Ro45lw</t>
  </si>
  <si>
    <t>Kayfunavirus SFPH2</t>
  </si>
  <si>
    <t>Kayfunavirus SH3</t>
  </si>
  <si>
    <t>Kayfunavirus SH4</t>
  </si>
  <si>
    <t>Kayfunavirus ST31</t>
  </si>
  <si>
    <t>Kayfunavirus Vec13</t>
  </si>
  <si>
    <t>Kayfunavirus YZ1</t>
  </si>
  <si>
    <t>Kayfunavirus ZG49</t>
  </si>
  <si>
    <t>Minipunavirus MmP1</t>
  </si>
  <si>
    <t>Minipunavirus MP2</t>
  </si>
  <si>
    <t>Ningirsuvirus JA10</t>
  </si>
  <si>
    <t>Ningirsuvirus ninurta</t>
  </si>
  <si>
    <t>Pektosvirus PP47</t>
  </si>
  <si>
    <t>Pektosvirus PP81</t>
  </si>
  <si>
    <t>Pektosvirus PPWS4</t>
  </si>
  <si>
    <t>Phutvirus PPpW4</t>
  </si>
  <si>
    <t>Pifdecavirus IBBPF7A</t>
  </si>
  <si>
    <t>Pifdecavirus Pf10</t>
  </si>
  <si>
    <t>Pifdecavirus PFP1</t>
  </si>
  <si>
    <t>Pifdecavirus PhiS1</t>
  </si>
  <si>
    <t>Pifdecavirus pv22PfluR64PP</t>
  </si>
  <si>
    <t>Pifdecavirus UNOSLW1</t>
  </si>
  <si>
    <t>Pijolavirus PspYZU08</t>
  </si>
  <si>
    <t>Przondovirus 2044307w</t>
  </si>
  <si>
    <t>Przondovirus BIS33</t>
  </si>
  <si>
    <t>Przondovirus henu1</t>
  </si>
  <si>
    <t>Przondovirus IL33</t>
  </si>
  <si>
    <t>Przondovirus IME205</t>
  </si>
  <si>
    <t>Przondovirus IME321</t>
  </si>
  <si>
    <t>Przondovirus K5</t>
  </si>
  <si>
    <t>Przondovirus K11</t>
  </si>
  <si>
    <t>Przondovirus K30</t>
  </si>
  <si>
    <t>Przondovirus K52</t>
  </si>
  <si>
    <t>Przondovirus K54</t>
  </si>
  <si>
    <t>Przondovirus KN11</t>
  </si>
  <si>
    <t>Przondovirus KN31</t>
  </si>
  <si>
    <t>Przondovirus KN41</t>
  </si>
  <si>
    <t>Przondovirus Kp1</t>
  </si>
  <si>
    <t>Przondovirus KP32</t>
  </si>
  <si>
    <t>Przondovirus KP32i192</t>
  </si>
  <si>
    <t>Przondovirus KP32i194</t>
  </si>
  <si>
    <t>Przondovirus KP32i195</t>
  </si>
  <si>
    <t>Przondovirus KP32i196</t>
  </si>
  <si>
    <t>Przondovirus kpssk3</t>
  </si>
  <si>
    <t>Przondovirus KpV289</t>
  </si>
  <si>
    <t>Przondovirus KpV763</t>
  </si>
  <si>
    <t>Przondovirus KpV766</t>
  </si>
  <si>
    <t>Przondovirus KpV767</t>
  </si>
  <si>
    <t>Przondovirus pharr</t>
  </si>
  <si>
    <t>Przondovirus PRA33</t>
  </si>
  <si>
    <t>Przondovirus SHKp152234</t>
  </si>
  <si>
    <t>Przondovirus SHKp152410</t>
  </si>
  <si>
    <t>Teetrevirus 2050H2</t>
  </si>
  <si>
    <t>Teetrevirus AP5</t>
  </si>
  <si>
    <t>Teetrevirus CFP1</t>
  </si>
  <si>
    <t>Teetrevirus E2</t>
  </si>
  <si>
    <t>Teetrevirus E3</t>
  </si>
  <si>
    <t>Teetrevirus ECA2</t>
  </si>
  <si>
    <t>Teetrevirus KPN3</t>
  </si>
  <si>
    <t>Teetrevirus LL2</t>
  </si>
  <si>
    <t>Teetrevirus RPN15</t>
  </si>
  <si>
    <t>Teetrevirus SGJL2</t>
  </si>
  <si>
    <t>Teetrevirus SH1</t>
  </si>
  <si>
    <t>Teetrevirus SH2</t>
  </si>
  <si>
    <t>Teetrevirus SM93Y</t>
  </si>
  <si>
    <t>Teetrevirus T3</t>
  </si>
  <si>
    <t>Teetrevirus T3Luria</t>
  </si>
  <si>
    <t>Teetrevirus T7M</t>
  </si>
  <si>
    <t>Teetrevirus tv10164302</t>
  </si>
  <si>
    <t>Teetrevirus YeF10</t>
  </si>
  <si>
    <t>Teetrevirus YeO312</t>
  </si>
  <si>
    <t>Teseptimavirus 13a</t>
  </si>
  <si>
    <t>Teseptimavirus C5</t>
  </si>
  <si>
    <t>Teseptimavirus CICC80001</t>
  </si>
  <si>
    <t>Teseptimavirus ebrios</t>
  </si>
  <si>
    <t>Teseptimavirus EG1</t>
  </si>
  <si>
    <t>Teseptimavirus HZ2R8</t>
  </si>
  <si>
    <t>Teseptimavirus HZP2</t>
  </si>
  <si>
    <t>Teseptimavirus IME15</t>
  </si>
  <si>
    <t>Teseptimavirus IME390</t>
  </si>
  <si>
    <t>Teseptimavirus N30</t>
  </si>
  <si>
    <t>Teseptimavirus NCA</t>
  </si>
  <si>
    <t>Teseptimavirus T7</t>
  </si>
  <si>
    <t>Teseptimavirus tv3A8767</t>
  </si>
  <si>
    <t>Teseptimavirus tv64795ec1</t>
  </si>
  <si>
    <t>Teseptimavirus Vi06</t>
  </si>
  <si>
    <t>Teseptimavirus YpPY</t>
  </si>
  <si>
    <t>Teseptimavirus YpsPG</t>
  </si>
  <si>
    <t>Troedvirus Phi15</t>
  </si>
  <si>
    <t>Unyawovirus DUPPII</t>
  </si>
  <si>
    <t>Warsawvirus 3MF5</t>
  </si>
  <si>
    <t>Aegirvirus SCBP42</t>
  </si>
  <si>
    <t>Anchaingvirus anchaing</t>
  </si>
  <si>
    <t>Aqualcavirus P14</t>
  </si>
  <si>
    <t>Atuphduovirus atuph02</t>
  </si>
  <si>
    <t>Atuphduovirus atuph03</t>
  </si>
  <si>
    <t>Ayakvirus Ap1</t>
  </si>
  <si>
    <t>Banchanvirus SS1201</t>
  </si>
  <si>
    <t>Bifseptvirus andromeda</t>
  </si>
  <si>
    <t>Bifseptvirus Bf7</t>
  </si>
  <si>
    <t>Bonnellvirus J865</t>
  </si>
  <si>
    <t>Bonnellvirus lidtsur</t>
  </si>
  <si>
    <t>Cheungvirus NATL1A7</t>
  </si>
  <si>
    <t>Cuernavacavirus RHEph02</t>
  </si>
  <si>
    <t>Cuernavacavirus RHEph08</t>
  </si>
  <si>
    <t>Cuernavacavirus RHEph09</t>
  </si>
  <si>
    <t>Cyclitvirus cyclit</t>
  </si>
  <si>
    <t>Ermolevavirus PGT2</t>
  </si>
  <si>
    <t>Ermolevavirus PhiKT</t>
  </si>
  <si>
    <t>Foturvirus H44</t>
  </si>
  <si>
    <t>Gajwadongvirus ECBP5</t>
  </si>
  <si>
    <t>Gajwadongvirus PP99</t>
  </si>
  <si>
    <t>Gyeongsanvirus DURPI</t>
  </si>
  <si>
    <t>Gyeongsanvirus RsoP1EGY</t>
  </si>
  <si>
    <t>Igirivirus STIP37</t>
  </si>
  <si>
    <t>Jiaoyazivirus RSB3</t>
  </si>
  <si>
    <t>Kafavirus SWcelC56</t>
  </si>
  <si>
    <t>Kajamvirus SRIP1</t>
  </si>
  <si>
    <t>Kakivirus PS3</t>
  </si>
  <si>
    <t>Kalppathivirus P26059B</t>
  </si>
  <si>
    <t>Kelmasvirus RSB2</t>
  </si>
  <si>
    <t>Kembevirus SCBP2</t>
  </si>
  <si>
    <t>Lauvirus lau218</t>
  </si>
  <si>
    <t>Limelightvirus limelight</t>
  </si>
  <si>
    <t>Lingvirus PGSP1</t>
  </si>
  <si>
    <t>Lirvirus SCBP3</t>
  </si>
  <si>
    <t>Lullwatervirus lullwater</t>
  </si>
  <si>
    <t>Maculvirus KF1</t>
  </si>
  <si>
    <t>Maculvirus KF2</t>
  </si>
  <si>
    <t>Maculvirus OWB</t>
  </si>
  <si>
    <t>Maculvirus VP93</t>
  </si>
  <si>
    <t>Napahaivirus VSW3</t>
  </si>
  <si>
    <t>Paadamvirus RHEph01</t>
  </si>
  <si>
    <t>Pairvirus Lo5R7ANS</t>
  </si>
  <si>
    <t>Pelagivirus HTVC019P</t>
  </si>
  <si>
    <t>Percyvirus percy</t>
  </si>
  <si>
    <t>Piedvirus IMEDE1</t>
  </si>
  <si>
    <t>Pollyceevirus pollyC</t>
  </si>
  <si>
    <t>Poseidonvirus SCBP4</t>
  </si>
  <si>
    <t>Pradovirus f20</t>
  </si>
  <si>
    <t>Pradovirus f30</t>
  </si>
  <si>
    <t>Pradovirus prado</t>
  </si>
  <si>
    <t>Pradovirus XAJ24</t>
  </si>
  <si>
    <t>Pradovirus Xc10</t>
  </si>
  <si>
    <t>Qadamvirus SB28</t>
  </si>
  <si>
    <t>Scottvirus scott</t>
  </si>
  <si>
    <t>Sednavirus SRIP2</t>
  </si>
  <si>
    <t>Serkorvirus ITL1</t>
  </si>
  <si>
    <t>Stompelvirus RPSC1</t>
  </si>
  <si>
    <t>Stopavirus HTVC011P</t>
  </si>
  <si>
    <t>Tangaroavirus NATL2A133</t>
  </si>
  <si>
    <t>Tangaroavirus PSSP10</t>
  </si>
  <si>
    <t>Tangaroavirus tv951510a</t>
  </si>
  <si>
    <t>Tawavirus JSF7</t>
  </si>
  <si>
    <t>Tiamatvirus PSSP7</t>
  </si>
  <si>
    <t>Tiilvirus P60</t>
  </si>
  <si>
    <t>Tritonvirus PSSP2</t>
  </si>
  <si>
    <t>Tritonvirus PSSP3</t>
  </si>
  <si>
    <t>Voetvirus syn5</t>
  </si>
  <si>
    <t>Waewaevirus limezero</t>
  </si>
  <si>
    <t>Wuhanvirus PHB01</t>
  </si>
  <si>
    <t>Wuhanvirus PHB02</t>
  </si>
  <si>
    <t>Youngvirus</t>
  </si>
  <si>
    <t>Youngvirus G1</t>
  </si>
  <si>
    <t>Casjensviridae</t>
  </si>
  <si>
    <t>Broinstvirus</t>
  </si>
  <si>
    <t>Broinstvirus pCB2051A</t>
  </si>
  <si>
    <t>Cenphatecvirus</t>
  </si>
  <si>
    <t>Cenphatecvirus saba</t>
  </si>
  <si>
    <t>Chivirus BSPM4</t>
  </si>
  <si>
    <t>Chivirus chi</t>
  </si>
  <si>
    <t>Chivirus cv35</t>
  </si>
  <si>
    <t>Chivirus cv37</t>
  </si>
  <si>
    <t>Chivirus cv118970sal1</t>
  </si>
  <si>
    <t>Chivirus ER24</t>
  </si>
  <si>
    <t>Chivirus FSLSP030</t>
  </si>
  <si>
    <t>Chivirus FSLSP088</t>
  </si>
  <si>
    <t>Chivirus iEPS5</t>
  </si>
  <si>
    <t>Chivirus KFSSE1</t>
  </si>
  <si>
    <t>Chivirus KpYy141</t>
  </si>
  <si>
    <t>Chivirus SeWh1</t>
  </si>
  <si>
    <t>Chivirus siskin</t>
  </si>
  <si>
    <t>Chivirus SPN19</t>
  </si>
  <si>
    <t>Chivirus ST101</t>
  </si>
  <si>
    <t>Chivirus YSD1</t>
  </si>
  <si>
    <t>Dunedinvirus</t>
  </si>
  <si>
    <t>Dunedinvirus JS26</t>
  </si>
  <si>
    <t>Enchivirus</t>
  </si>
  <si>
    <t>Enchivirus Enc34</t>
  </si>
  <si>
    <t>Fengtaivirus</t>
  </si>
  <si>
    <t>Fengtaivirus Axp2</t>
  </si>
  <si>
    <t>Gediminasvirus</t>
  </si>
  <si>
    <t>Gediminasvirus AchV4</t>
  </si>
  <si>
    <t>Gwanakrovirus</t>
  </si>
  <si>
    <t>Gwanakrovirus SNUABM08</t>
  </si>
  <si>
    <t>Jacunavirus</t>
  </si>
  <si>
    <t>Jacunavirus JC01</t>
  </si>
  <si>
    <t>Kokobelvirus</t>
  </si>
  <si>
    <t>Kokobelvirus kokobel1</t>
  </si>
  <si>
    <t>Lavrentievavirus</t>
  </si>
  <si>
    <t>Lavrentieva E21</t>
  </si>
  <si>
    <t>Lavrentieva PM87</t>
  </si>
  <si>
    <t>Lavrentieva pPM01</t>
  </si>
  <si>
    <t>Maxdohrnvirus</t>
  </si>
  <si>
    <t>Maxdohrnvirus SS2019XI</t>
  </si>
  <si>
    <t>Newforgelanevirus</t>
  </si>
  <si>
    <t>Newforgelanevirus MA12</t>
  </si>
  <si>
    <t>Phobosvirus</t>
  </si>
  <si>
    <t>Phobosvirus phobos</t>
  </si>
  <si>
    <t>Phobosvirus PspYZU01</t>
  </si>
  <si>
    <t>Redjacvirus</t>
  </si>
  <si>
    <t>Redjacvirus piberecoleta</t>
  </si>
  <si>
    <t>Redjacvirus redjac</t>
  </si>
  <si>
    <t>Redjacvirus stilesk</t>
  </si>
  <si>
    <t>Salvovirus</t>
  </si>
  <si>
    <t>Salvovirus bacata</t>
  </si>
  <si>
    <t>Salvovirus salvo</t>
  </si>
  <si>
    <t>Seodaemunguvirus</t>
  </si>
  <si>
    <t>Seodaemunguvirus YMC16-01N133</t>
  </si>
  <si>
    <t>Sessunavirus</t>
  </si>
  <si>
    <t>Sessunavirus SESS1</t>
  </si>
  <si>
    <t>Sharonstreetvirus</t>
  </si>
  <si>
    <t>Sharonstreetvirus A18P4</t>
  </si>
  <si>
    <t>Sharonstreetvirus BUCT551</t>
  </si>
  <si>
    <t>Sharonstreetvirus LAh7</t>
  </si>
  <si>
    <t>Yonseivirus N137</t>
  </si>
  <si>
    <t>Yonseivirus seifer</t>
  </si>
  <si>
    <t>Yonseivirus soft</t>
  </si>
  <si>
    <t>Zhonglingvirus</t>
  </si>
  <si>
    <t>Zhonglingvirus SAP012</t>
  </si>
  <si>
    <t>Carltongylesvirus flopper</t>
  </si>
  <si>
    <t>Carltongylesvirus GJ1</t>
  </si>
  <si>
    <t>Carltongylesvirus mangalitsa</t>
  </si>
  <si>
    <t>Carltongylesvirus ST32</t>
  </si>
  <si>
    <t>Faunusvirus faunus</t>
  </si>
  <si>
    <t>Loessnervirus SSEM1</t>
  </si>
  <si>
    <t>Loessnervirus Y2</t>
  </si>
  <si>
    <t>Myducvirus myduc</t>
  </si>
  <si>
    <t>Sabourvirus sv4HA13</t>
  </si>
  <si>
    <t>Suwonvirus PM1</t>
  </si>
  <si>
    <t>Suwonvirus PP101</t>
  </si>
  <si>
    <t>Pahsextavirus pAh6C</t>
  </si>
  <si>
    <t>Yushanvirus Spp001</t>
  </si>
  <si>
    <t>Yushanvirus SppYZU05</t>
  </si>
  <si>
    <t>Shantouvirus</t>
  </si>
  <si>
    <t>Shantouvirus ZPAH14</t>
  </si>
  <si>
    <t>Cetovirus ceto</t>
  </si>
  <si>
    <t>Jesfedecavirus JSF10</t>
  </si>
  <si>
    <t>Jesfedecavirus JSF12</t>
  </si>
  <si>
    <t>Jesfedecavirus phi3</t>
  </si>
  <si>
    <t>Thalassavirus</t>
  </si>
  <si>
    <t>Thalassavirus achelous</t>
  </si>
  <si>
    <t>Thalassavirus AG74</t>
  </si>
  <si>
    <t>Thalassavirus athena</t>
  </si>
  <si>
    <t>Thalassavirus bennett</t>
  </si>
  <si>
    <t>Thalassavirus brizo</t>
  </si>
  <si>
    <t>Thalassavirus chester</t>
  </si>
  <si>
    <t>Thalassavirus cody</t>
  </si>
  <si>
    <t>Thalassavirus gary</t>
  </si>
  <si>
    <t>Thalassavirus pontus</t>
  </si>
  <si>
    <t>Thalassavirus quinn</t>
  </si>
  <si>
    <t>Thalassavirus river4</t>
  </si>
  <si>
    <t>Thalassavirus thalassa</t>
  </si>
  <si>
    <t>Vipunavirus pVp1</t>
  </si>
  <si>
    <t>Epseptimavirus 100268sal2</t>
  </si>
  <si>
    <t>Epseptimavirus 118970sal2</t>
  </si>
  <si>
    <t>Epseptimavirus atrejo</t>
  </si>
  <si>
    <t>Epseptimavirus bastian</t>
  </si>
  <si>
    <t>Epseptimavirus bombadil</t>
  </si>
  <si>
    <t>Epseptimavirus EPS7</t>
  </si>
  <si>
    <t>Epseptimavirus ev23</t>
  </si>
  <si>
    <t>Epseptimavirus ev119</t>
  </si>
  <si>
    <t>Epseptimavirus ev123</t>
  </si>
  <si>
    <t>Epseptimavirus ev129</t>
  </si>
  <si>
    <t>Epseptimavirus ev329</t>
  </si>
  <si>
    <t>Epseptimavirus faergetype</t>
  </si>
  <si>
    <t>Epseptimavirus fuchur</t>
  </si>
  <si>
    <t>Epseptimavirus LVR16A</t>
  </si>
  <si>
    <t>Epseptimavirus mar003J3</t>
  </si>
  <si>
    <t>Epseptimavirus oselot</t>
  </si>
  <si>
    <t>Epseptimavirus OSYSTA</t>
  </si>
  <si>
    <t>Epseptimavirus R201</t>
  </si>
  <si>
    <t>Epseptimavirus RN29</t>
  </si>
  <si>
    <t>Epseptimavirus rokbiter</t>
  </si>
  <si>
    <t>Epseptimavirus S113</t>
  </si>
  <si>
    <t>Epseptimavirus S114</t>
  </si>
  <si>
    <t>Epseptimavirus S116</t>
  </si>
  <si>
    <t>Epseptimavirus S124</t>
  </si>
  <si>
    <t>Epseptimavirus S126</t>
  </si>
  <si>
    <t>Epseptimavirus S132</t>
  </si>
  <si>
    <t>Epseptimavirus S133</t>
  </si>
  <si>
    <t>Epseptimavirus S147</t>
  </si>
  <si>
    <t>Epseptimavirus saus132</t>
  </si>
  <si>
    <t>Epseptimavirus SB13</t>
  </si>
  <si>
    <t>Epseptimavirus SE24</t>
  </si>
  <si>
    <t>Epseptimavirus seafire</t>
  </si>
  <si>
    <t>Epseptimavirus sepoy</t>
  </si>
  <si>
    <t>Epseptimavirus SH9</t>
  </si>
  <si>
    <t>Epseptimavirus STG2</t>
  </si>
  <si>
    <t>Epseptimavirus stitch</t>
  </si>
  <si>
    <t>Epseptimavirus Sw2</t>
  </si>
  <si>
    <t>Tequintavirus AKFV33</t>
  </si>
  <si>
    <t>Tequintavirus APCEc03</t>
  </si>
  <si>
    <t>Tequintavirus BF23</t>
  </si>
  <si>
    <t>Tequintavirus chee24</t>
  </si>
  <si>
    <t>Tequintavirus DT5712</t>
  </si>
  <si>
    <t>Tequintavirus DT57C</t>
  </si>
  <si>
    <t>Tequintavirus FFH1</t>
  </si>
  <si>
    <t>Tequintavirus fp01</t>
  </si>
  <si>
    <t>Tequintavirus gostya9</t>
  </si>
  <si>
    <t>Tequintavirus H8</t>
  </si>
  <si>
    <t>Tequintavirus HdH2</t>
  </si>
  <si>
    <t>Tequintavirus L6jm</t>
  </si>
  <si>
    <t>Tequintavirus LLS</t>
  </si>
  <si>
    <t>Tequintavirus mar004NP2</t>
  </si>
  <si>
    <t>Tequintavirus NBEco001</t>
  </si>
  <si>
    <t>Tequintavirus NBEco002</t>
  </si>
  <si>
    <t>Tequintavirus NBSal003</t>
  </si>
  <si>
    <t>Tequintavirus NBSal005</t>
  </si>
  <si>
    <t>Tequintavirus NR01</t>
  </si>
  <si>
    <t>Tequintavirus oldekolle</t>
  </si>
  <si>
    <t>Tequintavirus OSYSP</t>
  </si>
  <si>
    <t>Tequintavirus S131</t>
  </si>
  <si>
    <t>Tequintavirus SE11</t>
  </si>
  <si>
    <t>Tequintavirus shivani</t>
  </si>
  <si>
    <t>Tequintavirus SHSML45</t>
  </si>
  <si>
    <t>Tequintavirus slur09</t>
  </si>
  <si>
    <t>Tequintavirus SP01</t>
  </si>
  <si>
    <t>Tequintavirus SP3</t>
  </si>
  <si>
    <t>Tequintavirus SP15</t>
  </si>
  <si>
    <t>Tequintavirus SPC35</t>
  </si>
  <si>
    <t>Tequintavirus SSP1</t>
  </si>
  <si>
    <t>Tequintavirus T5</t>
  </si>
  <si>
    <t>Tequintavirus Th1</t>
  </si>
  <si>
    <t>Tequintavirus VEc33</t>
  </si>
  <si>
    <t>Tequintavirus VSe12</t>
  </si>
  <si>
    <t>Hongcheonvirus DUPPV</t>
  </si>
  <si>
    <t>Myunavirus My1</t>
  </si>
  <si>
    <t>Novosibvirus PM135</t>
  </si>
  <si>
    <t>Novosibvirus stubb</t>
  </si>
  <si>
    <t>Pogseptimavirus PG07</t>
  </si>
  <si>
    <t>Pogseptimavirus VspSw1</t>
  </si>
  <si>
    <t>Priunavirus PR1</t>
  </si>
  <si>
    <t>Priunavirus PSTCR5</t>
  </si>
  <si>
    <t>Shenzhenvirus AhSzq1</t>
  </si>
  <si>
    <t>Shenzhenvirus AhSzw1</t>
  </si>
  <si>
    <t>Sugarlandvirus IME260</t>
  </si>
  <si>
    <t>Sugarlandvirus sugarland</t>
  </si>
  <si>
    <t>Christensenvirus IME542</t>
  </si>
  <si>
    <t>Guelphvirus ACGM12</t>
  </si>
  <si>
    <t>Loudonvirus DTL</t>
  </si>
  <si>
    <t>Rtpvirus IME253</t>
  </si>
  <si>
    <t>Rtpvirus Rtp</t>
  </si>
  <si>
    <t>Veterinaerplatzvirus vv12210I</t>
  </si>
  <si>
    <t>Eastlansingvirus Sf12</t>
  </si>
  <si>
    <t>Lindendrivevirus EB49</t>
  </si>
  <si>
    <t>Rogunavirus AHP42</t>
  </si>
  <si>
    <t>Rogunavirus AHS24</t>
  </si>
  <si>
    <t>Rogunavirus AKS96</t>
  </si>
  <si>
    <t>Rogunavirus C119</t>
  </si>
  <si>
    <t>Rogunavirus E41c</t>
  </si>
  <si>
    <t>Rogunavirus Jk06</t>
  </si>
  <si>
    <t>Rogunavirus JLA23</t>
  </si>
  <si>
    <t>Rogunavirus KP26</t>
  </si>
  <si>
    <t>Rogunavirus rogue1</t>
  </si>
  <si>
    <t>Wilsonroadvirus Sd1</t>
  </si>
  <si>
    <t>Changchunvirus W011D</t>
  </si>
  <si>
    <t>Hanrivervirus aalborv</t>
  </si>
  <si>
    <t>Hanrivervirus aaroes</t>
  </si>
  <si>
    <t>Hanrivervirus damhaus</t>
  </si>
  <si>
    <t>Hanrivervirus egaa</t>
  </si>
  <si>
    <t>Hanrivervirus G292</t>
  </si>
  <si>
    <t>Hanrivervirus grams</t>
  </si>
  <si>
    <t>Hanrivervirus haarsle</t>
  </si>
  <si>
    <t>Hanrivervirus henu8</t>
  </si>
  <si>
    <t>Hanrivervirus herni</t>
  </si>
  <si>
    <t>Hanrivervirus hv2019SD1</t>
  </si>
  <si>
    <t>Hanrivervirus PGN590</t>
  </si>
  <si>
    <t>Hanrivervirus pSf1</t>
  </si>
  <si>
    <t>Hanrivervirus slyngel</t>
  </si>
  <si>
    <t>Hanrivervirus vojen</t>
  </si>
  <si>
    <t>Henuseptimavirus henu7</t>
  </si>
  <si>
    <t>Tlsvirus DK2017</t>
  </si>
  <si>
    <t>Tlsvirus LL5</t>
  </si>
  <si>
    <t>Tlsvirus PHB07</t>
  </si>
  <si>
    <t>Tlsvirus phSE2</t>
  </si>
  <si>
    <t>Tlsvirus sazh</t>
  </si>
  <si>
    <t>Tlsvirus SP126</t>
  </si>
  <si>
    <t>Tlsvirus stevie</t>
  </si>
  <si>
    <t>Tlsvirus TLS</t>
  </si>
  <si>
    <t>Tlsvirus YSP2</t>
  </si>
  <si>
    <t>Warwickvirus atuna</t>
  </si>
  <si>
    <t>Warwickvirus JK16</t>
  </si>
  <si>
    <t>Warwickvirus mar001J1</t>
  </si>
  <si>
    <t>Warwickvirus SECphi27</t>
  </si>
  <si>
    <t>Warwickvirus SLUR29</t>
  </si>
  <si>
    <t>Warwickvirus swan01</t>
  </si>
  <si>
    <t>Warwickvirus tiwna</t>
  </si>
  <si>
    <t>Warwickvirus tonijn</t>
  </si>
  <si>
    <t>Warwickvirus tonn</t>
  </si>
  <si>
    <t>Warwickvirus tonnikala</t>
  </si>
  <si>
    <t>Warwickvirus tunus</t>
  </si>
  <si>
    <t>Warwickvirus wv95</t>
  </si>
  <si>
    <t>Badaguanvirus IME347</t>
  </si>
  <si>
    <t>Sertoctavirus SRT8</t>
  </si>
  <si>
    <t>Tunavirus ADB2</t>
  </si>
  <si>
    <t>Tunavirus BIFF</t>
  </si>
  <si>
    <t>Tunavirus DELF2</t>
  </si>
  <si>
    <t>Tunavirus IME18</t>
  </si>
  <si>
    <t>Tunavirus ISF001</t>
  </si>
  <si>
    <t>Tunavirus ISF002</t>
  </si>
  <si>
    <t>Tunavirus JMPW1</t>
  </si>
  <si>
    <t>Tunavirus JMPW2</t>
  </si>
  <si>
    <t>Tunavirus PSf2</t>
  </si>
  <si>
    <t>Tunavirus Sfin1</t>
  </si>
  <si>
    <t>Tunavirus Sfin3</t>
  </si>
  <si>
    <t>Tunavirus SH2</t>
  </si>
  <si>
    <t>Tunavirus SH6</t>
  </si>
  <si>
    <t>Tunavirus Shfl1</t>
  </si>
  <si>
    <t>Tunavirus T1</t>
  </si>
  <si>
    <t>Eclunavirus EcL1</t>
  </si>
  <si>
    <t>Hicfunavirus HCF1</t>
  </si>
  <si>
    <t>Jhansiroadvirus gwaliVC1</t>
  </si>
  <si>
    <t>Kyungwonvirus CS01</t>
  </si>
  <si>
    <t>Kyungwonvirus Esp29491</t>
  </si>
  <si>
    <t>Nouzillyvirus ESCO41</t>
  </si>
  <si>
    <t>Sauletekiovirus AAS23</t>
  </si>
  <si>
    <t>Vilniusvirus NBD2</t>
  </si>
  <si>
    <t>Webervirus alina</t>
  </si>
  <si>
    <t>Webervirus call</t>
  </si>
  <si>
    <t>Webervirus domnhall</t>
  </si>
  <si>
    <t>Webervirus F20</t>
  </si>
  <si>
    <t>Webervirus FZ10</t>
  </si>
  <si>
    <t>Webervirus GHK3</t>
  </si>
  <si>
    <t>Webervirus IMGroot</t>
  </si>
  <si>
    <t>Webervirus JY917</t>
  </si>
  <si>
    <t>Webervirus KL</t>
  </si>
  <si>
    <t>Webervirus KLPN1</t>
  </si>
  <si>
    <t>Webervirus KLPPOU149</t>
  </si>
  <si>
    <t>Webervirus KOX1</t>
  </si>
  <si>
    <t>Webervirus KP36</t>
  </si>
  <si>
    <t>Webervirus KP1801</t>
  </si>
  <si>
    <t>Webervirus KpCol1</t>
  </si>
  <si>
    <t>Webervirus KpKT21phi1</t>
  </si>
  <si>
    <t>Webervirus KpNIH2</t>
  </si>
  <si>
    <t>Webervirus KpV522</t>
  </si>
  <si>
    <t>Webervirus mezzogao</t>
  </si>
  <si>
    <t>Webervirus N141</t>
  </si>
  <si>
    <t>Webervirus NJS1</t>
  </si>
  <si>
    <t>Webervirus PKP126</t>
  </si>
  <si>
    <t>Webervirus segescirculi</t>
  </si>
  <si>
    <t>Webervirus shelby</t>
  </si>
  <si>
    <t>Webervirus sin4</t>
  </si>
  <si>
    <t>Webervirus skenny</t>
  </si>
  <si>
    <t>Webervirus sushi</t>
  </si>
  <si>
    <t>Webervirus sweeny</t>
  </si>
  <si>
    <t>Webervirus TAH8</t>
  </si>
  <si>
    <t>Webervirus TSK1</t>
  </si>
  <si>
    <t>Webervirus wv13</t>
  </si>
  <si>
    <t>Webervirus wv1513</t>
  </si>
  <si>
    <t>Duneviridae</t>
  </si>
  <si>
    <t>Ingelinevirus</t>
  </si>
  <si>
    <t>Ingelinevirus ingeline</t>
  </si>
  <si>
    <t>Labanvirus laban</t>
  </si>
  <si>
    <t>Unahavirus uv1H</t>
  </si>
  <si>
    <t>Unahavirus uv23T</t>
  </si>
  <si>
    <t>Unahavirus uv2A</t>
  </si>
  <si>
    <t>Unahavirus uv6H</t>
  </si>
  <si>
    <t>Fervensviridae</t>
  </si>
  <si>
    <t>Deepoceanvirus</t>
  </si>
  <si>
    <t>Deepoceanvirus guaymasense</t>
  </si>
  <si>
    <t>Forsetiviridae</t>
  </si>
  <si>
    <t>Freyavirus</t>
  </si>
  <si>
    <t>Freyavirus danklef</t>
  </si>
  <si>
    <t>Freyavirus freya</t>
  </si>
  <si>
    <t>Fredfastierviridae</t>
  </si>
  <si>
    <t>Jamesmcgillvirus</t>
  </si>
  <si>
    <t>Jamesmcgillvirus jv119X</t>
  </si>
  <si>
    <t>Jamesmcgillvirus PaMx41</t>
  </si>
  <si>
    <t>Grimontviridae</t>
  </si>
  <si>
    <t>Crifsvirus</t>
  </si>
  <si>
    <t>Crifsvirus A24</t>
  </si>
  <si>
    <t>Crifsvirus GAP52</t>
  </si>
  <si>
    <t>Dalianvirus</t>
  </si>
  <si>
    <t>Dalianvirus R1</t>
  </si>
  <si>
    <t>Libingvirus</t>
  </si>
  <si>
    <t>Libingvirus BUCT695</t>
  </si>
  <si>
    <t>Moazamivirus</t>
  </si>
  <si>
    <t>Moazamivirus 711</t>
  </si>
  <si>
    <t>Moazamivirus SE131</t>
  </si>
  <si>
    <t>Privateervirus 3H1020</t>
  </si>
  <si>
    <t>Privateervirus P59</t>
  </si>
  <si>
    <t>Privateervirus privateer</t>
  </si>
  <si>
    <t>Privateervirus pv009</t>
  </si>
  <si>
    <t>Capvunavirus CpV1</t>
  </si>
  <si>
    <t>Gregsiragusavirus CPD2</t>
  </si>
  <si>
    <t>Gregsiragusavirus CPS1</t>
  </si>
  <si>
    <t>Gregsiragusavirus phi24R</t>
  </si>
  <si>
    <t>Brucesealvirus CP7R</t>
  </si>
  <si>
    <t>Brucesealvirus CPS2</t>
  </si>
  <si>
    <t>Brucesealvirus CPV4</t>
  </si>
  <si>
    <t>Brucesealvirus ZP2</t>
  </si>
  <si>
    <t>Hzauvirus</t>
  </si>
  <si>
    <t>Hzauvirus LPCPA6</t>
  </si>
  <si>
    <t>Susfortunavirus susfortuna</t>
  </si>
  <si>
    <t>Helgolandviridae</t>
  </si>
  <si>
    <t>Leefvirus</t>
  </si>
  <si>
    <t>Leefvirus Leef</t>
  </si>
  <si>
    <t>Agatevirus agate</t>
  </si>
  <si>
    <t>Agatevirus bobb</t>
  </si>
  <si>
    <t>Agatevirus Bp8pC</t>
  </si>
  <si>
    <t>Bastillevirus bastille</t>
  </si>
  <si>
    <t>Bastillevirus CAM003</t>
  </si>
  <si>
    <t>Bastillevirus evoli</t>
  </si>
  <si>
    <t>Bastillevirus hoodyT</t>
  </si>
  <si>
    <t>Bequatrovirus avesobmore</t>
  </si>
  <si>
    <t>Bequatrovirus B4</t>
  </si>
  <si>
    <t>Bequatrovirus bigbertha</t>
  </si>
  <si>
    <t>Bequatrovirus riley</t>
  </si>
  <si>
    <t>Bequatrovirus spock</t>
  </si>
  <si>
    <t>Bequatrovirus troll</t>
  </si>
  <si>
    <t>Caeruleovirus Bc431</t>
  </si>
  <si>
    <t>Caeruleovirus Bcp1</t>
  </si>
  <si>
    <t>Caeruleovirus BCP82</t>
  </si>
  <si>
    <t>Caeruleovirus BM15</t>
  </si>
  <si>
    <t>Caeruleovirus deepblue</t>
  </si>
  <si>
    <t>Caeruleovirus JBP901</t>
  </si>
  <si>
    <t>Eldridgevirus eldridge</t>
  </si>
  <si>
    <t>Goettingenvirus goe8</t>
  </si>
  <si>
    <t>Grisebachstrassevirus goe3</t>
  </si>
  <si>
    <t>Jeonjuvirus BSP38</t>
  </si>
  <si>
    <t>Matervirus mater</t>
  </si>
  <si>
    <t>Moonbeamvirus moonbeam</t>
  </si>
  <si>
    <t>Nitunavirus grass</t>
  </si>
  <si>
    <t>Nitunavirus NIT1</t>
  </si>
  <si>
    <t>Nitunavirus SPG24</t>
  </si>
  <si>
    <t>Shalavirus Shbh1</t>
  </si>
  <si>
    <t>Siophivirus SIOphi</t>
  </si>
  <si>
    <t>Tsarbombavirus BCP78</t>
  </si>
  <si>
    <t>Tsarbombavirus tsarbomba</t>
  </si>
  <si>
    <t>Wphvirus BPS13</t>
  </si>
  <si>
    <t>Wphvirus BPS10C</t>
  </si>
  <si>
    <t>Wphvirus hakuna</t>
  </si>
  <si>
    <t>Wphvirus megatron</t>
  </si>
  <si>
    <t>Wphvirus WPh</t>
  </si>
  <si>
    <t>Kochikohdavirus ECP3</t>
  </si>
  <si>
    <t>Kochikohdavirus EF24C</t>
  </si>
  <si>
    <t>Kochikohdavirus EFLK1</t>
  </si>
  <si>
    <t>Schiekvirus EFDG1</t>
  </si>
  <si>
    <t>Schiekvirus EFP01</t>
  </si>
  <si>
    <t>Schiekvirus EfV12</t>
  </si>
  <si>
    <t>Pecentumvirus A511</t>
  </si>
  <si>
    <t>Pecentumvirus AG20</t>
  </si>
  <si>
    <t>Pecentumvirus list36</t>
  </si>
  <si>
    <t>Pecentumvirus LMSP25</t>
  </si>
  <si>
    <t>Pecentumvirus LMTA34</t>
  </si>
  <si>
    <t>Pecentumvirus LMTA148</t>
  </si>
  <si>
    <t>Pecentumvirus LP048</t>
  </si>
  <si>
    <t>Pecentumvirus LP064</t>
  </si>
  <si>
    <t>Pecentumvirus LP0832</t>
  </si>
  <si>
    <t>Pecentumvirus P100</t>
  </si>
  <si>
    <t>Okubovirus camphawk</t>
  </si>
  <si>
    <t>Okubovirus SPO1</t>
  </si>
  <si>
    <t>Siminovitchvirus CP51</t>
  </si>
  <si>
    <t>Siminovitchvirus JL</t>
  </si>
  <si>
    <t>Siminovitchvirus shanette</t>
  </si>
  <si>
    <t>Baoshanvirus BS1</t>
  </si>
  <si>
    <t>Baoshanvirus BS2</t>
  </si>
  <si>
    <t>Kayvirus G1</t>
  </si>
  <si>
    <t>Kayvirus G15</t>
  </si>
  <si>
    <t>Kayvirus JD7</t>
  </si>
  <si>
    <t>Kayvirus kay</t>
  </si>
  <si>
    <t>Kayvirus MCE2014</t>
  </si>
  <si>
    <t>Kayvirus P108</t>
  </si>
  <si>
    <t>Kayvirus rodi</t>
  </si>
  <si>
    <t>Kayvirus S253</t>
  </si>
  <si>
    <t>Kayvirus S254</t>
  </si>
  <si>
    <t>Kayvirus SA12</t>
  </si>
  <si>
    <t>Kayvirus Sb1</t>
  </si>
  <si>
    <t>Sciuriunavirus SscM1</t>
  </si>
  <si>
    <t>Sepunavirus IPLAC1C</t>
  </si>
  <si>
    <t>Sepunavirus SEP1</t>
  </si>
  <si>
    <t>Silviavirus remus</t>
  </si>
  <si>
    <t>Silviavirus SA11</t>
  </si>
  <si>
    <t>Silviavirus stau2</t>
  </si>
  <si>
    <t>Twortvirus twort</t>
  </si>
  <si>
    <t>Elpedvirus LpeD</t>
  </si>
  <si>
    <t>Harbinvirus bacchae</t>
  </si>
  <si>
    <t>Harbinvirus bromius</t>
  </si>
  <si>
    <t>Harbinvirus iacchus</t>
  </si>
  <si>
    <t>Harbinvirus Lpa804</t>
  </si>
  <si>
    <t>Harbinvirus semele</t>
  </si>
  <si>
    <t>Hopescreekvirus LfeInf</t>
  </si>
  <si>
    <t>Klumppvirus</t>
  </si>
  <si>
    <t>Klumppvirus A9</t>
  </si>
  <si>
    <t>Mooreparkvirus Lb3381</t>
  </si>
  <si>
    <t>Salchichonvirus LP65</t>
  </si>
  <si>
    <t>Tybeckvirus SAC12B</t>
  </si>
  <si>
    <t>Tybeckvirus tv521B</t>
  </si>
  <si>
    <t>Watanabevirus wv3521</t>
  </si>
  <si>
    <t>Kleczkowskaviridae</t>
  </si>
  <si>
    <t>Cuauhnahuacvirus</t>
  </si>
  <si>
    <t>Cuauhnahuacvirus TM30</t>
  </si>
  <si>
    <t>Cuauhnahuacvirus Y65</t>
  </si>
  <si>
    <t>Kyanoviridae</t>
  </si>
  <si>
    <t>Acionnavirus monteraybay</t>
  </si>
  <si>
    <t>Ahtivirus sagseatwo</t>
  </si>
  <si>
    <t>Alisovirus</t>
  </si>
  <si>
    <t>Alisovirus socal22</t>
  </si>
  <si>
    <t>Anaposvirus socalone</t>
  </si>
  <si>
    <t>Atlauavirus acg2014f</t>
  </si>
  <si>
    <t>Atlauavirus caeruleum</t>
  </si>
  <si>
    <t>Atlauavirus tusconc8</t>
  </si>
  <si>
    <t>Bellamyvirus bellamy</t>
  </si>
  <si>
    <t>Bristolvirus</t>
  </si>
  <si>
    <t>Bristolvirus rhodeisland</t>
  </si>
  <si>
    <t>Brizovirus rhodeisland01</t>
  </si>
  <si>
    <t>Brizovirus rhodeisland06</t>
  </si>
  <si>
    <t>Brizovirus syn33</t>
  </si>
  <si>
    <t>Chalconvirus</t>
  </si>
  <si>
    <t>Chalconvirus acg2014e</t>
  </si>
  <si>
    <t>Chalconvirus acg2014i</t>
  </si>
  <si>
    <t>Charybdisvirus scam3</t>
  </si>
  <si>
    <t>Cymopoleiavirus swam2</t>
  </si>
  <si>
    <t>Emcearvirus</t>
  </si>
  <si>
    <t>Emcearvirus gerard</t>
  </si>
  <si>
    <t>Galenevirus</t>
  </si>
  <si>
    <t>Galenevirus mbcm1</t>
  </si>
  <si>
    <t>Gibbetvirus</t>
  </si>
  <si>
    <t>Gibbetvirus rsm4</t>
  </si>
  <si>
    <t>Glaucusvirus</t>
  </si>
  <si>
    <t>Glaucusvirus ssm5</t>
  </si>
  <si>
    <t>Greenvirus</t>
  </si>
  <si>
    <t>Greenvirus ssm4</t>
  </si>
  <si>
    <t>Haifavirus</t>
  </si>
  <si>
    <t>Haifavirus tim68</t>
  </si>
  <si>
    <t>Huanghaivirus</t>
  </si>
  <si>
    <t>Huanghaivirus snothree</t>
  </si>
  <si>
    <t>Kanaloavirus scam9</t>
  </si>
  <si>
    <t>Leucotheavirus sp4</t>
  </si>
  <si>
    <t>Leucotheavirus syn30</t>
  </si>
  <si>
    <t>Libanvirus ptim40</t>
  </si>
  <si>
    <t>Lipsvirus</t>
  </si>
  <si>
    <t>Lipsvirus ssm7</t>
  </si>
  <si>
    <t>Lowelvirus</t>
  </si>
  <si>
    <t>Lowelvirus tuscon4d</t>
  </si>
  <si>
    <t>Macariavirus</t>
  </si>
  <si>
    <t>Macariavirus tuscon14g</t>
  </si>
  <si>
    <t>Makaravirus</t>
  </si>
  <si>
    <t>Makaravirus thirtyfour</t>
  </si>
  <si>
    <t>Makelovirus</t>
  </si>
  <si>
    <t>Makelovirus prm1</t>
  </si>
  <si>
    <t>Mazuvirus scam7</t>
  </si>
  <si>
    <t>Namakavirus smbcm6</t>
  </si>
  <si>
    <t>Neptunevirus srim18</t>
  </si>
  <si>
    <t>Neptunevirus srim50</t>
  </si>
  <si>
    <t>Nereusvirus tusconc4</t>
  </si>
  <si>
    <t>Nereusvirus tusconc61</t>
  </si>
  <si>
    <t>Neritesvirus</t>
  </si>
  <si>
    <t>Neritesvirus scam8</t>
  </si>
  <si>
    <t>Nerrivikvirus srim2</t>
  </si>
  <si>
    <t>Nilusvirus</t>
  </si>
  <si>
    <t>Nilusvirus ssm2</t>
  </si>
  <si>
    <t>Nodensvirus spm2</t>
  </si>
  <si>
    <t>Ormenosvirus</t>
  </si>
  <si>
    <t>Ormenosvirus syn9</t>
  </si>
  <si>
    <t>Palaemonvirus pssm7</t>
  </si>
  <si>
    <t>Pontusvirus syn19</t>
  </si>
  <si>
    <t>Potamoivirus</t>
  </si>
  <si>
    <t>Potamoivirus cam4</t>
  </si>
  <si>
    <t>Potamoivirus tusconj</t>
  </si>
  <si>
    <t>Ronodorvirus pssm3</t>
  </si>
  <si>
    <t>Ronodorvirus ssm4</t>
  </si>
  <si>
    <t>Salacisavirus pssm2</t>
  </si>
  <si>
    <t>Scyllavirus</t>
  </si>
  <si>
    <t>Scyllavirus aitchnine</t>
  </si>
  <si>
    <t>Sedonavirus</t>
  </si>
  <si>
    <t>Sedonavirus tusconh</t>
  </si>
  <si>
    <t>Serangoonvirus</t>
  </si>
  <si>
    <t>Serangoonvirus essarone</t>
  </si>
  <si>
    <t>Shandvirus</t>
  </si>
  <si>
    <t>Shandvirus sb64</t>
  </si>
  <si>
    <t>Shandvirus sh35</t>
  </si>
  <si>
    <t>Shenzhenivirus</t>
  </si>
  <si>
    <t>Shenzhenivirus sszbm1</t>
  </si>
  <si>
    <t>Sokavirus</t>
  </si>
  <si>
    <t>Sokavirus swam1</t>
  </si>
  <si>
    <t>Tamkungvirus ST4</t>
  </si>
  <si>
    <t>Tefnutvirus siom18</t>
  </si>
  <si>
    <t>Thaumasvirus stim4</t>
  </si>
  <si>
    <t>Thetisvirus ssm1</t>
  </si>
  <si>
    <t>Vellamovirus rhodeisland44</t>
  </si>
  <si>
    <t>Vellamovirus syn1</t>
  </si>
  <si>
    <t>Yellowseavirus</t>
  </si>
  <si>
    <t>Yellowseavirus thirtyeight</t>
  </si>
  <si>
    <t>Yushanluvirus</t>
  </si>
  <si>
    <t>Yushanluvirus satich</t>
  </si>
  <si>
    <t>Zhoulongquanvirus</t>
  </si>
  <si>
    <t>Zhoulongquanvirus esscess</t>
  </si>
  <si>
    <t>Madisaviridae</t>
  </si>
  <si>
    <t>Clampvirus</t>
  </si>
  <si>
    <t>Mesyanzhinovviridae</t>
  </si>
  <si>
    <t>Bradleyvirinae</t>
  </si>
  <si>
    <t>Abidjanvirus ZC01</t>
  </si>
  <si>
    <t>Bosavirus</t>
  </si>
  <si>
    <t>Bosavirus bosa</t>
  </si>
  <si>
    <t>Epaquintavirus</t>
  </si>
  <si>
    <t>Epaquintavirus Epa5</t>
  </si>
  <si>
    <t>Xooduovirus</t>
  </si>
  <si>
    <t>Xooduovirus Xoosp2</t>
  </si>
  <si>
    <t>Rabinowitzvirinae</t>
  </si>
  <si>
    <t>Keylargovirus</t>
  </si>
  <si>
    <t>Keylargovirus JL001</t>
  </si>
  <si>
    <t>Molycolviridae</t>
  </si>
  <si>
    <t>Mollyvirus</t>
  </si>
  <si>
    <t>Mollyvirus colly</t>
  </si>
  <si>
    <t>Mollyvirus molly</t>
  </si>
  <si>
    <t>Naomviridae</t>
  </si>
  <si>
    <t>Noahvirus</t>
  </si>
  <si>
    <t>Noahvirus arc</t>
  </si>
  <si>
    <t>Orlajensenviridae</t>
  </si>
  <si>
    <t>Pelczarvirinae</t>
  </si>
  <si>
    <t>Bonaevitaevirus</t>
  </si>
  <si>
    <t>Bonaevitae bonaevitae</t>
  </si>
  <si>
    <t>Efekovirus</t>
  </si>
  <si>
    <t>Efkovirus efeko</t>
  </si>
  <si>
    <t>Paopuvirus</t>
  </si>
  <si>
    <t>Paopuvirus azizam</t>
  </si>
  <si>
    <t>Paopuvirus bri160</t>
  </si>
  <si>
    <t>Paopuvirus kaijohn</t>
  </si>
  <si>
    <t>Paopuvirus nobel</t>
  </si>
  <si>
    <t>Paopuvirus noelani</t>
  </si>
  <si>
    <t>Paopuvirus paopu</t>
  </si>
  <si>
    <t>Paopuvirus poranda</t>
  </si>
  <si>
    <t>Paopuvirus quaker</t>
  </si>
  <si>
    <t>Paopuvirus Scamander</t>
  </si>
  <si>
    <t>Pachyviridae</t>
  </si>
  <si>
    <t>Bacelvirus</t>
  </si>
  <si>
    <t>Bacelvirus phi46tres</t>
  </si>
  <si>
    <t>Baltivirus</t>
  </si>
  <si>
    <t>Baltivirus phi13duo</t>
  </si>
  <si>
    <t>Baltivirus phi18tres</t>
  </si>
  <si>
    <t>Baltivirus phi19tres</t>
  </si>
  <si>
    <t>Gundelvirus</t>
  </si>
  <si>
    <t>Gundelvirus Gundel</t>
  </si>
  <si>
    <t>Peduoviridae</t>
  </si>
  <si>
    <t>Aptresvirus</t>
  </si>
  <si>
    <t>Aptresvirus AP3</t>
  </si>
  <si>
    <t>Aptresvirus mana</t>
  </si>
  <si>
    <t>Aresaunavirus RSA1</t>
  </si>
  <si>
    <t>Aresaunavirus RsoM1USA</t>
  </si>
  <si>
    <t>Arsenicumvirus</t>
  </si>
  <si>
    <t>Arsenicumvirus M163</t>
  </si>
  <si>
    <t>Arsyunavirus</t>
  </si>
  <si>
    <t>Arsyunavirus RSY1</t>
  </si>
  <si>
    <t>Baylorvirus bv1127AP1</t>
  </si>
  <si>
    <t>Baylorvirus PHL101</t>
  </si>
  <si>
    <t>Bielevirus phiO18P</t>
  </si>
  <si>
    <t>Bracchivirus</t>
  </si>
  <si>
    <t>Bracchivirus U2F1</t>
  </si>
  <si>
    <t>Canoevirus canoe</t>
  </si>
  <si>
    <t>Catalunyavirus C5a</t>
  </si>
  <si>
    <t>Citexvirus BR319A</t>
  </si>
  <si>
    <t>Citexvirus dobby</t>
  </si>
  <si>
    <t>Citexvirus phiCTX</t>
  </si>
  <si>
    <t>Citexvirus PS75V</t>
  </si>
  <si>
    <t>Dagavirus</t>
  </si>
  <si>
    <t>Dagavirus ST13OXA48phi121</t>
  </si>
  <si>
    <t>Duodecimduovirus</t>
  </si>
  <si>
    <t>Duodecimduovirus phiE122</t>
  </si>
  <si>
    <t>Duonihilunusvirus</t>
  </si>
  <si>
    <t>Duonihilunusvirus YenM5617</t>
  </si>
  <si>
    <t>Duonihilunusvirus YenM06162</t>
  </si>
  <si>
    <t>Duonihilunusvirus YenM20116</t>
  </si>
  <si>
    <t>Eganvirus BIS20</t>
  </si>
  <si>
    <t>Eganvirus EtG</t>
  </si>
  <si>
    <t>Eganvirus ev186</t>
  </si>
  <si>
    <t>Eganvirus PsP3</t>
  </si>
  <si>
    <t>Eganvirus SEN1</t>
  </si>
  <si>
    <t>Eganvirus SW9</t>
  </si>
  <si>
    <t>Elveevirus</t>
  </si>
  <si>
    <t>Elveevirus 4LV2017</t>
  </si>
  <si>
    <t>Elveevirus cartapus</t>
  </si>
  <si>
    <t>Entnonagintavirus ENT90</t>
  </si>
  <si>
    <t>Evevirus</t>
  </si>
  <si>
    <t>Evevirus ev239</t>
  </si>
  <si>
    <t>Felsduovirus Fels2</t>
  </si>
  <si>
    <t>Felsduovirus IN60</t>
  </si>
  <si>
    <t>Felsduovirus RE2010</t>
  </si>
  <si>
    <t>Felsduovirus SEN8</t>
  </si>
  <si>
    <t>Felsduovirus SopEphi</t>
  </si>
  <si>
    <t>Finvirus</t>
  </si>
  <si>
    <t>Finvirus FIN13</t>
  </si>
  <si>
    <t>Firavirus</t>
  </si>
  <si>
    <t>Firavirus YenM4218</t>
  </si>
  <si>
    <t>Gegavirus</t>
  </si>
  <si>
    <t>Gegavirus ST15OXA48phi141</t>
  </si>
  <si>
    <t>Gegevirus</t>
  </si>
  <si>
    <t>Gegevirus ST437OXA245phi41</t>
  </si>
  <si>
    <t>Gemsvirus</t>
  </si>
  <si>
    <t>Gemsvirus gv5004652</t>
  </si>
  <si>
    <t>Graikaemvirus</t>
  </si>
  <si>
    <t>Hpunavirus HP1</t>
  </si>
  <si>
    <t>Hpunavirus HP2</t>
  </si>
  <si>
    <t>Irrigatiovirus SI7</t>
  </si>
  <si>
    <t>Irtavirus F108</t>
  </si>
  <si>
    <t>Kapieceevirus</t>
  </si>
  <si>
    <t>Kapieceevirus ST512KPC3phi132</t>
  </si>
  <si>
    <t>Kayeltresvirus</t>
  </si>
  <si>
    <t>Kayeltresvirus KL3</t>
  </si>
  <si>
    <t>Kisquattuordecimvirus FLC5</t>
  </si>
  <si>
    <t>Kisquattuordecimvirus FLC10</t>
  </si>
  <si>
    <t>Kisquattuordecimvirus KS14</t>
  </si>
  <si>
    <t>Kisquinquevirus KS5</t>
  </si>
  <si>
    <t>Longwoodvirus K139</t>
  </si>
  <si>
    <t>Maltschvirus</t>
  </si>
  <si>
    <t>Maltschvirus maltsch</t>
  </si>
  <si>
    <t>Mersinvirus</t>
  </si>
  <si>
    <t>Mersinvirus YA0848V</t>
  </si>
  <si>
    <t>Nampongvirus ST79</t>
  </si>
  <si>
    <t>Novemvirus T5282H</t>
  </si>
  <si>
    <t>Peduovirus 11W</t>
  </si>
  <si>
    <t>Peduovirus AC1</t>
  </si>
  <si>
    <t>Peduovirus DC1</t>
  </si>
  <si>
    <t>Peduovirus fiAA91ss</t>
  </si>
  <si>
    <t>Peduovirus HQ103</t>
  </si>
  <si>
    <t>Peduovirus L413C</t>
  </si>
  <si>
    <t>Peduovirus magyaro</t>
  </si>
  <si>
    <t>Peduovirus P2</t>
  </si>
  <si>
    <t>Peduovirus P37</t>
  </si>
  <si>
    <t>Peduovirus P22H1</t>
  </si>
  <si>
    <t>Peduovirus P22H4</t>
  </si>
  <si>
    <t>Peduovirus P24A7b</t>
  </si>
  <si>
    <t>Peduovirus P24B2</t>
  </si>
  <si>
    <t>Peduovirus P24C9</t>
  </si>
  <si>
    <t>Peduovirus P24E6b</t>
  </si>
  <si>
    <t>Peduovirus pro147</t>
  </si>
  <si>
    <t>Peduovirus pro483</t>
  </si>
  <si>
    <t>Peduovirus pv12474III</t>
  </si>
  <si>
    <t>Peduovirus R18C</t>
  </si>
  <si>
    <t>Peduovirus SIAC10</t>
  </si>
  <si>
    <t>Peduovirus SIDE7</t>
  </si>
  <si>
    <t>Peduovirus STYP1</t>
  </si>
  <si>
    <t>Peduovirus Wphi</t>
  </si>
  <si>
    <t>Peduovirus YPM22</t>
  </si>
  <si>
    <t>Peduovirus YPM46</t>
  </si>
  <si>
    <t>Peduovirus YPM50</t>
  </si>
  <si>
    <t>Phitrevirus phi3</t>
  </si>
  <si>
    <t>Piscesmortuivirus</t>
  </si>
  <si>
    <t>Piscesmortuivirus LPM4</t>
  </si>
  <si>
    <t>Playavirus SMHB1</t>
  </si>
  <si>
    <t>Plazymidvirus</t>
  </si>
  <si>
    <t>Plazymidvirus ZM36</t>
  </si>
  <si>
    <t>Plazymidvirus ZM41</t>
  </si>
  <si>
    <t>Plazymidvirus ZM401</t>
  </si>
  <si>
    <t>Quadragintavirus</t>
  </si>
  <si>
    <t>Quadragintavirus ev015</t>
  </si>
  <si>
    <t>Quadragintavirus ev040</t>
  </si>
  <si>
    <t>Quadragintavirus ev129</t>
  </si>
  <si>
    <t>Reginaelenavirus rv3LV2017</t>
  </si>
  <si>
    <t>Reipivirus ST16OXA48phi54</t>
  </si>
  <si>
    <t>Sanguivirus</t>
  </si>
  <si>
    <t>Sanguivirus H5569V</t>
  </si>
  <si>
    <t>Senquatrovirus SEN4</t>
  </si>
  <si>
    <t>Seongnamvirus ESSI2</t>
  </si>
  <si>
    <t>Simpcentumvirus Smp131</t>
  </si>
  <si>
    <t>Tigrvirus BP822</t>
  </si>
  <si>
    <t>Tigrvirus E202</t>
  </si>
  <si>
    <t>Tigrvirus phi52237</t>
  </si>
  <si>
    <t>Tigrvirus phiE094</t>
  </si>
  <si>
    <t>Tresduoquattuorvirus</t>
  </si>
  <si>
    <t>Tresduoquattuorvirus YenM324</t>
  </si>
  <si>
    <t>Valbvirus</t>
  </si>
  <si>
    <t>Valbvirus ValB1MD2</t>
  </si>
  <si>
    <t>Vimunumvirus ST147VIM1phi71</t>
  </si>
  <si>
    <t>Vulnificusvirus PV94</t>
  </si>
  <si>
    <t>Wadgaonvirus</t>
  </si>
  <si>
    <t>Wadgaonvirus wv5004651</t>
  </si>
  <si>
    <t>Xuanwuvirus P88</t>
  </si>
  <si>
    <t>Xuanwuvirus P884B11</t>
  </si>
  <si>
    <t>Xuanwuvirus xv503458</t>
  </si>
  <si>
    <t>Xuanwuvirus xv520873</t>
  </si>
  <si>
    <t>Yongunavirus yong1</t>
  </si>
  <si>
    <t>Yulgyerivirus</t>
  </si>
  <si>
    <t>Yulgyerivirus E16KP0115V</t>
  </si>
  <si>
    <t>Pervagoviridae</t>
  </si>
  <si>
    <t>Callevirus</t>
  </si>
  <si>
    <t>Callevirus Calle</t>
  </si>
  <si>
    <t>Callevirus phi38una</t>
  </si>
  <si>
    <t>Pootjesviridae</t>
  </si>
  <si>
    <t>Staniewskivirinae</t>
  </si>
  <si>
    <t>Trinifflemingvirus</t>
  </si>
  <si>
    <t>Trinifflemingvirus I19</t>
  </si>
  <si>
    <t>Trinifflemingvirus N34</t>
  </si>
  <si>
    <t>Trinifflemingvirus Y68</t>
  </si>
  <si>
    <t>Emnonavirus</t>
  </si>
  <si>
    <t>Emnonavirus phiM9</t>
  </si>
  <si>
    <t>Heverleevirus</t>
  </si>
  <si>
    <t>Heverleevirus OLIVR5</t>
  </si>
  <si>
    <t>Innesvirus</t>
  </si>
  <si>
    <t>Innesvirus AF3</t>
  </si>
  <si>
    <t>Innesvirus P10VF</t>
  </si>
  <si>
    <t>Innesvirus P9VFCI</t>
  </si>
  <si>
    <t>Innesvirus RL2RES</t>
  </si>
  <si>
    <t>Innesvirus RL38J1</t>
  </si>
  <si>
    <t>Rollinsvirus</t>
  </si>
  <si>
    <t>Rollinsvirus ph04</t>
  </si>
  <si>
    <t>Pungoviridae</t>
  </si>
  <si>
    <t>Flagovirus</t>
  </si>
  <si>
    <t>Flagovirus limi</t>
  </si>
  <si>
    <t>Andhravirus andhra</t>
  </si>
  <si>
    <t>Andhravirus besep3</t>
  </si>
  <si>
    <t>Andhravirus sealphi</t>
  </si>
  <si>
    <t>Andhravirus St134</t>
  </si>
  <si>
    <t>Rosenblumvirus AGO13</t>
  </si>
  <si>
    <t>Rosenblumvirus BP39</t>
  </si>
  <si>
    <t>Rosenblumvirus CSA13</t>
  </si>
  <si>
    <t>Rosenblumvirus EBHT</t>
  </si>
  <si>
    <t>Rosenblumvirus GRCS</t>
  </si>
  <si>
    <t>Rosenblumvirus jpl50</t>
  </si>
  <si>
    <t>Rosenblumvirus LSA2366</t>
  </si>
  <si>
    <t>Rosenblumvirus pabna</t>
  </si>
  <si>
    <t>Rosenblumvirus portland</t>
  </si>
  <si>
    <t>Rosenblumvirus PSa3</t>
  </si>
  <si>
    <t>Rosenblumvirus rv66</t>
  </si>
  <si>
    <t>Rosenblumvirus rv44AHJD</t>
  </si>
  <si>
    <t>Rosenblumvirus S241</t>
  </si>
  <si>
    <t>Rosenblumvirus SA46CL1</t>
  </si>
  <si>
    <t>Rosenblumvirus SAP2</t>
  </si>
  <si>
    <t>Rosenblumvirus SCH1</t>
  </si>
  <si>
    <t>Rosenblumvirus SLPW</t>
  </si>
  <si>
    <t>Copernicusvirus AE417</t>
  </si>
  <si>
    <t>Copernicusvirus Ef62</t>
  </si>
  <si>
    <t>Copernicusvirus Ef63</t>
  </si>
  <si>
    <t>Copernicusvirus Ef72</t>
  </si>
  <si>
    <t>Copernicusvirus Ef73</t>
  </si>
  <si>
    <t>Copernicusvirus Ef74</t>
  </si>
  <si>
    <t>Copernicusvirus Efae230P4</t>
  </si>
  <si>
    <t>Copernicusvirus Efmus1</t>
  </si>
  <si>
    <t>Copernicusvirus Efmus3</t>
  </si>
  <si>
    <t>Copernicusvirus Efmus4</t>
  </si>
  <si>
    <t>Copernicusvirus Idefix</t>
  </si>
  <si>
    <t>Copernicusvirus IME195</t>
  </si>
  <si>
    <t>Copernicusvirus mda1</t>
  </si>
  <si>
    <t>Minhovirus IME199</t>
  </si>
  <si>
    <t>Minhovirus zip</t>
  </si>
  <si>
    <t>Fischettivirus C1</t>
  </si>
  <si>
    <t>Negarvirus WP2</t>
  </si>
  <si>
    <t>Claudivirus aurora</t>
  </si>
  <si>
    <t>Claudivirus baseballfield</t>
  </si>
  <si>
    <t>Claudivirus claudi</t>
  </si>
  <si>
    <t>Claudivirus Goe4</t>
  </si>
  <si>
    <t>Claudivirus juan</t>
  </si>
  <si>
    <t>Claudivirus konjotrouble</t>
  </si>
  <si>
    <t>Claudivirus QCM11</t>
  </si>
  <si>
    <t>Claudivirus serpounce</t>
  </si>
  <si>
    <t>Claudivirus stitch</t>
  </si>
  <si>
    <t>Claudivirus thornton</t>
  </si>
  <si>
    <t>Hemphillvirus DK1</t>
  </si>
  <si>
    <t>Hemphillvirus DK2</t>
  </si>
  <si>
    <t>Hemphillvirus DK3</t>
  </si>
  <si>
    <t>Klosterneuburgvirus MGB1</t>
  </si>
  <si>
    <t>Beecentumtrevirus B103</t>
  </si>
  <si>
    <t>Beecentumtrevirus Goe1</t>
  </si>
  <si>
    <t>Beecentumtrevirus Nf</t>
  </si>
  <si>
    <t>Salasvirus Goe6</t>
  </si>
  <si>
    <t>Salasvirus Gxv1</t>
  </si>
  <si>
    <t>Salasvirus phi29</t>
  </si>
  <si>
    <t>Salasvirus PZA</t>
  </si>
  <si>
    <t>Gaunavirus GA1</t>
  </si>
  <si>
    <t>Gaunavirus SRT01hs</t>
  </si>
  <si>
    <t>Karezivirus karezi</t>
  </si>
  <si>
    <t>Bundooravirus PumA1</t>
  </si>
  <si>
    <t>Bundooravirus PumA2</t>
  </si>
  <si>
    <t>Bundooravirus whyphy</t>
  </si>
  <si>
    <t>Cepunavirus Cp1</t>
  </si>
  <si>
    <t>Cepunavirus Cp7</t>
  </si>
  <si>
    <t>Harambevirus beachbum</t>
  </si>
  <si>
    <t>Harambevirus harambe</t>
  </si>
  <si>
    <t>Huangshavirus</t>
  </si>
  <si>
    <t>Huangshavirus dlcuna</t>
  </si>
  <si>
    <t>Mingyongvirus VMY22</t>
  </si>
  <si>
    <t>Saparoviridae</t>
  </si>
  <si>
    <t>Halohivirus</t>
  </si>
  <si>
    <t>Samsavirus</t>
  </si>
  <si>
    <t>Demetervirinae</t>
  </si>
  <si>
    <t>Acanvirus</t>
  </si>
  <si>
    <t>Acanvirus Rheph16</t>
  </si>
  <si>
    <t>Acanvirus Rheph22</t>
  </si>
  <si>
    <t>Acanvirus Y26</t>
  </si>
  <si>
    <t>Acanvirus Y38</t>
  </si>
  <si>
    <t>Cyamitesvirus</t>
  </si>
  <si>
    <t>Cyamitesvirus I16</t>
  </si>
  <si>
    <t>Cyamitesvirus N38</t>
  </si>
  <si>
    <t>Enquatrovirus N4</t>
  </si>
  <si>
    <t>Gamaleyavirus APEC5</t>
  </si>
  <si>
    <t>Gamaleyavirus APEC7</t>
  </si>
  <si>
    <t>Gamaleyavirus Bp4</t>
  </si>
  <si>
    <t>Gamaleyavirus EC1UPM</t>
  </si>
  <si>
    <t>Gamaleyavirus ECBP1</t>
  </si>
  <si>
    <t>Gamaleyavirus G17</t>
  </si>
  <si>
    <t>Gamaleyavirus G7C</t>
  </si>
  <si>
    <t>Gamaleyavirus IME11</t>
  </si>
  <si>
    <t>Gamaleyavirus Pgn8291</t>
  </si>
  <si>
    <t>Gamaleyavirus Sb1</t>
  </si>
  <si>
    <t>Gamaleyavirus Sp5m</t>
  </si>
  <si>
    <t>Gamaleyavirus St11ph5</t>
  </si>
  <si>
    <t>Gamaleyavirus U1g</t>
  </si>
  <si>
    <t>Gamaleyavirus Zq2</t>
  </si>
  <si>
    <t>Kaypoctavirus KP8</t>
  </si>
  <si>
    <t>Moovirus</t>
  </si>
  <si>
    <t>Moovirus moo</t>
  </si>
  <si>
    <t>Johnsonvirus Ea92</t>
  </si>
  <si>
    <t>Johnsonvirus frozen</t>
  </si>
  <si>
    <t>Yonginvirus EaP8</t>
  </si>
  <si>
    <t>Matsuvirus pYD6A</t>
  </si>
  <si>
    <t>Stoningtonvirus VBP47</t>
  </si>
  <si>
    <t>Ithacavirus SP058</t>
  </si>
  <si>
    <t>Ithacavirus SP076</t>
  </si>
  <si>
    <t>Pollockvirus pollock</t>
  </si>
  <si>
    <t>Pylasvirus KpCHEMY26</t>
  </si>
  <si>
    <t>Pylasvirus pylas</t>
  </si>
  <si>
    <t>Litunavirus Ab09</t>
  </si>
  <si>
    <t>Litunavirus LIT1</t>
  </si>
  <si>
    <t>Litunavirus Mag4</t>
  </si>
  <si>
    <t>Litunavirus P121</t>
  </si>
  <si>
    <t>Litunavirus PA26</t>
  </si>
  <si>
    <t>Litunavirus Pae575p3</t>
  </si>
  <si>
    <t>Litunavirus Pap02</t>
  </si>
  <si>
    <t>Litunavirus Vl1</t>
  </si>
  <si>
    <t>Litunavirus Yh6</t>
  </si>
  <si>
    <t>Luzseptimavirus KPP21</t>
  </si>
  <si>
    <t>Luzseptimavirus LUZ7</t>
  </si>
  <si>
    <t>Dorisvirus 49B3</t>
  </si>
  <si>
    <t>Galateavirus PVA5</t>
  </si>
  <si>
    <t>Nahantvirus 49C7</t>
  </si>
  <si>
    <t>Aoqinvirus RD1410W101</t>
  </si>
  <si>
    <t>Aorunvirus EE36phi1</t>
  </si>
  <si>
    <t>Aorunvirus V12</t>
  </si>
  <si>
    <t>Baltimorevirus DFL12</t>
  </si>
  <si>
    <t>Gonggongvirus</t>
  </si>
  <si>
    <t>Gonggongvirus R7l</t>
  </si>
  <si>
    <t>Plymouthvirus RPP1</t>
  </si>
  <si>
    <t>Pomeroyivirus V13</t>
  </si>
  <si>
    <t>Raunefjordenvirus CB2047B</t>
  </si>
  <si>
    <t>Sanyabayvirus DS1410Ws06</t>
  </si>
  <si>
    <t>Dongdastvirus Axp3</t>
  </si>
  <si>
    <t>Dongdastvirus Axy04</t>
  </si>
  <si>
    <t>Dongdastvirus Axy12</t>
  </si>
  <si>
    <t>Dongdastvirus Axy24</t>
  </si>
  <si>
    <t>Inbricusvirus inbricus</t>
  </si>
  <si>
    <t>Jwalphavirus jwalpha</t>
  </si>
  <si>
    <t>Pourcelvirus Axy10</t>
  </si>
  <si>
    <t>Pourcelvirus Axy11</t>
  </si>
  <si>
    <t>Cavevirus</t>
  </si>
  <si>
    <t>Cavevirus C121</t>
  </si>
  <si>
    <t>Cbunavirus A41</t>
  </si>
  <si>
    <t>Cbunavirus CB1</t>
  </si>
  <si>
    <t>Cbunavirus CB4</t>
  </si>
  <si>
    <t>Cbunavirus Kc283</t>
  </si>
  <si>
    <t>Cbunavirus nepra</t>
  </si>
  <si>
    <t>Cbunavirus possum</t>
  </si>
  <si>
    <t>Dendoorenvirus RG2014</t>
  </si>
  <si>
    <t>Eceepunavirus EcP1</t>
  </si>
  <si>
    <t>Efbeekayvirus</t>
  </si>
  <si>
    <t>Efbeekayvirus Fbkp27</t>
  </si>
  <si>
    <t>Efbeekayvirus P184</t>
  </si>
  <si>
    <t>Electravirus</t>
  </si>
  <si>
    <t>Electravirus Sbp1</t>
  </si>
  <si>
    <t>Exceevirus</t>
  </si>
  <si>
    <t>Exceevirus Xc38</t>
  </si>
  <si>
    <t>Huelvavirus ort11</t>
  </si>
  <si>
    <t>Littlefixvirus 98Pflur60pp</t>
  </si>
  <si>
    <t>Littlefixvirus littlefix</t>
  </si>
  <si>
    <t>Mukerjeevirus mv48B1</t>
  </si>
  <si>
    <t>Mukerjeevirus mv51A6</t>
  </si>
  <si>
    <t>Mukerjeevirus mv51A7</t>
  </si>
  <si>
    <t>Mukerjeevirus mv52B1</t>
  </si>
  <si>
    <t>Oliverunavirus</t>
  </si>
  <si>
    <t>Oliverunavirus OLIVR1</t>
  </si>
  <si>
    <t>Pacinivirus phi1</t>
  </si>
  <si>
    <t>Pacinivirus VCO139</t>
  </si>
  <si>
    <t>Pariacacavirus</t>
  </si>
  <si>
    <t>Pariacacavirus 1238A</t>
  </si>
  <si>
    <t>Pariacacavirus 1245O</t>
  </si>
  <si>
    <t>Penintadodekavirus</t>
  </si>
  <si>
    <t>Penintadodekavirus 5012</t>
  </si>
  <si>
    <t>Petruschkyvirus</t>
  </si>
  <si>
    <t>Petruschkyvirus QDWS595</t>
  </si>
  <si>
    <t>Philippevirus</t>
  </si>
  <si>
    <t>Philippevirus philippe</t>
  </si>
  <si>
    <t>Pokkenvirus paxi</t>
  </si>
  <si>
    <t>Pokkenvirus piffle</t>
  </si>
  <si>
    <t>Pokkenvirus pokken</t>
  </si>
  <si>
    <t>Presleyvirus presley</t>
  </si>
  <si>
    <t>Riverridervirus riverrider</t>
  </si>
  <si>
    <t>Shizishanvirus phCDa</t>
  </si>
  <si>
    <t>Triduovirus</t>
  </si>
  <si>
    <t>Triduovirus Tr2</t>
  </si>
  <si>
    <t>Varunavirus</t>
  </si>
  <si>
    <t>Varunavirus BUCT194</t>
  </si>
  <si>
    <t>Vicoquintavirus</t>
  </si>
  <si>
    <t>Vicoquintavirus Pvco5</t>
  </si>
  <si>
    <t>Waedenswilvirus S6</t>
  </si>
  <si>
    <t>Xoxocotlavirus</t>
  </si>
  <si>
    <t>Xoxocotlavirus X228B</t>
  </si>
  <si>
    <t>Zicotriavirus ZC03</t>
  </si>
  <si>
    <t>Zicotriavirus ZC08</t>
  </si>
  <si>
    <t>Zurivirus zuri</t>
  </si>
  <si>
    <t>Speroviridae</t>
  </si>
  <si>
    <t>Glazvirus</t>
  </si>
  <si>
    <t>Glazvirus inraei</t>
  </si>
  <si>
    <t>Stanwilliamsviridae</t>
  </si>
  <si>
    <t>Boydwoodruffvirinae</t>
  </si>
  <si>
    <t>Coruscantvirus</t>
  </si>
  <si>
    <t>Coruscantvirus coruscant</t>
  </si>
  <si>
    <t>Samistivirus bmoc</t>
  </si>
  <si>
    <t>Samistivirus braelyn</t>
  </si>
  <si>
    <t>Samistivirus daubenski</t>
  </si>
  <si>
    <t>Samistivirus egole</t>
  </si>
  <si>
    <t>Samistivirus evy</t>
  </si>
  <si>
    <t>Samistivirus jay2jay</t>
  </si>
  <si>
    <t>Samistivirus mildred21</t>
  </si>
  <si>
    <t>Samistivirus nootnoot</t>
  </si>
  <si>
    <t>Samistivirus paradiddles</t>
  </si>
  <si>
    <t>Samistivirus peebs</t>
  </si>
  <si>
    <t>Samistivirus samisti12</t>
  </si>
  <si>
    <t>Tomasvirus</t>
  </si>
  <si>
    <t>Tomasvirus tomas</t>
  </si>
  <si>
    <t>Loccivirinae</t>
  </si>
  <si>
    <t>Annadreamyvirus annadreamy</t>
  </si>
  <si>
    <t>Annadreamyvirus blueeyedbeauty</t>
  </si>
  <si>
    <t>Faustvirus</t>
  </si>
  <si>
    <t>Faustvirus faust</t>
  </si>
  <si>
    <t>Faustvirus tunatartare</t>
  </si>
  <si>
    <t>Gilsonvirus comrade</t>
  </si>
  <si>
    <t>Gilsonvirus gilson</t>
  </si>
  <si>
    <t>Wakandavirus</t>
  </si>
  <si>
    <t>Wakandavirus muntaha</t>
  </si>
  <si>
    <t>Wakandavirus wakanda</t>
  </si>
  <si>
    <t>Wilnyevirus billnye</t>
  </si>
  <si>
    <t>Straboviridae</t>
  </si>
  <si>
    <t>Ceceduovirus assw</t>
  </si>
  <si>
    <t>Ceceduovirus aszj</t>
  </si>
  <si>
    <t>Ceceduovirus cc2</t>
  </si>
  <si>
    <t>Ishigurovirus osborne</t>
  </si>
  <si>
    <t>Dhakavirus anyang</t>
  </si>
  <si>
    <t>Dhakavirus bp7</t>
  </si>
  <si>
    <t>Dhakavirus ecom005</t>
  </si>
  <si>
    <t>Dhakavirus ime08</t>
  </si>
  <si>
    <t>Dhakavirus ime281</t>
  </si>
  <si>
    <t>Dhakavirus ime348</t>
  </si>
  <si>
    <t>Dhakavirus JS10</t>
  </si>
  <si>
    <t>Dhakavirus JS98</t>
  </si>
  <si>
    <t>Dhakavirus mx01</t>
  </si>
  <si>
    <t>Dhakavirus ql01</t>
  </si>
  <si>
    <t>Dhakavirus vr5</t>
  </si>
  <si>
    <t>Dhakavirus wg01</t>
  </si>
  <si>
    <t>Gaprivervirus arezed</t>
  </si>
  <si>
    <t>Gaprivervirus sp18</t>
  </si>
  <si>
    <t>Gaprivervirus vr7</t>
  </si>
  <si>
    <t>Gaprivervirus vr20</t>
  </si>
  <si>
    <t>Gaprivervirus vr25</t>
  </si>
  <si>
    <t>Gaprivervirus vr26</t>
  </si>
  <si>
    <t>Gelderlandvirus cgg41</t>
  </si>
  <si>
    <t>Gelderlandvirus melville</t>
  </si>
  <si>
    <t>Gelderlandvirus s16</t>
  </si>
  <si>
    <t>Gelderlandvirus stml198</t>
  </si>
  <si>
    <t>Gelderlandvirus stp4a</t>
  </si>
  <si>
    <t>Jiaodavirus jd18</t>
  </si>
  <si>
    <t>Jiaodavirus kp179</t>
  </si>
  <si>
    <t>Jiaodavirus kppv15</t>
  </si>
  <si>
    <t>Jiaodavirus kpv477</t>
  </si>
  <si>
    <t>Jiaodavirus mineola</t>
  </si>
  <si>
    <t>Jiaodavirus pko111</t>
  </si>
  <si>
    <t>Kagamiyamavirus</t>
  </si>
  <si>
    <t>Kagamiyamavirus ecs1</t>
  </si>
  <si>
    <t>Kanagawavirus cipnine</t>
  </si>
  <si>
    <t>Kanagawavirus eclm</t>
  </si>
  <si>
    <t>Kanagawavirus mime</t>
  </si>
  <si>
    <t>Kanagawavirus pei20</t>
  </si>
  <si>
    <t>Kanagawavirus threeohfive</t>
  </si>
  <si>
    <t>Karamvirus cc31</t>
  </si>
  <si>
    <t>Karamvirus mypsh1140</t>
  </si>
  <si>
    <t>Karamvirus petcm34</t>
  </si>
  <si>
    <t>Karamvirus pg7</t>
  </si>
  <si>
    <t>Moonvirus cf1</t>
  </si>
  <si>
    <t>Moonvirus kayemsixteen</t>
  </si>
  <si>
    <t>Moonvirus merlin</t>
  </si>
  <si>
    <t>Moonvirus moon</t>
  </si>
  <si>
    <t>Mosigvirus 0157tp3</t>
  </si>
  <si>
    <t>Mosigvirus 25307</t>
  </si>
  <si>
    <t>Mosigvirus atk47</t>
  </si>
  <si>
    <t>Mosigvirus c120</t>
  </si>
  <si>
    <t>Mosigvirus HX01</t>
  </si>
  <si>
    <t>Mosigvirus JS09</t>
  </si>
  <si>
    <t>Mosigvirus mar005p1</t>
  </si>
  <si>
    <t>Mosigvirus p000v</t>
  </si>
  <si>
    <t>Mosigvirus phapec2</t>
  </si>
  <si>
    <t>Mosigvirus RB69</t>
  </si>
  <si>
    <t>Mosigvirus sf</t>
  </si>
  <si>
    <t>Mosigvirus shsm521</t>
  </si>
  <si>
    <t>Mosigvirus utam</t>
  </si>
  <si>
    <t>Mosugukvirus</t>
  </si>
  <si>
    <t>Mosugukvirus pm2</t>
  </si>
  <si>
    <t>Roskildevirus</t>
  </si>
  <si>
    <t>Roskildevirus cronus</t>
  </si>
  <si>
    <t>Tegunavirus fheyen901</t>
  </si>
  <si>
    <t>Tegunavirus r1rt</t>
  </si>
  <si>
    <t>Tegunavirus yenmtg1</t>
  </si>
  <si>
    <t>Tequatrovirus aplgate</t>
  </si>
  <si>
    <t>Tequatrovirus ar1</t>
  </si>
  <si>
    <t>Tequatrovirus c40</t>
  </si>
  <si>
    <t>Tequatrovirus cm8</t>
  </si>
  <si>
    <t>Tequatrovirus cromcrrp10</t>
  </si>
  <si>
    <t>Tequatrovirus deeone</t>
  </si>
  <si>
    <t>Tequatrovirus e112</t>
  </si>
  <si>
    <t>Tequatrovirus ec04</t>
  </si>
  <si>
    <t>Tequatrovirus ec121</t>
  </si>
  <si>
    <t>Tequatrovirus ecml134</t>
  </si>
  <si>
    <t>Tequatrovirus ecnp1</t>
  </si>
  <si>
    <t>Tequatrovirus ecombl75</t>
  </si>
  <si>
    <t>Tequatrovirus ecomdalca</t>
  </si>
  <si>
    <t>Tequatrovirus ecomg28</t>
  </si>
  <si>
    <t>Tequatrovirus ecomim339</t>
  </si>
  <si>
    <t>Tequatrovirus ecomime340</t>
  </si>
  <si>
    <t>Tequatrovirus ecomnbg2</t>
  </si>
  <si>
    <t>Tequatrovirus ecomufv133</t>
  </si>
  <si>
    <t>Tequatrovirus effone</t>
  </si>
  <si>
    <t>Tequatrovirus efftwo</t>
  </si>
  <si>
    <t>Tequatrovirus fps2</t>
  </si>
  <si>
    <t>Tequatrovirus fps65</t>
  </si>
  <si>
    <t>Tequatrovirus fps90</t>
  </si>
  <si>
    <t>Tequatrovirus gee50</t>
  </si>
  <si>
    <t>Tequatrovirus gee4498</t>
  </si>
  <si>
    <t>Tequatrovirus gee4507</t>
  </si>
  <si>
    <t>Tequatrovirus gee9062</t>
  </si>
  <si>
    <t>Tequatrovirus geeight</t>
  </si>
  <si>
    <t>Tequatrovirus gizh</t>
  </si>
  <si>
    <t>Tequatrovirus hy01</t>
  </si>
  <si>
    <t>Tequatrovirus hy03</t>
  </si>
  <si>
    <t>Tequatrovirus ime09</t>
  </si>
  <si>
    <t>Tequatrovirus ime537</t>
  </si>
  <si>
    <t>Tequatrovirus jaykay</t>
  </si>
  <si>
    <t>Tequatrovirus kaw</t>
  </si>
  <si>
    <t>Tequatrovirus kha5h</t>
  </si>
  <si>
    <t>Tequatrovirus kit03</t>
  </si>
  <si>
    <t>Tequatrovirus knp5</t>
  </si>
  <si>
    <t>Tequatrovirus lutter</t>
  </si>
  <si>
    <t>Tequatrovirus mlf4</t>
  </si>
  <si>
    <t>Tequatrovirus nbeco</t>
  </si>
  <si>
    <t>Tequatrovirus oe5505</t>
  </si>
  <si>
    <t>Tequatrovirus ozark</t>
  </si>
  <si>
    <t>Tequatrovirus pd112</t>
  </si>
  <si>
    <t>Tequatrovirus pe37</t>
  </si>
  <si>
    <t>Tequatrovirus pp01</t>
  </si>
  <si>
    <t>Tequatrovirus pss1</t>
  </si>
  <si>
    <t>Tequatrovirus pst</t>
  </si>
  <si>
    <t>Tequatrovirus pyps2t</t>
  </si>
  <si>
    <t>Tequatrovirus RB3</t>
  </si>
  <si>
    <t>Tequatrovirus RB14</t>
  </si>
  <si>
    <t>Tequatrovirus RB18</t>
  </si>
  <si>
    <t>Tequatrovirus RB27</t>
  </si>
  <si>
    <t>Tequatrovirus RB32</t>
  </si>
  <si>
    <t>Tequatrovirus RB51</t>
  </si>
  <si>
    <t>Tequatrovirus sf21</t>
  </si>
  <si>
    <t>Tequatrovirus sf22</t>
  </si>
  <si>
    <t>Tequatrovirus sf23</t>
  </si>
  <si>
    <t>Tequatrovirus sf24</t>
  </si>
  <si>
    <t>Tequatrovirus sgallinarium</t>
  </si>
  <si>
    <t>Tequatrovirus sh7</t>
  </si>
  <si>
    <t>Tequatrovirus SHBML501</t>
  </si>
  <si>
    <t>Tequatrovirus shfl2</t>
  </si>
  <si>
    <t>Tequatrovirus shfml11</t>
  </si>
  <si>
    <t>Tequatrovirus shfml26</t>
  </si>
  <si>
    <t>Tequatrovirus slur02</t>
  </si>
  <si>
    <t>Tequatrovirus slur03</t>
  </si>
  <si>
    <t>Tequatrovirus slur07</t>
  </si>
  <si>
    <t>Tequatrovirus snuabm</t>
  </si>
  <si>
    <t>Tequatrovirus T2</t>
  </si>
  <si>
    <t>Tequatrovirus T4</t>
  </si>
  <si>
    <t>Tequatrovirus T6</t>
  </si>
  <si>
    <t>Tequatrovirus teqdroes</t>
  </si>
  <si>
    <t>Tequatrovirus teqhad</t>
  </si>
  <si>
    <t>Tequatrovirus teqskov</t>
  </si>
  <si>
    <t>Tequatrovirus ufvareg1</t>
  </si>
  <si>
    <t>Tequatrovirus vtec</t>
  </si>
  <si>
    <t>Tequatrovirus yueel1</t>
  </si>
  <si>
    <t>Tequatrovirus zeen18</t>
  </si>
  <si>
    <t>Tequatrovirus zeezee23</t>
  </si>
  <si>
    <t>Tequatrovirus zeezeesix</t>
  </si>
  <si>
    <t>Tequatrovirus zeezeethirty</t>
  </si>
  <si>
    <t>Winklervirus chi14</t>
  </si>
  <si>
    <t>Winklervirus xtwenty</t>
  </si>
  <si>
    <t>Acajnonavirus acj9</t>
  </si>
  <si>
    <t>Hadassahvirus azbtza1</t>
  </si>
  <si>
    <t>Hadassahvirus pht2</t>
  </si>
  <si>
    <t>Lazarusvirus am101</t>
  </si>
  <si>
    <t>Lazarusvirus apostate</t>
  </si>
  <si>
    <t>Lazarusvirus berthold</t>
  </si>
  <si>
    <t>Lazarusvirus fhyacithree</t>
  </si>
  <si>
    <t>Lazarusvirus karl</t>
  </si>
  <si>
    <t>Lazarusvirus kimel</t>
  </si>
  <si>
    <t>Lazarusvirus kronadin</t>
  </si>
  <si>
    <t>Lazarusvirus lazarus</t>
  </si>
  <si>
    <t>Zedzedvirus zz1</t>
  </si>
  <si>
    <t>Angelvirus</t>
  </si>
  <si>
    <t>Angelvirus px29</t>
  </si>
  <si>
    <t>Biquartavirus 44RR2</t>
  </si>
  <si>
    <t>Bragavirus</t>
  </si>
  <si>
    <t>Bragavirus p43</t>
  </si>
  <si>
    <t>Bragavirus pm2</t>
  </si>
  <si>
    <t>Bragavirus pm5461</t>
  </si>
  <si>
    <t>Carettavirus</t>
  </si>
  <si>
    <t>Carettavirus e142</t>
  </si>
  <si>
    <t>Chrysonvirus</t>
  </si>
  <si>
    <t>Chrysonvirus as5</t>
  </si>
  <si>
    <t>Cinqassovirus</t>
  </si>
  <si>
    <t>Cinqassovirus aeh1</t>
  </si>
  <si>
    <t>Cinqassovirus ah1</t>
  </si>
  <si>
    <t>Gualtarvirus</t>
  </si>
  <si>
    <t>Gualtarvirus mp1</t>
  </si>
  <si>
    <t>Jiangsuvirus</t>
  </si>
  <si>
    <t>Jiangsuvirus pspyzu05</t>
  </si>
  <si>
    <t>Krischvirus ecd7</t>
  </si>
  <si>
    <t>Krischvirus gec3s</t>
  </si>
  <si>
    <t>Krischvirus georgiaone</t>
  </si>
  <si>
    <t>Krischvirus jse</t>
  </si>
  <si>
    <t>Krischvirus kfsec</t>
  </si>
  <si>
    <t>Krischvirus RB49</t>
  </si>
  <si>
    <t>Mylasvirus</t>
  </si>
  <si>
    <t>Mylasvirus persius</t>
  </si>
  <si>
    <t>Nanhuvirus</t>
  </si>
  <si>
    <t>Nanhuvirus LPCS28</t>
  </si>
  <si>
    <t>Pseudotevenvirus gap161</t>
  </si>
  <si>
    <t>Pseudotevenvirus imecf2</t>
  </si>
  <si>
    <t>Pseudotevenvirus leb</t>
  </si>
  <si>
    <t>Pseudotevenvirus lee</t>
  </si>
  <si>
    <t>Pseudotevenvirus lw1</t>
  </si>
  <si>
    <t>Pseudotevenvirus margaery</t>
  </si>
  <si>
    <t>Pseudotevenvirus miller</t>
  </si>
  <si>
    <t>Pseudotevenvirus RB16</t>
  </si>
  <si>
    <t>Pseudotevenvirus RB43</t>
  </si>
  <si>
    <t>Schizotequatrovirus KVP40</t>
  </si>
  <si>
    <t>Schizotequatrovirus valkk3</t>
  </si>
  <si>
    <t>Schizotequatrovirus vh7d</t>
  </si>
  <si>
    <t>Slopekvirus eap3</t>
  </si>
  <si>
    <t>Slopekvirus kp15</t>
  </si>
  <si>
    <t>Slopekvirus kp27</t>
  </si>
  <si>
    <t>Slopekvirus matisse</t>
  </si>
  <si>
    <t>Slopekvirus pht4A</t>
  </si>
  <si>
    <t>Tuaanevirus ime13</t>
  </si>
  <si>
    <t>Tulanevirus 50ahydr13pp</t>
  </si>
  <si>
    <t>Tulanevirus 60ahydrpp</t>
  </si>
  <si>
    <t>Tulanevirus aes12</t>
  </si>
  <si>
    <t>Tulanevirus aes508</t>
  </si>
  <si>
    <t>Tulanevirus as4</t>
  </si>
  <si>
    <t>Tulanevirus asgz</t>
  </si>
  <si>
    <t>Tulanevirus bteighttwo</t>
  </si>
  <si>
    <t>Suolaviridae</t>
  </si>
  <si>
    <t>Pormufvirus</t>
  </si>
  <si>
    <t>Verdandiviridae</t>
  </si>
  <si>
    <t>Dolusvirus</t>
  </si>
  <si>
    <t>Dolusvirus pacificense</t>
  </si>
  <si>
    <t>Dolusvirus shimokitaense</t>
  </si>
  <si>
    <t>Tonitrusvirus</t>
  </si>
  <si>
    <t>Tonitrusvirus shimokitaense</t>
  </si>
  <si>
    <t>Vertoviridae</t>
  </si>
  <si>
    <t>Chaovirus</t>
  </si>
  <si>
    <t>Vilmaviridae</t>
  </si>
  <si>
    <t>Lclasvirinae</t>
  </si>
  <si>
    <t>Bromdenvirus</t>
  </si>
  <si>
    <t>Bromdenvirus bromden</t>
  </si>
  <si>
    <t>Bromdenvirus dyoedafos</t>
  </si>
  <si>
    <t>Bronvirus cicholasnage</t>
  </si>
  <si>
    <t>Bronvirus dirkdirk</t>
  </si>
  <si>
    <t>Bronvirus ohshaghennessy</t>
  </si>
  <si>
    <t>Bronvirus silverleaf</t>
  </si>
  <si>
    <t>Faithunavirus</t>
  </si>
  <si>
    <t>Faithunavirus archie</t>
  </si>
  <si>
    <t>Faithunavirus CELFI</t>
  </si>
  <si>
    <t>Faithunavirus faith1</t>
  </si>
  <si>
    <t>Faithunavirus finemlucis</t>
  </si>
  <si>
    <t>Faithunavirus guuelaD</t>
  </si>
  <si>
    <t>Faithunavirus rumpelstiltskin</t>
  </si>
  <si>
    <t>Faithunavirus tourach</t>
  </si>
  <si>
    <t>Lumosvirus</t>
  </si>
  <si>
    <t>Lumosvirus krypton555</t>
  </si>
  <si>
    <t>Lumosvirus lolly9</t>
  </si>
  <si>
    <t>Lumosvirus lumos</t>
  </si>
  <si>
    <t>Lumosvirus whirlwind</t>
  </si>
  <si>
    <t>Bongovirus bongo</t>
  </si>
  <si>
    <t>Bongovirus reindeer</t>
  </si>
  <si>
    <t>Reyvirus aziz</t>
  </si>
  <si>
    <t>Reyvirus estes</t>
  </si>
  <si>
    <t>Reyvirus mrmagoo</t>
  </si>
  <si>
    <t>Reyvirus rey</t>
  </si>
  <si>
    <t>Kumaovirus</t>
  </si>
  <si>
    <t>Kumaovirus kumao</t>
  </si>
  <si>
    <t>Winoviridae</t>
  </si>
  <si>
    <t>Peternellavirus</t>
  </si>
  <si>
    <t>Peternellavirus peternella</t>
  </si>
  <si>
    <t>Pippivirus lotta</t>
  </si>
  <si>
    <t>Pippivirus pippi</t>
  </si>
  <si>
    <t>Zierdtviridae</t>
  </si>
  <si>
    <t>Emilbogenvirinae</t>
  </si>
  <si>
    <t>Foxborovirus</t>
  </si>
  <si>
    <t>Foxborovirus emianna</t>
  </si>
  <si>
    <t>Foxborovirus foxboro</t>
  </si>
  <si>
    <t>Foxborovirus GTE8</t>
  </si>
  <si>
    <t>Foxborovirus kidneybean</t>
  </si>
  <si>
    <t>Foxborovirus NatB6</t>
  </si>
  <si>
    <t>Gruunavirus</t>
  </si>
  <si>
    <t>Gruunavirus flapper</t>
  </si>
  <si>
    <t>Gruunavirus GRU1</t>
  </si>
  <si>
    <t>Gruunavirus GTE5</t>
  </si>
  <si>
    <t>Gruunavirus turuncu</t>
  </si>
  <si>
    <t>Kablunavirus</t>
  </si>
  <si>
    <t>Kablunavirus buggaboo</t>
  </si>
  <si>
    <t>Kablunavirus kabluna</t>
  </si>
  <si>
    <t>Kablunavirus nosilaM</t>
  </si>
  <si>
    <t>Pleakleyvirus</t>
  </si>
  <si>
    <t>Pleakleyvirus pleakley</t>
  </si>
  <si>
    <t>Skysandvirus</t>
  </si>
  <si>
    <t>Skysandvirus lollipop1437</t>
  </si>
  <si>
    <t>Skysandvirus patio</t>
  </si>
  <si>
    <t>Skysandvirus skysand</t>
  </si>
  <si>
    <t>Sukkupivirus</t>
  </si>
  <si>
    <t>Sukkupivirus idyn</t>
  </si>
  <si>
    <t>Sukkupivirus marietta</t>
  </si>
  <si>
    <t>Sukkupivirus nadinerae</t>
  </si>
  <si>
    <t>Sukkupivirus sukkupi</t>
  </si>
  <si>
    <t>Toshachvirinae</t>
  </si>
  <si>
    <t>Ceetrepovirus kimchi1738</t>
  </si>
  <si>
    <t>Ceetrepovirus stickynote</t>
  </si>
  <si>
    <t>Siovirus americense</t>
  </si>
  <si>
    <t>Siovirus coreense</t>
  </si>
  <si>
    <t>Siovirus germanense</t>
  </si>
  <si>
    <t>Veravirus septentrionalis</t>
  </si>
  <si>
    <t>Citrovirus coptotermitis</t>
  </si>
  <si>
    <t>Icepovirus bengalense</t>
  </si>
  <si>
    <t>Melvirus helgolandense</t>
  </si>
  <si>
    <t>Melvirus orientalis</t>
  </si>
  <si>
    <t>Paundecimvirus PA11</t>
  </si>
  <si>
    <t>Salinovirus utanense</t>
  </si>
  <si>
    <t>Vipivirus canadense</t>
  </si>
  <si>
    <t>Andregratiavirinae</t>
  </si>
  <si>
    <t>Haetaevirus</t>
  </si>
  <si>
    <t>Haetaevirus PBC2</t>
  </si>
  <si>
    <t>Kirovvirus</t>
  </si>
  <si>
    <t>Kirovvirus kirov</t>
  </si>
  <si>
    <t>Andrewesvirinae</t>
  </si>
  <si>
    <t>Denvervirus</t>
  </si>
  <si>
    <t>Denvervirus dv9183</t>
  </si>
  <si>
    <t>Vipetofemvirus</t>
  </si>
  <si>
    <t>Vipetofemvirus nattely</t>
  </si>
  <si>
    <t>Vipetofemvirus vipetofem</t>
  </si>
  <si>
    <t>Vipetofemvirus vv140</t>
  </si>
  <si>
    <t>Arequatrovirus ELB20</t>
  </si>
  <si>
    <t>Arequatrovirus paedore</t>
  </si>
  <si>
    <t>Arequatrovirus R4</t>
  </si>
  <si>
    <t>Caelumvirus</t>
  </si>
  <si>
    <t>Caelumvirus alvy</t>
  </si>
  <si>
    <t>Caelumvirus caelum</t>
  </si>
  <si>
    <t>Caelumvirus daudau</t>
  </si>
  <si>
    <t>Caelumvirus issmi</t>
  </si>
  <si>
    <t>Caelumvirus thestral</t>
  </si>
  <si>
    <t>Camvirus alsaber</t>
  </si>
  <si>
    <t>Camvirus amela</t>
  </si>
  <si>
    <t>Camvirus CAM</t>
  </si>
  <si>
    <t>Camvirus endor1</t>
  </si>
  <si>
    <t>Camvirus endor2</t>
  </si>
  <si>
    <t>Camvirus joe</t>
  </si>
  <si>
    <t>Camvirus saftant</t>
  </si>
  <si>
    <t>Camvirus sitrop</t>
  </si>
  <si>
    <t>Celiavirus</t>
  </si>
  <si>
    <t>Celiavirus celia</t>
  </si>
  <si>
    <t>Hautrevirus</t>
  </si>
  <si>
    <t>Hautrevirus hau3</t>
  </si>
  <si>
    <t>Janusvirus</t>
  </si>
  <si>
    <t>Janusvirus hank144</t>
  </si>
  <si>
    <t>Janusvirus janus</t>
  </si>
  <si>
    <t>Janusvirus pablito</t>
  </si>
  <si>
    <t>Likavirus aaronocolus</t>
  </si>
  <si>
    <t>Likavirus caliburn</t>
  </si>
  <si>
    <t>Likavirus danzina</t>
  </si>
  <si>
    <t>Likavirus goby</t>
  </si>
  <si>
    <t>Likavirus hydra</t>
  </si>
  <si>
    <t>Likavirus izzy</t>
  </si>
  <si>
    <t>Likavirus lannister</t>
  </si>
  <si>
    <t>Likavirus lika</t>
  </si>
  <si>
    <t>Likavirus lorelei</t>
  </si>
  <si>
    <t>Likavirus nanodon</t>
  </si>
  <si>
    <t>Likavirus sujidade</t>
  </si>
  <si>
    <t>Likavirus werner</t>
  </si>
  <si>
    <t>Likavirus yasdnil</t>
  </si>
  <si>
    <t>Likavirus zemlya</t>
  </si>
  <si>
    <t>Omarvirus</t>
  </si>
  <si>
    <t>Omarvirus amethyst</t>
  </si>
  <si>
    <t>Omarvirus diane</t>
  </si>
  <si>
    <t>Omarvirus omar</t>
  </si>
  <si>
    <t>Omarvirus tefunt</t>
  </si>
  <si>
    <t>Salutenavirus</t>
  </si>
  <si>
    <t>Salutenavirus salutena</t>
  </si>
  <si>
    <t>Sentinelvirus</t>
  </si>
  <si>
    <t>Sentinelvirus sentinel</t>
  </si>
  <si>
    <t>Sentinelvirus spernnie</t>
  </si>
  <si>
    <t>Yosifvirus</t>
  </si>
  <si>
    <t>Yosifvirus yosif</t>
  </si>
  <si>
    <t>Azeevirinae</t>
  </si>
  <si>
    <t>Galvastonvirus</t>
  </si>
  <si>
    <t>Galvastonvirus tweety19</t>
  </si>
  <si>
    <t>Manhattanvirus crewmate</t>
  </si>
  <si>
    <t>Manhattanvirus drmanhattan</t>
  </si>
  <si>
    <t>Manhattanvirus drsierra</t>
  </si>
  <si>
    <t>Manhattanvirus kealii</t>
  </si>
  <si>
    <t>Manhattanvirus reedo</t>
  </si>
  <si>
    <t>Yangvirus adumb2043</t>
  </si>
  <si>
    <t>Yangvirus amyev</t>
  </si>
  <si>
    <t>Yangvirus elezi</t>
  </si>
  <si>
    <t>Yangvirus kaylissa</t>
  </si>
  <si>
    <t>Yangvirus lizalica</t>
  </si>
  <si>
    <t>Yangvirus phives</t>
  </si>
  <si>
    <t>Yangvirus tbone</t>
  </si>
  <si>
    <t>Yangvirus warda</t>
  </si>
  <si>
    <t>Yangvirus yang</t>
  </si>
  <si>
    <t>Dubowvirus baqsau1</t>
  </si>
  <si>
    <t>Dubowvirus dv11</t>
  </si>
  <si>
    <t>Dubowvirus dv53</t>
  </si>
  <si>
    <t>Dubowvirus dv69</t>
  </si>
  <si>
    <t>Dubowvirus dv85</t>
  </si>
  <si>
    <t>Dubowvirus dv80alpha</t>
  </si>
  <si>
    <t>Dubowvirus ETA2</t>
  </si>
  <si>
    <t>Dubowvirus HSA84</t>
  </si>
  <si>
    <t>Dubowvirus IPLA88</t>
  </si>
  <si>
    <t>Dubowvirus MR25</t>
  </si>
  <si>
    <t>Dubowvirus NM1</t>
  </si>
  <si>
    <t>Dubowvirus NM2</t>
  </si>
  <si>
    <t>Dubowvirus SA75</t>
  </si>
  <si>
    <t>Dubowvirus SA97</t>
  </si>
  <si>
    <t>Dubowvirus SAP26</t>
  </si>
  <si>
    <t>Dubowvirus SAP33</t>
  </si>
  <si>
    <t>Dubowvirus SP5</t>
  </si>
  <si>
    <t>Dubowvirus TEM126</t>
  </si>
  <si>
    <t>Phietavirus B122</t>
  </si>
  <si>
    <t>Phietavirus B166</t>
  </si>
  <si>
    <t>Phietavirus B236</t>
  </si>
  <si>
    <t>Phietavirus ETA</t>
  </si>
  <si>
    <t>Phietavirus ETA3</t>
  </si>
  <si>
    <t>Phietavirus EW</t>
  </si>
  <si>
    <t>Phietavirus Henu2</t>
  </si>
  <si>
    <t>Phietavirus JB</t>
  </si>
  <si>
    <t>Phietavirus MR11</t>
  </si>
  <si>
    <t>Phietavirus NM4</t>
  </si>
  <si>
    <t>Phietavirus pv29</t>
  </si>
  <si>
    <t>Phietavirus pv37</t>
  </si>
  <si>
    <t>Phietavirus pv55</t>
  </si>
  <si>
    <t>Phietavirus pv71</t>
  </si>
  <si>
    <t>Phietavirus pv80</t>
  </si>
  <si>
    <t>Phietavirus pv88</t>
  </si>
  <si>
    <t>Phietavirus pv92</t>
  </si>
  <si>
    <t>Phietavirus pv96</t>
  </si>
  <si>
    <t>Phietavirus pv187</t>
  </si>
  <si>
    <t>Phietavirus pv3MRA</t>
  </si>
  <si>
    <t>Phietavirus pv52a</t>
  </si>
  <si>
    <t>Phietavirus ROSA</t>
  </si>
  <si>
    <t>Phietavirus SA13</t>
  </si>
  <si>
    <t>Phietavirus SAP27</t>
  </si>
  <si>
    <t>Phietavirus sebago</t>
  </si>
  <si>
    <t>Phietavirus StauST3981</t>
  </si>
  <si>
    <t>Phietavirus StauST3983</t>
  </si>
  <si>
    <t>Phietavirus StauST3985</t>
  </si>
  <si>
    <t>Phietavirus UPMK2</t>
  </si>
  <si>
    <t>Phietavirus X2</t>
  </si>
  <si>
    <t>Acadianvirus acadian</t>
  </si>
  <si>
    <t>Acadianvirus baee</t>
  </si>
  <si>
    <t>Acadianvirus reprobate</t>
  </si>
  <si>
    <t>Acadianvirus serendipitous</t>
  </si>
  <si>
    <t>Birdsnestvirus</t>
  </si>
  <si>
    <t>Birdsnestvirus birdsnest</t>
  </si>
  <si>
    <t>Coopervirus adawi</t>
  </si>
  <si>
    <t>Coopervirus bane1</t>
  </si>
  <si>
    <t>Coopervirus brownCNA</t>
  </si>
  <si>
    <t>Coopervirus chrisnmich</t>
  </si>
  <si>
    <t>Coopervirus cooper</t>
  </si>
  <si>
    <t>Coopervirus fortunato</t>
  </si>
  <si>
    <t>Coopervirus heath</t>
  </si>
  <si>
    <t>Coopervirus JAMaL</t>
  </si>
  <si>
    <t>Coopervirus nigel</t>
  </si>
  <si>
    <t>Coopervirus stinger</t>
  </si>
  <si>
    <t>Coopervirus vincenzo</t>
  </si>
  <si>
    <t>Coopervirus zemanar</t>
  </si>
  <si>
    <t>Imvubuvirus</t>
  </si>
  <si>
    <t>Imvubuvirus imvubu</t>
  </si>
  <si>
    <t>Julieunavirus</t>
  </si>
  <si>
    <t>Julieunavirus julie1</t>
  </si>
  <si>
    <t>Lilmcdreamyvirus</t>
  </si>
  <si>
    <t>Lilmcdreamyvirus lilmcdreamy</t>
  </si>
  <si>
    <t>Pegunavirus apizium</t>
  </si>
  <si>
    <t>Pegunavirus kingtut</t>
  </si>
  <si>
    <t>Pegunavirus manad</t>
  </si>
  <si>
    <t>Pegunavirus oline</t>
  </si>
  <si>
    <t>Pegunavirus osmaximus</t>
  </si>
  <si>
    <t>Pegunavirus Pg1</t>
  </si>
  <si>
    <t>Pegunavirus soto</t>
  </si>
  <si>
    <t>Pegunavirus suffolk</t>
  </si>
  <si>
    <t>Pipefishvirus athena</t>
  </si>
  <si>
    <t>Pipefishvirus bernardo</t>
  </si>
  <si>
    <t>Pipefishvirus gadjet</t>
  </si>
  <si>
    <t>Pipefishvirus obutu</t>
  </si>
  <si>
    <t>Pipefishvirus pipefish</t>
  </si>
  <si>
    <t>Quesadillavirus</t>
  </si>
  <si>
    <t>Quesadillavirus CRB2</t>
  </si>
  <si>
    <t>Quesadillavirus quesadilla</t>
  </si>
  <si>
    <t>Rosebushvirus godines</t>
  </si>
  <si>
    <t>Rosebushvirus laurie</t>
  </si>
  <si>
    <t>Rosebushvirus rosebush</t>
  </si>
  <si>
    <t>Rosebushvirus TA17a</t>
  </si>
  <si>
    <t>Saguarovirus</t>
  </si>
  <si>
    <t>Saguarovirus saguaro</t>
  </si>
  <si>
    <t>Thonkovirus</t>
  </si>
  <si>
    <t>Thonkovirus thonko</t>
  </si>
  <si>
    <t>Beaumontvirinae</t>
  </si>
  <si>
    <t>Bixiavirus</t>
  </si>
  <si>
    <t>Bixiavirus BUCT548</t>
  </si>
  <si>
    <t>Bixiavirus BUCT626</t>
  </si>
  <si>
    <t>Bixiavirus BUCT627</t>
  </si>
  <si>
    <t>Salvavirus</t>
  </si>
  <si>
    <t>Salvavirus salva</t>
  </si>
  <si>
    <t>Siaravirus</t>
  </si>
  <si>
    <t>Siaravirus siara</t>
  </si>
  <si>
    <t>Flowerpowervirus flowerpower</t>
  </si>
  <si>
    <t>Immanueltrevirus immanuel3</t>
  </si>
  <si>
    <t>Manuelvirus JXY1</t>
  </si>
  <si>
    <t>Manuelvirus manuel</t>
  </si>
  <si>
    <t>Manuelvirus wrighton</t>
  </si>
  <si>
    <t>Biseptimavirus BU01</t>
  </si>
  <si>
    <t>Biseptimavirus bv77</t>
  </si>
  <si>
    <t>Biseptimavirus bv23MRA</t>
  </si>
  <si>
    <t>Biseptimavirus IME136101</t>
  </si>
  <si>
    <t>Biseptimavirus NM3</t>
  </si>
  <si>
    <t>Biseptimavirus P282</t>
  </si>
  <si>
    <t>Biseptimavirus P630</t>
  </si>
  <si>
    <t>Biseptimavirus P954</t>
  </si>
  <si>
    <t>Biseptimavirus P1105</t>
  </si>
  <si>
    <t>Biseptimavirus phi7247PVL</t>
  </si>
  <si>
    <t>Biseptimavirus SA1014ruMSSAST7</t>
  </si>
  <si>
    <t>Biseptimavirus SA345ruMSSAST8</t>
  </si>
  <si>
    <t>Biseptimavirus st22</t>
  </si>
  <si>
    <t>Biseptimavirus StauST3984</t>
  </si>
  <si>
    <t>Peeveelvirus CN125</t>
  </si>
  <si>
    <t>Peeveelvirus JS01</t>
  </si>
  <si>
    <t>Peeveelvirus pv13</t>
  </si>
  <si>
    <t>Peeveelvirus PV83</t>
  </si>
  <si>
    <t>Peeveelvirus pv3AJ2017</t>
  </si>
  <si>
    <t>Peeveelvirus PVL</t>
  </si>
  <si>
    <t>Peeveelvirus PVL108</t>
  </si>
  <si>
    <t>Peeveelvirus SA7</t>
  </si>
  <si>
    <t>Peeveelvirus SA780ruMSSAST101</t>
  </si>
  <si>
    <t>Peeveelvirus tp3101</t>
  </si>
  <si>
    <t>Ceeclamvirinae</t>
  </si>
  <si>
    <t>Bixzunavirus alice</t>
  </si>
  <si>
    <t>Bixzunavirus astraea</t>
  </si>
  <si>
    <t>Bixzunavirus bigswole</t>
  </si>
  <si>
    <t>Bixzunavirus Bxz1</t>
  </si>
  <si>
    <t>Bixzunavirus cane17</t>
  </si>
  <si>
    <t>Bixzunavirus charlieB</t>
  </si>
  <si>
    <t>Bixzunavirus dandelion</t>
  </si>
  <si>
    <t>Bixzunavirus hyro</t>
  </si>
  <si>
    <t>Bixzunavirus I3</t>
  </si>
  <si>
    <t>Bixzunavirus lukilu</t>
  </si>
  <si>
    <t>Bixzunavirus mangeria</t>
  </si>
  <si>
    <t>Bixzunavirus nappy</t>
  </si>
  <si>
    <t>Bixzunavirus noodletree</t>
  </si>
  <si>
    <t>Bixzunavirus qbert</t>
  </si>
  <si>
    <t>Bixzunavirus quasimodo</t>
  </si>
  <si>
    <t>Bixzunavirus sauce</t>
  </si>
  <si>
    <t>Bixzunavirus sebata</t>
  </si>
  <si>
    <t>Bixzunavirus tonenili</t>
  </si>
  <si>
    <t>Myrnavirus</t>
  </si>
  <si>
    <t>Myranavirus phabba</t>
  </si>
  <si>
    <t>Myrnavirus myrna</t>
  </si>
  <si>
    <t>Brujitavirus babsiella</t>
  </si>
  <si>
    <t>Brujitavirus brujita</t>
  </si>
  <si>
    <t>Brujitavirus HC</t>
  </si>
  <si>
    <t>Brujitavirus xula</t>
  </si>
  <si>
    <t>Hawkeyevirus hawkeye</t>
  </si>
  <si>
    <t>Plotvirus plot</t>
  </si>
  <si>
    <t>Kenoshavirus chikenjars</t>
  </si>
  <si>
    <t>Kenoshavirus crocheter</t>
  </si>
  <si>
    <t>Kenoshavirus duffington</t>
  </si>
  <si>
    <t>Kenoshavirus kenosha</t>
  </si>
  <si>
    <t>Kenoshavirus ohmyward</t>
  </si>
  <si>
    <t>Kenoshavirus rickmore</t>
  </si>
  <si>
    <t>Kenoshavirus untouchable</t>
  </si>
  <si>
    <t>Secretariatvirus secretariat</t>
  </si>
  <si>
    <t>Tanisvirus avazak</t>
  </si>
  <si>
    <t>Tanisvirus tanis</t>
  </si>
  <si>
    <t>Deeyouvirinae</t>
  </si>
  <si>
    <t>Nevillevirus</t>
  </si>
  <si>
    <t>Nevillevirus neville</t>
  </si>
  <si>
    <t>Nevillevirus rabbitrun</t>
  </si>
  <si>
    <t>Nevillevirus trax</t>
  </si>
  <si>
    <t>Octobienvirus</t>
  </si>
  <si>
    <t>Octobienvirus kudefre</t>
  </si>
  <si>
    <t>Octobienvirus octobien14</t>
  </si>
  <si>
    <t>Octobienvirus sephiroth</t>
  </si>
  <si>
    <t>Octobienvirus syleon</t>
  </si>
  <si>
    <t>Bertelyvirus BL9</t>
  </si>
  <si>
    <t>Bertelyvirus SC</t>
  </si>
  <si>
    <t>Colossusvirus colossus</t>
  </si>
  <si>
    <t>Colossusvirus PW</t>
  </si>
  <si>
    <t>Poindextervirus BL10</t>
  </si>
  <si>
    <t>Poindextervirus rogue</t>
  </si>
  <si>
    <t>Shapirovirus cbk</t>
  </si>
  <si>
    <t>Shapirovirus swift</t>
  </si>
  <si>
    <t>Akonivirus akoni</t>
  </si>
  <si>
    <t>Akonivirus phedro</t>
  </si>
  <si>
    <t>Tinytimothyvirus alex44</t>
  </si>
  <si>
    <t>Tinytimothyvirus tinytimothy</t>
  </si>
  <si>
    <t>Firehammervirus CP21</t>
  </si>
  <si>
    <t>Firehammervirus CP220</t>
  </si>
  <si>
    <t>Firehammervirus CPt10</t>
  </si>
  <si>
    <t>Fletchervirus CP81</t>
  </si>
  <si>
    <t>Fletchervirus CP30A</t>
  </si>
  <si>
    <t>Fletchervirus CPX</t>
  </si>
  <si>
    <t>Fletchervirus Los1</t>
  </si>
  <si>
    <t>Fletchervirus NCTC12673</t>
  </si>
  <si>
    <t>Gclasvirinae</t>
  </si>
  <si>
    <t>Antsirabevirus</t>
  </si>
  <si>
    <t>Antsirabevirus antsirabe</t>
  </si>
  <si>
    <t>Avocadovirus</t>
  </si>
  <si>
    <t>Avocadovirus avocado</t>
  </si>
  <si>
    <t>Avocadovirus cambiare</t>
  </si>
  <si>
    <t>Avocadovirus flagstaff</t>
  </si>
  <si>
    <t>Jolieduovirus</t>
  </si>
  <si>
    <t>Jolieduovirus jolie2</t>
  </si>
  <si>
    <t>Jolieduovirus lemuria</t>
  </si>
  <si>
    <t>Jolieduovirus mercurio</t>
  </si>
  <si>
    <t>Liefievirus grizzly</t>
  </si>
  <si>
    <t>Liefievirus paito</t>
  </si>
  <si>
    <t>Liefievirus rabbs</t>
  </si>
  <si>
    <t>Liefievirus taheera</t>
  </si>
  <si>
    <t>Pinnievirus</t>
  </si>
  <si>
    <t>Pinnievirus moorethemaryer</t>
  </si>
  <si>
    <t>Pinnievirus pinnie</t>
  </si>
  <si>
    <t>Dragolirvirus dragolir</t>
  </si>
  <si>
    <t>Harrisonvirus harrison</t>
  </si>
  <si>
    <t>Vegasvirus vegas</t>
  </si>
  <si>
    <t>Wanderervirus wanderer</t>
  </si>
  <si>
    <t>Gordonclarkvirinae</t>
  </si>
  <si>
    <t>Kuravirus CHD5UKE1</t>
  </si>
  <si>
    <t>Kuravirus EcoN5</t>
  </si>
  <si>
    <t>Kuravirus ES17</t>
  </si>
  <si>
    <t>Kuravirus IMEP8</t>
  </si>
  <si>
    <t>Kuravirus kv1721</t>
  </si>
  <si>
    <t>Kuravirus MN03</t>
  </si>
  <si>
    <t>Kuravirus MN05</t>
  </si>
  <si>
    <t>Kuravirus NJ01</t>
  </si>
  <si>
    <t>Kuravirus O18011</t>
  </si>
  <si>
    <t>Kuravirus paul</t>
  </si>
  <si>
    <t>Kuravirus phiEco32</t>
  </si>
  <si>
    <t>Kuravirus SGF2</t>
  </si>
  <si>
    <t>Kuravirus SU10</t>
  </si>
  <si>
    <t>Kuravirus WFI101126</t>
  </si>
  <si>
    <t>Nieuwekanaalvirus</t>
  </si>
  <si>
    <t>Nieuwekanaalvirus EP335</t>
  </si>
  <si>
    <t>Nieuwekanaalvirus KBNP1711</t>
  </si>
  <si>
    <t>Suseptimavirus</t>
  </si>
  <si>
    <t>Suseptimavirus 101114UKE3</t>
  </si>
  <si>
    <t>Suseptimavirus ECBP2</t>
  </si>
  <si>
    <t>Suseptimavirus EK010</t>
  </si>
  <si>
    <t>Suseptimavirus IME267</t>
  </si>
  <si>
    <t>Suseptimavirus SU7</t>
  </si>
  <si>
    <t>Aphroditevirus aphrodite1</t>
  </si>
  <si>
    <t>Aphroditevirus av2TSL2019</t>
  </si>
  <si>
    <t>Aphroditevirus PDCC1</t>
  </si>
  <si>
    <t>Aphroditevirus USC1</t>
  </si>
  <si>
    <t>Tidunavirus pTD1</t>
  </si>
  <si>
    <t>Tidunavirus VP4B</t>
  </si>
  <si>
    <t>Gracegardnervirinae</t>
  </si>
  <si>
    <t>Avanivirus avani</t>
  </si>
  <si>
    <t>Avanivirus Che9d</t>
  </si>
  <si>
    <t>Avanivirus demsculpinboyz</t>
  </si>
  <si>
    <t>Avanivirus soul22</t>
  </si>
  <si>
    <t>Avanivirus yoshi</t>
  </si>
  <si>
    <t>Avanivirus zapner</t>
  </si>
  <si>
    <t>Cheoctovirus arcusangelus</t>
  </si>
  <si>
    <t>Cheoctovirus batiatus</t>
  </si>
  <si>
    <t>Cheoctovirus blexus</t>
  </si>
  <si>
    <t>Cheoctovirus bobaphett</t>
  </si>
  <si>
    <t>Cheoctovirus bodeinwohner17</t>
  </si>
  <si>
    <t>Cheoctovirus bubbles123</t>
  </si>
  <si>
    <t>Cheoctovirus burwell21</t>
  </si>
  <si>
    <t>Cheoctovirus buzzlyseyear</t>
  </si>
  <si>
    <t>Cheoctovirus byougenkin</t>
  </si>
  <si>
    <t>Cheoctovirus captaintrips</t>
  </si>
  <si>
    <t>Cheoctovirus chuckly</t>
  </si>
  <si>
    <t>Cheoctovirus dante</t>
  </si>
  <si>
    <t>Cheoctovirus dilltech15</t>
  </si>
  <si>
    <t>Cheoctovirus donkeykong</t>
  </si>
  <si>
    <t>Cheoctovirus doug</t>
  </si>
  <si>
    <t>Cheoctovirus DRBy19</t>
  </si>
  <si>
    <t>Cheoctovirus eish</t>
  </si>
  <si>
    <t>Cheoctovirus eleanorgeorge</t>
  </si>
  <si>
    <t>Cheoctovirus emma</t>
  </si>
  <si>
    <t>Cheoctovirus empress</t>
  </si>
  <si>
    <t>Cheoctovirus estave1</t>
  </si>
  <si>
    <t>Cheoctovirus fancypants</t>
  </si>
  <si>
    <t>Cheoctovirus filuzino</t>
  </si>
  <si>
    <t>Cheoctovirus firehouse51</t>
  </si>
  <si>
    <t>Cheoctovirus florinda</t>
  </si>
  <si>
    <t>Cheoctovirus galactic</t>
  </si>
  <si>
    <t>Cheoctovirus gandalph</t>
  </si>
  <si>
    <t>Cheoctovirus geralt</t>
  </si>
  <si>
    <t>Cheoctovirus girr</t>
  </si>
  <si>
    <t>Cheoctovirus gorge</t>
  </si>
  <si>
    <t>Cheoctovirus hades</t>
  </si>
  <si>
    <t>Cheoctovirus hamulus</t>
  </si>
  <si>
    <t>Cheoctovirus harley</t>
  </si>
  <si>
    <t>Cheoctovirus hlubikazi</t>
  </si>
  <si>
    <t>Cheoctovirus inventum</t>
  </si>
  <si>
    <t>Cheoctovirus joeyjr</t>
  </si>
  <si>
    <t>Cheoctovirus kersh</t>
  </si>
  <si>
    <t>Cheoctovirus kimberlium</t>
  </si>
  <si>
    <t>Cheoctovirus krakatau</t>
  </si>
  <si>
    <t>Cheoctovirus kristaram</t>
  </si>
  <si>
    <t>Cheoctovirus lilmoolah</t>
  </si>
  <si>
    <t>Cheoctovirus lizziana</t>
  </si>
  <si>
    <t>Cheoctovirus mahavrat</t>
  </si>
  <si>
    <t>Cheoctovirus mantra</t>
  </si>
  <si>
    <t>Cheoctovirus mattes</t>
  </si>
  <si>
    <t>Cheoctovirus melissauren88</t>
  </si>
  <si>
    <t>Cheoctovirus milleniumforce</t>
  </si>
  <si>
    <t>Cheoctovirus miniondave</t>
  </si>
  <si>
    <t>Cheoctovirus minnie</t>
  </si>
  <si>
    <t>Cheoctovirus moonbeam</t>
  </si>
  <si>
    <t>Cheoctovirus nitzel</t>
  </si>
  <si>
    <t>Cheoctovirus nivrat</t>
  </si>
  <si>
    <t>Cheoctovirus ochi17</t>
  </si>
  <si>
    <t>Cheoctovirus oldben</t>
  </si>
  <si>
    <t>Cheoctovirus olympiasaint</t>
  </si>
  <si>
    <t>Cheoctovirus ovechkin</t>
  </si>
  <si>
    <t>Cheoctovirus owlsT2W</t>
  </si>
  <si>
    <t>Cheoctovirus phasih</t>
  </si>
  <si>
    <t>Cheoctovirus phatniss</t>
  </si>
  <si>
    <t>Cheoctovirus plumbus</t>
  </si>
  <si>
    <t>Cheoctovirus poenanya</t>
  </si>
  <si>
    <t>Cheoctovirus polka14</t>
  </si>
  <si>
    <t>Cheoctovirus poptart</t>
  </si>
  <si>
    <t>Cheoctovirus priscilla</t>
  </si>
  <si>
    <t>Cheoctovirus quickmath</t>
  </si>
  <si>
    <t>Cheoctovirus ritaG</t>
  </si>
  <si>
    <t>Cheoctovirus royals2015</t>
  </si>
  <si>
    <t>Cheoctovirus saal</t>
  </si>
  <si>
    <t>Cheoctovirus sandalphon</t>
  </si>
  <si>
    <t>Cheoctovirus sisi</t>
  </si>
  <si>
    <t>Cheoctovirus sparkdehlily</t>
  </si>
  <si>
    <t>Cheoctovirus spikelee</t>
  </si>
  <si>
    <t>Cheoctovirus spoonbill</t>
  </si>
  <si>
    <t>Cheoctovirus supergrey</t>
  </si>
  <si>
    <t>Cheoctovirus swagpigglett</t>
  </si>
  <si>
    <t>Cheoctovirus veteran</t>
  </si>
  <si>
    <t>Cheoctovirus wachhund</t>
  </si>
  <si>
    <t>Cheoctovirus whouxphf</t>
  </si>
  <si>
    <t>Cheoctovirus willsterrel</t>
  </si>
  <si>
    <t>Cheoctovirus xfactor</t>
  </si>
  <si>
    <t>Cheoctovirus zerg</t>
  </si>
  <si>
    <t>Moomoovirus</t>
  </si>
  <si>
    <t>Moomoovirus moomoo</t>
  </si>
  <si>
    <t>Cornellvirus SP31</t>
  </si>
  <si>
    <t>Jerseyvirus AG11</t>
  </si>
  <si>
    <t>Jerseyvirus Ent1</t>
  </si>
  <si>
    <t>Jerseyvirus f18SE</t>
  </si>
  <si>
    <t>Jerseyvirus jersey</t>
  </si>
  <si>
    <t>Jerseyvirus LSPA1</t>
  </si>
  <si>
    <t>Jerseyvirus SE2</t>
  </si>
  <si>
    <t>Jerseyvirus SETP3</t>
  </si>
  <si>
    <t>Jerseyvirus SETP7</t>
  </si>
  <si>
    <t>Jerseyvirus SETP13</t>
  </si>
  <si>
    <t>Jerseyvirus SP101</t>
  </si>
  <si>
    <t>Jerseyvirus SS3e</t>
  </si>
  <si>
    <t>Jerseyvirus wksl3</t>
  </si>
  <si>
    <t>Kagunavirus golestan</t>
  </si>
  <si>
    <t>Kagunavirus K1G</t>
  </si>
  <si>
    <t>Kagunavirus K1H</t>
  </si>
  <si>
    <t>Kagunavirus K1ind1</t>
  </si>
  <si>
    <t>Kagunavirus K1ind2</t>
  </si>
  <si>
    <t>Kagunavirus RP180</t>
  </si>
  <si>
    <t>Carmenvirus carmen17</t>
  </si>
  <si>
    <t>Carmenvirus Wes44</t>
  </si>
  <si>
    <t>Pebcunavirus PBC1</t>
  </si>
  <si>
    <t>Byrnievirus HK97</t>
  </si>
  <si>
    <t>Cuauhtlivirus mEpX1</t>
  </si>
  <si>
    <t>Kwaitsingvirus HK446</t>
  </si>
  <si>
    <t>Kwaitsingvirus HK544</t>
  </si>
  <si>
    <t>Nochtlivirus mEp235</t>
  </si>
  <si>
    <t>Saikungvirus HK75</t>
  </si>
  <si>
    <t>Saikungvirus HK633</t>
  </si>
  <si>
    <t>Shamshuipovirus HK022</t>
  </si>
  <si>
    <t>Shamshuipovirus mEpX2</t>
  </si>
  <si>
    <t>Wanchaivirus HK106</t>
  </si>
  <si>
    <t>Wanchaivirus mEp234</t>
  </si>
  <si>
    <t>Wongtaivirus ECP1</t>
  </si>
  <si>
    <t>Wongtaivirus HK542</t>
  </si>
  <si>
    <t>Yautsimvirus HK140</t>
  </si>
  <si>
    <t>Iiscvirinae</t>
  </si>
  <si>
    <t>Aryavirus</t>
  </si>
  <si>
    <t>Aryavirus arya</t>
  </si>
  <si>
    <t>Jilinvirus CVM10</t>
  </si>
  <si>
    <t>Jilinvirus ECOO78</t>
  </si>
  <si>
    <t>Jilinvirus ep3</t>
  </si>
  <si>
    <t>Joanripponvirinae</t>
  </si>
  <si>
    <t>Natevirus</t>
  </si>
  <si>
    <t>Natevirus nate</t>
  </si>
  <si>
    <t>Sophritavirus</t>
  </si>
  <si>
    <t>Sophritavirus pW2</t>
  </si>
  <si>
    <t>Sophritavirus sophrita</t>
  </si>
  <si>
    <t>Tsamsavirus</t>
  </si>
  <si>
    <t>Tsamsavirus chewbecca</t>
  </si>
  <si>
    <t>Tsamsavirus izhevsk</t>
  </si>
  <si>
    <t>Tsamsavirus mrdarsey</t>
  </si>
  <si>
    <t>Tsamsavirus skywalker</t>
  </si>
  <si>
    <t>Tsamsavirus tsamsa</t>
  </si>
  <si>
    <t>Kantovirinae</t>
  </si>
  <si>
    <t>Beograduvirus</t>
  </si>
  <si>
    <t>Beograduvirus KPhi1</t>
  </si>
  <si>
    <t>Beograduvirus Xaf18</t>
  </si>
  <si>
    <t>Tsukubavirus</t>
  </si>
  <si>
    <t>Tsukubavirus OP2</t>
  </si>
  <si>
    <t>Tsukubavirus XPP1</t>
  </si>
  <si>
    <t>Tsukubavirus XPV1</t>
  </si>
  <si>
    <t>Getalongvirus asapag</t>
  </si>
  <si>
    <t>Getalongvirus bentherdunthat</t>
  </si>
  <si>
    <t>Getalongvirus getalong</t>
  </si>
  <si>
    <t>Getalongvirus kenna</t>
  </si>
  <si>
    <t>Horusvirus horus</t>
  </si>
  <si>
    <t>Phistoryvirus phistory</t>
  </si>
  <si>
    <t>Limdunavirus LDG</t>
  </si>
  <si>
    <t>Limdunavirus Lmd1</t>
  </si>
  <si>
    <t>Limdunavirus LN03</t>
  </si>
  <si>
    <t>Limdunavirus LN04</t>
  </si>
  <si>
    <t>Limdunavirus LN12</t>
  </si>
  <si>
    <t>Limdunavirus P793</t>
  </si>
  <si>
    <t>Limdunavirus P965</t>
  </si>
  <si>
    <t>Unaquatrovirus Ln7</t>
  </si>
  <si>
    <t>Unaquatrovirus Ln9</t>
  </si>
  <si>
    <t>Unaquatrovirus LN25</t>
  </si>
  <si>
    <t>Unaquatrovirus LN34</t>
  </si>
  <si>
    <t>Unaquatrovirus uv1A4</t>
  </si>
  <si>
    <t>Charlievirus Aggie</t>
  </si>
  <si>
    <t>Charlievirus Andies</t>
  </si>
  <si>
    <t>Charlievirus butters</t>
  </si>
  <si>
    <t>Charlievirus Charlie</t>
  </si>
  <si>
    <t>Charlievirus Fulbright</t>
  </si>
  <si>
    <t>Charlievirus Jamie19</t>
  </si>
  <si>
    <t>Charlievirus Kevin1</t>
  </si>
  <si>
    <t>Charlievirus michellemybell</t>
  </si>
  <si>
    <t>Charlievirus panchino</t>
  </si>
  <si>
    <t>Charlievirus Philonius</t>
  </si>
  <si>
    <t>Charlievirus phrann</t>
  </si>
  <si>
    <t>Charlievirus Pipsqueaks</t>
  </si>
  <si>
    <t>Charlievirus Raymond7</t>
  </si>
  <si>
    <t>Charlievirus Rebel</t>
  </si>
  <si>
    <t>Charlievirus redi</t>
  </si>
  <si>
    <t>Charlievirus skinnypete</t>
  </si>
  <si>
    <t>Charlievirus Tapioca</t>
  </si>
  <si>
    <t>Charlievirus Xeno</t>
  </si>
  <si>
    <t>Baxterfoxvirus</t>
  </si>
  <si>
    <t>Baxterfoxvirus ohgeesy</t>
  </si>
  <si>
    <t>Baxtervirus baxterfox</t>
  </si>
  <si>
    <t>Baxtervirus yeezy</t>
  </si>
  <si>
    <t>Nymphadoravirus agueybana</t>
  </si>
  <si>
    <t>Nymphadoravirus bosnia</t>
  </si>
  <si>
    <t>Nymphadoravirus boynamedsue</t>
  </si>
  <si>
    <t>Nymphadoravirus bunnybear</t>
  </si>
  <si>
    <t>Nymphadoravirus herod</t>
  </si>
  <si>
    <t>Nymphadoravirus kita</t>
  </si>
  <si>
    <t>Nymphadoravirus madeline</t>
  </si>
  <si>
    <t>Nymphadoravirus maridalia</t>
  </si>
  <si>
    <t>Nymphadoravirus nymphadora</t>
  </si>
  <si>
    <t>Nymphadoravirus polly</t>
  </si>
  <si>
    <t>Nymphadoravirus thankyoujordi</t>
  </si>
  <si>
    <t>Nymphadoravirus zirinka</t>
  </si>
  <si>
    <t>Felixounavirus Alf5</t>
  </si>
  <si>
    <t>Felixounavirus AYO145A</t>
  </si>
  <si>
    <t>Felixounavirus BPS15Q2</t>
  </si>
  <si>
    <t>Felixounavirus BPS17L1</t>
  </si>
  <si>
    <t>Felixounavirus BPS17W1</t>
  </si>
  <si>
    <t>Felixounavirus EC6</t>
  </si>
  <si>
    <t>Felixounavirus felixO1</t>
  </si>
  <si>
    <t>Felixounavirus HY02</t>
  </si>
  <si>
    <t>Felixounavirus JH2</t>
  </si>
  <si>
    <t>Felixounavirus mushroom</t>
  </si>
  <si>
    <t>Felixounavirus RPN213</t>
  </si>
  <si>
    <t>Felixounavirus Si3</t>
  </si>
  <si>
    <t>Felixounavirus SP116</t>
  </si>
  <si>
    <t>Felixounavirus TP1</t>
  </si>
  <si>
    <t>Felixounavirus UAB87</t>
  </si>
  <si>
    <t>Felixounavirus VpaE1</t>
  </si>
  <si>
    <t>Felixounavirus wV8</t>
  </si>
  <si>
    <t>Kolesnikvirus Ea214</t>
  </si>
  <si>
    <t>Kolesnikvirus M7</t>
  </si>
  <si>
    <t>Mooglevirus moogle</t>
  </si>
  <si>
    <t>Mooglevirus mordin</t>
  </si>
  <si>
    <t>Mooglevirus Sf13</t>
  </si>
  <si>
    <t>Mooglevirus Sf14</t>
  </si>
  <si>
    <t>Mooglevirus Sf17</t>
  </si>
  <si>
    <t>Suspvirus SUSP1</t>
  </si>
  <si>
    <t>Suspvirus SUSP2</t>
  </si>
  <si>
    <t>Bignuzvirus bignuz</t>
  </si>
  <si>
    <t>Fishburnevirus arib1</t>
  </si>
  <si>
    <t>Fishburnevirus atcoo</t>
  </si>
  <si>
    <t>Fishburnevirus bartholomew</t>
  </si>
  <si>
    <t>Fishburnevirus brusacoram</t>
  </si>
  <si>
    <t>Fishburnevirus donovan</t>
  </si>
  <si>
    <t>Fishburnevirus firstplacepfu</t>
  </si>
  <si>
    <t>Fishburnevirus fishburne</t>
  </si>
  <si>
    <t>Fishburnevirus greaselightnin</t>
  </si>
  <si>
    <t>Fishburnevirus jebeks</t>
  </si>
  <si>
    <t>Fishburnevirus jung</t>
  </si>
  <si>
    <t>Fishburnevirus kilkor</t>
  </si>
  <si>
    <t>Fishburnevirus ksquared</t>
  </si>
  <si>
    <t>Fishburnevirus majeke</t>
  </si>
  <si>
    <t>Fishburnevirus malithi</t>
  </si>
  <si>
    <t>Fishburnevirus shipwreck</t>
  </si>
  <si>
    <t>Fishburnevirus willsammy</t>
  </si>
  <si>
    <t>Phayoncevirus phayonce</t>
  </si>
  <si>
    <t>Phayoncevirus thulathula</t>
  </si>
  <si>
    <t>Purkyvirus</t>
  </si>
  <si>
    <t>Purkyvirus purky</t>
  </si>
  <si>
    <t>Xaviavirus</t>
  </si>
  <si>
    <t>Xaviavirus xavia</t>
  </si>
  <si>
    <t>Amoyvirus R7M</t>
  </si>
  <si>
    <t>Nipunavirus NP1</t>
  </si>
  <si>
    <t>Nipunavirus PaMx25</t>
  </si>
  <si>
    <t>Nonagvirus JenK1</t>
  </si>
  <si>
    <t>Nonagvirus JenP1</t>
  </si>
  <si>
    <t>Nonagvirus JenP2</t>
  </si>
  <si>
    <t>Nonagvirus nv9g</t>
  </si>
  <si>
    <t>Nonagvirus SE1Kor</t>
  </si>
  <si>
    <t>Seuratvirus cajan</t>
  </si>
  <si>
    <t>Seuratvirus seurat</t>
  </si>
  <si>
    <t>Ruthgordonvirinae</t>
  </si>
  <si>
    <t>Catfishvirus</t>
  </si>
  <si>
    <t>Catfishvirus catfish</t>
  </si>
  <si>
    <t>Dardanusvirus</t>
  </si>
  <si>
    <t>Dardanusvirus dardanus</t>
  </si>
  <si>
    <t>Gesputvirus gsput1</t>
  </si>
  <si>
    <t>Schmidtvirus</t>
  </si>
  <si>
    <t>Schmidtvirus schmidt</t>
  </si>
  <si>
    <t>Tinalinvirus</t>
  </si>
  <si>
    <t>Tinalinvirus tinalin</t>
  </si>
  <si>
    <t>Vendettavirus tzgordon</t>
  </si>
  <si>
    <t>Vendettavirus vendetta</t>
  </si>
  <si>
    <t>Sejongvirinae</t>
  </si>
  <si>
    <t>Basiliskvirus</t>
  </si>
  <si>
    <t>Basiliskvirus bak10</t>
  </si>
  <si>
    <t>Basiliskvirus basilisk</t>
  </si>
  <si>
    <t>Yihwangvirus</t>
  </si>
  <si>
    <t>Yihwangvirus BCPST</t>
  </si>
  <si>
    <t>Yihwangvirus PBC4</t>
  </si>
  <si>
    <t>Yihwangvirus pW4</t>
  </si>
  <si>
    <t>Diegovirus dv7502Stx</t>
  </si>
  <si>
    <t>Diegovirus POCJ13</t>
  </si>
  <si>
    <t>Oslovirus ArgO145</t>
  </si>
  <si>
    <t>Oslovirus Lyz12581Vzw</t>
  </si>
  <si>
    <t>Oslovirus ov191</t>
  </si>
  <si>
    <t>Oslovirus PA2</t>
  </si>
  <si>
    <t>Oslovirus TL2011</t>
  </si>
  <si>
    <t>Oslovirus VASD</t>
  </si>
  <si>
    <t>Traversvirus AU5Stx1</t>
  </si>
  <si>
    <t>Traversvirus AU6Stx1</t>
  </si>
  <si>
    <t>Traversvirus F451</t>
  </si>
  <si>
    <t>Traversvirus II</t>
  </si>
  <si>
    <t>Traversvirus min27</t>
  </si>
  <si>
    <t>Traversvirus P27</t>
  </si>
  <si>
    <t>Traversvirus PA28</t>
  </si>
  <si>
    <t>Traversvirus SH2026Stx1</t>
  </si>
  <si>
    <t>Traversvirus ST28624</t>
  </si>
  <si>
    <t>Traversvirus tv86</t>
  </si>
  <si>
    <t>Traversvirus tv24B</t>
  </si>
  <si>
    <t>Traversvirus tv933W</t>
  </si>
  <si>
    <t>Traversvirus WGPS9</t>
  </si>
  <si>
    <t>Bembunaquatrovirus BMBtp14</t>
  </si>
  <si>
    <t>Pushchinovirus B83</t>
  </si>
  <si>
    <t>Stephanstirmvirinae</t>
  </si>
  <si>
    <t>Justusliebigvirus</t>
  </si>
  <si>
    <t>Justusliebigvirus alia</t>
  </si>
  <si>
    <t>Justusliebigvirus muut</t>
  </si>
  <si>
    <t>Justusliebigvirus PD06</t>
  </si>
  <si>
    <t>Justusliebigvirus PHB05</t>
  </si>
  <si>
    <t>Justusliebigvirus phi92</t>
  </si>
  <si>
    <t>Justusliebigvirus VEcB</t>
  </si>
  <si>
    <t>Phapecoctavirus anhysbys</t>
  </si>
  <si>
    <t>Phapecoctavirus Mt1B1P17</t>
  </si>
  <si>
    <t>Phapecoctavirus nepoznato</t>
  </si>
  <si>
    <t>Phapecoctavirus nieznany</t>
  </si>
  <si>
    <t>Phapecoctavirus Ro121c4YLVW</t>
  </si>
  <si>
    <t>Phapecoctavirus TSP7</t>
  </si>
  <si>
    <t>Phapecoctavirus tuntematon</t>
  </si>
  <si>
    <t>Phapecoctavirus ukendt</t>
  </si>
  <si>
    <t>Jelitavirus B025</t>
  </si>
  <si>
    <t>Slepowronvirus LP101</t>
  </si>
  <si>
    <t>Slepowronvirus LPHM00113468</t>
  </si>
  <si>
    <t>Douglaswolinvirus B2</t>
  </si>
  <si>
    <t>Lenusvirus lenus</t>
  </si>
  <si>
    <t>Lenusvirus nyseid</t>
  </si>
  <si>
    <t>Lenusvirus SAC12</t>
  </si>
  <si>
    <t>Lidleunavirus Ldl1</t>
  </si>
  <si>
    <t>Lidleunavirus ViSo2018a</t>
  </si>
  <si>
    <t>Maenadvirus maenad</t>
  </si>
  <si>
    <t>Maenadvirus P1</t>
  </si>
  <si>
    <t>Maenadvirus satyr</t>
  </si>
  <si>
    <t>Avunavirus Av05</t>
  </si>
  <si>
    <t>Certrevirus CR3</t>
  </si>
  <si>
    <t>Certrevirus CR8</t>
  </si>
  <si>
    <t>Certrevirus CR9</t>
  </si>
  <si>
    <t>Certrevirus PBES02</t>
  </si>
  <si>
    <t>Certrevirus phiTE</t>
  </si>
  <si>
    <t>Henunavirus hena1</t>
  </si>
  <si>
    <t>Henunavirus SNUABM01</t>
  </si>
  <si>
    <t>Mydovirus BIS47</t>
  </si>
  <si>
    <t>Mydovirus KB57</t>
  </si>
  <si>
    <t>Mydovirus KNP2</t>
  </si>
  <si>
    <t>Mydovirus KpS8</t>
  </si>
  <si>
    <t>Mydovirus mydo</t>
  </si>
  <si>
    <t>Mydovirus Ro1</t>
  </si>
  <si>
    <t>Seunavirus 4MG</t>
  </si>
  <si>
    <t>Seunavirus GAP31</t>
  </si>
  <si>
    <t>Seunavirus PVPSE1</t>
  </si>
  <si>
    <t>Seunavirus SSE121</t>
  </si>
  <si>
    <t>Vequintavirus APECc02</t>
  </si>
  <si>
    <t>Vequintavirus FFH2</t>
  </si>
  <si>
    <t>Vequintavirus FV3</t>
  </si>
  <si>
    <t>Vequintavirus JES2013</t>
  </si>
  <si>
    <t>Vequintavirus murica</t>
  </si>
  <si>
    <t>Vequintavirus slur16</t>
  </si>
  <si>
    <t>Vequintavirus V5</t>
  </si>
  <si>
    <t>Vequintavirus V18</t>
  </si>
  <si>
    <t>Weiservirinae</t>
  </si>
  <si>
    <t>Amginevirus</t>
  </si>
  <si>
    <t>Amginevirus amgine</t>
  </si>
  <si>
    <t>Amginevirus amohnition</t>
  </si>
  <si>
    <t>Amginevirus darthP</t>
  </si>
  <si>
    <t>Amginevirus ekdilam</t>
  </si>
  <si>
    <t>Amginevirus ellie</t>
  </si>
  <si>
    <t>Aminayvirus</t>
  </si>
  <si>
    <t>Aminayvirus aminay</t>
  </si>
  <si>
    <t>Anayavirus</t>
  </si>
  <si>
    <t>Anayavirus adephagia</t>
  </si>
  <si>
    <t>Anayavirus adonis</t>
  </si>
  <si>
    <t>Anayavirus alishaPH</t>
  </si>
  <si>
    <t>Anayavirus amelie</t>
  </si>
  <si>
    <t>Anayavirus anaya</t>
  </si>
  <si>
    <t>Anayavirus angelica</t>
  </si>
  <si>
    <t>Anayavirus apocalypse</t>
  </si>
  <si>
    <t>Anayavirus beezoo</t>
  </si>
  <si>
    <t>Anayavirus bella96</t>
  </si>
  <si>
    <t>Anayavirus chris</t>
  </si>
  <si>
    <t>Anayavirus crimD</t>
  </si>
  <si>
    <t>Anayavirus curiosium</t>
  </si>
  <si>
    <t>Anayavirus JAWS</t>
  </si>
  <si>
    <t>Anayavirus kisi</t>
  </si>
  <si>
    <t>Anayavirus lasthope</t>
  </si>
  <si>
    <t>Anayavirus laterM</t>
  </si>
  <si>
    <t>Anayavirus markphew</t>
  </si>
  <si>
    <t>Anayavirus marshawn</t>
  </si>
  <si>
    <t>Anayavirus murucutumbu</t>
  </si>
  <si>
    <t>Anayavirus nibb</t>
  </si>
  <si>
    <t>Anayavirus niklas</t>
  </si>
  <si>
    <t>Anayavirus prithvi</t>
  </si>
  <si>
    <t>Anayavirus sirphilip</t>
  </si>
  <si>
    <t>Anayavirus urkel</t>
  </si>
  <si>
    <t>Anayavirus validus</t>
  </si>
  <si>
    <t>Anayavirus yuna</t>
  </si>
  <si>
    <t>Anayavirus yunkel11</t>
  </si>
  <si>
    <t>Anayavirus zavala</t>
  </si>
  <si>
    <t>Fionnbharthvirus</t>
  </si>
  <si>
    <t>Fionnbharthvirus eponine</t>
  </si>
  <si>
    <t>Fionnbharthvirus fionnbharth</t>
  </si>
  <si>
    <t>Fionnbharthvirus henu3</t>
  </si>
  <si>
    <t>Fionnbharthvirus patt</t>
  </si>
  <si>
    <t>Fionnbharthvirus taquito</t>
  </si>
  <si>
    <t>Keshuvirus</t>
  </si>
  <si>
    <t>Keshuvirus hurricane</t>
  </si>
  <si>
    <t>Keshuvirus keshu</t>
  </si>
  <si>
    <t>Keshuvirus macncheese</t>
  </si>
  <si>
    <t>Keshuvirus pixie</t>
  </si>
  <si>
    <t>Keshuvirus shedlockholmes</t>
  </si>
  <si>
    <t>Kratiovirus</t>
  </si>
  <si>
    <t>Kratiovirus collard</t>
  </si>
  <si>
    <t>Kratiovirus gengar</t>
  </si>
  <si>
    <t>Kratiovirus kratio</t>
  </si>
  <si>
    <t>Kratiovirus larva</t>
  </si>
  <si>
    <t>Kratiovirus leston</t>
  </si>
  <si>
    <t>Kratiovirus omnicron</t>
  </si>
  <si>
    <t>Kratiovirus paola</t>
  </si>
  <si>
    <t>Kratiovirus rando14</t>
  </si>
  <si>
    <t>Kratiovirus thyatira</t>
  </si>
  <si>
    <t>Timquatrovirus findley</t>
  </si>
  <si>
    <t>Timquatrovirus mufasa</t>
  </si>
  <si>
    <t>Timquatrovirus zoeJ</t>
  </si>
  <si>
    <t>Unicornvirus</t>
  </si>
  <si>
    <t>Unicornvirus bryler</t>
  </si>
  <si>
    <t>Unicornvirus krueger</t>
  </si>
  <si>
    <t>Unicornvirus shandong1</t>
  </si>
  <si>
    <t>Unicornvirus unicorn</t>
  </si>
  <si>
    <t>Unicornvirus ximenita</t>
  </si>
  <si>
    <t>Abaiavirus</t>
  </si>
  <si>
    <t>Abaiavirus POA1180</t>
  </si>
  <si>
    <t>Abbeymikolonvirus abbeymikolon</t>
  </si>
  <si>
    <t>Abouovirus abouo</t>
  </si>
  <si>
    <t>Abouovirus davies</t>
  </si>
  <si>
    <t>Adaiavirus</t>
  </si>
  <si>
    <t>Adaiavirus adaia</t>
  </si>
  <si>
    <t>Agmunavirus AGM1</t>
  </si>
  <si>
    <t>Agricanvirus deimos</t>
  </si>
  <si>
    <t>Agricanvirus desertfox</t>
  </si>
  <si>
    <t>Agricanvirus Ea3570</t>
  </si>
  <si>
    <t>Agricanvirus ray</t>
  </si>
  <si>
    <t>Agricanvirus simmy50</t>
  </si>
  <si>
    <t>Agricanvirus specialG</t>
  </si>
  <si>
    <t>Aguilavirus mEp043</t>
  </si>
  <si>
    <t>Aguilavirus mEp213</t>
  </si>
  <si>
    <t>Akiravirus</t>
  </si>
  <si>
    <t>Akiravirus akira</t>
  </si>
  <si>
    <t>Alachuavirus Xp15</t>
  </si>
  <si>
    <t>Alcyoneusvirus K641</t>
  </si>
  <si>
    <t>Alcyoneusvirus RaK2</t>
  </si>
  <si>
    <t>Alegriavirus av2B8</t>
  </si>
  <si>
    <t>Alexandravirus AD1</t>
  </si>
  <si>
    <t>Alexandravirus alexandra</t>
  </si>
  <si>
    <t>Alexandravirus SNUABM1</t>
  </si>
  <si>
    <t>Alexandravirus SNUABM2</t>
  </si>
  <si>
    <t>Alexandravirus SNUABM3</t>
  </si>
  <si>
    <t>Alexandravirus SNUABM16</t>
  </si>
  <si>
    <t>Alexandravirus SNUABM17</t>
  </si>
  <si>
    <t>Alexandravirus SNUABM22</t>
  </si>
  <si>
    <t>Alexandravirus SNUABM30</t>
  </si>
  <si>
    <t>Alexandravirus SNUABM32</t>
  </si>
  <si>
    <t>Alexandravirus SNUABM33</t>
  </si>
  <si>
    <t>Alexandravirus SNUABM35</t>
  </si>
  <si>
    <t>Amigovirus amigo</t>
  </si>
  <si>
    <t>Amigovirus molivia</t>
  </si>
  <si>
    <t>Anamdongvirus LBR48</t>
  </si>
  <si>
    <t>Anatolevirus anatole</t>
  </si>
  <si>
    <t>Anatolevirus B3</t>
  </si>
  <si>
    <t>Andrewvirus andrew</t>
  </si>
  <si>
    <t>Andromedavirus andromeda</t>
  </si>
  <si>
    <t>Andromedavirus blastoid</t>
  </si>
  <si>
    <t>Andromedavirus curly</t>
  </si>
  <si>
    <t>Andromedavirus eoghan</t>
  </si>
  <si>
    <t>Andromedavirus finn</t>
  </si>
  <si>
    <t>Andromedavirus glittering</t>
  </si>
  <si>
    <t>Andromedavirus riggi</t>
  </si>
  <si>
    <t>Andromedavirus taylor</t>
  </si>
  <si>
    <t>Anjalivirus anjali</t>
  </si>
  <si>
    <t>Anjalivirus mendel</t>
  </si>
  <si>
    <t>Anthonyvirus</t>
  </si>
  <si>
    <t>Anthonyvirus anthony</t>
  </si>
  <si>
    <t>Aokuangvirus SCBWM1</t>
  </si>
  <si>
    <t>Appavirus appa</t>
  </si>
  <si>
    <t>Apricotvirus apricot</t>
  </si>
  <si>
    <t>Arawnvirus arawn</t>
  </si>
  <si>
    <t>Archimedesvirus</t>
  </si>
  <si>
    <t>Archimedesvirus archimedes</t>
  </si>
  <si>
    <t>Armstrongvirus armstrong</t>
  </si>
  <si>
    <t>Arvduovirus</t>
  </si>
  <si>
    <t>Arvduovirus ArV2</t>
  </si>
  <si>
    <t>Ashduovirus A2</t>
  </si>
  <si>
    <t>Asteriusvirus av121Q</t>
  </si>
  <si>
    <t>Asteriusvirus PBECO4</t>
  </si>
  <si>
    <t>Astrithrvirus astrithr</t>
  </si>
  <si>
    <t>Atraxavirus</t>
  </si>
  <si>
    <t>Atraxavirus atraxa</t>
  </si>
  <si>
    <t>Attisvirus attis</t>
  </si>
  <si>
    <t>Attisvirus bjanes7</t>
  </si>
  <si>
    <t>Attisvirus ebert</t>
  </si>
  <si>
    <t>Attisvirus lamberg</t>
  </si>
  <si>
    <t>Attisvirus matteo</t>
  </si>
  <si>
    <t>Attisvirus pickett</t>
  </si>
  <si>
    <t>Attisvirus sahara</t>
  </si>
  <si>
    <t>Attisvirus vasanti</t>
  </si>
  <si>
    <t>Attisvirus yeet412</t>
  </si>
  <si>
    <t>Attoomivirus attoomi</t>
  </si>
  <si>
    <t>Audreyjarvisvirus AM1</t>
  </si>
  <si>
    <t>Audreyjarvisvirus AM4</t>
  </si>
  <si>
    <t>Audreyjarvisvirus av949</t>
  </si>
  <si>
    <t>Audreyjarvisvirus L47</t>
  </si>
  <si>
    <t>Audreyjarvisvirus LW81</t>
  </si>
  <si>
    <t>Audreyjarvisvirus P1048</t>
  </si>
  <si>
    <t>Audreyjarvisvirus WRP3</t>
  </si>
  <si>
    <t>Aurunvirus STIM5</t>
  </si>
  <si>
    <t>Austintatiousvirus austintatious</t>
  </si>
  <si>
    <t>Austintatiousvirus ididsumtinwong</t>
  </si>
  <si>
    <t>Austintatiousvirus papayasalad</t>
  </si>
  <si>
    <t>Axeltriavirus</t>
  </si>
  <si>
    <t>Axeltriavirus AXL3</t>
  </si>
  <si>
    <t>Ayohtrevirus abba</t>
  </si>
  <si>
    <t>Backyardiganvirus</t>
  </si>
  <si>
    <t>Backyardiganvirus arturo</t>
  </si>
  <si>
    <t>Backyardiganvirus backyardigan</t>
  </si>
  <si>
    <t>Backyardiganvirus bellusterra</t>
  </si>
  <si>
    <t>Backyardiganvirus camperdownii</t>
  </si>
  <si>
    <t>Backyardiganvirus cerulean</t>
  </si>
  <si>
    <t>Backyardiganvirus cindaradix</t>
  </si>
  <si>
    <t>Backyardiganvirus cintron</t>
  </si>
  <si>
    <t>Backyardiganvirus icleared</t>
  </si>
  <si>
    <t>Backyardiganvirus leoavram</t>
  </si>
  <si>
    <t>Backyardiganvirus LHTSCC</t>
  </si>
  <si>
    <t>Backyardiganvirus miramae</t>
  </si>
  <si>
    <t>Backyardiganvirus mundrea</t>
  </si>
  <si>
    <t>Backyardiganvirus noelle</t>
  </si>
  <si>
    <t>Backyardiganvirus peaches</t>
  </si>
  <si>
    <t>Backyardiganvirus stasia</t>
  </si>
  <si>
    <t>Backyardiganvirus wizard007</t>
  </si>
  <si>
    <t>Badaztecvirus badaargau2</t>
  </si>
  <si>
    <t>Badaztecvirus badaztec1</t>
  </si>
  <si>
    <t>Baikalvirus PaBG</t>
  </si>
  <si>
    <t>Baileybluvirus</t>
  </si>
  <si>
    <t>Baileybluvirus baileyblu</t>
  </si>
  <si>
    <t>Bakolyvirus bakoly</t>
  </si>
  <si>
    <t>Bakolyvirus simangalove</t>
  </si>
  <si>
    <t>Bantamvirus bantam</t>
  </si>
  <si>
    <t>Barbavirus barba18A</t>
  </si>
  <si>
    <t>Barbavirus barba19A</t>
  </si>
  <si>
    <t>Barbavirus barba21A</t>
  </si>
  <si>
    <t>Barbavirus barba5S</t>
  </si>
  <si>
    <t>Barbavirus barba8S</t>
  </si>
  <si>
    <t>Barnyardvirus barnyard</t>
  </si>
  <si>
    <t>Barnyardvirus drlupo</t>
  </si>
  <si>
    <t>Bcepfunavirus bcepF1</t>
  </si>
  <si>
    <t>Bcepmuvirus bcepMu</t>
  </si>
  <si>
    <t>Bcepmuvirus E255</t>
  </si>
  <si>
    <t>Beceayunavirus BceA1</t>
  </si>
  <si>
    <t>Becedseptimavirus BCD7</t>
  </si>
  <si>
    <t>Beenievirus</t>
  </si>
  <si>
    <t>Beenievirus beenie</t>
  </si>
  <si>
    <t>Beenievirus clark</t>
  </si>
  <si>
    <t>Beenievirus dobbyssock</t>
  </si>
  <si>
    <t>Beenievirus dolores</t>
  </si>
  <si>
    <t>Beenievirus dorito</t>
  </si>
  <si>
    <t>Beenievirus easley</t>
  </si>
  <si>
    <t>Beenievirus michaelscott</t>
  </si>
  <si>
    <t>Beenievirus samman98</t>
  </si>
  <si>
    <t>Beenievirus sekhmet</t>
  </si>
  <si>
    <t>Beenievirus suerte</t>
  </si>
  <si>
    <t>Beetrevirus B3</t>
  </si>
  <si>
    <t>Behunavirus BH1</t>
  </si>
  <si>
    <t>Bendigovirus GMA6</t>
  </si>
  <si>
    <t>Benedictvirus</t>
  </si>
  <si>
    <t>Benedictvirus archetta</t>
  </si>
  <si>
    <t>Benedictvirus benedict</t>
  </si>
  <si>
    <t>Benedictvirus bluefalcon</t>
  </si>
  <si>
    <t>Benedictvirus chadwick</t>
  </si>
  <si>
    <t>Benedictvirus cuco</t>
  </si>
  <si>
    <t>Benedictvirus jovo</t>
  </si>
  <si>
    <t>Benedictvirus littlecherry</t>
  </si>
  <si>
    <t>Benedictvirus naca</t>
  </si>
  <si>
    <t>Benedictvirus scorpia</t>
  </si>
  <si>
    <t>Benedictvirus swirley</t>
  </si>
  <si>
    <t>Benedictvirus theia</t>
  </si>
  <si>
    <t>Benedictvirus tiger</t>
  </si>
  <si>
    <t>Benedictvirus unionjack</t>
  </si>
  <si>
    <t>Benedictvirus zolita</t>
  </si>
  <si>
    <t>Bernalvirus bernal13</t>
  </si>
  <si>
    <t>Bernalvirus mendokysei</t>
  </si>
  <si>
    <t>Betterkatzvirus betterkatz</t>
  </si>
  <si>
    <t>Bievrevirus bv4A7</t>
  </si>
  <si>
    <t>Bigmanorsvirus</t>
  </si>
  <si>
    <t>Bigmanorsvirus bgmanors32</t>
  </si>
  <si>
    <t>Bingvirus bing</t>
  </si>
  <si>
    <t>Bippervirus</t>
  </si>
  <si>
    <t>Bippervirus bipper</t>
  </si>
  <si>
    <t>Bjornvirus bjorn</t>
  </si>
  <si>
    <t>Bocovirus</t>
  </si>
  <si>
    <t>Bocovirus X14</t>
  </si>
  <si>
    <t>Borockvirus brock</t>
  </si>
  <si>
    <t>Bowservirus bowser</t>
  </si>
  <si>
    <t>Branisovskavirus</t>
  </si>
  <si>
    <t>Branisovskavirus Kc263</t>
  </si>
  <si>
    <t>Bridgettevirus bridgette</t>
  </si>
  <si>
    <t>Bridgettevirus constance</t>
  </si>
  <si>
    <t>Bridgettevirus eileen</t>
  </si>
  <si>
    <t>Bridgettevirus judy</t>
  </si>
  <si>
    <t>Bridgettevirus peas</t>
  </si>
  <si>
    <t>Brigitvirus brigit</t>
  </si>
  <si>
    <t>Britbratvirus britbrat</t>
  </si>
  <si>
    <t>Brunovirus SEN34</t>
  </si>
  <si>
    <t>Bruynoghevirus Ab22</t>
  </si>
  <si>
    <t>Bruynoghevirus CHU</t>
  </si>
  <si>
    <t>Bruynoghevirus LUZ24</t>
  </si>
  <si>
    <t>Bruynoghevirus PAA2</t>
  </si>
  <si>
    <t>Bruynoghevirus PaP3</t>
  </si>
  <si>
    <t>Bruynoghevirus PaP4</t>
  </si>
  <si>
    <t>Bruynoghevirus TL</t>
  </si>
  <si>
    <t>Buchananvirus</t>
  </si>
  <si>
    <t>Buchananvirus Sa179lw</t>
  </si>
  <si>
    <t>Burrovirus araxxi</t>
  </si>
  <si>
    <t>Burrovirus arete</t>
  </si>
  <si>
    <t>Burrovirus burro</t>
  </si>
  <si>
    <t>Busanvirus ACP17</t>
  </si>
  <si>
    <t>Caminolopintovirus</t>
  </si>
  <si>
    <t>Caminolopintovirus STGO351</t>
  </si>
  <si>
    <t>Camtrevirus BtCS33</t>
  </si>
  <si>
    <t>Camtrevirus CM3</t>
  </si>
  <si>
    <t>Camtrevirus S3501</t>
  </si>
  <si>
    <t>Cantarevirus</t>
  </si>
  <si>
    <t>Cantarevirus cantare</t>
  </si>
  <si>
    <t>Capnelvirus</t>
  </si>
  <si>
    <t>Capnelvirus RcapNL</t>
  </si>
  <si>
    <t>Carnodivirus</t>
  </si>
  <si>
    <t>Carnodivirus cd2-like</t>
  </si>
  <si>
    <t>Carnodivirus cd4-like</t>
  </si>
  <si>
    <t>Carpasinavirus carpasina</t>
  </si>
  <si>
    <t>Carpasinavirus XcP1</t>
  </si>
  <si>
    <t>Carvajevirus</t>
  </si>
  <si>
    <t>Carvajevirus carvaje</t>
  </si>
  <si>
    <t>Casadabanvirus Ab30</t>
  </si>
  <si>
    <t>Casadabanvirus AIIMSPaB1</t>
  </si>
  <si>
    <t>Casadabanvirus D3112</t>
  </si>
  <si>
    <t>Casadabanvirus DMS3</t>
  </si>
  <si>
    <t>Casadabanvirus FET309</t>
  </si>
  <si>
    <t>Casadabanvirus FHA0480</t>
  </si>
  <si>
    <t>Casadabanvirus HW12</t>
  </si>
  <si>
    <t>Casadabanvirus JBD5</t>
  </si>
  <si>
    <t>Casadabanvirus JBD24</t>
  </si>
  <si>
    <t>Casadabanvirus JBD26</t>
  </si>
  <si>
    <t>Casadabanvirus JBD30</t>
  </si>
  <si>
    <t>Casadabanvirus JBD69</t>
  </si>
  <si>
    <t>Casadabanvirus JD024</t>
  </si>
  <si>
    <t>Casadabanvirus LPB1</t>
  </si>
  <si>
    <t>Casadabanvirus MP22</t>
  </si>
  <si>
    <t>Casadabanvirus MP29</t>
  </si>
  <si>
    <t>Casadabanvirus MP38</t>
  </si>
  <si>
    <t>Casadabanvirus MP42</t>
  </si>
  <si>
    <t>Casadabanvirus MP48</t>
  </si>
  <si>
    <t>Casadabanvirus PA1KOR</t>
  </si>
  <si>
    <t>Casadabanvirus PfII40a</t>
  </si>
  <si>
    <t>Casadabanvirus R24</t>
  </si>
  <si>
    <t>Casadabanvirus R960</t>
  </si>
  <si>
    <t>Casadabanvirus spike</t>
  </si>
  <si>
    <t>Cbastvirus ST</t>
  </si>
  <si>
    <t>Cecivirus cv250</t>
  </si>
  <si>
    <t>Cecivirus IEBH</t>
  </si>
  <si>
    <t>Cedarrivervirus</t>
  </si>
  <si>
    <t>Cedarrivervirus Sf11</t>
  </si>
  <si>
    <t>Ceduovirus bIBB14</t>
  </si>
  <si>
    <t>Ceduovirus bIBBA3</t>
  </si>
  <si>
    <t>Ceduovirus bIBBAm4</t>
  </si>
  <si>
    <t>Ceduovirus bIBBE1</t>
  </si>
  <si>
    <t>Ceduovirus bIBBL12</t>
  </si>
  <si>
    <t>Ceduovirus bIBBp64</t>
  </si>
  <si>
    <t>Ceduovirus bIL67</t>
  </si>
  <si>
    <t>Ceduovirus blBB94p4</t>
  </si>
  <si>
    <t>Ceduovirus c2</t>
  </si>
  <si>
    <t>Ceduovirus CHPC116</t>
  </si>
  <si>
    <t>Ceduovirus CHPC122</t>
  </si>
  <si>
    <t>Ceduovirus CHPC966</t>
  </si>
  <si>
    <t>Ceduovirus CHPC967</t>
  </si>
  <si>
    <t>Ceduovirus CHPC972</t>
  </si>
  <si>
    <t>Ceduovirus CHPC1020</t>
  </si>
  <si>
    <t>Ceduovirus CHPC1170</t>
  </si>
  <si>
    <t>Ceduovirus CHPC1182</t>
  </si>
  <si>
    <t>Ceduovirus CHPC1183</t>
  </si>
  <si>
    <t>Ceduovirus CHPC1242</t>
  </si>
  <si>
    <t>Ceduovirus cv05802</t>
  </si>
  <si>
    <t>Ceduovirus cv20R03M</t>
  </si>
  <si>
    <t>Ceduovirus cv37203</t>
  </si>
  <si>
    <t>Ceduovirus cv50102</t>
  </si>
  <si>
    <t>Ceduovirus cv50504</t>
  </si>
  <si>
    <t>Ceduovirus cv5171F</t>
  </si>
  <si>
    <t>Ceduovirus cv62402</t>
  </si>
  <si>
    <t>Ceduovirus cv62403</t>
  </si>
  <si>
    <t>Ceduovirus cv62606</t>
  </si>
  <si>
    <t>Ceduovirus D4410</t>
  </si>
  <si>
    <t>Ceduovirus D4412</t>
  </si>
  <si>
    <t>Ceduovirus LacS15</t>
  </si>
  <si>
    <t>Ceduovirus M5938</t>
  </si>
  <si>
    <t>Ceduovirus PCB1</t>
  </si>
  <si>
    <t>Ceduovirus PCS1</t>
  </si>
  <si>
    <t>Cequinquevirus c5</t>
  </si>
  <si>
    <t>Cequinquevirus Ld3</t>
  </si>
  <si>
    <t>Cequinquevirus Ld17</t>
  </si>
  <si>
    <t>Cequinquevirus Ld25A</t>
  </si>
  <si>
    <t>Cequinquevirus Ldb</t>
  </si>
  <si>
    <t>Cequinquevirus LLKu</t>
  </si>
  <si>
    <t>Certevirus</t>
  </si>
  <si>
    <t>Certevirus C23</t>
  </si>
  <si>
    <t>Chakrabartyvirus pf16</t>
  </si>
  <si>
    <t>Chaoshanvirus</t>
  </si>
  <si>
    <t>Chaoshanvirus ZPAH34</t>
  </si>
  <si>
    <t>Chenonavirus Che9c</t>
  </si>
  <si>
    <t>Chenonavirus sbash</t>
  </si>
  <si>
    <t>Chertseyvirus GE1</t>
  </si>
  <si>
    <t>Chiangmaivirus RSF1</t>
  </si>
  <si>
    <t>Chiangmaivirus RSL2</t>
  </si>
  <si>
    <t>Chidieberevirus</t>
  </si>
  <si>
    <t>Chidieberevirus chidiebere</t>
  </si>
  <si>
    <t>Chidieberevirus chisanakitsune</t>
  </si>
  <si>
    <t>Chopinvirus KSY1</t>
  </si>
  <si>
    <t>Cimandefvirus cimandef</t>
  </si>
  <si>
    <t>Cimandefvirus eline</t>
  </si>
  <si>
    <t>Cimandefvirus gamede</t>
  </si>
  <si>
    <t>Cimandefvirus Ggerry</t>
  </si>
  <si>
    <t>Cimandefvirus heva</t>
  </si>
  <si>
    <t>Cimpunavirus CMP1</t>
  </si>
  <si>
    <t>Cinunavirus CN1A</t>
  </si>
  <si>
    <t>Clawzvirus</t>
  </si>
  <si>
    <t>Clawzvirus clawz</t>
  </si>
  <si>
    <t>Clownvirus</t>
  </si>
  <si>
    <t>Clownvirus clown</t>
  </si>
  <si>
    <t>Coatlandelriovirus</t>
  </si>
  <si>
    <t>Coatlandelriovirus RSP</t>
  </si>
  <si>
    <t>Cobrasixvirus</t>
  </si>
  <si>
    <t>Cobrasixvirus cobrasix</t>
  </si>
  <si>
    <t>Coetzeevirus ATCC8014</t>
  </si>
  <si>
    <t>Coetzeevirus cIP1</t>
  </si>
  <si>
    <t>Coetzeevirus JL1</t>
  </si>
  <si>
    <t>Coeurvirus</t>
  </si>
  <si>
    <t>Coeurvirus coeur</t>
  </si>
  <si>
    <t>Colneyvirus CD27</t>
  </si>
  <si>
    <t>Colneyvirus CD505</t>
  </si>
  <si>
    <t>Colneyvirus CDKM9</t>
  </si>
  <si>
    <t>Colneyvirus CDKM15</t>
  </si>
  <si>
    <t>Colneyvirus MMP02</t>
  </si>
  <si>
    <t>Colunavirus CL1</t>
  </si>
  <si>
    <t>Colunavirus CL2</t>
  </si>
  <si>
    <t>Colunavirus iLp1308</t>
  </si>
  <si>
    <t>Coralvirus coral</t>
  </si>
  <si>
    <t>Coralvirus kepler</t>
  </si>
  <si>
    <t>Corndogvirus catdawg</t>
  </si>
  <si>
    <t>Corndogvirus corndog</t>
  </si>
  <si>
    <t>Corndogvirus firecracker</t>
  </si>
  <si>
    <t>Corndogvirus ryadel</t>
  </si>
  <si>
    <t>Coventryvirus SN8</t>
  </si>
  <si>
    <t>Coventryvirus SP120</t>
  </si>
  <si>
    <t>Coventryvirus SP197</t>
  </si>
  <si>
    <t>Coventryvirus SP276</t>
  </si>
  <si>
    <t>Coventryvirus SP441</t>
  </si>
  <si>
    <t>Coventryvirus SpT152</t>
  </si>
  <si>
    <t>Coventryvirus WIS42</t>
  </si>
  <si>
    <t>Craquatrovirus</t>
  </si>
  <si>
    <t>Craquatrovirus PSTCR4</t>
  </si>
  <si>
    <t>Craquatrovirus PSTCR7</t>
  </si>
  <si>
    <t>Cronusvirus cronus</t>
  </si>
  <si>
    <t>Cukevirus cuke</t>
  </si>
  <si>
    <t>Daredevilvirus daredevil</t>
  </si>
  <si>
    <t>Decurrovirus decurro</t>
  </si>
  <si>
    <t>Delepquintavirus DLP5</t>
  </si>
  <si>
    <t>Delislevirus P1</t>
  </si>
  <si>
    <t>Demosthenesvirus demosthenes</t>
  </si>
  <si>
    <t>Demosthenesvirus katyusha</t>
  </si>
  <si>
    <t>Denisevirus</t>
  </si>
  <si>
    <t>Denisevirus denise</t>
  </si>
  <si>
    <t>Derbicusvirus derbicus</t>
  </si>
  <si>
    <t>Deseoctovirus</t>
  </si>
  <si>
    <t>Deseoctovirus C1</t>
  </si>
  <si>
    <t>Deseoctovirus DS8</t>
  </si>
  <si>
    <t>Detrevirus D3</t>
  </si>
  <si>
    <t>Detrevirus PMG1</t>
  </si>
  <si>
    <t>Deurplevirus deeppurple</t>
  </si>
  <si>
    <t>Dexdertvirus</t>
  </si>
  <si>
    <t>Dexdertvirus dexdert</t>
  </si>
  <si>
    <t>Dexdertvirus GTE6</t>
  </si>
  <si>
    <t>Dexdertvirus tiamoceli</t>
  </si>
  <si>
    <t>Dhillonvirus EK99P1</t>
  </si>
  <si>
    <t>Dhillonvirus EP23</t>
  </si>
  <si>
    <t>Dhillonvirus HK578</t>
  </si>
  <si>
    <t>Dhillonvirus JL1</t>
  </si>
  <si>
    <t>Dhillonvirus SO1</t>
  </si>
  <si>
    <t>Dhillonvirus SSL2009a</t>
  </si>
  <si>
    <t>Dhillonvirus YD2008s</t>
  </si>
  <si>
    <t>Dibbivirus AAM37</t>
  </si>
  <si>
    <t>Dibbivirus DIBBI</t>
  </si>
  <si>
    <t>Dibbivirus PSKM</t>
  </si>
  <si>
    <t>Dinavirus dina</t>
  </si>
  <si>
    <t>Dismasvirus dismas</t>
  </si>
  <si>
    <t>Donellivirus gee</t>
  </si>
  <si>
    <t>Doucettevirus B22</t>
  </si>
  <si>
    <t>Doucettevirus doucette</t>
  </si>
  <si>
    <t>Doucettevirus E6</t>
  </si>
  <si>
    <t>Doucettevirus G4</t>
  </si>
  <si>
    <t>Dubuvirus</t>
  </si>
  <si>
    <t>Dubuvirus dubu</t>
  </si>
  <si>
    <t>Dybvigvirus Av1</t>
  </si>
  <si>
    <t>Eagleeyevirus</t>
  </si>
  <si>
    <t>Eagleeyevirus eagleeye</t>
  </si>
  <si>
    <t>Edenvirus eden</t>
  </si>
  <si>
    <t>Efquatrovirus AL2</t>
  </si>
  <si>
    <t>Efquatrovirus AL3</t>
  </si>
  <si>
    <t>Efquatrovirus AUEF3</t>
  </si>
  <si>
    <t>Efquatrovirus EcZZ2</t>
  </si>
  <si>
    <t>Efquatrovirus EF3</t>
  </si>
  <si>
    <t>Efquatrovirus EF4</t>
  </si>
  <si>
    <t>Efquatrovirus EfaCPT1</t>
  </si>
  <si>
    <t>Efquatrovirus IME196</t>
  </si>
  <si>
    <t>Efquatrovirus LY0322</t>
  </si>
  <si>
    <t>Efquatrovirus PMBT2</t>
  </si>
  <si>
    <t>Efquatrovirus SANTOR1</t>
  </si>
  <si>
    <t>Efquatrovirus SHEF2</t>
  </si>
  <si>
    <t>Efquatrovirus SHEF4</t>
  </si>
  <si>
    <t>Efquatrovirus SHEF5</t>
  </si>
  <si>
    <t>Eiauvirus eiAU</t>
  </si>
  <si>
    <t>Eisenstarkvirus L7</t>
  </si>
  <si>
    <t>Elemovirus</t>
  </si>
  <si>
    <t>Elemovirus elemoA</t>
  </si>
  <si>
    <t>Elemovirus elemoB</t>
  </si>
  <si>
    <t>Elemovirus elemoC</t>
  </si>
  <si>
    <t>Elemovirus elemoD</t>
  </si>
  <si>
    <t>Elemovirus elemoE</t>
  </si>
  <si>
    <t>Elemovirus elemoF</t>
  </si>
  <si>
    <t>Elerivirus eleri</t>
  </si>
  <si>
    <t>Elmenteitavirus ev125</t>
  </si>
  <si>
    <t>Elvirus EL</t>
  </si>
  <si>
    <t>Emalynvirus cozz</t>
  </si>
  <si>
    <t>Emalynvirus emalyn</t>
  </si>
  <si>
    <t>Emalynvirus GTE2</t>
  </si>
  <si>
    <t>Emalynvirus troje</t>
  </si>
  <si>
    <t>Emdodecavirus M7</t>
  </si>
  <si>
    <t>Emdodecavirus M12</t>
  </si>
  <si>
    <t>Emdodecavirus N3</t>
  </si>
  <si>
    <t>Emperorvirus</t>
  </si>
  <si>
    <t>Emperorvirus emperor</t>
  </si>
  <si>
    <t>Emperorvirus sallyspecial</t>
  </si>
  <si>
    <t>Eneladusvirus BF</t>
  </si>
  <si>
    <t>Eneladusvirus Yen904</t>
  </si>
  <si>
    <t>Enfavirus</t>
  </si>
  <si>
    <t>Enfavirus NF</t>
  </si>
  <si>
    <t>Enhodamvirus VC8</t>
  </si>
  <si>
    <t>Enhodamvirus VP2</t>
  </si>
  <si>
    <t>Enhodamvirus VP5</t>
  </si>
  <si>
    <t>Eowynvirus</t>
  </si>
  <si>
    <t>Eowynvirus eowyn</t>
  </si>
  <si>
    <t>Eponavirus epona</t>
  </si>
  <si>
    <t>Ericdabvirus</t>
  </si>
  <si>
    <t>Ericdabvirus ericdab</t>
  </si>
  <si>
    <t>Erskinevirus asesino</t>
  </si>
  <si>
    <t>Erskinevirus EaH2</t>
  </si>
  <si>
    <t>Eurybiavirus MED4213</t>
  </si>
  <si>
    <t>Eurybiavirus PHM1</t>
  </si>
  <si>
    <t>Eurybiavirus PHM2</t>
  </si>
  <si>
    <t>Eyrevirus eyre</t>
  </si>
  <si>
    <t>Fairfaxidumvirus fairfaxidum</t>
  </si>
  <si>
    <t>Fairfaxidumvirus toast</t>
  </si>
  <si>
    <t>Fairfaxidumvirus william</t>
  </si>
  <si>
    <t>Fajavirus</t>
  </si>
  <si>
    <t>Fajavirus faja</t>
  </si>
  <si>
    <t>Farahnazvirus ISF9</t>
  </si>
  <si>
    <t>Fattrevirus AT3</t>
  </si>
  <si>
    <t>Feofaniavirus Eho49</t>
  </si>
  <si>
    <t>Feofaniavirus Eho59</t>
  </si>
  <si>
    <t>Fernvirus BN12</t>
  </si>
  <si>
    <t>Fernvirus diva</t>
  </si>
  <si>
    <t>Fernvirus eltigre</t>
  </si>
  <si>
    <t>Fernvirus fern</t>
  </si>
  <si>
    <t>Fernvirus Hb10c2</t>
  </si>
  <si>
    <t>Fernvirus jacopo</t>
  </si>
  <si>
    <t>Fernvirus kawika</t>
  </si>
  <si>
    <t>Fernvirus leyra</t>
  </si>
  <si>
    <t>Fernvirus likha</t>
  </si>
  <si>
    <t>Fernvirus lucielle</t>
  </si>
  <si>
    <t>Fernvirus P123</t>
  </si>
  <si>
    <t>Fernvirus pagassa</t>
  </si>
  <si>
    <t>Fernvirus PBL1c</t>
  </si>
  <si>
    <t>Fernvirus rani</t>
  </si>
  <si>
    <t>Fernvirus shelly</t>
  </si>
  <si>
    <t>Fernvirus sitara</t>
  </si>
  <si>
    <t>Fernvirus tadhana</t>
  </si>
  <si>
    <t>Fernvirus yyerffej</t>
  </si>
  <si>
    <t>Ferozepurvirus</t>
  </si>
  <si>
    <t>Ferozepurvirus pAEv1810</t>
  </si>
  <si>
    <t>Ferozepurvirus PS1</t>
  </si>
  <si>
    <t>Fibralongavirus fv2638A</t>
  </si>
  <si>
    <t>Fibralongavirus QT1</t>
  </si>
  <si>
    <t>Ficleduovirus FCL2</t>
  </si>
  <si>
    <t>Ficleduovirus FCV1</t>
  </si>
  <si>
    <t>Finchvirus</t>
  </si>
  <si>
    <t>Finchvirus finch</t>
  </si>
  <si>
    <t>Fipvunavirus Fpv1</t>
  </si>
  <si>
    <t>Fipvunavirus Fpv4</t>
  </si>
  <si>
    <t>Firingavirus firinga</t>
  </si>
  <si>
    <t>Firingavirus RSK1</t>
  </si>
  <si>
    <t>Flaumdravirus KIL2</t>
  </si>
  <si>
    <t>Flaumdravirus KIL4</t>
  </si>
  <si>
    <t>Forzavirus</t>
  </si>
  <si>
    <t>Forzavirus forza</t>
  </si>
  <si>
    <t>Fowlmouthvirus fowlmouth</t>
  </si>
  <si>
    <t>Foxquatrovirus</t>
  </si>
  <si>
    <t>Foxquatrovirus fox4</t>
  </si>
  <si>
    <t>Foxunavirus</t>
  </si>
  <si>
    <t>Foxunavirus fox1</t>
  </si>
  <si>
    <t>Foxunavirus fox2</t>
  </si>
  <si>
    <t>Foxunavirus fox3</t>
  </si>
  <si>
    <t>Foxunavirus fox5</t>
  </si>
  <si>
    <t>Franklinbayvirus fv9A</t>
  </si>
  <si>
    <t>Fremauxvirus CHPC971</t>
  </si>
  <si>
    <t>Fremauxvirus fv1706</t>
  </si>
  <si>
    <t>Fromanvirus alma</t>
  </si>
  <si>
    <t>Fromanvirus astro</t>
  </si>
  <si>
    <t>Fromanvirus bethlehem</t>
  </si>
  <si>
    <t>Fromanvirus billknuckles</t>
  </si>
  <si>
    <t>Fromanvirus bpbiebs31</t>
  </si>
  <si>
    <t>Fromanvirus bruns</t>
  </si>
  <si>
    <t>Fromanvirus Bxb1</t>
  </si>
  <si>
    <t>Fromanvirus Che12</t>
  </si>
  <si>
    <t>Fromanvirus D29</t>
  </si>
  <si>
    <t>Fromanvirus doom</t>
  </si>
  <si>
    <t>Fromanvirus euphoria</t>
  </si>
  <si>
    <t>Fromanvirus george</t>
  </si>
  <si>
    <t>Fromanvirus goose</t>
  </si>
  <si>
    <t>Fromanvirus jasper</t>
  </si>
  <si>
    <t>Fromanvirus JC27</t>
  </si>
  <si>
    <t>Fromanvirus KBG</t>
  </si>
  <si>
    <t>Fromanvirus kssjeb</t>
  </si>
  <si>
    <t>Fromanvirus kugel</t>
  </si>
  <si>
    <t>Fromanvirus L5</t>
  </si>
  <si>
    <t>Fromanvirus lesedi</t>
  </si>
  <si>
    <t>Fromanvirus lockley</t>
  </si>
  <si>
    <t>Fromanvirus marcell</t>
  </si>
  <si>
    <t>Fromanvirus mrgordo</t>
  </si>
  <si>
    <t>Fromanvirus museum</t>
  </si>
  <si>
    <t>Fromanvirus nepal</t>
  </si>
  <si>
    <t>Fromanvirus packman</t>
  </si>
  <si>
    <t>Fromanvirus perseus</t>
  </si>
  <si>
    <t>Fromanvirus rebeuca</t>
  </si>
  <si>
    <t>Fromanvirus redrock</t>
  </si>
  <si>
    <t>Fromanvirus ridgecb</t>
  </si>
  <si>
    <t>Fromanvirus saintus</t>
  </si>
  <si>
    <t>Fromanvirus skipole</t>
  </si>
  <si>
    <t>Fromanvirus solon</t>
  </si>
  <si>
    <t>Fromanvirus switzer</t>
  </si>
  <si>
    <t>Fromanvirus SWU1</t>
  </si>
  <si>
    <t>Fromanvirus trixie</t>
  </si>
  <si>
    <t>Fromanvirus twister</t>
  </si>
  <si>
    <t>Fromanvirus U2</t>
  </si>
  <si>
    <t>Fromanvirus violet</t>
  </si>
  <si>
    <t>Fukuivirus LMM01</t>
  </si>
  <si>
    <t>Fukuivirus MVDC</t>
  </si>
  <si>
    <t>Gaiavirus gaia</t>
  </si>
  <si>
    <t>Galaxyvirus abidatro</t>
  </si>
  <si>
    <t>Galaxyvirus galaxy</t>
  </si>
  <si>
    <t>Galunavirus GAL1</t>
  </si>
  <si>
    <t>Gamtrevirus GMA3</t>
  </si>
  <si>
    <t>Gervaisevirus claudettte</t>
  </si>
  <si>
    <t>Gervaisevirus gervaise</t>
  </si>
  <si>
    <t>Gervaisevirus GP4</t>
  </si>
  <si>
    <t>Getseptimavirus GMA7</t>
  </si>
  <si>
    <t>Getseptimavirus GTE7</t>
  </si>
  <si>
    <t>Ghobesvirus ghobes</t>
  </si>
  <si>
    <t>Gilesvirus giles</t>
  </si>
  <si>
    <t>Gillianvirus oneinagillian</t>
  </si>
  <si>
    <t>Gimaduovirus</t>
  </si>
  <si>
    <t>Gimaduovirus GMA2</t>
  </si>
  <si>
    <t>Gladiatorvirus</t>
  </si>
  <si>
    <t>Gladiatorvirus blinn1</t>
  </si>
  <si>
    <t>Gladiatorvirus CloudWang3</t>
  </si>
  <si>
    <t>Gladiatorvirus ericB</t>
  </si>
  <si>
    <t>Gladiatorvirus gladiator</t>
  </si>
  <si>
    <t>Gladiatorvirus hammer</t>
  </si>
  <si>
    <t>Gladiatorvirus jeffabunny</t>
  </si>
  <si>
    <t>Gladiatorvirus jewelbug</t>
  </si>
  <si>
    <t>Gladiatorvirus koko</t>
  </si>
  <si>
    <t>Gladiatorvirus priamo</t>
  </si>
  <si>
    <t>Gladiatorvirus zaka</t>
  </si>
  <si>
    <t>Glaedevirus gv2H10</t>
  </si>
  <si>
    <t>Godonkavirus godonK</t>
  </si>
  <si>
    <t>Godonkavirus phendrix</t>
  </si>
  <si>
    <t>Gofduovirus edno5</t>
  </si>
  <si>
    <t>Gofduovirus GF2</t>
  </si>
  <si>
    <t>Goodmanvirus goodman</t>
  </si>
  <si>
    <t>Gordonvirus captnmurica</t>
  </si>
  <si>
    <t>Gordonvirus gordon</t>
  </si>
  <si>
    <t>Gordtnkvirus gordtnk2</t>
  </si>
  <si>
    <t>Gorganvirus isfahan</t>
  </si>
  <si>
    <t>Gorjumvirus jumbo</t>
  </si>
  <si>
    <t>Goslarvirus goslar</t>
  </si>
  <si>
    <t>Grutrevirus</t>
  </si>
  <si>
    <t>Grutrevirus GMA5</t>
  </si>
  <si>
    <t>Grutrevirus GRU3</t>
  </si>
  <si>
    <t>Gustavvirus gustav</t>
  </si>
  <si>
    <t>Gustavvirus mahdia</t>
  </si>
  <si>
    <t>Halcyonevirus C7Cdelta</t>
  </si>
  <si>
    <t>Halcyonevirus halcyone</t>
  </si>
  <si>
    <t>Halcyonevirus scottie</t>
  </si>
  <si>
    <t>Halcyonevirus tripp</t>
  </si>
  <si>
    <t>Halcyonevirus unity</t>
  </si>
  <si>
    <t>Hapunavirus HAP1</t>
  </si>
  <si>
    <t>Hapunavirus VP882</t>
  </si>
  <si>
    <t>Harrisonburgvirus</t>
  </si>
  <si>
    <t>Harrisonburgvirus persinger</t>
  </si>
  <si>
    <t>Hattifnattvirus hattifnatt</t>
  </si>
  <si>
    <t>Hedwigvirus hedwig</t>
  </si>
  <si>
    <t>Heilongjiangvirus Lb</t>
  </si>
  <si>
    <t>Helsingorvirus Cba121</t>
  </si>
  <si>
    <t>Helsingorvirus Cba171</t>
  </si>
  <si>
    <t>Helsingorvirus Cba181</t>
  </si>
  <si>
    <t>Hestiavirus</t>
  </si>
  <si>
    <t>Hestiavirus hestia</t>
  </si>
  <si>
    <t>Hiroshimavirus</t>
  </si>
  <si>
    <t>Hiroshimavirus PPpW3</t>
  </si>
  <si>
    <t>Hiyaavirus hiyaa</t>
  </si>
  <si>
    <t>Hnatkovirus DS6A</t>
  </si>
  <si>
    <t>Hollowayvirus F116</t>
  </si>
  <si>
    <t>Hollowayvirus H66</t>
  </si>
  <si>
    <t>Holosalinivirus M1EM1</t>
  </si>
  <si>
    <t>Holosalinivirus M8CR302</t>
  </si>
  <si>
    <t>Homburgvirus LP26</t>
  </si>
  <si>
    <t>Homburgvirus LP37</t>
  </si>
  <si>
    <t>Homburgvirus LP110</t>
  </si>
  <si>
    <t>Homburgvirus LP114</t>
  </si>
  <si>
    <t>Homburgvirus P70</t>
  </si>
  <si>
    <t>Howevirus</t>
  </si>
  <si>
    <t>Howevirus howe</t>
  </si>
  <si>
    <t>Howevirus mcklovin</t>
  </si>
  <si>
    <t>Hubeivirus MY192</t>
  </si>
  <si>
    <t>Hubeivirus PfEFR4</t>
  </si>
  <si>
    <t>Hungariovirus</t>
  </si>
  <si>
    <t>Hungariovirus C1302</t>
  </si>
  <si>
    <t>Iaduovirus iA2</t>
  </si>
  <si>
    <t>Iapetusvirus EaH1</t>
  </si>
  <si>
    <t>Iggyvirus</t>
  </si>
  <si>
    <t>Iggyvirus iggy</t>
  </si>
  <si>
    <t>Iggyvirus PBPA162</t>
  </si>
  <si>
    <t>Ikedavirus phi673</t>
  </si>
  <si>
    <t>Ikedavirus phi674</t>
  </si>
  <si>
    <t>Ilzatvirus hamlet</t>
  </si>
  <si>
    <t>Ilzatvirus ilzat</t>
  </si>
  <si>
    <t>Ilzatvirus mcgalleon</t>
  </si>
  <si>
    <t>Ilzatvirus monchoix</t>
  </si>
  <si>
    <t>Ilzatvirus teagan</t>
  </si>
  <si>
    <t>Immutovirus</t>
  </si>
  <si>
    <t>Immutovirus immuto</t>
  </si>
  <si>
    <t>Incheonvirus</t>
  </si>
  <si>
    <t>Incheonvirus P12002L</t>
  </si>
  <si>
    <t>Incheonvirus P12002S</t>
  </si>
  <si>
    <t>Indlulamithivirus indlulamithi</t>
  </si>
  <si>
    <t>Inhavirus P12024L</t>
  </si>
  <si>
    <t>Inhavirus P12024S</t>
  </si>
  <si>
    <t>Iodovirus PLPE</t>
  </si>
  <si>
    <t>Ionavirus W14</t>
  </si>
  <si>
    <t>Isoldevirus</t>
  </si>
  <si>
    <t>Isoldevirus isolde</t>
  </si>
  <si>
    <t>Ittyvirus</t>
  </si>
  <si>
    <t>Ittyvirus itty13</t>
  </si>
  <si>
    <t>Jacevirus jace</t>
  </si>
  <si>
    <t>Jarrellvirus BCAJ1</t>
  </si>
  <si>
    <t>Jasminevirus adat</t>
  </si>
  <si>
    <t>Jasminevirus jasmine</t>
  </si>
  <si>
    <t>Jedunavirus JD001</t>
  </si>
  <si>
    <t>Jenstvirus jenst</t>
  </si>
  <si>
    <t>Jimmervirus jimmer</t>
  </si>
  <si>
    <t>Jimmervirus osiris</t>
  </si>
  <si>
    <t>Jouyvirus ev017</t>
  </si>
  <si>
    <t>Jouyvirus ev207</t>
  </si>
  <si>
    <t>Jouyvirus jv1H12</t>
  </si>
  <si>
    <t>Juiceboxvirus juicebox</t>
  </si>
  <si>
    <t>Jujuvirus</t>
  </si>
  <si>
    <t>Jujuvirus azula</t>
  </si>
  <si>
    <t>Jujuvirus blino</t>
  </si>
  <si>
    <t>Jujuvirus frokostdame</t>
  </si>
  <si>
    <t>Jujuvirus juju</t>
  </si>
  <si>
    <t>Jujuvirus petra</t>
  </si>
  <si>
    <t>Jujuvirus walrus</t>
  </si>
  <si>
    <t>Junavirus J1</t>
  </si>
  <si>
    <t>Junavirus LJ</t>
  </si>
  <si>
    <t>Junavirus PL1</t>
  </si>
  <si>
    <t>Kafunavirus KF1</t>
  </si>
  <si>
    <t>Kairosalinivirus M31CR412</t>
  </si>
  <si>
    <t>Kairosalinivirus SRUTV1</t>
  </si>
  <si>
    <t>Kamchatkavirus AP45</t>
  </si>
  <si>
    <t>Kelleziovirus kellezzio</t>
  </si>
  <si>
    <t>Kelleziovirus kitkat</t>
  </si>
  <si>
    <t>Kelquatrovirus KL4</t>
  </si>
  <si>
    <t>Kenyattavirus</t>
  </si>
  <si>
    <t>Kenyattavirus kv136</t>
  </si>
  <si>
    <t>Kilunavirus KL1</t>
  </si>
  <si>
    <t>Kimonavirus</t>
  </si>
  <si>
    <t>Kimonavirus kimona</t>
  </si>
  <si>
    <t>Klausavirus ArV1</t>
  </si>
  <si>
    <t>Klausavirus colucci</t>
  </si>
  <si>
    <t>Klausavirus dryang</t>
  </si>
  <si>
    <t>Klausavirus kburrousTX</t>
  </si>
  <si>
    <t>Klausavirus lymara</t>
  </si>
  <si>
    <t>Klausavirus princesstrina</t>
  </si>
  <si>
    <t>Kleczkowskavirus RHEph4</t>
  </si>
  <si>
    <t>Klementvirus CP1</t>
  </si>
  <si>
    <t>Knuthellervirus PMBT14</t>
  </si>
  <si>
    <t>Kochitakasuvirus KPP25</t>
  </si>
  <si>
    <t>Kochitakasuvirus R18</t>
  </si>
  <si>
    <t>Kojivirus golden</t>
  </si>
  <si>
    <t>Kojivirus koji</t>
  </si>
  <si>
    <t>Konstantinevirus konstantine</t>
  </si>
  <si>
    <t>Korravirus bennie</t>
  </si>
  <si>
    <t>Korravirus bigmack</t>
  </si>
  <si>
    <t>Korravirus drrobert</t>
  </si>
  <si>
    <t>Korravirus gisselle</t>
  </si>
  <si>
    <t>Korravirus glenn</t>
  </si>
  <si>
    <t>Korravirus greenhearts</t>
  </si>
  <si>
    <t>Korravirus greenhouse</t>
  </si>
  <si>
    <t>Korravirus hunterdalle</t>
  </si>
  <si>
    <t>Korravirus huntingdon</t>
  </si>
  <si>
    <t>Korravirus joann</t>
  </si>
  <si>
    <t>Korravirus kittykat</t>
  </si>
  <si>
    <t>Korravirus korra</t>
  </si>
  <si>
    <t>Korravirus litotes</t>
  </si>
  <si>
    <t>Korravirus mamapearl</t>
  </si>
  <si>
    <t>Korravirus nubia</t>
  </si>
  <si>
    <t>Korravirus oxynfrius</t>
  </si>
  <si>
    <t>Korravirus preamble</t>
  </si>
  <si>
    <t>Korravirus pumancara</t>
  </si>
  <si>
    <t>Korravirus sergei</t>
  </si>
  <si>
    <t>Korravirus urla</t>
  </si>
  <si>
    <t>Korravirus wawa</t>
  </si>
  <si>
    <t>Korravirus wayne</t>
  </si>
  <si>
    <t>Kostyavirus bask21</t>
  </si>
  <si>
    <t>Kostyavirus CJW1</t>
  </si>
  <si>
    <t>Kostyavirus eureka</t>
  </si>
  <si>
    <t>Kostyavirus kostya</t>
  </si>
  <si>
    <t>Kostyavirus kv244</t>
  </si>
  <si>
    <t>Kostyavirus porky</t>
  </si>
  <si>
    <t>Kostyavirus pumpkin</t>
  </si>
  <si>
    <t>Kostyavirus sirduracell</t>
  </si>
  <si>
    <t>Kostyavirus toto</t>
  </si>
  <si>
    <t>Kozyakovvirus A4L</t>
  </si>
  <si>
    <t>Krampusvirus krampus</t>
  </si>
  <si>
    <t>Kroosvirus</t>
  </si>
  <si>
    <t>Kroosvirus ashertheman</t>
  </si>
  <si>
    <t>Kroosvirus bizzy</t>
  </si>
  <si>
    <t>Kroosvirus gaea</t>
  </si>
  <si>
    <t>Kroosvirus jksyngboy</t>
  </si>
  <si>
    <t>Kroosvirus kroos</t>
  </si>
  <si>
    <t>Kroosvirus ribeye</t>
  </si>
  <si>
    <t>Kroosvirus tangerine</t>
  </si>
  <si>
    <t>Kroosvirus yorkonyx</t>
  </si>
  <si>
    <t>Krylovvirus tf</t>
  </si>
  <si>
    <t>Kryptosalinivirus M8CC19</t>
  </si>
  <si>
    <t>Kryptosalinivirus M8CRM1</t>
  </si>
  <si>
    <t>Kuleanavirus kuleana</t>
  </si>
  <si>
    <t>Kumottavirus</t>
  </si>
  <si>
    <t>Kumottavirus kumotta</t>
  </si>
  <si>
    <t>Kumottavirus margaretkali</t>
  </si>
  <si>
    <t>Kungbxnavirus pT24</t>
  </si>
  <si>
    <t>Kunmingvirus</t>
  </si>
  <si>
    <t>Kunmingvirus kv2D05</t>
  </si>
  <si>
    <t>Kunmingvirus kv4D05</t>
  </si>
  <si>
    <t>Kylevirus kyle</t>
  </si>
  <si>
    <t>Lacnuvirus LcNu</t>
  </si>
  <si>
    <t>Lacusarxvirus lacusarx</t>
  </si>
  <si>
    <t>Lafunavirus LF1</t>
  </si>
  <si>
    <t>Lagaffevirus lagaffe</t>
  </si>
  <si>
    <t>Lahexavirus LAh6</t>
  </si>
  <si>
    <t>Lahexavirus LAh8</t>
  </si>
  <si>
    <t>Lahexavirus LAh9</t>
  </si>
  <si>
    <t>Lahexavirus lv44572</t>
  </si>
  <si>
    <t>Lambdavirus HK629</t>
  </si>
  <si>
    <t>Lambdavirus HK630</t>
  </si>
  <si>
    <t>Lambdavirus lambda</t>
  </si>
  <si>
    <t>Lambdavirus lvO276</t>
  </si>
  <si>
    <t>Lambovirus gibbin</t>
  </si>
  <si>
    <t>Lambovirus lambo</t>
  </si>
  <si>
    <t>Lambovirus ranch</t>
  </si>
  <si>
    <t>Lambovirus sadboi</t>
  </si>
  <si>
    <t>Lambovirus yikes</t>
  </si>
  <si>
    <t>Lanavirus lana</t>
  </si>
  <si>
    <t>Larmunavirus Lrm1</t>
  </si>
  <si>
    <t>Laroyevirus laroye</t>
  </si>
  <si>
    <t>Laroyevirus lisara</t>
  </si>
  <si>
    <t>Laroyevirus salgado</t>
  </si>
  <si>
    <t>Laroyevirus wheelbite</t>
  </si>
  <si>
    <t>Lastavirus lasta</t>
  </si>
  <si>
    <t>Lastavirus sopranogao</t>
  </si>
  <si>
    <t>Latrobevirus FNU1</t>
  </si>
  <si>
    <t>Lederbergvirus BTP1</t>
  </si>
  <si>
    <t>Lederbergvirus HK620</t>
  </si>
  <si>
    <t>Lederbergvirus P22</t>
  </si>
  <si>
    <t>Lederbergvirus SE1Spa</t>
  </si>
  <si>
    <t>Lederbergvirus Sf6</t>
  </si>
  <si>
    <t>Lederbergvirus ST64T</t>
  </si>
  <si>
    <t>Leicestervirus CD111</t>
  </si>
  <si>
    <t>Leicestervirus CD146</t>
  </si>
  <si>
    <t>Leicestervirus CD382</t>
  </si>
  <si>
    <t>Lentavirus PMBT5</t>
  </si>
  <si>
    <t>Leonardvirus</t>
  </si>
  <si>
    <t>Leonardvirus ali17</t>
  </si>
  <si>
    <t>Leonardvirus emoore</t>
  </si>
  <si>
    <t>Leonardvirus leonard</t>
  </si>
  <si>
    <t>Leonardvirus melbins</t>
  </si>
  <si>
    <t>Lessievirus bcep22</t>
  </si>
  <si>
    <t>Lessievirus bcepil02</t>
  </si>
  <si>
    <t>Lessievirus bcepmigl</t>
  </si>
  <si>
    <t>Lessievirus DC1</t>
  </si>
  <si>
    <t>Lietduovirus LIET2</t>
  </si>
  <si>
    <t>Lightbulbvirus Cba41</t>
  </si>
  <si>
    <t>Lightbulbvirus Cba172</t>
  </si>
  <si>
    <t>Lilbeanievirus</t>
  </si>
  <si>
    <t>Lilbeanievirus lilbeanie</t>
  </si>
  <si>
    <t>Lillamyvirus hemulen</t>
  </si>
  <si>
    <t>Lillamyvirus lillamy</t>
  </si>
  <si>
    <t>Lillamyvirus morran</t>
  </si>
  <si>
    <t>Lillamyvirus sniff</t>
  </si>
  <si>
    <t>Lillamyvirus snork</t>
  </si>
  <si>
    <t>Lillamyvirus stinky</t>
  </si>
  <si>
    <t>Lilyvirus lily</t>
  </si>
  <si>
    <t>Llyrvirus SSKS1</t>
  </si>
  <si>
    <t>Lokivirus IMEAB3</t>
  </si>
  <si>
    <t>Lokivirus loki</t>
  </si>
  <si>
    <t>Lomovskayavirus BT1</t>
  </si>
  <si>
    <t>Lomovskayavirus C31</t>
  </si>
  <si>
    <t>Rosemountvirus ZCSE2</t>
  </si>
  <si>
    <t>Lubbockvirus CD119</t>
  </si>
  <si>
    <t>Lubbockvirus CDHM19</t>
  </si>
  <si>
    <t>Luchadorvirus</t>
  </si>
  <si>
    <t>Lucadorvirus gail</t>
  </si>
  <si>
    <t>Lucadorvirus jeeves</t>
  </si>
  <si>
    <t>Lucadorvirus luchador</t>
  </si>
  <si>
    <t>Luckybarnesvirus luckybarnes</t>
  </si>
  <si>
    <t>Luckytenvirus lucky10</t>
  </si>
  <si>
    <t>Ludhianavirus</t>
  </si>
  <si>
    <t>Ludhianavirus D3</t>
  </si>
  <si>
    <t>Ludhianavirus D6</t>
  </si>
  <si>
    <t>Ludhianavirus LAh10</t>
  </si>
  <si>
    <t>Lughvirus lugh</t>
  </si>
  <si>
    <t>Lwoffvirus BMBtp2</t>
  </si>
  <si>
    <t>Lwoffvirus TP21</t>
  </si>
  <si>
    <t>Maaswegvirus</t>
  </si>
  <si>
    <t>Maaswegvirus Kp24</t>
  </si>
  <si>
    <t>Macdonaldcampvirus</t>
  </si>
  <si>
    <t>Macdonaldcampvirus SB28</t>
  </si>
  <si>
    <t>Macdonaldcampvirus ViIIE1</t>
  </si>
  <si>
    <t>Machinavirus machina</t>
  </si>
  <si>
    <t>Magadivirus Mgbh1</t>
  </si>
  <si>
    <t>Magiavirus</t>
  </si>
  <si>
    <t>Magiavirus magia</t>
  </si>
  <si>
    <t>Majavirus maja</t>
  </si>
  <si>
    <t>Manovirus</t>
  </si>
  <si>
    <t>Manovirus Mano</t>
  </si>
  <si>
    <t>Mapvirus Ff47</t>
  </si>
  <si>
    <t>Mapvirus muddy</t>
  </si>
  <si>
    <t>Mardecavirus MAR10</t>
  </si>
  <si>
    <t>Mardecavirus SSP002</t>
  </si>
  <si>
    <t>Mareflavirus</t>
  </si>
  <si>
    <t>Mareflavirus ZP6</t>
  </si>
  <si>
    <t>Marfavirus F48</t>
  </si>
  <si>
    <t>Marfavirus marfa</t>
  </si>
  <si>
    <t>Marienburgvirus BP4795</t>
  </si>
  <si>
    <t>Marienburgvirus JLK2012</t>
  </si>
  <si>
    <t>Marthavirus barretlemon</t>
  </si>
  <si>
    <t>Marthavirus beans</t>
  </si>
  <si>
    <t>Marthavirus brent</t>
  </si>
  <si>
    <t>Marthavirus jawnski</t>
  </si>
  <si>
    <t>Marthavirus martha</t>
  </si>
  <si>
    <t>Marthavirus piccoletto</t>
  </si>
  <si>
    <t>Marthavirus shade</t>
  </si>
  <si>
    <t>Marthavirus zartrosa</t>
  </si>
  <si>
    <t>Marvinvirus marvin</t>
  </si>
  <si>
    <t>Marvinvirus mosmoris</t>
  </si>
  <si>
    <t>Maxrubnervirus PMBT3</t>
  </si>
  <si>
    <t>Mcgonagallvirus</t>
  </si>
  <si>
    <t>Mcgonagallvirus macgonagall</t>
  </si>
  <si>
    <t>Meadowvirus</t>
  </si>
  <si>
    <t>Meadowvirus AH04</t>
  </si>
  <si>
    <t>Mementomorivirus mementomori</t>
  </si>
  <si>
    <t>Menderavirus IMESM1</t>
  </si>
  <si>
    <t>Menderavirus mendera</t>
  </si>
  <si>
    <t>Menderavirus moby</t>
  </si>
  <si>
    <t>Menderavirus Ps15</t>
  </si>
  <si>
    <t>Metamorphoovirus fireman</t>
  </si>
  <si>
    <t>Metamorphoovirus metamorphoo</t>
  </si>
  <si>
    <t>Metamorphoovirus robsfeet</t>
  </si>
  <si>
    <t>Metrivirus ME3</t>
  </si>
  <si>
    <t>Miamivirus</t>
  </si>
  <si>
    <t>Miamivirus miami</t>
  </si>
  <si>
    <t>Micavirus</t>
  </si>
  <si>
    <t>Micavirus Mica</t>
  </si>
  <si>
    <t>Microwolfvirus</t>
  </si>
  <si>
    <t>Microwolfvirus Bxz2</t>
  </si>
  <si>
    <t>Microwolfvirus JHC117</t>
  </si>
  <si>
    <t>Microwolfvirus microwolf</t>
  </si>
  <si>
    <t>Microwolfvirus purplehaze</t>
  </si>
  <si>
    <t>Microwolfvirus soildragon</t>
  </si>
  <si>
    <t>Microwolfvirus wonder</t>
  </si>
  <si>
    <t>Microwolfvirus zetzy</t>
  </si>
  <si>
    <t>Midgardsormrvirus</t>
  </si>
  <si>
    <t>Midgardsormrvirus midgardsormr38</t>
  </si>
  <si>
    <t>Mieseafarmvirus RSL1</t>
  </si>
  <si>
    <t>Miltoncavirus</t>
  </si>
  <si>
    <t>Miltoncavirus PhiPA3</t>
  </si>
  <si>
    <t>Mimasvirus CBB</t>
  </si>
  <si>
    <t>Mimasvirus GAP32</t>
  </si>
  <si>
    <t>Minunavirus Min1</t>
  </si>
  <si>
    <t>Moabitevirus moabite</t>
  </si>
  <si>
    <t>Moabitevirus mv2050HW</t>
  </si>
  <si>
    <t>Mohonavirus</t>
  </si>
  <si>
    <t>Mohonavirus ICP1</t>
  </si>
  <si>
    <t>Mollymurvirus</t>
  </si>
  <si>
    <t>Mollymurvirus mollymur</t>
  </si>
  <si>
    <t>Montyvirus adgers</t>
  </si>
  <si>
    <t>Montyvirus beaver</t>
  </si>
  <si>
    <t>Montyvirus birksandsocks</t>
  </si>
  <si>
    <t>Montyvirus chelms</t>
  </si>
  <si>
    <t>Montyvirus flakey</t>
  </si>
  <si>
    <t>Montyvirus jellybones</t>
  </si>
  <si>
    <t>Montyvirus john316</t>
  </si>
  <si>
    <t>Montyvirus monty</t>
  </si>
  <si>
    <t>Montyvirus sombrero</t>
  </si>
  <si>
    <t>Montyvirus stevefrench</t>
  </si>
  <si>
    <t>Moturavirus motura</t>
  </si>
  <si>
    <t>Mudcatvirus arcadia</t>
  </si>
  <si>
    <t>Mudcatvirus cheesy</t>
  </si>
  <si>
    <t>Mudcatvirus circum</t>
  </si>
  <si>
    <t>Mudcatvirus correa</t>
  </si>
  <si>
    <t>Mudcatvirus dynamite</t>
  </si>
  <si>
    <t>Mudcatvirus heisenberger</t>
  </si>
  <si>
    <t>Mudcatvirus JEGGS</t>
  </si>
  <si>
    <t>Mudcatvirus kardesai</t>
  </si>
  <si>
    <t>Mudcatvirus keaneylin</t>
  </si>
  <si>
    <t>Mudcatvirus mudcat</t>
  </si>
  <si>
    <t>Mudcatvirus tribby</t>
  </si>
  <si>
    <t>Mudcatvirus xenomorph</t>
  </si>
  <si>
    <t>Mufasoctovirus mufasa8</t>
  </si>
  <si>
    <t>Muldoonvirus muldoon</t>
  </si>
  <si>
    <t>Muldoonvirus PS2</t>
  </si>
  <si>
    <t>Muminvirus filifjonk</t>
  </si>
  <si>
    <t>Muminvirus mumin</t>
  </si>
  <si>
    <t>Muminvirus mymlan</t>
  </si>
  <si>
    <t>Muminvirus snusmum</t>
  </si>
  <si>
    <t>Muminvirus tooticki</t>
  </si>
  <si>
    <t>Murrayvirus EC2</t>
  </si>
  <si>
    <t>Murrayvirus lumpael</t>
  </si>
  <si>
    <t>Mushuvirus mushu</t>
  </si>
  <si>
    <t>Muvirus mu</t>
  </si>
  <si>
    <t>Muvirus SfMu</t>
  </si>
  <si>
    <t>Mycoabscvirus</t>
  </si>
  <si>
    <t>Mycoabscvirus phiT46-1</t>
  </si>
  <si>
    <t>Myoalterovirus PT11V22</t>
  </si>
  <si>
    <t>Myosmarvirus MTx</t>
  </si>
  <si>
    <t>Myosmarvirus myosmar</t>
  </si>
  <si>
    <t>Myradeevirus</t>
  </si>
  <si>
    <t>Myradeevirus MyraDee</t>
  </si>
  <si>
    <t>Myxoctovirus Mx8</t>
  </si>
  <si>
    <t>Naesvirus bcep1</t>
  </si>
  <si>
    <t>Naesvirus bcep43</t>
  </si>
  <si>
    <t>Naesvirus bcep781</t>
  </si>
  <si>
    <t>Naesvirus bcepNY3</t>
  </si>
  <si>
    <t>Namazuvirus</t>
  </si>
  <si>
    <t>Namazuvirus POI1126</t>
  </si>
  <si>
    <t>Nanhaivirus D5C</t>
  </si>
  <si>
    <t>Nankokuvirus Ab03</t>
  </si>
  <si>
    <t>Nankokuvirus G1</t>
  </si>
  <si>
    <t>Nankokuvirus KPP10</t>
  </si>
  <si>
    <t>Nankokuvirus PAKP3</t>
  </si>
  <si>
    <t>Nankokuvirus PS24</t>
  </si>
  <si>
    <t>Neferthenavirus neferthena</t>
  </si>
  <si>
    <t>Nesevirus ev243</t>
  </si>
  <si>
    <t>Nesevirus nv2G7b</t>
  </si>
  <si>
    <t>Nevevirus P078</t>
  </si>
  <si>
    <t>Nevevirus P092</t>
  </si>
  <si>
    <t>Nevevirus P118</t>
  </si>
  <si>
    <t>Nevevirus P162</t>
  </si>
  <si>
    <t>Nickievirus nickie</t>
  </si>
  <si>
    <t>Nimduovirus</t>
  </si>
  <si>
    <t>Nimduovirus N1M2</t>
  </si>
  <si>
    <t>Nonanavirus nv9NA</t>
  </si>
  <si>
    <t>Nonanavirus SP069</t>
  </si>
  <si>
    <t>Northamptonvirus</t>
  </si>
  <si>
    <t>Northamptonvirus jeon</t>
  </si>
  <si>
    <t>Northamptonvirus taptic</t>
  </si>
  <si>
    <t>Noxifervirus noxifer</t>
  </si>
  <si>
    <t>Nyceiraevirus nyceirae</t>
  </si>
  <si>
    <t>Nylescharonvirus LE3</t>
  </si>
  <si>
    <t>Nylescharonvirus LE4</t>
  </si>
  <si>
    <t>Obolenskvirus AB1</t>
  </si>
  <si>
    <t>Obolenskvirus AB2</t>
  </si>
  <si>
    <t>Obolenskvirus AbC62</t>
  </si>
  <si>
    <t>Obolenskvirus AbP2</t>
  </si>
  <si>
    <t>Obolenskvirus AP22</t>
  </si>
  <si>
    <t>Obolenskvirus LZ35</t>
  </si>
  <si>
    <t>Obolenskvirus WCHABP1</t>
  </si>
  <si>
    <t>Obolenskvirus WCHABP12</t>
  </si>
  <si>
    <t>Oengusvirus oengus</t>
  </si>
  <si>
    <t>Omegavirus baka</t>
  </si>
  <si>
    <t>Omegavirus courthouse</t>
  </si>
  <si>
    <t>Omegavirus littlee</t>
  </si>
  <si>
    <t>Omegavirus omega</t>
  </si>
  <si>
    <t>Omegavirus optimus</t>
  </si>
  <si>
    <t>Omegavirus thibault</t>
  </si>
  <si>
    <t>Oneupvirus brutongaster</t>
  </si>
  <si>
    <t>Oneupvirus oneup</t>
  </si>
  <si>
    <t>Onyinyevirus</t>
  </si>
  <si>
    <t>Onyinyevirus onyinye</t>
  </si>
  <si>
    <t>Orchidvirus orchid</t>
  </si>
  <si>
    <t>Oshimavirus P2345</t>
  </si>
  <si>
    <t>Oshimavirus P7426</t>
  </si>
  <si>
    <t>Otagovirus Psa374</t>
  </si>
  <si>
    <t>Paclarkvirus</t>
  </si>
  <si>
    <t>Paclarkvirus ARI04684</t>
  </si>
  <si>
    <t>Paclarkvirus BHN167</t>
  </si>
  <si>
    <t>Paclarkvirus IPP14</t>
  </si>
  <si>
    <t>Paclarkvirus IPP39</t>
  </si>
  <si>
    <t>Paclarkvirus IPP48</t>
  </si>
  <si>
    <t>Paclarkvirus IPP52</t>
  </si>
  <si>
    <t>Paclarkvirus IPP54</t>
  </si>
  <si>
    <t>Paclarkvirus IPP55</t>
  </si>
  <si>
    <t>Paclarkvirus IPP65</t>
  </si>
  <si>
    <t>Paclarkvirus IPP66</t>
  </si>
  <si>
    <t>Paclarkvirus MM1</t>
  </si>
  <si>
    <t>Paclarkvirus SpGS-1</t>
  </si>
  <si>
    <t>Pagevirus page</t>
  </si>
  <si>
    <t>Pagevirus palmer</t>
  </si>
  <si>
    <t>Pagevirus pascal</t>
  </si>
  <si>
    <t>Pagevirus pony</t>
  </si>
  <si>
    <t>Pagevirus pookie</t>
  </si>
  <si>
    <t>Pahexavirus ATCC29399BC</t>
  </si>
  <si>
    <t>Pahexavirus ATCC29399BT</t>
  </si>
  <si>
    <t>Pahexavirus attacne</t>
  </si>
  <si>
    <t>Pahexavirus keiki</t>
  </si>
  <si>
    <t>Pahexavirus kubed</t>
  </si>
  <si>
    <t>Pahexavirus lauchelly</t>
  </si>
  <si>
    <t>Pahexavirus mrAK</t>
  </si>
  <si>
    <t>Pahexavirus ouroboros</t>
  </si>
  <si>
    <t>Pahexavirus P11</t>
  </si>
  <si>
    <t>Pahexavirus P91</t>
  </si>
  <si>
    <t>Pahexavirus P105</t>
  </si>
  <si>
    <t>Pahexavirus P144</t>
  </si>
  <si>
    <t>Pahexavirus P1001</t>
  </si>
  <si>
    <t>Pahexavirus P100A</t>
  </si>
  <si>
    <t>Pahexavirus P100D</t>
  </si>
  <si>
    <t>Pahexavirus P101A</t>
  </si>
  <si>
    <t>Pahexavirus P104A</t>
  </si>
  <si>
    <t>Pahexavirus PA6</t>
  </si>
  <si>
    <t>Pahexavirus pacnes201215</t>
  </si>
  <si>
    <t>Pahexavirus PAD20</t>
  </si>
  <si>
    <t>Pahexavirus PAS50</t>
  </si>
  <si>
    <t>Pahexavirus PHL009M11</t>
  </si>
  <si>
    <t>Pahexavirus PHL025M00</t>
  </si>
  <si>
    <t>Pahexavirus PHL037M02</t>
  </si>
  <si>
    <t>Pahexavirus PHL041M10</t>
  </si>
  <si>
    <t>Pahexavirus PHL060L00</t>
  </si>
  <si>
    <t>Pahexavirus PHL067M01</t>
  </si>
  <si>
    <t>Pahexavirus PHL070N00</t>
  </si>
  <si>
    <t>Pahexavirus PHL071N05</t>
  </si>
  <si>
    <t>Pahexavirus PHL082M03</t>
  </si>
  <si>
    <t>Pahexavirus PHL092M00</t>
  </si>
  <si>
    <t>Pahexavirus PHL095N00</t>
  </si>
  <si>
    <t>Pahexavirus PHL111M01</t>
  </si>
  <si>
    <t>Pahexavirus PHL112N00</t>
  </si>
  <si>
    <t>Pahexavirus PHL113M01</t>
  </si>
  <si>
    <t>Pahexavirus PHL114L00</t>
  </si>
  <si>
    <t>Pahexavirus PHL116M00</t>
  </si>
  <si>
    <t>Pahexavirus PHL117M00</t>
  </si>
  <si>
    <t>Pahexavirus PHL117M01</t>
  </si>
  <si>
    <t>Pahexavirus PHL132N00</t>
  </si>
  <si>
    <t>Pahexavirus PHL141N00</t>
  </si>
  <si>
    <t>Pahexavirus PHL151M00</t>
  </si>
  <si>
    <t>Pahexavirus PHL151N00</t>
  </si>
  <si>
    <t>Pahexavirus PHL152M00</t>
  </si>
  <si>
    <t>Pahexavirus PHL163M00</t>
  </si>
  <si>
    <t>Pahexavirus PHL171M01</t>
  </si>
  <si>
    <t>Pahexavirus PHL179M00</t>
  </si>
  <si>
    <t>Pahexavirus PHL194M00</t>
  </si>
  <si>
    <t>Pahexavirus PHL199M00</t>
  </si>
  <si>
    <t>Pahexavirus PHL301M00</t>
  </si>
  <si>
    <t>Pahexavirus PHL308M00</t>
  </si>
  <si>
    <t>Pahexavirus pirate</t>
  </si>
  <si>
    <t>Pahexavirus procrass1</t>
  </si>
  <si>
    <t>Pahexavirus SKKY</t>
  </si>
  <si>
    <t>Pahexavirus solid</t>
  </si>
  <si>
    <t>Pahexavirus stormborn</t>
  </si>
  <si>
    <t>Pahexavirus wizzo</t>
  </si>
  <si>
    <t>Pakpunavirus CAb1</t>
  </si>
  <si>
    <t>Pakpunavirus CAb02</t>
  </si>
  <si>
    <t>Pakpunavirus JG004</t>
  </si>
  <si>
    <t>Pakpunavirus MAG1</t>
  </si>
  <si>
    <t>Pakpunavirus MK</t>
  </si>
  <si>
    <t>Pakpunavirus PA10</t>
  </si>
  <si>
    <t>Pakpunavirus PAKP1</t>
  </si>
  <si>
    <t>Pakpunavirus PAKP2</t>
  </si>
  <si>
    <t>Pakpunavirus PAKP4</t>
  </si>
  <si>
    <t>Pakpunavirus PaP1</t>
  </si>
  <si>
    <t>Pakpunavirus zigelbrucke</t>
  </si>
  <si>
    <t>Pamexvirus PaMx28</t>
  </si>
  <si>
    <t>Pankowvirus pv1717</t>
  </si>
  <si>
    <t>Pankowvirus pv2851</t>
  </si>
  <si>
    <t>Pankowvirus WGPS6</t>
  </si>
  <si>
    <t>Pankowvirus WGPS8</t>
  </si>
  <si>
    <t>Pankowvirus YYZ2008</t>
  </si>
  <si>
    <t>Papyrusvirus papyrus</t>
  </si>
  <si>
    <t>Papyrusvirus send513</t>
  </si>
  <si>
    <t>Parlovirus parlo</t>
  </si>
  <si>
    <t>Patiencevirus patience</t>
  </si>
  <si>
    <t>Pavtokvirus</t>
  </si>
  <si>
    <t>Pavtokvirus pavtok</t>
  </si>
  <si>
    <t>Pavtokvirus PEp14</t>
  </si>
  <si>
    <t>Pawinskivirus</t>
  </si>
  <si>
    <t>Pawinskivirus PS119XW</t>
  </si>
  <si>
    <t>Pbunavirus Ab28</t>
  </si>
  <si>
    <t>Pbunavirus antinowhere</t>
  </si>
  <si>
    <t>Pbunavirus BrSP1</t>
  </si>
  <si>
    <t>Pbunavirus crassa</t>
  </si>
  <si>
    <t>Pbunavirus datas</t>
  </si>
  <si>
    <t>Pbunavirus DL60</t>
  </si>
  <si>
    <t>Pbunavirus DP1</t>
  </si>
  <si>
    <t>Pbunavirus E215</t>
  </si>
  <si>
    <t>Pbunavirus E217</t>
  </si>
  <si>
    <t>Pbunavirus Epa7</t>
  </si>
  <si>
    <t>Pbunavirus Epa14</t>
  </si>
  <si>
    <t>Pbunavirus EPa61</t>
  </si>
  <si>
    <t>Pbunavirus F8</t>
  </si>
  <si>
    <t>Pbunavirus KPP12</t>
  </si>
  <si>
    <t>Pbunavirus KTN6</t>
  </si>
  <si>
    <t>Pbunavirus LBL3</t>
  </si>
  <si>
    <t>Pbunavirus LMA2</t>
  </si>
  <si>
    <t>Pbunavirus LS1</t>
  </si>
  <si>
    <t>Pbunavirus PA01</t>
  </si>
  <si>
    <t>Pbunavirus PA5</t>
  </si>
  <si>
    <t>Pbunavirus Pa193</t>
  </si>
  <si>
    <t>Pbunavirus PA8P1</t>
  </si>
  <si>
    <t>Pbunavirus PaGU11</t>
  </si>
  <si>
    <t>Pbunavirus PB1</t>
  </si>
  <si>
    <t>Pbunavirus PS44</t>
  </si>
  <si>
    <t>Pbunavirus pv141</t>
  </si>
  <si>
    <t>Pbunavirus R12</t>
  </si>
  <si>
    <t>Pbunavirus R26</t>
  </si>
  <si>
    <t>Pbunavirus S1</t>
  </si>
  <si>
    <t>Pbunavirus SL1</t>
  </si>
  <si>
    <t>Pbunavirus SN</t>
  </si>
  <si>
    <t>Pbunavirus USP1</t>
  </si>
  <si>
    <t>Peatvirus peat2</t>
  </si>
  <si>
    <t>Pemunavirus PM1</t>
  </si>
  <si>
    <t>Pepyhexavirus pepy6</t>
  </si>
  <si>
    <t>Pepyhexavirus poco6</t>
  </si>
  <si>
    <t>Perisivirus Pr</t>
  </si>
  <si>
    <t>Perisivirus Tb</t>
  </si>
  <si>
    <t>Persistencevirus</t>
  </si>
  <si>
    <t>Persistencevirus persistence</t>
  </si>
  <si>
    <t>Petsuvirus pEtSU</t>
  </si>
  <si>
    <t>Phabiovirus</t>
  </si>
  <si>
    <t>Phabiovirus phabio</t>
  </si>
  <si>
    <t>Phabquatrovirus PHB04</t>
  </si>
  <si>
    <t>Pharaohvirus</t>
  </si>
  <si>
    <t>Pharaohvirus pharaoh</t>
  </si>
  <si>
    <t>Pharaohvirus steamy</t>
  </si>
  <si>
    <t>Phifelvirus FL1</t>
  </si>
  <si>
    <t>Phifelvirus FL2</t>
  </si>
  <si>
    <t>Phifelvirus FL3</t>
  </si>
  <si>
    <t>Phikzvirus PA7</t>
  </si>
  <si>
    <t>Phikzvirus phiKZ</t>
  </si>
  <si>
    <t>Phikzvirus SL2</t>
  </si>
  <si>
    <t>Phleivirus</t>
  </si>
  <si>
    <t>Phleivirus Phlei</t>
  </si>
  <si>
    <t>Phrappuccinovirus</t>
  </si>
  <si>
    <t>Phreappuccinovirus Phrappuccino</t>
  </si>
  <si>
    <t>Picardvirus picard</t>
  </si>
  <si>
    <t>Pikminvirus pikmin</t>
  </si>
  <si>
    <t>Piorkowskivirus</t>
  </si>
  <si>
    <t>Piorkowskivirus CHPC577</t>
  </si>
  <si>
    <t>Piorkowskivirus CHPC926</t>
  </si>
  <si>
    <t>Piorkowskivirus pv9871</t>
  </si>
  <si>
    <t>Piorkowskivirus pv9872</t>
  </si>
  <si>
    <t>Piorkowskivirus pv9874</t>
  </si>
  <si>
    <t>Piorkowskivirus SW16</t>
  </si>
  <si>
    <t>Piorkowskivirus SW22</t>
  </si>
  <si>
    <t>Plaisancevirus PMW</t>
  </si>
  <si>
    <t>Plateaulakevirus pv2L372D</t>
  </si>
  <si>
    <t>Plateaulakevirus pv2L372X</t>
  </si>
  <si>
    <t>Plateaulakevirus pv4L372D</t>
  </si>
  <si>
    <t>Plateaulakevirus pv4L372XY</t>
  </si>
  <si>
    <t>Pleeduovirus PLE2</t>
  </si>
  <si>
    <t>Pleetrevirus iLp84</t>
  </si>
  <si>
    <t>Pleetrevirus PLE3</t>
  </si>
  <si>
    <t>Polybotosvirus Atuph07</t>
  </si>
  <si>
    <t>Ponsvirus</t>
  </si>
  <si>
    <t>Ponsvirus bigchungus</t>
  </si>
  <si>
    <t>Ponsvirus cherryonlim</t>
  </si>
  <si>
    <t>Ponsvirus lauer</t>
  </si>
  <si>
    <t>Ponsvirus mayweather</t>
  </si>
  <si>
    <t>Ponsvirus pons</t>
  </si>
  <si>
    <t>Ponsvirus sheckwes</t>
  </si>
  <si>
    <t>Ponsvirus vine</t>
  </si>
  <si>
    <t>Popoffvirus pv56</t>
  </si>
  <si>
    <t>Poushouvirus Poushou</t>
  </si>
  <si>
    <t>Powerballvirus</t>
  </si>
  <si>
    <t>Powerballvirus powerball</t>
  </si>
  <si>
    <t>Predatorvirus predator</t>
  </si>
  <si>
    <t>Psavirus LP302</t>
  </si>
  <si>
    <t>Psavirus PSA</t>
  </si>
  <si>
    <t>Pukovnikvirus</t>
  </si>
  <si>
    <t>Pukovnikvirus bactobuster</t>
  </si>
  <si>
    <t>Pukovnikvirus ironman</t>
  </si>
  <si>
    <t>Pukovnikvirus phaded</t>
  </si>
  <si>
    <t>Pukovnikvirus pukovnik</t>
  </si>
  <si>
    <t>Pulverervirus PFR1</t>
  </si>
  <si>
    <t>Punavirus P1</t>
  </si>
  <si>
    <t>Punavirus RCS47</t>
  </si>
  <si>
    <t>Punavirus SJ46</t>
  </si>
  <si>
    <t>Puppervirus</t>
  </si>
  <si>
    <t>Puppervirus Pupper</t>
  </si>
  <si>
    <t>Purivirus</t>
  </si>
  <si>
    <t>Purivirus UFJFPfDIW6</t>
  </si>
  <si>
    <t>Qingdaovirus J21</t>
  </si>
  <si>
    <t>Questintvirus Q54</t>
  </si>
  <si>
    <t>Quhwahvirus kaihaidragon</t>
  </si>
  <si>
    <t>Quhwahvirus paschalis</t>
  </si>
  <si>
    <t>Quivirus</t>
  </si>
  <si>
    <t>Quivirus qui</t>
  </si>
  <si>
    <t>Radostvirus ev099</t>
  </si>
  <si>
    <t>Rahariannevirus raharianne</t>
  </si>
  <si>
    <t>Raleighvirus darolandstone</t>
  </si>
  <si>
    <t>Raleighvirus raleigh</t>
  </si>
  <si>
    <t>Rauchvirus BPP1</t>
  </si>
  <si>
    <t>Ravarandavirus kac65v151</t>
  </si>
  <si>
    <t>Ravarandavirus kac68v161</t>
  </si>
  <si>
    <t>Ravarandavirus rv2AV2</t>
  </si>
  <si>
    <t>Ravinvirus N15</t>
  </si>
  <si>
    <t>Refugevirus</t>
  </si>
  <si>
    <t>Refugevirus darthphader</t>
  </si>
  <si>
    <t>Refugevirus refuge</t>
  </si>
  <si>
    <t>Rerduovirus hiro</t>
  </si>
  <si>
    <t>Rerduovirus phailmary</t>
  </si>
  <si>
    <t>Rerduovirus RER2</t>
  </si>
  <si>
    <t>Rerduovirus RGL3</t>
  </si>
  <si>
    <t>Rerduovirus takoda</t>
  </si>
  <si>
    <t>Richievirus</t>
  </si>
  <si>
    <t>Richievirus auxilium</t>
  </si>
  <si>
    <t>Richievirus richie</t>
  </si>
  <si>
    <t>Rigallicvirus P106B</t>
  </si>
  <si>
    <t>Rimavirus drgrey</t>
  </si>
  <si>
    <t>Rimavirus rima</t>
  </si>
  <si>
    <t>Ripduovirus RP12</t>
  </si>
  <si>
    <t>Risingsunvirus risingsun</t>
  </si>
  <si>
    <t>Rivsvirus</t>
  </si>
  <si>
    <t>Rivsvirus SNUABM5</t>
  </si>
  <si>
    <t>Rockefellervirus CNPH82</t>
  </si>
  <si>
    <t>Rockefellervirus CNPx</t>
  </si>
  <si>
    <t>Rockefellervirus IME134801</t>
  </si>
  <si>
    <t>Rockefellervirus IPLA5</t>
  </si>
  <si>
    <t>Rockefellervirus IPLA7</t>
  </si>
  <si>
    <t>Rockefellervirus PH15</t>
  </si>
  <si>
    <t>Rockvillevirus phi4J1</t>
  </si>
  <si>
    <t>Rogerhendrixvirus hendrix</t>
  </si>
  <si>
    <t>Ronaldovirus fryberger</t>
  </si>
  <si>
    <t>Ronaldovirus ronaldo</t>
  </si>
  <si>
    <t>Rosariovirus</t>
  </si>
  <si>
    <t>Rosariovirus Weirdo19ES</t>
  </si>
  <si>
    <t>Rosemountvirus birk</t>
  </si>
  <si>
    <t>Rosemountvirus BP63</t>
  </si>
  <si>
    <t>Rosemountvirus SE13</t>
  </si>
  <si>
    <t>Rosemountvirus UPFBP2</t>
  </si>
  <si>
    <t>Rosemountvirus yarpen</t>
  </si>
  <si>
    <t>Roslyckyvirus</t>
  </si>
  <si>
    <t>Roslyckyvirus ph08</t>
  </si>
  <si>
    <t>Roufvirus pIS4A</t>
  </si>
  <si>
    <t>Rowavirus rowa</t>
  </si>
  <si>
    <t>Ruthyvirus dumpsterdude</t>
  </si>
  <si>
    <t>Ruthyvirus ruthy</t>
  </si>
  <si>
    <t>Ryyoungvirus bcepC6B</t>
  </si>
  <si>
    <t>Saclayvirus Aci05</t>
  </si>
  <si>
    <t>Saclayvirus Aci011</t>
  </si>
  <si>
    <t>Saclayvirus Aci022</t>
  </si>
  <si>
    <t>Sagamiharavirus</t>
  </si>
  <si>
    <t>Sagamiharavirus PP</t>
  </si>
  <si>
    <t>Saintgironsvirus LE1</t>
  </si>
  <si>
    <t>Salmondvirus JA11</t>
  </si>
  <si>
    <t>Salmondvirus JA29</t>
  </si>
  <si>
    <t>Saltrevirus</t>
  </si>
  <si>
    <t>Saltrevirus sv64795sal3</t>
  </si>
  <si>
    <t>Samunavirus SM1</t>
  </si>
  <si>
    <t>Samwavirus adelaide</t>
  </si>
  <si>
    <t>Samwavirus dina</t>
  </si>
  <si>
    <t>Samwavirus samW</t>
  </si>
  <si>
    <t>Samwavirus StAB</t>
  </si>
  <si>
    <t>Samwavirus stiles</t>
  </si>
  <si>
    <t>Sandinevirus BK5T</t>
  </si>
  <si>
    <t>Santafevirus</t>
  </si>
  <si>
    <t>Santafevirus sf40AC</t>
  </si>
  <si>
    <t>Saphexavirus BC611</t>
  </si>
  <si>
    <t>Saphexavirus IMEEF1</t>
  </si>
  <si>
    <t>Saphexavirus SAP6</t>
  </si>
  <si>
    <t>Saphexavirus SPQS1</t>
  </si>
  <si>
    <t>Saphexavirus VD13</t>
  </si>
  <si>
    <t>Sargevirus</t>
  </si>
  <si>
    <t>Sargevirus sarge</t>
  </si>
  <si>
    <t>Sarumanvirus bcepsaruman</t>
  </si>
  <si>
    <t>Sarumanvirus bcepsauron</t>
  </si>
  <si>
    <t>Sasdunavirus</t>
  </si>
  <si>
    <t>Sasdunavirus SASD1</t>
  </si>
  <si>
    <t>Sashavirus sasha</t>
  </si>
  <si>
    <t>Sasquatchvirus Y3</t>
  </si>
  <si>
    <t>Sasvirus BFK20</t>
  </si>
  <si>
    <t>Saundersvirus Tp84</t>
  </si>
  <si>
    <t>Sawaravirus WGPS2</t>
  </si>
  <si>
    <t>Scappvirus</t>
  </si>
  <si>
    <t>Scappvirus scapp</t>
  </si>
  <si>
    <t>Scapunavirus scap1</t>
  </si>
  <si>
    <t>Schmidvirus KHP30</t>
  </si>
  <si>
    <t>Schmidvirus KHP40</t>
  </si>
  <si>
    <t>Schmidvirus sv1961P</t>
  </si>
  <si>
    <t>Schmittlotzvirus sv771</t>
  </si>
  <si>
    <t>Schnabeltiervirus schnabeltier</t>
  </si>
  <si>
    <t>Schubertvirus schubert</t>
  </si>
  <si>
    <t>Seahorsevirus</t>
  </si>
  <si>
    <t>Seahorsevirus seahorse</t>
  </si>
  <si>
    <t>Segzyvirus</t>
  </si>
  <si>
    <t>Segzyvirus LPSTLL</t>
  </si>
  <si>
    <t>Segzyvirus segz1</t>
  </si>
  <si>
    <t>Sendosyvirus APSE1</t>
  </si>
  <si>
    <t>Sendosyvirus APSE2</t>
  </si>
  <si>
    <t>Seongbukvirus MH1</t>
  </si>
  <si>
    <t>Seoulvirus SPN3US</t>
  </si>
  <si>
    <t>Septimatrevirus Ab26</t>
  </si>
  <si>
    <t>Septimatrevirus kakheti25</t>
  </si>
  <si>
    <t>Septimatrevirus sv73</t>
  </si>
  <si>
    <t>Serwervirus</t>
  </si>
  <si>
    <t>Serwervirus 201phi21</t>
  </si>
  <si>
    <t>Seussvirus seuss</t>
  </si>
  <si>
    <t>Sextaecvirus SEP9</t>
  </si>
  <si>
    <t>Sextaecvirus sextaec</t>
  </si>
  <si>
    <t>Sfunavirus</t>
  </si>
  <si>
    <t>Sfunavirus SF1</t>
  </si>
  <si>
    <t>Shandongvirus H101</t>
  </si>
  <si>
    <t>Sheenvirus</t>
  </si>
  <si>
    <t>Sheenvirus Sheen</t>
  </si>
  <si>
    <t>Sherbrookevirus CD506</t>
  </si>
  <si>
    <t>Sherbrookevirus CD4811</t>
  </si>
  <si>
    <t>Sherbrookevirus CDHM11</t>
  </si>
  <si>
    <t>Sherbrookevirus CDHM13</t>
  </si>
  <si>
    <t>Sherbrookevirus CDHM14</t>
  </si>
  <si>
    <t>Sherbrookevirus MMP04</t>
  </si>
  <si>
    <t>Shirahamavirus PTm1</t>
  </si>
  <si>
    <t>Shoyavirus</t>
  </si>
  <si>
    <t>Shoyavirus shoya</t>
  </si>
  <si>
    <t>Shuimuvirus</t>
  </si>
  <si>
    <t>Shuimuvirus IME207</t>
  </si>
  <si>
    <t>Siatvirus</t>
  </si>
  <si>
    <t>Siatvirus Lz245</t>
  </si>
  <si>
    <t>Sidiousvirus</t>
  </si>
  <si>
    <t>Sidiousvirus sidious</t>
  </si>
  <si>
    <t>Siftrevirus</t>
  </si>
  <si>
    <t>Siftrevirus SF3</t>
  </si>
  <si>
    <t>Silentrexvirus</t>
  </si>
  <si>
    <t>Silentrexvirus silentrx</t>
  </si>
  <si>
    <t>Sixamavirus</t>
  </si>
  <si>
    <t>Sixamavirus sixama</t>
  </si>
  <si>
    <t>Skarprettervirus skarpretter</t>
  </si>
  <si>
    <t>Skatevirus</t>
  </si>
  <si>
    <t>Skatevirus BS5</t>
  </si>
  <si>
    <t>Skatevirus KFSSE2</t>
  </si>
  <si>
    <t>Skatevirus LPST10</t>
  </si>
  <si>
    <t>Skatevirus SeSz2</t>
  </si>
  <si>
    <t>Skatevirus Seszw1</t>
  </si>
  <si>
    <t>Skatevirus skate</t>
  </si>
  <si>
    <t>Skatevirus VSt472</t>
  </si>
  <si>
    <t>Skogvirus</t>
  </si>
  <si>
    <t>Skogvirus Skog</t>
  </si>
  <si>
    <t>Skulduggeryvirus</t>
  </si>
  <si>
    <t>Skulduggeryvirus skulduggery</t>
  </si>
  <si>
    <t>Skunavirus A16</t>
  </si>
  <si>
    <t>Skunavirus ASCC191</t>
  </si>
  <si>
    <t>Skunavirus ASCC273</t>
  </si>
  <si>
    <t>Skunavirus ASCC281</t>
  </si>
  <si>
    <t>Skunavirus ASCC465</t>
  </si>
  <si>
    <t>Skunavirus ASCC532</t>
  </si>
  <si>
    <t>Skunavirus B1127</t>
  </si>
  <si>
    <t>Skunavirus bibb29</t>
  </si>
  <si>
    <t>Skunavirus bIBB5g1</t>
  </si>
  <si>
    <t>Skunavirus bIBBF12</t>
  </si>
  <si>
    <t>Skunavirus bIL170</t>
  </si>
  <si>
    <t>Skunavirus caseusJM1</t>
  </si>
  <si>
    <t>Skunavirus CB13</t>
  </si>
  <si>
    <t>Skunavirus CB14</t>
  </si>
  <si>
    <t>Skunavirus CB19</t>
  </si>
  <si>
    <t>Skunavirus CHPC52</t>
  </si>
  <si>
    <t>Skunavirus CHPC129</t>
  </si>
  <si>
    <t>Skunavirus CHPC361</t>
  </si>
  <si>
    <t>Skunavirus CHPC362</t>
  </si>
  <si>
    <t>Skunavirus CHPC781</t>
  </si>
  <si>
    <t>Skunavirus CHPC958</t>
  </si>
  <si>
    <t>Skunavirus CHPC959</t>
  </si>
  <si>
    <t>Skunavirus CHPC964</t>
  </si>
  <si>
    <t>Skunavirus CHPC965</t>
  </si>
  <si>
    <t>Skunavirus E1127</t>
  </si>
  <si>
    <t>Skunavirus F0139</t>
  </si>
  <si>
    <t>Skunavirus fd13</t>
  </si>
  <si>
    <t>Skunavirus i0139</t>
  </si>
  <si>
    <t>Skunavirus JF1</t>
  </si>
  <si>
    <t>Skunavirus jm2</t>
  </si>
  <si>
    <t>Skunavirus jm3</t>
  </si>
  <si>
    <t>Skunavirus L6</t>
  </si>
  <si>
    <t>Skunavirus L18</t>
  </si>
  <si>
    <t>Skunavirus Lj</t>
  </si>
  <si>
    <t>Skunavirus LP0209</t>
  </si>
  <si>
    <t>Skunavirus LP0903</t>
  </si>
  <si>
    <t>Skunavirus LP8511</t>
  </si>
  <si>
    <t>Skunavirus LP9207</t>
  </si>
  <si>
    <t>Skunavirus LP9404</t>
  </si>
  <si>
    <t>Skunavirus LP9609</t>
  </si>
  <si>
    <t>Skunavirus LP9903</t>
  </si>
  <si>
    <t>Skunavirus LP9908</t>
  </si>
  <si>
    <t>Skunavirus LP1502a</t>
  </si>
  <si>
    <t>Skunavirus M1127</t>
  </si>
  <si>
    <t>Skunavirus MP1</t>
  </si>
  <si>
    <t>Skunavirus MV10L</t>
  </si>
  <si>
    <t>Skunavirus P008</t>
  </si>
  <si>
    <t>Skunavirus p272</t>
  </si>
  <si>
    <t>Skunavirus P475</t>
  </si>
  <si>
    <t>Skunavirus P656</t>
  </si>
  <si>
    <t>Skunavirus P680</t>
  </si>
  <si>
    <t>Skunavirus P1532</t>
  </si>
  <si>
    <t>Skunavirus P4565</t>
  </si>
  <si>
    <t>Skunavirus R31</t>
  </si>
  <si>
    <t>Skunavirus S0139</t>
  </si>
  <si>
    <t>Skunavirus sk1</t>
  </si>
  <si>
    <t>Skunavirus Sl4</t>
  </si>
  <si>
    <t>Skunavirus sv7</t>
  </si>
  <si>
    <t>Skunavirus sv15</t>
  </si>
  <si>
    <t>Skunavirus sv42</t>
  </si>
  <si>
    <t>Skunavirus sv44</t>
  </si>
  <si>
    <t>Skunavirus sv109</t>
  </si>
  <si>
    <t>Skunavirus sv145</t>
  </si>
  <si>
    <t>Skunavirus sv155</t>
  </si>
  <si>
    <t>Skunavirus sv193</t>
  </si>
  <si>
    <t>Skunavirus sv340</t>
  </si>
  <si>
    <t>Skunavirus sv512</t>
  </si>
  <si>
    <t>Skunavirus sv712</t>
  </si>
  <si>
    <t>Skunavirus sv936</t>
  </si>
  <si>
    <t>Skunavirus sv05601</t>
  </si>
  <si>
    <t>Skunavirus sv16802</t>
  </si>
  <si>
    <t>Skunavirus sv10W18</t>
  </si>
  <si>
    <t>Skunavirus sv13W11L</t>
  </si>
  <si>
    <t>Skunavirus sv16W23</t>
  </si>
  <si>
    <t>Skunavirus sv30804</t>
  </si>
  <si>
    <t>Skunavirus sv37201</t>
  </si>
  <si>
    <t>Skunavirus sv38503</t>
  </si>
  <si>
    <t>Skunavirus sv38507</t>
  </si>
  <si>
    <t>Skunavirus sv3R16S</t>
  </si>
  <si>
    <t>Skunavirus sv51701</t>
  </si>
  <si>
    <t>Skunavirus sv56003</t>
  </si>
  <si>
    <t>Skunavirus sv56301</t>
  </si>
  <si>
    <t>Skunavirus sv57001</t>
  </si>
  <si>
    <t>Skunavirus sv62601</t>
  </si>
  <si>
    <t>Skunavirus sv62605</t>
  </si>
  <si>
    <t>Skunavirus sv63302</t>
  </si>
  <si>
    <t>Skunavirus sv66901</t>
  </si>
  <si>
    <t>Skunavirus sv79201</t>
  </si>
  <si>
    <t>Skunavirus sv88605</t>
  </si>
  <si>
    <t>Skunavirus sv8V08</t>
  </si>
  <si>
    <t>Skunavirus sv91127</t>
  </si>
  <si>
    <t>Skunavirus sv96401</t>
  </si>
  <si>
    <t>Skunavirus sv96403</t>
  </si>
  <si>
    <t>Skunavirus sv96603</t>
  </si>
  <si>
    <t>Slashvirus slash</t>
  </si>
  <si>
    <t>Slashvirus stahl</t>
  </si>
  <si>
    <t>Slashvirus staley</t>
  </si>
  <si>
    <t>Slashvirus stills</t>
  </si>
  <si>
    <t>Sleepyheadvirus sleepyhead</t>
  </si>
  <si>
    <t>Smoothievirus bachita</t>
  </si>
  <si>
    <t>Smoothievirus clubL</t>
  </si>
  <si>
    <t>Smoothievirus smoothie</t>
  </si>
  <si>
    <t>Snuvirus</t>
  </si>
  <si>
    <t>Snuvirus SNUABM7</t>
  </si>
  <si>
    <t>Sonalivirus sonali</t>
  </si>
  <si>
    <t>Sortsnevirus IME279</t>
  </si>
  <si>
    <t>Sortsnevirus sortsne</t>
  </si>
  <si>
    <t>Soupsvirus soups</t>
  </si>
  <si>
    <t>Soupsvirus strosahl</t>
  </si>
  <si>
    <t>Soupsvirus wait</t>
  </si>
  <si>
    <t>Sourvirus sour</t>
  </si>
  <si>
    <t>Sozzivirus S11</t>
  </si>
  <si>
    <t>Sozzivirus S13</t>
  </si>
  <si>
    <t>Sozzivirus sv9805</t>
  </si>
  <si>
    <t>Sparkyvirus sparky</t>
  </si>
  <si>
    <t>Spbetavirus SPbeta</t>
  </si>
  <si>
    <t>Spizizenvirus sv105</t>
  </si>
  <si>
    <t>Squashvirus hyperion</t>
  </si>
  <si>
    <t>Squashvirus squash</t>
  </si>
  <si>
    <t>Stanholtvirus E125</t>
  </si>
  <si>
    <t>Stanholtvirus sv6442</t>
  </si>
  <si>
    <t>Stanholtvirus sv1026b</t>
  </si>
  <si>
    <t>Steinhofvirus JWX</t>
  </si>
  <si>
    <t>Steinhofvirus sv8324</t>
  </si>
  <si>
    <t>Stonewallvirus</t>
  </si>
  <si>
    <t>Stonewallvirus A25</t>
  </si>
  <si>
    <t>Stormageddonvirus</t>
  </si>
  <si>
    <t>Stormageddonvirus Stormageddon</t>
  </si>
  <si>
    <t>Sukhumvitvirus T25</t>
  </si>
  <si>
    <t>Svunavirus GBSV1</t>
  </si>
  <si>
    <t>Svunavirus sv1</t>
  </si>
  <si>
    <t>Swiduovirus</t>
  </si>
  <si>
    <t>Swiduovirus swi2</t>
  </si>
  <si>
    <t>Syrbvirus</t>
  </si>
  <si>
    <t>Syrbvirus R1</t>
  </si>
  <si>
    <t>Tabernariusvirus tabernarius</t>
  </si>
  <si>
    <t>Takahashivirus PBS1</t>
  </si>
  <si>
    <t>Tandoganvirus A403</t>
  </si>
  <si>
    <t>Tankvirus tank</t>
  </si>
  <si>
    <t>Tantvirus tant</t>
  </si>
  <si>
    <t>Taranisvirus taranis</t>
  </si>
  <si>
    <t>Tepukevirus</t>
  </si>
  <si>
    <t>Tepukevirus Psa21</t>
  </si>
  <si>
    <t>Terapinvirus suzy</t>
  </si>
  <si>
    <t>Terapinvirus terapin</t>
  </si>
  <si>
    <t>Teubervirus AM6</t>
  </si>
  <si>
    <t>Teubervirus LW31</t>
  </si>
  <si>
    <t>Teubervirus P087</t>
  </si>
  <si>
    <t>Teubervirus P596</t>
  </si>
  <si>
    <t>Teubervirus Q1</t>
  </si>
  <si>
    <t>Thornevirus SP15</t>
  </si>
  <si>
    <t>Tieomvirus</t>
  </si>
  <si>
    <t>Tieomvirus BT1011</t>
  </si>
  <si>
    <t>Tigunavirus TG1</t>
  </si>
  <si>
    <t>Tijeunavirus TJE1</t>
  </si>
  <si>
    <t>Timshelvirus</t>
  </si>
  <si>
    <t>Timshelvirus droogsarmy</t>
  </si>
  <si>
    <t>Timshelvirus HINdeR</t>
  </si>
  <si>
    <t>Timshelvirus SWU2</t>
  </si>
  <si>
    <t>Timshelvirus timshel</t>
  </si>
  <si>
    <t>Tinduovirus TIN2</t>
  </si>
  <si>
    <t>Tinduovirus TIN3</t>
  </si>
  <si>
    <t>Titanvirus rcspartan</t>
  </si>
  <si>
    <t>Titanvirus rctitan</t>
  </si>
  <si>
    <t>Toutatisvirus toutatis</t>
  </si>
  <si>
    <t>Triavirus fPfSau02</t>
  </si>
  <si>
    <t>Triavirus IPLA35</t>
  </si>
  <si>
    <t>Triavirus JS02</t>
  </si>
  <si>
    <t>Triavirus LH1</t>
  </si>
  <si>
    <t>Triavirus P240</t>
  </si>
  <si>
    <t>Triavirus R1988</t>
  </si>
  <si>
    <t>Triavirus SA137ruMSSAST121PVL</t>
  </si>
  <si>
    <t>Triavirus SAP11</t>
  </si>
  <si>
    <t>Triavirus SLT</t>
  </si>
  <si>
    <t>Triavirus st1</t>
  </si>
  <si>
    <t>Triavirus st5</t>
  </si>
  <si>
    <t>Triavirus st30</t>
  </si>
  <si>
    <t>Triavirus st78</t>
  </si>
  <si>
    <t>Triavirus st121mssa</t>
  </si>
  <si>
    <t>Triavirus StauST3982</t>
  </si>
  <si>
    <t>Triavirus tp3102</t>
  </si>
  <si>
    <t>Triavirus tv2</t>
  </si>
  <si>
    <t>Triavirus tv12</t>
  </si>
  <si>
    <t>Triavirus tv47</t>
  </si>
  <si>
    <t>Triavirus tv15644</t>
  </si>
  <si>
    <t>Triavirus tv2958PVL</t>
  </si>
  <si>
    <t>Triavirus tv3a</t>
  </si>
  <si>
    <t>Triavirus tv42e</t>
  </si>
  <si>
    <t>Trigintaduovirus 32HC</t>
  </si>
  <si>
    <t>Trigintaduovirus rem711</t>
  </si>
  <si>
    <t>Trinavirus trina</t>
  </si>
  <si>
    <t>Trinevirus trine</t>
  </si>
  <si>
    <t>Triplejayvirus tripleJ</t>
  </si>
  <si>
    <t>Turbidovirus</t>
  </si>
  <si>
    <t>Turbidovirus anselm</t>
  </si>
  <si>
    <t>Turbidovirus benvolio</t>
  </si>
  <si>
    <t>Turbidovirus bugsy</t>
  </si>
  <si>
    <t>Turbidovirus centaur</t>
  </si>
  <si>
    <t>Turbidovirus evilgenius</t>
  </si>
  <si>
    <t>Turbidovirus fameo</t>
  </si>
  <si>
    <t>Turbidovirus georgie2</t>
  </si>
  <si>
    <t>Turbidovirus heffalump</t>
  </si>
  <si>
    <t>Turbidovirus joshkayV</t>
  </si>
  <si>
    <t>Turbidovirus larenn</t>
  </si>
  <si>
    <t>Turbidovirus malec</t>
  </si>
  <si>
    <t>Turbidovirus piro94</t>
  </si>
  <si>
    <t>Turbidovirus turbido</t>
  </si>
  <si>
    <t>Typhavirus</t>
  </si>
  <si>
    <t>Typhavirus typha</t>
  </si>
  <si>
    <t>Uetakevirus epsilon15</t>
  </si>
  <si>
    <t>Uetakevirus phiV10</t>
  </si>
  <si>
    <t>Uetakevirus SPN1S</t>
  </si>
  <si>
    <t>Uwajimavirus PLgW1</t>
  </si>
  <si>
    <t>Vashvirus lilbooboo</t>
  </si>
  <si>
    <t>Vashvirus vash</t>
  </si>
  <si>
    <t>Vedamuthuvirus BM13</t>
  </si>
  <si>
    <t>Vedamuthuvirus P1045</t>
  </si>
  <si>
    <t>Vedamuthuvirus Q33</t>
  </si>
  <si>
    <t>Vedamuthuvirus vv50902</t>
  </si>
  <si>
    <t>Vedamuthuvirus vv62503</t>
  </si>
  <si>
    <t>Veewebvirus</t>
  </si>
  <si>
    <t>Veewebvirus vwb</t>
  </si>
  <si>
    <t>Veracruzvirus</t>
  </si>
  <si>
    <t>Veracruzvirus babyboy</t>
  </si>
  <si>
    <t>Veracruzvirus BTCU1</t>
  </si>
  <si>
    <t>Veracruzvirus heldan</t>
  </si>
  <si>
    <t>Veracruzvirus MA5</t>
  </si>
  <si>
    <t>Veracruzvirus phantastic</t>
  </si>
  <si>
    <t>Veracruzvirus pistachio</t>
  </si>
  <si>
    <t>Veracruzvirus rockstar</t>
  </si>
  <si>
    <t>Veracruzvirus veracruz</t>
  </si>
  <si>
    <t>Vhmlvirus mar</t>
  </si>
  <si>
    <t>Vhmlvirus VHML</t>
  </si>
  <si>
    <t>Vhmlvirus VP585</t>
  </si>
  <si>
    <t>Vhulanivirus Shpa</t>
  </si>
  <si>
    <t>Vibakivirus vibaki</t>
  </si>
  <si>
    <t>Vicosavirus NV1</t>
  </si>
  <si>
    <t>Vicosavirus UFVP2</t>
  </si>
  <si>
    <t>Vidquintavirus Vid5</t>
  </si>
  <si>
    <t>Vieuvirus B1251</t>
  </si>
  <si>
    <t>Vieuvirus R3177</t>
  </si>
  <si>
    <t>Vividuovirus ailee</t>
  </si>
  <si>
    <t>Vividuovirus angelicage</t>
  </si>
  <si>
    <t>Vividuovirus barsten</t>
  </si>
  <si>
    <t>Vividuovirus bibwit</t>
  </si>
  <si>
    <t>Vividuovirus brandonk123</t>
  </si>
  <si>
    <t>Vividuovirus fosterous</t>
  </si>
  <si>
    <t>Vividuovirus galadriel</t>
  </si>
  <si>
    <t>Vividuovirus geodirt</t>
  </si>
  <si>
    <t>Vividuovirus jabberwocky</t>
  </si>
  <si>
    <t>Vividuovirus keitabear</t>
  </si>
  <si>
    <t>Vividuovirus love</t>
  </si>
  <si>
    <t>Vividuovirus mckinley</t>
  </si>
  <si>
    <t>Vividuovirus nordenberg</t>
  </si>
  <si>
    <t>Vividuovirus paries</t>
  </si>
  <si>
    <t>Vividuovirus rofo</t>
  </si>
  <si>
    <t>Vividuovirus stultus</t>
  </si>
  <si>
    <t>Vividuovirus tangent</t>
  </si>
  <si>
    <t>Vividuovirus vivi2</t>
  </si>
  <si>
    <t>Waukeshavirus BMBtp3</t>
  </si>
  <si>
    <t>Waukeshavirus waukesha92</t>
  </si>
  <si>
    <t>Wbetavirus wbeta</t>
  </si>
  <si>
    <t>Weaselvirus weasel</t>
  </si>
  <si>
    <t>Wellingtonvirus wellington</t>
  </si>
  <si>
    <t>Whackvirus whack</t>
  </si>
  <si>
    <t>Whiteheadvirus wv1358</t>
  </si>
  <si>
    <t>Wifcevirus ECML117</t>
  </si>
  <si>
    <t>Wifcevirus FEC19</t>
  </si>
  <si>
    <t>Wifcevirus WFC</t>
  </si>
  <si>
    <t>Wifcevirus WFH</t>
  </si>
  <si>
    <t>Wizardvirus Arri</t>
  </si>
  <si>
    <t>Wizardvirus bakery</t>
  </si>
  <si>
    <t>Wizardvirus barb</t>
  </si>
  <si>
    <t>Wizardvirus danyall</t>
  </si>
  <si>
    <t>Wizardvirus evamon</t>
  </si>
  <si>
    <t>Wizardvirus fireball</t>
  </si>
  <si>
    <t>Wizardvirus jambalaya</t>
  </si>
  <si>
    <t>Wizardvirus kimmyK</t>
  </si>
  <si>
    <t>Wizardvirus mutzi</t>
  </si>
  <si>
    <t>Wizardvirus nubi</t>
  </si>
  <si>
    <t>Wizardvirus phlop</t>
  </si>
  <si>
    <t>Wizardvirus portcullis</t>
  </si>
  <si>
    <t>Wizardvirus rogerdodger</t>
  </si>
  <si>
    <t>Wizardvirus smokingbunny</t>
  </si>
  <si>
    <t>Wizardvirus tillybobjoe</t>
  </si>
  <si>
    <t>Wizardvirus twister6</t>
  </si>
  <si>
    <t>Wizardvirus valary</t>
  </si>
  <si>
    <t>Wizardvirus vandewege</t>
  </si>
  <si>
    <t>Wizardvirus wizard</t>
  </si>
  <si>
    <t>Woesvirus woes</t>
  </si>
  <si>
    <t>Wollypogvirus</t>
  </si>
  <si>
    <t>Wollypogvirus wollypog</t>
  </si>
  <si>
    <t>Wolominvirus</t>
  </si>
  <si>
    <t>Wolominvirus OH</t>
  </si>
  <si>
    <t>Woodruffvirus TP1604</t>
  </si>
  <si>
    <t>Woodruffvirus YDN12</t>
  </si>
  <si>
    <t>Wumpquatrovirus WMP4</t>
  </si>
  <si>
    <t>Wumptrevirus PP</t>
  </si>
  <si>
    <t>Wumptrevirus WMP3</t>
  </si>
  <si>
    <t>Xiamenvirus RDJL1</t>
  </si>
  <si>
    <t>Xiamenvirus RDJL2</t>
  </si>
  <si>
    <t>Xipdecavirus OP1</t>
  </si>
  <si>
    <t>Xipdecavirus Xop411</t>
  </si>
  <si>
    <t>Xipdecavirus Xp10</t>
  </si>
  <si>
    <t>Xuquatrovirus PTXU04</t>
  </si>
  <si>
    <t>Yanchengvirus</t>
  </si>
  <si>
    <t>Yanchengvirus pAEv1818</t>
  </si>
  <si>
    <t>Yeceytrevirus</t>
  </si>
  <si>
    <t>Yeceytrevirus yecey3</t>
  </si>
  <si>
    <t>Yokohamavirus MSW3</t>
  </si>
  <si>
    <t>Yokohamavirus PEi21</t>
  </si>
  <si>
    <t>Yoloswagvirus yoloswag</t>
  </si>
  <si>
    <t>Yongloolinvirus C2</t>
  </si>
  <si>
    <t>Yongloolinvirus CDMH1</t>
  </si>
  <si>
    <t>Yongloolinvirus MMP01</t>
  </si>
  <si>
    <t>Yongloolinvirus MMP03</t>
  </si>
  <si>
    <t>Zetavirus zeta1847</t>
  </si>
  <si>
    <t>Zhangjivirus</t>
  </si>
  <si>
    <t>Zhangjivirus PJN02</t>
  </si>
  <si>
    <t>Zhangqianvirus</t>
  </si>
  <si>
    <t>Zhangqianvirus IME1354</t>
  </si>
  <si>
    <t>Zitchvirus</t>
  </si>
  <si>
    <t>Zitchvirus verity</t>
  </si>
  <si>
    <t>Zitchvirus zipp</t>
  </si>
  <si>
    <t>Zitchvirus zitch</t>
  </si>
  <si>
    <t>Zukovirus</t>
  </si>
  <si>
    <t>Zukovirus phill</t>
  </si>
  <si>
    <t>Zukovirus zuko</t>
  </si>
  <si>
    <t>Affertcholeramvirus CTXphi</t>
  </si>
  <si>
    <t>Affertcholeramvirus preCTX1</t>
  </si>
  <si>
    <t>Affertcholeramvirus preCTX2</t>
  </si>
  <si>
    <t>Capistrivirus KSF1</t>
  </si>
  <si>
    <t>Coriovirus Cf1c</t>
  </si>
  <si>
    <t>Fibrovirus fs1</t>
  </si>
  <si>
    <t>Fibrovirus VGJ</t>
  </si>
  <si>
    <t>Fobrovirus VP24</t>
  </si>
  <si>
    <t>Habenivirus RS551</t>
  </si>
  <si>
    <t>Habenivirus RS603</t>
  </si>
  <si>
    <t>Habenivirus RSM1</t>
  </si>
  <si>
    <t>Habenivirus RSM3</t>
  </si>
  <si>
    <t>Infulavirus If1</t>
  </si>
  <si>
    <t>Inovirus M13</t>
  </si>
  <si>
    <t>Lineavirus I22</t>
  </si>
  <si>
    <t>Lineavirus IKe</t>
  </si>
  <si>
    <t>Lineavirus pear</t>
  </si>
  <si>
    <t>Lophivirus</t>
  </si>
  <si>
    <t>Lophivirus Cf2</t>
  </si>
  <si>
    <t>Lophivirus Lf2</t>
  </si>
  <si>
    <t>Lophivirus LfUK</t>
  </si>
  <si>
    <t>Lophivirus Xv2</t>
  </si>
  <si>
    <t>Parhipatevirus PE226</t>
  </si>
  <si>
    <t>Porrectionivirus</t>
  </si>
  <si>
    <t>Porrectionivirus p12J</t>
  </si>
  <si>
    <t>Primolicivirus Pf1</t>
  </si>
  <si>
    <t>Primolicivirus Pf8</t>
  </si>
  <si>
    <t>Psecadovirus PSH1</t>
  </si>
  <si>
    <t>Restivirus RSBg</t>
  </si>
  <si>
    <t>Restivirus RSS1</t>
  </si>
  <si>
    <t>Saetivirus fs2</t>
  </si>
  <si>
    <t>Saetivirus VFJ</t>
  </si>
  <si>
    <t>Scuticavirus SMA6</t>
  </si>
  <si>
    <t>Siphunculivirus</t>
  </si>
  <si>
    <t>Siphunculivirus SHP2</t>
  </si>
  <si>
    <t>Staminivirus SMA9</t>
  </si>
  <si>
    <t>Subteminivirus SMA7</t>
  </si>
  <si>
    <t>Tertilicivirus Pf3</t>
  </si>
  <si>
    <t>Vasivirus</t>
  </si>
  <si>
    <t>Vasivirus VAI</t>
  </si>
  <si>
    <t>Versovirus VALG6</t>
  </si>
  <si>
    <t>Versovirus VfO3K6</t>
  </si>
  <si>
    <t>Vicialiavirus VCY</t>
  </si>
  <si>
    <t>Villovirus VALG8</t>
  </si>
  <si>
    <t>Villovirus Vf33</t>
  </si>
  <si>
    <t>Xylivirus XacF13</t>
  </si>
  <si>
    <t>Xylivirus Xf109</t>
  </si>
  <si>
    <t>Bifilivirus B5</t>
  </si>
  <si>
    <t>Thomixvirus OH3</t>
  </si>
  <si>
    <t>Plectrovirus L51</t>
  </si>
  <si>
    <t>Suturavirus SVTS2</t>
  </si>
  <si>
    <t>Vespertiliovirus C74</t>
  </si>
  <si>
    <t>Vespertiliovirus R8A2B</t>
  </si>
  <si>
    <t>Vespertiliovirus SkV1CR23x</t>
  </si>
  <si>
    <t>Virgulavirus</t>
  </si>
  <si>
    <t>Virgulavirus SVGII3</t>
  </si>
  <si>
    <t>Alphatrevirus alpha3</t>
  </si>
  <si>
    <t>Alphatrevirus ID21</t>
  </si>
  <si>
    <t>Alphatrevirus ID32</t>
  </si>
  <si>
    <t>Alphatrevirus ID62</t>
  </si>
  <si>
    <t>Alphatrevirus NC28</t>
  </si>
  <si>
    <t>Alphatrevirus NC29</t>
  </si>
  <si>
    <t>Alphatrevirus NC35</t>
  </si>
  <si>
    <t>Alphatrevirus phiK</t>
  </si>
  <si>
    <t>Alphatrevirus St1</t>
  </si>
  <si>
    <t>Alphatrevirus WA45</t>
  </si>
  <si>
    <t>Gequatrovirus G4</t>
  </si>
  <si>
    <t>Gequatrovirus ID52</t>
  </si>
  <si>
    <t>Gequatrovirus talmos</t>
  </si>
  <si>
    <t>Sinsheimervirus phiX174</t>
  </si>
  <si>
    <t>Bdellomicrovirus MH2K</t>
  </si>
  <si>
    <t>Chlamydiamicrovirus Chp1</t>
  </si>
  <si>
    <t>Chlamydiamicrovirus Chp2</t>
  </si>
  <si>
    <t>Chlamydiamicrovirus CPAR39</t>
  </si>
  <si>
    <t>Chlamydiamicrovirus CPG1</t>
  </si>
  <si>
    <t>Spiromicrovirus SpV4</t>
  </si>
  <si>
    <t>Alphapolyomavirus acelebensis</t>
  </si>
  <si>
    <t>Alphapolyomavirus aflavicollis</t>
  </si>
  <si>
    <t>Alphapolyomavirus apaniscus</t>
  </si>
  <si>
    <t>Alphapolyomavirus callosciuri</t>
  </si>
  <si>
    <t>Alphapolyomavirus cardiodermae</t>
  </si>
  <si>
    <t>Alphapolyomavirus carolliae</t>
  </si>
  <si>
    <t>Alphapolyomavirus chlopygerythrus</t>
  </si>
  <si>
    <t>Alphapolyomavirus dobsoniae</t>
  </si>
  <si>
    <t>Alphapolyomavirus eidoli</t>
  </si>
  <si>
    <t>Alphapolyomavirus gorillae</t>
  </si>
  <si>
    <t>Alphapolyomavirus macacae</t>
  </si>
  <si>
    <t>Alphapolyomavirus mauratus</t>
  </si>
  <si>
    <t>Alphapolyomavirus mischreibersii</t>
  </si>
  <si>
    <t>Alphapolyomavirus molossi</t>
  </si>
  <si>
    <t>Alphapolyomavirus muris</t>
  </si>
  <si>
    <t>Alphapolyomavirus nonihominis</t>
  </si>
  <si>
    <t>Alphapolyomavirus octihominis</t>
  </si>
  <si>
    <t>Alphapolyomavirus omartiensseni</t>
  </si>
  <si>
    <t>Alphapolyomavirus pacynocephalus</t>
  </si>
  <si>
    <t>Alphapolyomavirus panos</t>
  </si>
  <si>
    <t>Alphapolyomavirus philantombae</t>
  </si>
  <si>
    <t>Alphapolyomavirus pibadius</t>
  </si>
  <si>
    <t>Alphapolyomavirus pirufomitratus</t>
  </si>
  <si>
    <t>Alphapolyomavirus ponabelii</t>
  </si>
  <si>
    <t>Alphapolyomavirus ponpygmaeus</t>
  </si>
  <si>
    <t>Alphapolyomavirus procyonis</t>
  </si>
  <si>
    <t>Alphapolyomavirus ptevampyrus</t>
  </si>
  <si>
    <t>Alphapolyomavirus quardecihominis</t>
  </si>
  <si>
    <t>Alphapolyomavirus quartipanos</t>
  </si>
  <si>
    <t>Alphapolyomavirus quintihominis</t>
  </si>
  <si>
    <t>Alphapolyomavirus quintipanos</t>
  </si>
  <si>
    <t>Alphapolyomavirus ranorvegicus</t>
  </si>
  <si>
    <t>Alphapolyomavirus saraneus</t>
  </si>
  <si>
    <t>Alphapolyomavirus secarplanirostris</t>
  </si>
  <si>
    <t>Alphapolyomavirus secomartiensseni</t>
  </si>
  <si>
    <t>Alphapolyomavirus secumastomysis</t>
  </si>
  <si>
    <t>Alphapolyomavirus secumischreibersii</t>
  </si>
  <si>
    <t>Alphapolyomavirus secupanos</t>
  </si>
  <si>
    <t>Alphapolyomavirus septipanos</t>
  </si>
  <si>
    <t>Alphapolyomavirus sextipanos</t>
  </si>
  <si>
    <t>Alphapolyomavirus socoronatus</t>
  </si>
  <si>
    <t>Alphapolyomavirus sominutus</t>
  </si>
  <si>
    <t>Alphapolyomavirus sturnirae</t>
  </si>
  <si>
    <t>Alphapolyomavirus suis</t>
  </si>
  <si>
    <t>Alphapolyomavirus terdecihominis</t>
  </si>
  <si>
    <t>Alphapolyomavirus tertarplanisrostris</t>
  </si>
  <si>
    <t>Alphapolyomavirus tertichlopygerythrus</t>
  </si>
  <si>
    <t>Alphapolyomavirus tertimastomysis</t>
  </si>
  <si>
    <t>Alphapolyomavirus tertipanos</t>
  </si>
  <si>
    <t>Alphapolyomavirus tubelangeri</t>
  </si>
  <si>
    <t>Alphapolyomavirus tuglis</t>
  </si>
  <si>
    <t>Betapolyomavirus arplanirostris</t>
  </si>
  <si>
    <t>Betapolyomavirus calbifrons</t>
  </si>
  <si>
    <t>Betapolyomavirus callosciuri</t>
  </si>
  <si>
    <t>Betapolyomavirus canis</t>
  </si>
  <si>
    <t>Betapolyomavirus cercopitheci</t>
  </si>
  <si>
    <t>Betapolyomavirus desrotundus</t>
  </si>
  <si>
    <t>Betapolyomavirus elephanti</t>
  </si>
  <si>
    <t>Betapolyomavirus enhydrae</t>
  </si>
  <si>
    <t>Betapolyomavirus equi</t>
  </si>
  <si>
    <t>Betapolyomavirus gliris</t>
  </si>
  <si>
    <t>Betapolyomavirus hominis</t>
  </si>
  <si>
    <t>Betapolyomavirus leporis</t>
  </si>
  <si>
    <t>Betapolyomavirus lepweddellii</t>
  </si>
  <si>
    <t>Betapolyomavirus macacae</t>
  </si>
  <si>
    <t>Betapolyomavirus mafricanus</t>
  </si>
  <si>
    <t>Betapolyomavirus marvalis</t>
  </si>
  <si>
    <t>Betapolyomavirus mastomysis</t>
  </si>
  <si>
    <t>Betapolyomavirus meletis</t>
  </si>
  <si>
    <t>Betapolyomavirus myoglareolus</t>
  </si>
  <si>
    <t>Betapolyomavirus myolucifugus</t>
  </si>
  <si>
    <t>Betapolyomavirus octipanos</t>
  </si>
  <si>
    <t>Betapolyomavirus pantherae</t>
  </si>
  <si>
    <t>Betapolyomavirus ptedavyi</t>
  </si>
  <si>
    <t>Betapolyomavirus pteparnellii</t>
  </si>
  <si>
    <t>Betapolyomavirus quartihominis</t>
  </si>
  <si>
    <t>Betapolyomavirus raegyptiacus</t>
  </si>
  <si>
    <t>Betapolyomavirus saboliviensis</t>
  </si>
  <si>
    <t>Betapolyomavirus sasciureus</t>
  </si>
  <si>
    <t>Betapolyomavirus sciuri</t>
  </si>
  <si>
    <t>Betapolyomavirus secacelebensis</t>
  </si>
  <si>
    <t>Betapolyomavirus secuchlopygerythrus</t>
  </si>
  <si>
    <t>Betapolyomavirus secudobsoniae</t>
  </si>
  <si>
    <t>Betapolyomavirus secuhominis</t>
  </si>
  <si>
    <t>Betapolyomavirus secumuris</t>
  </si>
  <si>
    <t>Betapolyomavirus secupacynocephalus</t>
  </si>
  <si>
    <t>Betapolyomavirus securanorvegicus</t>
  </si>
  <si>
    <t>Betapolyomavirus tertidobsoniae</t>
  </si>
  <si>
    <t>Betapolyomavirus tertihominis</t>
  </si>
  <si>
    <t>Betapolyomavirus tertimuris</t>
  </si>
  <si>
    <t>Betapolyomavirus vicugnae</t>
  </si>
  <si>
    <t>Betapolyomavirus zacalifornianus</t>
  </si>
  <si>
    <t>Deltapolyomavirus ailuropodae</t>
  </si>
  <si>
    <t>Deltapolyomavirus canis</t>
  </si>
  <si>
    <t>Deltapolyomavirus decihominis</t>
  </si>
  <si>
    <t>Deltapolyomavirus secuprocyonis</t>
  </si>
  <si>
    <t>Deltapolyomavirus septihominis</t>
  </si>
  <si>
    <t>Deltapolyomavirus sextihominis</t>
  </si>
  <si>
    <t>Deltapolyomavirus undecihominis</t>
  </si>
  <si>
    <t>Epsilonpolyomavirus bovis</t>
  </si>
  <si>
    <t>Epsilonpolyomavirus caprae</t>
  </si>
  <si>
    <t>Epsilonpolyomavirus poporcus</t>
  </si>
  <si>
    <t>Etapolyomavirus</t>
  </si>
  <si>
    <t>Etapolyomavirus rhyndjiddensis</t>
  </si>
  <si>
    <t>Gammapolyomavirus anseris</t>
  </si>
  <si>
    <t>Gammapolyomavirus avis</t>
  </si>
  <si>
    <t>Gammapolyomavirus corvi</t>
  </si>
  <si>
    <t>Gammapolyomavirus cratorquatus</t>
  </si>
  <si>
    <t>Gammapolyomavirus egouldiae</t>
  </si>
  <si>
    <t>Gammapolyomavirus lonmaja</t>
  </si>
  <si>
    <t>Gammapolyomavirus padeliae</t>
  </si>
  <si>
    <t>Gammapolyomavirus pypyrrhula</t>
  </si>
  <si>
    <t>Gammapolyomavirus secanaria</t>
  </si>
  <si>
    <t>Thetapolyomavirus</t>
  </si>
  <si>
    <t>Thetapolyomavirus censtriata</t>
  </si>
  <si>
    <t>Thetapolyomavirus spari</t>
  </si>
  <si>
    <t>Thetapolyomavirus trebernacchii</t>
  </si>
  <si>
    <t>Thetapolyomavirus trepennellii</t>
  </si>
  <si>
    <t>Zetapolyomavirus delphini</t>
  </si>
  <si>
    <t>Aquambidensovirus asteroid1</t>
  </si>
  <si>
    <t>Aquambidensovirus asteroid2</t>
  </si>
  <si>
    <t>Aquambidensovirus decapod1</t>
  </si>
  <si>
    <t>Aquambidensovirus ostreid1</t>
  </si>
  <si>
    <t>Blattambidensovirus blattodean1</t>
  </si>
  <si>
    <t>Blattambidensovirus incertum1</t>
  </si>
  <si>
    <t>Blattambidensovirus incertum2</t>
  </si>
  <si>
    <t>Blattambidensovirus incertum3</t>
  </si>
  <si>
    <t>Blattambidensovirus incertum4</t>
  </si>
  <si>
    <t>Diciambidensovirus hemipteran1</t>
  </si>
  <si>
    <t>Diciambidensovirus hemipteran2</t>
  </si>
  <si>
    <t>Diciambidensovirus incertum1</t>
  </si>
  <si>
    <t>Hemiambidensovirus hemipteran1</t>
  </si>
  <si>
    <t>Hemiambidensovirus hemipteran2</t>
  </si>
  <si>
    <t>Iteradensovirus incertum1</t>
  </si>
  <si>
    <t>Iteradensovirus incertum2</t>
  </si>
  <si>
    <t>Iteradensovirus lepidopteran1</t>
  </si>
  <si>
    <t>Iteradensovirus lepidopteran2</t>
  </si>
  <si>
    <t>Iteradensovirus lepidopteran3</t>
  </si>
  <si>
    <t>Iteradensovirus lepidopteran4</t>
  </si>
  <si>
    <t>Iteradensovirus lepidopteran5</t>
  </si>
  <si>
    <t>Muscodensovirus dipteran1</t>
  </si>
  <si>
    <t>Muscodensovirus dipteran2</t>
  </si>
  <si>
    <t>Pefuambidensovirus blattodean1</t>
  </si>
  <si>
    <t>Pefuambidensovirus unionid1</t>
  </si>
  <si>
    <t>Protoambidensovirus dipteran1</t>
  </si>
  <si>
    <t>Protoambidensovirus incertum1</t>
  </si>
  <si>
    <t>Protoambidensovirus lepidopteran1</t>
  </si>
  <si>
    <t>Scindoambidensovirus hemipteran1</t>
  </si>
  <si>
    <t>Scindoambidensovirus hymenopteran1</t>
  </si>
  <si>
    <t>Scindoambidensovirus incertum1</t>
  </si>
  <si>
    <t>Scindoambidensovirus incertum2</t>
  </si>
  <si>
    <t>Scindoambidensovirus orthopteran1</t>
  </si>
  <si>
    <t>Tetuambidensovirus incertum1</t>
  </si>
  <si>
    <t>Tetuambidensovirus incertum2</t>
  </si>
  <si>
    <t>Tetuambidensovirus trombidiform1</t>
  </si>
  <si>
    <t>Brevihamaparvovirus dipteran1</t>
  </si>
  <si>
    <t>Brevihamaparvovirus dipteran2</t>
  </si>
  <si>
    <t>Chaphamaparvovirus anseriform1</t>
  </si>
  <si>
    <t>Chaphamaparvovirus anseriform2</t>
  </si>
  <si>
    <t>Chaphamaparvovirus anseriform3</t>
  </si>
  <si>
    <t>Chaphamaparvovirus anseriform4</t>
  </si>
  <si>
    <t>Chaphamaparvovirus anseriform5</t>
  </si>
  <si>
    <t>Chaphamaparvovirus anseriform6</t>
  </si>
  <si>
    <t>Chaphamaparvovirus avian1</t>
  </si>
  <si>
    <t>Chaphamaparvovirus carnivoran1</t>
  </si>
  <si>
    <t>Chaphamaparvovirus carnivoran2</t>
  </si>
  <si>
    <t>Chaphamaparvovirus carnivoran3</t>
  </si>
  <si>
    <t>Chaphamaparvovirus chiropteran1</t>
  </si>
  <si>
    <t>Chaphamaparvovirus dasyurid1</t>
  </si>
  <si>
    <t>Chaphamaparvovirus dasyurid2</t>
  </si>
  <si>
    <t>Chaphamaparvovirus dasyurid3</t>
  </si>
  <si>
    <t>Chaphamaparvovirus galliform1</t>
  </si>
  <si>
    <t>Chaphamaparvovirus galliform2</t>
  </si>
  <si>
    <t>Chaphamaparvovirus galliform3</t>
  </si>
  <si>
    <t>Chaphamaparvovirus galliform4</t>
  </si>
  <si>
    <t>Chaphamaparvovirus galliform5</t>
  </si>
  <si>
    <t>Chaphamaparvovirus gruiform1</t>
  </si>
  <si>
    <t>Chaphamaparvovirus gruiform2</t>
  </si>
  <si>
    <t>Chaphamaparvovirus gruiform3</t>
  </si>
  <si>
    <t>Chaphamaparvovirus gruiform4</t>
  </si>
  <si>
    <t>Chaphamaparvovirus perciform1</t>
  </si>
  <si>
    <t>Chaphamaparvovirus primate1</t>
  </si>
  <si>
    <t>Chaphamaparvovirus primate2</t>
  </si>
  <si>
    <t>Chaphamaparvovirus psittacine1</t>
  </si>
  <si>
    <t>Chaphamaparvovirus psittacine2</t>
  </si>
  <si>
    <t>Chaphamaparvovirus rodent1</t>
  </si>
  <si>
    <t>Chaphamaparvovirus rodent2</t>
  </si>
  <si>
    <t>Chaphamaparvovirus strigiform1</t>
  </si>
  <si>
    <t>Chaphamaparvovirus ungulate1</t>
  </si>
  <si>
    <t>Hepanhamaparvovirus decapod1</t>
  </si>
  <si>
    <t>Ichtchaphamaparvovirus</t>
  </si>
  <si>
    <t>Ichtchaphamaparvovirus syngnathid1</t>
  </si>
  <si>
    <t>Penstylhamaparvovirus decapod1</t>
  </si>
  <si>
    <t>Amdoparvovirus carnivoran1</t>
  </si>
  <si>
    <t>Amdoparvovirus carnivoran2</t>
  </si>
  <si>
    <t>Amdoparvovirus carnivoran3</t>
  </si>
  <si>
    <t>Amdoparvovirus carnivoran4</t>
  </si>
  <si>
    <t>Amdoparvovirus carnivoran5</t>
  </si>
  <si>
    <t>Amdoparvovirus carnivoran6</t>
  </si>
  <si>
    <t>Amdoparvovirus carnivoran7</t>
  </si>
  <si>
    <t>Artiparvovirus chiropteran1</t>
  </si>
  <si>
    <t>Aveparvovirus columbid1</t>
  </si>
  <si>
    <t>Aveparvovirus galliform1</t>
  </si>
  <si>
    <t>Aveparvovirus gruiform1</t>
  </si>
  <si>
    <t>Aveparvovirus passeriform1</t>
  </si>
  <si>
    <t>Bocaparvovirus carnivoran1</t>
  </si>
  <si>
    <t>Bocaparvovirus carnivoran2</t>
  </si>
  <si>
    <t>Bocaparvovirus carnivoran3</t>
  </si>
  <si>
    <t>Bocaparvovirus carnivoran4</t>
  </si>
  <si>
    <t>Bocaparvovirus carnivoran5</t>
  </si>
  <si>
    <t>Bocaparvovirus carnivoran6</t>
  </si>
  <si>
    <t>Bocaparvovirus carnivoran7</t>
  </si>
  <si>
    <t>Bocaparvovirus chiropteran1</t>
  </si>
  <si>
    <t>Bocaparvovirus chiropteran2</t>
  </si>
  <si>
    <t>Bocaparvovirus chiropteran3</t>
  </si>
  <si>
    <t>Bocaparvovirus chiropteran4</t>
  </si>
  <si>
    <t>Bocaparvovirus chiropteran5</t>
  </si>
  <si>
    <t>Bocaparvovirus incertum1</t>
  </si>
  <si>
    <t>Bocaparvovirus lagomorph1</t>
  </si>
  <si>
    <t>Bocaparvovirus pinniped1</t>
  </si>
  <si>
    <t>Bocaparvovirus pinniped2</t>
  </si>
  <si>
    <t>Bocaparvovirus primate1</t>
  </si>
  <si>
    <t>Bocaparvovirus primate2</t>
  </si>
  <si>
    <t>Bocaparvovirus primate3</t>
  </si>
  <si>
    <t>Bocaparvovirus rodent1</t>
  </si>
  <si>
    <t>Bocaparvovirus rodent2</t>
  </si>
  <si>
    <t>Bocaparvovirus rodent3</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</si>
  <si>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</si>
  <si>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</si>
  <si>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</si>
  <si>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</si>
  <si>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</si>
  <si>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</si>
  <si>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</si>
  <si>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</si>
  <si>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</si>
  <si>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Copiparvovirus pinniped1</t>
  </si>
  <si>
    <t>Copiparvovirus ungulate1</t>
  </si>
  <si>
    <t>Copiparvovirus ungulate2</t>
  </si>
  <si>
    <t>Copiparvovirus ungulate3</t>
  </si>
  <si>
    <t>Copiparvovirus ungulate4</t>
  </si>
  <si>
    <t>Copiparvovirus ungulate5</t>
  </si>
  <si>
    <t>Copiparvovirus ungulate6</t>
  </si>
  <si>
    <t>Copiparvovirus ungulate7</t>
  </si>
  <si>
    <t>Copiparvovirus ungulate8</t>
  </si>
  <si>
    <t>Dependoparvovirus anseriform1</t>
  </si>
  <si>
    <t>Dependoparvovirus avian1</t>
  </si>
  <si>
    <t>Dependoparvovirus avian2</t>
  </si>
  <si>
    <t>Dependoparvovirus carnivoran1</t>
  </si>
  <si>
    <t>Dependoparvovirus chiropteran1</t>
  </si>
  <si>
    <t>Dependoparvovirus chiropteran2</t>
  </si>
  <si>
    <t>Dependoparvovirus mammalian1</t>
  </si>
  <si>
    <t>Dependoparvovirus pinniped1</t>
  </si>
  <si>
    <t>Dependoparvovirus primate1</t>
  </si>
  <si>
    <t>Dependoparvovirus rodent1</t>
  </si>
  <si>
    <t>Dependoparvovirus rodent2</t>
  </si>
  <si>
    <t>Dependoparvovirus squamate1</t>
  </si>
  <si>
    <t>Dependoparvovirus squamate2</t>
  </si>
  <si>
    <t>Erythroparvovirus pinniped1</t>
  </si>
  <si>
    <t>Erythroparvovirus primate1</t>
  </si>
  <si>
    <t>Erythroparvovirus primate2</t>
  </si>
  <si>
    <t>Erythroparvovirus primate3</t>
  </si>
  <si>
    <t>Erythroparvovirus primate4</t>
  </si>
  <si>
    <t>Erythroparvovirus rodent1</t>
  </si>
  <si>
    <t>Erythroparvovirus ungulate1</t>
  </si>
  <si>
    <t>Loriparvovirus primate1</t>
  </si>
  <si>
    <t>Protoparvovirus carnivoran1</t>
  </si>
  <si>
    <t>Protoparvovirus carnivoran2</t>
  </si>
  <si>
    <t>Protoparvovirus carnivoran3</t>
  </si>
  <si>
    <t>Protoparvovirus carnivoran4</t>
  </si>
  <si>
    <t>Protoparvovirus carnivoran5</t>
  </si>
  <si>
    <t>Protoparvovirus chiropteran1</t>
  </si>
  <si>
    <t>Protoparvovirus eulipotyphla1</t>
  </si>
  <si>
    <t>Protoparvovirus incertum1</t>
  </si>
  <si>
    <t>Protoparvovirus pinniped1</t>
  </si>
  <si>
    <t>Protoparvovirus primate1</t>
  </si>
  <si>
    <t>Protoparvovirus primate2</t>
  </si>
  <si>
    <t>Protoparvovirus primate3</t>
  </si>
  <si>
    <t>Protoparvovirus rodent1</t>
  </si>
  <si>
    <t>Protoparvovirus rodent2</t>
  </si>
  <si>
    <t>Protoparvovirus rodent3</t>
  </si>
  <si>
    <t>Protoparvovirus ungulate1</t>
  </si>
  <si>
    <t>Protoparvovirus ungulate2</t>
  </si>
  <si>
    <t>Protoparvovirus ungulate3</t>
  </si>
  <si>
    <t>Sandeparvovirus</t>
  </si>
  <si>
    <t>Sandeparvovirus perciform1</t>
  </si>
  <si>
    <t>Tetraparvovirus chiropteran1</t>
  </si>
  <si>
    <t>Tetraparvovirus didelphimorph1</t>
  </si>
  <si>
    <t>Tetraparvovirus primate1</t>
  </si>
  <si>
    <t>Tetraparvovirus rodent1</t>
  </si>
  <si>
    <t>Tetraparvovirus ungulate1</t>
  </si>
  <si>
    <t>Tetraparvovirus ungulate2</t>
  </si>
  <si>
    <t>Tetraparvovirus ungulate3</t>
  </si>
  <si>
    <t>Tetraparvovirus ungulate4</t>
  </si>
  <si>
    <t>Metalloincertoparvovirus</t>
  </si>
  <si>
    <t>Metalloincertoparvovirus decapod1</t>
  </si>
  <si>
    <t>Aberdnavirus</t>
  </si>
  <si>
    <t>Aberdnavirus waitai</t>
  </si>
  <si>
    <t>Diatodnavirus chaese</t>
  </si>
  <si>
    <t>Keisodnavirus</t>
  </si>
  <si>
    <t>Keisodnavirus chaetenu</t>
  </si>
  <si>
    <t>Kieseladnavirus ampcren</t>
  </si>
  <si>
    <t>Kieseladnavirus karahue</t>
  </si>
  <si>
    <t>Kieseladnavirus titiko</t>
  </si>
  <si>
    <t>Protobacilladnavirus chaelor</t>
  </si>
  <si>
    <t>Protobacilladnavirus chaetoc</t>
  </si>
  <si>
    <t>Protobacilladnavirus chasesal</t>
  </si>
  <si>
    <t>Protobacilladnavirus hasleos</t>
  </si>
  <si>
    <t>Protobacilladnavirus mudflat</t>
  </si>
  <si>
    <t>Protobacilladnavirus redsnap</t>
  </si>
  <si>
    <t>Protobacilladnavirus snap</t>
  </si>
  <si>
    <t>Protobacilladnavirus tenuis</t>
  </si>
  <si>
    <t>Puahadnavirus</t>
  </si>
  <si>
    <t>Puahadnavirus aber</t>
  </si>
  <si>
    <t>Puahadnavirus inbhir</t>
  </si>
  <si>
    <t>Puahadnavirus kaisui</t>
  </si>
  <si>
    <t>Puahadnavirus takutai</t>
  </si>
  <si>
    <t>Seawadnavirus</t>
  </si>
  <si>
    <t>Seawadnavirus avonheat</t>
  </si>
  <si>
    <t>Seawadnavirus kuhtahan</t>
  </si>
  <si>
    <t>Circovirus barbel</t>
  </si>
  <si>
    <t>Circovirus bastao</t>
  </si>
  <si>
    <t>Circovirus bear</t>
  </si>
  <si>
    <t>Circovirus bianfu</t>
  </si>
  <si>
    <t>Circovirus canary</t>
  </si>
  <si>
    <t>Circovirus canine</t>
  </si>
  <si>
    <t>Circovirus catfish</t>
  </si>
  <si>
    <t>Circovirus chauvesouris</t>
  </si>
  <si>
    <t>Circovirus cia</t>
  </si>
  <si>
    <t>Circovirus civet</t>
  </si>
  <si>
    <t>Circovirus daga</t>
  </si>
  <si>
    <t>Circovirus duck</t>
  </si>
  <si>
    <t>Circovirus elk</t>
  </si>
  <si>
    <t>Circovirus eniyan</t>
  </si>
  <si>
    <t>Circovirus finch</t>
  </si>
  <si>
    <t>Circovirus gloton</t>
  </si>
  <si>
    <t>Circovirus gnaver</t>
  </si>
  <si>
    <t>Circovirus goose</t>
  </si>
  <si>
    <t>Circovirus gryzon</t>
  </si>
  <si>
    <t>Circovirus gull</t>
  </si>
  <si>
    <t>Circovirus hirat</t>
  </si>
  <si>
    <t>Circovirus ialtag</t>
  </si>
  <si>
    <t>Circovirus impundu</t>
  </si>
  <si>
    <t>Circovirus kelawar</t>
  </si>
  <si>
    <t>Circovirus kiore</t>
  </si>
  <si>
    <t>Circovirus lepakko</t>
  </si>
  <si>
    <t>Circovirus lin</t>
  </si>
  <si>
    <t>Circovirus magu</t>
  </si>
  <si>
    <t>Circovirus mink</t>
  </si>
  <si>
    <t>Circovirus miztli</t>
  </si>
  <si>
    <t>Circovirus miztontli</t>
  </si>
  <si>
    <t>Circovirus morcego</t>
  </si>
  <si>
    <t>Circovirus mossi</t>
  </si>
  <si>
    <t>Circovirus naaleeli</t>
  </si>
  <si>
    <t>Circovirus parrot</t>
  </si>
  <si>
    <t>Circovirus pato</t>
  </si>
  <si>
    <t>Circovirus penguin</t>
  </si>
  <si>
    <t>Circovirus pichong</t>
  </si>
  <si>
    <t>Circovirus pigeon</t>
  </si>
  <si>
    <t>Circovirus pipistrello</t>
  </si>
  <si>
    <t>Circovirus porcine1</t>
  </si>
  <si>
    <t>Circovirus porcine2</t>
  </si>
  <si>
    <t>Circovirus porcine3</t>
  </si>
  <si>
    <t>Circovirus porcine4</t>
  </si>
  <si>
    <t>Circovirus ratpenat</t>
  </si>
  <si>
    <t>Circovirus raven</t>
  </si>
  <si>
    <t>Circovirus roditore</t>
  </si>
  <si>
    <t>Circovirus rongeur</t>
  </si>
  <si>
    <t>Circovirus rosegador</t>
  </si>
  <si>
    <t>Circovirus saguzarra</t>
  </si>
  <si>
    <t>Circovirus siksparnis</t>
  </si>
  <si>
    <t>Circovirus starling</t>
  </si>
  <si>
    <t>Circovirus swan</t>
  </si>
  <si>
    <t>Circovirus tetning</t>
  </si>
  <si>
    <t>Circovirus tzinaka</t>
  </si>
  <si>
    <t>Circovirus vleermuis</t>
  </si>
  <si>
    <t>Circovirus wesa</t>
  </si>
  <si>
    <t>Circovirus whale</t>
  </si>
  <si>
    <t>Circovirus yaa</t>
  </si>
  <si>
    <t>Circovirus zebrafinch</t>
  </si>
  <si>
    <t>Cyclovirus aasiak</t>
  </si>
  <si>
    <t>Cyclovirus adie</t>
  </si>
  <si>
    <t>Cyclovirus anyidiwo</t>
  </si>
  <si>
    <t>Cyclovirus babka</t>
  </si>
  <si>
    <t>Cyclovirus bakri</t>
  </si>
  <si>
    <t>Cyclovirus bashri</t>
  </si>
  <si>
    <t>Cyclovirus bastao</t>
  </si>
  <si>
    <t>Cyclovirus bohloa</t>
  </si>
  <si>
    <t>Cyclovirus caballo</t>
  </si>
  <si>
    <t>Cyclovirus cervienka</t>
  </si>
  <si>
    <t>Cyclovirus doi</t>
  </si>
  <si>
    <t>Cyclovirus enseenene</t>
  </si>
  <si>
    <t>Cyclovirus flagermus</t>
  </si>
  <si>
    <t>Cyclovirus fledermoyz</t>
  </si>
  <si>
    <t>Cyclovirus foca</t>
  </si>
  <si>
    <t>Cyclovirus fourmi</t>
  </si>
  <si>
    <t>Cyclovirus gaaye</t>
  </si>
  <si>
    <t>Cyclovirus gato</t>
  </si>
  <si>
    <t>Cyclovirus homa</t>
  </si>
  <si>
    <t>Cyclovirus humana</t>
  </si>
  <si>
    <t>Cyclovirus ibimonyo</t>
  </si>
  <si>
    <t>Cyclovirus insaan</t>
  </si>
  <si>
    <t>Cyclovirus jaaabani</t>
  </si>
  <si>
    <t>Cyclovirus jemage</t>
  </si>
  <si>
    <t>Cyclovirus kacsa</t>
  </si>
  <si>
    <t>Cyclovirus kemirgen</t>
  </si>
  <si>
    <t>Cyclovirus khangkhaw</t>
  </si>
  <si>
    <t>Cyclovirus kiroptero</t>
  </si>
  <si>
    <t>Cyclovirus kisikisi</t>
  </si>
  <si>
    <t>Cyclovirus kokoro</t>
  </si>
  <si>
    <t>Cyclovirus libelula</t>
  </si>
  <si>
    <t>Cyclovirus liepsnele</t>
  </si>
  <si>
    <t>Cyclovirus liliac</t>
  </si>
  <si>
    <t>Cyclovirus liljak</t>
  </si>
  <si>
    <t>Cyclovirus maanav</t>
  </si>
  <si>
    <t>Cyclovirus manitan</t>
  </si>
  <si>
    <t>Cyclovirus manukha</t>
  </si>
  <si>
    <t>Cyclovirus manusyan</t>
  </si>
  <si>
    <t>Cyclovirus mchwa</t>
  </si>
  <si>
    <t>Cyclovirus mier</t>
  </si>
  <si>
    <t>Cyclovirus misi</t>
  </si>
  <si>
    <t>Cyclovirus mmadu</t>
  </si>
  <si>
    <t>Cyclovirus moosa</t>
  </si>
  <si>
    <t>Cyclovirus munthu</t>
  </si>
  <si>
    <t>Cyclovirus murcielago</t>
  </si>
  <si>
    <t>Cyclovirus muricec</t>
  </si>
  <si>
    <t>Cyclovirus mutum</t>
  </si>
  <si>
    <t>Cyclovirus mweyba</t>
  </si>
  <si>
    <t>Cyclovirus naahoohai</t>
  </si>
  <si>
    <t>Cyclovirus naastsosi</t>
  </si>
  <si>
    <t>Cyclovirus nahkhiir</t>
  </si>
  <si>
    <t>Cyclovirus namu</t>
  </si>
  <si>
    <t>Cyclovirus ndanda</t>
  </si>
  <si>
    <t>Cyclovirus netopyr</t>
  </si>
  <si>
    <t>Cyclovirus newla</t>
  </si>
  <si>
    <t>Cyclovirus nhanloai</t>
  </si>
  <si>
    <t>Cyclovirus nietoperz</t>
  </si>
  <si>
    <t>Cyclovirus pauferro</t>
  </si>
  <si>
    <t>Cyclovirus pea</t>
  </si>
  <si>
    <t>Cyclovirus peka</t>
  </si>
  <si>
    <t>Cyclovirus pekapeka</t>
  </si>
  <si>
    <t>Cyclovirus pettirosso</t>
  </si>
  <si>
    <t>Cyclovirus podgana</t>
  </si>
  <si>
    <t>Cyclovirus popo</t>
  </si>
  <si>
    <t>Cyclovirus popoki</t>
  </si>
  <si>
    <t>Cyclovirus prihor</t>
  </si>
  <si>
    <t>Cyclovirus prilep</t>
  </si>
  <si>
    <t>Cyclovirus punarinta</t>
  </si>
  <si>
    <t>Cyclovirus rata</t>
  </si>
  <si>
    <t>Cyclovirus risi</t>
  </si>
  <si>
    <t>Cyclovirus roach</t>
  </si>
  <si>
    <t>Cyclovirus roedor</t>
  </si>
  <si>
    <t>Cyclovirus rotte</t>
  </si>
  <si>
    <t>Cyclovirus rudzik</t>
  </si>
  <si>
    <t>Cyclovirus saguza</t>
  </si>
  <si>
    <t>Cyclovirus sawya</t>
  </si>
  <si>
    <t>Cyclovirus sismis</t>
  </si>
  <si>
    <t>Cyclovirus sokwe</t>
  </si>
  <si>
    <t>Cyclovirus svosve</t>
  </si>
  <si>
    <t>Cyclovirus taniilai</t>
  </si>
  <si>
    <t>Cyclovirus tarako</t>
  </si>
  <si>
    <t>Cyclovirus tonbo</t>
  </si>
  <si>
    <t>Cyclovirus totoi</t>
  </si>
  <si>
    <t>Cyclovirus vauval</t>
  </si>
  <si>
    <t>Cyclovirus vazka</t>
  </si>
  <si>
    <t>Cyclovirus vespertilio</t>
  </si>
  <si>
    <t>Cyclovirus vleermuis</t>
  </si>
  <si>
    <t>Cyclovirus yarasa</t>
  </si>
  <si>
    <t>Cyclovirus ystlum</t>
  </si>
  <si>
    <t>Vilyaviridae</t>
  </si>
  <si>
    <t>Andurilvirus</t>
  </si>
  <si>
    <t>Andurilvirus erebor</t>
  </si>
  <si>
    <t>Andurilvirus finwe</t>
  </si>
  <si>
    <t>Angristvirus</t>
  </si>
  <si>
    <t>Angristvirus fangorn</t>
  </si>
  <si>
    <t>Angristvirus hurin</t>
  </si>
  <si>
    <t>Aranruthvirus</t>
  </si>
  <si>
    <t>Aranruthvirus numenor</t>
  </si>
  <si>
    <t>Arnorvirus</t>
  </si>
  <si>
    <t>Arnorvirus sauron</t>
  </si>
  <si>
    <t>Glamdringvirus</t>
  </si>
  <si>
    <t>Glamdringvirus minas</t>
  </si>
  <si>
    <t>Glamdringvirus thorin</t>
  </si>
  <si>
    <t>Grondvirus</t>
  </si>
  <si>
    <t>Grondvirus lorian</t>
  </si>
  <si>
    <t>Herugrimvirus</t>
  </si>
  <si>
    <t>Herugrimvirus gladden</t>
  </si>
  <si>
    <t>Illuinvirus</t>
  </si>
  <si>
    <t>Illuinvirus amon</t>
  </si>
  <si>
    <t>Ormalvirus</t>
  </si>
  <si>
    <t>Ormalvirus cirith</t>
  </si>
  <si>
    <t>Palantirivirus</t>
  </si>
  <si>
    <t>Palantirivirus imlardis</t>
  </si>
  <si>
    <t>Ringilvirus</t>
  </si>
  <si>
    <t>Ringilvirus thingol</t>
  </si>
  <si>
    <t>Ringilvirus tuor</t>
  </si>
  <si>
    <t>Ringilvirus ungol</t>
  </si>
  <si>
    <t>Vingilotevirus</t>
  </si>
  <si>
    <t>Vingilotevirus gamgee</t>
  </si>
  <si>
    <t>Vingilotevirus gimli</t>
  </si>
  <si>
    <t>Amesuviridae</t>
  </si>
  <si>
    <t>Temfrudevirus</t>
  </si>
  <si>
    <t>Temfrudevirus temperatum</t>
  </si>
  <si>
    <t>Yermavirus</t>
  </si>
  <si>
    <t>Yermavirus ilicis</t>
  </si>
  <si>
    <t>Rivendellvirales</t>
  </si>
  <si>
    <t>Naryaviridae</t>
  </si>
  <si>
    <t>Menegrothvirus</t>
  </si>
  <si>
    <t>Menegrothvirus gilly</t>
  </si>
  <si>
    <t>Nauglamirvirus</t>
  </si>
  <si>
    <t>Nauglamirvirus anduin</t>
  </si>
  <si>
    <t>Nimphelosvirus</t>
  </si>
  <si>
    <t>Nimphelosvirus arnor</t>
  </si>
  <si>
    <t>Nimphelosvirus isildur</t>
  </si>
  <si>
    <t>Phialvirus</t>
  </si>
  <si>
    <t>Phialvirus golin</t>
  </si>
  <si>
    <t>Rohanvirales</t>
  </si>
  <si>
    <t>Nenyaviridae</t>
  </si>
  <si>
    <t>Angainorvirus</t>
  </si>
  <si>
    <t>Angainorvirus turin</t>
  </si>
  <si>
    <t>Galvornvirus</t>
  </si>
  <si>
    <t>Galvornvirus isengard</t>
  </si>
  <si>
    <t>Mazarbulvirus</t>
  </si>
  <si>
    <t>Mazarbulvirus hasufel</t>
  </si>
  <si>
    <t>Mithrilvirus</t>
  </si>
  <si>
    <t>Mithrilvirus smaug</t>
  </si>
  <si>
    <t>Valinorvirus</t>
  </si>
  <si>
    <t>Valinorvirus arda</t>
  </si>
  <si>
    <t>Valinorvirus eriador</t>
  </si>
  <si>
    <t>Alternaviridae</t>
  </si>
  <si>
    <t>Alternavirus</t>
  </si>
  <si>
    <t>Alternavirus alternariae</t>
  </si>
  <si>
    <t>Alternavirus aspergilli</t>
  </si>
  <si>
    <t>Alternavirus cordycipitae</t>
  </si>
  <si>
    <t>Alternavirus foxispori</t>
  </si>
  <si>
    <t>Alternavirus fusarii</t>
  </si>
  <si>
    <t>Alphachrysovirus anthurii</t>
  </si>
  <si>
    <t>Alphachrysovirus aspergilli</t>
  </si>
  <si>
    <t>Alphachrysovirus brassicae</t>
  </si>
  <si>
    <t>Alphachrysovirus cerasi</t>
  </si>
  <si>
    <t>Alphachrysovirus chrysothricis</t>
  </si>
  <si>
    <t>Alphachrysovirus colletotrichi</t>
  </si>
  <si>
    <t>Alphachrysovirus cryphonectriae</t>
  </si>
  <si>
    <t>Alphachrysovirus fusarii</t>
  </si>
  <si>
    <t>Alphachrysovirus helminthosporii</t>
  </si>
  <si>
    <t>Alphachrysovirus isariae</t>
  </si>
  <si>
    <t>Alphachrysovirus macrophominae</t>
  </si>
  <si>
    <t>Alphachrysovirus penicillii</t>
  </si>
  <si>
    <t>Alphachrysovirus penicompacti</t>
  </si>
  <si>
    <t>Alphachrysovirus penifulvi</t>
  </si>
  <si>
    <t>Alphachrysovirus perseae</t>
  </si>
  <si>
    <t>Alphachrysovirus raphani</t>
  </si>
  <si>
    <t>Alphachrysovirus saladoense</t>
  </si>
  <si>
    <t>Alphachrysovirus shuangaoense</t>
  </si>
  <si>
    <t>Alphachrysovirus verticillii</t>
  </si>
  <si>
    <t>Alphachrysovirus zeae</t>
  </si>
  <si>
    <t>Betachrysovirus alternariae</t>
  </si>
  <si>
    <t>Betachrysovirus aspergilli</t>
  </si>
  <si>
    <t>Betachrysovirus botryosphaeriae</t>
  </si>
  <si>
    <t>Betachrysovirus colletotrichi</t>
  </si>
  <si>
    <t>Betachrysovirus coniothyrii</t>
  </si>
  <si>
    <t>Betachrysovirus foxyspori</t>
  </si>
  <si>
    <t>Betachrysovirus fugramineari</t>
  </si>
  <si>
    <t>Betachrysovirus magnaporthis</t>
  </si>
  <si>
    <t>Betachrysovirus neofusicocci</t>
  </si>
  <si>
    <t>Betachrysovirus pripenicillii</t>
  </si>
  <si>
    <t>Betachrysovirus secupenicillii</t>
  </si>
  <si>
    <t>Sedoreoviridae</t>
  </si>
  <si>
    <t>Spinareoviridae</t>
  </si>
  <si>
    <t>Cystovirus phi6</t>
  </si>
  <si>
    <t>Cystovirus phi8</t>
  </si>
  <si>
    <t>Cystovirus phi12</t>
  </si>
  <si>
    <t>Cystovirus phi13</t>
  </si>
  <si>
    <t>Cystovirus phi2954</t>
  </si>
  <si>
    <t>Cystovirus phiNN</t>
  </si>
  <si>
    <t>Cystovirus phiYY</t>
  </si>
  <si>
    <t>Orthohepevirinae</t>
  </si>
  <si>
    <t>Avihepevirus</t>
  </si>
  <si>
    <t>Avihepevirus egretti</t>
  </si>
  <si>
    <t>Avihepevirus magniiecur</t>
  </si>
  <si>
    <t>Chirohepevirus</t>
  </si>
  <si>
    <t>Chirohepevirus desmodi</t>
  </si>
  <si>
    <t>Chirohepevirus eptesici</t>
  </si>
  <si>
    <t>Chirohepevirus rhinolophi</t>
  </si>
  <si>
    <t>Paslahepevirus</t>
  </si>
  <si>
    <t>Paslahepevirus alci</t>
  </si>
  <si>
    <t>Paslahepevirus balayani</t>
  </si>
  <si>
    <t>Rocahepevirus</t>
  </si>
  <si>
    <t>Rocahepevirus eothenomi</t>
  </si>
  <si>
    <t>Rocahepevirus ratti</t>
  </si>
  <si>
    <t>Parahepevirinae</t>
  </si>
  <si>
    <t>Piscihepevirus heenan</t>
  </si>
  <si>
    <t>Anulavirus GLPV</t>
  </si>
  <si>
    <t>Bromovirus SVS</t>
  </si>
  <si>
    <t>Bluvavirus</t>
  </si>
  <si>
    <t>Menthavirus</t>
  </si>
  <si>
    <t>Olivavirus</t>
  </si>
  <si>
    <t>Blunervirus camelliae</t>
  </si>
  <si>
    <t>Blunervirus solani</t>
  </si>
  <si>
    <t>Blunervirus vaccinii</t>
  </si>
  <si>
    <t>Cilevirus australis</t>
  </si>
  <si>
    <t>Cilevirus colombiaense</t>
  </si>
  <si>
    <t>Cilevirus leprosis</t>
  </si>
  <si>
    <t>Cilevirus ligustri</t>
  </si>
  <si>
    <t>Cilevirus oahuense</t>
  </si>
  <si>
    <t>Cilevirus passiflorae</t>
  </si>
  <si>
    <t>Cilevirus solani</t>
  </si>
  <si>
    <t>Higrevirus waimanalo</t>
  </si>
  <si>
    <t>Idaeovirus ligustri</t>
  </si>
  <si>
    <t>Idaeovirus rubi</t>
  </si>
  <si>
    <t>Pteridovirus filicis</t>
  </si>
  <si>
    <t>Pteridovirus maydis</t>
  </si>
  <si>
    <t>Banmivirus</t>
  </si>
  <si>
    <t>Sustrivirus</t>
  </si>
  <si>
    <t>Gammaflexivirus</t>
  </si>
  <si>
    <t>Xylavirus</t>
  </si>
  <si>
    <t>Maculavirus vitis</t>
  </si>
  <si>
    <t>Marafivirus asteroides</t>
  </si>
  <si>
    <t>Marafivirus avenae</t>
  </si>
  <si>
    <t>Marafivirus citri</t>
  </si>
  <si>
    <t>Marafivirus cynodonis</t>
  </si>
  <si>
    <t>Marafivirus maydis</t>
  </si>
  <si>
    <t>Marafivirus medicagonis</t>
  </si>
  <si>
    <t>Marafivirus nucipersicae</t>
  </si>
  <si>
    <t>Marafivirus oleae</t>
  </si>
  <si>
    <t>Marafivirus pruni</t>
  </si>
  <si>
    <t>Marafivirus rubi</t>
  </si>
  <si>
    <t>Marafivirus sorghi</t>
  </si>
  <si>
    <t>Marafivirus syrahense</t>
  </si>
  <si>
    <t>Tymovirus abelmoschi</t>
  </si>
  <si>
    <t>Tymovirus anagyris</t>
  </si>
  <si>
    <t>Tymovirus arachidis</t>
  </si>
  <si>
    <t>Tymovirus belladonnae</t>
  </si>
  <si>
    <t>Tymovirus brassicae</t>
  </si>
  <si>
    <t>Tymovirus calopogonii</t>
  </si>
  <si>
    <t>Tymovirus chayotis</t>
  </si>
  <si>
    <t>Tymovirus chiltepini</t>
  </si>
  <si>
    <t>Tymovirus clitoriae</t>
  </si>
  <si>
    <t>Tymovirus cucumis</t>
  </si>
  <si>
    <t>Tymovirus desmodii</t>
  </si>
  <si>
    <t>Tymovirus dulcamarae</t>
  </si>
  <si>
    <t>Tymovirus erysimi</t>
  </si>
  <si>
    <t>Tymovirus kennedyae</t>
  </si>
  <si>
    <t>Tymovirus latandigenum</t>
  </si>
  <si>
    <t>Tymovirus lycopersici</t>
  </si>
  <si>
    <t>Tymovirus melongenae</t>
  </si>
  <si>
    <t>Tymovirus melonis</t>
  </si>
  <si>
    <t>Tymovirus mosandigenum</t>
  </si>
  <si>
    <t>Tymovirus naranjillae</t>
  </si>
  <si>
    <t>Tymovirus nemesiae</t>
  </si>
  <si>
    <t>Tymovirus ononis</t>
  </si>
  <si>
    <t>Tymovirus passiflorae</t>
  </si>
  <si>
    <t>Tymovirus petuniae</t>
  </si>
  <si>
    <t>Tymovirus physalis</t>
  </si>
  <si>
    <t>Tymovirus plantagonis</t>
  </si>
  <si>
    <t>Tymovirus quitoense</t>
  </si>
  <si>
    <t>Tymovirus scrophulariae</t>
  </si>
  <si>
    <t>Tymovirus theobromatis</t>
  </si>
  <si>
    <t>Tymovirus voandzeiae</t>
  </si>
  <si>
    <t>Hepacivirus bovis</t>
  </si>
  <si>
    <t>Hepacivirus colobi</t>
  </si>
  <si>
    <t>Hepacivirus equi</t>
  </si>
  <si>
    <t>Hepacivirus glareoli</t>
  </si>
  <si>
    <t>Hepacivirus hominis</t>
  </si>
  <si>
    <t>Hepacivirus macronycteridis</t>
  </si>
  <si>
    <t>Hepacivirus myodae</t>
  </si>
  <si>
    <t>Hepacivirus norvegici</t>
  </si>
  <si>
    <t>Hepacivirus otomopis</t>
  </si>
  <si>
    <t>Hepacivirus peromysci</t>
  </si>
  <si>
    <t>Hepacivirus platyrrhini</t>
  </si>
  <si>
    <t>Hepacivirus ratti</t>
  </si>
  <si>
    <t>Hepacivirus rhabdomysis</t>
  </si>
  <si>
    <t>Hepacivirus vittatae</t>
  </si>
  <si>
    <t>Orthoflavivirus</t>
  </si>
  <si>
    <t>Orthoflavivirus apoiense</t>
  </si>
  <si>
    <t>Orthoflavivirus aroaense</t>
  </si>
  <si>
    <t>Orthoflavivirus bagazaense</t>
  </si>
  <si>
    <t>Orthoflavivirus banziense</t>
  </si>
  <si>
    <t>Orthoflavivirus boubouiense</t>
  </si>
  <si>
    <t>Orthoflavivirus bravoense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</si>
  <si>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</si>
  <si>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</si>
  <si>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</si>
  <si>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</si>
  <si>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</si>
  <si>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</si>
  <si>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</si>
  <si>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encephalitidis</t>
  </si>
  <si>
    <t>Orthoflavivirus entebbeense</t>
  </si>
  <si>
    <t>Orthoflavivirus flavi</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</si>
  <si>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</si>
  <si>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</si>
  <si>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</si>
  <si>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</si>
  <si>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</si>
  <si>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</si>
  <si>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</si>
  <si>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</si>
  <si>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</si>
  <si>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</si>
  <si>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</si>
  <si>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</si>
  <si>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louisense</t>
  </si>
  <si>
    <t>Orthoflavivirus loupingi</t>
  </si>
  <si>
    <t>Orthoflavivirus meabanense</t>
  </si>
  <si>
    <t>Orthoflavivirus modocense</t>
  </si>
  <si>
    <t>Orthoflavivirus montanaense</t>
  </si>
  <si>
    <t>Orthoflavivirus murrayense</t>
  </si>
  <si>
    <t>Orthoflavivirus nilense</t>
  </si>
  <si>
    <t>Orthoflavivirus ntayaense</t>
  </si>
  <si>
    <t>Orthoflavivirus omskense</t>
  </si>
  <si>
    <t>Orthoflavivirus perlitaense</t>
  </si>
  <si>
    <t>Orthoflavivirus phnompenhense</t>
  </si>
  <si>
    <t>Orthoflavivirus powassanense</t>
  </si>
  <si>
    <t>Orthoflavivirus royalense</t>
  </si>
  <si>
    <t>Orthoflavivirus saboyaense</t>
  </si>
  <si>
    <t>Orthoflavivirus saumarezense</t>
  </si>
  <si>
    <t>Orthoflavivirus sepikense</t>
  </si>
  <si>
    <t>Orthoflavivirus tembusu</t>
  </si>
  <si>
    <t>Orthoflavivirus tyuleniyense</t>
  </si>
  <si>
    <t>Orthoflavivirus ugandaense</t>
  </si>
  <si>
    <t>Orthoflavivirus usutuense</t>
  </si>
  <si>
    <t>Orthoflavivirus viejaense</t>
  </si>
  <si>
    <t>Orthoflavivirus wesselsbronense</t>
  </si>
  <si>
    <t>Orthoflavivirus yaoundeense</t>
  </si>
  <si>
    <t>Orthoflavivirus yokoseense</t>
  </si>
  <si>
    <t>Orthoflavivirus zikaense</t>
  </si>
  <si>
    <t>Pegivirus caballi</t>
  </si>
  <si>
    <t>Pegivirus carolliae</t>
  </si>
  <si>
    <t>Pegivirus columbiaense</t>
  </si>
  <si>
    <t>Pegivirus equi</t>
  </si>
  <si>
    <t>Pegivirus hominis</t>
  </si>
  <si>
    <t>Pegivirus neotomae</t>
  </si>
  <si>
    <t>Pegivirus platyrrhini</t>
  </si>
  <si>
    <t>Pegivirus pteropi</t>
  </si>
  <si>
    <t>Pegivirus scotophili</t>
  </si>
  <si>
    <t>Pegivirus sturnirae</t>
  </si>
  <si>
    <t>Pegivirus suis</t>
  </si>
  <si>
    <t>Pestivirus antilocaprae</t>
  </si>
  <si>
    <t>Pestivirus australiaense</t>
  </si>
  <si>
    <t>Pestivirus aydinense</t>
  </si>
  <si>
    <t>Pestivirus bovis</t>
  </si>
  <si>
    <t>Pestivirus brazilense</t>
  </si>
  <si>
    <t>Pestivirus giraffae</t>
  </si>
  <si>
    <t>Pestivirus L</t>
  </si>
  <si>
    <t>Pestivirus M</t>
  </si>
  <si>
    <t>Pestivirus N</t>
  </si>
  <si>
    <t>Pestivirus O</t>
  </si>
  <si>
    <t>Pestivirus ovis</t>
  </si>
  <si>
    <t>Pestivirus P</t>
  </si>
  <si>
    <t>Pestivirus Q</t>
  </si>
  <si>
    <t>Pestivirus R</t>
  </si>
  <si>
    <t>Pestivirus ratti</t>
  </si>
  <si>
    <t>Pestivirus S</t>
  </si>
  <si>
    <t>Pestivirus scrofae</t>
  </si>
  <si>
    <t>Pestivirus suis</t>
  </si>
  <si>
    <t>Pestivirus tauri</t>
  </si>
  <si>
    <t>Umbravirus arachidis</t>
  </si>
  <si>
    <t>Umbravirus carotae</t>
  </si>
  <si>
    <t>Umbravirus ethiopiaense</t>
  </si>
  <si>
    <t>Umbravirus ixeridii</t>
  </si>
  <si>
    <t>Umbravirus lactucae</t>
  </si>
  <si>
    <t>Umbravirus maculacarotae</t>
  </si>
  <si>
    <t>Umbravirus maculae</t>
  </si>
  <si>
    <t>Umbravirus nicotianae</t>
  </si>
  <si>
    <t>Umbravirus papaveri</t>
  </si>
  <si>
    <t>Umbravirus patriniae</t>
  </si>
  <si>
    <t>Umbravirus pisi</t>
  </si>
  <si>
    <t>Alphacarmovirus adonis</t>
  </si>
  <si>
    <t>Alphacarmovirus angeloniae</t>
  </si>
  <si>
    <t>Alphacarmovirus cacti</t>
  </si>
  <si>
    <t>Alphacarmovirus calibrachoae</t>
  </si>
  <si>
    <t>Alphacarmovirus dianthi</t>
  </si>
  <si>
    <t>Alphacarmovirus lonicerae</t>
  </si>
  <si>
    <t>Alphacarmovirus lupini</t>
  </si>
  <si>
    <t>Alphacarmovirus pelargonii</t>
  </si>
  <si>
    <t>Alphanecrovirus nicotianae</t>
  </si>
  <si>
    <t>Alphanecrovirus oleae</t>
  </si>
  <si>
    <t>Alphanecrovirus solani</t>
  </si>
  <si>
    <t>Alphanecrovirus tessellati</t>
  </si>
  <si>
    <t>Aureusvirus aurei</t>
  </si>
  <si>
    <t>Aureusvirus cucumis</t>
  </si>
  <si>
    <t>Aureusvirus dioscoreae</t>
  </si>
  <si>
    <t>Aureusvirus sambuci</t>
  </si>
  <si>
    <t>Aureusvirus sorghi</t>
  </si>
  <si>
    <t>Aureusvirus zeae</t>
  </si>
  <si>
    <t>Avenavirus avenae</t>
  </si>
  <si>
    <t>Betacarmovirus brassicae</t>
  </si>
  <si>
    <t>Betacarmovirus cardaminis</t>
  </si>
  <si>
    <t>Betacarmovirus hibisci</t>
  </si>
  <si>
    <t>Betacarmovirus iridis</t>
  </si>
  <si>
    <t>Betanecrovirus betae</t>
  </si>
  <si>
    <t>Betanecrovirus nicotianae</t>
  </si>
  <si>
    <t>Betanecrovirus porri</t>
  </si>
  <si>
    <t>Gallantivirus galinsogae</t>
  </si>
  <si>
    <t>Gammacarmovirus glycinis</t>
  </si>
  <si>
    <t>Gammacarmovirus melonis</t>
  </si>
  <si>
    <t>Gammacarmovirus pisi</t>
  </si>
  <si>
    <t>Gammacarmovirus vignae</t>
  </si>
  <si>
    <t>Macanavirus furcraeae</t>
  </si>
  <si>
    <t>Machlomovirus zeae</t>
  </si>
  <si>
    <t>Panicovirus dactylis</t>
  </si>
  <si>
    <t>Panicovirus panici</t>
  </si>
  <si>
    <t>Panicovirus paspali</t>
  </si>
  <si>
    <t>Pelarspovirus anulopelargonii</t>
  </si>
  <si>
    <t>Pelarspovirus chloropelargonii</t>
  </si>
  <si>
    <t>Pelarspovirus clematis</t>
  </si>
  <si>
    <t>Pelarspovirus jasmini</t>
  </si>
  <si>
    <t>Pelarspovirus lineapelargonii</t>
  </si>
  <si>
    <t>Pelarspovirus rosae</t>
  </si>
  <si>
    <t>Pelarspovirus sambuci</t>
  </si>
  <si>
    <t>Pelarspovirus tessellati</t>
  </si>
  <si>
    <t>Tombusvirus algeriaense</t>
  </si>
  <si>
    <t>Tombusvirus bulgariaense</t>
  </si>
  <si>
    <t>Tombusvirus cucumis</t>
  </si>
  <si>
    <t>Tombusvirus cymbidii</t>
  </si>
  <si>
    <t>Tombusvirus cynarae</t>
  </si>
  <si>
    <t>Tombusvirus dianthi</t>
  </si>
  <si>
    <t>Tombusvirus havelfluminis</t>
  </si>
  <si>
    <t>Tombusvirus latofluminis</t>
  </si>
  <si>
    <t>Tombusvirus limonii</t>
  </si>
  <si>
    <t>Tombusvirus lycopersici</t>
  </si>
  <si>
    <t>Tombusvirus melongenae</t>
  </si>
  <si>
    <t>Tombusvirus moroccoense</t>
  </si>
  <si>
    <t>Tombusvirus neckarfluminis</t>
  </si>
  <si>
    <t>Tombusvirus necropelargonii</t>
  </si>
  <si>
    <t>Tombusvirus pelargonii</t>
  </si>
  <si>
    <t>Tombusvirus petuniae</t>
  </si>
  <si>
    <t>Tombusvirus siktefluminis</t>
  </si>
  <si>
    <t>Tralespevirus</t>
  </si>
  <si>
    <t>Tralespevirus gompholobii</t>
  </si>
  <si>
    <t>Tralespevirus lespedezae</t>
  </si>
  <si>
    <t>Zeavirus zeae</t>
  </si>
  <si>
    <t>Dianthovirus dianthi</t>
  </si>
  <si>
    <t>Dianthovirus meliloti</t>
  </si>
  <si>
    <t>Dianthovirus trifolii</t>
  </si>
  <si>
    <t>Luteovirus avii</t>
  </si>
  <si>
    <t>Luteovirus glycinis</t>
  </si>
  <si>
    <t>Luteovirus kerbihordei</t>
  </si>
  <si>
    <t>Luteovirus kertrihordei</t>
  </si>
  <si>
    <t>Luteovirus mali</t>
  </si>
  <si>
    <t>Luteovirus mavhordei</t>
  </si>
  <si>
    <t>Luteovirus nucipersicae</t>
  </si>
  <si>
    <t>Luteovirus pashordei</t>
  </si>
  <si>
    <t>Luteovirus pavhordei</t>
  </si>
  <si>
    <t>Luteovirus phaseoli</t>
  </si>
  <si>
    <t>Luteovirus rosae</t>
  </si>
  <si>
    <t>Luteovirus sociomali</t>
  </si>
  <si>
    <t>Luteovirus trifolii</t>
  </si>
  <si>
    <t>Duamitovirus</t>
  </si>
  <si>
    <t>Duamitovirus alal1</t>
  </si>
  <si>
    <t>Duamitovirus azfi1</t>
  </si>
  <si>
    <t>Duamitovirus bevu1</t>
  </si>
  <si>
    <t>Duamitovirus boci1</t>
  </si>
  <si>
    <t>Duamitovirus boci3</t>
  </si>
  <si>
    <t>Duamitovirus bodo1</t>
  </si>
  <si>
    <t>Duamitovirus busp1</t>
  </si>
  <si>
    <t>Duamitovirus casa1</t>
  </si>
  <si>
    <t>Duamitovirus cesp1</t>
  </si>
  <si>
    <t>Duamitovirus chqu1</t>
  </si>
  <si>
    <t>Duamitovirus clod1</t>
  </si>
  <si>
    <t>Duamitovirus crpa1</t>
  </si>
  <si>
    <t>Duamitovirus dapi1</t>
  </si>
  <si>
    <t>Duamitovirus epni1</t>
  </si>
  <si>
    <t>Duamitovirus fubo1</t>
  </si>
  <si>
    <t>Duamitovirus fupo3</t>
  </si>
  <si>
    <t>Duamitovirus fupo4</t>
  </si>
  <si>
    <t>Duamitovirus gima1</t>
  </si>
  <si>
    <t>Duamitovirus gima2</t>
  </si>
  <si>
    <t>Duamitovirus gima3</t>
  </si>
  <si>
    <t>Duamitovirus gima4</t>
  </si>
  <si>
    <t>Duamitovirus hean1</t>
  </si>
  <si>
    <t>Duamitovirus hean3</t>
  </si>
  <si>
    <t>Duamitovirus hepa3</t>
  </si>
  <si>
    <t>Duamitovirus hulu1</t>
  </si>
  <si>
    <t>Duamitovirus nepa1</t>
  </si>
  <si>
    <t>Duamitovirus nior1</t>
  </si>
  <si>
    <t>Duamitovirus opno1a</t>
  </si>
  <si>
    <t>Duamitovirus opno1b</t>
  </si>
  <si>
    <t>Duamitovirus opno1c</t>
  </si>
  <si>
    <t>Duamitovirus opno3a</t>
  </si>
  <si>
    <t>Duamitovirus opno3b</t>
  </si>
  <si>
    <t>Duamitovirus oxru1</t>
  </si>
  <si>
    <t>Duamitovirus peex1</t>
  </si>
  <si>
    <t>Duamitovirus rhce1</t>
  </si>
  <si>
    <t>Duamitovirus rhir1</t>
  </si>
  <si>
    <t>Duamitovirus rhso21</t>
  </si>
  <si>
    <t>Duamitovirus rhso25</t>
  </si>
  <si>
    <t>Duamitovirus rhso26</t>
  </si>
  <si>
    <t>Duamitovirus rhso27</t>
  </si>
  <si>
    <t>Duamitovirus rhso31</t>
  </si>
  <si>
    <t>Duamitovirus rhso32</t>
  </si>
  <si>
    <t>Duamitovirus rhso34</t>
  </si>
  <si>
    <t>Duamitovirus scho1</t>
  </si>
  <si>
    <t>Duamitovirus scni2</t>
  </si>
  <si>
    <t>Duamitovirus scsc3</t>
  </si>
  <si>
    <t>Duamitovirus scsc6</t>
  </si>
  <si>
    <t>Duamitovirus soch1</t>
  </si>
  <si>
    <t>Duamitovirus tuae1</t>
  </si>
  <si>
    <t>Kvaramitovirus</t>
  </si>
  <si>
    <t>Kvaramitovirus opno7</t>
  </si>
  <si>
    <t>Triamitovirus</t>
  </si>
  <si>
    <t>Triamitovirus cespA</t>
  </si>
  <si>
    <t>Triamitovirus gesu1</t>
  </si>
  <si>
    <t>Triamitovirus rhcl1</t>
  </si>
  <si>
    <t>Triamitovirus rhor1</t>
  </si>
  <si>
    <t>Triamitovirus rhso1</t>
  </si>
  <si>
    <t>Triamitovirus rhso23</t>
  </si>
  <si>
    <t>Triamitovirus rhso30</t>
  </si>
  <si>
    <t>Triamitovirus rhso39</t>
  </si>
  <si>
    <t>Triamitovirus tuex1</t>
  </si>
  <si>
    <t>Unuamitovirus</t>
  </si>
  <si>
    <t>Unuamitovirus agbi1</t>
  </si>
  <si>
    <t>Unuamitovirus alar1</t>
  </si>
  <si>
    <t>Unuamitovirus albr1</t>
  </si>
  <si>
    <t>Unuamitovirus boci2</t>
  </si>
  <si>
    <t>Unuamitovirus boci4</t>
  </si>
  <si>
    <t>Unuamitovirus crri1</t>
  </si>
  <si>
    <t>Unuamitovirus crri2</t>
  </si>
  <si>
    <t>Unuamitovirus crri3</t>
  </si>
  <si>
    <t>Unuamitovirus crri4</t>
  </si>
  <si>
    <t>Unuamitovirus crri5</t>
  </si>
  <si>
    <t>Unuamitovirus diru1</t>
  </si>
  <si>
    <t>Unuamitovirus enmu1</t>
  </si>
  <si>
    <t>Unuamitovirus enmu2</t>
  </si>
  <si>
    <t>Unuamitovirus enmu3</t>
  </si>
  <si>
    <t>Unuamitovirus enmu4</t>
  </si>
  <si>
    <t>Unuamitovirus enmu5</t>
  </si>
  <si>
    <t>Unuamitovirus enmu6</t>
  </si>
  <si>
    <t>Unuamitovirus enmu7</t>
  </si>
  <si>
    <t>Unuamitovirus enmu8</t>
  </si>
  <si>
    <t>Unuamitovirus fuan1</t>
  </si>
  <si>
    <t>Unuamitovirus fuci1</t>
  </si>
  <si>
    <t>Unuamitovirus fuci2</t>
  </si>
  <si>
    <t>Unuamitovirus fuco1</t>
  </si>
  <si>
    <t>Unuamitovirus fugl1</t>
  </si>
  <si>
    <t>Unuamitovirus fuox1</t>
  </si>
  <si>
    <t>Unuamitovirus fupo1</t>
  </si>
  <si>
    <t>Unuamitovirus fupo2</t>
  </si>
  <si>
    <t>Unuamitovirus fuve1</t>
  </si>
  <si>
    <t>Unuamitovirus grab1</t>
  </si>
  <si>
    <t>Unuamitovirus grab2</t>
  </si>
  <si>
    <t>Unuamitovirus hean2</t>
  </si>
  <si>
    <t>Unuamitovirus hemo1</t>
  </si>
  <si>
    <t>Unuamitovirus hyal1</t>
  </si>
  <si>
    <t>Unuamitovirus hyfr1</t>
  </si>
  <si>
    <t>Unuamitovirus lebi1</t>
  </si>
  <si>
    <t>Unuamitovirus nior2</t>
  </si>
  <si>
    <t>Unuamitovirus opno4</t>
  </si>
  <si>
    <t>Unuamitovirus opno5</t>
  </si>
  <si>
    <t>Unuamitovirus opno6</t>
  </si>
  <si>
    <t>Unuamitovirus pust1</t>
  </si>
  <si>
    <t>Unuamitovirus scni1</t>
  </si>
  <si>
    <t>Unuamitovirus scsc1</t>
  </si>
  <si>
    <t>Unuamitovirus scsc2</t>
  </si>
  <si>
    <t>Unuamitovirus scsc4</t>
  </si>
  <si>
    <t>Unuamitovirus scsc7</t>
  </si>
  <si>
    <t>Unuamitovirus thba1</t>
  </si>
  <si>
    <t>Betabotoulivirus</t>
  </si>
  <si>
    <t>Betabotoulivirus alphaplasmoparae</t>
  </si>
  <si>
    <t>Betabotoulivirus betaplasmoparae</t>
  </si>
  <si>
    <t>Betabotoulivirus deltaplasmoparae</t>
  </si>
  <si>
    <t>Betabotoulivirus entoleucae</t>
  </si>
  <si>
    <t>Betabotoulivirus epsilonplasmoparae</t>
  </si>
  <si>
    <t>Betabotoulivirus etaplasmoparae</t>
  </si>
  <si>
    <t>Betabotoulivirus gammaplasmoparae</t>
  </si>
  <si>
    <t>Betabotoulivirus phaeoacremonium</t>
  </si>
  <si>
    <t>Betabotoulivirus thetaplasmoparae</t>
  </si>
  <si>
    <t>Betabotoulivirus zetaplasmoparae</t>
  </si>
  <si>
    <t>Betarhizoulivirus</t>
  </si>
  <si>
    <t>Betarhizoulivirus solani</t>
  </si>
  <si>
    <t>Betascleroulivirus</t>
  </si>
  <si>
    <t>Betascleroulivirus alphaplasmoparae</t>
  </si>
  <si>
    <t>Betascleroulivirus betaplasmoparae</t>
  </si>
  <si>
    <t>Betascleroulivirus botrytidis</t>
  </si>
  <si>
    <t>Betascleroulivirus deltaplasmoparae</t>
  </si>
  <si>
    <t>Betascleroulivirus epsilonplasmoparae</t>
  </si>
  <si>
    <t>Betascleroulivirus etaplasmoparae</t>
  </si>
  <si>
    <t>Betascleroulivirus gammaplasmoparae</t>
  </si>
  <si>
    <t>Betascleroulivirus iotaplasmoparae</t>
  </si>
  <si>
    <t>Betascleroulivirus kappaplasmoparae</t>
  </si>
  <si>
    <t>Betascleroulivirus lambdaplasmoparae</t>
  </si>
  <si>
    <t>Betascleroulivirus miplasmoparae</t>
  </si>
  <si>
    <t>Betascleroulivirus pyriculariae</t>
  </si>
  <si>
    <t>Betascleroulivirus thetaplasmoparae</t>
  </si>
  <si>
    <t>Betascleroulivirus zetaplasmoparae</t>
  </si>
  <si>
    <t>Botoulivirus alphabotrytidis</t>
  </si>
  <si>
    <t>Botoulivirus alphapestalotiopsis</t>
  </si>
  <si>
    <t>Botoulivirus alphaplasmoparae</t>
  </si>
  <si>
    <t>Botoulivirus betabotrytidis</t>
  </si>
  <si>
    <t>Botoulivirus betaplasmoparae</t>
  </si>
  <si>
    <t>Botoulivirus deltabotrytidis</t>
  </si>
  <si>
    <t>Botoulivirus deltaplasmoparae</t>
  </si>
  <si>
    <t>Botoulivirus epsilonbotrytidis</t>
  </si>
  <si>
    <t>Botoulivirus epsilonplasmoparae</t>
  </si>
  <si>
    <t>Botoulivirus etabotrytidis</t>
  </si>
  <si>
    <t>Botoulivirus etaplasmoparae</t>
  </si>
  <si>
    <t>Botoulivirus gammabotrytidis</t>
  </si>
  <si>
    <t>Botoulivirus gammaplasmoparae</t>
  </si>
  <si>
    <t>Botoulivirus iotabotrytidis</t>
  </si>
  <si>
    <t>Botoulivirus kappabotrytidis</t>
  </si>
  <si>
    <t>Botoulivirus thetabotrytidis</t>
  </si>
  <si>
    <t>Botoulivirus zetabotrytidis</t>
  </si>
  <si>
    <t>Botoulivirus zetaplasmoparae</t>
  </si>
  <si>
    <t>Deltascleroulivirus</t>
  </si>
  <si>
    <t>Deltascleroulivirus alphaplasmoparae</t>
  </si>
  <si>
    <t>Deltascleroulivirus betaplasmoparae</t>
  </si>
  <si>
    <t>Deltascleroulivirus botrytidis</t>
  </si>
  <si>
    <t>Epsilonscleroulivirus</t>
  </si>
  <si>
    <t>Epsilonscleroulivirus alphaoryzae</t>
  </si>
  <si>
    <t>Epsilonscleroulivirus plasmoparae</t>
  </si>
  <si>
    <t>Gammascleroulivirus</t>
  </si>
  <si>
    <t>Gammascleroulivirus alphaoryzae</t>
  </si>
  <si>
    <t>Gammascleroulivirus alphaplasmoparae</t>
  </si>
  <si>
    <t>Gammascleroulivirus betaplasmoparae</t>
  </si>
  <si>
    <t>Magoulivirus alphabotrytidis</t>
  </si>
  <si>
    <t>Magoulivirus alphaheterobasidion</t>
  </si>
  <si>
    <t>Magoulivirus alphamacrophominae</t>
  </si>
  <si>
    <t>Magoulivirus alphamellea</t>
  </si>
  <si>
    <t>Magoulivirus alphaodothidea</t>
  </si>
  <si>
    <t>Magoulivirus alphaoryzae</t>
  </si>
  <si>
    <t>Magoulivirus alphaoxyspori</t>
  </si>
  <si>
    <t>Magoulivirus alphaplasmoparae</t>
  </si>
  <si>
    <t>Magoulivirus betabotrytidis</t>
  </si>
  <si>
    <t>Magoulivirus betamacrophominae</t>
  </si>
  <si>
    <t>Magoulivirus betaplasmoparae</t>
  </si>
  <si>
    <t>Magoulivirus deltaplasmoparae</t>
  </si>
  <si>
    <t>Magoulivirus epsilonplasmoparae</t>
  </si>
  <si>
    <t>Magoulivirus etaplasmoparae</t>
  </si>
  <si>
    <t>Magoulivirus fiplasmoparae</t>
  </si>
  <si>
    <t>Magoulivirus gammaplasmoparae</t>
  </si>
  <si>
    <t>Magoulivirus iotaplasmoparae</t>
  </si>
  <si>
    <t>Magoulivirus ipsilonplasmoparae</t>
  </si>
  <si>
    <t>Magoulivirus jiplasmoparae</t>
  </si>
  <si>
    <t>Magoulivirus kappaplasmoparae</t>
  </si>
  <si>
    <t>Magoulivirus lambdaplasmoparae</t>
  </si>
  <si>
    <t>Magoulivirus malus</t>
  </si>
  <si>
    <t>Magoulivirus miplasmoparae</t>
  </si>
  <si>
    <t>Magoulivirus niplasmoparae</t>
  </si>
  <si>
    <t>Magoulivirus omegaplasmoparae</t>
  </si>
  <si>
    <t>Magoulivirus omicronplasmoparae</t>
  </si>
  <si>
    <t>Magoulivirus piplasmoparae</t>
  </si>
  <si>
    <t>Magoulivirus psiplasmoparae</t>
  </si>
  <si>
    <t>Magoulivirus rhoplasmoparae</t>
  </si>
  <si>
    <t>Magoulivirus sigmaplasmoparae</t>
  </si>
  <si>
    <t>Magoulivirus tauplasmoparae</t>
  </si>
  <si>
    <t>Magoulivirus thetaplasmoparae</t>
  </si>
  <si>
    <t>Magoulivirus viticolae</t>
  </si>
  <si>
    <t>Magoulivirus xiplasmoparae</t>
  </si>
  <si>
    <t>Magoulivirus zetaplasmoparae</t>
  </si>
  <si>
    <t>Penoulivirus alphabotrytidis</t>
  </si>
  <si>
    <t>Penoulivirus alphaerysiphe</t>
  </si>
  <si>
    <t>Penoulivirus alphaoryzae</t>
  </si>
  <si>
    <t>Penoulivirus alphaplasmoparae</t>
  </si>
  <si>
    <t>Penoulivirus betabotrytidis</t>
  </si>
  <si>
    <t>Penoulivirus betaplasmoparae</t>
  </si>
  <si>
    <t>Penoulivirus deltaplasmoparae</t>
  </si>
  <si>
    <t>Penoulivirus epsilonplasmoparae</t>
  </si>
  <si>
    <t>Penoulivirus etaplasmoparae</t>
  </si>
  <si>
    <t>Penoulivirus gammabotrytidis</t>
  </si>
  <si>
    <t>Penoulivirus gammaplasmoparae</t>
  </si>
  <si>
    <t>Penoulivirus iotaplasmoparae</t>
  </si>
  <si>
    <t>Penoulivirus macrophominae</t>
  </si>
  <si>
    <t>Penoulivirus malus</t>
  </si>
  <si>
    <t>Penoulivirus thetaplasmoparae</t>
  </si>
  <si>
    <t>Penoulivirus zetaplasmoparae</t>
  </si>
  <si>
    <t>Rhizoulivirus alpharhizoctoniae</t>
  </si>
  <si>
    <t>Rhizoulivirus betarhizoctoniae</t>
  </si>
  <si>
    <t>Rhizoulivirus gammarhizoctoniae</t>
  </si>
  <si>
    <t>Scleroulivirus alphaoryzae</t>
  </si>
  <si>
    <t>Scleroulivirus alphapestalotiopsis</t>
  </si>
  <si>
    <t>Scleroulivirus alphaplasmoparae</t>
  </si>
  <si>
    <t>Scleroulivirus betaplasmoparae</t>
  </si>
  <si>
    <t>Scleroulivirus deltaplasmoparae</t>
  </si>
  <si>
    <t>Scleroulivirus epsilonplasmoparae</t>
  </si>
  <si>
    <t>Scleroulivirus etaplasmoparae</t>
  </si>
  <si>
    <t>Scleroulivirus gammaplasmoparae</t>
  </si>
  <si>
    <t>Scleroulivirus iotaplasmoparae</t>
  </si>
  <si>
    <t>Scleroulivirus kappaplasmoparae</t>
  </si>
  <si>
    <t>Scleroulivirus lambdaplasmoparae</t>
  </si>
  <si>
    <t>Scleroulivirus miplasmoparae</t>
  </si>
  <si>
    <t>Scleroulivirus niplasmoparae</t>
  </si>
  <si>
    <t>Scleroulivirus oidiodendronae</t>
  </si>
  <si>
    <t>Scleroulivirus omicronplasmoparae</t>
  </si>
  <si>
    <t>Scleroulivirus piplasmoparae</t>
  </si>
  <si>
    <t>Scleroulivirus rhoplasmoparae</t>
  </si>
  <si>
    <t>Scleroulivirus sigmaplasmoparae</t>
  </si>
  <si>
    <t>Scleroulivirus thetaplasmoparae</t>
  </si>
  <si>
    <t>Scleroulivirus xiplasmoparae</t>
  </si>
  <si>
    <t>Scleroulivirus zetaplasmoparae</t>
  </si>
  <si>
    <t>Yingvirus beihaiense</t>
  </si>
  <si>
    <t>Yingvirus charybdis</t>
  </si>
  <si>
    <t>Yingvirus hubeiense</t>
  </si>
  <si>
    <t>Yingvirus sanxiaense</t>
  </si>
  <si>
    <t>Yingvirus shaheense</t>
  </si>
  <si>
    <t>Yingvirus wenzhouense</t>
  </si>
  <si>
    <t>Yingvirus wuhanense</t>
  </si>
  <si>
    <t>Yingvirus xinzhouense</t>
  </si>
  <si>
    <t>Ophiovirus citri</t>
  </si>
  <si>
    <t>Ophiovirus freesiae</t>
  </si>
  <si>
    <t>Ophiovirus lactucae</t>
  </si>
  <si>
    <t>Ophiovirus mirafioriense</t>
  </si>
  <si>
    <t>Ophiovirus ranunculi</t>
  </si>
  <si>
    <t>Ophiovirus tulipae</t>
  </si>
  <si>
    <t>Ophiovirus vaccinii</t>
  </si>
  <si>
    <t>Ollusvirus nomadae</t>
  </si>
  <si>
    <t>Ollusvirus oropsyllae</t>
  </si>
  <si>
    <t>Ollusvirus rhagoveliae</t>
  </si>
  <si>
    <t>Ollusvirus shayangense</t>
  </si>
  <si>
    <t>Mivirus belostomatis</t>
  </si>
  <si>
    <t>Nigecruvirus periplanetae</t>
  </si>
  <si>
    <t>Piscichuvirus craterocephali</t>
  </si>
  <si>
    <t>Rochuvirus</t>
  </si>
  <si>
    <t>Rochuvirus chalcocoris</t>
  </si>
  <si>
    <t>Scarabeuvirus supellae</t>
  </si>
  <si>
    <t>Scarabeuvirus trichopriae</t>
  </si>
  <si>
    <t>Vapochuvirus</t>
  </si>
  <si>
    <t>Vapochuvirus trialeurodis</t>
  </si>
  <si>
    <t>Hexartovirus cirripedis</t>
  </si>
  <si>
    <t>Hexartovirus lepeophtheiri</t>
  </si>
  <si>
    <t>Peropuvirus beihaiense</t>
  </si>
  <si>
    <t>Peropuvirus dentati</t>
  </si>
  <si>
    <t>Peropuvirus hubeiense</t>
  </si>
  <si>
    <t>Peropuvirus juli</t>
  </si>
  <si>
    <t>Peropuvirus lignarii</t>
  </si>
  <si>
    <t>Peropuvirus melongenae</t>
  </si>
  <si>
    <t>Peropuvirus pteromali</t>
  </si>
  <si>
    <t>Carbovirus queenslandense</t>
  </si>
  <si>
    <t>Carbovirus tapeti</t>
  </si>
  <si>
    <t>Cultervirus hemicultri</t>
  </si>
  <si>
    <t>Orthobornavirus alphapsittaciforme</t>
  </si>
  <si>
    <t>Orthobornavirus avisaquaticae</t>
  </si>
  <si>
    <t>Orthobornavirus betapsittaciforme</t>
  </si>
  <si>
    <t>Orthobornavirus bornaense</t>
  </si>
  <si>
    <t>Orthobornavirus caenophidiae</t>
  </si>
  <si>
    <t>Orthobornavirus elapsoideae</t>
  </si>
  <si>
    <t>Orthobornavirus estrildidae</t>
  </si>
  <si>
    <t>Orthobornavirus sciuri</t>
  </si>
  <si>
    <t>Orthobornavirus serini</t>
  </si>
  <si>
    <t>Cuevavirus lloviuense</t>
  </si>
  <si>
    <t>Dianlovirus menglaense</t>
  </si>
  <si>
    <t>Oblavirus</t>
  </si>
  <si>
    <t>Oblavirus percae</t>
  </si>
  <si>
    <t>Orthoebolavirus</t>
  </si>
  <si>
    <t>Orthoebolavirus bombaliense</t>
  </si>
  <si>
    <t>Orthoebolavirus bundibugyoense</t>
  </si>
  <si>
    <t>Orthoebolavirus restonense</t>
  </si>
  <si>
    <t>Orthoebolavirus sudanense</t>
  </si>
  <si>
    <t>Orthoebolavirus taiense</t>
  </si>
  <si>
    <t>Orthoebolavirus zairense</t>
  </si>
  <si>
    <t>Orthomarburgvirus</t>
  </si>
  <si>
    <t>Orthomarburgvirus marburgense</t>
  </si>
  <si>
    <t>Striavirus antennarii</t>
  </si>
  <si>
    <t>Tapjovirus</t>
  </si>
  <si>
    <t>Tapjovirus bothropis</t>
  </si>
  <si>
    <t>Thamnovirus kanderense</t>
  </si>
  <si>
    <t>Thamnovirus percae</t>
  </si>
  <si>
    <t>Thamnovirus thamnaconi</t>
  </si>
  <si>
    <t>Acridvirus</t>
  </si>
  <si>
    <t>Acridvirus hangzhouense</t>
  </si>
  <si>
    <t>Aleyavirus</t>
  </si>
  <si>
    <t>Aleyavirus fuyangense</t>
  </si>
  <si>
    <t>Aleybvirus</t>
  </si>
  <si>
    <t>Aleybvirus fuyangense</t>
  </si>
  <si>
    <t>Anicalvirus</t>
  </si>
  <si>
    <t>Anicalvirus hangzhouense</t>
  </si>
  <si>
    <t>Anidravirus</t>
  </si>
  <si>
    <t>Anidravirus hangzhouense</t>
  </si>
  <si>
    <t>Aranavirus</t>
  </si>
  <si>
    <t>Aranavirus guiyangense</t>
  </si>
  <si>
    <t>Aranbvirus</t>
  </si>
  <si>
    <t>Aranbvirus guiyangense</t>
  </si>
  <si>
    <t>Arlivirus arachnae</t>
  </si>
  <si>
    <t>Arlivirus hangzhouense</t>
  </si>
  <si>
    <t>Arlivirus ningboense</t>
  </si>
  <si>
    <t>Avesvirus</t>
  </si>
  <si>
    <t>Avesvirus sinense</t>
  </si>
  <si>
    <t>Copasivirus</t>
  </si>
  <si>
    <t>Copasivirus ivindoense</t>
  </si>
  <si>
    <t>Copasivirus manlyvaleense</t>
  </si>
  <si>
    <t>Cybitervirus</t>
  </si>
  <si>
    <t>Cybitervirus niederense</t>
  </si>
  <si>
    <t>Damravirus</t>
  </si>
  <si>
    <t>Damravirus dentatis</t>
  </si>
  <si>
    <t>Damravirus fushunense</t>
  </si>
  <si>
    <t>Ganiavirus</t>
  </si>
  <si>
    <t>Ganiavirus tachengense</t>
  </si>
  <si>
    <t>Hemipvirus</t>
  </si>
  <si>
    <t>Hemipvirus scuti</t>
  </si>
  <si>
    <t>Hemipvirus veri</t>
  </si>
  <si>
    <t>Leocovirus</t>
  </si>
  <si>
    <t>Leocovirus coleopteris</t>
  </si>
  <si>
    <t>Nematovirus</t>
  </si>
  <si>
    <t>Nematovirus wuchangense</t>
  </si>
  <si>
    <t>Phelinovirus</t>
  </si>
  <si>
    <t>Phelinovirus aphidis</t>
  </si>
  <si>
    <t>Rivapovirus</t>
  </si>
  <si>
    <t>Rivapovirus aleyrodidae</t>
  </si>
  <si>
    <t>Sanstrivirus</t>
  </si>
  <si>
    <t>Sanstrivirus gerridis</t>
  </si>
  <si>
    <t>Stylovirus</t>
  </si>
  <si>
    <t>Stylovirus niederense</t>
  </si>
  <si>
    <t>Supelovirus</t>
  </si>
  <si>
    <t>Supelovirus thailandense</t>
  </si>
  <si>
    <t>Synelinevirus</t>
  </si>
  <si>
    <t>Synelinevirus bonnense</t>
  </si>
  <si>
    <t>Synelinevirus paranaense</t>
  </si>
  <si>
    <t>Usmuvirus</t>
  </si>
  <si>
    <t>Usmuvirus newyorkense</t>
  </si>
  <si>
    <t>Xenophyvirus</t>
  </si>
  <si>
    <t>Xenophyvirus mathesonense</t>
  </si>
  <si>
    <t>Auricularimonavirus armillariae</t>
  </si>
  <si>
    <t>Auricularimonavirus bondarzewiae</t>
  </si>
  <si>
    <t>Botrytimonavirus alphabotrytidis</t>
  </si>
  <si>
    <t>Hubramonavirus fusarii</t>
  </si>
  <si>
    <t>Hubramonavirus golovinomycesae</t>
  </si>
  <si>
    <t>Hubramonavirus vitis</t>
  </si>
  <si>
    <t>Lentimonavirus armillariae</t>
  </si>
  <si>
    <t>Penicillimonavirus alphaerysiphe</t>
  </si>
  <si>
    <t>Penicillimonavirus betaerysiphe</t>
  </si>
  <si>
    <t>Penicillimonavirus gammaerysiphe</t>
  </si>
  <si>
    <t>Penicillimonavirus magnaporthe</t>
  </si>
  <si>
    <t>Plasmopamonavirus erysiphe</t>
  </si>
  <si>
    <t>Sclerotimonavirus alphabotrytidis</t>
  </si>
  <si>
    <t>Sclerotimonavirus asiafusarii</t>
  </si>
  <si>
    <t>Sclerotimonavirus betabotrytidis</t>
  </si>
  <si>
    <t>Sclerotimonavirus cryphonectriae</t>
  </si>
  <si>
    <t>Sclerotimonavirus xinjiangense</t>
  </si>
  <si>
    <t>Sclerotimonavirus yunnanense</t>
  </si>
  <si>
    <t>Berhavirus beihaiense</t>
  </si>
  <si>
    <t>Berhavirus radialis</t>
  </si>
  <si>
    <t>Berhavirus sipunculi</t>
  </si>
  <si>
    <t>Crustavirus beihaiense</t>
  </si>
  <si>
    <t>Crustavirus wenlingense</t>
  </si>
  <si>
    <t>Crustavirus wenzhouense</t>
  </si>
  <si>
    <t>Formivirus angliae</t>
  </si>
  <si>
    <t>Formivirus chalybii</t>
  </si>
  <si>
    <t>Formivirus finnoniae</t>
  </si>
  <si>
    <t>Formivirus gorytis</t>
  </si>
  <si>
    <t>Formivirus pollinis</t>
  </si>
  <si>
    <t>Formivirus solenopsi</t>
  </si>
  <si>
    <t>Nyavirus argatis</t>
  </si>
  <si>
    <t>Nyavirus midwayense</t>
  </si>
  <si>
    <t>Nyavirus nyamaniniense</t>
  </si>
  <si>
    <t>Nyavirus sanjacintoense</t>
  </si>
  <si>
    <t>Nyavirus sierranevadaense</t>
  </si>
  <si>
    <t>Nyavirus somateriae</t>
  </si>
  <si>
    <t>Orinovirus pasiphilae</t>
  </si>
  <si>
    <t>Orinovirus sanyae</t>
  </si>
  <si>
    <t>Socyvirus heteroderae</t>
  </si>
  <si>
    <t>Tapwovirus cesti</t>
  </si>
  <si>
    <t>Metaavulavirus delawarense</t>
  </si>
  <si>
    <t>Metaavulavirus falklandense</t>
  </si>
  <si>
    <t>Metaavulavirus galliense</t>
  </si>
  <si>
    <t>Metaavulavirus hongkongense</t>
  </si>
  <si>
    <t>Metaavulavirus japanense</t>
  </si>
  <si>
    <t>Metaavulavirus kazakhstanense</t>
  </si>
  <si>
    <t>Metaavulavirus kunitachiense</t>
  </si>
  <si>
    <t>Metaavulavirus peixense</t>
  </si>
  <si>
    <t>Metaavulavirus taiwanense</t>
  </si>
  <si>
    <t>Metaavulavirus tennessense</t>
  </si>
  <si>
    <t>Metaavulavirus yucaipaense</t>
  </si>
  <si>
    <t>Orthoavulavirus borisense</t>
  </si>
  <si>
    <t>Orthoavulavirus italiense</t>
  </si>
  <si>
    <t>Orthoavulavirus japanense</t>
  </si>
  <si>
    <t>Orthoavulavirus javaense</t>
  </si>
  <si>
    <t>Orthoavulavirus kopaiticense</t>
  </si>
  <si>
    <t>Orthoavulavirus koreaense</t>
  </si>
  <si>
    <t>Orthoavulavirus newyorkense</t>
  </si>
  <si>
    <t>Orthoavulavirus oneillense</t>
  </si>
  <si>
    <t>Orthoavulavirus upoense</t>
  </si>
  <si>
    <t>Paraavulavirus hongkongense</t>
  </si>
  <si>
    <t>Paraavulavirus wisconsinense</t>
  </si>
  <si>
    <t>Synodonvirus synodi</t>
  </si>
  <si>
    <t>Aquaparamyxovirus oregonense</t>
  </si>
  <si>
    <t>Aquaparamyxovirus salmonis</t>
  </si>
  <si>
    <t>Ferlavirus reptilis</t>
  </si>
  <si>
    <t>Henipavirus cedarense</t>
  </si>
  <si>
    <t>Henipavirus ghanaense</t>
  </si>
  <si>
    <t>Henipavirus hendraense</t>
  </si>
  <si>
    <t>Henipavirus nipahense</t>
  </si>
  <si>
    <t>Jeilongvirus apodemi</t>
  </si>
  <si>
    <t>Jeilongvirus beilongi</t>
  </si>
  <si>
    <t>Jeilongvirus lophuromysis</t>
  </si>
  <si>
    <t>Jeilongvirus mabuense</t>
  </si>
  <si>
    <t>Jeilongvirus myodesis</t>
  </si>
  <si>
    <t>Jeilongvirus queenslandense</t>
  </si>
  <si>
    <t>Jeilongvirus rungweense</t>
  </si>
  <si>
    <t>Jeilongvirus tailamense</t>
  </si>
  <si>
    <t>Morbillivirus canis</t>
  </si>
  <si>
    <t>Morbillivirus caprinae</t>
  </si>
  <si>
    <t>Morbillivirus ceti</t>
  </si>
  <si>
    <t>Morbillivirus felis</t>
  </si>
  <si>
    <t>Morbillivirus hominis</t>
  </si>
  <si>
    <t>Morbillivirus pecoris</t>
  </si>
  <si>
    <t>Morbillivirus phocae</t>
  </si>
  <si>
    <t>Narmovirus mossmanense</t>
  </si>
  <si>
    <t>Narmovirus myodesis</t>
  </si>
  <si>
    <t>Narmovirus narivaense</t>
  </si>
  <si>
    <t>Respirovirus bovis</t>
  </si>
  <si>
    <t>Respirovirus caprae</t>
  </si>
  <si>
    <t>Respirovirus laryngotracheitidis</t>
  </si>
  <si>
    <t>Respirovirus muris</t>
  </si>
  <si>
    <t>Respirovirus pneumoniae</t>
  </si>
  <si>
    <t>Respirovirus ratufae</t>
  </si>
  <si>
    <t>Respirovirus suis</t>
  </si>
  <si>
    <t>Salemvirus salemense</t>
  </si>
  <si>
    <t>Orthorubulavirus hominis</t>
  </si>
  <si>
    <t>Orthorubulavirus laryngotracheitidis</t>
  </si>
  <si>
    <t>Orthorubulavirus mammalis</t>
  </si>
  <si>
    <t>Orthorubulavirus mapueraense</t>
  </si>
  <si>
    <t>Orthorubulavirus parotitidis</t>
  </si>
  <si>
    <t>Orthorubulavirus simiae</t>
  </si>
  <si>
    <t>Orthorubulavirus suis</t>
  </si>
  <si>
    <t>Pararubulavirus accraense</t>
  </si>
  <si>
    <t>Pararubulavirus achimotaense</t>
  </si>
  <si>
    <t>Pararubulavirus cantonense</t>
  </si>
  <si>
    <t>Pararubulavirus guangdongense</t>
  </si>
  <si>
    <t>Pararubulavirus herveyense</t>
  </si>
  <si>
    <t>Pararubulavirus hongkongi</t>
  </si>
  <si>
    <t>Pararubulavirus menangleense</t>
  </si>
  <si>
    <t>Pararubulavirus sosugaense</t>
  </si>
  <si>
    <t>Pararubulavirus teviotense</t>
  </si>
  <si>
    <t>Pararubulavirus tiomanense</t>
  </si>
  <si>
    <t>Cynoglossusvirus cynoglossi</t>
  </si>
  <si>
    <t>Hoplichthysvirus hoplichthysis</t>
  </si>
  <si>
    <t>Scoliodonvirus scoliodontis</t>
  </si>
  <si>
    <t>Metapneumovirus avis</t>
  </si>
  <si>
    <t>Metapneumovirus hominis</t>
  </si>
  <si>
    <t>Orthopneumovirus bovis</t>
  </si>
  <si>
    <t>Orthopneumovirus hominis</t>
  </si>
  <si>
    <t>Orthopneumovirus muris</t>
  </si>
  <si>
    <t>Almendravirus almendras</t>
  </si>
  <si>
    <t>Almendravirus arboretum</t>
  </si>
  <si>
    <t>Almendravirus balsa</t>
  </si>
  <si>
    <t>Almendravirus chico</t>
  </si>
  <si>
    <t>Almendravirus cootbay</t>
  </si>
  <si>
    <t>Almendravirus menghai</t>
  </si>
  <si>
    <t>Alphanemrhavirus bangkok</t>
  </si>
  <si>
    <t>Alphanemrhavirus sodak</t>
  </si>
  <si>
    <t>Alphanemrhavirus xingshan</t>
  </si>
  <si>
    <t>Alphanemrhavirus xinzhou</t>
  </si>
  <si>
    <t>Alphapaprhavirus hubei</t>
  </si>
  <si>
    <t>Alphapaprhavirus pararge</t>
  </si>
  <si>
    <t>Alpharicinrhavirus blanchseco</t>
  </si>
  <si>
    <t>Alpharicinrhavirus bole</t>
  </si>
  <si>
    <t>Alpharicinrhavirus hubei</t>
  </si>
  <si>
    <t>Alpharicinrhavirus wuhan</t>
  </si>
  <si>
    <t>Amplylivirus</t>
  </si>
  <si>
    <t>Amplylivirus cinereus</t>
  </si>
  <si>
    <t>Arurhavirus aruac</t>
  </si>
  <si>
    <t>Arurhavirus inhangapi</t>
  </si>
  <si>
    <t>Arurhavirus santabarbara</t>
  </si>
  <si>
    <t>Arurhavirus xiburema</t>
  </si>
  <si>
    <t>Barhavirus bahia</t>
  </si>
  <si>
    <t>Barhavirus muir</t>
  </si>
  <si>
    <t>Caligrhavirus caligus</t>
  </si>
  <si>
    <t>Caligrhavirus lepeophtheirus</t>
  </si>
  <si>
    <t>Caligrhavirus salmonlouse</t>
  </si>
  <si>
    <t>Cetarhavirus</t>
  </si>
  <si>
    <t>Cetarhavirus laganorhynchus</t>
  </si>
  <si>
    <t>Cetarhavirus phocoena</t>
  </si>
  <si>
    <t>Curiovirus curionopolis</t>
  </si>
  <si>
    <t>Curiovirus iriri</t>
  </si>
  <si>
    <t>Curiovirus itacaiunas</t>
  </si>
  <si>
    <t>Curiovirus rochambeau</t>
  </si>
  <si>
    <t>Ephemerovirus adelaide</t>
  </si>
  <si>
    <t>Ephemerovirus berrimah</t>
  </si>
  <si>
    <t>Ephemerovirus febris</t>
  </si>
  <si>
    <t>Ephemerovirus guangdong</t>
  </si>
  <si>
    <t>Ephemerovirus hayes</t>
  </si>
  <si>
    <t>Ephemerovirus henan</t>
  </si>
  <si>
    <t>Ephemerovirus kent</t>
  </si>
  <si>
    <t>Ephemerovirus kimberley</t>
  </si>
  <si>
    <t>Ephemerovirus koolpinyah</t>
  </si>
  <si>
    <t>Ephemerovirus kotonkan</t>
  </si>
  <si>
    <t>Ephemerovirus obodhiang</t>
  </si>
  <si>
    <t>Ephemerovirus puchong</t>
  </si>
  <si>
    <t>Ephemerovirus yata</t>
  </si>
  <si>
    <t>Hapavirus bangoran</t>
  </si>
  <si>
    <t>Hapavirus flanders</t>
  </si>
  <si>
    <t>Hapavirus graylodge</t>
  </si>
  <si>
    <t>Hapavirus hartpark</t>
  </si>
  <si>
    <t>Hapavirus holmes</t>
  </si>
  <si>
    <t>Hapavirus joinjakaka</t>
  </si>
  <si>
    <t>Hapavirus kamese</t>
  </si>
  <si>
    <t>Hapavirus lajoya</t>
  </si>
  <si>
    <t>Hapavirus landjia</t>
  </si>
  <si>
    <t>Hapavirus manitoba</t>
  </si>
  <si>
    <t>Hapavirus marco</t>
  </si>
  <si>
    <t>Hapavirus mosqueiro</t>
  </si>
  <si>
    <t>Hapavirus mossuril</t>
  </si>
  <si>
    <t>Hapavirus ngaingan</t>
  </si>
  <si>
    <t>Hapavirus ord</t>
  </si>
  <si>
    <t>Hapavirus parry</t>
  </si>
  <si>
    <t>Hapavirus porton</t>
  </si>
  <si>
    <t>Hapavirus wongabel</t>
  </si>
  <si>
    <t>Ledantevirus barur</t>
  </si>
  <si>
    <t>Ledantevirus bughendera</t>
  </si>
  <si>
    <t>Ledantevirus elgon</t>
  </si>
  <si>
    <t>Ledantevirus fikirini</t>
  </si>
  <si>
    <t>Ledantevirus fukuoka</t>
  </si>
  <si>
    <t>Ledantevirus kanyawara</t>
  </si>
  <si>
    <t>Ledantevirus kern</t>
  </si>
  <si>
    <t>Ledantevirus keuraliba</t>
  </si>
  <si>
    <t>Ledantevirus kolente</t>
  </si>
  <si>
    <t>Ledantevirus kumasi</t>
  </si>
  <si>
    <t>Ledantevirus ledantec</t>
  </si>
  <si>
    <t>Ledantevirus longquan</t>
  </si>
  <si>
    <t>Ledantevirus nishimuro</t>
  </si>
  <si>
    <t>Ledantevirus nkolbisson</t>
  </si>
  <si>
    <t>Ledantevirus oita</t>
  </si>
  <si>
    <t>Ledantevirus taiyi</t>
  </si>
  <si>
    <t>Ledantevirus vaprio</t>
  </si>
  <si>
    <t>Ledantevirus wenzhou</t>
  </si>
  <si>
    <t>Ledantevirus wuhan</t>
  </si>
  <si>
    <t>Ledantevirus yongjia</t>
  </si>
  <si>
    <t>Lostrhavirus hyalomma</t>
  </si>
  <si>
    <t>Lostrhavirus lonestar</t>
  </si>
  <si>
    <t>Lyssavirus aravan</t>
  </si>
  <si>
    <t>Lyssavirus australis</t>
  </si>
  <si>
    <t>Lyssavirus bokeloh</t>
  </si>
  <si>
    <t>Lyssavirus caucasicus</t>
  </si>
  <si>
    <t>Lyssavirus duvenhage</t>
  </si>
  <si>
    <t>Lyssavirus formosa</t>
  </si>
  <si>
    <t>Lyssavirus gannoruwa</t>
  </si>
  <si>
    <t>Lyssavirus hamburg</t>
  </si>
  <si>
    <t>Lyssavirus helsinki</t>
  </si>
  <si>
    <t>Lyssavirus ikoma</t>
  </si>
  <si>
    <t>Lyssavirus irkut</t>
  </si>
  <si>
    <t>Lyssavirus khujand</t>
  </si>
  <si>
    <t>Lyssavirus lagos</t>
  </si>
  <si>
    <t>Lyssavirus lleida</t>
  </si>
  <si>
    <t>Lyssavirus mokola</t>
  </si>
  <si>
    <t>Lyssavirus rabies</t>
  </si>
  <si>
    <t>Lyssavirus shimoni</t>
  </si>
  <si>
    <t>Merhavirus merida</t>
  </si>
  <si>
    <t>Merhavirus tritaeniorhynchus</t>
  </si>
  <si>
    <t>Mousrhavirus moussa</t>
  </si>
  <si>
    <t>Ohlsrhavirus angeles</t>
  </si>
  <si>
    <t>Ohlsrhavirus culex</t>
  </si>
  <si>
    <t>Ohlsrhavirus lobeira</t>
  </si>
  <si>
    <t>Ohlsrhavirus northcreek</t>
  </si>
  <si>
    <t>Ohlsrhavirus ohlsdorf</t>
  </si>
  <si>
    <t>Ohlsrhavirus pseudovishnui</t>
  </si>
  <si>
    <t>Ohlsrhavirus riverside</t>
  </si>
  <si>
    <t>Ohlsrhavirus tongilchon</t>
  </si>
  <si>
    <t>Perhabdovirus anguilla</t>
  </si>
  <si>
    <t>Perhabdovirus leman</t>
  </si>
  <si>
    <t>Perhabdovirus perca</t>
  </si>
  <si>
    <t>Perhabdovirus trutta</t>
  </si>
  <si>
    <t>Replylivirus</t>
  </si>
  <si>
    <t>Replylivirus allogus</t>
  </si>
  <si>
    <t>Sawgrhavirus connecticut</t>
  </si>
  <si>
    <t>Sawgrhavirus longisland</t>
  </si>
  <si>
    <t>Sawgrhavirus minto</t>
  </si>
  <si>
    <t>Sawgrhavirus sawgrass</t>
  </si>
  <si>
    <t>Scophrhavirus</t>
  </si>
  <si>
    <t>Scophrhavirus chanodychthys</t>
  </si>
  <si>
    <t>Scophrhavirus maximus</t>
  </si>
  <si>
    <t>Sigmavirus affinis</t>
  </si>
  <si>
    <t>Sigmavirus ananassae</t>
  </si>
  <si>
    <t>Sigmavirus capitata</t>
  </si>
  <si>
    <t>Sigmavirus domestica</t>
  </si>
  <si>
    <t>Sigmavirus hippoboscid</t>
  </si>
  <si>
    <t>Sigmavirus hubei</t>
  </si>
  <si>
    <t>Sigmavirus immigrans</t>
  </si>
  <si>
    <t>Sigmavirus lousefly</t>
  </si>
  <si>
    <t>Sigmavirus melanogaster</t>
  </si>
  <si>
    <t>Sigmavirus muscina</t>
  </si>
  <si>
    <t>Sigmavirus myga</t>
  </si>
  <si>
    <t>Sigmavirus obscura</t>
  </si>
  <si>
    <t>Sigmavirus shayang</t>
  </si>
  <si>
    <t>Sigmavirus sichuan</t>
  </si>
  <si>
    <t>Sigmavirus sturtevanti</t>
  </si>
  <si>
    <t>Sigmavirus tristis</t>
  </si>
  <si>
    <t>Sigmavirus tuva</t>
  </si>
  <si>
    <t>Sigmavirus wuhan</t>
  </si>
  <si>
    <t>Sigmavirus ying</t>
  </si>
  <si>
    <t>Sigmavirus yushu</t>
  </si>
  <si>
    <t>Siniperhavirus</t>
  </si>
  <si>
    <t>Siniperhavirus chuatsi</t>
  </si>
  <si>
    <t>Siniperhavirus zoarces</t>
  </si>
  <si>
    <t>Sprivivirus cyprinus</t>
  </si>
  <si>
    <t>Sprivivirus esox</t>
  </si>
  <si>
    <t>Sripuvirus almpiwar</t>
  </si>
  <si>
    <t>Sripuvirus chaco</t>
  </si>
  <si>
    <t>Sripuvirus charleville</t>
  </si>
  <si>
    <t>Sripuvirus cuiaba</t>
  </si>
  <si>
    <t>Sripuvirus hainan</t>
  </si>
  <si>
    <t>Sripuvirus madureira</t>
  </si>
  <si>
    <t>Sripuvirus niakha</t>
  </si>
  <si>
    <t>Sripuvirus sripur</t>
  </si>
  <si>
    <t>Sunrhavirus alexandria</t>
  </si>
  <si>
    <t>Sunrhavirus bimbo</t>
  </si>
  <si>
    <t>Sunrhavirus boteke</t>
  </si>
  <si>
    <t>Sunrhavirus dillard</t>
  </si>
  <si>
    <t>Sunrhavirus garba</t>
  </si>
  <si>
    <t>Sunrhavirus harrison</t>
  </si>
  <si>
    <t>Sunrhavirus kolongo</t>
  </si>
  <si>
    <t>Sunrhavirus kwatta</t>
  </si>
  <si>
    <t>Sunrhavirus matariya</t>
  </si>
  <si>
    <t>Sunrhavirus nasoule</t>
  </si>
  <si>
    <t>Sunrhavirus oakvale</t>
  </si>
  <si>
    <t>Sunrhavirus ouango</t>
  </si>
  <si>
    <t>Sunrhavirus sandjimba</t>
  </si>
  <si>
    <t>Sunrhavirus sunguru</t>
  </si>
  <si>
    <t>Sunrhavirus walkabout</t>
  </si>
  <si>
    <t>Thriprhavirus</t>
  </si>
  <si>
    <t>Thriprhavirus intonsa</t>
  </si>
  <si>
    <t>Thriprhavirus tabaci</t>
  </si>
  <si>
    <t>Tibrovirus alphaekpoma</t>
  </si>
  <si>
    <t>Tibrovirus beatrice</t>
  </si>
  <si>
    <t>Tibrovirus betaekpoma</t>
  </si>
  <si>
    <t>Tibrovirus coastal</t>
  </si>
  <si>
    <t>Tibrovirus congo</t>
  </si>
  <si>
    <t>Tibrovirus mundri</t>
  </si>
  <si>
    <t>Tibrovirus sweetwater</t>
  </si>
  <si>
    <t>Tibrovirus tibrogargan</t>
  </si>
  <si>
    <t>Tupavirus durham</t>
  </si>
  <si>
    <t>Tupavirus klamath</t>
  </si>
  <si>
    <t>Tupavirus laniger</t>
  </si>
  <si>
    <t>Tupavirus pearsonii</t>
  </si>
  <si>
    <t>Tupavirus tupaia</t>
  </si>
  <si>
    <t>Vesiculovirus alagoas</t>
  </si>
  <si>
    <t>Vesiculovirus bogdanovac</t>
  </si>
  <si>
    <t>Vesiculovirus carajas</t>
  </si>
  <si>
    <t>Vesiculovirus chandipura</t>
  </si>
  <si>
    <t>Vesiculovirus cocal</t>
  </si>
  <si>
    <t>Vesiculovirus eptesicus</t>
  </si>
  <si>
    <t>Vesiculovirus indiana</t>
  </si>
  <si>
    <t>Vesiculovirus isfahan</t>
  </si>
  <si>
    <t>Vesiculovirus jurona</t>
  </si>
  <si>
    <t>Vesiculovirus malpais</t>
  </si>
  <si>
    <t>Vesiculovirus maraba</t>
  </si>
  <si>
    <t>Vesiculovirus mediterranean</t>
  </si>
  <si>
    <t>Vesiculovirus mejal</t>
  </si>
  <si>
    <t>Vesiculovirus morreton</t>
  </si>
  <si>
    <t>Vesiculovirus newjersey</t>
  </si>
  <si>
    <t>Vesiculovirus perinet</t>
  </si>
  <si>
    <t>Vesiculovirus piry</t>
  </si>
  <si>
    <t>Vesiculovirus radi</t>
  </si>
  <si>
    <t>Vesiculovirus rhinolophus</t>
  </si>
  <si>
    <t>Vesiculovirus wufeng</t>
  </si>
  <si>
    <t>Vesiculovirus yinshui</t>
  </si>
  <si>
    <t>Zarhavirus zahedan</t>
  </si>
  <si>
    <t>Alphanucleorhabdovirus agavis</t>
  </si>
  <si>
    <t>Alphanucleorhabdovirus artemisiae</t>
  </si>
  <si>
    <t>Alphanucleorhabdovirus colocasiae</t>
  </si>
  <si>
    <t>Alphanucleorhabdovirus constrictae</t>
  </si>
  <si>
    <t>Alphanucleorhabdovirus joa</t>
  </si>
  <si>
    <t>Alphanucleorhabdovirus maydis</t>
  </si>
  <si>
    <t>Alphanucleorhabdovirus melongenae</t>
  </si>
  <si>
    <t>Alphanucleorhabdovirus morogoromaydis</t>
  </si>
  <si>
    <t>Alphanucleorhabdovirus oryzae</t>
  </si>
  <si>
    <t>Alphanucleorhabdovirus physostegiae</t>
  </si>
  <si>
    <t>Alphanucleorhabdovirus pruni</t>
  </si>
  <si>
    <t>Alphanucleorhabdovirus tritici</t>
  </si>
  <si>
    <t>Alphanucleorhabdovirus tuberosum</t>
  </si>
  <si>
    <t>Alphanucleorhabdovirus zeairanense</t>
  </si>
  <si>
    <t>Betanucleorhabdovirus asclepiadis</t>
  </si>
  <si>
    <t>Betanucleorhabdovirus bacopae</t>
  </si>
  <si>
    <t>Betanucleorhabdovirus cardamomi</t>
  </si>
  <si>
    <t>Betanucleorhabdovirus cnidii</t>
  </si>
  <si>
    <t>Betanucleorhabdovirus daturae</t>
  </si>
  <si>
    <t>Betanucleorhabdovirus loti</t>
  </si>
  <si>
    <t>Betanucleorhabdovirus mali</t>
  </si>
  <si>
    <t>Betanucleorhabdovirus medicagonis</t>
  </si>
  <si>
    <t>Betanucleorhabdovirus plectranthi</t>
  </si>
  <si>
    <t>Betanucleorhabdovirus retesonchi</t>
  </si>
  <si>
    <t>Betanucleorhabdovirus rhododendri</t>
  </si>
  <si>
    <t>Betanucleorhabdovirus ribes</t>
  </si>
  <si>
    <t>Betanucleorhabdovirus venasonchi</t>
  </si>
  <si>
    <t>Betanucleorhabdovirus zanthoxyli</t>
  </si>
  <si>
    <t>Cytorhabdovirus actinidiae</t>
  </si>
  <si>
    <t>Cytorhabdovirus alphatrifolii</t>
  </si>
  <si>
    <t>Cytorhabdovirus alphawuhaninsectum</t>
  </si>
  <si>
    <t>Cytorhabdovirus anthurii</t>
  </si>
  <si>
    <t>Cytorhabdovirus asclepiadis</t>
  </si>
  <si>
    <t>Cytorhabdovirus bacopae</t>
  </si>
  <si>
    <t>Cytorhabdovirus bemisiae</t>
  </si>
  <si>
    <t>Cytorhabdovirus betatrifolii</t>
  </si>
  <si>
    <t>Cytorhabdovirus betawuhaninsectum</t>
  </si>
  <si>
    <t>Cytorhabdovirus brassicae</t>
  </si>
  <si>
    <t>Cytorhabdovirus brassicicolae</t>
  </si>
  <si>
    <t>Cytorhabdovirus broussonetiae</t>
  </si>
  <si>
    <t>Cytorhabdovirus caricae</t>
  </si>
  <si>
    <t>Cytorhabdovirus chrysanthemi</t>
  </si>
  <si>
    <t>Cytorhabdovirus colocasiae</t>
  </si>
  <si>
    <t>Cytorhabdovirus cucurbitae</t>
  </si>
  <si>
    <t>Cytorhabdovirus festucae</t>
  </si>
  <si>
    <t>Cytorhabdovirus flaviyerbamate</t>
  </si>
  <si>
    <t>Cytorhabdovirus fragariae</t>
  </si>
  <si>
    <t>Cytorhabdovirus fragariarugosus</t>
  </si>
  <si>
    <t>Cytorhabdovirus gammawuhaninsectum</t>
  </si>
  <si>
    <t>Cytorhabdovirus glehniae</t>
  </si>
  <si>
    <t>Cytorhabdovirus gramineae</t>
  </si>
  <si>
    <t>Cytorhabdovirus hordei</t>
  </si>
  <si>
    <t>Cytorhabdovirus kenyatuberosum</t>
  </si>
  <si>
    <t>Cytorhabdovirus lactucamaculante</t>
  </si>
  <si>
    <t>Cytorhabdovirus lactucanecante</t>
  </si>
  <si>
    <t>Cytorhabdovirus lycopersici</t>
  </si>
  <si>
    <t>Cytorhabdovirus maydis</t>
  </si>
  <si>
    <t>Cytorhabdovirus maysflavostriatis</t>
  </si>
  <si>
    <t>Cytorhabdovirus medicagonis</t>
  </si>
  <si>
    <t>Cytorhabdovirus nymphaeae</t>
  </si>
  <si>
    <t>Cytorhabdovirus orchidaceae</t>
  </si>
  <si>
    <t>Cytorhabdovirus oryzae</t>
  </si>
  <si>
    <t>Cytorhabdovirus persimmon</t>
  </si>
  <si>
    <t>Cytorhabdovirus rosae</t>
  </si>
  <si>
    <t>Cytorhabdovirus rubus</t>
  </si>
  <si>
    <t>Cytorhabdovirus sonchi</t>
  </si>
  <si>
    <t>Cytorhabdovirus tagetis</t>
  </si>
  <si>
    <t>Cytorhabdovirus trachyspermi</t>
  </si>
  <si>
    <t>Cytorhabdovirus trichosanthei</t>
  </si>
  <si>
    <t>Cytorhabdovirus tritici</t>
  </si>
  <si>
    <t>Cytorhabdovirus yerbamate</t>
  </si>
  <si>
    <t>Dichorhavirus citri</t>
  </si>
  <si>
    <t>Dichorhavirus clerodendri</t>
  </si>
  <si>
    <t>Dichorhavirus coffeae</t>
  </si>
  <si>
    <t>Dichorhavirus leprosis</t>
  </si>
  <si>
    <t>Dichorhavirus orchidaceae</t>
  </si>
  <si>
    <t>Gammanucleorhabdovirus maydis</t>
  </si>
  <si>
    <t>Varicosavirus allii</t>
  </si>
  <si>
    <t>Varicosavirus alopecuri</t>
  </si>
  <si>
    <t>Varicosavirus ipomoeae</t>
  </si>
  <si>
    <t>Varicosavirus lactucae</t>
  </si>
  <si>
    <t>Varicosavirus lolii</t>
  </si>
  <si>
    <t>Varicosavirus melampyri</t>
  </si>
  <si>
    <t>Varicosavirus trifolii</t>
  </si>
  <si>
    <t>Varicosavirus vitis</t>
  </si>
  <si>
    <t>Varicosavirus xinjiangense</t>
  </si>
  <si>
    <t>Varicosavirus zosterae</t>
  </si>
  <si>
    <t>Novirhabdovirus hirame</t>
  </si>
  <si>
    <t>Novirhabdovirus piscine</t>
  </si>
  <si>
    <t>Novirhabdovirus salmonid</t>
  </si>
  <si>
    <t>Novirhabdovirus snakehead</t>
  </si>
  <si>
    <t>Alphacrustrhavirus wenling</t>
  </si>
  <si>
    <t>Alphacrustrhavirus zhejiang</t>
  </si>
  <si>
    <t>Alphadrosrhavirus hubei</t>
  </si>
  <si>
    <t>Alphadrosrhavirus shayang</t>
  </si>
  <si>
    <t>Alphahymrhavirus cinereus</t>
  </si>
  <si>
    <t>Alphahymrhavirus hirtum</t>
  </si>
  <si>
    <t>Alphahymrhavirus neglectus</t>
  </si>
  <si>
    <t>Alphahymrhavirus radians</t>
  </si>
  <si>
    <t>Betahymrhavirus austriaca</t>
  </si>
  <si>
    <t>Betahymrhavirus heterodontonyx</t>
  </si>
  <si>
    <t>Betanemrhavirus hubei</t>
  </si>
  <si>
    <t>Betanemrhavirus shayang</t>
  </si>
  <si>
    <t>Betapaprhavirus frugiperda</t>
  </si>
  <si>
    <t>Betapaprhavirus sylvina</t>
  </si>
  <si>
    <t>Betaricinrhavirus chimay</t>
  </si>
  <si>
    <t>Betaricinrhavirus scapularis</t>
  </si>
  <si>
    <t>Sunshinevirus reptilis</t>
  </si>
  <si>
    <t>Alasvirus</t>
  </si>
  <si>
    <t>Alasvirus muscae</t>
  </si>
  <si>
    <t>Anphevirus xinchengense</t>
  </si>
  <si>
    <t>Doupovirus</t>
  </si>
  <si>
    <t>Doupovirus australiaense</t>
  </si>
  <si>
    <t>Draselvirus</t>
  </si>
  <si>
    <t>Draselvirus dentati</t>
  </si>
  <si>
    <t>Drunivirus</t>
  </si>
  <si>
    <t>Drunivirus chambonense</t>
  </si>
  <si>
    <t>Gambievirus</t>
  </si>
  <si>
    <t>Gambievirus bolahunense</t>
  </si>
  <si>
    <t>Gambievirus senegalense</t>
  </si>
  <si>
    <t>Gylbovirus</t>
  </si>
  <si>
    <t>Gylbovirus aagae</t>
  </si>
  <si>
    <t>Hoptevirus</t>
  </si>
  <si>
    <t>Hoptevirus orthopteris</t>
  </si>
  <si>
    <t>Madalivirus</t>
  </si>
  <si>
    <t>Madalivirus amapaense</t>
  </si>
  <si>
    <t>Madalivirus amazonaense</t>
  </si>
  <si>
    <t>Pelmivirus</t>
  </si>
  <si>
    <t>Pelmivirus eymattense</t>
  </si>
  <si>
    <t>Triniovirus</t>
  </si>
  <si>
    <t>Triniovirus yonagoense</t>
  </si>
  <si>
    <t>Ulegvirus</t>
  </si>
  <si>
    <t>Ulegvirus freckenfeldense</t>
  </si>
  <si>
    <t>Yuyuevirus beihaiense</t>
  </si>
  <si>
    <t>Yuyuevirus shaheense</t>
  </si>
  <si>
    <t>Antennavirus hirsutum</t>
  </si>
  <si>
    <t>Antennavirus salmonis</t>
  </si>
  <si>
    <t>Antennavirus striale</t>
  </si>
  <si>
    <t>Hartmanivirus brazilense</t>
  </si>
  <si>
    <t>Hartmanivirus haartmani</t>
  </si>
  <si>
    <t>Hartmanivirus helvetiae</t>
  </si>
  <si>
    <t>Hartmanivirus patriae</t>
  </si>
  <si>
    <t>Hartmanivirus quadrati</t>
  </si>
  <si>
    <t>Hartmanivirus scholae</t>
  </si>
  <si>
    <t>Hartmanivirus turici</t>
  </si>
  <si>
    <t>Hartmanivirus unni</t>
  </si>
  <si>
    <t>Innmovirus</t>
  </si>
  <si>
    <t>Innmovirus hailarense</t>
  </si>
  <si>
    <t>Mammarenavirus alashanense</t>
  </si>
  <si>
    <t>Mammarenavirus allpahuayoense</t>
  </si>
  <si>
    <t>Mammarenavirus amapariense</t>
  </si>
  <si>
    <t>Mammarenavirus aporeense</t>
  </si>
  <si>
    <t>Mammarenavirus bearense</t>
  </si>
  <si>
    <t>Mammarenavirus bituense</t>
  </si>
  <si>
    <t>Mammarenavirus brazilense</t>
  </si>
  <si>
    <t>Mammarenavirus caliense</t>
  </si>
  <si>
    <t>Mammarenavirus cameroonense</t>
  </si>
  <si>
    <t>Mammarenavirus chapareense</t>
  </si>
  <si>
    <t>Mammarenavirus choriomeningitidis</t>
  </si>
  <si>
    <t>Mammarenavirus cupixiense</t>
  </si>
  <si>
    <t>Mammarenavirus dhati-welelense</t>
  </si>
  <si>
    <t>Mammarenavirus flexalense</t>
  </si>
  <si>
    <t>Mammarenavirus gairoense</t>
  </si>
  <si>
    <t>Mammarenavirus guanaritoense</t>
  </si>
  <si>
    <t>Mammarenavirus ippyense</t>
  </si>
  <si>
    <t>Mammarenavirus juninense</t>
  </si>
  <si>
    <t>Mammarenavirus kitaleense</t>
  </si>
  <si>
    <t>Mammarenavirus kwanzaense</t>
  </si>
  <si>
    <t>Mammarenavirus lassaense</t>
  </si>
  <si>
    <t>Mammarenavirus latinum</t>
  </si>
  <si>
    <t>Mammarenavirus lijiangense</t>
  </si>
  <si>
    <t>Mammarenavirus loeiense</t>
  </si>
  <si>
    <t>Mammarenavirus lujoense</t>
  </si>
  <si>
    <t>Mammarenavirus lunaense</t>
  </si>
  <si>
    <t>Mammarenavirus lunkense</t>
  </si>
  <si>
    <t>Mammarenavirus machupoense</t>
  </si>
  <si>
    <t>Mammarenavirus marientalense</t>
  </si>
  <si>
    <t>Mammarenavirus merinoense</t>
  </si>
  <si>
    <t>Mammarenavirus mopeiaense</t>
  </si>
  <si>
    <t>Mammarenavirus okahandjaense</t>
  </si>
  <si>
    <t>Mammarenavirus oliverosense</t>
  </si>
  <si>
    <t>Mammarenavirus paranaense</t>
  </si>
  <si>
    <t>Mammarenavirus piritalense</t>
  </si>
  <si>
    <t>Mammarenavirus praomyidis</t>
  </si>
  <si>
    <t>Mammarenavirus ryukyuense</t>
  </si>
  <si>
    <t>Mammarenavirus solweziense</t>
  </si>
  <si>
    <t>Mammarenavirus tacaribeense</t>
  </si>
  <si>
    <t>Mammarenavirus tamiamiense</t>
  </si>
  <si>
    <t>Mammarenavirus wenzhouense</t>
  </si>
  <si>
    <t>Mammarenavirus whitewaterense</t>
  </si>
  <si>
    <t>Mammarenavirus xapuriense</t>
  </si>
  <si>
    <t>Reptarenavirus aurei</t>
  </si>
  <si>
    <t>Reptarenavirus californiae</t>
  </si>
  <si>
    <t>Reptarenavirus commune</t>
  </si>
  <si>
    <t>Reptarenavirus giessenae</t>
  </si>
  <si>
    <t>Reptarenavirus rotterdamense</t>
  </si>
  <si>
    <t>Discoviridae</t>
  </si>
  <si>
    <t>Orthodiscovirus</t>
  </si>
  <si>
    <t>Orthodiscovirus coniellae</t>
  </si>
  <si>
    <t>Orthodiscovirus hispaniae</t>
  </si>
  <si>
    <t>Orthodiscovirus iberiae</t>
  </si>
  <si>
    <t>Orthodiscovirus missouriense</t>
  </si>
  <si>
    <t>Orthodiscovirus penicillii</t>
  </si>
  <si>
    <t>Emaravirus aceris</t>
  </si>
  <si>
    <t>Emaravirus actinidiae</t>
  </si>
  <si>
    <t>Emaravirus cajani</t>
  </si>
  <si>
    <t>Emaravirus camelliae</t>
  </si>
  <si>
    <t>Emaravirus cercidis</t>
  </si>
  <si>
    <t>Emaravirus chrysanthemi</t>
  </si>
  <si>
    <t>Emaravirus cordylinae</t>
  </si>
  <si>
    <t>Emaravirus corynocarpi</t>
  </si>
  <si>
    <t>Emaravirus fici</t>
  </si>
  <si>
    <t>Emaravirus fraxini</t>
  </si>
  <si>
    <t>Emaravirus idaeobati</t>
  </si>
  <si>
    <t>Emaravirus illicii</t>
  </si>
  <si>
    <t>Emaravirus kiwii</t>
  </si>
  <si>
    <t>Emaravirus parkinsoniae</t>
  </si>
  <si>
    <t>Emaravirus perillae</t>
  </si>
  <si>
    <t>Emaravirus pistaciae</t>
  </si>
  <si>
    <t>Emaravirus populi</t>
  </si>
  <si>
    <t>Emaravirus pyri</t>
  </si>
  <si>
    <t>Emaravirus quercus</t>
  </si>
  <si>
    <t>Emaravirus rosae</t>
  </si>
  <si>
    <t>Emaravirus rubi</t>
  </si>
  <si>
    <t>Emaravirus sorbi</t>
  </si>
  <si>
    <t>Emaravirus syringae</t>
  </si>
  <si>
    <t>Emaravirus toordali</t>
  </si>
  <si>
    <t>Emaravirus tritici</t>
  </si>
  <si>
    <t>Emaravirus verbanni</t>
  </si>
  <si>
    <t>Emaravirus visci</t>
  </si>
  <si>
    <t>Emaravirus vitis</t>
  </si>
  <si>
    <t>Emaravirus ziziphi</t>
  </si>
  <si>
    <t>Actinovirus bernense</t>
  </si>
  <si>
    <t>Actinovirus halieutaeae</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</si>
  <si>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</si>
  <si>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</si>
  <si>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</si>
  <si>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</si>
  <si>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</si>
  <si>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</si>
  <si>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</si>
  <si>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</si>
  <si>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</si>
  <si>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</si>
  <si>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</si>
  <si>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</si>
  <si>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</si>
  <si>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boweense</t>
  </si>
  <si>
    <t>Orthohantavirus brugesense</t>
  </si>
  <si>
    <t>Orthohantavirus caobangense</t>
  </si>
  <si>
    <t>Orthohantavirus chocloense</t>
  </si>
  <si>
    <t>Orthohantavirus dabieshanense</t>
  </si>
  <si>
    <t>Orthohantavirus delgaditoense</t>
  </si>
  <si>
    <t>Orthohantavirus dobravaense</t>
  </si>
  <si>
    <t>Orthohantavirus fugongense</t>
  </si>
  <si>
    <t>Orthohantavirus hantanense</t>
  </si>
  <si>
    <t>Orthohantavirus jejuense</t>
  </si>
  <si>
    <t>Orthohantavirus kenkemeense</t>
  </si>
  <si>
    <t>Orthohantavirus khabarovskense</t>
  </si>
  <si>
    <t>Orthohantavirus luxiense</t>
  </si>
  <si>
    <t>Orthohantavirus maporalense</t>
  </si>
  <si>
    <t>Orthohantavirus montanoense</t>
  </si>
  <si>
    <t>Orthohantavirus nigrorivense</t>
  </si>
  <si>
    <t>Orthohantavirus prospectense</t>
  </si>
  <si>
    <t>Orthohantavirus puumalaense</t>
  </si>
  <si>
    <t>Orthohantavirus rockportense</t>
  </si>
  <si>
    <t>Orthohantavirus sangassouense</t>
  </si>
  <si>
    <t>Orthohantavirus seoulense</t>
  </si>
  <si>
    <t>Orthohantavirus sinnombreense</t>
  </si>
  <si>
    <t>Orthohantavirus tatenalense</t>
  </si>
  <si>
    <t>Orthohantavirus thailandense</t>
  </si>
  <si>
    <t>Orthohantavirus tigrayense</t>
  </si>
  <si>
    <t>Orthohantavirus tulaense</t>
  </si>
  <si>
    <t>Thottimvirus imjinense</t>
  </si>
  <si>
    <t>Thottimvirus thottapalayamense</t>
  </si>
  <si>
    <t>Reptillovirus hemidactyli</t>
  </si>
  <si>
    <t>Shilevirus leptomonadis</t>
  </si>
  <si>
    <t>Hubavirus myriapedis</t>
  </si>
  <si>
    <t>Norwavirus beijiense</t>
  </si>
  <si>
    <t>Norwavirus grotenhoutense</t>
  </si>
  <si>
    <t>Ocetevirus paratemnopterygis</t>
  </si>
  <si>
    <t>Orthonairovirus abuhammadense</t>
  </si>
  <si>
    <t>Orthonairovirus abuminaense</t>
  </si>
  <si>
    <t>Orthonairovirus amblyommae</t>
  </si>
  <si>
    <t>Orthonairovirus artashatense</t>
  </si>
  <si>
    <t>Orthonairovirus australiaense</t>
  </si>
  <si>
    <t>Orthonairovirus avalonense</t>
  </si>
  <si>
    <t>Orthonairovirus bandiaense</t>
  </si>
  <si>
    <t>Orthonairovirus buranaense</t>
  </si>
  <si>
    <t>Orthonairovirus bushkeyense</t>
  </si>
  <si>
    <t>Orthonairovirus chimense</t>
  </si>
  <si>
    <t>Orthonairovirus clomorense</t>
  </si>
  <si>
    <t>Orthonairovirus dermacentoris</t>
  </si>
  <si>
    <t>Orthonairovirus dugbeense</t>
  </si>
  <si>
    <t>Orthonairovirus erveense</t>
  </si>
  <si>
    <t>Orthonairovirus esteroense</t>
  </si>
  <si>
    <t>Orthonairovirus gossasense</t>
  </si>
  <si>
    <t>Orthonairovirus haemorrhagiae</t>
  </si>
  <si>
    <t>Orthonairovirus hazaraense</t>
  </si>
  <si>
    <t>Orthonairovirus huangpiense</t>
  </si>
  <si>
    <t>Orthonairovirus issykkulense</t>
  </si>
  <si>
    <t>Orthonairovirus japonicum</t>
  </si>
  <si>
    <t>Orthonairovirus kasokeroense</t>
  </si>
  <si>
    <t>Orthonairovirus keterehense</t>
  </si>
  <si>
    <t>Orthonairovirus khani</t>
  </si>
  <si>
    <t>Orthonairovirus lusakaense</t>
  </si>
  <si>
    <t>Orthonairovirus macquariense</t>
  </si>
  <si>
    <t>Orthonairovirus meramense</t>
  </si>
  <si>
    <t>Orthonairovirus nairobiense</t>
  </si>
  <si>
    <t>Orthonairovirus parahaemorrhagiae</t>
  </si>
  <si>
    <t>Orthonairovirus peruense</t>
  </si>
  <si>
    <t>Orthonairovirus qalyubense</t>
  </si>
  <si>
    <t>Orthonairovirus randallense</t>
  </si>
  <si>
    <t>Orthonairovirus sakhalinense</t>
  </si>
  <si>
    <t>Orthonairovirus soldadoense</t>
  </si>
  <si>
    <t>Orthonairovirus songlingense</t>
  </si>
  <si>
    <t>Orthonairovirus sulinaense</t>
  </si>
  <si>
    <t>Orthonairovirus tachengense</t>
  </si>
  <si>
    <t>Orthonairovirus thiaforaense</t>
  </si>
  <si>
    <t>Orthonairovirus tomdiense</t>
  </si>
  <si>
    <t>Orthonairovirus tunisense</t>
  </si>
  <si>
    <t>Orthonairovirus wenzhouense</t>
  </si>
  <si>
    <t>Orthonairovirus yezoense</t>
  </si>
  <si>
    <t>Orthonairovirus yogueense</t>
  </si>
  <si>
    <t>Orthonairovirus zirkuense</t>
  </si>
  <si>
    <t>Sabavirus americanum</t>
  </si>
  <si>
    <t>Shaspivirus aranei</t>
  </si>
  <si>
    <t>Striwavirus sanxiaense</t>
  </si>
  <si>
    <t>Xinspivirus xinzhouense</t>
  </si>
  <si>
    <t>Herbevirus herberti</t>
  </si>
  <si>
    <t>Herbevirus kibaleense</t>
  </si>
  <si>
    <t>Herbevirus taiense</t>
  </si>
  <si>
    <t>Khurdivirus</t>
  </si>
  <si>
    <t>Khurdivirus volgaense</t>
  </si>
  <si>
    <t>Lakivirus</t>
  </si>
  <si>
    <t>Lakivirus lakamhaense</t>
  </si>
  <si>
    <t>Lambavirus</t>
  </si>
  <si>
    <t>Lambavirus wisconsinense</t>
  </si>
  <si>
    <t>Orthobunyavirus abrasense</t>
  </si>
  <si>
    <t>Orthobunyavirus acaraense</t>
  </si>
  <si>
    <t>Orthobunyavirus achiotei</t>
  </si>
  <si>
    <t>Orthobunyavirus ainoense</t>
  </si>
  <si>
    <t>Orthobunyavirus akabaneense</t>
  </si>
  <si>
    <t>Orthobunyavirus anadyrense</t>
  </si>
  <si>
    <t>Orthobunyavirus ananindeuaense</t>
  </si>
  <si>
    <t>Orthobunyavirus angeloense</t>
  </si>
  <si>
    <t>Orthobunyavirus anhembiense</t>
  </si>
  <si>
    <t>Orthobunyavirus apeuense</t>
  </si>
  <si>
    <t>Orthobunyavirus baakalense</t>
  </si>
  <si>
    <t>Orthobunyavirus bakauense</t>
  </si>
  <si>
    <t>Orthobunyavirus balagoduense</t>
  </si>
  <si>
    <t>Orthobunyavirus bataiense</t>
  </si>
  <si>
    <t>Orthobunyavirus batamaense</t>
  </si>
  <si>
    <t>Orthobunyavirus belemense</t>
  </si>
  <si>
    <t>Orthobunyavirus bellavistaense</t>
  </si>
  <si>
    <t>Orthobunyavirus benficaense</t>
  </si>
  <si>
    <t>Orthobunyavirus bertiogaense</t>
  </si>
  <si>
    <t>Orthobunyavirus biraoense</t>
  </si>
  <si>
    <t>Orthobunyavirus bobayaense</t>
  </si>
  <si>
    <t>Orthobunyavirus boraceiaense</t>
  </si>
  <si>
    <t>Orthobunyavirus botambiense</t>
  </si>
  <si>
    <t>Orthobunyavirus bozoense</t>
  </si>
  <si>
    <t>Orthobunyavirus brazoriaense</t>
  </si>
  <si>
    <t>Orthobunyavirus bruconhaense</t>
  </si>
  <si>
    <t>Orthobunyavirus buffaloense</t>
  </si>
  <si>
    <t>Orthobunyavirus bunyamweraense</t>
  </si>
  <si>
    <t>Orthobunyavirus bushbushense</t>
  </si>
  <si>
    <t>Orthobunyavirus buttonwillowense</t>
  </si>
  <si>
    <t>Orthobunyavirus bwambaense</t>
  </si>
  <si>
    <t>Orthobunyavirus cacheense</t>
  </si>
  <si>
    <t>Orthobunyavirus capimense</t>
  </si>
  <si>
    <t>Orthobunyavirus caraparuense</t>
  </si>
  <si>
    <t>Orthobunyavirus catqueense</t>
  </si>
  <si>
    <t>Orthobunyavirus catuense</t>
  </si>
  <si>
    <t>Orthobunyavirus cuchillaense</t>
  </si>
  <si>
    <t>Orthobunyavirus ebiense</t>
  </si>
  <si>
    <t>Orthobunyavirus encephalitidis</t>
  </si>
  <si>
    <t>Orthobunyavirus enseadaense</t>
  </si>
  <si>
    <t>Orthobunyavirus faceyense</t>
  </si>
  <si>
    <t>Orthobunyavirus gamboaense</t>
  </si>
  <si>
    <t>Orthobunyavirus ganganense</t>
  </si>
  <si>
    <t>Orthobunyavirus guajaraense</t>
  </si>
  <si>
    <t>Orthobunyavirus guamaense</t>
  </si>
  <si>
    <t>Orthobunyavirus guaratubaense</t>
  </si>
  <si>
    <t>Orthobunyavirus guaroaense</t>
  </si>
  <si>
    <t>Orthobunyavirus gumbolimboense</t>
  </si>
  <si>
    <t>Orthobunyavirus heptayabaense</t>
  </si>
  <si>
    <t>Orthobunyavirus horizonteense</t>
  </si>
  <si>
    <t>Orthobunyavirus iacoense</t>
  </si>
  <si>
    <t>Orthobunyavirus ileshaense</t>
  </si>
  <si>
    <t>Orthobunyavirus infirmati</t>
  </si>
  <si>
    <t>Orthobunyavirus ingwavumaense</t>
  </si>
  <si>
    <t>Orthobunyavirus insulae</t>
  </si>
  <si>
    <t>Orthobunyavirus jamestownense</t>
  </si>
  <si>
    <t>Orthobunyavirus jatobalense</t>
  </si>
  <si>
    <t>Orthobunyavirus juandiazense</t>
  </si>
  <si>
    <t>Orthobunyavirus kaengkhoiense</t>
  </si>
  <si>
    <t>Orthobunyavirus kernense</t>
  </si>
  <si>
    <t>Orthobunyavirus ketapangense</t>
  </si>
  <si>
    <t>Orthobunyavirus keystoneense</t>
  </si>
  <si>
    <t>Orthobunyavirus khatangaense</t>
  </si>
  <si>
    <t>Orthobunyavirus koongoli</t>
  </si>
  <si>
    <t>Orthobunyavirus kowanyamaense</t>
  </si>
  <si>
    <t>Orthobunyavirus lacrosseense</t>
  </si>
  <si>
    <t>Orthobunyavirus lasmaloyasense</t>
  </si>
  <si>
    <t>Orthobunyavirus leanyerense</t>
  </si>
  <si>
    <t>Orthobunyavirus ledniceense</t>
  </si>
  <si>
    <t>Orthobunyavirus lukuniense</t>
  </si>
  <si>
    <t>Orthobunyavirus lumboense</t>
  </si>
  <si>
    <t>Orthobunyavirus macauaense</t>
  </si>
  <si>
    <t>Orthobunyavirus madridense</t>
  </si>
  <si>
    <t>Orthobunyavirus maguariense</t>
  </si>
  <si>
    <t>Orthobunyavirus mahoganyense</t>
  </si>
  <si>
    <t>Orthobunyavirus manzanillaense</t>
  </si>
  <si>
    <t>Orthobunyavirus maprikense</t>
  </si>
  <si>
    <t>Orthobunyavirus maritubaense</t>
  </si>
  <si>
    <t>Orthobunyavirus matruhense</t>
  </si>
  <si>
    <t>Orthobunyavirus melajoense</t>
  </si>
  <si>
    <t>Orthobunyavirus mermetense</t>
  </si>
  <si>
    <t>Orthobunyavirus minatitlanense</t>
  </si>
  <si>
    <t>Orthobunyavirus mirimense</t>
  </si>
  <si>
    <t>Orthobunyavirus mitchellense</t>
  </si>
  <si>
    <t>Orthobunyavirus mpokoense</t>
  </si>
  <si>
    <t>Orthobunyavirus navioense</t>
  </si>
  <si>
    <t>Orthobunyavirus nepuyoi</t>
  </si>
  <si>
    <t>Orthobunyavirus nesszionaense</t>
  </si>
  <si>
    <t>Orthobunyavirus nolaense</t>
  </si>
  <si>
    <t>Orthobunyavirus northwayense</t>
  </si>
  <si>
    <t>Orthobunyavirus nyandoense</t>
  </si>
  <si>
    <t>Orthobunyavirus okolaense</t>
  </si>
  <si>
    <t>Orthobunyavirus olifantsvleiense</t>
  </si>
  <si>
    <t>Orthobunyavirus oribocaense</t>
  </si>
  <si>
    <t>Orthobunyavirus oropoucheense</t>
  </si>
  <si>
    <t>Orthobunyavirus oyoense</t>
  </si>
  <si>
    <t>Orthobunyavirus pacoraense</t>
  </si>
  <si>
    <t>Orthobunyavirus patoisense</t>
  </si>
  <si>
    <t>Orthobunyavirus peachesterense</t>
  </si>
  <si>
    <t>Orthobunyavirus porteiraense</t>
  </si>
  <si>
    <t>Orthobunyavirus potosiense</t>
  </si>
  <si>
    <t>Orthobunyavirus saboense</t>
  </si>
  <si>
    <t>Orthobunyavirus sangoense</t>
  </si>
  <si>
    <t>Orthobunyavirus sanjuanense</t>
  </si>
  <si>
    <t>Orthobunyavirus schmallenbergense</t>
  </si>
  <si>
    <t>Orthobunyavirus sedlecense</t>
  </si>
  <si>
    <t>Orthobunyavirus shermanense</t>
  </si>
  <si>
    <t>Orthobunyavirus shokweense</t>
  </si>
  <si>
    <t>Orthobunyavirus shuniense</t>
  </si>
  <si>
    <t>Orthobunyavirus simbuense</t>
  </si>
  <si>
    <t>Orthobunyavirus sororocaense</t>
  </si>
  <si>
    <t>Orthobunyavirus squalofluvii</t>
  </si>
  <si>
    <t>Orthobunyavirus tacaiumaense</t>
  </si>
  <si>
    <t>Orthobunyavirus tahynaense</t>
  </si>
  <si>
    <t>Orthobunyavirus tangaense</t>
  </si>
  <si>
    <t>Orthobunyavirus tataguineense</t>
  </si>
  <si>
    <t>Orthobunyavirus telokense</t>
  </si>
  <si>
    <t>Orthobunyavirus tensawense</t>
  </si>
  <si>
    <t>Orthobunyavirus termeilense</t>
  </si>
  <si>
    <t>Orthobunyavirus teteense</t>
  </si>
  <si>
    <t>Orthobunyavirus thimiriense</t>
  </si>
  <si>
    <t>Orthobunyavirus timboteuaense</t>
  </si>
  <si>
    <t>Orthobunyavirus trinitiense</t>
  </si>
  <si>
    <t>Orthobunyavirus turlockense</t>
  </si>
  <si>
    <t>Orthobunyavirus umbreense</t>
  </si>
  <si>
    <t>Orthobunyavirus utingaense</t>
  </si>
  <si>
    <t>Orthobunyavirus witwatersrandense</t>
  </si>
  <si>
    <t>Orthobunyavirus wolkbergense</t>
  </si>
  <si>
    <t>Orthobunyavirus wyeomyiae</t>
  </si>
  <si>
    <t>Pacuvirus caimitoense</t>
  </si>
  <si>
    <t>Pacuvirus chilibreense</t>
  </si>
  <si>
    <t>Pacuvirus evaense</t>
  </si>
  <si>
    <t>Pacuvirus pacuiense</t>
  </si>
  <si>
    <t>Pacuvirus tapirapeense</t>
  </si>
  <si>
    <t>Shangavirus shuangaoense</t>
  </si>
  <si>
    <t>Cicadellivirus</t>
  </si>
  <si>
    <t>Cicadellivirus scaphoidei</t>
  </si>
  <si>
    <t>Feravirus ferakinum</t>
  </si>
  <si>
    <t>Feravirus guaguaense</t>
  </si>
  <si>
    <t>Feravirus hemipterus</t>
  </si>
  <si>
    <t>Feravirus neuropterus</t>
  </si>
  <si>
    <t>Hymovirus chrysis</t>
  </si>
  <si>
    <t>Hymovirus chrysurae</t>
  </si>
  <si>
    <t>Jonvirus eboris</t>
  </si>
  <si>
    <t>Orthophasmavirus aedis</t>
  </si>
  <si>
    <t>Orthophasmavirus anophelae</t>
  </si>
  <si>
    <t>Orthophasmavirus barstukasense</t>
  </si>
  <si>
    <t>Orthophasmavirus chrysis</t>
  </si>
  <si>
    <t>Orthophasmavirus coleopterus</t>
  </si>
  <si>
    <t>Orthophasmavirus coredoense</t>
  </si>
  <si>
    <t>Orthophasmavirus culicis</t>
  </si>
  <si>
    <t>Orthophasmavirus flenense</t>
  </si>
  <si>
    <t>Orthophasmavirus fushunense</t>
  </si>
  <si>
    <t>Orthophasmavirus gandaense</t>
  </si>
  <si>
    <t>Orthophasmavirus hubeiense</t>
  </si>
  <si>
    <t>Orthophasmavirus kigluaikense</t>
  </si>
  <si>
    <t>Orthophasmavirus miglotasense</t>
  </si>
  <si>
    <t>Orthophasmavirus niuklukense</t>
  </si>
  <si>
    <t>Orthophasmavirus odonatus</t>
  </si>
  <si>
    <t>Orthophasmavirus philoctetis</t>
  </si>
  <si>
    <t>Orthophasmavirus sogatellae</t>
  </si>
  <si>
    <t>Orthophasmavirus wuchangense</t>
  </si>
  <si>
    <t>Orthophasmavirus wuhanense</t>
  </si>
  <si>
    <t>Sawastrivirus sanxiaense</t>
  </si>
  <si>
    <t>Wuhivirus insecti</t>
  </si>
  <si>
    <t>Bandavirus albatrossense</t>
  </si>
  <si>
    <t>Bandavirus amblyommae</t>
  </si>
  <si>
    <t>Bandavirus bhanjanagarense</t>
  </si>
  <si>
    <t>Bandavirus dabieense</t>
  </si>
  <si>
    <t>Bandavirus guertuense</t>
  </si>
  <si>
    <t>Bandavirus heartlandense</t>
  </si>
  <si>
    <t>Bandavirus kismaayoense</t>
  </si>
  <si>
    <t>Bandavirus razdanense</t>
  </si>
  <si>
    <t>Bandavirus zwieselense</t>
  </si>
  <si>
    <t>Beidivirus muscae</t>
  </si>
  <si>
    <t>Citricivirus</t>
  </si>
  <si>
    <t>Citricivirus chongqinense</t>
  </si>
  <si>
    <t>Coguvirus chinense</t>
  </si>
  <si>
    <t>Coguvirus citri</t>
  </si>
  <si>
    <t>Coguvirus citrulli</t>
  </si>
  <si>
    <t>Coguvirus henanense</t>
  </si>
  <si>
    <t>Coguvirus yunnanense</t>
  </si>
  <si>
    <t>Entovirus entoleucae</t>
  </si>
  <si>
    <t>Goukovirus aphalarae</t>
  </si>
  <si>
    <t>Goukovirus ceraphri</t>
  </si>
  <si>
    <t>Goukovirus cumutoense</t>
  </si>
  <si>
    <t>Goukovirus gouleakoense</t>
  </si>
  <si>
    <t>Goukovirus yichangense</t>
  </si>
  <si>
    <t>Horwuvirus fitzroyense</t>
  </si>
  <si>
    <t>Horwuvirus solenopsidis</t>
  </si>
  <si>
    <t>Horwuvirus wuhanense</t>
  </si>
  <si>
    <t>Hudivirus muscae</t>
  </si>
  <si>
    <t>Hudovirus lepidopteris</t>
  </si>
  <si>
    <t>Ixovirus heckscherense</t>
  </si>
  <si>
    <t>Ixovirus ixodis</t>
  </si>
  <si>
    <t>Ixovirus norvegiae</t>
  </si>
  <si>
    <t>Laulavirus alphaviticulum</t>
  </si>
  <si>
    <t>Laulavirus betaviticulum</t>
  </si>
  <si>
    <t>Laulavirus gammaviticulum</t>
  </si>
  <si>
    <t>Laulavirus laurelense</t>
  </si>
  <si>
    <t>Laulavirus wardellense</t>
  </si>
  <si>
    <t>Lentinuvirus lentinulae</t>
  </si>
  <si>
    <t>Mobuvirus arnae</t>
  </si>
  <si>
    <t>Mobuvirus mothrae</t>
  </si>
  <si>
    <t>Mobuvirus narangueense</t>
  </si>
  <si>
    <t>Mobuvirus stephanocirci</t>
  </si>
  <si>
    <t>Phasivirus baduense</t>
  </si>
  <si>
    <t>Phasivirus guadeloupeense</t>
  </si>
  <si>
    <t>Phasivirus hubeiense</t>
  </si>
  <si>
    <t>Phasivirus parryense</t>
  </si>
  <si>
    <t>Phasivirus phasiense</t>
  </si>
  <si>
    <t>Phasivirus wuhanense</t>
  </si>
  <si>
    <t>Phasivirus wutaiense</t>
  </si>
  <si>
    <t>Phlebovirus adanaense</t>
  </si>
  <si>
    <t>Phlebovirus aguacateense</t>
  </si>
  <si>
    <t>Phlebovirus alcubeense</t>
  </si>
  <si>
    <t>Phlebovirus alenquerense</t>
  </si>
  <si>
    <t>Phlebovirus almendrasense</t>
  </si>
  <si>
    <t>Phlebovirus ambeense</t>
  </si>
  <si>
    <t>Phlebovirus anhangaense</t>
  </si>
  <si>
    <t>Phlebovirus arumowotense</t>
  </si>
  <si>
    <t>Phlebovirus bogoriaense</t>
  </si>
  <si>
    <t>Phlebovirus buenaventuraense</t>
  </si>
  <si>
    <t>Phlebovirus bujaruense</t>
  </si>
  <si>
    <t>Phlebovirus cacaoense</t>
  </si>
  <si>
    <t>Phlebovirus campanaense</t>
  </si>
  <si>
    <t>Phlebovirus candiruense</t>
  </si>
  <si>
    <t>Phlebovirus chagresense</t>
  </si>
  <si>
    <t>Phlebovirus claroense</t>
  </si>
  <si>
    <t>Phlebovirus cocleense</t>
  </si>
  <si>
    <t>Phlebovirus corfouense</t>
  </si>
  <si>
    <t>Phlebovirus dashliense</t>
  </si>
  <si>
    <t>Phlebovirus duraniaense</t>
  </si>
  <si>
    <t>Phlebovirus echarateense</t>
  </si>
  <si>
    <t>Phlebovirus embossosense</t>
  </si>
  <si>
    <t>Phlebovirus florisense</t>
  </si>
  <si>
    <t>Phlebovirus gabekense</t>
  </si>
  <si>
    <t>Phlebovirus gloriaense</t>
  </si>
  <si>
    <t>Phlebovirus gordilense</t>
  </si>
  <si>
    <t>Phlebovirus hediense</t>
  </si>
  <si>
    <t>Phlebovirus icoaraciense</t>
  </si>
  <si>
    <t>Phlebovirus itaitubaense</t>
  </si>
  <si>
    <t>Phlebovirus itaporangaense</t>
  </si>
  <si>
    <t>Phlebovirus ixcanalense</t>
  </si>
  <si>
    <t>Phlebovirus karimabadense</t>
  </si>
  <si>
    <t>Phlebovirus kiborgochense</t>
  </si>
  <si>
    <t>Phlebovirus leticiaense</t>
  </si>
  <si>
    <t>Phlebovirus maldonadoense</t>
  </si>
  <si>
    <t>Phlebovirus massiliaense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</si>
  <si>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</si>
  <si>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</si>
  <si>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</si>
  <si>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</si>
  <si>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</si>
  <si>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</si>
  <si>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</si>
  <si>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</si>
  <si>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</si>
  <si>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pantanalense</t>
  </si>
  <si>
    <t>Phlebovirus penablancaense</t>
  </si>
  <si>
    <t>Phlebovirus penshurtense</t>
  </si>
  <si>
    <t>Phlebovirus perkerraense</t>
  </si>
  <si>
    <t>Phlebovirus puniqueense</t>
  </si>
  <si>
    <t>Phlebovirus riftense</t>
  </si>
  <si>
    <t>Phlebovirus riograndense</t>
  </si>
  <si>
    <t>Phlebovirus salangaense</t>
  </si>
  <si>
    <t>Phlebovirus salehabadense</t>
  </si>
  <si>
    <t>Phlebovirus saloboense</t>
  </si>
  <si>
    <t>Phlebovirus siciliaense</t>
  </si>
  <si>
    <t>Phlebovirus taparaense</t>
  </si>
  <si>
    <t>Phlebovirus tehranense</t>
  </si>
  <si>
    <t>Phlebovirus ticoense</t>
  </si>
  <si>
    <t>Phlebovirus toroense</t>
  </si>
  <si>
    <t>Phlebovirus torosense</t>
  </si>
  <si>
    <t>Phlebovirus toscanaense</t>
  </si>
  <si>
    <t>Phlebovirus turunaense</t>
  </si>
  <si>
    <t>Phlebovirus uriuranaense</t>
  </si>
  <si>
    <t>Phlebovirus urucuriense</t>
  </si>
  <si>
    <t>Phlebovirus zerdaliense</t>
  </si>
  <si>
    <t>Pidchovirus pidgei</t>
  </si>
  <si>
    <t>Pidchovirus stethori</t>
  </si>
  <si>
    <t>Rubodvirus argentinaense</t>
  </si>
  <si>
    <t>Rubodvirus armeniaense</t>
  </si>
  <si>
    <t>Rubodvirus mali</t>
  </si>
  <si>
    <t>Rubodvirus prosserense</t>
  </si>
  <si>
    <t>Tanzavirus daressalaamense</t>
  </si>
  <si>
    <t>Tenuivirus echinochloae</t>
  </si>
  <si>
    <t>Tenuivirus eurotritici</t>
  </si>
  <si>
    <t>Tenuivirus oryzabrevis</t>
  </si>
  <si>
    <t>Tenuivirus oryzaclavatae</t>
  </si>
  <si>
    <t>Tenuivirus oryzalbae</t>
  </si>
  <si>
    <t>Tenuivirus persotritici</t>
  </si>
  <si>
    <t>Tenuivirus urochloae</t>
  </si>
  <si>
    <t>Tenuivirus zeae</t>
  </si>
  <si>
    <t>Uukuvirus dabieshanense</t>
  </si>
  <si>
    <t>Uukuvirus dermacentoris</t>
  </si>
  <si>
    <t>Uukuvirus grandarbaudense</t>
  </si>
  <si>
    <t>Uukuvirus hoplandense</t>
  </si>
  <si>
    <t>Uukuvirus huangpiense</t>
  </si>
  <si>
    <t>Uukuvirus kabutoense</t>
  </si>
  <si>
    <t>Uukuvirus kaisodiense</t>
  </si>
  <si>
    <t>Uukuvirus lihanense</t>
  </si>
  <si>
    <t>Uukuvirus macquariense</t>
  </si>
  <si>
    <t>Uukuvirus rukutamaense</t>
  </si>
  <si>
    <t>Uukuvirus schmidti</t>
  </si>
  <si>
    <t>Uukuvirus silverwaterense</t>
  </si>
  <si>
    <t>Uukuvirus tachengense</t>
  </si>
  <si>
    <t>Uukuvirus toyoense</t>
  </si>
  <si>
    <t>Uukuvirus tyulenyense</t>
  </si>
  <si>
    <t>Uukuvirus uriae</t>
  </si>
  <si>
    <t>Uukuvirus uukuniemiense</t>
  </si>
  <si>
    <t>Uukuvirus yongjiaense</t>
  </si>
  <si>
    <t>Wenrivirus penaei</t>
  </si>
  <si>
    <t>Orthotospovirus alstroemeriflavi</t>
  </si>
  <si>
    <t>Orthotospovirus alstroemerinecrosis</t>
  </si>
  <si>
    <t>Orthotospovirus arachianuli</t>
  </si>
  <si>
    <t>Orthotospovirus arachiflavamaculae</t>
  </si>
  <si>
    <t>Orthotospovirus arachiflavi</t>
  </si>
  <si>
    <t>Orthotospovirus arachinecrosis</t>
  </si>
  <si>
    <t>Orthotospovirus callaflavi</t>
  </si>
  <si>
    <t>Orthotospovirus capsiciflavi</t>
  </si>
  <si>
    <t>Orthotospovirus capsicimaculaflavi</t>
  </si>
  <si>
    <t>Orthotospovirus chrysanthinecrocaulis</t>
  </si>
  <si>
    <t>Orthotospovirus citrullomaculosi</t>
  </si>
  <si>
    <t>Orthotospovirus citrullonecrosis</t>
  </si>
  <si>
    <t>Orthotospovirus cucurbichlorosis</t>
  </si>
  <si>
    <t>Orthotospovirus glycininecrovenae</t>
  </si>
  <si>
    <t>Orthotospovirus hippeflavi</t>
  </si>
  <si>
    <t>Orthotospovirus impatiensnecromaculae</t>
  </si>
  <si>
    <t>Orthotospovirus iridimaculaflavi</t>
  </si>
  <si>
    <t>Orthotospovirus meloflavi</t>
  </si>
  <si>
    <t>Orthotospovirus melotessellati</t>
  </si>
  <si>
    <t>Orthotospovirus morivenae</t>
  </si>
  <si>
    <t>Orthotospovirus phaseolinecrotessellati</t>
  </si>
  <si>
    <t>Orthotospovirus polygonianuli</t>
  </si>
  <si>
    <t>Orthotospovirus tomatanuli</t>
  </si>
  <si>
    <t>Orthotospovirus tomatoflavi</t>
  </si>
  <si>
    <t>Orthotospovirus tomatomaculae</t>
  </si>
  <si>
    <t>Orthotospovirus tomatozonae</t>
  </si>
  <si>
    <t>Tulasviridae</t>
  </si>
  <si>
    <t>Orthotulasvirus</t>
  </si>
  <si>
    <t>Orthotulasvirus tulasnellae</t>
  </si>
  <si>
    <t>Wumivirus millepedae</t>
  </si>
  <si>
    <t>Tilapinevirus tilapiae</t>
  </si>
  <si>
    <t>Alphainfluenzavirus influenzae</t>
  </si>
  <si>
    <t>Betainfluenzavirus influenzae</t>
  </si>
  <si>
    <t>Deltainfluenzavirus influenzae</t>
  </si>
  <si>
    <t>Gammainfluenzavirus influenzae</t>
  </si>
  <si>
    <t>Isavirus salaris</t>
  </si>
  <si>
    <t>Mykissvirus</t>
  </si>
  <si>
    <t>Mykissvirus tructae</t>
  </si>
  <si>
    <t>Quaranjavirus araguariense</t>
  </si>
  <si>
    <t>Quaranjavirus chadense</t>
  </si>
  <si>
    <t>Quaranjavirus johnstonense</t>
  </si>
  <si>
    <t>Quaranjavirus quaranfilense</t>
  </si>
  <si>
    <t>Quaranjavirus tyulekense</t>
  </si>
  <si>
    <t>Quaranjavirus wellfleetense</t>
  </si>
  <si>
    <t>Sardinovirus</t>
  </si>
  <si>
    <t>Sardinovirus pilchardi</t>
  </si>
  <si>
    <t>Thogotovirus bourbonense</t>
  </si>
  <si>
    <t>Thogotovirus dhoriense</t>
  </si>
  <si>
    <t>Thogotovirus josense</t>
  </si>
  <si>
    <t>Thogotovirus ozense</t>
  </si>
  <si>
    <t>Thogotovirus sinuense</t>
  </si>
  <si>
    <t>Thogotovirus thailandense</t>
  </si>
  <si>
    <t>Thogotovirus thogotoense</t>
  </si>
  <si>
    <t>Thogotovirus upoluense</t>
  </si>
  <si>
    <t>Tosoviridae</t>
  </si>
  <si>
    <t>Fraservirus</t>
  </si>
  <si>
    <t>Fraservirus testudinis</t>
  </si>
  <si>
    <t>Amalgavirus allii</t>
  </si>
  <si>
    <t>Amalgavirus cepae</t>
  </si>
  <si>
    <t>Amalgavirus lycopersici</t>
  </si>
  <si>
    <t>Amalgavirus marinae</t>
  </si>
  <si>
    <t>Amalgavirus rhododendri</t>
  </si>
  <si>
    <t>Amalgavirus spinaciae</t>
  </si>
  <si>
    <t>Amalgavirus vaccinii</t>
  </si>
  <si>
    <t>Amalgavirus viciae</t>
  </si>
  <si>
    <t>Amalgavirus zosterae</t>
  </si>
  <si>
    <t>Zybavirus bailii</t>
  </si>
  <si>
    <t>Fusariviridae</t>
  </si>
  <si>
    <t>Alphafusarivirus</t>
  </si>
  <si>
    <t>Alphafusarivirus agarici</t>
  </si>
  <si>
    <t>Alphafusarivirus aspergilli</t>
  </si>
  <si>
    <t>Alphafusarivirus auriculariae</t>
  </si>
  <si>
    <t>Alphafusarivirus botryospheriae</t>
  </si>
  <si>
    <t>Alphafusarivirus botrytidis</t>
  </si>
  <si>
    <t>Alphafusarivirus fusarii</t>
  </si>
  <si>
    <t>Alphafusarivirus ioaponiae</t>
  </si>
  <si>
    <t>Alphafusarivirus italiae</t>
  </si>
  <si>
    <t>Alphafusarivirus macrophominae</t>
  </si>
  <si>
    <t>Alphafusarivirus neofusicocci</t>
  </si>
  <si>
    <t>Alphafusarivirus neurosporae</t>
  </si>
  <si>
    <t>Alphafusarivirus penicilli</t>
  </si>
  <si>
    <t>Alphafusarivirus plasmoparae</t>
  </si>
  <si>
    <t>Alphafusarivirus pleosporae</t>
  </si>
  <si>
    <t>Alphafusarivirus portobelli</t>
  </si>
  <si>
    <t>Alphafusarivirus rhizoctoniae</t>
  </si>
  <si>
    <t>Alphafusarivirus rolfsii</t>
  </si>
  <si>
    <t>Alphafusarivirus roqueforti</t>
  </si>
  <si>
    <t>Alphafusarivirus roselliniae</t>
  </si>
  <si>
    <t>Alphafusarivirus rutstroemiae</t>
  </si>
  <si>
    <t>Alphafusarivirus sclerotii</t>
  </si>
  <si>
    <t>Alphafusarivirus zymoseptoriae</t>
  </si>
  <si>
    <t>Betafusarivirus</t>
  </si>
  <si>
    <t>Betafusarivirus alternariae</t>
  </si>
  <si>
    <t>Betafusarivirus botrytidis</t>
  </si>
  <si>
    <t>Betafusarivirus brasiliensis</t>
  </si>
  <si>
    <t>Betafusarivirus crassae</t>
  </si>
  <si>
    <t>Betafusarivirus hispaniae</t>
  </si>
  <si>
    <t>Betafusarivirus homeocarpa</t>
  </si>
  <si>
    <t>Betafusarivirus iberiae</t>
  </si>
  <si>
    <t>Betafusarivirus neurosporae</t>
  </si>
  <si>
    <t>Betafusarivirus rhizoctoniae</t>
  </si>
  <si>
    <t>Betafusarivirus sclerotiniae</t>
  </si>
  <si>
    <t>Betafusarivirus sinensis</t>
  </si>
  <si>
    <t>Gammafusarivirus</t>
  </si>
  <si>
    <t>Gammafusarivirus lentinualea</t>
  </si>
  <si>
    <t>Alphahypovirus</t>
  </si>
  <si>
    <t>Alphahypovirus alternariae</t>
  </si>
  <si>
    <t>Alphahypovirus americanum</t>
  </si>
  <si>
    <t>Alphahypovirus bipolaridis</t>
  </si>
  <si>
    <t>Alphahypovirus botrytidis</t>
  </si>
  <si>
    <t>Alphahypovirus cryphonectriae</t>
  </si>
  <si>
    <t>Alphahypovirus fusarii</t>
  </si>
  <si>
    <t>Alphahypovirus insecti</t>
  </si>
  <si>
    <t>Alphahypovirus japonicum</t>
  </si>
  <si>
    <t>Alphahypovirus macrophominae</t>
  </si>
  <si>
    <t>Alphahypovirus sacchari</t>
  </si>
  <si>
    <t>Alphahypovirus trichodermae</t>
  </si>
  <si>
    <t>Betahypovirus</t>
  </si>
  <si>
    <t>Betahypovirus americanum</t>
  </si>
  <si>
    <t>Betahypovirus cryphonectriae</t>
  </si>
  <si>
    <t>Betahypovirus fusarii</t>
  </si>
  <si>
    <t>Betahypovirus phomopsis</t>
  </si>
  <si>
    <t>Betahypovirus sclerotiniae</t>
  </si>
  <si>
    <t>Betahypovirus setosphaeriae</t>
  </si>
  <si>
    <t>Betahypovirus sinensis</t>
  </si>
  <si>
    <t>Betahypovirus trichodermae</t>
  </si>
  <si>
    <t>Betahypovirus valsae</t>
  </si>
  <si>
    <t>Deltahypovirus</t>
  </si>
  <si>
    <t>Deltahypovirus sinicum</t>
  </si>
  <si>
    <t>Deltahypovirus sipunculidi</t>
  </si>
  <si>
    <t>Epsilonhypovirus</t>
  </si>
  <si>
    <t>Epsilonhypovirus agarici</t>
  </si>
  <si>
    <t>Epsilonhypovirus entoleucae</t>
  </si>
  <si>
    <t>Epsilonhypovirus japonicum</t>
  </si>
  <si>
    <t>Epsilonhypovirus roselliniae</t>
  </si>
  <si>
    <t>Epsilonhypovirus sclerotiniae</t>
  </si>
  <si>
    <t>Epsilonhypovirus sinicum</t>
  </si>
  <si>
    <t>Etahypovirus</t>
  </si>
  <si>
    <t>Etahypovirus sclerotii</t>
  </si>
  <si>
    <t>Gammahypovirus</t>
  </si>
  <si>
    <t>Gammahypovirus atheliae</t>
  </si>
  <si>
    <t>Gammahypovirus meridionalis</t>
  </si>
  <si>
    <t>Gammahypovirus sclerotii</t>
  </si>
  <si>
    <t>Gammahypovirus sinensis</t>
  </si>
  <si>
    <t>Gammahypovirus uredi</t>
  </si>
  <si>
    <t>Thetahypovirus</t>
  </si>
  <si>
    <t>Thetahypovirus botrytidis</t>
  </si>
  <si>
    <t>Thetahypovirus rhizoctoniae</t>
  </si>
  <si>
    <t>Thetahypovirus sclerotii</t>
  </si>
  <si>
    <t>Thetahypovirus sclerotiniae</t>
  </si>
  <si>
    <t>Zetahypovirus</t>
  </si>
  <si>
    <t>Zetahypovirus sclerotiniae</t>
  </si>
  <si>
    <t>Orthopicobirnavirus</t>
  </si>
  <si>
    <t>Orthopicobirnavirus beihaiense</t>
  </si>
  <si>
    <t>Orthopicobirnavirus equi</t>
  </si>
  <si>
    <t>Orthopicobirnavirus hominis</t>
  </si>
  <si>
    <t>Becregavirinae</t>
  </si>
  <si>
    <t>Sicregavirus</t>
  </si>
  <si>
    <t>Trisihevirus</t>
  </si>
  <si>
    <t>Sicregavirus nixi</t>
  </si>
  <si>
    <t>Amalacovirus</t>
  </si>
  <si>
    <t>Pitovirinae</t>
  </si>
  <si>
    <t>Alphapironavirus</t>
  </si>
  <si>
    <t>Samovirus</t>
  </si>
  <si>
    <t>Yilivirus</t>
  </si>
  <si>
    <t>Menanivirinae</t>
  </si>
  <si>
    <t>Nasenivirus</t>
  </si>
  <si>
    <t>Insemevirus</t>
  </si>
  <si>
    <t>Metotonivirinae</t>
  </si>
  <si>
    <t>Tocinivirus</t>
  </si>
  <si>
    <t>Acimevirus</t>
  </si>
  <si>
    <t>Tocinivirus aphisi</t>
  </si>
  <si>
    <t>Tofonivirus</t>
  </si>
  <si>
    <t>Fomevirus</t>
  </si>
  <si>
    <t>Tofonivirus foami</t>
  </si>
  <si>
    <t>Nimanivirus</t>
  </si>
  <si>
    <t>Marovirus</t>
  </si>
  <si>
    <t>Nimanivirus lahi</t>
  </si>
  <si>
    <t>Okavirus branchiae</t>
  </si>
  <si>
    <t>Okavirus flavicapitis</t>
  </si>
  <si>
    <t>Okavirus orientale</t>
  </si>
  <si>
    <t>Selatovirus</t>
  </si>
  <si>
    <t>Infratovirus latu</t>
  </si>
  <si>
    <t>Chalatovirus</t>
  </si>
  <si>
    <t>Lyctovirus alpa</t>
  </si>
  <si>
    <t>Pregotovirus heba</t>
  </si>
  <si>
    <t>Septovirus</t>
  </si>
  <si>
    <t>Sekatovirus</t>
  </si>
  <si>
    <t>Septovirus foka</t>
  </si>
  <si>
    <t>Sertovirus</t>
  </si>
  <si>
    <t>Serecovirus</t>
  </si>
  <si>
    <t>Sertovirus cona</t>
  </si>
  <si>
    <t>Vebetovirus</t>
  </si>
  <si>
    <t>Chabetovirus</t>
  </si>
  <si>
    <t>Vebetovirus paba</t>
  </si>
  <si>
    <t>Bantovirus</t>
  </si>
  <si>
    <t>Torovirus banli</t>
  </si>
  <si>
    <t>Aparavirus apisacutum</t>
  </si>
  <si>
    <t>Aparavirus cancerluti</t>
  </si>
  <si>
    <t>Aparavirus israelense</t>
  </si>
  <si>
    <t>Aparavirus kashmirense</t>
  </si>
  <si>
    <t>Aparavirus tauraense</t>
  </si>
  <si>
    <t>Aparavirus vallesi</t>
  </si>
  <si>
    <t>Cripavirus drosophilae</t>
  </si>
  <si>
    <t>Cripavirus grylli</t>
  </si>
  <si>
    <t>Cripavirus mortiferum</t>
  </si>
  <si>
    <t>Cripavirus porteri</t>
  </si>
  <si>
    <t>Cripavirus ropadi</t>
  </si>
  <si>
    <t>Triatovirus himetobi</t>
  </si>
  <si>
    <t>Triatovirus hocoagulatae</t>
  </si>
  <si>
    <t>Triatovirus nigereginacellulae</t>
  </si>
  <si>
    <t>Triatovirus plastali</t>
  </si>
  <si>
    <t>Triatovirus triatomae</t>
  </si>
  <si>
    <t>Iflavirus achedomestici</t>
  </si>
  <si>
    <t>Iflavirus aladeformis</t>
  </si>
  <si>
    <t>Iflavirus apistardum</t>
  </si>
  <si>
    <t>Iflavirus betaspexiguae</t>
  </si>
  <si>
    <t>Iflavirus brebrassicae</t>
  </si>
  <si>
    <t>Iflavirus dinococcinellae</t>
  </si>
  <si>
    <t>Iflavirus ectobliquae</t>
  </si>
  <si>
    <t>Iflavirus flacherie</t>
  </si>
  <si>
    <t>Iflavirus lineacelli</t>
  </si>
  <si>
    <t>Iflavirus lylineolaris</t>
  </si>
  <si>
    <t>Iflavirus nilalugentis</t>
  </si>
  <si>
    <t>Iflavirus pernudae</t>
  </si>
  <si>
    <t>Iflavirus sacbroodi</t>
  </si>
  <si>
    <t>Iflavirus spexiguae</t>
  </si>
  <si>
    <t>Iflavirus vadestruente</t>
  </si>
  <si>
    <t>Iflavirus vomitus</t>
  </si>
  <si>
    <t>Noraviridae</t>
  </si>
  <si>
    <t>Orthonoravirus</t>
  </si>
  <si>
    <t>Orthonoravirus melanogastri</t>
  </si>
  <si>
    <t>Caphthovirinae</t>
  </si>
  <si>
    <t>Ensavirinae</t>
  </si>
  <si>
    <t>Heptrevirinae</t>
  </si>
  <si>
    <t>Kodimesavirinae</t>
  </si>
  <si>
    <t>Paavivirinae</t>
  </si>
  <si>
    <t>Comovirus andesense</t>
  </si>
  <si>
    <t>Comovirus arabidopsis</t>
  </si>
  <si>
    <t>Comovirus capsici</t>
  </si>
  <si>
    <t>Comovirus cucurbitae</t>
  </si>
  <si>
    <t>Comovirus fabae</t>
  </si>
  <si>
    <t>Comovirus glycinis</t>
  </si>
  <si>
    <t>Comovirus musivi</t>
  </si>
  <si>
    <t>Comovirus phaseoli</t>
  </si>
  <si>
    <t>Comovirus pisi</t>
  </si>
  <si>
    <t>Comovirus rapae</t>
  </si>
  <si>
    <t>Comovirus raphani</t>
  </si>
  <si>
    <t>Comovirus rugomusivum</t>
  </si>
  <si>
    <t>Comovirus severum</t>
  </si>
  <si>
    <t>Comovirus siliquae</t>
  </si>
  <si>
    <t>Comovirus strophostylis</t>
  </si>
  <si>
    <t>Comovirus trifolii</t>
  </si>
  <si>
    <t>Comovirus ulluci</t>
  </si>
  <si>
    <t>Comovirus viciae</t>
  </si>
  <si>
    <t>Comovirus vignae</t>
  </si>
  <si>
    <t>Fabavirus alphaviciae</t>
  </si>
  <si>
    <t>Fabavirus betaviciae</t>
  </si>
  <si>
    <t>Fabavirus cucurbitaceae</t>
  </si>
  <si>
    <t>Fabavirus gentianae</t>
  </si>
  <si>
    <t>Fabavirus lamii</t>
  </si>
  <si>
    <t>Fabavirus persicae</t>
  </si>
  <si>
    <t>Fabavirus pruni</t>
  </si>
  <si>
    <t>Fabavirus vitis</t>
  </si>
  <si>
    <t>Nepovirus aegaeum</t>
  </si>
  <si>
    <t>Nepovirus aeonii</t>
  </si>
  <si>
    <t>Nepovirus alphavitis</t>
  </si>
  <si>
    <t>Nepovirus americaense</t>
  </si>
  <si>
    <t>Nepovirus anatoliense</t>
  </si>
  <si>
    <t>Nepovirus anemones</t>
  </si>
  <si>
    <t>Nepovirus arabis</t>
  </si>
  <si>
    <t>Nepovirus armeniacae</t>
  </si>
  <si>
    <t>Nepovirus arracaciae</t>
  </si>
  <si>
    <t>Nepovirus australiaense</t>
  </si>
  <si>
    <t>Nepovirus avii</t>
  </si>
  <si>
    <t>Nepovirus betae</t>
  </si>
  <si>
    <t>Nepovirus betasolani</t>
  </si>
  <si>
    <t>Nepovirus bulgariense</t>
  </si>
  <si>
    <t>Nepovirus cari</t>
  </si>
  <si>
    <t>Nepovirus cerasiferae</t>
  </si>
  <si>
    <t>Nepovirus chromusivum</t>
  </si>
  <si>
    <t>Nepovirus cichorii</t>
  </si>
  <si>
    <t>Nepovirus cucumis</t>
  </si>
  <si>
    <t>Nepovirus cycas</t>
  </si>
  <si>
    <t>Nepovirus cynarae</t>
  </si>
  <si>
    <t>Nepovirus deformationis</t>
  </si>
  <si>
    <t>Nepovirus foliumflabelli</t>
  </si>
  <si>
    <t>Nepovirus glycinis</t>
  </si>
  <si>
    <t>Nepovirus hibisci</t>
  </si>
  <si>
    <t>Nepovirus italiaense</t>
  </si>
  <si>
    <t>Nepovirus lycopersici</t>
  </si>
  <si>
    <t>Nepovirus maculanulatum</t>
  </si>
  <si>
    <t>Nepovirus manihotis</t>
  </si>
  <si>
    <t>Nepovirus mori</t>
  </si>
  <si>
    <t>Nepovirus myrtilli</t>
  </si>
  <si>
    <t>Nepovirus nicotianae</t>
  </si>
  <si>
    <t>Nepovirus nigranuli</t>
  </si>
  <si>
    <t>Nepovirus oleae</t>
  </si>
  <si>
    <t>Nepovirus persicae</t>
  </si>
  <si>
    <t>Nepovirus petuniae</t>
  </si>
  <si>
    <t>Nepovirus poaceae</t>
  </si>
  <si>
    <t>Nepovirus pratensis</t>
  </si>
  <si>
    <t>Nepovirus ribis</t>
  </si>
  <si>
    <t>Nepovirus rubi</t>
  </si>
  <si>
    <t>Nepovirus sichuanense</t>
  </si>
  <si>
    <t>Nepovirus solani</t>
  </si>
  <si>
    <t>Nepovirus stenotaphri</t>
  </si>
  <si>
    <t>Nepovirus theobromatis</t>
  </si>
  <si>
    <t>Nepovirus trifolii</t>
  </si>
  <si>
    <t>Nepovirus tunisiaense</t>
  </si>
  <si>
    <t>Nepovirus usolani</t>
  </si>
  <si>
    <t>Nepovirus vaccinii</t>
  </si>
  <si>
    <t>Cheravirus arracaciae</t>
  </si>
  <si>
    <t>Cheravirus avii</t>
  </si>
  <si>
    <t>Cheravirus mali</t>
  </si>
  <si>
    <t>Cheravirus pruni</t>
  </si>
  <si>
    <t>Cheravirus ribis</t>
  </si>
  <si>
    <t>Sadwavirus alphananas</t>
  </si>
  <si>
    <t>Sadwavirus betananas</t>
  </si>
  <si>
    <t>Sadwavirus dioscoreae</t>
  </si>
  <si>
    <t>Sadwavirus fritillariae</t>
  </si>
  <si>
    <t>Sadwavirus citri</t>
  </si>
  <si>
    <t>Sadwavirus aciphyllae</t>
  </si>
  <si>
    <t>Sadwavirus fragariae</t>
  </si>
  <si>
    <t>Sadwavirus lactucae</t>
  </si>
  <si>
    <t>Sadwavirus rubi</t>
  </si>
  <si>
    <t>Sequivirus carotae</t>
  </si>
  <si>
    <t>Sequivirus pastinacae</t>
  </si>
  <si>
    <t>Sequivirus stellatum</t>
  </si>
  <si>
    <t>Sequivirus taraxaci</t>
  </si>
  <si>
    <t>Stralarivirus</t>
  </si>
  <si>
    <t>Stralarivirus fragariae</t>
  </si>
  <si>
    <t>Stralarivirus lychnis</t>
  </si>
  <si>
    <t>Torradovirus cardiacae</t>
  </si>
  <si>
    <t>Torradovirus carotae</t>
  </si>
  <si>
    <t>Torradovirus codonopsis</t>
  </si>
  <si>
    <t>Torradovirus cucurbitae</t>
  </si>
  <si>
    <t>Torradovirus lactucae</t>
  </si>
  <si>
    <t>Torradovirus lycopersici</t>
  </si>
  <si>
    <t>Torradovirus manihotis</t>
  </si>
  <si>
    <t>Torradovirus marchitezum</t>
  </si>
  <si>
    <t>Waikavirus actinidiae</t>
  </si>
  <si>
    <t>Waikavirus anthrisci</t>
  </si>
  <si>
    <t>Waikavirus brassicae</t>
  </si>
  <si>
    <t>Waikavirus camelliae</t>
  </si>
  <si>
    <t>Waikavirus campanulae</t>
  </si>
  <si>
    <t>Waikavirus diospyri</t>
  </si>
  <si>
    <t>Waikavirus liegense</t>
  </si>
  <si>
    <t>Waikavirus oryzae</t>
  </si>
  <si>
    <t>Waikavirus ribesnigri</t>
  </si>
  <si>
    <t>Waikavirus rosae</t>
  </si>
  <si>
    <t>Waikavirus trifolii</t>
  </si>
  <si>
    <t>Waikavirus zeae</t>
  </si>
  <si>
    <t>Sobemovirus smamv</t>
  </si>
  <si>
    <t>Macluravirus amomulineae</t>
  </si>
  <si>
    <t>Potyvirus achyranthis</t>
  </si>
  <si>
    <t>Potyvirus anemones</t>
  </si>
  <si>
    <t>Potyvirus ashitabae</t>
  </si>
  <si>
    <t>Potyvirus cliviaflavilineae</t>
  </si>
  <si>
    <t>Potyvirus fountaingrassi</t>
  </si>
  <si>
    <t>Potyvirus gladioli</t>
  </si>
  <si>
    <t>Potyvirus mirabilis</t>
  </si>
  <si>
    <t>Potyvirus pleioblasti</t>
  </si>
  <si>
    <t>Potyvirus scorzaureum</t>
  </si>
  <si>
    <t>Potyvirus tagetis</t>
  </si>
  <si>
    <t>Potyvirus thladiatessellati</t>
  </si>
  <si>
    <t>Yadokarivirales</t>
  </si>
  <si>
    <t>Yadokariviridae</t>
  </si>
  <si>
    <t>Alphayadokarivirus</t>
  </si>
  <si>
    <t>Alphayadokarivirus gobani</t>
  </si>
  <si>
    <t>Alphayadokarivirus ichibani</t>
  </si>
  <si>
    <t>Alphayadokarivirus nibani</t>
  </si>
  <si>
    <t>Alphayadokarivirus rokubani</t>
  </si>
  <si>
    <t>Alphayadokarivirus sanbani</t>
  </si>
  <si>
    <t>Alphayadokarivirus yonbani</t>
  </si>
  <si>
    <t>Betayadokarivirus</t>
  </si>
  <si>
    <t>Betayadokarivirus ichibani</t>
  </si>
  <si>
    <t>Betayadokarivirus nibani</t>
  </si>
  <si>
    <t>Betayadokarivirus sanbani</t>
  </si>
  <si>
    <t>Betayadokarivirus yonbani</t>
  </si>
  <si>
    <t>Hadakaviridae</t>
  </si>
  <si>
    <t>Hadakavirus</t>
  </si>
  <si>
    <t>Hadakavirus nanga</t>
  </si>
  <si>
    <t>Aquabirnavirus ascitae</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</si>
  <si>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</si>
  <si>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</si>
  <si>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</si>
  <si>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</si>
  <si>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</si>
  <si>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</si>
  <si>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</si>
  <si>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</si>
  <si>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</si>
  <si>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</si>
  <si>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Badnavirus aglaonemae</t>
  </si>
  <si>
    <t>Badnavirus alphacolocalasiae</t>
  </si>
  <si>
    <t>Badnavirus alphadioscoreae</t>
  </si>
  <si>
    <t>Badnavirus alphainflatheobromae</t>
  </si>
  <si>
    <t>Badnavirus alphamaculaflavicannae</t>
  </si>
  <si>
    <t>Badnavirus alphananas</t>
  </si>
  <si>
    <t>Badnavirus alphasacchari</t>
  </si>
  <si>
    <t>Badnavirus alphavirgamusae</t>
  </si>
  <si>
    <t>Badnavirus betacolocalasiae</t>
  </si>
  <si>
    <t>Badnavirus betadioscoreae</t>
  </si>
  <si>
    <t>Badnavirus betainflatheobromae</t>
  </si>
  <si>
    <t>Badnavirus betamaculaflavicannae</t>
  </si>
  <si>
    <t>Badnavirus betananas</t>
  </si>
  <si>
    <t>Badnavirus betasasacchari</t>
  </si>
  <si>
    <t>Badnavirus betavirgamusae</t>
  </si>
  <si>
    <t>Badnavirus decoloratiovitis</t>
  </si>
  <si>
    <t>Badnavirus deltadioscoreae</t>
  </si>
  <si>
    <t>Badnavirus deltainflatheobromae</t>
  </si>
  <si>
    <t>Badnavirus deltasacchari</t>
  </si>
  <si>
    <t>Badnavirus deltavirgamusae</t>
  </si>
  <si>
    <t>Badnavirus epsilondioscoreae</t>
  </si>
  <si>
    <t>Badnavirus epsiloninflatheobromae</t>
  </si>
  <si>
    <t>Badnavirus epsilonvirgamusae</t>
  </si>
  <si>
    <t>Badnavirus etadioscoreae</t>
  </si>
  <si>
    <t>Badnavirus etainflatheobromae</t>
  </si>
  <si>
    <t>Badnavirus etavirgamusae</t>
  </si>
  <si>
    <t>Badnavirus fici</t>
  </si>
  <si>
    <t>Badnavirus gammadioscoreae</t>
  </si>
  <si>
    <t>Badnavirus gammainflatheobromae</t>
  </si>
  <si>
    <t>Badnavirus gammasacchari</t>
  </si>
  <si>
    <t>Badnavirus gammavirgamusae</t>
  </si>
  <si>
    <t>Badnavirus iotavirgamusae</t>
  </si>
  <si>
    <t>Badnavirus maculacommelinae</t>
  </si>
  <si>
    <t>Badnavirus maculadracaenae</t>
  </si>
  <si>
    <t>Badnavirus maculaepiphylli</t>
  </si>
  <si>
    <t>Badnavirus maculahederae</t>
  </si>
  <si>
    <t>Badnavirus maculakalanchoes</t>
  </si>
  <si>
    <t>Badnavirus maculapiperis</t>
  </si>
  <si>
    <t>Badnavirus maculasmallanthi</t>
  </si>
  <si>
    <t>Badnavirus maculaspiraeae</t>
  </si>
  <si>
    <t>Badnavirus maculaucubae</t>
  </si>
  <si>
    <t>Badnavirus meliae</t>
  </si>
  <si>
    <t>Badnavirus mori</t>
  </si>
  <si>
    <t>Badnavirus necrozamiae</t>
  </si>
  <si>
    <t>Badnavirus occultipomeae</t>
  </si>
  <si>
    <t>Badnavirus phirubi</t>
  </si>
  <si>
    <t>Badnavirus reterubi</t>
  </si>
  <si>
    <t>Badnavirus rutilanscamelliae</t>
  </si>
  <si>
    <t>Badnavirus tessellocastaneae</t>
  </si>
  <si>
    <t>Badnavirus tessellocitri</t>
  </si>
  <si>
    <t>Badnavirus tessellopolysciatis</t>
  </si>
  <si>
    <t>Badnavirus tessellostyphnolobii</t>
  </si>
  <si>
    <t>Badnavirus tessellotheobromae</t>
  </si>
  <si>
    <t>Badnavirus tesselloziziphi</t>
  </si>
  <si>
    <t>Badnavirus tetadioscoreae</t>
  </si>
  <si>
    <t>Badnavirus theobromae</t>
  </si>
  <si>
    <t>Badnavirus thetavirgamusae</t>
  </si>
  <si>
    <t>Badnavirus venabougainvilleae</t>
  </si>
  <si>
    <t>Badnavirus venacodonopsis</t>
  </si>
  <si>
    <t>Badnavirus venaribis</t>
  </si>
  <si>
    <t>Badnavirus venatheobromae</t>
  </si>
  <si>
    <t>Badnavirus venavitis</t>
  </si>
  <si>
    <t>Badnavirus venazanthoxyli</t>
  </si>
  <si>
    <t>Badnavirus vitis</t>
  </si>
  <si>
    <t>Badnavirus volubetulae</t>
  </si>
  <si>
    <t>Badnavirus wisteriae</t>
  </si>
  <si>
    <t>Badnavirus zetadioscoreae</t>
  </si>
  <si>
    <t>Badnavirus zetainflatheobromae</t>
  </si>
  <si>
    <t>Badnavirus zetavirgamusae</t>
  </si>
  <si>
    <t>Caulimovirus deformatiolamii</t>
  </si>
  <si>
    <t>Caulimovirus glycinis</t>
  </si>
  <si>
    <t>Caulimovirus incidianthi</t>
  </si>
  <si>
    <t>Caulimovirus latensarmoraciae</t>
  </si>
  <si>
    <t>Caulimovirus maculacirsii</t>
  </si>
  <si>
    <t>Caulimovirus maculatractylodei</t>
  </si>
  <si>
    <t>Caulimovirus metaplexis</t>
  </si>
  <si>
    <t>Caulimovirus minutangelicae</t>
  </si>
  <si>
    <t>Caulimovirus tessellobrassicae</t>
  </si>
  <si>
    <t>Caulimovirus tessellodahliae</t>
  </si>
  <si>
    <t>Caulimovirus tessellomirabilis</t>
  </si>
  <si>
    <t>Caulimovirus tesselloscrophulariae</t>
  </si>
  <si>
    <t>Caulimovirus venafragariae</t>
  </si>
  <si>
    <t>Cavemovirus collusipomeae</t>
  </si>
  <si>
    <t>Cavemovirus deltaepiphylli</t>
  </si>
  <si>
    <t>Cavemovirus venamanihotis</t>
  </si>
  <si>
    <t>Dioscovirus dioscoreae</t>
  </si>
  <si>
    <t>Petuvirus venapetuniae</t>
  </si>
  <si>
    <t>Rosadnavirus venarosae</t>
  </si>
  <si>
    <t>Ruflodivirus deformatiorudbeckiae</t>
  </si>
  <si>
    <t>Solendovirus venaipomeae</t>
  </si>
  <si>
    <t>Solendovirus venanicotianae</t>
  </si>
  <si>
    <t>Soymovirus crispocestri</t>
  </si>
  <si>
    <t>Soymovirus eleocharis</t>
  </si>
  <si>
    <t>Soymovirus maculaglycinis</t>
  </si>
  <si>
    <t>Soymovirus maculavaccinii</t>
  </si>
  <si>
    <t>Soymovirus virgarachidis</t>
  </si>
  <si>
    <t>Tungrovirus agapanthi</t>
  </si>
  <si>
    <t>Tungrovirus oryzae</t>
  </si>
  <si>
    <t>Vaccinivirus cadovaccinii</t>
  </si>
  <si>
    <t>Allomimiviridae</t>
  </si>
  <si>
    <t>Heliosvirus</t>
  </si>
  <si>
    <t>Heliosvirus raunefjordenense</t>
  </si>
  <si>
    <t>Oceanusvirus</t>
  </si>
  <si>
    <t>Oceanusvirus kaneohense</t>
  </si>
  <si>
    <t>Mesomimiviridae</t>
  </si>
  <si>
    <t>Tethysvirus</t>
  </si>
  <si>
    <t>Tethysvirus hollandense</t>
  </si>
  <si>
    <t>Tethysvirus ontarioense</t>
  </si>
  <si>
    <t>Tethysvirus raunefjordenense</t>
  </si>
  <si>
    <t>Aliimimivirinae</t>
  </si>
  <si>
    <t>Rheavirus</t>
  </si>
  <si>
    <t>Rheavirus sinusmexicani</t>
  </si>
  <si>
    <t>Klosneuvirinae</t>
  </si>
  <si>
    <t>Fadolivirus</t>
  </si>
  <si>
    <t>Fadolivirus algeromassiliense</t>
  </si>
  <si>
    <t>Theiavirus</t>
  </si>
  <si>
    <t>Theiavirus salishense</t>
  </si>
  <si>
    <t>Yasminevirus</t>
  </si>
  <si>
    <t>Yasminevirus saudimassiliense</t>
  </si>
  <si>
    <t>Megamimivirinae</t>
  </si>
  <si>
    <t>Cotonvirus</t>
  </si>
  <si>
    <t>Cotonvirus japonicum</t>
  </si>
  <si>
    <t>Megavirus</t>
  </si>
  <si>
    <t>Megavirus baoshanense</t>
  </si>
  <si>
    <t>Megavirus chilense</t>
  </si>
  <si>
    <t>Megavirus powaiense</t>
  </si>
  <si>
    <t>Moumouvirus</t>
  </si>
  <si>
    <t>Moumouvirus australiense</t>
  </si>
  <si>
    <t>Moumouvirus goulettemassiliense</t>
  </si>
  <si>
    <t>Moumouvirus moumou</t>
  </si>
  <si>
    <t>Tupanvirus</t>
  </si>
  <si>
    <t>Tupanvirus altamarinense</t>
  </si>
  <si>
    <t>Tupanvirus salinum</t>
  </si>
  <si>
    <t>Mimivirus bradfordmassiliense</t>
  </si>
  <si>
    <t>Mimivirus lagoaense</t>
  </si>
  <si>
    <t>Schizomimiviridae</t>
  </si>
  <si>
    <t>Biavirus</t>
  </si>
  <si>
    <t>Biavirus raunefjordenense</t>
  </si>
  <si>
    <t>Kratosvirus</t>
  </si>
  <si>
    <t>Kratosvirus quantuckense</t>
  </si>
  <si>
    <t>Ascovirus hvav3a</t>
  </si>
  <si>
    <t>Ascovirus sfav1a</t>
  </si>
  <si>
    <t>Ascovirus tnav2a</t>
  </si>
  <si>
    <t>Toursvirus dptv1a</t>
  </si>
  <si>
    <t>Mamonoviridae</t>
  </si>
  <si>
    <t>Medusavirus</t>
  </si>
  <si>
    <t>Medusavirus medusae</t>
  </si>
  <si>
    <t>Medusavirus sthenus</t>
  </si>
  <si>
    <t>Ainoaviricetes</t>
  </si>
  <si>
    <t>Lautamovirales</t>
  </si>
  <si>
    <t>Finnlakevirus FLiP</t>
  </si>
  <si>
    <t>Atroposvirales</t>
  </si>
  <si>
    <t>Skuldviridae</t>
  </si>
  <si>
    <t>Delusorvirus</t>
  </si>
  <si>
    <t>Delusorvirus cascadiense</t>
  </si>
  <si>
    <t>Delusorvirus hikurangiense</t>
  </si>
  <si>
    <t>Coyopavirales</t>
  </si>
  <si>
    <t>Chaacviridae</t>
  </si>
  <si>
    <t>Antichaacvirus</t>
  </si>
  <si>
    <t>Antichaacvirus pescaderoense</t>
  </si>
  <si>
    <t>Homochaacvirus</t>
  </si>
  <si>
    <t>Homochaacvirus californiense</t>
  </si>
  <si>
    <t>Homochaacvirus pescaderoense</t>
  </si>
  <si>
    <t>Alphatectivirus PR4</t>
  </si>
  <si>
    <t>Alphatectivirus PRD1</t>
  </si>
  <si>
    <t>Betatectivirus AP50</t>
  </si>
  <si>
    <t>Betatectivirus Bam35</t>
  </si>
  <si>
    <t>Betatectivirus GIL16</t>
  </si>
  <si>
    <t>Betatectivirus sato</t>
  </si>
  <si>
    <t>Betatectivirus sole</t>
  </si>
  <si>
    <t>Betatectivirus Wip1</t>
  </si>
  <si>
    <t>Deltatectivirus forthebois</t>
  </si>
  <si>
    <t>Deltatectivirus wheeheim</t>
  </si>
  <si>
    <t>Epsilontectivirus toil</t>
  </si>
  <si>
    <t>Gammatectivirus GC1</t>
  </si>
  <si>
    <t>Aviadenovirus leucophthalmi</t>
  </si>
  <si>
    <t>Corticovirus Cr39582</t>
  </si>
  <si>
    <t>Corticovirus PM2</t>
  </si>
  <si>
    <t>Yaraviridae</t>
  </si>
  <si>
    <t>Yaravirus</t>
  </si>
  <si>
    <t>Yaravirus brasiliense</t>
  </si>
  <si>
    <t>Hukuchivirus P2377</t>
  </si>
  <si>
    <t>Alphabaculovirus adhonmai</t>
  </si>
  <si>
    <t>Alphabaculovirus agipsilonis</t>
  </si>
  <si>
    <t>Alphabaculovirus agsegetum</t>
  </si>
  <si>
    <t>Alphabaculovirus alteragsegetum</t>
  </si>
  <si>
    <t>Alphabaculovirus alterchofumiferanae</t>
  </si>
  <si>
    <t>Alphabaculovirus alterchrincludentis</t>
  </si>
  <si>
    <t>Alphabaculovirus altermaconfiguratae</t>
  </si>
  <si>
    <t>Alphabaculovirus altermyunipunctae</t>
  </si>
  <si>
    <t>Alphabaculovirus alterspexiguae</t>
  </si>
  <si>
    <t>Alphabaculovirus angemmatalis</t>
  </si>
  <si>
    <t>Alphabaculovirus anpernyi</t>
  </si>
  <si>
    <t>Alphabaculovirus ardigrammae</t>
  </si>
  <si>
    <t>Alphabaculovirus bomori</t>
  </si>
  <si>
    <t>Alphabaculovirus busuppressariae</t>
  </si>
  <si>
    <t>Alphabaculovirus capomonae</t>
  </si>
  <si>
    <t>Alphabaculovirus chofumiferanae</t>
  </si>
  <si>
    <t>Alphabaculovirus chomurinanae</t>
  </si>
  <si>
    <t>Alphabaculovirus chorosaceanae</t>
  </si>
  <si>
    <t>Alphabaculovirus chrincludentis</t>
  </si>
  <si>
    <t>Alphabaculovirus chrychalcites</t>
  </si>
  <si>
    <t>Alphabaculovirus clabilineatae</t>
  </si>
  <si>
    <t>Alphabaculovirus covestigialis</t>
  </si>
  <si>
    <t>Alphabaculovirus cycundantis</t>
  </si>
  <si>
    <t>Alphabaculovirus dijunonis</t>
  </si>
  <si>
    <t>Alphabaculovirus ecobliquae</t>
  </si>
  <si>
    <t>Alphabaculovirus eppostvittanae</t>
  </si>
  <si>
    <t>Alphabaculovirus erankerariae</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</si>
  <si>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</si>
  <si>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</si>
  <si>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</si>
  <si>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</si>
  <si>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</si>
  <si>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</si>
  <si>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</si>
  <si>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</si>
  <si>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</si>
  <si>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</si>
  <si>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</si>
  <si>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maconfiguratae</t>
  </si>
  <si>
    <t>Alphabaculovirus mavitratae</t>
  </si>
  <si>
    <t>Alphabaculovirus myunipunctae</t>
  </si>
  <si>
    <t>Alphabaculovirus olmendosae</t>
  </si>
  <si>
    <t>Alphabaculovirus opbrumatae</t>
  </si>
  <si>
    <t>Alphabaculovirus orleucostigmae</t>
  </si>
  <si>
    <t>Alphabaculovirus orpseudotsugatae</t>
  </si>
  <si>
    <t>Alphabaculovirus peluscae</t>
  </si>
  <si>
    <t>Alphabaculovirus pesauciae</t>
  </si>
  <si>
    <t>Alphabaculovirus ranus</t>
  </si>
  <si>
    <t>Alphabaculovirus raous</t>
  </si>
  <si>
    <t>Alphabaculovirus spexemptae</t>
  </si>
  <si>
    <t>Alphabaculovirus spexiguae</t>
  </si>
  <si>
    <t>Alphabaculovirus splittoralis</t>
  </si>
  <si>
    <t>Alphabaculovirus spliturae</t>
  </si>
  <si>
    <t>Alphabaculovirus spofrugiperdae</t>
  </si>
  <si>
    <t>Alphabaculovirus sujujubae</t>
  </si>
  <si>
    <t>Alphabaculovirus thorichlaceae</t>
  </si>
  <si>
    <t>Alphabaculovirus travishnous</t>
  </si>
  <si>
    <t>Alphabaculovirus trini</t>
  </si>
  <si>
    <t>Alphabaculovirus urprotei</t>
  </si>
  <si>
    <t>Alphabaculovirus wisignatae</t>
  </si>
  <si>
    <t>Betabaculovirus adoranae</t>
  </si>
  <si>
    <t>Betabaculovirus agsegetum</t>
  </si>
  <si>
    <t>Betabaculovirus alterclanastomosis</t>
  </si>
  <si>
    <t>Betabaculovirus altermyunipunctae</t>
  </si>
  <si>
    <t>Betabaculovirus arrapae</t>
  </si>
  <si>
    <t>Betabaculovirus chofumiferanae</t>
  </si>
  <si>
    <t>Betabaculovirus clanachoretae</t>
  </si>
  <si>
    <t>Betabaculovirus clanastomosis</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</si>
  <si>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</si>
  <si>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</si>
  <si>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</si>
  <si>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</si>
  <si>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</si>
  <si>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</si>
  <si>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</si>
  <si>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</si>
  <si>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</si>
  <si>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</si>
  <si>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maphaseoli</t>
  </si>
  <si>
    <t>Betabaculovirus molatipedis</t>
  </si>
  <si>
    <t>Betabaculovirus myunipunctae</t>
  </si>
  <si>
    <t>Betabaculovirus phoperculellae</t>
  </si>
  <si>
    <t>Betabaculovirus plinterpunctellae</t>
  </si>
  <si>
    <t>Betabaculovirus pluxylostellae</t>
  </si>
  <si>
    <t>Betabaculovirus spliturae</t>
  </si>
  <si>
    <t>Betabaculovirus spofrugiperdae</t>
  </si>
  <si>
    <t>Betabaculovirus trini</t>
  </si>
  <si>
    <t>Betabaculovirus xecnigri</t>
  </si>
  <si>
    <t>Deltabaculovirus cunigripalpi</t>
  </si>
  <si>
    <t>Gammabaculovirus neabietis</t>
  </si>
  <si>
    <t>Gammabaculovirus nelecontei</t>
  </si>
  <si>
    <t>Gammabaculovirus nesertiferis</t>
  </si>
  <si>
    <t>Glossinavirus glopallidipedis</t>
  </si>
  <si>
    <t>Muscavirus musdomesticae</t>
  </si>
  <si>
    <t>Alphanudivirus alterdromelanogasteris</t>
  </si>
  <si>
    <t>Alphanudivirus droinnubilae</t>
  </si>
  <si>
    <t>Alphanudivirus dromelanogasteris</t>
  </si>
  <si>
    <t>Alphanudivirus grybimaculati</t>
  </si>
  <si>
    <t>Alphanudivirus oryrhinocerotis</t>
  </si>
  <si>
    <t>Alphanudivirus quartudromelanogasteris</t>
  </si>
  <si>
    <t>Alphanudivirus tertidromelanogasteris</t>
  </si>
  <si>
    <t>Betanudivirus hezeae</t>
  </si>
  <si>
    <t>Deltanudivirus tipoleraceae</t>
  </si>
  <si>
    <t>Gammanudivirus cameanadis</t>
  </si>
  <si>
    <t>Gammanudivirus cracrangonis</t>
  </si>
  <si>
    <t>Gammanudivirus hogammari</t>
  </si>
  <si>
    <t>Gammanudivirus pemonodonis</t>
  </si>
  <si>
    <t>Aleptorquevirus culic1</t>
  </si>
  <si>
    <t>Aleptorquevirus lepor1</t>
  </si>
  <si>
    <t>Alphatorquevirus cerco1</t>
  </si>
  <si>
    <t>Alphatorquevirus cerco2</t>
  </si>
  <si>
    <t>Alphatorquevirus cerco3</t>
  </si>
  <si>
    <t>Alphatorquevirus cerco5</t>
  </si>
  <si>
    <t>Alphatorquevirus cerco6</t>
  </si>
  <si>
    <t>Alphatorquevirus cerco7</t>
  </si>
  <si>
    <t>Alphatorquevirus homin1</t>
  </si>
  <si>
    <t>Alphatorquevirus homin2</t>
  </si>
  <si>
    <t>Alphatorquevirus homin3</t>
  </si>
  <si>
    <t>Alphatorquevirus homin4</t>
  </si>
  <si>
    <t>Alphatorquevirus homin5</t>
  </si>
  <si>
    <t>Alphatorquevirus homin6</t>
  </si>
  <si>
    <t>Alphatorquevirus homin7</t>
  </si>
  <si>
    <t>Alphatorquevirus homin9</t>
  </si>
  <si>
    <t>Alphatorquevirus homin10</t>
  </si>
  <si>
    <t>Alphatorquevirus homin13</t>
  </si>
  <si>
    <t>Alphatorquevirus homin14</t>
  </si>
  <si>
    <t>Alphatorquevirus homin15</t>
  </si>
  <si>
    <t>Alphatorquevirus homin17</t>
  </si>
  <si>
    <t>Alphatorquevirus homin18</t>
  </si>
  <si>
    <t>Alphatorquevirus homin19</t>
  </si>
  <si>
    <t>Alphatorquevirus homin20</t>
  </si>
  <si>
    <t>Alphatorquevirus homin21</t>
  </si>
  <si>
    <t>Alphatorquevirus homin24</t>
  </si>
  <si>
    <t>Alphatorquevirus homin29</t>
  </si>
  <si>
    <t>Alphatorquevirus homin31</t>
  </si>
  <si>
    <t>Betatorquevirus homini1</t>
  </si>
  <si>
    <t>Betatorquevirus homini2</t>
  </si>
  <si>
    <t>Betatorquevirus homini3</t>
  </si>
  <si>
    <t>Betatorquevirus homini4</t>
  </si>
  <si>
    <t>Betatorquevirus homini5</t>
  </si>
  <si>
    <t>Betatorquevirus homini6</t>
  </si>
  <si>
    <t>Betatorquevirus homini7</t>
  </si>
  <si>
    <t>Betatorquevirus homini8</t>
  </si>
  <si>
    <t>Betatorquevirus homini9</t>
  </si>
  <si>
    <t>Betatorquevirus homini10</t>
  </si>
  <si>
    <t>Betatorquevirus homini11</t>
  </si>
  <si>
    <t>Betatorquevirus homini12</t>
  </si>
  <si>
    <t>Betatorquevirus homini13</t>
  </si>
  <si>
    <t>Betatorquevirus homini14</t>
  </si>
  <si>
    <t>Betatorquevirus homini15</t>
  </si>
  <si>
    <t>Betatorquevirus homini16</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</si>
  <si>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</si>
  <si>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</si>
  <si>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</si>
  <si>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</si>
  <si>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</si>
  <si>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</si>
  <si>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</si>
  <si>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</si>
  <si>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</si>
  <si>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</si>
  <si>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homini27</t>
  </si>
  <si>
    <t>Betatorquevirus homini28</t>
  </si>
  <si>
    <t>Betatorquevirus homini29</t>
  </si>
  <si>
    <t>Betatorquevirus homini30</t>
  </si>
  <si>
    <t>Betatorquevirus homini31</t>
  </si>
  <si>
    <t>Betatorquevirus homini32</t>
  </si>
  <si>
    <t>Betatorquevirus homini33</t>
  </si>
  <si>
    <t>Betatorquevirus homini34</t>
  </si>
  <si>
    <t>Betatorquevirus homini35</t>
  </si>
  <si>
    <t>Betatorquevirus homini36</t>
  </si>
  <si>
    <t>Betatorquevirus homini37</t>
  </si>
  <si>
    <t>Betatorquevirus homini38</t>
  </si>
  <si>
    <t>Chitorquevirus indri1</t>
  </si>
  <si>
    <t>Dalettorquevirus ursid6</t>
  </si>
  <si>
    <t>Deltatorquevirus tupai1</t>
  </si>
  <si>
    <t>Epsilontorquevirus calli1</t>
  </si>
  <si>
    <t>Etatorquevirus felid1</t>
  </si>
  <si>
    <t>Etatorquevirus felid2</t>
  </si>
  <si>
    <t>Etatorquevirus felid3</t>
  </si>
  <si>
    <t>Etatorquevirus felid4</t>
  </si>
  <si>
    <t>Etatorquevirus felid5</t>
  </si>
  <si>
    <t>Etatorquevirus viver3</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</si>
  <si>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</si>
  <si>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</si>
  <si>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</si>
  <si>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</si>
  <si>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</si>
  <si>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</si>
  <si>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</si>
  <si>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</si>
  <si>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</si>
  <si>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</si>
  <si>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</si>
  <si>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</si>
  <si>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</si>
  <si>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</si>
  <si>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</si>
  <si>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</si>
  <si>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Gyrovirus chickenanemia</t>
  </si>
  <si>
    <t>Hetorquevirus hominid2</t>
  </si>
  <si>
    <t>Iotatorquevirus suida1a</t>
  </si>
  <si>
    <t>Kappatorquevirus suidak2a</t>
  </si>
  <si>
    <t>Kappatorquevirus suidak2b</t>
  </si>
  <si>
    <t>Lambdatorquevirus phoci1</t>
  </si>
  <si>
    <t>Lambdatorquevirus phoci2</t>
  </si>
  <si>
    <t>Lambdatorquevirus phoci3</t>
  </si>
  <si>
    <t>Lambdatorquevirus phoci5</t>
  </si>
  <si>
    <t>Lambdatorquevirus phoci6</t>
  </si>
  <si>
    <t>Mutorquevirus equid1</t>
  </si>
  <si>
    <t>Mutorquevirus equid2</t>
  </si>
  <si>
    <t>Nutorquevirus phoci4</t>
  </si>
  <si>
    <t>Omegatorquevirus hominid1</t>
  </si>
  <si>
    <t>Omicrontorquevirus ursid5</t>
  </si>
  <si>
    <t>Pitorquevirus ursid7</t>
  </si>
  <si>
    <t>Pitorquevirus ursid8</t>
  </si>
  <si>
    <t>Pitorquevirus ursid9</t>
  </si>
  <si>
    <t>Pitorquevirus ursid10</t>
  </si>
  <si>
    <t>Pitorquevirus ursid11</t>
  </si>
  <si>
    <t>Pitorquevirus ursid12</t>
  </si>
  <si>
    <t>Psitorquevirus procy4</t>
  </si>
  <si>
    <t>Rhotorquevirus murid1</t>
  </si>
  <si>
    <t>Sigmatorquevirus otari1</t>
  </si>
  <si>
    <t>Sigmatorquevirus otari2</t>
  </si>
  <si>
    <t>Sigmatorquevirus otari3</t>
  </si>
  <si>
    <t>Tettorquevirus felid6</t>
  </si>
  <si>
    <t>Thetatorquevirus canid1</t>
  </si>
  <si>
    <t>Thetatorquevirus ixodi1</t>
  </si>
  <si>
    <t>Thetatorquevirus muste1</t>
  </si>
  <si>
    <t>Thetatorquevirus procy5</t>
  </si>
  <si>
    <t>Thetatorquevirus procy6</t>
  </si>
  <si>
    <t>Thetatorquevirus ursid1</t>
  </si>
  <si>
    <t>Thetatorquevirus ursid2</t>
  </si>
  <si>
    <t>Thetatorquevirus ursid3</t>
  </si>
  <si>
    <t>Thetatorquevirus ursid4</t>
  </si>
  <si>
    <t>Thetatorquevirus viver4</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</si>
  <si>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</si>
  <si>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</si>
  <si>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</si>
  <si>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</si>
  <si>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</si>
  <si>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</si>
  <si>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</si>
  <si>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</si>
  <si>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crice2</t>
  </si>
  <si>
    <t>Wawtorquevirus crice3</t>
  </si>
  <si>
    <t>Wawtorquevirus culic2</t>
  </si>
  <si>
    <t>Wawtorquevirus murid2</t>
  </si>
  <si>
    <t>Wawtorquevirus murid3</t>
  </si>
  <si>
    <t>Xitorquevirus didel1</t>
  </si>
  <si>
    <t>Xitorquevirus molos1</t>
  </si>
  <si>
    <t>Zayintorquevirus viver1</t>
  </si>
  <si>
    <t>Zayintorquevirus viver5</t>
  </si>
  <si>
    <t>Zetatorquevirus aotid1</t>
  </si>
  <si>
    <t>Plasmavirus L2</t>
  </si>
  <si>
    <t>Polydnaviriformidae</t>
  </si>
  <si>
    <t>Bracoviriform</t>
  </si>
  <si>
    <t>Bracoviriform altitudinis</t>
  </si>
  <si>
    <t>Bracoviriform argentifrontis</t>
  </si>
  <si>
    <t>Bracoviriform blackburni</t>
  </si>
  <si>
    <t>Bracoviriform canadense</t>
  </si>
  <si>
    <t>Bracoviriform congregatae</t>
  </si>
  <si>
    <t>Bracoviriform crassicornis</t>
  </si>
  <si>
    <t>Bracoviriform croceipedis</t>
  </si>
  <si>
    <t>Bracoviriform curvimaculati</t>
  </si>
  <si>
    <t>Bracoviriform demolitoris</t>
  </si>
  <si>
    <t>Bracoviriform ectdytolophae</t>
  </si>
  <si>
    <t>Bracoviriform facetosae</t>
  </si>
  <si>
    <t>Bracoviriform flavicoxis</t>
  </si>
  <si>
    <t>Bracoviriform flavipedis</t>
  </si>
  <si>
    <t>Bracoviriform flavitestaceae</t>
  </si>
  <si>
    <t>Bracoviriform fumiferanae</t>
  </si>
  <si>
    <t>Bracoviriform glomeratae</t>
  </si>
  <si>
    <t>Bracoviriform hyphantriae</t>
  </si>
  <si>
    <t>Bracoviriform inaniti</t>
  </si>
  <si>
    <t>Bracoviriform indiense</t>
  </si>
  <si>
    <t>Bracoviriform insularis</t>
  </si>
  <si>
    <t>Bracoviriform kariyai</t>
  </si>
  <si>
    <t>Bracoviriform liparidis</t>
  </si>
  <si>
    <t>Bracoviriform marginiventris</t>
  </si>
  <si>
    <t>Bracoviriform melanoscelae</t>
  </si>
  <si>
    <t>Bracoviriform nigricipitis</t>
  </si>
  <si>
    <t>Bracoviriform ornigis</t>
  </si>
  <si>
    <t>Bracoviriform paleacritae</t>
  </si>
  <si>
    <t>Bracoviriform quadridentatae</t>
  </si>
  <si>
    <t>Bracoviriform rubeculae</t>
  </si>
  <si>
    <t>Bracoviriform schaeferi</t>
  </si>
  <si>
    <t>Bracoviriform texani</t>
  </si>
  <si>
    <t>Ichnoviriform</t>
  </si>
  <si>
    <t>Ichnoviriform acronyctae</t>
  </si>
  <si>
    <t>Ichnoviriform annulipedis</t>
  </si>
  <si>
    <t>Ichnoviriform aprilis</t>
  </si>
  <si>
    <t>Ichnoviriform arjunae</t>
  </si>
  <si>
    <t>Ichnoviriform benefactoris</t>
  </si>
  <si>
    <t>Ichnoviriform eribori</t>
  </si>
  <si>
    <t>Ichnoviriform exiguae</t>
  </si>
  <si>
    <t>Ichnoviriform flavicinctae</t>
  </si>
  <si>
    <t>Ichnoviriform forcipatae</t>
  </si>
  <si>
    <t>Ichnoviriform fugitivi</t>
  </si>
  <si>
    <t>Ichnoviriform fumiferanae</t>
  </si>
  <si>
    <t>Ichnoviriform geniculatae</t>
  </si>
  <si>
    <t>Ichnoviriform infestae</t>
  </si>
  <si>
    <t>Ichnoviriform interrupti</t>
  </si>
  <si>
    <t>Ichnoviriform lymantriae</t>
  </si>
  <si>
    <t>Ichnoviriform montani</t>
  </si>
  <si>
    <t>Ichnoviriform pilosuli</t>
  </si>
  <si>
    <t>Ichnoviriform rivalis</t>
  </si>
  <si>
    <t>Ichnoviriform rostralis</t>
  </si>
  <si>
    <t>Ichnoviriform sonorense</t>
  </si>
  <si>
    <t>Ichnoviriform tenuifemoris</t>
  </si>
  <si>
    <t>Ichnoviriform terebrantis</t>
  </si>
  <si>
    <t>family</t>
  </si>
  <si>
    <t>genus</t>
  </si>
  <si>
    <t>species</t>
  </si>
  <si>
    <t>Seamegvirus</t>
  </si>
  <si>
    <t>Seamegvirus seahorse</t>
  </si>
  <si>
    <t>Mechlorovirus</t>
  </si>
  <si>
    <t>Mechlorovirus cucumeris</t>
  </si>
  <si>
    <t>Riboviria;Orthornavirae;Negarnaviricota;Polyploviricotina;Ellioviricetes;Bunyavirales;Phenuiviridae;Coguvirus;Coguvirus viticulum</t>
  </si>
  <si>
    <t>Riboviria;Orthornavirae;Negarnaviricota;Polyploviricotina;Ellioviricetes;Bunyavirales;Hantaviridae;Mammantavirinae;Orthohantavirus;Orthohantavirus robinaense</t>
  </si>
  <si>
    <t>Riboviria;Orthornavirae;Negarnaviricota;Polyploviricotina;Ellioviricetes;Bunyavirales;Hantaviridae;Mammantavirinae;Orthohantavirus;Orthohantavirus negraense</t>
  </si>
  <si>
    <t>Riboviria;Orthornavirae;Negarnaviricota;Polyploviricotina;Ellioviricetes;Bunyavirales;Hantaviridae;Mammantavirinae;Orthohantavirus;Orthohantavirus moroense</t>
  </si>
  <si>
    <t>Riboviria;Orthornavirae;Negarnaviricota;Polyploviricotina;Ellioviricetes;Bunyavirales;Hantaviridae;Actantavirinae;Actinovirus;Actinovirus lophii</t>
  </si>
  <si>
    <t>Riboviria;Orthornavirae;Negarnaviricota;Haploviricotina;Monjiviricetes;Mononegavirales;Paramyxoviridae;Orthoparamyxovirinae;Narmovirus;Narmovirus tupaiae</t>
  </si>
  <si>
    <t>Riboviria;Orthornavirae;Negarnaviricota;Haploviricotina;Monjiviricetes;Mononegavirales;Paramyxoviridae;Orthoparamyxovirinae;Jeilongvirus;Jeilongvirus miniopteri</t>
  </si>
  <si>
    <t>Riboviria;Orthornavirae;Negarnaviricota;Haploviricotina;Monjiviricetes;Mononegavirales;Paramyxoviridae;Orthoparamyxovirinae;Henipavirus;Henipavirus mojiangense</t>
  </si>
  <si>
    <t>proposal</t>
  </si>
  <si>
    <t>New Name</t>
  </si>
  <si>
    <t>Old Name</t>
  </si>
  <si>
    <t>Rank</t>
  </si>
  <si>
    <t>New</t>
  </si>
  <si>
    <t>Abolished</t>
  </si>
  <si>
    <t>Moved</t>
  </si>
  <si>
    <t>Renamed</t>
  </si>
  <si>
    <t>Bartonegtaviriform andersoni</t>
  </si>
  <si>
    <t>Brachyspigtaviriform stantoni</t>
  </si>
  <si>
    <t>Demiitzamnavirus mexicoense</t>
  </si>
  <si>
    <t>Dinogtaviriform tomaschi</t>
  </si>
  <si>
    <t>Pletoitzamnavirus pescaderoense</t>
  </si>
  <si>
    <t>Rhodobactegtaviriform marrsi</t>
  </si>
  <si>
    <t>Rhodovulugtaviriform kikuchii</t>
  </si>
  <si>
    <t>Ruegerigtaviriform cheni</t>
  </si>
  <si>
    <t>Bartogtaviriformidae</t>
  </si>
  <si>
    <t>Bartonegtaviriform</t>
  </si>
  <si>
    <t>Brachygtaviriformidae</t>
  </si>
  <si>
    <t>Brachyspigtaviriform</t>
  </si>
  <si>
    <t>Itzamnaviridae</t>
  </si>
  <si>
    <t>Demiitzamnavirus</t>
  </si>
  <si>
    <t>Pletoitzamnavirus</t>
  </si>
  <si>
    <t>Rhodogtaviriformidae</t>
  </si>
  <si>
    <t>Dinogtaviriform</t>
  </si>
  <si>
    <t>Rhodobactegtaviriform</t>
  </si>
  <si>
    <t>Rhodovulugtaviriform</t>
  </si>
  <si>
    <t>Ruegerigtaviriform</t>
  </si>
  <si>
    <t>The file name of the taxonomic proposal that details the justification for the last change. Proposals can be retrieved by appending the file nameand '.pdf' to the end of the following url: https://ictv.global/ictv/proposals/&lt;replace with file name.pdf&gt;</t>
  </si>
  <si>
    <t>The release number of the Master Species List (MSL) where the Last Change occurred.
See https://ictv.global/msl for a list of MSLs and their year of release.</t>
  </si>
  <si>
    <t>Kieseladnavirus katao</t>
  </si>
  <si>
    <t>Seawadnavirus gataifale</t>
  </si>
  <si>
    <t>Alphabaculovirus altersperidaniae</t>
  </si>
  <si>
    <t>Alphabaculovirus aucalifornicae</t>
  </si>
  <si>
    <t>Alphabaculovirus crypeltasticae</t>
  </si>
  <si>
    <t>Alphabaculovirus oxochraceae</t>
  </si>
  <si>
    <t>Alphabaculovirus speridaniae</t>
  </si>
  <si>
    <t>Version:</t>
    <phoneticPr fontId="4" type="noConversion"/>
  </si>
  <si>
    <t>Date</t>
    <phoneticPr fontId="4" type="noConversion"/>
  </si>
  <si>
    <t>Change:</t>
    <phoneticPr fontId="4" type="noConversion"/>
  </si>
  <si>
    <t>Original release</t>
    <phoneticPr fontId="4" type="noConversion"/>
  </si>
  <si>
    <t>ICTV 2023 Master Species List (MSL39)</t>
  </si>
  <si>
    <t>Updates approved during EC 55, Jena, Germany, August 2023</t>
  </si>
  <si>
    <t>Email ratification April 2024 (MSL #39)</t>
  </si>
  <si>
    <t>Alphalipothrixvirus beppuense</t>
  </si>
  <si>
    <t>Alphalipothrixvirus umijigokuense</t>
  </si>
  <si>
    <t>Betalipothrixvirus acidiani</t>
  </si>
  <si>
    <t>Betalipothrixvirus hveragerdiense</t>
  </si>
  <si>
    <t>Betalipothrixvirus pezzuloense</t>
  </si>
  <si>
    <t>Betalipothrixvirus pozzuoliense</t>
  </si>
  <si>
    <t>Betalipothrixvirus puteoliense</t>
  </si>
  <si>
    <t>Betalipothrixvirus uzonense</t>
  </si>
  <si>
    <t>Deltalipothrixvirus beppuense</t>
  </si>
  <si>
    <t>Deltalipothrixvirus pozzuoliense</t>
  </si>
  <si>
    <t>Azorudivirus furnasense</t>
  </si>
  <si>
    <t>Hoswirudivirus acidiani</t>
  </si>
  <si>
    <t>Hoswirudivirus metallosphaerae</t>
  </si>
  <si>
    <t>Hoswirudivirus pozzuoliense</t>
  </si>
  <si>
    <t>Hoswirudivirus saccharolobi</t>
  </si>
  <si>
    <t>Icerudivirus gunnuhverense</t>
  </si>
  <si>
    <t>Icerudivirus hveragerdiense</t>
  </si>
  <si>
    <t>Icerudivirus kverkfjoellense</t>
  </si>
  <si>
    <t>Itarudivirus pozzuoliense</t>
  </si>
  <si>
    <t>Japarudivirus beppuense</t>
  </si>
  <si>
    <t>Mexirudivirus azufresense</t>
  </si>
  <si>
    <t>Usarudivirus acidum</t>
  </si>
  <si>
    <t>Usarudivirus aestus</t>
  </si>
  <si>
    <t>Usarudivirus caloris</t>
  </si>
  <si>
    <t>Usarudivirus dryadis</t>
  </si>
  <si>
    <t>Usarudivirus nymphense</t>
  </si>
  <si>
    <t>Usarudivirus yellowstonense</t>
  </si>
  <si>
    <t>Captovirus yellowstonense</t>
  </si>
  <si>
    <t>Alphatristromavirus pozzuoliense</t>
  </si>
  <si>
    <t>Alphatristromavirus puteoliense</t>
  </si>
  <si>
    <t>Betatristromavirus kraflaense</t>
  </si>
  <si>
    <t>Rudgehvirus</t>
  </si>
  <si>
    <t>Rudgehvirus jaberico</t>
  </si>
  <si>
    <t>Kehishuvirus tikkala</t>
  </si>
  <si>
    <t>Kolpuevirus frurule</t>
  </si>
  <si>
    <t>Beejeyvirus bagaejinnorense</t>
  </si>
  <si>
    <t>Seejivirus salhabitans</t>
  </si>
  <si>
    <t>Dpdavirus caudatum</t>
  </si>
  <si>
    <t>Retbasiphovirus hantatum</t>
  </si>
  <si>
    <t>Saldibavirus natrii</t>
  </si>
  <si>
    <t>Hatrivirus caudatum</t>
  </si>
  <si>
    <t>Lonfivirus codicilli</t>
  </si>
  <si>
    <t>Metforvirus limi</t>
  </si>
  <si>
    <t>Armatusviridae</t>
  </si>
  <si>
    <t>Ariesvirus</t>
  </si>
  <si>
    <t>Ariesvirus gravis</t>
  </si>
  <si>
    <t>Kairosviridae</t>
  </si>
  <si>
    <t>Nadirvirus</t>
  </si>
  <si>
    <t>Nadirvirus capraenecum</t>
  </si>
  <si>
    <t>Psimunavirus limi</t>
  </si>
  <si>
    <t>Pigerviridae</t>
  </si>
  <si>
    <t>Somnumvirus</t>
  </si>
  <si>
    <t>Somnumvirus timidum</t>
  </si>
  <si>
    <t>Hacavirus italiense</t>
  </si>
  <si>
    <t>Tredecimvirus thailandense</t>
  </si>
  <si>
    <t>Haloferacalesvirus eilatense</t>
  </si>
  <si>
    <t>Haloferacalesvirus moolapense</t>
  </si>
  <si>
    <t>Haloferacalesvirus pyrstotum</t>
  </si>
  <si>
    <t>Haloferacalesvirus salis</t>
  </si>
  <si>
    <t>Haloferacalesvirus samutsakhonense</t>
  </si>
  <si>
    <t>Haloferacalesvirus serpentinense</t>
  </si>
  <si>
    <t>Haloferacalesvirus thailandense</t>
  </si>
  <si>
    <t>Laminvirus thailandense</t>
  </si>
  <si>
    <t>Mincapvirus eilatense</t>
  </si>
  <si>
    <t>Minorvirus thailandense</t>
  </si>
  <si>
    <t>Hagravirus capitaneum</t>
  </si>
  <si>
    <t>Eilatmyovirus salis</t>
  </si>
  <si>
    <t>Przondovirus amrap</t>
  </si>
  <si>
    <t>Przondovirus emom</t>
  </si>
  <si>
    <t>Przondovirus oda</t>
  </si>
  <si>
    <t>Przondovirus saitama</t>
  </si>
  <si>
    <t>Przondovirus whistle</t>
  </si>
  <si>
    <t>Carltongylesvirus Bp7</t>
  </si>
  <si>
    <t>Carltongylesvirus Bp10</t>
  </si>
  <si>
    <t>Carltongylesvirus DE15</t>
  </si>
  <si>
    <t>Carltongylesvirus MLP1</t>
  </si>
  <si>
    <t>Carltongylesvirus PO1031</t>
  </si>
  <si>
    <t>Carltongylesvirus PYps16N</t>
  </si>
  <si>
    <t>Carltongylesvirus PYps23T</t>
  </si>
  <si>
    <t>Carltongylesvirus PYps3T</t>
  </si>
  <si>
    <t>Carltongylesvirus SA91KD</t>
  </si>
  <si>
    <t>Carltongylesvirus SKA49</t>
  </si>
  <si>
    <t>Fifivirus</t>
  </si>
  <si>
    <t>Fifivirus fifi44</t>
  </si>
  <si>
    <t>Liaoningvirus</t>
  </si>
  <si>
    <t>Liaoningvirus VPs20</t>
  </si>
  <si>
    <t>Longwangvirus</t>
  </si>
  <si>
    <t>Longwangvirus BUCT696</t>
  </si>
  <si>
    <t>Phayathaivirus</t>
  </si>
  <si>
    <t>Phayathaivirus pAh62TG</t>
  </si>
  <si>
    <t>Phayathaivirus PVN03</t>
  </si>
  <si>
    <t>Chimalliviridae</t>
  </si>
  <si>
    <t>Clermontviridae</t>
  </si>
  <si>
    <t>Ventrumvirus</t>
  </si>
  <si>
    <t>Ventrumvirus gergoviense</t>
  </si>
  <si>
    <t>Epseptimavirus 150049</t>
  </si>
  <si>
    <t>Epseptimavirus ace</t>
  </si>
  <si>
    <t>Epseptimavirus BD13</t>
  </si>
  <si>
    <t>Epseptimavirus beppo</t>
  </si>
  <si>
    <t>Epseptimavirus bobsandoy</t>
  </si>
  <si>
    <t>Epseptimavirus bux</t>
  </si>
  <si>
    <t>Epseptimavirus ende</t>
  </si>
  <si>
    <t>Epseptimavirus EscoHU1</t>
  </si>
  <si>
    <t>Epseptimavirus ev26175I</t>
  </si>
  <si>
    <t>Epseptimavirus falkor</t>
  </si>
  <si>
    <t>Epseptimavirus gretekellenberger</t>
  </si>
  <si>
    <t>Epseptimavirus GRNsp8</t>
  </si>
  <si>
    <t>Epseptimavirus GSP001</t>
  </si>
  <si>
    <t>Epseptimavirus GSW6</t>
  </si>
  <si>
    <t>Epseptimavirus irmatschudi</t>
  </si>
  <si>
    <t>Epseptimavirus JNS202001</t>
  </si>
  <si>
    <t>Epseptimavirus JNwz02</t>
  </si>
  <si>
    <t>Epseptimavirus KKP</t>
  </si>
  <si>
    <t>Epseptimavirus METP1137112</t>
  </si>
  <si>
    <t>Epseptimavirus misterkot</t>
  </si>
  <si>
    <t>Epseptimavirus N3</t>
  </si>
  <si>
    <t>Epseptimavirus N7</t>
  </si>
  <si>
    <t>Epseptimavirus phagemcphageface</t>
  </si>
  <si>
    <t>Epseptimavirus polluks</t>
  </si>
  <si>
    <t>Epseptimavirus PRFSP13</t>
  </si>
  <si>
    <t>Epseptimavirus rutana</t>
  </si>
  <si>
    <t>Epseptimavirus SB9</t>
  </si>
  <si>
    <t>Epseptimavirus SB10</t>
  </si>
  <si>
    <t>Epseptimavirus Sds2</t>
  </si>
  <si>
    <t>Epseptimavirus SE3</t>
  </si>
  <si>
    <t>Epseptimavirus smaug</t>
  </si>
  <si>
    <t>Epseptimavirus SP76</t>
  </si>
  <si>
    <t>Epseptimavirus STWB21</t>
  </si>
  <si>
    <t>Epseptimavirus STyj51</t>
  </si>
  <si>
    <t>Epseptimavirus supergirl</t>
  </si>
  <si>
    <t>Epseptimavirus thor</t>
  </si>
  <si>
    <t>Epseptimavirus trudigerster</t>
  </si>
  <si>
    <t>Epseptimavirus trudiroth</t>
  </si>
  <si>
    <t>Epseptimavirus UTK0009</t>
  </si>
  <si>
    <t>Epseptimavirus UTK0010</t>
  </si>
  <si>
    <t>Epseptimavirus vaffelhjerte</t>
  </si>
  <si>
    <t>Tequintavirus ABTNLsp4</t>
  </si>
  <si>
    <t>Tequintavirus ABTNLsp9</t>
  </si>
  <si>
    <t>Tequintavirus BB1</t>
  </si>
  <si>
    <t>Tequintavirus DaisyDussoix</t>
  </si>
  <si>
    <t>Tequintavirus E22</t>
  </si>
  <si>
    <t>Tequintavirus EC100</t>
  </si>
  <si>
    <t>Tequintavirus EC148</t>
  </si>
  <si>
    <t>Tequintavirus ECOP18</t>
  </si>
  <si>
    <t>Tequintavirus ESCO30</t>
  </si>
  <si>
    <t>Tequintavirus ESCO40</t>
  </si>
  <si>
    <t>Tequintavirus ev219</t>
  </si>
  <si>
    <t>Tequintavirus GSP044</t>
  </si>
  <si>
    <t>Tequintavirus HASG4</t>
  </si>
  <si>
    <t>Tequintavirus hildybeyeler</t>
  </si>
  <si>
    <t>Tequintavirus IME178</t>
  </si>
  <si>
    <t>Tequintavirus irisvonroten</t>
  </si>
  <si>
    <t>Tequintavirus JLBYU40</t>
  </si>
  <si>
    <t>Tequintavirus JLBYU43</t>
  </si>
  <si>
    <t>Tequintavirus KPP2018</t>
  </si>
  <si>
    <t>Tequintavirus lindwurm</t>
  </si>
  <si>
    <t>Tequintavirus LmqsSP1</t>
  </si>
  <si>
    <t>Tequintavirus N5</t>
  </si>
  <si>
    <t>Tequintavirus P1100107</t>
  </si>
  <si>
    <t>Tequintavirus phA11</t>
  </si>
  <si>
    <t>Tequintavirus phB7</t>
  </si>
  <si>
    <t>Tequintavirus phC17</t>
  </si>
  <si>
    <t>Tequintavirus PNJ1902</t>
  </si>
  <si>
    <t>Tequintavirus S124</t>
  </si>
  <si>
    <t>Tequintavirus SA001</t>
  </si>
  <si>
    <t>Tequintavirus selmaratti</t>
  </si>
  <si>
    <t>Tequintavirus tv179112</t>
  </si>
  <si>
    <t>Tequintavirus tv3sent1</t>
  </si>
  <si>
    <t>Tequintavirus tv8sent1748</t>
  </si>
  <si>
    <t>Tequintavirus tvI1</t>
  </si>
  <si>
    <t>Tequintavirus vVAH1</t>
  </si>
  <si>
    <t>Keyvirus</t>
  </si>
  <si>
    <t>Keyvirus AAS21</t>
  </si>
  <si>
    <t>Keyvirus key</t>
  </si>
  <si>
    <t>Sugarlandvirus AmPhEK80</t>
  </si>
  <si>
    <t>Sugarlandvirus anoxic</t>
  </si>
  <si>
    <t>Sugarlandvirus B01</t>
  </si>
  <si>
    <t>Sugarlandvirus FZ41</t>
  </si>
  <si>
    <t>Sugarlandvirus GZ8</t>
  </si>
  <si>
    <t>Sugarlandvirus JIPhKp127</t>
  </si>
  <si>
    <t>Sugarlandvirus KpGranit</t>
  </si>
  <si>
    <t>Sugarlandvirus KPN4</t>
  </si>
  <si>
    <t>Sugarlandvirus PWKp9S</t>
  </si>
  <si>
    <t>Sugarlandvirus ShaphcTDM11244</t>
  </si>
  <si>
    <t>Sugarlandvirus storm</t>
  </si>
  <si>
    <t>Sugarlandvirus totoro</t>
  </si>
  <si>
    <t>Sugarlandvirus Uniso31</t>
  </si>
  <si>
    <t>Sugarlandvirus VAC35</t>
  </si>
  <si>
    <t>Sugarlandvirus VAC51</t>
  </si>
  <si>
    <t>Sugarlandvirus veronica</t>
  </si>
  <si>
    <t>Augustepiccardvirus</t>
  </si>
  <si>
    <t>Augustepiccardvirus augustepiccard</t>
  </si>
  <si>
    <t>Guelphvirus SCS31</t>
  </si>
  <si>
    <t>Inhoffenstrassevirus</t>
  </si>
  <si>
    <t>Inhoffenstrassevirus MM01</t>
  </si>
  <si>
    <t>Julespiccardvirus</t>
  </si>
  <si>
    <t>Julespiccardvirus julespiccard</t>
  </si>
  <si>
    <t>Loudonvirus EC3a</t>
  </si>
  <si>
    <t>Rtpvirus ZL19</t>
  </si>
  <si>
    <t>Veterinaerplatzvirus FP</t>
  </si>
  <si>
    <t>Veterinaerplatzvirus Jeanpiccard</t>
  </si>
  <si>
    <t>Veterinaerplatzvirus SU57</t>
  </si>
  <si>
    <t>Veterinaerplatzvirus vv2725N25</t>
  </si>
  <si>
    <t>Rogunavirus BECP10</t>
  </si>
  <si>
    <t>Rogunavirus UDF157w</t>
  </si>
  <si>
    <t>Sadiyavirus</t>
  </si>
  <si>
    <t>Sadiyavirus sadiya</t>
  </si>
  <si>
    <t>Baihuvirus</t>
  </si>
  <si>
    <t>Baihuvirus PHB17</t>
  </si>
  <si>
    <t>Changchunvirus paulsarasin</t>
  </si>
  <si>
    <t>Hanrivervirus EC147</t>
  </si>
  <si>
    <t>Hanrivervirus fulano1</t>
  </si>
  <si>
    <t>Hanrivervirus jacobbernoulli</t>
  </si>
  <si>
    <t>Hanrivervirus JLBYU41</t>
  </si>
  <si>
    <t>Hanrivervirus karljaspers</t>
  </si>
  <si>
    <t>Hanrivervirus SFP17</t>
  </si>
  <si>
    <t>Henuseptimavirus isaaklselin</t>
  </si>
  <si>
    <t>Henuseptimavirus johannburckhardt</t>
  </si>
  <si>
    <t>Henuseptimavirus samwise</t>
  </si>
  <si>
    <t>Jahatvirus</t>
  </si>
  <si>
    <t>Jahatvirus MG145</t>
  </si>
  <si>
    <t>Peekayseptimavirus</t>
  </si>
  <si>
    <t>Peekayseptimavirus PK7R</t>
  </si>
  <si>
    <t>Pocisvirus</t>
  </si>
  <si>
    <t>Pocisvirus pocis76</t>
  </si>
  <si>
    <t>Tlsvirus blueshaddow</t>
  </si>
  <si>
    <t>Tlsvirus brooksby</t>
  </si>
  <si>
    <t>Tlsvirus danielbernouli</t>
  </si>
  <si>
    <t>Tlsvirus ecorrea</t>
  </si>
  <si>
    <t>Tlsvirus F61</t>
  </si>
  <si>
    <t>Tlsvirus GSP032</t>
  </si>
  <si>
    <t>Tlsvirus mishy</t>
  </si>
  <si>
    <t>Tlsvirus sorkzaugg</t>
  </si>
  <si>
    <t>Tlsvirus stevie116</t>
  </si>
  <si>
    <t>Tlsvirus tv011D2</t>
  </si>
  <si>
    <t>Tlsvirus U136B</t>
  </si>
  <si>
    <t>Tlsvirus UTK0006</t>
  </si>
  <si>
    <t>Tlsvirus UTK0007</t>
  </si>
  <si>
    <t>Warwickvirus ityhuna</t>
  </si>
  <si>
    <t>Warwickvirus JLBYU16</t>
  </si>
  <si>
    <t>Warwickvirus JLBYU26</t>
  </si>
  <si>
    <t>Warwickvirus orkinos</t>
  </si>
  <si>
    <t>Warwickvirus poky</t>
  </si>
  <si>
    <t>Warwickvirus sip</t>
  </si>
  <si>
    <t>Sertoctavirus brunomanser</t>
  </si>
  <si>
    <t>Tunavirus chapo</t>
  </si>
  <si>
    <t>Tunavirus CLBP3</t>
  </si>
  <si>
    <t>Tunavirus leonhardeuler</t>
  </si>
  <si>
    <t>Tunavirus Lg3</t>
  </si>
  <si>
    <t>Tunavirus LHE71</t>
  </si>
  <si>
    <t>Tunavirus S202</t>
  </si>
  <si>
    <t>Tunavirus SA12KD</t>
  </si>
  <si>
    <t>Tunavirus SA30RD</t>
  </si>
  <si>
    <t>Tunavirus SA32RD</t>
  </si>
  <si>
    <t>Webervirus 1086</t>
  </si>
  <si>
    <t>Webervirus 066039</t>
  </si>
  <si>
    <t>Webervirus ABTNL2</t>
  </si>
  <si>
    <t>Webervirus B1</t>
  </si>
  <si>
    <t>Webervirus BMac</t>
  </si>
  <si>
    <t>Webervirus BUCT705</t>
  </si>
  <si>
    <t>Webervirus BUCT556A</t>
  </si>
  <si>
    <t>Webervirus cp1</t>
  </si>
  <si>
    <t>Webervirus cp3</t>
  </si>
  <si>
    <t>Webervirus cp5</t>
  </si>
  <si>
    <t>Webervirus cp17</t>
  </si>
  <si>
    <t>Webervirus cp24</t>
  </si>
  <si>
    <t>Webervirus F1M1D</t>
  </si>
  <si>
    <t>Webervirus F2M1D</t>
  </si>
  <si>
    <t>Webervirus fairdinkum</t>
  </si>
  <si>
    <t>Webervirus GZ9</t>
  </si>
  <si>
    <t>Webervirus IME268</t>
  </si>
  <si>
    <t>Webervirus IME328</t>
  </si>
  <si>
    <t>Webervirus kingDDD</t>
  </si>
  <si>
    <t>Webervirus KP132</t>
  </si>
  <si>
    <t>Webervirus KPNHS3</t>
  </si>
  <si>
    <t>Webervirus KPP2020</t>
  </si>
  <si>
    <t>Webervirus KpS4</t>
  </si>
  <si>
    <t>Webervirus LF20</t>
  </si>
  <si>
    <t>Webervirus mfs</t>
  </si>
  <si>
    <t>Webervirus MMBB</t>
  </si>
  <si>
    <t>Webervirus mtp2</t>
  </si>
  <si>
    <t>Webervirus mtp12</t>
  </si>
  <si>
    <t>Webervirus mtp13</t>
  </si>
  <si>
    <t>Webervirus mtp17</t>
  </si>
  <si>
    <t>Webervirus mtp19</t>
  </si>
  <si>
    <t>Webervirus mtp23</t>
  </si>
  <si>
    <t>Webervirus mtp30</t>
  </si>
  <si>
    <t>Webervirus mtp31</t>
  </si>
  <si>
    <t>Webervirus NJS2</t>
  </si>
  <si>
    <t>Webervirus NPat</t>
  </si>
  <si>
    <t>Webervirus Opt817</t>
  </si>
  <si>
    <t>Webervirus P1</t>
  </si>
  <si>
    <t>Webervirus P528</t>
  </si>
  <si>
    <t>Webervirus penguinator</t>
  </si>
  <si>
    <t>Webervirus petecarol</t>
  </si>
  <si>
    <t>Webervirus pK8</t>
  </si>
  <si>
    <t>Webervirus pKPBS31711</t>
  </si>
  <si>
    <t>Webervirus PSKP16</t>
  </si>
  <si>
    <t>Webervirus PWKp15</t>
  </si>
  <si>
    <t>Webervirus PWKp17</t>
  </si>
  <si>
    <t>Webervirus PWKp20</t>
  </si>
  <si>
    <t>Webervirus RAD2</t>
  </si>
  <si>
    <t>Webervirus solomon</t>
  </si>
  <si>
    <t>Webervirus VAC2</t>
  </si>
  <si>
    <t>Webervirus VAC4</t>
  </si>
  <si>
    <t>Webervirus VAC5</t>
  </si>
  <si>
    <t>Webervirus VAC6</t>
  </si>
  <si>
    <t>Webervirus VAC7</t>
  </si>
  <si>
    <t>Webervirus VAC8</t>
  </si>
  <si>
    <t>Webervirus VAC10</t>
  </si>
  <si>
    <t>Webervirus VAC11</t>
  </si>
  <si>
    <t>Webervirus VAC70</t>
  </si>
  <si>
    <t>Webervirus VAC110</t>
  </si>
  <si>
    <t>Webervirus VAC111</t>
  </si>
  <si>
    <t>Webervirus VAC112</t>
  </si>
  <si>
    <t>Webervirus VAC113</t>
  </si>
  <si>
    <t>Webervirus VLCpiD7a</t>
  </si>
  <si>
    <t>Webervirus VLCpiD7b</t>
  </si>
  <si>
    <t>Webervirus VLCpiD7c</t>
  </si>
  <si>
    <t>Webervirus W14</t>
  </si>
  <si>
    <t>Webervirus wv2811</t>
  </si>
  <si>
    <t>Webervirus ZX2</t>
  </si>
  <si>
    <t>Gregsiragusavirus cpp</t>
  </si>
  <si>
    <t>Gregsiragusavirus hn02</t>
  </si>
  <si>
    <t>Gregsiragusavirus pm11</t>
  </si>
  <si>
    <t>Brucesealvirus cpq3</t>
  </si>
  <si>
    <t>Brucesealvirus cpq9</t>
  </si>
  <si>
    <t>Susfortunavirus dcp1</t>
  </si>
  <si>
    <t>Susfortunavirus gdyzp5</t>
  </si>
  <si>
    <t>Kochikohdavirus bob</t>
  </si>
  <si>
    <t>Kochikohdavirus car</t>
  </si>
  <si>
    <t>Kochikohdavirus Ef23</t>
  </si>
  <si>
    <t>Kochikohdavirus Ef17h</t>
  </si>
  <si>
    <t>Kochikohdavirus Ef19g</t>
  </si>
  <si>
    <t>Kochikohdavirus EF24CP2</t>
  </si>
  <si>
    <t>Kochikohdavirus kv53</t>
  </si>
  <si>
    <t>Kochikohdavirus kv149</t>
  </si>
  <si>
    <t>Kochikohdavirus mda2</t>
  </si>
  <si>
    <t>Kochikohdavirus PBEF19</t>
  </si>
  <si>
    <t>Kochikohdavirus Sw5</t>
  </si>
  <si>
    <t>Schiekvirus 163</t>
  </si>
  <si>
    <t>Schiekvirus A2</t>
  </si>
  <si>
    <t>Schiekvirus ben</t>
  </si>
  <si>
    <t>Schiekvirus bill</t>
  </si>
  <si>
    <t>Schiekvirus bop</t>
  </si>
  <si>
    <t>Schiekvirus Ccs1</t>
  </si>
  <si>
    <t>Schiekvirus Efgrng</t>
  </si>
  <si>
    <t>Schiekvirus Efsszw1</t>
  </si>
  <si>
    <t>Schiekvirus Gvesp1</t>
  </si>
  <si>
    <t>Schiekvirus if6</t>
  </si>
  <si>
    <t>Schiekvirus Pef771</t>
  </si>
  <si>
    <t>Schiekvirus Porthos</t>
  </si>
  <si>
    <t>Schiekvirus Shef13</t>
  </si>
  <si>
    <t>Schiekvirus Shef16</t>
  </si>
  <si>
    <t>Schiekvirus sv113</t>
  </si>
  <si>
    <t>Schiekvirus Tje1</t>
  </si>
  <si>
    <t>Schiekvirus Tje2</t>
  </si>
  <si>
    <t>Jasinskavirinae</t>
  </si>
  <si>
    <t>Konodaiviridae</t>
  </si>
  <si>
    <t>Akedovirus</t>
  </si>
  <si>
    <t>Akedovirus syoka</t>
  </si>
  <si>
    <t>Satomivirus</t>
  </si>
  <si>
    <t>Satomivirus wayo</t>
  </si>
  <si>
    <t>Shienvirus</t>
  </si>
  <si>
    <t>Shienvirus iryou</t>
  </si>
  <si>
    <t>Lutetiaviridae</t>
  </si>
  <si>
    <t>Classicovirus</t>
  </si>
  <si>
    <t>Classicovirus victor</t>
  </si>
  <si>
    <t>Clampvirus italiense</t>
  </si>
  <si>
    <t>Madridviridae</t>
  </si>
  <si>
    <t>Bosavirus Axl1</t>
  </si>
  <si>
    <t>Bosavirus Doca6</t>
  </si>
  <si>
    <t>Bosavirus Doca10</t>
  </si>
  <si>
    <t>Bosavirus FMYAK</t>
  </si>
  <si>
    <t>Bosavirus Xp12</t>
  </si>
  <si>
    <t>Cinvestavvirus</t>
  </si>
  <si>
    <t>Cinvestavvirus PaMx74</t>
  </si>
  <si>
    <t>Docaquintavirus</t>
  </si>
  <si>
    <t>Docaquintavirus doca5</t>
  </si>
  <si>
    <t>Donnerlittchenvirus</t>
  </si>
  <si>
    <t>Donnerlittchenvirus donnerlittchenvirus</t>
  </si>
  <si>
    <t>Elanorvirus</t>
  </si>
  <si>
    <t>Elanorvirus elanor</t>
  </si>
  <si>
    <t>Ghuizhouvirus</t>
  </si>
  <si>
    <t>Ghuizhouvirus A1432</t>
  </si>
  <si>
    <t>Mallosvirus</t>
  </si>
  <si>
    <t>Mallosvirus mallos</t>
  </si>
  <si>
    <t>Pamexvirus AAT1</t>
  </si>
  <si>
    <t>Pamexvirus phiH1</t>
  </si>
  <si>
    <t>Pamexvirus phiH2</t>
  </si>
  <si>
    <t>Xooduovirus QDWS359</t>
  </si>
  <si>
    <t>Bielevirus A051</t>
  </si>
  <si>
    <t>Elveevirus V13P477T2</t>
  </si>
  <si>
    <t>Graikaemvirus YenM3117</t>
  </si>
  <si>
    <t>Inibicvirus</t>
  </si>
  <si>
    <t>Inibicvirus 613R3</t>
  </si>
  <si>
    <t>Irtavirus CFP3</t>
  </si>
  <si>
    <t>Kayeltresvirus menos</t>
  </si>
  <si>
    <t>Kayeltresvirus milagro</t>
  </si>
  <si>
    <t>Kayeltresvirus momento</t>
  </si>
  <si>
    <t>Kayeltresvirus musica</t>
  </si>
  <si>
    <t>Kisquinquevirus Carl1</t>
  </si>
  <si>
    <t>Peduovirus FSLSP004</t>
  </si>
  <si>
    <t>Peduovirus GMG73</t>
  </si>
  <si>
    <t>Peduovirus GMS190</t>
  </si>
  <si>
    <t>Peduovirus P110331</t>
  </si>
  <si>
    <t>Saffermanviridae</t>
  </si>
  <si>
    <t>Arthrovirus</t>
  </si>
  <si>
    <t>Arthrovirus TR020</t>
  </si>
  <si>
    <t>Morrisvirus</t>
  </si>
  <si>
    <t>Morrisvirus JingP1</t>
  </si>
  <si>
    <t>Morrisvirus LPP1</t>
  </si>
  <si>
    <t>Morrisvirus Pboyong3</t>
  </si>
  <si>
    <t>Wumpquatrovirus Lbo240yong1</t>
  </si>
  <si>
    <t>Wumptrevirus LPP2</t>
  </si>
  <si>
    <t>Hemphillvirus bece5</t>
  </si>
  <si>
    <t>Layangcvirus</t>
  </si>
  <si>
    <t>Layangcvirus LY3</t>
  </si>
  <si>
    <t>Bahkauvirus</t>
  </si>
  <si>
    <t>Bahkauvirus chedec</t>
  </si>
  <si>
    <t>Gaunavirus syybuna</t>
  </si>
  <si>
    <t>Halohivirus suolae</t>
  </si>
  <si>
    <t>Samsavirus crystalli</t>
  </si>
  <si>
    <t>Tequatrovirus vipecoom</t>
  </si>
  <si>
    <t>Pormufvirus salinum</t>
  </si>
  <si>
    <t>Toyamaviridae</t>
  </si>
  <si>
    <t>Totsukavirus</t>
  </si>
  <si>
    <t>Totsukavirus waseda</t>
  </si>
  <si>
    <t>Ushigomevirus</t>
  </si>
  <si>
    <t>Ushigomevirus gakusyuin</t>
  </si>
  <si>
    <t>Wadatovirus</t>
  </si>
  <si>
    <t>Wadatovirus soudai</t>
  </si>
  <si>
    <t>Umezonoviridae</t>
  </si>
  <si>
    <t>Moriyavirus</t>
  </si>
  <si>
    <t>Moriyavirus dochi</t>
  </si>
  <si>
    <t>Moriyavirus gosyo</t>
  </si>
  <si>
    <t>Moriyavirus koyama</t>
  </si>
  <si>
    <t>Moriyavirus kubo</t>
  </si>
  <si>
    <t>Moriyavirus midori</t>
  </si>
  <si>
    <t>Moriyavirus misono</t>
  </si>
  <si>
    <t>Moriyavirus ogoto</t>
  </si>
  <si>
    <t>Moriyavirus oki</t>
  </si>
  <si>
    <t>Moriyavirus yakushi</t>
  </si>
  <si>
    <t>Moriyavirus yuri</t>
  </si>
  <si>
    <t>Namikivirus</t>
  </si>
  <si>
    <t>Namikivirus ajiki</t>
  </si>
  <si>
    <t>Namikivirus akeshi</t>
  </si>
  <si>
    <t>Namikivirus bouchi</t>
  </si>
  <si>
    <t>Namikivirus furuku</t>
  </si>
  <si>
    <t>Namikivirus hakke</t>
  </si>
  <si>
    <t>Namikivirus hasaki</t>
  </si>
  <si>
    <t>Namikivirus horage</t>
  </si>
  <si>
    <t>Namikivirus hosomi</t>
  </si>
  <si>
    <t>Namikivirus ikeda</t>
  </si>
  <si>
    <t>Namikivirus isobe</t>
  </si>
  <si>
    <t>Namikivirus izumi</t>
  </si>
  <si>
    <t>Namikivirus kaname</t>
  </si>
  <si>
    <t>Namikivirus konda</t>
  </si>
  <si>
    <t>Namikivirus koya</t>
  </si>
  <si>
    <t>Namikivirus koyama</t>
  </si>
  <si>
    <t>Namikivirus maeno</t>
  </si>
  <si>
    <t>Namikivirus mase</t>
  </si>
  <si>
    <t>Namikivirus mimori</t>
  </si>
  <si>
    <t>Namikivirus myojin</t>
  </si>
  <si>
    <t>Namikivirus nakane</t>
  </si>
  <si>
    <t>Namikivirus nishioi</t>
  </si>
  <si>
    <t>Namikivirus nobata</t>
  </si>
  <si>
    <t>Namikivirus numata</t>
  </si>
  <si>
    <t>Namikivirus oda</t>
  </si>
  <si>
    <t>Namikivirus oguki</t>
  </si>
  <si>
    <t>Namikivirus ohi</t>
  </si>
  <si>
    <t>Namikivirus osuna</t>
  </si>
  <si>
    <t>Namikivirus ozawa</t>
  </si>
  <si>
    <t>Namikivirus rokuto</t>
  </si>
  <si>
    <t>Namikivirus sakae</t>
  </si>
  <si>
    <t>Namikivirus sakura</t>
  </si>
  <si>
    <t>Namikivirus shimana</t>
  </si>
  <si>
    <t>Namikivirus sugama</t>
  </si>
  <si>
    <t>Namikivirus suwa</t>
  </si>
  <si>
    <t>Namikivirus takata</t>
  </si>
  <si>
    <t>Namikivirus takura</t>
  </si>
  <si>
    <t>Namikivirus tanaka</t>
  </si>
  <si>
    <t>Namikivirus teragu</t>
  </si>
  <si>
    <t>Namikivirus tsukuho</t>
  </si>
  <si>
    <t>Namikivirus tushida</t>
  </si>
  <si>
    <t>Namikivirus ueno</t>
  </si>
  <si>
    <t>Namikivirus usui</t>
  </si>
  <si>
    <t>Namikivirus wadai</t>
  </si>
  <si>
    <t>Namikivirus wakaba</t>
  </si>
  <si>
    <t>Namikivirus yamaki</t>
  </si>
  <si>
    <t>Chaovirus bigenum</t>
  </si>
  <si>
    <t>Myohalovirus alkaliphilum</t>
  </si>
  <si>
    <t>Myohalovirus spontanei</t>
  </si>
  <si>
    <t>Commandariavirus</t>
  </si>
  <si>
    <t>Commandariavirus commandaria</t>
  </si>
  <si>
    <t>Daemsvirinae</t>
  </si>
  <si>
    <t>Elesarvirus</t>
  </si>
  <si>
    <t>Elesarvirus elesar</t>
  </si>
  <si>
    <t>Nanditavirus</t>
  </si>
  <si>
    <t>Nanditavirus cole</t>
  </si>
  <si>
    <t>Nanditavirus nandita</t>
  </si>
  <si>
    <t>Nanditavirus popper</t>
  </si>
  <si>
    <t>Nanditavirus ryan</t>
  </si>
  <si>
    <t>Nanditavirus zaheer</t>
  </si>
  <si>
    <t>Feeclasvirinae</t>
  </si>
  <si>
    <t>Corgivirus</t>
  </si>
  <si>
    <t>Corgivirus corgi</t>
  </si>
  <si>
    <t>Idahovirus</t>
  </si>
  <si>
    <t>Idahovirus idaho</t>
  </si>
  <si>
    <t>Noelyvirus</t>
  </si>
  <si>
    <t>Noelyvirus noely</t>
  </si>
  <si>
    <t>Gorskivirinae</t>
  </si>
  <si>
    <t>Dilongvirus</t>
  </si>
  <si>
    <t>Dilongvirus PHB09</t>
  </si>
  <si>
    <t>Kremarvirus</t>
  </si>
  <si>
    <t>Kremarvirus kremar</t>
  </si>
  <si>
    <t>Kremarvirus M51</t>
  </si>
  <si>
    <t>Kremarvirus VCM</t>
  </si>
  <si>
    <t>Otagovirus PE09</t>
  </si>
  <si>
    <t>Otagovirus PN09</t>
  </si>
  <si>
    <t>Otagovirus psa267</t>
  </si>
  <si>
    <t>Otagovirus psa300</t>
  </si>
  <si>
    <t>Otagovirus psa315</t>
  </si>
  <si>
    <t>Otagovirus psa347</t>
  </si>
  <si>
    <t>Otagovirus psa381</t>
  </si>
  <si>
    <t>Otagovirus psa397</t>
  </si>
  <si>
    <t>Otagovirus psagek4</t>
  </si>
  <si>
    <t>Otagovirus psagek4e</t>
  </si>
  <si>
    <t>Shenlongvirus</t>
  </si>
  <si>
    <t>Shenlongvirus PPSC2</t>
  </si>
  <si>
    <t>Guarnerosvirinae</t>
  </si>
  <si>
    <t>Mechnikovvirus</t>
  </si>
  <si>
    <t>Mechnikovvirus CF78a</t>
  </si>
  <si>
    <t>Mechnikovvirus JBD67</t>
  </si>
  <si>
    <t>Mechnikovvirus JD18</t>
  </si>
  <si>
    <t>Mechnikovvirus PM105</t>
  </si>
  <si>
    <t>Mechnikovvirus ps60</t>
  </si>
  <si>
    <t>Mechnikovvirus SS2019XII</t>
  </si>
  <si>
    <t>Torontovirus</t>
  </si>
  <si>
    <t>Torontovirus Fc02</t>
  </si>
  <si>
    <t>Torontovirus Fc22</t>
  </si>
  <si>
    <t>Torontovirus H71</t>
  </si>
  <si>
    <t>Torontovirus H72</t>
  </si>
  <si>
    <t>Torontovirus JBD25</t>
  </si>
  <si>
    <t>Torontovirus Ps59</t>
  </si>
  <si>
    <t>Torontovirus UMP151</t>
  </si>
  <si>
    <t>Cornellvirus GRNsp27</t>
  </si>
  <si>
    <t>Cornellvirus SE1</t>
  </si>
  <si>
    <t>Cornellvirus SenTO17</t>
  </si>
  <si>
    <t>Cornellvirus shemara</t>
  </si>
  <si>
    <t>Cornellvirus St162</t>
  </si>
  <si>
    <t>Cornellvirus TS6</t>
  </si>
  <si>
    <t>Cornellvirus VSiP</t>
  </si>
  <si>
    <t>Cornellvirus ZS</t>
  </si>
  <si>
    <t>Jerseyvirus blauehaus</t>
  </si>
  <si>
    <t>Jerseyvirus BPS11Q3</t>
  </si>
  <si>
    <t>Jerseyvirus celemicas</t>
  </si>
  <si>
    <t>Jerseyvirus CTH7</t>
  </si>
  <si>
    <t>Jerseyvirus demigod</t>
  </si>
  <si>
    <t>Jerseyvirus dunkel</t>
  </si>
  <si>
    <t>Jerseyvirus EnJE1</t>
  </si>
  <si>
    <t>Jerseyvirus EnJE6</t>
  </si>
  <si>
    <t>Jerseyvirus ER1</t>
  </si>
  <si>
    <t>Jerseyvirus ER21</t>
  </si>
  <si>
    <t>Jerseyvirus ER23</t>
  </si>
  <si>
    <t>Jerseyvirus F12013</t>
  </si>
  <si>
    <t>Jerseyvirus F118P13</t>
  </si>
  <si>
    <t>Jerseyvirus fmbp1</t>
  </si>
  <si>
    <t>Jerseyvirus GRNsp50</t>
  </si>
  <si>
    <t>Jerseyvirus horsemountain</t>
  </si>
  <si>
    <t>Jerseyvirus JD01</t>
  </si>
  <si>
    <t>Jerseyvirus jv5sent1</t>
  </si>
  <si>
    <t>Jerseyvirus LDW16</t>
  </si>
  <si>
    <t>Jerseyvirus LP31</t>
  </si>
  <si>
    <t>Jerseyvirus LPSE1</t>
  </si>
  <si>
    <t>Jerseyvirus METP100143</t>
  </si>
  <si>
    <t>Jerseyvirus NBSal006</t>
  </si>
  <si>
    <t>Jerseyvirus NBSal007</t>
  </si>
  <si>
    <t>Jerseyvirus PBSE191</t>
  </si>
  <si>
    <t>Jerseyvirus pink</t>
  </si>
  <si>
    <t>Jerseyvirus PVPSE2</t>
  </si>
  <si>
    <t>Jerseyvirus S10</t>
  </si>
  <si>
    <t>Jerseyvirus S100</t>
  </si>
  <si>
    <t>Jerseyvirus S102</t>
  </si>
  <si>
    <t>Jerseyvirus S528</t>
  </si>
  <si>
    <t>Jerseyvirus S532</t>
  </si>
  <si>
    <t>Jerseyvirus SB3</t>
  </si>
  <si>
    <t>Jerseyvirus SEW109</t>
  </si>
  <si>
    <t>Jerseyvirus SGPC</t>
  </si>
  <si>
    <t>Jerseyvirus shelanagig</t>
  </si>
  <si>
    <t>Jerseyvirus SHWT1</t>
  </si>
  <si>
    <t>Jerseyvirus sidste</t>
  </si>
  <si>
    <t>Jerseyvirus skrot</t>
  </si>
  <si>
    <t>Jerseyvirus SLMP1</t>
  </si>
  <si>
    <t>Jerseyvirus SS5</t>
  </si>
  <si>
    <t>Jerseyvirus STP03</t>
  </si>
  <si>
    <t>Jerseyvirus T102</t>
  </si>
  <si>
    <t>Jerseyvirus templet</t>
  </si>
  <si>
    <t>Jerseyvirus TUMSE4</t>
  </si>
  <si>
    <t>Jerseyvirus TUMSE19</t>
  </si>
  <si>
    <t>Jerseyvirus vsam</t>
  </si>
  <si>
    <t>Jerseyvirus VSe101</t>
  </si>
  <si>
    <t>Jerseyvirus VSe103</t>
  </si>
  <si>
    <t>Jerseyvirus VSt10</t>
  </si>
  <si>
    <t>Jerseyvirus wast</t>
  </si>
  <si>
    <t>Jerseyvirus ZCSE9</t>
  </si>
  <si>
    <t>Kagunavirus GAB2017</t>
  </si>
  <si>
    <t>Kagunavirus LAB2017</t>
  </si>
  <si>
    <t>Kagunavirus PAB2017</t>
  </si>
  <si>
    <t>Kagunavirus ULINTec2</t>
  </si>
  <si>
    <t>Kagunavirus UTI89UKE1</t>
  </si>
  <si>
    <t>Kagunavirus UTICM001</t>
  </si>
  <si>
    <t>Layangavirus</t>
  </si>
  <si>
    <t>Layangavirus LY1</t>
  </si>
  <si>
    <t>Layangbvirus</t>
  </si>
  <si>
    <t>Layangbvirus LY5</t>
  </si>
  <si>
    <t>Heleneionescovirinae</t>
  </si>
  <si>
    <t>Zhangjivirus fado</t>
  </si>
  <si>
    <t>Jameshumphriesvirinae</t>
  </si>
  <si>
    <t>Bimevirus</t>
  </si>
  <si>
    <t>Bimevirus bv1611EK21</t>
  </si>
  <si>
    <t>Bimevirus IME346</t>
  </si>
  <si>
    <t>Bimevirus KB2</t>
  </si>
  <si>
    <t>Chaoyangvirus</t>
  </si>
  <si>
    <t>Chaoyangvirus BUCT49532</t>
  </si>
  <si>
    <t>Geezettvirus</t>
  </si>
  <si>
    <t>Geezettvirus geezett</t>
  </si>
  <si>
    <t>Mascletvirus</t>
  </si>
  <si>
    <t>Mascletvirus VLCpiM12a</t>
  </si>
  <si>
    <t>Parissaclayvirus</t>
  </si>
  <si>
    <t>Parissaclayvirus POU148</t>
  </si>
  <si>
    <t>Ringroadvirus</t>
  </si>
  <si>
    <t>Ringroadvirus BUCT47333</t>
  </si>
  <si>
    <t>Sircambvirus</t>
  </si>
  <si>
    <t>Sircambvirus FZ14</t>
  </si>
  <si>
    <t>Sircambvirus justaphage</t>
  </si>
  <si>
    <t>Sircambvirus KpV52</t>
  </si>
  <si>
    <t>Sircambvirus KpV79</t>
  </si>
  <si>
    <t>Sircambvirus MEW1</t>
  </si>
  <si>
    <t>Sircambvirus pKp383</t>
  </si>
  <si>
    <t>Zewailvirus</t>
  </si>
  <si>
    <t>Zewailvirus SBP</t>
  </si>
  <si>
    <t>Zewailvirus ZCEC13</t>
  </si>
  <si>
    <t>Johnpaulvirinae</t>
  </si>
  <si>
    <t>Eidolonvirus</t>
  </si>
  <si>
    <t>Eidolonvirus eidolon</t>
  </si>
  <si>
    <t>Kharnvirus</t>
  </si>
  <si>
    <t>Kharnvirus kharn</t>
  </si>
  <si>
    <t>Kharnvirus lucius</t>
  </si>
  <si>
    <t>Jondennisvirinae</t>
  </si>
  <si>
    <t>Kipunavirus</t>
  </si>
  <si>
    <t>Kipunavirus KP1</t>
  </si>
  <si>
    <t>Septimatrevirus C1</t>
  </si>
  <si>
    <t>Septimatrevirus DLP1</t>
  </si>
  <si>
    <t>Septimatrevirus DLP2</t>
  </si>
  <si>
    <t>Septimatrevirus DoCa1</t>
  </si>
  <si>
    <t>Septimatrevirus epa40</t>
  </si>
  <si>
    <t>Septimatrevirus guyu</t>
  </si>
  <si>
    <t>Septimatrevirus kaya</t>
  </si>
  <si>
    <t>Septimatrevirus kopi</t>
  </si>
  <si>
    <t>Septimatrevirus PSV31</t>
  </si>
  <si>
    <t>Septimatrevirus PSV32</t>
  </si>
  <si>
    <t>Septimatrevirus PSV33</t>
  </si>
  <si>
    <t>Septimatrevirus PSV34</t>
  </si>
  <si>
    <t>Septimatrevirus PX5</t>
  </si>
  <si>
    <t>Septimatrevirus samson</t>
  </si>
  <si>
    <t>Septimatrevirus SCUTS3</t>
  </si>
  <si>
    <t>Septimatrevirus tehO</t>
  </si>
  <si>
    <t>Septimatrevirus UFRH1</t>
  </si>
  <si>
    <t>Septimatrevirus yazdi</t>
  </si>
  <si>
    <t>Kutznervirinae</t>
  </si>
  <si>
    <t>Kozievirus</t>
  </si>
  <si>
    <t>Kozievirus kozie</t>
  </si>
  <si>
    <t>Meganvirus</t>
  </si>
  <si>
    <t>Meganvirus megan</t>
  </si>
  <si>
    <t>Mementomorivirus cinna</t>
  </si>
  <si>
    <t>Mementomorivirus cressida</t>
  </si>
  <si>
    <t>Mementomorivirus margaery</t>
  </si>
  <si>
    <t>Mementomorivirus matzah</t>
  </si>
  <si>
    <t>Mementomorivirus terij</t>
  </si>
  <si>
    <t>Metamorphoovirus ariadne</t>
  </si>
  <si>
    <t>Metamorphoovirus jayden</t>
  </si>
  <si>
    <t>Metamorphoovirus teamocil</t>
  </si>
  <si>
    <t>Metamorphoovirus tyrumba</t>
  </si>
  <si>
    <t>Quhwahvirus clearasmud</t>
  </si>
  <si>
    <t>Quhwahvirus honeyfin</t>
  </si>
  <si>
    <t>Quhwahvirus noodelyboi</t>
  </si>
  <si>
    <t>Quhwahvirus quhwah</t>
  </si>
  <si>
    <t>Quhwahvirus shotgun</t>
  </si>
  <si>
    <t>Munstervirinae</t>
  </si>
  <si>
    <t>Aceathervirus</t>
  </si>
  <si>
    <t>Aceathervirus RM10</t>
  </si>
  <si>
    <t>Adovirus</t>
  </si>
  <si>
    <t>Adovirus 519T2</t>
  </si>
  <si>
    <t>Adovirus IBDN1</t>
  </si>
  <si>
    <t>Ahaonvirus</t>
  </si>
  <si>
    <t>Ahaonvirus 507T22</t>
  </si>
  <si>
    <t>Ahaonvirus 507T23</t>
  </si>
  <si>
    <t>Atrivirus</t>
  </si>
  <si>
    <t>Atrivirus PS6</t>
  </si>
  <si>
    <t>Micathvirus</t>
  </si>
  <si>
    <t>Micathvirus micath</t>
  </si>
  <si>
    <t>Nipunavirus Doca3</t>
  </si>
  <si>
    <t>Nipunavirus JG054</t>
  </si>
  <si>
    <t>Nipunavirus PAJD1</t>
  </si>
  <si>
    <t>Nipunavirus quinobequin</t>
  </si>
  <si>
    <t>Shangdongvirus</t>
  </si>
  <si>
    <t>Shangdongvirus ply2008005c</t>
  </si>
  <si>
    <t>Torvergatavirus</t>
  </si>
  <si>
    <t>Torvergatavirus MMDA13</t>
  </si>
  <si>
    <t>Skurskavirinae</t>
  </si>
  <si>
    <t>Baldwinvirus</t>
  </si>
  <si>
    <t>Baldwinvirus EM</t>
  </si>
  <si>
    <t>Pakpunavirus B8</t>
  </si>
  <si>
    <t>Pakpunavirus B31</t>
  </si>
  <si>
    <t>Pakpunavirus B55</t>
  </si>
  <si>
    <t>Pakpunavirus EPA1</t>
  </si>
  <si>
    <t>Pakpunavirus GUMS</t>
  </si>
  <si>
    <t>Pakpunavirus Henu5</t>
  </si>
  <si>
    <t>Pakpunavirus HJ01</t>
  </si>
  <si>
    <t>Pakpunavirus ITTPL</t>
  </si>
  <si>
    <t>Pakpunavirus kat</t>
  </si>
  <si>
    <t>Pakpunavirus LCK69</t>
  </si>
  <si>
    <t>Pakpunavirus PaGz-1</t>
  </si>
  <si>
    <t>Pakpunavirus PaZq1</t>
  </si>
  <si>
    <t>Pakpunavirus ph0034</t>
  </si>
  <si>
    <t>Pakpunavirus phipa10</t>
  </si>
  <si>
    <t>Pakpunavirus pPA30992aT2</t>
  </si>
  <si>
    <t>Pakpunavirus Ps12</t>
  </si>
  <si>
    <t>Pakpunavirus PsCh</t>
  </si>
  <si>
    <t>Pakpunavirus PsIn</t>
  </si>
  <si>
    <t>Pakpunavirus pv20Sep416</t>
  </si>
  <si>
    <t>Pakpunavirus SPA01</t>
  </si>
  <si>
    <t>Pakpunavirus SPA05</t>
  </si>
  <si>
    <t>Pakpunavirus vippaeumc</t>
  </si>
  <si>
    <t>Pakpunavirus YS35</t>
  </si>
  <si>
    <t>Stanbaylleyvirinae</t>
  </si>
  <si>
    <t>Shirevirus</t>
  </si>
  <si>
    <t>Shirevirus langgrundblatt1</t>
  </si>
  <si>
    <t>Shirevirus langgrundblatt2</t>
  </si>
  <si>
    <t>Shirevirus pfeifenkraut</t>
  </si>
  <si>
    <t>Subavirus</t>
  </si>
  <si>
    <t>Subavirus suba</t>
  </si>
  <si>
    <t>Septuagintavirus</t>
  </si>
  <si>
    <t>Septuagintavirus A73</t>
  </si>
  <si>
    <t>Septuagintavirus sv54</t>
  </si>
  <si>
    <t>Vequintavirus A512</t>
  </si>
  <si>
    <t>Vequintavirus alexboehm</t>
  </si>
  <si>
    <t>Vequintavirus Aya</t>
  </si>
  <si>
    <t>Vequintavirus CM1</t>
  </si>
  <si>
    <t>Vequintavirus drschubert</t>
  </si>
  <si>
    <t>Vequintavirus ECP26</t>
  </si>
  <si>
    <t>Vequintavirus ECP32</t>
  </si>
  <si>
    <t>Vequintavirus eduardkellenberger</t>
  </si>
  <si>
    <t>Vequintavirus emilheitz</t>
  </si>
  <si>
    <t>Vequintavirus gotham</t>
  </si>
  <si>
    <t>Vequintavirus HdK5</t>
  </si>
  <si>
    <t>Vequintavirus JEP1</t>
  </si>
  <si>
    <t>Vequintavirus LL12</t>
  </si>
  <si>
    <t>Vequintavirus maxburger</t>
  </si>
  <si>
    <t>Vequintavirus navn</t>
  </si>
  <si>
    <t>Vequintavirus nom</t>
  </si>
  <si>
    <t>Vequintavirus nomine</t>
  </si>
  <si>
    <t>Vequintavirus pangalan</t>
  </si>
  <si>
    <t>Vequintavirus PDX</t>
  </si>
  <si>
    <t>Vequintavirus phiWec189</t>
  </si>
  <si>
    <t>Vequintavirus phiWec191</t>
  </si>
  <si>
    <t>Vequintavirus phiWec193</t>
  </si>
  <si>
    <t>Vequintavirus rV5ev146</t>
  </si>
  <si>
    <t>Vequintavirus sophiarose</t>
  </si>
  <si>
    <t>Vequintavirus SYGMH1</t>
  </si>
  <si>
    <t>Vequintavirus TP14</t>
  </si>
  <si>
    <t>Vequintavirus waltergehring</t>
  </si>
  <si>
    <t>Vequintavirus YP6</t>
  </si>
  <si>
    <t>Ahotrevirus</t>
  </si>
  <si>
    <t>Ahotrevirus AH03</t>
  </si>
  <si>
    <t>Amherstvirus</t>
  </si>
  <si>
    <t>Amherstvirus pineapplepizza</t>
  </si>
  <si>
    <t>Amiranvirus</t>
  </si>
  <si>
    <t>Amiranvirus Gecefs9</t>
  </si>
  <si>
    <t>Andromedavirus bolokhovo</t>
  </si>
  <si>
    <t>Andromedavirus novomoskovsk</t>
  </si>
  <si>
    <t>Aquaneticvirus</t>
  </si>
  <si>
    <t>Aquaneticvirus ApT65</t>
  </si>
  <si>
    <t>Aquingentivirus</t>
  </si>
  <si>
    <t>Aquingentivirus A500</t>
  </si>
  <si>
    <t>Aquingentivirus av293</t>
  </si>
  <si>
    <t>Aquingentivirus HB17054</t>
  </si>
  <si>
    <t>Aquingentivirus HS5</t>
  </si>
  <si>
    <t>Aquingentivirus LP040</t>
  </si>
  <si>
    <t>Aquingentivirus LP0303</t>
  </si>
  <si>
    <t>Aquingentivirus P7</t>
  </si>
  <si>
    <t>Aramisvirus</t>
  </si>
  <si>
    <t>Aramisvirus Aramis</t>
  </si>
  <si>
    <t>Aramisvirus dArtagnan</t>
  </si>
  <si>
    <t>Aspduovirus</t>
  </si>
  <si>
    <t>Aspduovirus Asp2</t>
  </si>
  <si>
    <t>Athenavirus</t>
  </si>
  <si>
    <t>Athenavirus athena</t>
  </si>
  <si>
    <t>Aziravirus</t>
  </si>
  <si>
    <t>Aziravirus azira</t>
  </si>
  <si>
    <t>Aziravirus gibbous</t>
  </si>
  <si>
    <t>Bauervirus</t>
  </si>
  <si>
    <t>Bauervirus bauer</t>
  </si>
  <si>
    <t>Bglawtbvirus</t>
  </si>
  <si>
    <t>Bglawtbvirus WTB</t>
  </si>
  <si>
    <t>Bismarckvirus</t>
  </si>
  <si>
    <t>Bismarckvirus shambre1</t>
  </si>
  <si>
    <t>Bluefeathervirus</t>
  </si>
  <si>
    <t>Bluefeathervirus bluefeather</t>
  </si>
  <si>
    <t>Bonzeevirus</t>
  </si>
  <si>
    <t>Bonzeevirus bigdog</t>
  </si>
  <si>
    <t>Bonzeevirus bonzee</t>
  </si>
  <si>
    <t>Bonzeevirus stocker</t>
  </si>
  <si>
    <t>Bonzeevirus ulliraptor</t>
  </si>
  <si>
    <t>Bugaksanvirus</t>
  </si>
  <si>
    <t>Bugaksanvirus R656</t>
  </si>
  <si>
    <t>Bunatrivirus</t>
  </si>
  <si>
    <t>Bunatrivirus B13</t>
  </si>
  <si>
    <t>Chewyvirus</t>
  </si>
  <si>
    <t>Chewyvirus chewyVIII</t>
  </si>
  <si>
    <t>Chymeravirus</t>
  </si>
  <si>
    <t>Chymeravirus chymera</t>
  </si>
  <si>
    <t>Delfunavirus</t>
  </si>
  <si>
    <t>Delfunavirus delf1</t>
  </si>
  <si>
    <t>Delfunavirus v268</t>
  </si>
  <si>
    <t>Dhillonvirus B2</t>
  </si>
  <si>
    <t>Dhillonvirus BF9</t>
  </si>
  <si>
    <t>Dhillonvirus bob</t>
  </si>
  <si>
    <t>Dhillonvirus bov221</t>
  </si>
  <si>
    <t>Dhillonvirus CECKaz2018</t>
  </si>
  <si>
    <t>Dhillonvirus CHD5UKE2</t>
  </si>
  <si>
    <t>Dhillonvirus dv 101114BS4</t>
  </si>
  <si>
    <t>Dhillonvirus dv011D5</t>
  </si>
  <si>
    <t>Dhillonvirus EC115</t>
  </si>
  <si>
    <t>Dhillonvirus envy</t>
  </si>
  <si>
    <t>Dhillonvirus georgbuechner</t>
  </si>
  <si>
    <t>Dhillonvirus gluttony</t>
  </si>
  <si>
    <t>Dhillonvirus gluttonyev152</t>
  </si>
  <si>
    <t>Dhillonvirus jat</t>
  </si>
  <si>
    <t>Dhillonvirus JLBYU37</t>
  </si>
  <si>
    <t>Dhillonvirus JLBYU60</t>
  </si>
  <si>
    <t>Dhillonvirus karlbarth</t>
  </si>
  <si>
    <t>Dhillonvirus Lh</t>
  </si>
  <si>
    <t>Dhillonvirus maverick</t>
  </si>
  <si>
    <t>Dhillonvirus mckay</t>
  </si>
  <si>
    <t>Dhillonvirus oekolampad</t>
  </si>
  <si>
    <t>Dhillonvirus opt212</t>
  </si>
  <si>
    <t>Dhillonvirus Over9000</t>
  </si>
  <si>
    <t>Dhillonvirus paulfeyerabend</t>
  </si>
  <si>
    <t>Dhillonvirus PC2</t>
  </si>
  <si>
    <t>Dhillonvirus PEC14</t>
  </si>
  <si>
    <t>Dhillonvirus PNS1</t>
  </si>
  <si>
    <t>Dhillonvirus PTXU06</t>
  </si>
  <si>
    <t>Dhillonvirus pubbukkers</t>
  </si>
  <si>
    <t>Dhillonvirus rolling</t>
  </si>
  <si>
    <t>Dhillonvirus SECphi18</t>
  </si>
  <si>
    <t>Dhillonvirus slur05</t>
  </si>
  <si>
    <t>Dhillonvirus sponge</t>
  </si>
  <si>
    <t>Dhillonvirus stardew</t>
  </si>
  <si>
    <t>Dhillonvirus teewinot</t>
  </si>
  <si>
    <t>Dhillonvirus theodorherzl</t>
  </si>
  <si>
    <t>Dhillonvirus UAEM101</t>
  </si>
  <si>
    <t>Dhillonvirus welsh</t>
  </si>
  <si>
    <t>Dhillonvirus WF1</t>
  </si>
  <si>
    <t>Dhillonvirus WF5505</t>
  </si>
  <si>
    <t>Dhillonvirus Zar3M</t>
  </si>
  <si>
    <t>Dhillonvirus ZCEC10</t>
  </si>
  <si>
    <t>Dolmabahcevirus</t>
  </si>
  <si>
    <t>Dolmabahcevirus turkishdelight</t>
  </si>
  <si>
    <t>Efemquintavirus</t>
  </si>
  <si>
    <t>Efemquintavirus Efm5</t>
  </si>
  <si>
    <t>Efemunavirus</t>
  </si>
  <si>
    <t>Efemunavirus Efm1</t>
  </si>
  <si>
    <t>Efemunavirus Lg62</t>
  </si>
  <si>
    <t>Efunavirus</t>
  </si>
  <si>
    <t>Efunavirus EF1</t>
  </si>
  <si>
    <t>Efunavirus H1</t>
  </si>
  <si>
    <t>Emirosevirus</t>
  </si>
  <si>
    <t>Emirosevirus emirose</t>
  </si>
  <si>
    <t>Finkelvirus</t>
  </si>
  <si>
    <t>Finkelvirus finkel</t>
  </si>
  <si>
    <t>Footloosevirus</t>
  </si>
  <si>
    <t>Footloosevirus footloose</t>
  </si>
  <si>
    <t>Fuzanglongvirus</t>
  </si>
  <si>
    <t>Fuzanglongvirus ZL12</t>
  </si>
  <si>
    <t>Gilgameshvirus</t>
  </si>
  <si>
    <t>Gilgameshvirus gilgamesh</t>
  </si>
  <si>
    <t>Gordonvirus breylor17</t>
  </si>
  <si>
    <t>Gordonvirus castortray</t>
  </si>
  <si>
    <t>Gordonvirus darby</t>
  </si>
  <si>
    <t>Gordonvirus devitoJr</t>
  </si>
  <si>
    <t>Gordonvirus nightmare</t>
  </si>
  <si>
    <t>Gordonvirus niktson</t>
  </si>
  <si>
    <t>Gordonvirus sciencewizsam</t>
  </si>
  <si>
    <t>Gordonvirus synepsis</t>
  </si>
  <si>
    <t>Gordonvirus tatanka</t>
  </si>
  <si>
    <t>Gordonvirus teacup</t>
  </si>
  <si>
    <t>Gordonvirus trustiboi</t>
  </si>
  <si>
    <t>Hafyongvirus</t>
  </si>
  <si>
    <t>Hafyongvirus yong1</t>
  </si>
  <si>
    <t>Haihevirus</t>
  </si>
  <si>
    <t>Haihevirus PP9W2</t>
  </si>
  <si>
    <t>Halfdanvirus</t>
  </si>
  <si>
    <t>Halfdanvirus halfdan</t>
  </si>
  <si>
    <t>Hollowayvirus E220</t>
  </si>
  <si>
    <t>Hollowayvirus Epa33</t>
  </si>
  <si>
    <t>Hollowayvirus LKA5</t>
  </si>
  <si>
    <t>Hollowayvirus PA8</t>
  </si>
  <si>
    <t>Hollowayvirus phiC725A</t>
  </si>
  <si>
    <t>Hulijingvirus</t>
  </si>
  <si>
    <t>Hulijingvirus LC313</t>
  </si>
  <si>
    <t>Ibantikvirus</t>
  </si>
  <si>
    <t>Ibantikvirus ibantik</t>
  </si>
  <si>
    <t>Identitycrisisvirus</t>
  </si>
  <si>
    <t>Identitycrisisvirus identitycrisis</t>
  </si>
  <si>
    <t>Ignaciovirus</t>
  </si>
  <si>
    <t>Ignaciovirus axejc</t>
  </si>
  <si>
    <t>Ignaciovirus cumberbatch</t>
  </si>
  <si>
    <t>Ignaciovirus eastland</t>
  </si>
  <si>
    <t>Ignaciovirus eklok</t>
  </si>
  <si>
    <t>Ignaciovirus francette</t>
  </si>
  <si>
    <t>Ignaciovirus ignacio</t>
  </si>
  <si>
    <t>Ignaciovirus piccadilly</t>
  </si>
  <si>
    <t>Ignaciovirus vondra</t>
  </si>
  <si>
    <t>Krompvirus</t>
  </si>
  <si>
    <t>Krompvirus kromp</t>
  </si>
  <si>
    <t>Lilspottyvirus</t>
  </si>
  <si>
    <t>Lilspottyvirus lilspotty</t>
  </si>
  <si>
    <t>Lishizhenvirus</t>
  </si>
  <si>
    <t>Lishizhenvirus BUCT566</t>
  </si>
  <si>
    <t>Malagasyrosevirus</t>
  </si>
  <si>
    <t>Malagasyrosevirus malagasyrose</t>
  </si>
  <si>
    <t>Mboquatrovirus</t>
  </si>
  <si>
    <t>Mboquatrovirus Mbo4</t>
  </si>
  <si>
    <t>Medeavirus</t>
  </si>
  <si>
    <t>Medeavirus medea1</t>
  </si>
  <si>
    <t>Miecznikowavirus</t>
  </si>
  <si>
    <t>Miecznikowavirus AH14a</t>
  </si>
  <si>
    <t>Oscarsovirus</t>
  </si>
  <si>
    <t>Oscarsovirus oscarso</t>
  </si>
  <si>
    <t>Otakuvirus</t>
  </si>
  <si>
    <t>Otakuvirus otaku</t>
  </si>
  <si>
    <t>Otakuvirus Tsm2</t>
  </si>
  <si>
    <t>Porunavirus</t>
  </si>
  <si>
    <t>Porunavirus POR1</t>
  </si>
  <si>
    <t>Pumpernickelvirus</t>
  </si>
  <si>
    <t>Pumpernickelvirus pumpernickel</t>
  </si>
  <si>
    <t>Readingvirus</t>
  </si>
  <si>
    <t>Readingvirus MR15</t>
  </si>
  <si>
    <t>Readingvirus PSA1</t>
  </si>
  <si>
    <t>Readingvirus psageK9</t>
  </si>
  <si>
    <t>Rovertvirus</t>
  </si>
  <si>
    <t>Rovertvirus rovert</t>
  </si>
  <si>
    <t>Samaravirus</t>
  </si>
  <si>
    <t>Samaravirus sam46</t>
  </si>
  <si>
    <t>Santhisvirus</t>
  </si>
  <si>
    <t>Santhisvirus jojo24</t>
  </si>
  <si>
    <t>Santhisvirus reyja</t>
  </si>
  <si>
    <t>Santhisvirus santhid</t>
  </si>
  <si>
    <t>Santhisvirus tarzan</t>
  </si>
  <si>
    <t>Saphexavirus SSsP1</t>
  </si>
  <si>
    <t>Serbinvirus</t>
  </si>
  <si>
    <t>Serbinvirus opt155</t>
  </si>
  <si>
    <t>Serbinvirus serbin</t>
  </si>
  <si>
    <t>Serbinvirus tlacuache</t>
  </si>
  <si>
    <t>Seretavirus</t>
  </si>
  <si>
    <t>Seretavirus eta</t>
  </si>
  <si>
    <t>Shockervirus</t>
  </si>
  <si>
    <t>Shockervirus shocker</t>
  </si>
  <si>
    <t>Spartoivirus</t>
  </si>
  <si>
    <t>Spartoivirus spartoi</t>
  </si>
  <si>
    <t>Successvirus</t>
  </si>
  <si>
    <t>Successvirus success</t>
  </si>
  <si>
    <t>Theosmithvirus</t>
  </si>
  <si>
    <t>Theosmithvirus tv0105phi72</t>
  </si>
  <si>
    <t>Thiercelinvirus</t>
  </si>
  <si>
    <t>Thiercelinvirus v9184</t>
  </si>
  <si>
    <t>Valentinivirus</t>
  </si>
  <si>
    <t>Valentinivirus valentinipuff</t>
  </si>
  <si>
    <t>Vanleevirus</t>
  </si>
  <si>
    <t>Vanleevirus vanlee</t>
  </si>
  <si>
    <t>Vespunovirus</t>
  </si>
  <si>
    <t>Vespunovirus vesp1</t>
  </si>
  <si>
    <t>Wbetavirus AP631</t>
  </si>
  <si>
    <t>Wbetavirus booya</t>
  </si>
  <si>
    <t>Wbetavirus carmel</t>
  </si>
  <si>
    <t>Wbetavirus F16Ba</t>
  </si>
  <si>
    <t>Wbetavirus fah</t>
  </si>
  <si>
    <t>Wbetavirus gamma53</t>
  </si>
  <si>
    <t>Wbetavirus J5a</t>
  </si>
  <si>
    <t>Wbetavirus mcsteamy</t>
  </si>
  <si>
    <t>Wbetavirus negev</t>
  </si>
  <si>
    <t>Wbetavirus tavor</t>
  </si>
  <si>
    <t>Wbetavirus z1a</t>
  </si>
  <si>
    <t>Whytuvirus</t>
  </si>
  <si>
    <t>Whytuvirus whytu</t>
  </si>
  <si>
    <t>Whytuvirus yavru</t>
  </si>
  <si>
    <t>Xajduovirus</t>
  </si>
  <si>
    <t>Xajduovirus XAJ2</t>
  </si>
  <si>
    <t>Zhuquevirus</t>
  </si>
  <si>
    <t>Zhuquevirus R3</t>
  </si>
  <si>
    <t>Anademivirus</t>
  </si>
  <si>
    <t>Anademivirus AFP</t>
  </si>
  <si>
    <t>Versovirus Vipa10</t>
  </si>
  <si>
    <t>Versovirus Vipa26</t>
  </si>
  <si>
    <t>Versovirus Vipa36</t>
  </si>
  <si>
    <t>Versovirus Vipa71</t>
  </si>
  <si>
    <t>Versovirus Vipa4291</t>
  </si>
  <si>
    <t>Versovirus VipaK</t>
  </si>
  <si>
    <t>Villovirus FR</t>
  </si>
  <si>
    <t>Villovirus V5</t>
  </si>
  <si>
    <t>Gammapolyomavirus phacarbo</t>
  </si>
  <si>
    <t>Hemiambidensovirus hemipteran3</t>
  </si>
  <si>
    <t>Brevihamaparvovirus orthopteran1</t>
  </si>
  <si>
    <t>Chaphamaparvovirus chiropteran2</t>
  </si>
  <si>
    <t>Chaphamaparvovirus galliform6</t>
  </si>
  <si>
    <t>Chaphamaparvovirus galliform7</t>
  </si>
  <si>
    <t>Chaphamaparvovirus pholidota1</t>
  </si>
  <si>
    <t>Split,</t>
  </si>
  <si>
    <t>Amdoparvovirus carnivoran8</t>
  </si>
  <si>
    <t>Amdoparvovirus carnivoran9</t>
  </si>
  <si>
    <t>Amdoparvovirus carnivoran10</t>
  </si>
  <si>
    <t>Amdoparvovirus chiropteran1</t>
  </si>
  <si>
    <t>Copiparvovirus ungulate9</t>
  </si>
  <si>
    <t>Dependoparvovirus psittacine1</t>
  </si>
  <si>
    <t>Protoparvovirus ungulate4</t>
  </si>
  <si>
    <t>Circovirus ban</t>
  </si>
  <si>
    <t>Circovirus gyurgyalag</t>
  </si>
  <si>
    <t>Circovirus human</t>
  </si>
  <si>
    <t>Circovirus kukwuria</t>
  </si>
  <si>
    <t>Circovirus torpegem</t>
  </si>
  <si>
    <t>Cyclovirus ezzike</t>
  </si>
  <si>
    <t>Endolinaviridae</t>
  </si>
  <si>
    <t>Bovdisavirus</t>
  </si>
  <si>
    <t>Bovdisavirus nainis</t>
  </si>
  <si>
    <t>Camdisavirus</t>
  </si>
  <si>
    <t>Camdisavirus jamalis</t>
  </si>
  <si>
    <t>Camdisavirus kauis</t>
  </si>
  <si>
    <t>Camdisavirus lingis</t>
  </si>
  <si>
    <t>Camdisavirus miluis</t>
  </si>
  <si>
    <t>Chidisavirus</t>
  </si>
  <si>
    <t>Chidisavirus niois</t>
  </si>
  <si>
    <t>Chidisavirus ryguais</t>
  </si>
  <si>
    <t>Hudisavirus</t>
  </si>
  <si>
    <t>Hudisavirus jaqis</t>
  </si>
  <si>
    <t>Hudisavirus runais</t>
  </si>
  <si>
    <t>Hudisavirus sewis</t>
  </si>
  <si>
    <t>Ancalagonvirus</t>
  </si>
  <si>
    <t>Ancalagonvirus eol</t>
  </si>
  <si>
    <t>Ancalagonvirus maedhros</t>
  </si>
  <si>
    <t>Berenvirus</t>
  </si>
  <si>
    <t>Berenvirus tinuviel</t>
  </si>
  <si>
    <t>Ormalvirus glaurung</t>
  </si>
  <si>
    <t>Palantirivirus auledhrim</t>
  </si>
  <si>
    <t>Palantirivirus mirksil</t>
  </si>
  <si>
    <t>Palantirivirus morgothanc</t>
  </si>
  <si>
    <t>Palantirivirus tuor</t>
  </si>
  <si>
    <t>Ulaervirus</t>
  </si>
  <si>
    <t>Ulaervirus earendil</t>
  </si>
  <si>
    <t>Bonzesmacovirus camas1</t>
  </si>
  <si>
    <t>Bovismacovirus bovas3</t>
  </si>
  <si>
    <t>Bovismacovirus cervi1</t>
  </si>
  <si>
    <t>Bovismacovirus equid1</t>
  </si>
  <si>
    <t>Bovismacovirus equid2</t>
  </si>
  <si>
    <t>Dragsmacovirus budor1</t>
  </si>
  <si>
    <t>Dragsmacovirus cervi1</t>
  </si>
  <si>
    <t>Drosmacovirus camas3</t>
  </si>
  <si>
    <t>Drosmacovirus cervi1</t>
  </si>
  <si>
    <t>Drosmacovirus kobus1</t>
  </si>
  <si>
    <t>Drosmacovirus macro1</t>
  </si>
  <si>
    <t>Felismacovirus avias1</t>
  </si>
  <si>
    <t>Felismacovirus avias2</t>
  </si>
  <si>
    <t>Felismacovirus babas1</t>
  </si>
  <si>
    <t>Felismacovirus canid1</t>
  </si>
  <si>
    <t>Felismacovirus cervi1</t>
  </si>
  <si>
    <t>Felismacovirus chicas1</t>
  </si>
  <si>
    <t>Felismacovirus chicas2</t>
  </si>
  <si>
    <t>Felismacovirus chicas3</t>
  </si>
  <si>
    <t>Felismacovirus macas1</t>
  </si>
  <si>
    <t>Felismacovirus macro1</t>
  </si>
  <si>
    <t>Felismacovirus porci1</t>
  </si>
  <si>
    <t>Felismacovirus porci2</t>
  </si>
  <si>
    <t>Felismacovirus porci3</t>
  </si>
  <si>
    <t>Felismacovirus porci4</t>
  </si>
  <si>
    <t>Felismacovirus porci5</t>
  </si>
  <si>
    <t>Felismacovirus porci6</t>
  </si>
  <si>
    <t>Felismacovirus porci7</t>
  </si>
  <si>
    <t>Felismacovirus porci8</t>
  </si>
  <si>
    <t>Felismacovirus porci9</t>
  </si>
  <si>
    <t>Felismacovirus porci10</t>
  </si>
  <si>
    <t>Felismacovirus ratas1</t>
  </si>
  <si>
    <t>Felismacovirus vulpe1</t>
  </si>
  <si>
    <t>Inpeasmacovirus avias1</t>
  </si>
  <si>
    <t>Porprismacovirus anati1</t>
  </si>
  <si>
    <t>Porprismacovirus avias2</t>
  </si>
  <si>
    <t>Porprismacovirus bovas3</t>
  </si>
  <si>
    <t>Porprismacovirus camas5</t>
  </si>
  <si>
    <t>Porprismacovirus canid1</t>
  </si>
  <si>
    <t>Porprismacovirus canid2</t>
  </si>
  <si>
    <t>Porprismacovirus canid3</t>
  </si>
  <si>
    <t>Porprismacovirus canid4</t>
  </si>
  <si>
    <t>Porprismacovirus canid5</t>
  </si>
  <si>
    <t>Porprismacovirus canid6</t>
  </si>
  <si>
    <t>Porprismacovirus canid7</t>
  </si>
  <si>
    <t>Porprismacovirus canid8</t>
  </si>
  <si>
    <t>Porprismacovirus canid9</t>
  </si>
  <si>
    <t>Porprismacovirus envor1</t>
  </si>
  <si>
    <t>Porprismacovirus envor2</t>
  </si>
  <si>
    <t>Porprismacovirus equid1</t>
  </si>
  <si>
    <t>Porprismacovirus equid2</t>
  </si>
  <si>
    <t>Porprismacovirus macas7</t>
  </si>
  <si>
    <t>Porprismacovirus macro1</t>
  </si>
  <si>
    <t>Porprismacovirus macro2</t>
  </si>
  <si>
    <t>Porprismacovirus molos1</t>
  </si>
  <si>
    <t>Porprismacovirus phasi1</t>
  </si>
  <si>
    <t>Porprismacovirus phasi2</t>
  </si>
  <si>
    <t>Porprismacovirus phasi3</t>
  </si>
  <si>
    <t>Porprismacovirus strut1</t>
  </si>
  <si>
    <t>Gredzevirales</t>
  </si>
  <si>
    <t>Gandrviridae</t>
  </si>
  <si>
    <t>Atripovirus</t>
  </si>
  <si>
    <t>Atripovirus timinis</t>
  </si>
  <si>
    <t>Meliavirus</t>
  </si>
  <si>
    <t>Meliavirus jackflis</t>
  </si>
  <si>
    <t>Oreadivirus</t>
  </si>
  <si>
    <t>Oreadivirus manflis</t>
  </si>
  <si>
    <t>Oreiadivirus</t>
  </si>
  <si>
    <t>Oreiadivirus spriflis</t>
  </si>
  <si>
    <t>Satyrivirus</t>
  </si>
  <si>
    <t>Satyrivirus cordulis</t>
  </si>
  <si>
    <t>Sthenivirus</t>
  </si>
  <si>
    <t>Sthenivirus nowtis</t>
  </si>
  <si>
    <t>Thisbivirus</t>
  </si>
  <si>
    <t>Thisbivirus naringis</t>
  </si>
  <si>
    <t>Thyiavirua</t>
  </si>
  <si>
    <t>Thyiavirua flanatis</t>
  </si>
  <si>
    <t>Ouroboviridae</t>
  </si>
  <si>
    <t>Aretevirus</t>
  </si>
  <si>
    <t>Aretevirus hermico</t>
  </si>
  <si>
    <t>Aretevirus marisnaco</t>
  </si>
  <si>
    <t>Aretevirus swances</t>
  </si>
  <si>
    <t>Boebeisivirus</t>
  </si>
  <si>
    <t>Boebeisivirus manatense</t>
  </si>
  <si>
    <t>Boebeisivirus mintis</t>
  </si>
  <si>
    <t>Demetevirus</t>
  </si>
  <si>
    <t>Demetevirus haddotis</t>
  </si>
  <si>
    <t>Demetevirus plantaes</t>
  </si>
  <si>
    <t>Doliovirus</t>
  </si>
  <si>
    <t>Doliovirus lythtis</t>
  </si>
  <si>
    <t>Dorisivirus</t>
  </si>
  <si>
    <t>Dorisivirus aiptaes</t>
  </si>
  <si>
    <t>Dorisivirus orcatis</t>
  </si>
  <si>
    <t>Eurynomevirus</t>
  </si>
  <si>
    <t>Eurynomevirus troutis</t>
  </si>
  <si>
    <t>Gorgovirus</t>
  </si>
  <si>
    <t>Gorgovirus cisneis</t>
  </si>
  <si>
    <t>Heravirus</t>
  </si>
  <si>
    <t>Heravirus camaronis</t>
  </si>
  <si>
    <t>Horusivirus</t>
  </si>
  <si>
    <t>Horusivirus apimellis</t>
  </si>
  <si>
    <t>Horusivirus mencois</t>
  </si>
  <si>
    <t>Horusivirus pandaco</t>
  </si>
  <si>
    <t>Ioniavirus</t>
  </si>
  <si>
    <t>Ioniavirus callioris</t>
  </si>
  <si>
    <t>Ioniavirus farduois</t>
  </si>
  <si>
    <t>Kadmovirus</t>
  </si>
  <si>
    <t>Kadmovirus poulis</t>
  </si>
  <si>
    <t>Kreonivirus</t>
  </si>
  <si>
    <t>Kreonivirus cygolis</t>
  </si>
  <si>
    <t>Kreonivirus seabatis</t>
  </si>
  <si>
    <t>Lamposivirus</t>
  </si>
  <si>
    <t>Lamposivirus ageladense</t>
  </si>
  <si>
    <t>Lamposivirus gammaris</t>
  </si>
  <si>
    <t>Mantiovirus</t>
  </si>
  <si>
    <t>Mantiovirus clamco</t>
  </si>
  <si>
    <t>Mantiovirus ealaes</t>
  </si>
  <si>
    <t>Naiadivirus</t>
  </si>
  <si>
    <t>Naiadivirus befense</t>
  </si>
  <si>
    <t>Naiadivirus vacaense</t>
  </si>
  <si>
    <t>Naiadivirus wakense</t>
  </si>
  <si>
    <t>Otosivirus</t>
  </si>
  <si>
    <t>Otosivirus volusiense</t>
  </si>
  <si>
    <t>Patroklovirus</t>
  </si>
  <si>
    <t>Patroklovirus gulmense</t>
  </si>
  <si>
    <t>Perimedevirus</t>
  </si>
  <si>
    <t>Perimedevirus blatis</t>
  </si>
  <si>
    <t>Peronelivirus</t>
  </si>
  <si>
    <t>Peronelivirus doingaes</t>
  </si>
  <si>
    <t>Peronelivirus palaeminteris</t>
  </si>
  <si>
    <t>Persevirus</t>
  </si>
  <si>
    <t>Persevirus forpensaes</t>
  </si>
  <si>
    <t>Persevirus mingois</t>
  </si>
  <si>
    <t>Persevirus niaois</t>
  </si>
  <si>
    <t>Persevirus pargotis</t>
  </si>
  <si>
    <t>Persevirus pectis</t>
  </si>
  <si>
    <t>Persevirus truchatis</t>
  </si>
  <si>
    <t>Proteusivirus</t>
  </si>
  <si>
    <t>Proteusivirus raitis</t>
  </si>
  <si>
    <t>Pylenevirus</t>
  </si>
  <si>
    <t>Pylenevirus paphis</t>
  </si>
  <si>
    <t>Pythorivirus</t>
  </si>
  <si>
    <t>Pythorivirus pauaes</t>
  </si>
  <si>
    <t>Rhipevirus</t>
  </si>
  <si>
    <t>Rhipevirus didemis</t>
  </si>
  <si>
    <t>Stentovirus</t>
  </si>
  <si>
    <t>Stentovirus reppertis</t>
  </si>
  <si>
    <t>Styxivirus</t>
  </si>
  <si>
    <t>Styxivirus ecklonis</t>
  </si>
  <si>
    <t>Tantalovirus</t>
  </si>
  <si>
    <t>Tantalovirus resnatis</t>
  </si>
  <si>
    <t>Taphiavirus</t>
  </si>
  <si>
    <t>Taphiavirus pestrotis</t>
  </si>
  <si>
    <t>Telemovirus</t>
  </si>
  <si>
    <t>Telemovirus vaitis</t>
  </si>
  <si>
    <t>Tethyvirus</t>
  </si>
  <si>
    <t>Tethyvirus abatis</t>
  </si>
  <si>
    <t>Tethyvirus nemileis</t>
  </si>
  <si>
    <t>Jormunvirales</t>
  </si>
  <si>
    <t>Draupnirviridae</t>
  </si>
  <si>
    <t>Armipotenivirus</t>
  </si>
  <si>
    <t>Armipotenivirus tanscopis</t>
  </si>
  <si>
    <t>Asperivirus</t>
  </si>
  <si>
    <t>Asperivirus lasarense</t>
  </si>
  <si>
    <t>Asperivirus nemenis</t>
  </si>
  <si>
    <t>Atroxivirus</t>
  </si>
  <si>
    <t>Atroxivirus austris</t>
  </si>
  <si>
    <t>Audacivirus</t>
  </si>
  <si>
    <t>Audacivirus pinazonis</t>
  </si>
  <si>
    <t>Audaxivirus</t>
  </si>
  <si>
    <t>Audaxivirus bacesis</t>
  </si>
  <si>
    <t>Audaxivirus minifulis</t>
  </si>
  <si>
    <t>Audaxivirus myomainis</t>
  </si>
  <si>
    <t>Audaxivirus yotargis</t>
  </si>
  <si>
    <t>Bellicusivirus</t>
  </si>
  <si>
    <t>Bellicusivirus grunawis</t>
  </si>
  <si>
    <t>Belligerivirus</t>
  </si>
  <si>
    <t>Belligerivirus frelianis</t>
  </si>
  <si>
    <t>Citaivirus</t>
  </si>
  <si>
    <t>Citaivirus phonalis</t>
  </si>
  <si>
    <t>Citataivirus</t>
  </si>
  <si>
    <t>Citataivirus sanlemaris</t>
  </si>
  <si>
    <t>Citataivirus uhadis</t>
  </si>
  <si>
    <t>Citiorivirus</t>
  </si>
  <si>
    <t>Citiorivirus crordgris</t>
  </si>
  <si>
    <t>Durusivirus</t>
  </si>
  <si>
    <t>Durusivirus erthyycolis</t>
  </si>
  <si>
    <t>Ferullusivirus</t>
  </si>
  <si>
    <t>Ferullusivirus baguanis</t>
  </si>
  <si>
    <t>Ferullusivirus cylocis</t>
  </si>
  <si>
    <t>Ferullusivirus minfulis</t>
  </si>
  <si>
    <t>Fervidivirus</t>
  </si>
  <si>
    <t>Fervidivirus umantense</t>
  </si>
  <si>
    <t>Funestivirus</t>
  </si>
  <si>
    <t>Funestivirus anlentse</t>
  </si>
  <si>
    <t>Funestivirus seabatis</t>
  </si>
  <si>
    <t>Incitativirus</t>
  </si>
  <si>
    <t>Incitativirus reperis</t>
  </si>
  <si>
    <t>Incitatusivirus</t>
  </si>
  <si>
    <t>Incitatusivirus orancis</t>
  </si>
  <si>
    <t>Malificivirus</t>
  </si>
  <si>
    <t>Malificivirus porcris</t>
  </si>
  <si>
    <t>Mordaxivirus</t>
  </si>
  <si>
    <t>Mordaxivirus sitoranense</t>
  </si>
  <si>
    <t>Nervillivirus</t>
  </si>
  <si>
    <t>Nervillivirus flovetense</t>
  </si>
  <si>
    <t>Nocentianivirus</t>
  </si>
  <si>
    <t>Nocentianivirus saidatense</t>
  </si>
  <si>
    <t>Periculosovirus</t>
  </si>
  <si>
    <t>Periculosovirus lancristus</t>
  </si>
  <si>
    <t>Periculosovirus satuanis</t>
  </si>
  <si>
    <t>Pollentivirus</t>
  </si>
  <si>
    <t>Pollentivirus pleritis</t>
  </si>
  <si>
    <t>Potensivirus</t>
  </si>
  <si>
    <t>Potensivirus flowis</t>
  </si>
  <si>
    <t>Properatisvirus</t>
  </si>
  <si>
    <t>Properatisvirus sabatis</t>
  </si>
  <si>
    <t>Properatisvirus stregense</t>
  </si>
  <si>
    <t>Rapidusivirus</t>
  </si>
  <si>
    <t>Rapidusivirus mimentis</t>
  </si>
  <si>
    <t>Robaratusivirus</t>
  </si>
  <si>
    <t>Robaratusivirus reperis</t>
  </si>
  <si>
    <t>Robaratusivirus semberis</t>
  </si>
  <si>
    <t>Roburiusivirus</t>
  </si>
  <si>
    <t>Roburiusivirus westrobis</t>
  </si>
  <si>
    <t>Strenuaivirus</t>
  </si>
  <si>
    <t>Strenuaivirus antaflavis</t>
  </si>
  <si>
    <t>Strenuusivirus</t>
  </si>
  <si>
    <t>Strenuusivirus lasamoense</t>
  </si>
  <si>
    <t>Strenuusivirus resnapis</t>
  </si>
  <si>
    <t>Tetricillivirus</t>
  </si>
  <si>
    <t>Tetricillivirus motavenis</t>
  </si>
  <si>
    <t>Torentivirus</t>
  </si>
  <si>
    <t>Torentivirus aristcris</t>
  </si>
  <si>
    <t>Torentivirus crutis</t>
  </si>
  <si>
    <t>Torentivirus curcianense</t>
  </si>
  <si>
    <t>Torentivirus lanversius</t>
  </si>
  <si>
    <t>Torentivirus orstucis</t>
  </si>
  <si>
    <t>Torentivirus potacris</t>
  </si>
  <si>
    <t>Torentivirus zocris</t>
  </si>
  <si>
    <t>Valentivirus</t>
  </si>
  <si>
    <t>Valentivirus aedvexis</t>
  </si>
  <si>
    <t>Valentivirus rhisidis</t>
  </si>
  <si>
    <t>Valentivirus ridensis</t>
  </si>
  <si>
    <t>Valentivirus saquitis</t>
  </si>
  <si>
    <t>Validivirus</t>
  </si>
  <si>
    <t>Validivirus umaspis</t>
  </si>
  <si>
    <t>Vegetinivirus</t>
  </si>
  <si>
    <t>Vegetinivirus molmolis</t>
  </si>
  <si>
    <t>Vegetinivirus nobatis</t>
  </si>
  <si>
    <t>Vegetivirus</t>
  </si>
  <si>
    <t>Vegetivirus loriverwastis</t>
  </si>
  <si>
    <t>Vegetivirus portlucense</t>
  </si>
  <si>
    <t>Vehemenivirus</t>
  </si>
  <si>
    <t>Vehemenivirus recresis</t>
  </si>
  <si>
    <t>Velocianivirus</t>
  </si>
  <si>
    <t>Velocianivirus diadonense</t>
  </si>
  <si>
    <t>Veloxivirus</t>
  </si>
  <si>
    <t>Veloxivirus ubatis</t>
  </si>
  <si>
    <t>Violenivirus</t>
  </si>
  <si>
    <t>Violenivirus cotis</t>
  </si>
  <si>
    <t>Violenivirus raptis</t>
  </si>
  <si>
    <t>Viratusivirus</t>
  </si>
  <si>
    <t>Viratusivirus arilasis</t>
  </si>
  <si>
    <t>Virilianivirus</t>
  </si>
  <si>
    <t>Virilianivirus pachylongis</t>
  </si>
  <si>
    <t>Volantivirus</t>
  </si>
  <si>
    <t>Volantivirus lastavis</t>
  </si>
  <si>
    <t>Volantivirus zuncris</t>
  </si>
  <si>
    <t>Anicreviridae</t>
  </si>
  <si>
    <t>Baranavirus</t>
  </si>
  <si>
    <t>Baranavirus uduis</t>
  </si>
  <si>
    <t>Ketkevirus</t>
  </si>
  <si>
    <t>Ketkevirus silauonis</t>
  </si>
  <si>
    <t>Kopavirus</t>
  </si>
  <si>
    <t>Kopavirus kakawais</t>
  </si>
  <si>
    <t>Manawavirus</t>
  </si>
  <si>
    <t>Manawavirus kapowais</t>
  </si>
  <si>
    <t>Otevirus</t>
  </si>
  <si>
    <t>Otevirus soksuewis</t>
  </si>
  <si>
    <t>Patavirus</t>
  </si>
  <si>
    <t>Patavirus kakahis</t>
  </si>
  <si>
    <t>Pekavirus</t>
  </si>
  <si>
    <t>Pekavirus fuais</t>
  </si>
  <si>
    <t>Rakkovirus</t>
  </si>
  <si>
    <t>Rakkovirus canuewis</t>
  </si>
  <si>
    <t>Uewvirus</t>
  </si>
  <si>
    <t>Uewvirus yahnais</t>
  </si>
  <si>
    <t>Cofodevirus kokonas</t>
  </si>
  <si>
    <t>Babuvirus abacae</t>
  </si>
  <si>
    <t>Babuvirus cardamomi</t>
  </si>
  <si>
    <t>Babuvirus musae</t>
  </si>
  <si>
    <t>Nanovirus astragali</t>
  </si>
  <si>
    <t>Nanovirus astragalirani</t>
  </si>
  <si>
    <t>Nanovirus flavipisi</t>
  </si>
  <si>
    <t>Nanovirus flaviviciae</t>
  </si>
  <si>
    <t>Nanovirus medicagonis</t>
  </si>
  <si>
    <t>Nanovirus necroflaviviciae</t>
  </si>
  <si>
    <t>Nanovirus necropisi</t>
  </si>
  <si>
    <t>Nanovirus necropumiliviciae</t>
  </si>
  <si>
    <t>Nanovirus petroselini</t>
  </si>
  <si>
    <t>Nanovirus sophorae</t>
  </si>
  <si>
    <t>Nanovirus trifolii</t>
  </si>
  <si>
    <t>Nanovirus viciacraccae</t>
  </si>
  <si>
    <t>Torbevirus brisa</t>
  </si>
  <si>
    <t>Torbevirus viento</t>
  </si>
  <si>
    <t>Ringavirales</t>
  </si>
  <si>
    <t>Pecoviridae</t>
  </si>
  <si>
    <t>Amaruvirus</t>
  </si>
  <si>
    <t>Amaruvirus aka</t>
  </si>
  <si>
    <t>Amaruvirus masi</t>
  </si>
  <si>
    <t>Amaruvirus taruka</t>
  </si>
  <si>
    <t>Capamivirus</t>
  </si>
  <si>
    <t>Capamivirus cipi</t>
  </si>
  <si>
    <t>Capamivirus muyu</t>
  </si>
  <si>
    <t>Cinchivirus</t>
  </si>
  <si>
    <t>Cinchivirus asul</t>
  </si>
  <si>
    <t>Cinchivirus quwi</t>
  </si>
  <si>
    <t>Intivirus</t>
  </si>
  <si>
    <t>Intivirus quri</t>
  </si>
  <si>
    <t>Intivirus runa</t>
  </si>
  <si>
    <t>Intivirus surtixa</t>
  </si>
  <si>
    <t>Macochavirus</t>
  </si>
  <si>
    <t>Macochavirus kuci</t>
  </si>
  <si>
    <t>Macochavirus uywa</t>
  </si>
  <si>
    <t>Quillavirus</t>
  </si>
  <si>
    <t>Quillavirus paku</t>
  </si>
  <si>
    <t>Tambotovirus</t>
  </si>
  <si>
    <t>Tambotovirus akara</t>
  </si>
  <si>
    <t>Yaviravirus</t>
  </si>
  <si>
    <t>Yaviravirus kapata</t>
  </si>
  <si>
    <t>Arkenivirus</t>
  </si>
  <si>
    <t>Arkenivirus varda</t>
  </si>
  <si>
    <t>Beornivirus</t>
  </si>
  <si>
    <t>Beornivirus durin</t>
  </si>
  <si>
    <t>Mallornivirus</t>
  </si>
  <si>
    <t>Mallornivirus breg</t>
  </si>
  <si>
    <t>Mirkivirus</t>
  </si>
  <si>
    <t>Mirkivirus athela</t>
  </si>
  <si>
    <t>Sindarvirus</t>
  </si>
  <si>
    <t>Sindarvirus indis</t>
  </si>
  <si>
    <t>Sindarvirus narsil</t>
  </si>
  <si>
    <t>Thengelvirus</t>
  </si>
  <si>
    <t>Thengelvirus dagmor</t>
  </si>
  <si>
    <t>Thengelvirus poros</t>
  </si>
  <si>
    <t>Tirithivirus</t>
  </si>
  <si>
    <t>Tirithivirus golfim</t>
  </si>
  <si>
    <t>Adamaviridae</t>
  </si>
  <si>
    <t>Andorivirus</t>
  </si>
  <si>
    <t>Andorivirus almar</t>
  </si>
  <si>
    <t>Andorivirus forochel</t>
  </si>
  <si>
    <t>Andorivirus nenuia</t>
  </si>
  <si>
    <t>Caradhivirus</t>
  </si>
  <si>
    <t>Caradhivirus amobel</t>
  </si>
  <si>
    <t>Celebovirus</t>
  </si>
  <si>
    <t>Celebovirus lorelli</t>
  </si>
  <si>
    <t>Dolmedivirus</t>
  </si>
  <si>
    <t>Dolmedivirus noldo</t>
  </si>
  <si>
    <t>Enedivirus</t>
  </si>
  <si>
    <t>Enedivirus anar</t>
  </si>
  <si>
    <t>Harfovirus</t>
  </si>
  <si>
    <t>Harfovirus londae</t>
  </si>
  <si>
    <t>Moriavirus</t>
  </si>
  <si>
    <t>Moriavirus nahar</t>
  </si>
  <si>
    <t>Moriavirus rohirri</t>
  </si>
  <si>
    <t>Nimlovirus</t>
  </si>
  <si>
    <t>Nimlovirus annon</t>
  </si>
  <si>
    <t>Nurnevirus</t>
  </si>
  <si>
    <t>Nurnevirus wethil</t>
  </si>
  <si>
    <t>Pelorivirus</t>
  </si>
  <si>
    <t>Pelorivirus melia</t>
  </si>
  <si>
    <t>Stoorivirus</t>
  </si>
  <si>
    <t>Stoorivirus tarnae</t>
  </si>
  <si>
    <t>Taravirus</t>
  </si>
  <si>
    <t>Taravirus cuivi</t>
  </si>
  <si>
    <t>Telperivirus</t>
  </si>
  <si>
    <t>Telperivirus sithali</t>
  </si>
  <si>
    <t>Tharbavirus</t>
  </si>
  <si>
    <t>Tharbavirus aelin</t>
  </si>
  <si>
    <t>Ulwavirus</t>
  </si>
  <si>
    <t>Ulwavirus helevor</t>
  </si>
  <si>
    <t>Valarivirus</t>
  </si>
  <si>
    <t>Valarivirus sithago</t>
  </si>
  <si>
    <t>Vanyarvirus</t>
  </si>
  <si>
    <t>Vanyarvirus aros</t>
  </si>
  <si>
    <t>Vanyarvirus ulmo</t>
  </si>
  <si>
    <t>Zirakzivirus</t>
  </si>
  <si>
    <t>Zirakzivirus serni</t>
  </si>
  <si>
    <t>Kirkoviridae</t>
  </si>
  <si>
    <t>Aglavirus</t>
  </si>
  <si>
    <t>Aglavirus caranthi</t>
  </si>
  <si>
    <t>Denevirus</t>
  </si>
  <si>
    <t>Denevirus geli</t>
  </si>
  <si>
    <t>Edravirus</t>
  </si>
  <si>
    <t>Edravirus khele</t>
  </si>
  <si>
    <t>Halavirus</t>
  </si>
  <si>
    <t>Halavirus bele</t>
  </si>
  <si>
    <t>Irmovirus</t>
  </si>
  <si>
    <t>Irmovirus amras</t>
  </si>
  <si>
    <t>Luinilvirus</t>
  </si>
  <si>
    <t>Luinilvirus valimar</t>
  </si>
  <si>
    <t>Melianvirus</t>
  </si>
  <si>
    <t>Melianvirus uinen</t>
  </si>
  <si>
    <t>Melianvirus umbar</t>
  </si>
  <si>
    <t>Melianvirus wilwarin</t>
  </si>
  <si>
    <t>Nessavirus</t>
  </si>
  <si>
    <t>Nessavirus lothluin</t>
  </si>
  <si>
    <t>Ossirvirus</t>
  </si>
  <si>
    <t>Ossirvirus eru</t>
  </si>
  <si>
    <t>Yavannavirus</t>
  </si>
  <si>
    <t>Yavannavirus dimbar</t>
  </si>
  <si>
    <t>Cirilivirus</t>
  </si>
  <si>
    <t>Cirilivirus boffger</t>
  </si>
  <si>
    <t>Saturnivirales</t>
  </si>
  <si>
    <t>Kanorauviridae</t>
  </si>
  <si>
    <t>Chinseivirus</t>
  </si>
  <si>
    <t>Chinseivirus sewoxi</t>
  </si>
  <si>
    <t>Chiunvirus</t>
  </si>
  <si>
    <t>Chiunvirus auroris</t>
  </si>
  <si>
    <t>Chiunvirus grujae</t>
  </si>
  <si>
    <t>Chiunvirus melani</t>
  </si>
  <si>
    <t>Chiunvirus muliumi</t>
  </si>
  <si>
    <t>Chiunvirus sainlis</t>
  </si>
  <si>
    <t>Doseivirus</t>
  </si>
  <si>
    <t>Doseivirus sewoxi</t>
  </si>
  <si>
    <t>Kaiwanvirus</t>
  </si>
  <si>
    <t>Kaiwanvirus raringis</t>
  </si>
  <si>
    <t>Kaiwanvirus sewoxi</t>
  </si>
  <si>
    <t>Kajamanuvirus</t>
  </si>
  <si>
    <t>Kajamanuvirus cruti</t>
  </si>
  <si>
    <t>Kajamanuvirus cryonitae</t>
  </si>
  <si>
    <t>Kajamanuvirus lawatis</t>
  </si>
  <si>
    <t>Kajamanuvirus moutis</t>
  </si>
  <si>
    <t>Kajamanuvirus musmis</t>
  </si>
  <si>
    <t>Kronovirus</t>
  </si>
  <si>
    <t>Kronovirus crassaminis</t>
  </si>
  <si>
    <t>Ninurtavirus</t>
  </si>
  <si>
    <t>Ninurtavirus bowris</t>
  </si>
  <si>
    <t>Ninurtavirus cruti</t>
  </si>
  <si>
    <t>Ninurtavirus culiziae</t>
  </si>
  <si>
    <t>Ninurtavirus duliaris</t>
  </si>
  <si>
    <t>Ninurtavirus floridaense</t>
  </si>
  <si>
    <t>Ninurtavirus jaringis</t>
  </si>
  <si>
    <t>Ninurtavirus lawatis</t>
  </si>
  <si>
    <t>Ninurtavirus lophus</t>
  </si>
  <si>
    <t>Ninurtavirus maringis</t>
  </si>
  <si>
    <t>Ninurtavirus mintis</t>
  </si>
  <si>
    <t>Ninurtavirus momolo</t>
  </si>
  <si>
    <t>Ninurtavirus muliumi</t>
  </si>
  <si>
    <t>Ninurtavirus nowtis</t>
  </si>
  <si>
    <t>Ninurtavirus oceanis</t>
  </si>
  <si>
    <t>Ninurtavirus particulae</t>
  </si>
  <si>
    <t>Ninurtavirus pintis</t>
  </si>
  <si>
    <t>Ninurtavirus pondae</t>
  </si>
  <si>
    <t>Ninurtavirus procoris</t>
  </si>
  <si>
    <t>Ninurtavirus raringis</t>
  </si>
  <si>
    <t>Ninurtavirus rhiphus</t>
  </si>
  <si>
    <t>Ninurtavirus sewoxi</t>
  </si>
  <si>
    <t>Ninurtavirus tersae</t>
  </si>
  <si>
    <t>Ninurtavirus wagopi</t>
  </si>
  <si>
    <t>Ninurtavirus waseris</t>
  </si>
  <si>
    <t>Phainonvirus</t>
  </si>
  <si>
    <t>Phainonvirus cryonitae</t>
  </si>
  <si>
    <t>Phainonvirus hydris</t>
  </si>
  <si>
    <t>Phainonvirus libraris</t>
  </si>
  <si>
    <t>Raagevirus</t>
  </si>
  <si>
    <t>Raagevirus napperis</t>
  </si>
  <si>
    <t>Sadornvirus</t>
  </si>
  <si>
    <t>Sadornvirus chesapis</t>
  </si>
  <si>
    <t>Sagusvirus</t>
  </si>
  <si>
    <t>Sagusvirus crownis</t>
  </si>
  <si>
    <t>Sagusvirus jaringis</t>
  </si>
  <si>
    <t>Sakkuthvirus</t>
  </si>
  <si>
    <t>Sakkuthvirus batchis</t>
  </si>
  <si>
    <t>Sakkuthvirus culiziae</t>
  </si>
  <si>
    <t>Sakkuthvirus donghis</t>
  </si>
  <si>
    <t>Sakkuthvirus napperis</t>
  </si>
  <si>
    <t>Sakkuthvirus raringis</t>
  </si>
  <si>
    <t>Sanchirviurs</t>
  </si>
  <si>
    <t>Sanchirviurs lawatis</t>
  </si>
  <si>
    <t>Sanivirus</t>
  </si>
  <si>
    <t>Sanivirus maringis</t>
  </si>
  <si>
    <t>Sanivirus suspensae</t>
  </si>
  <si>
    <t>Saothovirus</t>
  </si>
  <si>
    <t>Saothovirus cruti</t>
  </si>
  <si>
    <t>Saothovirus dianchis</t>
  </si>
  <si>
    <t>Saothovirus lawatis</t>
  </si>
  <si>
    <t>Saothovirus manatis</t>
  </si>
  <si>
    <t>Saothovirus maringis</t>
  </si>
  <si>
    <t>Saothovirus mintis</t>
  </si>
  <si>
    <t>Savurvirus</t>
  </si>
  <si>
    <t>Savurvirus yangris</t>
  </si>
  <si>
    <t>Scythevirus</t>
  </si>
  <si>
    <t>Scythevirus dianchis</t>
  </si>
  <si>
    <t>Scythevirus lawatis</t>
  </si>
  <si>
    <t>Scythevirus manatis</t>
  </si>
  <si>
    <t>Scythevirus maringis</t>
  </si>
  <si>
    <t>Scythevirus monetis</t>
  </si>
  <si>
    <t>Scythevirus natringis</t>
  </si>
  <si>
    <t>Seetinvirus</t>
  </si>
  <si>
    <t>Seetinvirus maringis</t>
  </si>
  <si>
    <t>Shabtayvirus</t>
  </si>
  <si>
    <t>Shabtayvirus brolerae</t>
  </si>
  <si>
    <t>Shabtayvirus lawatis</t>
  </si>
  <si>
    <t>Shanivirus</t>
  </si>
  <si>
    <t>Shanivirus acrenis</t>
  </si>
  <si>
    <t>Shanivirus airbis</t>
  </si>
  <si>
    <t>Shanivirus bortici</t>
  </si>
  <si>
    <t>Shanivirus cryonitae</t>
  </si>
  <si>
    <t>Shanivirus culiziae</t>
  </si>
  <si>
    <t>Shanivirus lawatis</t>
  </si>
  <si>
    <t>Shanivirus maringis</t>
  </si>
  <si>
    <t>Shanivirus neozealandicus</t>
  </si>
  <si>
    <t>Shanivirus particulae</t>
  </si>
  <si>
    <t>Shanivirus partimae</t>
  </si>
  <si>
    <t>Shanivirus pondae</t>
  </si>
  <si>
    <t>Shanivirus sewoxi</t>
  </si>
  <si>
    <t>Shanivirus waseris</t>
  </si>
  <si>
    <t>Shanivirus yangris</t>
  </si>
  <si>
    <t>Sickelvirus</t>
  </si>
  <si>
    <t>Sickelvirus hydris</t>
  </si>
  <si>
    <t>Sickelvirus maringis</t>
  </si>
  <si>
    <t>Tuxingvirus</t>
  </si>
  <si>
    <t>Tuxingvirus gruidis</t>
  </si>
  <si>
    <t>Zohali</t>
  </si>
  <si>
    <t>Zohali maramis</t>
  </si>
  <si>
    <t>Zuhalvirus</t>
  </si>
  <si>
    <t>Zuhalvirus cruti</t>
  </si>
  <si>
    <t>Mahapunaviridae</t>
  </si>
  <si>
    <t>Acamarivirus</t>
  </si>
  <si>
    <t>Acamarivirus apogeeis</t>
  </si>
  <si>
    <t>Acamarivirus cometis</t>
  </si>
  <si>
    <t>Acamarivirus faculaes</t>
  </si>
  <si>
    <t>Acamarivirus lunaes</t>
  </si>
  <si>
    <t>Acamarivirus nebulais</t>
  </si>
  <si>
    <t>Acamarivirus parsecis</t>
  </si>
  <si>
    <t>Acamarivirus perigeeis</t>
  </si>
  <si>
    <t>Acamarivirus solis</t>
  </si>
  <si>
    <t>Amalthevirus</t>
  </si>
  <si>
    <t>Amalthevirus altais</t>
  </si>
  <si>
    <t>Anthevirus</t>
  </si>
  <si>
    <t>Anthevirus archis</t>
  </si>
  <si>
    <t>Anthevirus beronis</t>
  </si>
  <si>
    <t>Anthevirus cielois</t>
  </si>
  <si>
    <t>Anthevirus eris</t>
  </si>
  <si>
    <t>Anthevirus kuiperis</t>
  </si>
  <si>
    <t>Anthevirus perseuis</t>
  </si>
  <si>
    <t>Anthevirus rigelis</t>
  </si>
  <si>
    <t>Cursavirus</t>
  </si>
  <si>
    <t>Cursavirus nadis</t>
  </si>
  <si>
    <t>Cursavirus rocheis</t>
  </si>
  <si>
    <t>Cursavirus zenis</t>
  </si>
  <si>
    <t>Elnathivirus</t>
  </si>
  <si>
    <t>Elnathivirus orbitis</t>
  </si>
  <si>
    <t>Enifivirus</t>
  </si>
  <si>
    <t>Enifivirus asteris</t>
  </si>
  <si>
    <t>Fuluvirus</t>
  </si>
  <si>
    <t>Fuluvirus siderealis</t>
  </si>
  <si>
    <t>Fuluvirus stellaris</t>
  </si>
  <si>
    <t>Garivirus</t>
  </si>
  <si>
    <t>Garivirus zodis</t>
  </si>
  <si>
    <t>Himalivirus</t>
  </si>
  <si>
    <t>Himalivirus celestis</t>
  </si>
  <si>
    <t>Himalivirus chandais</t>
  </si>
  <si>
    <t>Himalivirus cordelis</t>
  </si>
  <si>
    <t>Himalivirus halles</t>
  </si>
  <si>
    <t>Janusivirus</t>
  </si>
  <si>
    <t>Janusivirus ophels</t>
  </si>
  <si>
    <t>Janusivirus portis</t>
  </si>
  <si>
    <t>Thebevirus</t>
  </si>
  <si>
    <t>Thebevirus arielis</t>
  </si>
  <si>
    <t>Becurtovirus betae</t>
  </si>
  <si>
    <t>Becurtovirus exomis</t>
  </si>
  <si>
    <t>Becurtovirus spinaciae</t>
  </si>
  <si>
    <t>Begomovirus abelmoschusbhubhaneswarense</t>
  </si>
  <si>
    <t>Begomovirus abelmoschusdehliense</t>
  </si>
  <si>
    <t>Begomovirus abelmoschusflavi</t>
  </si>
  <si>
    <t>Begomovirus abelmoschusharyanaense</t>
  </si>
  <si>
    <t>Begomovirus abelsmoschusenation</t>
  </si>
  <si>
    <t>Begomovirus abelsmoschusmaculae</t>
  </si>
  <si>
    <t>Begomovirus abelsmoschusmexicoense</t>
  </si>
  <si>
    <t>Begomovirus abelsmoschusomanense</t>
  </si>
  <si>
    <t>Begomovirus abelsmoschusretorridi</t>
  </si>
  <si>
    <t>Begomovirus abutilonbrazilense</t>
  </si>
  <si>
    <t>Begomovirus abutilonis</t>
  </si>
  <si>
    <t>Begomovirus agerahualianense</t>
  </si>
  <si>
    <t>Begomovirus agerainvolutionis</t>
  </si>
  <si>
    <t>Begomovirus agerasichuanense</t>
  </si>
  <si>
    <t>Begomovirus agerasrilankaense</t>
  </si>
  <si>
    <t>Begomovirus agerati</t>
  </si>
  <si>
    <t>Begomovirus ageravenae</t>
  </si>
  <si>
    <t>Begomovirus alceae</t>
  </si>
  <si>
    <t>Begomovirus alceamuvisi</t>
  </si>
  <si>
    <t>Begomovirus alceavenae</t>
  </si>
  <si>
    <t>Begomovirus allamandae</t>
  </si>
  <si>
    <t>Begomovirus alternantherae</t>
  </si>
  <si>
    <t>Begomovirus andrographis</t>
  </si>
  <si>
    <t>Begomovirus asystasiae</t>
  </si>
  <si>
    <t>Begomovirus asystasiaprimi</t>
  </si>
  <si>
    <t>Begomovirus asystasiasecundi</t>
  </si>
  <si>
    <t>Begomovirus asystasiatertii</t>
  </si>
  <si>
    <t>Begomovirus bauri</t>
  </si>
  <si>
    <t>Begomovirus bemisiaprimi</t>
  </si>
  <si>
    <t>Begomovirus bemisiaquarti</t>
  </si>
  <si>
    <t>Begomovirus bemisiasecundi</t>
  </si>
  <si>
    <t>Begomovirus bemisiaseptimi</t>
  </si>
  <si>
    <t>Begomovirus bemisiasexti</t>
  </si>
  <si>
    <t>Begomovirus bemisiatertii</t>
  </si>
  <si>
    <t>Begomovirus birdi</t>
  </si>
  <si>
    <t>Begomovirus blainvilleae</t>
  </si>
  <si>
    <t>Begomovirus blechi</t>
  </si>
  <si>
    <t>Begomovirus blechumflavi</t>
  </si>
  <si>
    <t>Begomovirus boerhaviae</t>
  </si>
  <si>
    <t>Begomovirus brassicae</t>
  </si>
  <si>
    <t>Begomovirus brassicajamaicaense</t>
  </si>
  <si>
    <t>Begomovirus caprariae</t>
  </si>
  <si>
    <t>Begomovirus capsiahmedbadense</t>
  </si>
  <si>
    <t>Begomovirus capsibhavanisagarense</t>
  </si>
  <si>
    <t>Begomovirus capsici</t>
  </si>
  <si>
    <t>Begomovirus capsicumacehense</t>
  </si>
  <si>
    <t>Begomovirus capsicumannui</t>
  </si>
  <si>
    <t>Begomovirus capsicumbangladeschense</t>
  </si>
  <si>
    <t>Begomovirus capsicumchinaense</t>
  </si>
  <si>
    <t>Begomovirus capsicumcontorsioris</t>
  </si>
  <si>
    <t>Begomovirus capsicumhuastecoense</t>
  </si>
  <si>
    <t>Begomovirus capsicumindonesiaense</t>
  </si>
  <si>
    <t>Begomovirus capsicumindonesiaenseduo</t>
  </si>
  <si>
    <t>Begomovirus capsicumlahorense</t>
  </si>
  <si>
    <t>Begomovirus capsicummaliense</t>
  </si>
  <si>
    <t>Begomovirus capsicummusivi</t>
  </si>
  <si>
    <t>Begomovirus capsicumthailandense</t>
  </si>
  <si>
    <t>Begomovirus capsicumyunnanense</t>
  </si>
  <si>
    <t>Begomovirus capsigondaense</t>
  </si>
  <si>
    <t>Begomovirus capsikanpurense</t>
  </si>
  <si>
    <t>Begomovirus capsindiaense</t>
  </si>
  <si>
    <t>Begomovirus capsisrilankaense</t>
  </si>
  <si>
    <t>Begomovirus capsivellanadense</t>
  </si>
  <si>
    <t>Begomovirus caricachinaense</t>
  </si>
  <si>
    <t>Begomovirus caricae</t>
  </si>
  <si>
    <t>Begomovirus caricaflavi</t>
  </si>
  <si>
    <t>Begomovirus caricaguandongense</t>
  </si>
  <si>
    <t>Begomovirus caricaprimi</t>
  </si>
  <si>
    <t>Begomovirus caricasecundi</t>
  </si>
  <si>
    <t>Begomovirus catharanthi</t>
  </si>
  <si>
    <t>Begomovirus catharticae</t>
  </si>
  <si>
    <t>Begomovirus centrosemae</t>
  </si>
  <si>
    <t>Begomovirus chayotis</t>
  </si>
  <si>
    <t>Begomovirus chenopodii</t>
  </si>
  <si>
    <t>Begomovirus chillicapsici</t>
  </si>
  <si>
    <t>Begomovirus chlorocucumis</t>
  </si>
  <si>
    <t>Begomovirus citrulli</t>
  </si>
  <si>
    <t>Begomovirus cleomaurei</t>
  </si>
  <si>
    <t>Begomovirus cleomecrispi</t>
  </si>
  <si>
    <t>Begomovirus clerodendronflavi</t>
  </si>
  <si>
    <t>Begomovirus clerodendronis</t>
  </si>
  <si>
    <t>Begomovirus clerodendrumchinaense</t>
  </si>
  <si>
    <t>Begomovirus clerodendrumjiangsuense</t>
  </si>
  <si>
    <t>Begomovirus cnidoscoli</t>
  </si>
  <si>
    <t>Begomovirus cocciniae</t>
  </si>
  <si>
    <t>Begomovirus coheni</t>
  </si>
  <si>
    <t>Begomovirus corchocubaense</t>
  </si>
  <si>
    <t>Begomovirus corchoflavi</t>
  </si>
  <si>
    <t>Begomovirus corchomusivi</t>
  </si>
  <si>
    <t>Begomovirus corchori</t>
  </si>
  <si>
    <t>Begomovirus corchovenae</t>
  </si>
  <si>
    <t>Begomovirus costai</t>
  </si>
  <si>
    <t>Begomovirus crassocephali</t>
  </si>
  <si>
    <t>Begomovirus crotalariae</t>
  </si>
  <si>
    <t>Begomovirus crotoflavi</t>
  </si>
  <si>
    <t>Begomovirus crotomusivi</t>
  </si>
  <si>
    <t>Begomovirus cucumis</t>
  </si>
  <si>
    <t>Begomovirus cucumisflavi</t>
  </si>
  <si>
    <t>Begomovirus cucumismusivi</t>
  </si>
  <si>
    <t>Begomovirus cucurbitachinaense</t>
  </si>
  <si>
    <t>Begomovirus cucurbitae</t>
  </si>
  <si>
    <t>Begomovirus cucurbitamaximae</t>
  </si>
  <si>
    <t>Begomovirus cucurbitapeponis</t>
  </si>
  <si>
    <t>Begomovirus cucurbitaphilippinense</t>
  </si>
  <si>
    <t>Begomovirus cucurbitatenuis</t>
  </si>
  <si>
    <t>Begomovirus cucurbitayunnanense</t>
  </si>
  <si>
    <t>Begomovirus dalechampiae</t>
  </si>
  <si>
    <t>Begomovirus daturadistortionis</t>
  </si>
  <si>
    <t>Begomovirus daturae</t>
  </si>
  <si>
    <t>Begomovirus deinbolliae</t>
  </si>
  <si>
    <t>Begomovirus desmodii</t>
  </si>
  <si>
    <t>Begomovirus desmodistortionis</t>
  </si>
  <si>
    <t>Begomovirus diclipteracubaense</t>
  </si>
  <si>
    <t>Begomovirus diclipterae</t>
  </si>
  <si>
    <t>Begomovirus dolichoris</t>
  </si>
  <si>
    <t>Begomovirus durantae</t>
  </si>
  <si>
    <t>Begomovirus ecliptae</t>
  </si>
  <si>
    <t>Begomovirus emiliae</t>
  </si>
  <si>
    <t>Begomovirus emiliafujianense</t>
  </si>
  <si>
    <t>Begomovirus emiliathailandense</t>
  </si>
  <si>
    <t>Begomovirus erectitesis</t>
  </si>
  <si>
    <t>Begomovirus eupatorii</t>
  </si>
  <si>
    <t>Begomovirus euphorbiae</t>
  </si>
  <si>
    <t>Begomovirus euphorbiaflavi</t>
  </si>
  <si>
    <t>Begomovirus euphorbiaguangxiense</t>
  </si>
  <si>
    <t>Begomovirus euphorbiamusivi</t>
  </si>
  <si>
    <t>Begomovirus euphorbiamusiviflavi</t>
  </si>
  <si>
    <t>Begomovirus euphorbiaperuense</t>
  </si>
  <si>
    <t>Begomovirus glycinepallidi</t>
  </si>
  <si>
    <t>Begomovirus glycinevariati</t>
  </si>
  <si>
    <t>Begomovirus glycinis</t>
  </si>
  <si>
    <t>Begomovirus gossypialabadense</t>
  </si>
  <si>
    <t>Begomovirus gossypibangalorense</t>
  </si>
  <si>
    <t>Begomovirus gossypibarasatense</t>
  </si>
  <si>
    <t>Begomovirus gossypiflavi</t>
  </si>
  <si>
    <t>Begomovirus gossypigeziraense</t>
  </si>
  <si>
    <t>Begomovirus gossypii</t>
  </si>
  <si>
    <t>Begomovirus gossypikokranense</t>
  </si>
  <si>
    <t>Begomovirus gossypimaculae</t>
  </si>
  <si>
    <t>Begomovirus gossypimultanense</t>
  </si>
  <si>
    <t>Begomovirus hedyotis</t>
  </si>
  <si>
    <t>Begomovirus hemidesmi</t>
  </si>
  <si>
    <t>Begomovirus hibisci</t>
  </si>
  <si>
    <t>Begomovirus hibiscusvenae</t>
  </si>
  <si>
    <t>Begomovirus hybanthi</t>
  </si>
  <si>
    <t>Begomovirus ipomoeacanaryense</t>
  </si>
  <si>
    <t>Begomovirus ipomoeachinaense</t>
  </si>
  <si>
    <t>Begomovirus ipomoeae</t>
  </si>
  <si>
    <t>Begomovirus ipomoeageorgiaense</t>
  </si>
  <si>
    <t>Begomovirus ipomoeaguangxiense</t>
  </si>
  <si>
    <t>Begomovirus ipomoeahenanense</t>
  </si>
  <si>
    <t>Begomovirus ipomoeahubeiense</t>
  </si>
  <si>
    <t>Begomovirus ipomoeakoreaense</t>
  </si>
  <si>
    <t>Begomovirus ipomoeamusivi</t>
  </si>
  <si>
    <t>Begomovirus ipomoeasaopauloense</t>
  </si>
  <si>
    <t>Begomovirus ipomoeashandongense</t>
  </si>
  <si>
    <t>Begomovirus ipomoeasichuanprimi</t>
  </si>
  <si>
    <t>Begomovirus ipomoeasichuansecundi</t>
  </si>
  <si>
    <t>Begomovirus ipomoeasouthcarolinaense</t>
  </si>
  <si>
    <t>Begomovirus jacquemontiamusivi</t>
  </si>
  <si>
    <t>Begomovirus jacquemontiavenae</t>
  </si>
  <si>
    <t>Begomovirus jacquemontiayucatanense</t>
  </si>
  <si>
    <t>Begomovirus jatrophae</t>
  </si>
  <si>
    <t>Begomovirus jatrophaflavamusivi</t>
  </si>
  <si>
    <t>Begomovirus jatrophaflavi</t>
  </si>
  <si>
    <t>Begomovirus jatrophagujaratense</t>
  </si>
  <si>
    <t>Begomovirus jatrophaindiaense</t>
  </si>
  <si>
    <t>Begomovirus jatrophamusivi</t>
  </si>
  <si>
    <t>Begomovirus jatrophanigeriaense</t>
  </si>
  <si>
    <t>Begomovirus jeskei</t>
  </si>
  <si>
    <t>Begomovirus kokenae</t>
  </si>
  <si>
    <t>Begomovirus leonuri</t>
  </si>
  <si>
    <t>Begomovirus linderniae</t>
  </si>
  <si>
    <t>Begomovirus lisianthi</t>
  </si>
  <si>
    <t>Begomovirus loniceramusivi</t>
  </si>
  <si>
    <t>Begomovirus ludwigiae</t>
  </si>
  <si>
    <t>Begomovirus ludwigiavietnamense</t>
  </si>
  <si>
    <t>Begomovirus luffae</t>
  </si>
  <si>
    <t>Begomovirus lycianthesis</t>
  </si>
  <si>
    <t>Begomovirus macroptilaurei</t>
  </si>
  <si>
    <t>Begomovirus macroptilicommunis</t>
  </si>
  <si>
    <t>Begomovirus macroptilifloridaense</t>
  </si>
  <si>
    <t>Begomovirus macroptilii</t>
  </si>
  <si>
    <t>Begomovirus macroptilimaculae</t>
  </si>
  <si>
    <t>Begomovirus macroptilimusivi</t>
  </si>
  <si>
    <t>Begomovirus macroptilipuertoricoense</t>
  </si>
  <si>
    <t>Begomovirus macroptilivenae</t>
  </si>
  <si>
    <t>Begomovirus macrotylomae</t>
  </si>
  <si>
    <t>Begomovirus malvastri</t>
  </si>
  <si>
    <t>Begomovirus malvastrumcambodiaense</t>
  </si>
  <si>
    <t>Begomovirus malvastrumflavi</t>
  </si>
  <si>
    <t>Begomovirus malvastrumhelshirense</t>
  </si>
  <si>
    <t>Begomovirus malvastrumhonghense</t>
  </si>
  <si>
    <t>Begomovirus malvastrumjamaicaense</t>
  </si>
  <si>
    <t>Begomovirus malvastrumlahorense</t>
  </si>
  <si>
    <t>Begomovirus malvastrummusivi</t>
  </si>
  <si>
    <t>Begomovirus malvastrumphilipinesense</t>
  </si>
  <si>
    <t>Begomovirus malvastrumyunnanense</t>
  </si>
  <si>
    <t>Begomovirus malvatrumvenae</t>
  </si>
  <si>
    <t>Begomovirus manihotis</t>
  </si>
  <si>
    <t>Begomovirus manihotisafricaense</t>
  </si>
  <si>
    <t>Begomovirus manihotisburkinafasoense</t>
  </si>
  <si>
    <t>Begomovirus manihotiscameroonense</t>
  </si>
  <si>
    <t>Begomovirus manihotisindianense</t>
  </si>
  <si>
    <t>Begomovirus manihotiskenyaense</t>
  </si>
  <si>
    <t>Begomovirus manihotismadagascarense</t>
  </si>
  <si>
    <t>Begomovirus manihotismalawiense</t>
  </si>
  <si>
    <t>Begomovirus manihotiszanzibarense</t>
  </si>
  <si>
    <t>Begomovirus melochiae</t>
  </si>
  <si>
    <t>Begomovirus melochiaflavi</t>
  </si>
  <si>
    <t>Begomovirus merremiae</t>
  </si>
  <si>
    <t>Begomovirus merremiapuertoricoense</t>
  </si>
  <si>
    <t>Begomovirus mestae</t>
  </si>
  <si>
    <t>Begomovirus mimosae</t>
  </si>
  <si>
    <t>Begomovirus mirabilis</t>
  </si>
  <si>
    <t>Begomovirus momordicae</t>
  </si>
  <si>
    <t>Begomovirus moralesi</t>
  </si>
  <si>
    <t>Begomovirus mucunae</t>
  </si>
  <si>
    <t>Begomovirus mucunaflavi</t>
  </si>
  <si>
    <t>Begomovirus nicotianacomorosense</t>
  </si>
  <si>
    <t>Begomovirus nicotianacubaense</t>
  </si>
  <si>
    <t>Begomovirus nicotianadominicanense</t>
  </si>
  <si>
    <t>Begomovirus nicotianae</t>
  </si>
  <si>
    <t>Begomovirus nicotianaparvi</t>
  </si>
  <si>
    <t>Begomovirus nicotianapusaense</t>
  </si>
  <si>
    <t>Begomovirus nicotianarugosi</t>
  </si>
  <si>
    <t>Begomovirus nicotianathailandense</t>
  </si>
  <si>
    <t>Begomovirus nicotianavariati</t>
  </si>
  <si>
    <t>Begomovirus nicotianayunnanense</t>
  </si>
  <si>
    <t>Begomovirus nicotianazimbabwense</t>
  </si>
  <si>
    <t>Begomovirus ocimumaurei</t>
  </si>
  <si>
    <t>Begomovirus ocimummusivi</t>
  </si>
  <si>
    <t>Begomovirus ocimumvenae</t>
  </si>
  <si>
    <t>Begomovirus papayae</t>
  </si>
  <si>
    <t>Begomovirus passifloracontorsionis</t>
  </si>
  <si>
    <t>Begomovirus passiflorae</t>
  </si>
  <si>
    <t>Begomovirus passifloraseveri</t>
  </si>
  <si>
    <t>Begomovirus pavoniae</t>
  </si>
  <si>
    <t>Begomovirus pavoniaflavi</t>
  </si>
  <si>
    <t>Begomovirus pedilanthi</t>
  </si>
  <si>
    <t>Begomovirus phaseoli</t>
  </si>
  <si>
    <t>Begomovirus phaseolialbi</t>
  </si>
  <si>
    <t>Begomovirus phaseolicaliconis</t>
  </si>
  <si>
    <t>Begomovirus phaseolichlorosis</t>
  </si>
  <si>
    <t>Begomovirus phaseoligallici</t>
  </si>
  <si>
    <t>Begomovirus phaseolilatens</t>
  </si>
  <si>
    <t>Begomovirus phaseolimexicoense</t>
  </si>
  <si>
    <t>Begomovirus phaseoliretorridi</t>
  </si>
  <si>
    <t>Begomovirus phaseovulgaris</t>
  </si>
  <si>
    <t>Begomovirus pisi</t>
  </si>
  <si>
    <t>Begomovirus polygalae</t>
  </si>
  <si>
    <t>Begomovirus pouzolziae</t>
  </si>
  <si>
    <t>Begomovirus pouzolziaflavi</t>
  </si>
  <si>
    <t>Begomovirus pouzolziaguangdongense</t>
  </si>
  <si>
    <t>Begomovirus premnae</t>
  </si>
  <si>
    <t>Begomovirus puerariae</t>
  </si>
  <si>
    <t>Begomovirus ramiis</t>
  </si>
  <si>
    <t>Begomovirus rhynchosiae</t>
  </si>
  <si>
    <t>Begomovirus rhynchosiaflavi</t>
  </si>
  <si>
    <t>Begomovirus rhynchosiahavanaense</t>
  </si>
  <si>
    <t>Begomovirus rhynchosiaindiaense</t>
  </si>
  <si>
    <t>Begomovirus rhynchosiarugosi</t>
  </si>
  <si>
    <t>Begomovirus rhynchosiasinaloaense</t>
  </si>
  <si>
    <t>Begomovirus rhynchosiaurei</t>
  </si>
  <si>
    <t>Begomovirus rosae</t>
  </si>
  <si>
    <t>Begomovirus sauropi</t>
  </si>
  <si>
    <t>Begomovirus senecionis</t>
  </si>
  <si>
    <t>Begomovirus sennae</t>
  </si>
  <si>
    <t>Begomovirus sidaalagoasense</t>
  </si>
  <si>
    <t>Begomovirus sidaboliviaensecundi</t>
  </si>
  <si>
    <t>Begomovirus sidaboliviaenseprimi</t>
  </si>
  <si>
    <t>Begomovirus sidaciliaris</t>
  </si>
  <si>
    <t>Begomovirus sidacontorsionis</t>
  </si>
  <si>
    <t>Begomovirus sidaflavachinaense</t>
  </si>
  <si>
    <t>Begomovirus sidaflavacontorsionis</t>
  </si>
  <si>
    <t>Begomovirus sidaflavalagoense</t>
  </si>
  <si>
    <t>Begomovirus sidaflavamaculae</t>
  </si>
  <si>
    <t>Begomovirus sidaflavamusivi</t>
  </si>
  <si>
    <t>Begomovirus sidaflavaneti</t>
  </si>
  <si>
    <t>Begomovirus sidaflavaureimusivi</t>
  </si>
  <si>
    <t>Begomovirus sidaflavavariati</t>
  </si>
  <si>
    <t>Begomovirus sidaflavavenae</t>
  </si>
  <si>
    <t>Begomovirus sidaflavavietnamense</t>
  </si>
  <si>
    <t>Begomovirus sidaflavayucatanense</t>
  </si>
  <si>
    <t>Begomovirus sidaflavi</t>
  </si>
  <si>
    <t>Begomovirus sidaintervenae</t>
  </si>
  <si>
    <t>Begomovirus sidamicranthae</t>
  </si>
  <si>
    <t>Begomovirus sidamusivi</t>
  </si>
  <si>
    <t>Begomovirus sidapallidi</t>
  </si>
  <si>
    <t>Begomovirus sidapallivariati</t>
  </si>
  <si>
    <t>Begomovirus sidasinaloaense</t>
  </si>
  <si>
    <t>Begomovirus sidastri</t>
  </si>
  <si>
    <t>Begomovirus sidaureibracoense</t>
  </si>
  <si>
    <t>Begomovirus sidaureibrazilense</t>
  </si>
  <si>
    <t>Begomovirus sidaureibuckupense</t>
  </si>
  <si>
    <t>Begomovirus sidaureicostaricaense</t>
  </si>
  <si>
    <t>Begomovirus sidaureidis</t>
  </si>
  <si>
    <t>Begomovirus sidaureifloridaense</t>
  </si>
  <si>
    <t>Begomovirus sidaureilaraense</t>
  </si>
  <si>
    <t>Begomovirus sidaureimaculae</t>
  </si>
  <si>
    <t>Begomovirus sidaureivariati</t>
  </si>
  <si>
    <t>Begomovirus sidaureivenae</t>
  </si>
  <si>
    <t>Begomovirus sidavariati</t>
  </si>
  <si>
    <t>Begomovirus sidavariatialagoense</t>
  </si>
  <si>
    <t>Begomovirus sidavenae</t>
  </si>
  <si>
    <t>Begomovirus sidavulgaris</t>
  </si>
  <si>
    <t>Begomovirus siegesbeckiae</t>
  </si>
  <si>
    <t>Begomovirus siegesbeckiaguangxiense</t>
  </si>
  <si>
    <t>Begomovirus solanumamazonasense</t>
  </si>
  <si>
    <t>Begomovirus solanumanjouanense</t>
  </si>
  <si>
    <t>Begomovirus solanumaraguaense</t>
  </si>
  <si>
    <t>Begomovirus solanumargentinaense</t>
  </si>
  <si>
    <t>Begomovirus solanumarushaense</t>
  </si>
  <si>
    <t>Begomovirus solanumaureicontorsionis</t>
  </si>
  <si>
    <t>Begomovirus solanumaureimaculae</t>
  </si>
  <si>
    <t>Begomovirus solanumaureimusivi</t>
  </si>
  <si>
    <t>Begomovirus solanumaureivariati</t>
  </si>
  <si>
    <t>Begomovirus solanumaureivenae</t>
  </si>
  <si>
    <t>Begomovirus solanumaustraliaense</t>
  </si>
  <si>
    <t>Begomovirus solanumbangalorense</t>
  </si>
  <si>
    <t>Begomovirus solanumbangladeshense</t>
  </si>
  <si>
    <t>Begomovirus solanumboliviense</t>
  </si>
  <si>
    <t>Begomovirus solanumburkinafasoense</t>
  </si>
  <si>
    <t>Begomovirus solanumcebuense</t>
  </si>
  <si>
    <t>Begomovirus solanumchinaense</t>
  </si>
  <si>
    <t>Begomovirus solanumcomorosense</t>
  </si>
  <si>
    <t>Begomovirus solanumcontorsionis</t>
  </si>
  <si>
    <t>Begomovirus solanumcrispi</t>
  </si>
  <si>
    <t>Begomovirus solanumdelhiense</t>
  </si>
  <si>
    <t>Begomovirus solanumdelhiquarti</t>
  </si>
  <si>
    <t>Begomovirus solanumdelhiquinti</t>
  </si>
  <si>
    <t>Begomovirus solanumdelhisecundi</t>
  </si>
  <si>
    <t>Begomovirus solanumdepravationis</t>
  </si>
  <si>
    <t>Begomovirus solanumdianaense</t>
  </si>
  <si>
    <t>Begomovirus solanumflavariati</t>
  </si>
  <si>
    <t>Begomovirus solanumflavi</t>
  </si>
  <si>
    <t>Begomovirus solanumflavusardiniaense</t>
  </si>
  <si>
    <t>Begomovirus solanumflavusaxarquiaense</t>
  </si>
  <si>
    <t>Begomovirus solanumflavuschinaense</t>
  </si>
  <si>
    <t>Begomovirus solanumflavuscontorsionis</t>
  </si>
  <si>
    <t>Begomovirus solanumflavusdepravationis</t>
  </si>
  <si>
    <t>Begomovirus solanumflavusguangdongense</t>
  </si>
  <si>
    <t>Begomovirus solanumflavushuangbaiense</t>
  </si>
  <si>
    <t>Begomovirus solanumflavusindonesiaense</t>
  </si>
  <si>
    <t>Begomovirus solanumflavuskanchanaburiense</t>
  </si>
  <si>
    <t>Begomovirus solanumflavusmaculae</t>
  </si>
  <si>
    <t>Begomovirus solanumflavusmalacitanum</t>
  </si>
  <si>
    <t>Begomovirus solanumflavusmaliense</t>
  </si>
  <si>
    <t>Begomovirus solanumflavusmarginis</t>
  </si>
  <si>
    <t>Begomovirus solanumflavusthailandense</t>
  </si>
  <si>
    <t>Begomovirus solanumflavusvariati</t>
  </si>
  <si>
    <t>Begomovirus solanumflavusvenae</t>
  </si>
  <si>
    <t>Begomovirus solanumflavusvietnamense</t>
  </si>
  <si>
    <t>Begomovirus solanumflavusyunnanense</t>
  </si>
  <si>
    <t>Begomovirus solanumghanaense</t>
  </si>
  <si>
    <t>Begomovirus solanumguangdongense</t>
  </si>
  <si>
    <t>Begomovirus solanumguangxiense</t>
  </si>
  <si>
    <t>Begomovirus solanumgujaratense</t>
  </si>
  <si>
    <t>Begomovirus solanumhainanense</t>
  </si>
  <si>
    <t>Begomovirus solanumhanoiense</t>
  </si>
  <si>
    <t>Begomovirus solanumhavanaense</t>
  </si>
  <si>
    <t>Begomovirus solanumhsinchuense</t>
  </si>
  <si>
    <t>Begomovirus solanumintervenae</t>
  </si>
  <si>
    <t>Begomovirus solanumiranense</t>
  </si>
  <si>
    <t>Begomovirus solanumjapanense</t>
  </si>
  <si>
    <t>Begomovirus solanumjavaense</t>
  </si>
  <si>
    <t>Begomovirus solanumjoydebpurense</t>
  </si>
  <si>
    <t>Begomovirus solanumkalakadaense</t>
  </si>
  <si>
    <t>Begomovirus solanumkarnatakaense</t>
  </si>
  <si>
    <t>Begomovirus solanumkarnatakasecundi</t>
  </si>
  <si>
    <t>Begomovirus solanumkarnatakatertii</t>
  </si>
  <si>
    <t>Begomovirus solanumkeralaense</t>
  </si>
  <si>
    <t>Begomovirus solanumkunenense</t>
  </si>
  <si>
    <t>Begomovirus solanumlaosense</t>
  </si>
  <si>
    <t>Begomovirus solanumlapazense</t>
  </si>
  <si>
    <t>Begomovirus solanumlatentis</t>
  </si>
  <si>
    <t>Begomovirus solanumliwaense</t>
  </si>
  <si>
    <t>Begomovirus solanummadagascarense</t>
  </si>
  <si>
    <t>Begomovirus solanummahense</t>
  </si>
  <si>
    <t>Begomovirus solanummalaysiaense</t>
  </si>
  <si>
    <t>Begomovirus solanummaliense</t>
  </si>
  <si>
    <t>Begomovirus solanummindanaoense</t>
  </si>
  <si>
    <t>Begomovirus solanummoheliense</t>
  </si>
  <si>
    <t>Begomovirus solanummusivi</t>
  </si>
  <si>
    <t>Begomovirus solanumnamakelyense</t>
  </si>
  <si>
    <t>Begomovirus solanumnigeriaense</t>
  </si>
  <si>
    <t>Begomovirus solanumpalampurense</t>
  </si>
  <si>
    <t>Begomovirus solanumpallidi</t>
  </si>
  <si>
    <t>Begomovirus solanumpallidicontorsionis</t>
  </si>
  <si>
    <t>Begomovirus solanumpallidiguyanense</t>
  </si>
  <si>
    <t>Begomovirus solanumpallidivariati</t>
  </si>
  <si>
    <t>Begomovirus solanumparvi</t>
  </si>
  <si>
    <t>Begomovirus solanumpatnaense</t>
  </si>
  <si>
    <t>Begomovirus solanumphilippinense</t>
  </si>
  <si>
    <t>Begomovirus solanumpunense</t>
  </si>
  <si>
    <t>Begomovirus solanumrajasthanense</t>
  </si>
  <si>
    <t>Begomovirus solanumretorridi</t>
  </si>
  <si>
    <t>Begomovirus solanumrugosi</t>
  </si>
  <si>
    <t>Begomovirus solanumrugosiflavi</t>
  </si>
  <si>
    <t>Begomovirus solanumseveri</t>
  </si>
  <si>
    <t>Begomovirus solanumseverparvi</t>
  </si>
  <si>
    <t>Begomovirus solanumseverugosi</t>
  </si>
  <si>
    <t>Begomovirus solanumseychellesense</t>
  </si>
  <si>
    <t>Begomovirus solanumsinaloaense</t>
  </si>
  <si>
    <t>Begomovirus solanumsrilankaense</t>
  </si>
  <si>
    <t>Begomovirus solanumsudanense</t>
  </si>
  <si>
    <t>Begomovirus solanumsulawesiense</t>
  </si>
  <si>
    <t>Begomovirus solanumtainoense</t>
  </si>
  <si>
    <t>Begomovirus solanumtaiwanense</t>
  </si>
  <si>
    <t>Begomovirus solanumtanzaniaense</t>
  </si>
  <si>
    <t>Begomovirus solanumtenuimusivi</t>
  </si>
  <si>
    <t>Begomovirus solanumtoliaraense</t>
  </si>
  <si>
    <t>Begomovirus solanumtortilis</t>
  </si>
  <si>
    <t>Begomovirus solanumtumoris</t>
  </si>
  <si>
    <t>Begomovirus solanumugandaense</t>
  </si>
  <si>
    <t>Begomovirus solanumvariati</t>
  </si>
  <si>
    <t>Begomovirus solanumvariatuminvolutionis</t>
  </si>
  <si>
    <t>Begomovirus solanumvenadepravationis</t>
  </si>
  <si>
    <t>Begomovirus solanumvietnamense</t>
  </si>
  <si>
    <t>Begomovirus solanumviolavenae</t>
  </si>
  <si>
    <t>Begomovirus solanumvulgarismusivi</t>
  </si>
  <si>
    <t>Begomovirus spilanthis</t>
  </si>
  <si>
    <t>Begomovirus spinaciae</t>
  </si>
  <si>
    <t>Begomovirus stachytarphetae</t>
  </si>
  <si>
    <t>Begomovirus stanleyi</t>
  </si>
  <si>
    <t>Begomovirus synedrellae</t>
  </si>
  <si>
    <t>Begomovirus telfairiae</t>
  </si>
  <si>
    <t>Begomovirus triumfettae</t>
  </si>
  <si>
    <t>Begomovirus tuberosi</t>
  </si>
  <si>
    <t>Begomovirus tuberosumpanamaense</t>
  </si>
  <si>
    <t>Begomovirus verbenae</t>
  </si>
  <si>
    <t>Begomovirus vernoniae</t>
  </si>
  <si>
    <t>Begomovirus vernoniafujianense</t>
  </si>
  <si>
    <t>Begomovirus vernoniavenae</t>
  </si>
  <si>
    <t>Begomovirus vignae</t>
  </si>
  <si>
    <t>Begomovirus vignaflavi</t>
  </si>
  <si>
    <t>Begomovirus vignamusivi</t>
  </si>
  <si>
    <t>Begomovirus vignaradiatae</t>
  </si>
  <si>
    <t>Begomovirus vignaradiataindiaense</t>
  </si>
  <si>
    <t>Begomovirus vincae</t>
  </si>
  <si>
    <t>Begomovirus vulgaris</t>
  </si>
  <si>
    <t>Begomovirus warburgi</t>
  </si>
  <si>
    <t>Begomovirus wissadulae</t>
  </si>
  <si>
    <t>Begomovirus wissadulaflavi</t>
  </si>
  <si>
    <t>iBegomovirus oxalisflavi</t>
  </si>
  <si>
    <t>Capulavirus euphorbiae</t>
  </si>
  <si>
    <t>Capulavirus medicagonis</t>
  </si>
  <si>
    <t>Capulavirus phaseoli</t>
  </si>
  <si>
    <t>Capulavirus plantagonis</t>
  </si>
  <si>
    <t>Citlodavirus broussonetiae</t>
  </si>
  <si>
    <t>Citlodavirus camelliae</t>
  </si>
  <si>
    <t>Citlodavirus citri</t>
  </si>
  <si>
    <t>Citlodavirus passiflorae</t>
  </si>
  <si>
    <t>Curtovirus armoraciae</t>
  </si>
  <si>
    <t>Curtovirus betae</t>
  </si>
  <si>
    <t>Curtovirus spinaciae</t>
  </si>
  <si>
    <t>Eragrovirus curvulae</t>
  </si>
  <si>
    <t>Grablovirus pruni</t>
  </si>
  <si>
    <t>Grablovirus silvestris</t>
  </si>
  <si>
    <t>Grablovirus vitis</t>
  </si>
  <si>
    <t>Maldovirus junci</t>
  </si>
  <si>
    <t>Maldovirus mali</t>
  </si>
  <si>
    <t>Maldovirus vitis</t>
  </si>
  <si>
    <t>Mastrevirus arietini</t>
  </si>
  <si>
    <t>Mastrevirus avenae</t>
  </si>
  <si>
    <t>Mastrevirus axonopi</t>
  </si>
  <si>
    <t>Mastrevirus bourbonense</t>
  </si>
  <si>
    <t>Mastrevirus bromi</t>
  </si>
  <si>
    <t>Mastrevirus chloris</t>
  </si>
  <si>
    <t>Mastrevirus cicerosis</t>
  </si>
  <si>
    <t>Mastrevirus cicerparvi</t>
  </si>
  <si>
    <t>Mastrevirus ciliaris</t>
  </si>
  <si>
    <t>Mastrevirus didactylae</t>
  </si>
  <si>
    <t>Mastrevirus digitariae</t>
  </si>
  <si>
    <t>Mastrevirus dilatati</t>
  </si>
  <si>
    <t>Mastrevirus eleusinae</t>
  </si>
  <si>
    <t>Mastrevirus eragrostis</t>
  </si>
  <si>
    <t>Mastrevirus eragrostisminoris</t>
  </si>
  <si>
    <t>Mastrevirus erythrodiplaxis</t>
  </si>
  <si>
    <t>Mastrevirus flavaparvi</t>
  </si>
  <si>
    <t>Mastrevirus flavi</t>
  </si>
  <si>
    <t>Mastrevirus fulleri</t>
  </si>
  <si>
    <t>Mastrevirus hordei</t>
  </si>
  <si>
    <t>Mastrevirus ipomoeae</t>
  </si>
  <si>
    <t>Mastrevirus melenis</t>
  </si>
  <si>
    <t>Mastrevirus miscanthi</t>
  </si>
  <si>
    <t>Mastrevirus oryzaprimi</t>
  </si>
  <si>
    <t>Mastrevirus oryzasecundi</t>
  </si>
  <si>
    <t>Mastrevirus panici</t>
  </si>
  <si>
    <t>Mastrevirus paspali</t>
  </si>
  <si>
    <t>Mastrevirus rubrumprimi</t>
  </si>
  <si>
    <t>Mastrevirus rubrumsecundi</t>
  </si>
  <si>
    <t>Mastrevirus sacchari</t>
  </si>
  <si>
    <t>Mastrevirus saccharofficinari</t>
  </si>
  <si>
    <t>Mastrevirus saccharumalbusvenae</t>
  </si>
  <si>
    <t>Mastrevirus saccharumbourbonense</t>
  </si>
  <si>
    <t>Mastrevirus saccharumegyptense</t>
  </si>
  <si>
    <t>Mastrevirus saccharumpallidi</t>
  </si>
  <si>
    <t>Mastrevirus saccharumstriati</t>
  </si>
  <si>
    <t>Mastrevirus sorghi</t>
  </si>
  <si>
    <t>Mastrevirus sporoboprimi</t>
  </si>
  <si>
    <t>Mastrevirus sporobosecundi</t>
  </si>
  <si>
    <t>Mastrevirus storeyi</t>
  </si>
  <si>
    <t>Mastrevirus striatis</t>
  </si>
  <si>
    <t>Mastrevirus tabaci</t>
  </si>
  <si>
    <t>Mastrevirus tritici</t>
  </si>
  <si>
    <t>Mastrevirus urochloae</t>
  </si>
  <si>
    <t>Mastrevirus virgati</t>
  </si>
  <si>
    <t>Mulcrilevirus broussonetiae</t>
  </si>
  <si>
    <t>Mulcrilevirus mori</t>
  </si>
  <si>
    <t>Opunvirus opuntiae</t>
  </si>
  <si>
    <t>Topilevirus lycopersici</t>
  </si>
  <si>
    <t>Topilevirus solani</t>
  </si>
  <si>
    <t>Topocuvirus solani</t>
  </si>
  <si>
    <t>Turncurtovirus brassicae</t>
  </si>
  <si>
    <t>Turncurtovirus rapae</t>
  </si>
  <si>
    <t>Turncurtovirus sesami</t>
  </si>
  <si>
    <t>Welwivirus</t>
  </si>
  <si>
    <t>Welwivirus mirabilis</t>
  </si>
  <si>
    <t>Welwivirus welwitschiae</t>
  </si>
  <si>
    <t>Geplanaviridae</t>
  </si>
  <si>
    <t>Acciovirus</t>
  </si>
  <si>
    <t>Acciovirus arizlamas</t>
  </si>
  <si>
    <t>Acciovirus quadrimis</t>
  </si>
  <si>
    <t>Aguamentivirus</t>
  </si>
  <si>
    <t>Aguamentivirus avheatis</t>
  </si>
  <si>
    <t>Aguamentivirus racskinis</t>
  </si>
  <si>
    <t>Alohovirus</t>
  </si>
  <si>
    <t>Alohovirus ailgensis</t>
  </si>
  <si>
    <t>Alohovirus bromhordis</t>
  </si>
  <si>
    <t>Alohovirus bromis</t>
  </si>
  <si>
    <t>Alohovirus trifolis</t>
  </si>
  <si>
    <t>Aparevirus</t>
  </si>
  <si>
    <t>Aparevirus airobis</t>
  </si>
  <si>
    <t>Avadavirus</t>
  </si>
  <si>
    <t>Avadavirus phoenis</t>
  </si>
  <si>
    <t>Densaugvirus</t>
  </si>
  <si>
    <t>Densaugvirus maspris</t>
  </si>
  <si>
    <t>Diffindovirus</t>
  </si>
  <si>
    <t>Diffindovirus austrosis</t>
  </si>
  <si>
    <t>Engorgivirus</t>
  </si>
  <si>
    <t>Engorgivirus mincris</t>
  </si>
  <si>
    <t>Engorgivirus musculis</t>
  </si>
  <si>
    <t>Episkevirus</t>
  </si>
  <si>
    <t>Episkevirus kirilis</t>
  </si>
  <si>
    <t>Episkevirus trichosis</t>
  </si>
  <si>
    <t>Expellivirus</t>
  </si>
  <si>
    <t>Expellivirus minnis</t>
  </si>
  <si>
    <t>Impedivirus</t>
  </si>
  <si>
    <t>Impedivirus copteris</t>
  </si>
  <si>
    <t>Impedivirus libequis</t>
  </si>
  <si>
    <t>Lumovirus</t>
  </si>
  <si>
    <t>Lumovirus arcechis</t>
  </si>
  <si>
    <t>Oblivivirus</t>
  </si>
  <si>
    <t>Oblivivirus yangtsis</t>
  </si>
  <si>
    <t>Patrovirus</t>
  </si>
  <si>
    <t>Patrovirus dianchis</t>
  </si>
  <si>
    <t>Protegovirus</t>
  </si>
  <si>
    <t>Protegovirus ailuris</t>
  </si>
  <si>
    <t>Protegovirus mintis</t>
  </si>
  <si>
    <t>Protegovirus tongis</t>
  </si>
  <si>
    <t>Riddikuvirus</t>
  </si>
  <si>
    <t>Riddikuvirus forpesis</t>
  </si>
  <si>
    <t>Riddikuvirus manatis</t>
  </si>
  <si>
    <t>Stupevirus</t>
  </si>
  <si>
    <t>Stupevirus kummerois</t>
  </si>
  <si>
    <t>Wingardivirus</t>
  </si>
  <si>
    <t>Wingardivirus arilais</t>
  </si>
  <si>
    <t>Wingardivirus capibaris</t>
  </si>
  <si>
    <t>Alphapleolipovirus finnoniense</t>
  </si>
  <si>
    <t>Alphapleolipovirus huluense</t>
  </si>
  <si>
    <t>Alphapleolipovirus italiense</t>
  </si>
  <si>
    <t>Alphapleolipovirus samutsakhonense</t>
  </si>
  <si>
    <t>Alphapleolipovirus thailandense</t>
  </si>
  <si>
    <t>Betapleolipovirus flexibile</t>
  </si>
  <si>
    <t>Betapleolipovirus halogeometrici</t>
  </si>
  <si>
    <t>dsDNA; ssDNA</t>
  </si>
  <si>
    <t>Betapleolipovirus integrationis</t>
  </si>
  <si>
    <t>Betapleolipovirus italiense</t>
  </si>
  <si>
    <t>Betapleolipovirus kalvoae</t>
  </si>
  <si>
    <t>Betapleolipovirus retbaense</t>
  </si>
  <si>
    <t>Betapleolipovirus rosense</t>
  </si>
  <si>
    <t>Betapleolipovirus senegalense</t>
  </si>
  <si>
    <t>Betapleolipovirus thailandense</t>
  </si>
  <si>
    <t>Gammapleolipovirus australiense</t>
  </si>
  <si>
    <t>Gammapleolipovirus hardyense</t>
  </si>
  <si>
    <t>Ambiviricota</t>
  </si>
  <si>
    <t>Suforviricetes</t>
  </si>
  <si>
    <t>Crytulvirales</t>
  </si>
  <si>
    <t>Dumbiviridae</t>
  </si>
  <si>
    <t>Orthodumbivirus</t>
  </si>
  <si>
    <t>Orthodumbivirus armillariae</t>
  </si>
  <si>
    <t>Orthodumbivirus duatulasnellae</t>
  </si>
  <si>
    <t>Orthodumbivirus duoheterobasidii</t>
  </si>
  <si>
    <t>Orthodumbivirus phlebiopsis</t>
  </si>
  <si>
    <t>Orthodumbivirus rhizoctoniae</t>
  </si>
  <si>
    <t>Orthodumbivirus unatulasnellae</t>
  </si>
  <si>
    <t>Orthodumbivirus unoheterobasidii</t>
  </si>
  <si>
    <t>Quambiviridae</t>
  </si>
  <si>
    <t>Orthoquambivirus</t>
  </si>
  <si>
    <t>Orthoquambivirus armillariae</t>
  </si>
  <si>
    <t>Orthoquambivirus duatulasnellae</t>
  </si>
  <si>
    <t>Orthoquambivirus tritulasnellae</t>
  </si>
  <si>
    <t>Orthoquambivirus unatulasnellae</t>
  </si>
  <si>
    <t>Trimbiviridae</t>
  </si>
  <si>
    <t>Orthotrimbivirus</t>
  </si>
  <si>
    <t>Orthotrimbivirus duarmillariae</t>
  </si>
  <si>
    <t>Orthotrimbivirus duoheterobasidii</t>
  </si>
  <si>
    <t>Orthotrimbivirus triarmillariae</t>
  </si>
  <si>
    <t>Orthotrimbivirus unarmillariae</t>
  </si>
  <si>
    <t>Orthotrimbivirus unheterobasidii</t>
  </si>
  <si>
    <t>Unambiviridae</t>
  </si>
  <si>
    <t>Orthounambivirus</t>
  </si>
  <si>
    <t>Orthounambivirus cryphonectriae</t>
  </si>
  <si>
    <t>Orthounambivirus duarmillariae</t>
  </si>
  <si>
    <t>Orthounambivirus phlebiopsis</t>
  </si>
  <si>
    <t>Orthounambivirus unarmillariae</t>
  </si>
  <si>
    <t>Alphatotivirineae</t>
  </si>
  <si>
    <t>Botybirnaviridae</t>
  </si>
  <si>
    <t>Botybirnavirus go</t>
  </si>
  <si>
    <t>Botybirnavirus hachi</t>
  </si>
  <si>
    <t>Botybirnavirus ichi</t>
  </si>
  <si>
    <t>Botybirnavirus kyu</t>
  </si>
  <si>
    <t>Botybirnavirus ni</t>
  </si>
  <si>
    <t>Botybirnavirus roku</t>
  </si>
  <si>
    <t>Botybirnavirus sani</t>
  </si>
  <si>
    <t>Botybirnavirus shi</t>
  </si>
  <si>
    <t>Botybirnavirus shichi</t>
  </si>
  <si>
    <t>Fusagraviridae</t>
  </si>
  <si>
    <t>Fusagravirus</t>
  </si>
  <si>
    <t>Fusagravirus go</t>
  </si>
  <si>
    <t>Fusagravirus hachi</t>
  </si>
  <si>
    <t>Fusagravirus ichi</t>
  </si>
  <si>
    <t>Fusagravirus jyu</t>
  </si>
  <si>
    <t>Fusagravirus jyugo</t>
  </si>
  <si>
    <t>Fusagravirus jyuhachi</t>
  </si>
  <si>
    <t>Fusagravirus jyuichi</t>
  </si>
  <si>
    <t>Fusagravirus jyukyu</t>
  </si>
  <si>
    <t>Fusagravirus jyuni</t>
  </si>
  <si>
    <t>Fusagravirus jyuroku</t>
  </si>
  <si>
    <t>Fusagravirus jyusani</t>
  </si>
  <si>
    <t>Fusagravirus jyushi</t>
  </si>
  <si>
    <t>Fusagravirus jyushichi</t>
  </si>
  <si>
    <t>Fusagravirus kyu</t>
  </si>
  <si>
    <t>Fusagravirus ni</t>
  </si>
  <si>
    <t>Fusagravirus nijyu</t>
  </si>
  <si>
    <t>Fusagravirus roku</t>
  </si>
  <si>
    <t>Fusagravirus sani</t>
  </si>
  <si>
    <t>Fusagravirus shi</t>
  </si>
  <si>
    <t>Fusagravirus shichi</t>
  </si>
  <si>
    <t>Megabirnavirus go</t>
  </si>
  <si>
    <t>Megabirnavirus ichi</t>
  </si>
  <si>
    <t>Megabirnavirus ni</t>
  </si>
  <si>
    <t>Megabirnavirus sani</t>
  </si>
  <si>
    <t>Megabirnavirus shi</t>
  </si>
  <si>
    <t>Monocitiviridae</t>
  </si>
  <si>
    <t>Monocitivirus</t>
  </si>
  <si>
    <t>Monocitivirus ichi</t>
  </si>
  <si>
    <t>Phlegiviridae</t>
  </si>
  <si>
    <t>Phlegivirus</t>
  </si>
  <si>
    <t>Phlegivirus ichi</t>
  </si>
  <si>
    <t>Phlegivirus ni</t>
  </si>
  <si>
    <t>Phlegivirus sani</t>
  </si>
  <si>
    <t>Phlegivirus shi</t>
  </si>
  <si>
    <t>Pseudototiviridae</t>
  </si>
  <si>
    <t>Eimeriavirus</t>
  </si>
  <si>
    <t>Eimeriavirus ichi</t>
  </si>
  <si>
    <t>Eimeriavirus ni</t>
  </si>
  <si>
    <t>Eimeriavirus sani</t>
  </si>
  <si>
    <t>Leishmaniavirus go</t>
  </si>
  <si>
    <t>Leishmaniavirus ichi</t>
  </si>
  <si>
    <t>Leishmaniavirus ni</t>
  </si>
  <si>
    <t>Leishmaniavirus roku</t>
  </si>
  <si>
    <t>Leishmaniavirus sani</t>
  </si>
  <si>
    <t>Leishmaniavirus shi</t>
  </si>
  <si>
    <t>Trichomonasvirus vagiprimus</t>
  </si>
  <si>
    <t>Trichomonasvirus vagiquartus</t>
  </si>
  <si>
    <t>Trichomonasvirus vagiquintus</t>
  </si>
  <si>
    <t>Trichomonasvirus vagisecundus</t>
  </si>
  <si>
    <t>Trichomonasvirus vagitertius</t>
  </si>
  <si>
    <t>Victorivirus go</t>
  </si>
  <si>
    <t>Victorivirus hachi</t>
  </si>
  <si>
    <t>Victorivirus ichi</t>
  </si>
  <si>
    <t>Victorivirus jyu</t>
  </si>
  <si>
    <t>Victorivirus jyugo</t>
  </si>
  <si>
    <t>Victorivirus jyuhachi</t>
  </si>
  <si>
    <t>Victorivirus jyuichi</t>
  </si>
  <si>
    <t>Victorivirus jyukyu</t>
  </si>
  <si>
    <t>Victorivirus jyuni</t>
  </si>
  <si>
    <t>Victorivirus jyuroku</t>
  </si>
  <si>
    <t>Victorivirus jyusani</t>
  </si>
  <si>
    <t>Victorivirus jyushi</t>
  </si>
  <si>
    <t>Victorivirus jyushichi</t>
  </si>
  <si>
    <t>Victorivirus kyu</t>
  </si>
  <si>
    <t>Victorivirus ni</t>
  </si>
  <si>
    <t>Victorivirus nijyu</t>
  </si>
  <si>
    <t>Victorivirus nijyugo</t>
  </si>
  <si>
    <t>Victorivirus nijyuhachi</t>
  </si>
  <si>
    <t>Victorivirus nijyuichi</t>
  </si>
  <si>
    <t>Victorivirus nijyukyu</t>
  </si>
  <si>
    <t>Victorivirus nijyuni</t>
  </si>
  <si>
    <t>Victorivirus nijyuroku</t>
  </si>
  <si>
    <t>Victorivirus nijyusani</t>
  </si>
  <si>
    <t>Victorivirus nijyushi</t>
  </si>
  <si>
    <t>Victorivirus nijyushichi</t>
  </si>
  <si>
    <t>Victorivirus roku</t>
  </si>
  <si>
    <t>Victorivirus sani</t>
  </si>
  <si>
    <t>Victorivirus sanjyu</t>
  </si>
  <si>
    <t>Victorivirus sanjyuichi</t>
  </si>
  <si>
    <t>Victorivirus sanjyuni</t>
  </si>
  <si>
    <t>Victorivirus shi</t>
  </si>
  <si>
    <t>Victorivirus shichi</t>
  </si>
  <si>
    <t>Quadrivirus ichi</t>
  </si>
  <si>
    <t>Quadrivirus ni</t>
  </si>
  <si>
    <t>Quadrivirus sani</t>
  </si>
  <si>
    <t>Spiciviridae</t>
  </si>
  <si>
    <t>Spicivirus</t>
  </si>
  <si>
    <t>Spicivirus go</t>
  </si>
  <si>
    <t>Spicivirus hachi</t>
  </si>
  <si>
    <t>Spicivirus ichi</t>
  </si>
  <si>
    <t>Spicivirus jyu</t>
  </si>
  <si>
    <t>Spicivirus jyuichi</t>
  </si>
  <si>
    <t>Spicivirus jyuni</t>
  </si>
  <si>
    <t>Spicivirus jyusani</t>
  </si>
  <si>
    <t>Spicivirus kyu</t>
  </si>
  <si>
    <t>Spicivirus ni</t>
  </si>
  <si>
    <t>Spicivirus roku</t>
  </si>
  <si>
    <t>Spicivirus sani</t>
  </si>
  <si>
    <t>Spicivirus shi</t>
  </si>
  <si>
    <t>Spicivirus shichi</t>
  </si>
  <si>
    <t>Betatotivirineae</t>
  </si>
  <si>
    <t>Artiviridae</t>
  </si>
  <si>
    <t>Artivirus</t>
  </si>
  <si>
    <t>Artivirus go</t>
  </si>
  <si>
    <t>Artivirus hachi</t>
  </si>
  <si>
    <t>Artivirus ichi</t>
  </si>
  <si>
    <t>Artivirus kyu</t>
  </si>
  <si>
    <t>Artivirus ni</t>
  </si>
  <si>
    <t>Artivirus roku</t>
  </si>
  <si>
    <t>Artivirus sani</t>
  </si>
  <si>
    <t>Artivirus shi</t>
  </si>
  <si>
    <t>Artivirus shichi</t>
  </si>
  <si>
    <t>Giardiaviridae</t>
  </si>
  <si>
    <t>Giardiavirus ichi</t>
  </si>
  <si>
    <t>Inseviridae</t>
  </si>
  <si>
    <t>Insevirus</t>
  </si>
  <si>
    <t>Insevirus go</t>
  </si>
  <si>
    <t>Insevirus hachi</t>
  </si>
  <si>
    <t>Insevirus ichi</t>
  </si>
  <si>
    <t>Insevirus jyu</t>
  </si>
  <si>
    <t>Insevirus jyugo</t>
  </si>
  <si>
    <t>Insevirus jyuichi</t>
  </si>
  <si>
    <t>Insevirus jyuni</t>
  </si>
  <si>
    <t>Insevirus jyuroku</t>
  </si>
  <si>
    <t>Insevirus jyusani</t>
  </si>
  <si>
    <t>Insevirus jyushi</t>
  </si>
  <si>
    <t>Insevirus kyu</t>
  </si>
  <si>
    <t>Insevirus ni</t>
  </si>
  <si>
    <t>Insevirus roku</t>
  </si>
  <si>
    <t>Insevirus sani</t>
  </si>
  <si>
    <t>Insevirus shi</t>
  </si>
  <si>
    <t>Insevirus shichi</t>
  </si>
  <si>
    <t>Lebotiviridae</t>
  </si>
  <si>
    <t>Lebotivirus</t>
  </si>
  <si>
    <t>Lebotivirus go</t>
  </si>
  <si>
    <t>Lebotivirus hachi</t>
  </si>
  <si>
    <t>Lebotivirus ichi</t>
  </si>
  <si>
    <t>Lebotivirus ni</t>
  </si>
  <si>
    <t>Lebotivirus roku</t>
  </si>
  <si>
    <t>Lebotivirus sani</t>
  </si>
  <si>
    <t>Lebotivirus shi</t>
  </si>
  <si>
    <t>Lebotivirus shichi</t>
  </si>
  <si>
    <t>Megatotiviridae</t>
  </si>
  <si>
    <t>Megatotivirus</t>
  </si>
  <si>
    <t>Megatotivirus ichi</t>
  </si>
  <si>
    <t>Megatotivirus ni</t>
  </si>
  <si>
    <t>Ootiviridae</t>
  </si>
  <si>
    <t>Ootivirus</t>
  </si>
  <si>
    <t>Ootivirus go</t>
  </si>
  <si>
    <t>Ootivirus ichi</t>
  </si>
  <si>
    <t>Ootivirus ni</t>
  </si>
  <si>
    <t>Ootivirus roku</t>
  </si>
  <si>
    <t>Ootivirus sani</t>
  </si>
  <si>
    <t>Ootivirus shi</t>
  </si>
  <si>
    <t>Ootivirus shichi</t>
  </si>
  <si>
    <t>Pistolviridae</t>
  </si>
  <si>
    <t>Pistolvirus</t>
  </si>
  <si>
    <t>Pistolvirus ichi</t>
  </si>
  <si>
    <t>Pistolvirus ni</t>
  </si>
  <si>
    <t>Pistolvirus sani</t>
  </si>
  <si>
    <t>Pistolvirus shi</t>
  </si>
  <si>
    <t>Yadonushiviridae</t>
  </si>
  <si>
    <t>Yadonushivirus</t>
  </si>
  <si>
    <t>Yadonushivirus ichi</t>
  </si>
  <si>
    <t>Gammatotivirineae</t>
  </si>
  <si>
    <t>Orthototiviridae</t>
  </si>
  <si>
    <t>Totivirus go</t>
  </si>
  <si>
    <t>Totivirus hachi</t>
  </si>
  <si>
    <t>Totivirus ichi</t>
  </si>
  <si>
    <t>Totivirus jyu</t>
  </si>
  <si>
    <t>Totivirus jyugo</t>
  </si>
  <si>
    <t>Totivirus jyuhachi</t>
  </si>
  <si>
    <t>Totivirus jyuichi</t>
  </si>
  <si>
    <t>Totivirus jyukyu</t>
  </si>
  <si>
    <t>Totivirus jyuni</t>
  </si>
  <si>
    <t>Totivirus jyuroku</t>
  </si>
  <si>
    <t>Totivirus jyusani</t>
  </si>
  <si>
    <t>Totivirus jyushi</t>
  </si>
  <si>
    <t>Totivirus jyushichi</t>
  </si>
  <si>
    <t>Totivirus kyu</t>
  </si>
  <si>
    <t>Totivirus ni</t>
  </si>
  <si>
    <t>Totivirus nijyu</t>
  </si>
  <si>
    <t>Totivirus nijyugo</t>
  </si>
  <si>
    <t>Totivirus nijyuhachi</t>
  </si>
  <si>
    <t>Totivirus nijyuichi</t>
  </si>
  <si>
    <t>Totivirus nijyukyu</t>
  </si>
  <si>
    <t>Totivirus nijyuni</t>
  </si>
  <si>
    <t>Totivirus nijyuroku</t>
  </si>
  <si>
    <t>Totivirus nijyusani</t>
  </si>
  <si>
    <t>Totivirus nijyushi</t>
  </si>
  <si>
    <t>Totivirus nijyushichi</t>
  </si>
  <si>
    <t>Totivirus roku</t>
  </si>
  <si>
    <t>Totivirus sani</t>
  </si>
  <si>
    <t>Totivirus sanjyu</t>
  </si>
  <si>
    <t>Totivirus sanjyuichi</t>
  </si>
  <si>
    <t>Totivirus sanjyuni</t>
  </si>
  <si>
    <t>Totivirus shi</t>
  </si>
  <si>
    <t>Totivirus shichi</t>
  </si>
  <si>
    <t>Cardoreovirus eriocheiris</t>
  </si>
  <si>
    <t>Mimoreovirus micromonadis</t>
  </si>
  <si>
    <t>Orbivirus alphaequi</t>
  </si>
  <si>
    <t>Orbivirus alphamitchellense</t>
  </si>
  <si>
    <t>Orbivirus betaequi</t>
  </si>
  <si>
    <t>Orbivirus betamitchellense</t>
  </si>
  <si>
    <t>Orbivirus caerulinguae</t>
  </si>
  <si>
    <t>Orbivirus changuinolaense</t>
  </si>
  <si>
    <t>Orbivirus chenudaense</t>
  </si>
  <si>
    <t>Orbivirus chobarense</t>
  </si>
  <si>
    <t>Orbivirus deltamitchellense</t>
  </si>
  <si>
    <t>Orbivirus eubenangeense</t>
  </si>
  <si>
    <t>Orbivirus gammaequi</t>
  </si>
  <si>
    <t>Orbivirus gammamitchellense</t>
  </si>
  <si>
    <t>Orbivirus lebomboense</t>
  </si>
  <si>
    <t>Orbivirus magninsulae</t>
  </si>
  <si>
    <t>Orbivirus orungoense</t>
  </si>
  <si>
    <t>Orbivirus palyamense</t>
  </si>
  <si>
    <t>Orbivirus ruminantium</t>
  </si>
  <si>
    <t>Orbivirus saintcroixense</t>
  </si>
  <si>
    <t>Orbivirus trinidadense</t>
  </si>
  <si>
    <t>Orbivirus umatillaense</t>
  </si>
  <si>
    <t>Orbivirus wadmedaniense</t>
  </si>
  <si>
    <t>Orbivirus yunnanense</t>
  </si>
  <si>
    <t>Phytoreovirus alphaoryzae</t>
  </si>
  <si>
    <t>Phytoreovirus betaoryzae</t>
  </si>
  <si>
    <t>Phytoreovirus vulnustumoris</t>
  </si>
  <si>
    <t>Rotavirus alphagastroenteritidis</t>
  </si>
  <si>
    <t>Rotavirus aspergastroenteritidis</t>
  </si>
  <si>
    <t>Rotavirus betagastroenteritidis</t>
  </si>
  <si>
    <t>Rotavirus deltagastroenteritidis</t>
  </si>
  <si>
    <t>Rotavirus gammagastroenteritidis</t>
  </si>
  <si>
    <t>Rotavirus iotagastroenteritidis</t>
  </si>
  <si>
    <t>Rotavirus jotagastroenteritidis</t>
  </si>
  <si>
    <t>Rotavirus phigastroenteritidis</t>
  </si>
  <si>
    <t>Rotavirus tritogastroenteritidis</t>
  </si>
  <si>
    <t>Seadornavirus bannaense</t>
  </si>
  <si>
    <t>Seadornavirus kadipiroense</t>
  </si>
  <si>
    <t>Seadornavirus liaoningense</t>
  </si>
  <si>
    <t>Aquareovirus ctenopharyngodontis</t>
  </si>
  <si>
    <t>Aquareovirus graminis</t>
  </si>
  <si>
    <t>Aquareovirus ictaluri</t>
  </si>
  <si>
    <t>Aquareovirus maculosi</t>
  </si>
  <si>
    <t>Aquareovirus oncorhynchi</t>
  </si>
  <si>
    <t>Aquareovirus salmonis</t>
  </si>
  <si>
    <t>Aquareovirus scophthalmi</t>
  </si>
  <si>
    <t>Coltivirus dermacentoris</t>
  </si>
  <si>
    <t>Coltivirus ixodis</t>
  </si>
  <si>
    <t>Coltivirus kundalense</t>
  </si>
  <si>
    <t>Coltivirus taiense</t>
  </si>
  <si>
    <t>Coltivirus tarumizuense</t>
  </si>
  <si>
    <t>Cypovirus aglaidis</t>
  </si>
  <si>
    <t>Cypovirus agrotidis</t>
  </si>
  <si>
    <t>Cypovirus altineae</t>
  </si>
  <si>
    <t>Cypovirus antheraeae</t>
  </si>
  <si>
    <t>Cypovirus aplocerae</t>
  </si>
  <si>
    <t>Cypovirus aprophylae</t>
  </si>
  <si>
    <t>Cypovirus autographae</t>
  </si>
  <si>
    <t>Cypovirus betineae</t>
  </si>
  <si>
    <t>Cypovirus choristoneurae</t>
  </si>
  <si>
    <t>Cypovirus gatineae</t>
  </si>
  <si>
    <t>Cypovirus heliothidis</t>
  </si>
  <si>
    <t>Cypovirus inachidis</t>
  </si>
  <si>
    <t>Cypovirus lymantriae</t>
  </si>
  <si>
    <t>Cypovirus mamestrae</t>
  </si>
  <si>
    <t>Cypovirus polistis</t>
  </si>
  <si>
    <t>Cypovirus trichoplusiae</t>
  </si>
  <si>
    <t>Dinovernavirus aedis</t>
  </si>
  <si>
    <t>Fijivirus allii</t>
  </si>
  <si>
    <t>Fijivirus alporyzae</t>
  </si>
  <si>
    <t>Fijivirus avenae</t>
  </si>
  <si>
    <t>Fijivirus boryzae</t>
  </si>
  <si>
    <t>Fijivirus cuartoense</t>
  </si>
  <si>
    <t>Fijivirus digitariae</t>
  </si>
  <si>
    <t>Fijivirus fijiense</t>
  </si>
  <si>
    <t>Fijivirus nilaparvatae</t>
  </si>
  <si>
    <t>Fijivirus zeae</t>
  </si>
  <si>
    <t>Idnoreovirus ceratitidis</t>
  </si>
  <si>
    <t>Idnoreovirus daci</t>
  </si>
  <si>
    <t>Idnoreovirus diadromi</t>
  </si>
  <si>
    <t>Idnoreovirus hypersoteris</t>
  </si>
  <si>
    <t>Idnoreovirus muscae</t>
  </si>
  <si>
    <t>Mycoreovirus alcryphonectriae</t>
  </si>
  <si>
    <t>Mycoreovirus becryphonectriae</t>
  </si>
  <si>
    <t>Mycoreovirus roselliniae</t>
  </si>
  <si>
    <t>Orthoreovirus avis</t>
  </si>
  <si>
    <t>Orthoreovirus broomense</t>
  </si>
  <si>
    <t>Orthoreovirus mahlapitsiense</t>
  </si>
  <si>
    <t>Orthoreovirus mammalis</t>
  </si>
  <si>
    <t>Orthoreovirus nelsonense</t>
  </si>
  <si>
    <t>Orthoreovirus neoavis</t>
  </si>
  <si>
    <t>Orthoreovirus papionis</t>
  </si>
  <si>
    <t>Orthoreovirus piscis</t>
  </si>
  <si>
    <t>Orthoreovirus reptilis</t>
  </si>
  <si>
    <t>Orthoreovirus testudinis</t>
  </si>
  <si>
    <t>Oryzavirus echinochloae</t>
  </si>
  <si>
    <t>Oryzavirus oryzae</t>
  </si>
  <si>
    <t>Betatetravirus antheraeae</t>
  </si>
  <si>
    <t>Betatetravirus darnae</t>
  </si>
  <si>
    <t>Betatetravirus dasychirae</t>
  </si>
  <si>
    <t>Betatetravirus nudaureliae</t>
  </si>
  <si>
    <t>Betatetravirus philosamiae</t>
  </si>
  <si>
    <t>Betatetravirus pseudoplusiae</t>
  </si>
  <si>
    <t>Betatetravirus trichoplusiae</t>
  </si>
  <si>
    <t>Omegatetravirus dendrolimi</t>
  </si>
  <si>
    <t>Omegatetravirus helicoverpae</t>
  </si>
  <si>
    <t>Omegatetravirus nudaureliae</t>
  </si>
  <si>
    <t>Benyvirus arctii</t>
  </si>
  <si>
    <t>Benyvirus necrobetae</t>
  </si>
  <si>
    <t>Benyvirus oryzae</t>
  </si>
  <si>
    <t>Benyvirus solibetae</t>
  </si>
  <si>
    <t>Alfamovirus AMV</t>
  </si>
  <si>
    <t>Anulavirus ALMMV</t>
  </si>
  <si>
    <t>Anulavirus PZSV</t>
  </si>
  <si>
    <t>Bromovirus BBMV</t>
  </si>
  <si>
    <t>Bromovirus BMV</t>
  </si>
  <si>
    <t>Bromovirus CCMV</t>
  </si>
  <si>
    <t>Bromovirus CYBV</t>
  </si>
  <si>
    <t>Bromovirus MYFV</t>
  </si>
  <si>
    <t>Bromovirus SBLV</t>
  </si>
  <si>
    <t>Cucumovirus CMV</t>
  </si>
  <si>
    <t>Cucumovirus GMMV</t>
  </si>
  <si>
    <t>Cucumovirus PSV</t>
  </si>
  <si>
    <t>Cucumovirus TAV</t>
  </si>
  <si>
    <t>Ilarvirus AGLV</t>
  </si>
  <si>
    <t>Ilarvirus AIV2</t>
  </si>
  <si>
    <t>Ilarvirus APLPV</t>
  </si>
  <si>
    <t>Ilarvirus ApMV</t>
  </si>
  <si>
    <t>Ilarvirus AV2</t>
  </si>
  <si>
    <t>Ilarvirus AYRSpV</t>
  </si>
  <si>
    <t>Ilarvirus BCRV</t>
  </si>
  <si>
    <t>Ilarvirus BSV</t>
  </si>
  <si>
    <t>Ilarvirus CarIV1</t>
  </si>
  <si>
    <t>Ilarvirus CLRV</t>
  </si>
  <si>
    <t>Ilarvirus CVV</t>
  </si>
  <si>
    <t>Ilarvirus EMoV</t>
  </si>
  <si>
    <t>Ilarvirus FCILV</t>
  </si>
  <si>
    <t>Ilarvirus HdVBV</t>
  </si>
  <si>
    <t>Ilarvirus HJLV</t>
  </si>
  <si>
    <t>Ilarvirus LLCV</t>
  </si>
  <si>
    <t>Ilarvirus LRMV</t>
  </si>
  <si>
    <t>Ilarvirus PDV</t>
  </si>
  <si>
    <t>Ilarvirus PMV</t>
  </si>
  <si>
    <t>Ilarvirus PNRSV</t>
  </si>
  <si>
    <t>Ilarvirus PrRSV</t>
  </si>
  <si>
    <t>Ilarvirus PrV1</t>
  </si>
  <si>
    <t>Ilarvirus RIV1</t>
  </si>
  <si>
    <t>Ilarvirus RIV2</t>
  </si>
  <si>
    <t>Ilarvirus SLV</t>
  </si>
  <si>
    <t>Ilarvirus SnIV1</t>
  </si>
  <si>
    <t>Ilarvirus SNSV</t>
  </si>
  <si>
    <t>Ilarvirus SolV1</t>
  </si>
  <si>
    <t>Ilarvirus TAMV</t>
  </si>
  <si>
    <t>Ilarvirus TomNSV</t>
  </si>
  <si>
    <t>Ilarvirus TSV</t>
  </si>
  <si>
    <t>Ilarvirus WCVA</t>
  </si>
  <si>
    <t>Oleavirus OLV2</t>
  </si>
  <si>
    <t>Ampelovirus bulbiferae</t>
  </si>
  <si>
    <t>Ampelovirus dioscoreae</t>
  </si>
  <si>
    <t>Ampelovirus duananas</t>
  </si>
  <si>
    <t>Ampelovirus nanoavii</t>
  </si>
  <si>
    <t>Ampelovirus pistaciae</t>
  </si>
  <si>
    <t>Ampelovirus pruni</t>
  </si>
  <si>
    <t>Ampelovirus tetravitis</t>
  </si>
  <si>
    <t>Ampelovirus tredecimvitis</t>
  </si>
  <si>
    <t>Ampelovirus triananas</t>
  </si>
  <si>
    <t>Ampelovirus trivitis</t>
  </si>
  <si>
    <t>Ampelovirus unananas</t>
  </si>
  <si>
    <t>Ampelovirus univitis</t>
  </si>
  <si>
    <t>Ampelovirus venarubi</t>
  </si>
  <si>
    <t>Bluvavirus vaccinii</t>
  </si>
  <si>
    <t>Closterovirus arracaciae</t>
  </si>
  <si>
    <t>Closterovirus carotae</t>
  </si>
  <si>
    <t>Closterovirus flavarctii</t>
  </si>
  <si>
    <t>Closterovirus flavibetae</t>
  </si>
  <si>
    <t>Closterovirus flavicarotae</t>
  </si>
  <si>
    <t>Closterovirus flavitritici</t>
  </si>
  <si>
    <t>Closterovirus fragariae</t>
  </si>
  <si>
    <t>Closterovirus macularubi</t>
  </si>
  <si>
    <t>Closterovirus menthae</t>
  </si>
  <si>
    <t>Closterovirus nanobetae</t>
  </si>
  <si>
    <t>Closterovirus necrodianthi</t>
  </si>
  <si>
    <t>Closterovirus rehmanniae</t>
  </si>
  <si>
    <t>Closterovirus rosafolium</t>
  </si>
  <si>
    <t>Closterovirus tabaci</t>
  </si>
  <si>
    <t>Closterovirus tristezae</t>
  </si>
  <si>
    <t>Closterovirus uniribi</t>
  </si>
  <si>
    <t>Closterovirus vitis</t>
  </si>
  <si>
    <t>Crinivirus abutilonis</t>
  </si>
  <si>
    <t>Crinivirus chelidonii</t>
  </si>
  <si>
    <t>Crinivirus contagichlorosis</t>
  </si>
  <si>
    <t>Crinivirus cucurbitae</t>
  </si>
  <si>
    <t>Crinivirus diodiae</t>
  </si>
  <si>
    <t>Crinivirus flavibetae</t>
  </si>
  <si>
    <t>Crinivirus flavisolani</t>
  </si>
  <si>
    <t>Crinivirus ipomeae</t>
  </si>
  <si>
    <t>Crinivirus lactucachlorosi</t>
  </si>
  <si>
    <t>Crinivirus lactucaflavi</t>
  </si>
  <si>
    <t>Crinivirus palidofragariae</t>
  </si>
  <si>
    <t>Crinivirus pseudobetae</t>
  </si>
  <si>
    <t>Crinivirus rubi</t>
  </si>
  <si>
    <t>Crinivirus tomatichlorosis</t>
  </si>
  <si>
    <t>Menthavirus menthae</t>
  </si>
  <si>
    <t>Olivavirus actinidiae</t>
  </si>
  <si>
    <t>Olivavirus betadiospyri</t>
  </si>
  <si>
    <t>Olivavirus flavioleae</t>
  </si>
  <si>
    <t>Velarivirus alphamali</t>
  </si>
  <si>
    <t>Velarivirus arecae</t>
  </si>
  <si>
    <t>Velarivirus duocordylinae</t>
  </si>
  <si>
    <t>Velarivirus nanoavii</t>
  </si>
  <si>
    <t>Velarivirus septemvitis</t>
  </si>
  <si>
    <t>Velarivirus tetracordylinae</t>
  </si>
  <si>
    <t>Velarivirus tricordylinae</t>
  </si>
  <si>
    <t>Velarivirus unicordylinae</t>
  </si>
  <si>
    <t>Alphaendornavirus agarici</t>
  </si>
  <si>
    <t>Alphaendornavirus basellae</t>
  </si>
  <si>
    <t>Alphaendornavirus capsici</t>
  </si>
  <si>
    <t>Alphaendornavirus cucumis</t>
  </si>
  <si>
    <t>Alphaendornavirus cyamopsis</t>
  </si>
  <si>
    <t>Alphaendornavirus erysiphes</t>
  </si>
  <si>
    <t>Alphaendornavirus fucapsici</t>
  </si>
  <si>
    <t>Alphaendornavirus fuphaseoli</t>
  </si>
  <si>
    <t>Alphaendornavirus helianthi</t>
  </si>
  <si>
    <t>Alphaendornavirus helicobasidii</t>
  </si>
  <si>
    <t>Alphaendornavirus hordei</t>
  </si>
  <si>
    <t>Alphaendornavirus lagenariae</t>
  </si>
  <si>
    <t>Alphaendornavirus miphaseoli</t>
  </si>
  <si>
    <t>Alphaendornavirus oryzae</t>
  </si>
  <si>
    <t>Alphaendornavirus perseae</t>
  </si>
  <si>
    <t>Alphaendornavirus phaseoli</t>
  </si>
  <si>
    <t>Alphaendornavirus phytophthorae</t>
  </si>
  <si>
    <t>Alphaendornavirus psophocarpi</t>
  </si>
  <si>
    <t>Alphaendornavirus rhizocerealis</t>
  </si>
  <si>
    <t>Alphaendornavirus rhizosolani</t>
  </si>
  <si>
    <t>Alphaendornavirus rupifigonis</t>
  </si>
  <si>
    <t>Alphaendornavirus viciae</t>
  </si>
  <si>
    <t>Alphaendornavirus vitis</t>
  </si>
  <si>
    <t>Alphaendornavirus yerbae</t>
  </si>
  <si>
    <t>Betaendornavirus alternariae</t>
  </si>
  <si>
    <t>Betaendornavirus botrytidis</t>
  </si>
  <si>
    <t>Betaendornavirus fusclerotiniae</t>
  </si>
  <si>
    <t>Betaendornavirus gremmeniellae</t>
  </si>
  <si>
    <t>Betaendornavirus roselliniae</t>
  </si>
  <si>
    <t>Betaendornavirus sclerotiniae</t>
  </si>
  <si>
    <t>Betaendornavirus tuberis</t>
  </si>
  <si>
    <t>Alphavirus aura</t>
  </si>
  <si>
    <t>Alphavirus barmah</t>
  </si>
  <si>
    <t>Alphavirus bebaru</t>
  </si>
  <si>
    <t>Alphavirus caaingua</t>
  </si>
  <si>
    <t>Alphavirus cabassou</t>
  </si>
  <si>
    <t>Alphavirus chikungunya</t>
  </si>
  <si>
    <t>Alphavirus eastern</t>
  </si>
  <si>
    <t>Alphavirus eilat</t>
  </si>
  <si>
    <t>Alphavirus everglades</t>
  </si>
  <si>
    <t>Alphavirus fortmorgan</t>
  </si>
  <si>
    <t>Alphavirus getah</t>
  </si>
  <si>
    <t>Alphavirus highlandsj</t>
  </si>
  <si>
    <t>Alphavirus madariaga</t>
  </si>
  <si>
    <t>Alphavirus mayaro</t>
  </si>
  <si>
    <t>Alphavirus middelburg</t>
  </si>
  <si>
    <t>Alphavirus mossopedras</t>
  </si>
  <si>
    <t>Alphavirus mucambo</t>
  </si>
  <si>
    <t>Alphavirus ndumu</t>
  </si>
  <si>
    <t>Alphavirus negro</t>
  </si>
  <si>
    <t>Alphavirus onyong</t>
  </si>
  <si>
    <t>Alphavirus pixuna</t>
  </si>
  <si>
    <t>Alphavirus rossriver</t>
  </si>
  <si>
    <t>Alphavirus salmon</t>
  </si>
  <si>
    <t>Alphavirus seal</t>
  </si>
  <si>
    <t>Alphavirus semliki</t>
  </si>
  <si>
    <t>Alphavirus sindbis</t>
  </si>
  <si>
    <t>Alphavirus tonate</t>
  </si>
  <si>
    <t>Alphavirus trocara</t>
  </si>
  <si>
    <t>Alphavirus una</t>
  </si>
  <si>
    <t>Alphavirus venezuelan</t>
  </si>
  <si>
    <t>Alphavirus western</t>
  </si>
  <si>
    <t>Alphavirus whataroa</t>
  </si>
  <si>
    <t>Furovirus avenae</t>
  </si>
  <si>
    <t>Furovirus cerealis</t>
  </si>
  <si>
    <t>Furovirus chinense</t>
  </si>
  <si>
    <t>Furovirus japonicum</t>
  </si>
  <si>
    <t>Furovirus sorghi</t>
  </si>
  <si>
    <t>Furovirus tritici</t>
  </si>
  <si>
    <t>Goravirus drakeae</t>
  </si>
  <si>
    <t>Goravirus gentianae</t>
  </si>
  <si>
    <t>Hordeivirus anthoxanthi</t>
  </si>
  <si>
    <t>Hordeivirus hordei</t>
  </si>
  <si>
    <t>Hordeivirus lychnis</t>
  </si>
  <si>
    <t>Hordeivirus poae</t>
  </si>
  <si>
    <t>Pecluvirus arachidis</t>
  </si>
  <si>
    <t>Pecluvirus indicum</t>
  </si>
  <si>
    <t>Pomovirus betae</t>
  </si>
  <si>
    <t>Pomovirus colombiense</t>
  </si>
  <si>
    <t>Pomovirus solani</t>
  </si>
  <si>
    <t>Pomovirus solibetae</t>
  </si>
  <si>
    <t>Pomovirus viciae</t>
  </si>
  <si>
    <t>Tobamovirus anthocercis</t>
  </si>
  <si>
    <t>Tobamovirus brugmansiae</t>
  </si>
  <si>
    <t>Tobamovirus cacti</t>
  </si>
  <si>
    <t>Tobamovirus capsici</t>
  </si>
  <si>
    <t>Tobamovirus clitoriae</t>
  </si>
  <si>
    <t>Tobamovirus crotalariae</t>
  </si>
  <si>
    <t>Tobamovirus cucumeris</t>
  </si>
  <si>
    <t>Tobamovirus cucurbitae</t>
  </si>
  <si>
    <t>Tobamovirus fortpiercense</t>
  </si>
  <si>
    <t>Tobamovirus frangipani</t>
  </si>
  <si>
    <t>Tobamovirus fructirugosum</t>
  </si>
  <si>
    <t>Tobamovirus kyuri</t>
  </si>
  <si>
    <t>Tobamovirus latentabaci</t>
  </si>
  <si>
    <t>Tobamovirus maculacapsici</t>
  </si>
  <si>
    <t>Tobamovirus maculafructi</t>
  </si>
  <si>
    <t>Tobamovirus maculatessellati</t>
  </si>
  <si>
    <t>Tobamovirus maracujae</t>
  </si>
  <si>
    <t>Tobamovirus mititessellati</t>
  </si>
  <si>
    <t>Tobamovirus muricaudae</t>
  </si>
  <si>
    <t>Tobamovirus obudae</t>
  </si>
  <si>
    <t>Tobamovirus odontoglossi</t>
  </si>
  <si>
    <t>Tobamovirus opuntiae</t>
  </si>
  <si>
    <t>Tobamovirus paprikae</t>
  </si>
  <si>
    <t>Tobamovirus passiflorae</t>
  </si>
  <si>
    <t>Tobamovirus plantagonis</t>
  </si>
  <si>
    <t>Tobamovirus plumeriae</t>
  </si>
  <si>
    <t>Tobamovirus rapae</t>
  </si>
  <si>
    <t>Tobamovirus rehmanniae</t>
  </si>
  <si>
    <t>Tobamovirus singaporense</t>
  </si>
  <si>
    <t>Tobamovirus streptocarpi</t>
  </si>
  <si>
    <t>Tobamovirus tabaci</t>
  </si>
  <si>
    <t>Tobamovirus tomatotessellati</t>
  </si>
  <si>
    <t>Tobamovirus tropici</t>
  </si>
  <si>
    <t>Tobamovirus ulluci</t>
  </si>
  <si>
    <t>Tobamovirus viridimaculae</t>
  </si>
  <si>
    <t>Tobamovirus wasabi</t>
  </si>
  <si>
    <t>Tobamovirus youcai</t>
  </si>
  <si>
    <t>Tobravirus capsici</t>
  </si>
  <si>
    <t>Tobravirus pisi</t>
  </si>
  <si>
    <t>Tobravirus tabaci</t>
  </si>
  <si>
    <t>Allexivirus alphallii</t>
  </si>
  <si>
    <t>Allexivirus betallii</t>
  </si>
  <si>
    <t>Allexivirus chiallii</t>
  </si>
  <si>
    <t>Allexivirus deltallii</t>
  </si>
  <si>
    <t>Allexivirus ecsallii</t>
  </si>
  <si>
    <t>Allexivirus ecsascalonicum</t>
  </si>
  <si>
    <t>Allexivirus epsalii</t>
  </si>
  <si>
    <t>Allexivirus epsilonrubi</t>
  </si>
  <si>
    <t>Allexivirus filumallii</t>
  </si>
  <si>
    <t>Allexivirus latensvanillae</t>
  </si>
  <si>
    <t>Allexivirus pintoi</t>
  </si>
  <si>
    <t>Allexivirus sennae</t>
  </si>
  <si>
    <t>Allexivirus sigmamedicagonis</t>
  </si>
  <si>
    <t>Botrexvirus ecsbotrytis</t>
  </si>
  <si>
    <t>Lolavirus latenslolii</t>
  </si>
  <si>
    <t>Platypuvirus asinorchis</t>
  </si>
  <si>
    <t>Potexvirus citriflavimaculae</t>
  </si>
  <si>
    <t>Potexvirus citriflavivenae</t>
  </si>
  <si>
    <t>Potexvirus citrindicum</t>
  </si>
  <si>
    <t>Potexvirus alternantherae</t>
  </si>
  <si>
    <t>Potexvirus babaci</t>
  </si>
  <si>
    <t>Potexvirus bambusae</t>
  </si>
  <si>
    <t>Potexvirus colombiense</t>
  </si>
  <si>
    <t>Potexvirus cymbidii</t>
  </si>
  <si>
    <t>Potexvirus ecsallii</t>
  </si>
  <si>
    <t>Potexvirus ecsalstroemeriae</t>
  </si>
  <si>
    <t>Potexvirus ecscacti</t>
  </si>
  <si>
    <t>Potexvirus ecschlumbergerae</t>
  </si>
  <si>
    <t>Potexvirus ecscnidii</t>
  </si>
  <si>
    <t>Potexvirus ecsdioscoreae</t>
  </si>
  <si>
    <t>Potexvirus ecshostae</t>
  </si>
  <si>
    <t>Potexvirus ecslactucae</t>
  </si>
  <si>
    <t>Potexvirus ecslilii</t>
  </si>
  <si>
    <t>Potexvirus ecsmanihotis</t>
  </si>
  <si>
    <t>Potexvirus ecsmenthae</t>
  </si>
  <si>
    <t>Potexvirus ecsnerinis</t>
  </si>
  <si>
    <t>Potexvirus ecsopuntiae</t>
  </si>
  <si>
    <t>Potexvirus ecsphaii</t>
  </si>
  <si>
    <t>Potexvirus ecspitayae</t>
  </si>
  <si>
    <t>Potexvirus ecsplantagonis</t>
  </si>
  <si>
    <t>Potexvirus ecspotati</t>
  </si>
  <si>
    <t>Potexvirus ecsthalassiae</t>
  </si>
  <si>
    <t>Potexvirus ecstulipae</t>
  </si>
  <si>
    <t>Potexvirus ecsvanillae</t>
  </si>
  <si>
    <t>Potexvirus eczygocacti</t>
  </si>
  <si>
    <t>Potexvirus flavimaculae</t>
  </si>
  <si>
    <t>Potexvirus flavitrifolii</t>
  </si>
  <si>
    <t>Potexvirus flavivenae</t>
  </si>
  <si>
    <t>Potexvirus fragariae</t>
  </si>
  <si>
    <t>Potexvirus hydrangeae</t>
  </si>
  <si>
    <t>Potexvirus lagenariae</t>
  </si>
  <si>
    <t>Potexvirus malvae</t>
  </si>
  <si>
    <t>Potexvirus marmoraucuba</t>
  </si>
  <si>
    <t>Potexvirus marmordioscoreae</t>
  </si>
  <si>
    <t>Potexvirus marmormanihotis</t>
  </si>
  <si>
    <t>Potexvirus marmorplantagonis</t>
  </si>
  <si>
    <t>Potexvirus marmorsennae</t>
  </si>
  <si>
    <t>Potexvirus narcissi</t>
  </si>
  <si>
    <t>Potexvirus nesignambrosiae</t>
  </si>
  <si>
    <t>Potexvirus papayae</t>
  </si>
  <si>
    <t>Potexvirus pepini</t>
  </si>
  <si>
    <t>Potexvirus setariae</t>
  </si>
  <si>
    <t>Potexvirus triasparagi</t>
  </si>
  <si>
    <t>Potexvirus trifolii</t>
  </si>
  <si>
    <t>Sclerodarnavirus sclerotiniae</t>
  </si>
  <si>
    <t>Banmivirus musae</t>
  </si>
  <si>
    <t>Banmivirus musornatae</t>
  </si>
  <si>
    <t>Carlavirus alphacapsici</t>
  </si>
  <si>
    <t>Carlavirus alphacliviae</t>
  </si>
  <si>
    <t>Carlavirus alphaconiti</t>
  </si>
  <si>
    <t>Carlavirus alphaligustri</t>
  </si>
  <si>
    <t>Carlavirus alpharosae</t>
  </si>
  <si>
    <t>Carlavirus americanense</t>
  </si>
  <si>
    <t>Carlavirus atractylodis</t>
  </si>
  <si>
    <t>Carlavirus betachrysanthemi</t>
  </si>
  <si>
    <t>Carlavirus betagapanthi</t>
  </si>
  <si>
    <t>Carlavirus betaphlocis</t>
  </si>
  <si>
    <t>Carlavirus betarosae</t>
  </si>
  <si>
    <t>Carlavirus betulae</t>
  </si>
  <si>
    <t>Carlavirus cacti</t>
  </si>
  <si>
    <t>Carlavirus chisolani</t>
  </si>
  <si>
    <t>Carlavirus chloroipomoeae</t>
  </si>
  <si>
    <t>Carlavirus colei</t>
  </si>
  <si>
    <t>Carlavirus cornutum</t>
  </si>
  <si>
    <t>Carlavirus cucumis</t>
  </si>
  <si>
    <t>Carlavirus deltasambuci</t>
  </si>
  <si>
    <t>Carlavirus duocacti</t>
  </si>
  <si>
    <t>Carlavirus duopseudostellariae</t>
  </si>
  <si>
    <t>Carlavirus epsilonsambuci</t>
  </si>
  <si>
    <t>Carlavirus fragariae</t>
  </si>
  <si>
    <t>Carlavirus gammasambuci</t>
  </si>
  <si>
    <t>Carlavirus hellebori</t>
  </si>
  <si>
    <t>Carlavirus humuli</t>
  </si>
  <si>
    <t>Carlavirus hydrangeae</t>
  </si>
  <si>
    <t>Carlavirus ipomoeae</t>
  </si>
  <si>
    <t>Carlavirus jasmini</t>
  </si>
  <si>
    <t>Carlavirus latensaconiti</t>
  </si>
  <si>
    <t>Carlavirus latensallii</t>
  </si>
  <si>
    <t>Carlavirus latensascalonici</t>
  </si>
  <si>
    <t>Carlavirus latensbrassicae</t>
  </si>
  <si>
    <t>Carlavirus latenscapparis</t>
  </si>
  <si>
    <t>Carlavirus latensdianthi</t>
  </si>
  <si>
    <t>Carlavirus latensdioscoreae</t>
  </si>
  <si>
    <t>Carlavirus latensgaillardiae</t>
  </si>
  <si>
    <t>Carlavirus latenshippeastri</t>
  </si>
  <si>
    <t>Carlavirus latenshumuli</t>
  </si>
  <si>
    <t>Carlavirus latenskalanchoe</t>
  </si>
  <si>
    <t>Carlavirus latensnarcissi</t>
  </si>
  <si>
    <t>Carlavirus latensnerinis</t>
  </si>
  <si>
    <t>Carlavirus latensolani</t>
  </si>
  <si>
    <t>Carlavirus latenspassiflorae</t>
  </si>
  <si>
    <t>Carlavirus latensverbenae</t>
  </si>
  <si>
    <t>Carlavirus lilii</t>
  </si>
  <si>
    <t>Carlavirus maculapapayae</t>
  </si>
  <si>
    <t>Carlavirus melonis</t>
  </si>
  <si>
    <t>Carlavirus miphlocis</t>
  </si>
  <si>
    <t>Carlavirus mirabilis</t>
  </si>
  <si>
    <t>Carlavirus misolani</t>
  </si>
  <si>
    <t>Carlavirus mitipapayae</t>
  </si>
  <si>
    <t>Carlavirus necroligustri</t>
  </si>
  <si>
    <t>Carlavirus necroretis</t>
  </si>
  <si>
    <t>Carlavirus oleraceae</t>
  </si>
  <si>
    <t>Carlavirus petasitis</t>
  </si>
  <si>
    <t>Carlavirus pisi</t>
  </si>
  <si>
    <t>Carlavirus pisolani</t>
  </si>
  <si>
    <t>Carlavirus populi</t>
  </si>
  <si>
    <t>Carlavirus rhochrysanthemi</t>
  </si>
  <si>
    <t>Carlavirus sigmadaphnis</t>
  </si>
  <si>
    <t>Carlavirus sigmahelenii</t>
  </si>
  <si>
    <t>Carlavirus sigmaphlocis</t>
  </si>
  <si>
    <t>Carlavirus sigmascalonici</t>
  </si>
  <si>
    <t>Carlavirus sigmasolani</t>
  </si>
  <si>
    <t>Carlavirus sigmavaccinii</t>
  </si>
  <si>
    <t>Carlavirus trifolii</t>
  </si>
  <si>
    <t>Carlavirus tripseudostellariae</t>
  </si>
  <si>
    <t>Carlavirus unicacti</t>
  </si>
  <si>
    <t>Carlavirus uniglycinis</t>
  </si>
  <si>
    <t>Carlavirus unipseudostellariae</t>
  </si>
  <si>
    <t>Carlavirus unisteviae</t>
  </si>
  <si>
    <t>Carlavirus vaccinii</t>
  </si>
  <si>
    <t>Carlavirus vignae</t>
  </si>
  <si>
    <t>Foveavirus alphavitis</t>
  </si>
  <si>
    <t>Foveavirus betavii</t>
  </si>
  <si>
    <t>Foveavirus duoasiaticum</t>
  </si>
  <si>
    <t>Foveavirus latensarmeniacae</t>
  </si>
  <si>
    <t>Foveavirus mali</t>
  </si>
  <si>
    <t>Foveavirus mumeae</t>
  </si>
  <si>
    <t>Foveavirus persicae</t>
  </si>
  <si>
    <t>Foveavirus rupestris</t>
  </si>
  <si>
    <t>Foveavirus tafvitis</t>
  </si>
  <si>
    <t>Foveavirus tetracamelliae</t>
  </si>
  <si>
    <t>Foveavirus unasiaticum</t>
  </si>
  <si>
    <t>Foveavirus unicanadense</t>
  </si>
  <si>
    <t>Foveavirus unirubi</t>
  </si>
  <si>
    <t>Robigovirus elaeis</t>
  </si>
  <si>
    <t>Robigovirus necroavii</t>
  </si>
  <si>
    <t>Robigovirus robigomaculae</t>
  </si>
  <si>
    <t>Robigovirus tortifoliae</t>
  </si>
  <si>
    <t>Robigovirus viridiavii</t>
  </si>
  <si>
    <t>Sustrivirus sacchari</t>
  </si>
  <si>
    <t>Capillovirus alphaeriobotryae</t>
  </si>
  <si>
    <t>Capillovirus alphagerberae</t>
  </si>
  <si>
    <t>Capillovirus alphamume</t>
  </si>
  <si>
    <t>Capillovirus alpharibis</t>
  </si>
  <si>
    <t>Capillovirus alphavii</t>
  </si>
  <si>
    <t>Capillovirus mali</t>
  </si>
  <si>
    <t>Capillovirus uniheveae</t>
  </si>
  <si>
    <t>Capillovirus unipolysciasii</t>
  </si>
  <si>
    <t>Chordovirus duocarotae</t>
  </si>
  <si>
    <t>Chordovirus tetraheraclei</t>
  </si>
  <si>
    <t>Chordovirus unicarotae</t>
  </si>
  <si>
    <t>Chordovirus unilactucae</t>
  </si>
  <si>
    <t>Citrivirus citri</t>
  </si>
  <si>
    <t>Citrivirus unipolysciasii</t>
  </si>
  <si>
    <t>Divavirus alphadiuris</t>
  </si>
  <si>
    <t>Divavirus alphahardenbergiae</t>
  </si>
  <si>
    <t>Divavirus betadiuris</t>
  </si>
  <si>
    <t>Prunevirus actinidiae</t>
  </si>
  <si>
    <t>Prunevirus armeniacae</t>
  </si>
  <si>
    <t>Prunevirus caucasicum</t>
  </si>
  <si>
    <t>Prunevirus unicamelliae</t>
  </si>
  <si>
    <t>Ravavirus alpharibis</t>
  </si>
  <si>
    <t>Tepovirus tafagavis</t>
  </si>
  <si>
    <t>Tepovirus tafavii</t>
  </si>
  <si>
    <t>Tepovirus tafpruni</t>
  </si>
  <si>
    <t>Tepovirus tafsolani</t>
  </si>
  <si>
    <t>Tepovirus tafzosterae</t>
  </si>
  <si>
    <t>Trichovirus armeniacae</t>
  </si>
  <si>
    <t>Trichovirus chloropersicae</t>
  </si>
  <si>
    <t>Trichovirus latensavii</t>
  </si>
  <si>
    <t>Trichovirus maculavii</t>
  </si>
  <si>
    <t>Trichovirus mali</t>
  </si>
  <si>
    <t>Trichovirus mipersicae</t>
  </si>
  <si>
    <t>Trichovirus necroacini</t>
  </si>
  <si>
    <t>Trichovirus persicae</t>
  </si>
  <si>
    <t>Trichovirus phlomis</t>
  </si>
  <si>
    <t>Trichovirus pinovitis</t>
  </si>
  <si>
    <t>Vitivirus alphactinidiae</t>
  </si>
  <si>
    <t>Vitivirus alpharubi</t>
  </si>
  <si>
    <t>Vitivirus alphavitis</t>
  </si>
  <si>
    <t>Vitivirus ananasae</t>
  </si>
  <si>
    <t>Vitivirus betactinidiae</t>
  </si>
  <si>
    <t>Vitivirus betavitis</t>
  </si>
  <si>
    <t>Vitivirus deltavitis</t>
  </si>
  <si>
    <t>Vitivirus duomenthae</t>
  </si>
  <si>
    <t>Vitivirus epsilonvitis</t>
  </si>
  <si>
    <t>Vitivirus etavitis</t>
  </si>
  <si>
    <t>Vitivirus gammavitis</t>
  </si>
  <si>
    <t>Vitivirus iotavitis</t>
  </si>
  <si>
    <t>Vitivirus jeivitis</t>
  </si>
  <si>
    <t>Vitivirus lambdavitis</t>
  </si>
  <si>
    <t>Vitivirus latensheraclei</t>
  </si>
  <si>
    <t>Vitivirus nuvitis</t>
  </si>
  <si>
    <t>Vitivirus phivitis</t>
  </si>
  <si>
    <t>Vitivirus vaccinii</t>
  </si>
  <si>
    <t>Vitivirus viarracaciae</t>
  </si>
  <si>
    <t>Wamavirus alphacitrulli</t>
  </si>
  <si>
    <t>Deltaflexivirus fusarii</t>
  </si>
  <si>
    <t>Deltaflexivirus glycinis</t>
  </si>
  <si>
    <t>Deltaflexivirus pleurotii</t>
  </si>
  <si>
    <t>Deltaflexivirus sclerotiniae</t>
  </si>
  <si>
    <t>Gammaflexivirus unientoleucae</t>
  </si>
  <si>
    <t>Gammaflexivirus unipistaciae</t>
  </si>
  <si>
    <t>Mycoflexivirus phibotrytidis</t>
  </si>
  <si>
    <t>Xylavirus duoentoleucae</t>
  </si>
  <si>
    <t>Alphanodavirus boolarraense</t>
  </si>
  <si>
    <t>Alphanodavirus flockense</t>
  </si>
  <si>
    <t>Alphanodavirus heteronychi</t>
  </si>
  <si>
    <t>Alphanodavirus nodamuraense</t>
  </si>
  <si>
    <t>Alphanodavirus pariacotoense</t>
  </si>
  <si>
    <t>Betanodavirus epinepheli</t>
  </si>
  <si>
    <t>Betanodavirus pseudocarangis</t>
  </si>
  <si>
    <t>Betanodavirus takifugui</t>
  </si>
  <si>
    <t>Betanodavirus verasperi</t>
  </si>
  <si>
    <t>Alphacarmotetravirus providencense</t>
  </si>
  <si>
    <t>Luteovirus sgvhordei</t>
  </si>
  <si>
    <t>Narnavirus saccharomaior</t>
  </si>
  <si>
    <t>Narnavirus saccharominor</t>
  </si>
  <si>
    <t>Aastrivirus</t>
  </si>
  <si>
    <t>Aastrivirus faecicola</t>
  </si>
  <si>
    <t>Aldormivirus</t>
  </si>
  <si>
    <t>Aldormivirus defluviicola</t>
  </si>
  <si>
    <t>Aldormivirus luticola</t>
  </si>
  <si>
    <t>Aldormivirus lutihabitans</t>
  </si>
  <si>
    <t>Aldormivirus lutivivens</t>
  </si>
  <si>
    <t>Aldormivirus peladaptatum</t>
  </si>
  <si>
    <t>Aldormivirus pelenecus</t>
  </si>
  <si>
    <t>Alkesdovirus</t>
  </si>
  <si>
    <t>Alkesdovirus asienecus</t>
  </si>
  <si>
    <t>Alkesdovirus edaphadaptatum</t>
  </si>
  <si>
    <t>Alkesdovirus edaphohabitans</t>
  </si>
  <si>
    <t>Alkesdovirus limicola</t>
  </si>
  <si>
    <t>Alkesdovirus pedocola</t>
  </si>
  <si>
    <t>Alkesdovirus pelenecus</t>
  </si>
  <si>
    <t>Alkesdovirus pelohabitans</t>
  </si>
  <si>
    <t>Alkesdovirus pelovicinum</t>
  </si>
  <si>
    <t>Alkesdovirus tellurivicinum</t>
  </si>
  <si>
    <t>Alkesdovirus tellurivivens</t>
  </si>
  <si>
    <t>Alkesdovirus terradaptatum</t>
  </si>
  <si>
    <t>Alkesdovirus terricola</t>
  </si>
  <si>
    <t>Alvostovirus</t>
  </si>
  <si>
    <t>Alvostovirus lutivicinum</t>
  </si>
  <si>
    <t>Apihcavirus limivivens</t>
  </si>
  <si>
    <t>Apihcavirus neoborborovicinum</t>
  </si>
  <si>
    <t>Ashurnovirus</t>
  </si>
  <si>
    <t>Ashurnovirus faecivicinum</t>
  </si>
  <si>
    <t>Ashurnovirus montisvicinum</t>
  </si>
  <si>
    <t>Astuncavirus</t>
  </si>
  <si>
    <t>Astuncavirus faecenecus</t>
  </si>
  <si>
    <t>Avantavirus</t>
  </si>
  <si>
    <t>Avantavirus faecihabitans</t>
  </si>
  <si>
    <t>Bahdevirus</t>
  </si>
  <si>
    <t>Bahdevirus faecivicinum</t>
  </si>
  <si>
    <t>Bahguvirus</t>
  </si>
  <si>
    <t>Bahguvirus faecadaptatum</t>
  </si>
  <si>
    <t>Bahguvirus montisvivens</t>
  </si>
  <si>
    <t>Balsavirus</t>
  </si>
  <si>
    <t>Balsavirus faecadaptatum</t>
  </si>
  <si>
    <t>Barchevirus</t>
  </si>
  <si>
    <t>Barchevirus humivicinum</t>
  </si>
  <si>
    <t>Barchevirus pontederiivicinum</t>
  </si>
  <si>
    <t>Bardovirus</t>
  </si>
  <si>
    <t>Bardovirus agrivicinum</t>
  </si>
  <si>
    <t>Bartovirus</t>
  </si>
  <si>
    <t>Bartovirus arvadaptatum</t>
  </si>
  <si>
    <t>Bartovirus caenihabitans</t>
  </si>
  <si>
    <t>Bartovirus terradaptatum</t>
  </si>
  <si>
    <t>Bascudevirus</t>
  </si>
  <si>
    <t>Bascudevirus pedovicinum</t>
  </si>
  <si>
    <t>Batdovirus</t>
  </si>
  <si>
    <t>Batdovirus faecadaptatum</t>
  </si>
  <si>
    <t>Beahrlevirus</t>
  </si>
  <si>
    <t>Beahrlevirus messadaptatum</t>
  </si>
  <si>
    <t>Behauvirus</t>
  </si>
  <si>
    <t>Behauvirus agradaptatum</t>
  </si>
  <si>
    <t>Beheusavirus</t>
  </si>
  <si>
    <t>Beheusavirus caenivicinum</t>
  </si>
  <si>
    <t>Behntlevirus</t>
  </si>
  <si>
    <t>Behntlevirus humivicinum</t>
  </si>
  <si>
    <t>Behrmuvirus</t>
  </si>
  <si>
    <t>Behrmuvirus caenadaptatum</t>
  </si>
  <si>
    <t>Bercswevirus</t>
  </si>
  <si>
    <t>Bercswevirus edaphocola</t>
  </si>
  <si>
    <t>Bermivirus</t>
  </si>
  <si>
    <t>Bermivirus solicola</t>
  </si>
  <si>
    <t>Bexdevirus</t>
  </si>
  <si>
    <t>Bexdevirus caenenecus</t>
  </si>
  <si>
    <t>Bexdevirus chorocola</t>
  </si>
  <si>
    <t>Bexdevirus lutivivens</t>
  </si>
  <si>
    <t>Bexdevirus messenecus</t>
  </si>
  <si>
    <t>Bexdevirus messivivens</t>
  </si>
  <si>
    <t>Bexdevirus pelohabitans</t>
  </si>
  <si>
    <t>Bexdevirus segetenecus</t>
  </si>
  <si>
    <t>Bexdevirus telluricola</t>
  </si>
  <si>
    <t>Bexdevirus terradaptatum</t>
  </si>
  <si>
    <t>Bexdevirus terrihabitans</t>
  </si>
  <si>
    <t>Bidwuvirus</t>
  </si>
  <si>
    <t>Bidwuvirus asiohabitans</t>
  </si>
  <si>
    <t>Bihdfovirus</t>
  </si>
  <si>
    <t>Bihdfovirus chthonadaptatum</t>
  </si>
  <si>
    <t>Bihdfovirus segetenecus</t>
  </si>
  <si>
    <t>Bihshovirus</t>
  </si>
  <si>
    <t>Bihshovirus messivivens</t>
  </si>
  <si>
    <t>Bihshovirus pelovivens</t>
  </si>
  <si>
    <t>Bilsavirus</t>
  </si>
  <si>
    <t>Bilsavirus allofaecicola</t>
  </si>
  <si>
    <t>Bilsavirus faecivicinum</t>
  </si>
  <si>
    <t>Birdonovirus</t>
  </si>
  <si>
    <t>Birdonovirus segetenecus</t>
  </si>
  <si>
    <t>Birfovirus</t>
  </si>
  <si>
    <t>Birfovirus dinebrivivens</t>
  </si>
  <si>
    <t>Birstovirus</t>
  </si>
  <si>
    <t>Birstovirus limivivens</t>
  </si>
  <si>
    <t>Blictovirus</t>
  </si>
  <si>
    <t>Blictovirus humenecus</t>
  </si>
  <si>
    <t>Blinduvirus asiocola</t>
  </si>
  <si>
    <t>Blinduvirus caenivivens</t>
  </si>
  <si>
    <t>Blinduvirus chorocola</t>
  </si>
  <si>
    <t>Blinduvirus chorohabitans</t>
  </si>
  <si>
    <t>Blinduvirus chorovivens</t>
  </si>
  <si>
    <t>Blinduvirus chthonocola</t>
  </si>
  <si>
    <t>Blinduvirus chthonovicinum</t>
  </si>
  <si>
    <t>Blinduvirus geohabitans</t>
  </si>
  <si>
    <t>Blinduvirus humicola</t>
  </si>
  <si>
    <t>Blinduvirus lutivivens</t>
  </si>
  <si>
    <t>Blinduvirus messivicinum</t>
  </si>
  <si>
    <t>Blinduvirus messivivens</t>
  </si>
  <si>
    <t>Blinduvirus pelenecus</t>
  </si>
  <si>
    <t>Blinduvirus pelohabitans</t>
  </si>
  <si>
    <t>Blinduvirus radicivicinum</t>
  </si>
  <si>
    <t>Blinduvirus segetenecus</t>
  </si>
  <si>
    <t>Blinduvirus solenecus</t>
  </si>
  <si>
    <t>Blinduvirus tellurihabitans</t>
  </si>
  <si>
    <t>Blinduvirus tellurivivens</t>
  </si>
  <si>
    <t>Bolihivirus</t>
  </si>
  <si>
    <t>Bolihivirus asiadaptatum</t>
  </si>
  <si>
    <t>Bolihivirus caenicola</t>
  </si>
  <si>
    <t>Bolihivirus chorovivens</t>
  </si>
  <si>
    <t>Bolihivirus geoadaptatum</t>
  </si>
  <si>
    <t>Bolislovirus</t>
  </si>
  <si>
    <t>Bolislovirus solivivens</t>
  </si>
  <si>
    <t>Boltovirus</t>
  </si>
  <si>
    <t>Boltovirus pedohabitans</t>
  </si>
  <si>
    <t>Bouhrtavirus</t>
  </si>
  <si>
    <t>Bouhrtavirus agricola</t>
  </si>
  <si>
    <t>Braholevirus</t>
  </si>
  <si>
    <t>Braholevirus asiovicinum</t>
  </si>
  <si>
    <t>Bramcovirus</t>
  </si>
  <si>
    <t>Bramcovirus asienecus</t>
  </si>
  <si>
    <t>Bramcovirus caenivivens</t>
  </si>
  <si>
    <t>Bramkuvirus</t>
  </si>
  <si>
    <t>Bramkuvirus solicola</t>
  </si>
  <si>
    <t>Branavirus</t>
  </si>
  <si>
    <t>Branavirus faecadaptatum</t>
  </si>
  <si>
    <t>Brandovirus</t>
  </si>
  <si>
    <t>Brandovirus pedocola</t>
  </si>
  <si>
    <t>Brehdfovirus</t>
  </si>
  <si>
    <t>Brehdfovirus agrihabitans</t>
  </si>
  <si>
    <t>Broetwevirus</t>
  </si>
  <si>
    <t>Broetwevirus geoadaptatum</t>
  </si>
  <si>
    <t>Bruncluvirus</t>
  </si>
  <si>
    <t>Bruncluvirus chorohabitans</t>
  </si>
  <si>
    <t>Bruncluvirus humenecus</t>
  </si>
  <si>
    <t>Bruncluvirus humivivens</t>
  </si>
  <si>
    <t>Bruncluvirus messicola</t>
  </si>
  <si>
    <t>Bruncluvirus messivivens</t>
  </si>
  <si>
    <t>Bruncluvirus pedadaptatum</t>
  </si>
  <si>
    <t>Bruncluvirus pedovicinum</t>
  </si>
  <si>
    <t>Bruncluvirus radicihabitans</t>
  </si>
  <si>
    <t>Bruncluvirus solicola</t>
  </si>
  <si>
    <t>Buckevirus</t>
  </si>
  <si>
    <t>Buckevirus limicola</t>
  </si>
  <si>
    <t>Buckevirus pedocola</t>
  </si>
  <si>
    <t>Budprovirus</t>
  </si>
  <si>
    <t>Budprovirus humihabitans</t>
  </si>
  <si>
    <t>Buhdlovirus</t>
  </si>
  <si>
    <t>Buhdlovirus chorovivens</t>
  </si>
  <si>
    <t>Buhpbivirus</t>
  </si>
  <si>
    <t>Buhpbivirus caenenecus</t>
  </si>
  <si>
    <t>Buhshwavirus</t>
  </si>
  <si>
    <t>Buhshwavirus geohabitans</t>
  </si>
  <si>
    <t>Bulcivirus</t>
  </si>
  <si>
    <t>Bulcivirus geovivens</t>
  </si>
  <si>
    <t>Bunlevirus</t>
  </si>
  <si>
    <t>Bunlevirus asiohabitans</t>
  </si>
  <si>
    <t>Bunlevirus terrivivens</t>
  </si>
  <si>
    <t>Buntovirus</t>
  </si>
  <si>
    <t>Buntovirus asiocola</t>
  </si>
  <si>
    <t>Burdivirus</t>
  </si>
  <si>
    <t>Burdivirus caenenecus</t>
  </si>
  <si>
    <t>Burdivirus radicivivens</t>
  </si>
  <si>
    <t>Burtuvirus</t>
  </si>
  <si>
    <t>Burtuvirus limivicinum</t>
  </si>
  <si>
    <t>Bushuvirus</t>
  </si>
  <si>
    <t>Bushuvirus choradaptatum</t>
  </si>
  <si>
    <t>Cahtebovirus agrenecus</t>
  </si>
  <si>
    <t>Cahtebovirus agrihabitans</t>
  </si>
  <si>
    <t>Cahtebovirus agrivicinum</t>
  </si>
  <si>
    <t>Cahtebovirus chorovicinum</t>
  </si>
  <si>
    <t>Cahtebovirus edaphovivens</t>
  </si>
  <si>
    <t>Cahtebovirus pelohabitans</t>
  </si>
  <si>
    <t>Cahtebovirus tellurivivens</t>
  </si>
  <si>
    <t>Cahwstovirus</t>
  </si>
  <si>
    <t>Cahwstovirus pedadaptatum</t>
  </si>
  <si>
    <t>Caldevirus</t>
  </si>
  <si>
    <t>Caldevirus limivicinum</t>
  </si>
  <si>
    <t>Cambruovirus</t>
  </si>
  <si>
    <t>Cambruovirus arvivivens</t>
  </si>
  <si>
    <t>Capsdovirus</t>
  </si>
  <si>
    <t>Capsdovirus lutihabitans</t>
  </si>
  <si>
    <t>Casfavirus</t>
  </si>
  <si>
    <t>Casfavirus pelocola</t>
  </si>
  <si>
    <t>Chadwivirus</t>
  </si>
  <si>
    <t>Chadwivirus limadaptatum</t>
  </si>
  <si>
    <t>Chahpevirus</t>
  </si>
  <si>
    <t>Chahpevirus humihabitans</t>
  </si>
  <si>
    <t>Chatshuvirus</t>
  </si>
  <si>
    <t>Chatshuvirus limivicinum</t>
  </si>
  <si>
    <t>Chepelevirus</t>
  </si>
  <si>
    <t>Chepelevirus messicola</t>
  </si>
  <si>
    <t>Cherlevirus</t>
  </si>
  <si>
    <t>Cherlevirus limivivens</t>
  </si>
  <si>
    <t>Cherovirus</t>
  </si>
  <si>
    <t>Cherovirus lutivicinum</t>
  </si>
  <si>
    <t>Chostevirus</t>
  </si>
  <si>
    <t>Chostevirus pelovivens</t>
  </si>
  <si>
    <t>Churchovirus</t>
  </si>
  <si>
    <t>Churchovirus lutihabitans</t>
  </si>
  <si>
    <t>Churchovirus pedocola</t>
  </si>
  <si>
    <t>Clavivirus</t>
  </si>
  <si>
    <t>Clavivirus agrivivens</t>
  </si>
  <si>
    <t>Clifovirus</t>
  </si>
  <si>
    <t>Clifovirus lutadaptatum</t>
  </si>
  <si>
    <t>Clufdovirus</t>
  </si>
  <si>
    <t>Clufdovirus tellurivicinum</t>
  </si>
  <si>
    <t>Cohrlevirus</t>
  </si>
  <si>
    <t>Cohrlevirus edaphovicinum</t>
  </si>
  <si>
    <t>Colishivirus</t>
  </si>
  <si>
    <t>Colishivirus messicola</t>
  </si>
  <si>
    <t>Comptovirus</t>
  </si>
  <si>
    <t>Comptovirus solivivens</t>
  </si>
  <si>
    <t>Comptuvirus</t>
  </si>
  <si>
    <t>Comptuvirus solenecus</t>
  </si>
  <si>
    <t>Coughduvirus</t>
  </si>
  <si>
    <t>Coughduvirus asiohabitans</t>
  </si>
  <si>
    <t>Coughduvirus asiovicinum</t>
  </si>
  <si>
    <t>Coughduvirus asiovivens</t>
  </si>
  <si>
    <t>Coughduvirus borboradaptatum</t>
  </si>
  <si>
    <t>Firunevirus faecicola</t>
  </si>
  <si>
    <t>Firunevirus segetihabitans</t>
  </si>
  <si>
    <t>Firunevirus solenecus</t>
  </si>
  <si>
    <t>Firunevirus telluricola</t>
  </si>
  <si>
    <t>Hehspivirus edaphohabitans</t>
  </si>
  <si>
    <t>Huleruivirus choradaptatum</t>
  </si>
  <si>
    <t>Huleruivirus humivivens</t>
  </si>
  <si>
    <t>Hysdruvirus chthonenecus</t>
  </si>
  <si>
    <t>Hysdruvirus humihabitans</t>
  </si>
  <si>
    <t>Hysdruvirus limivicinum</t>
  </si>
  <si>
    <t>Hysdruvirus messadaptatum</t>
  </si>
  <si>
    <t>Hysdruvirus messihabitans</t>
  </si>
  <si>
    <t>Hysdruvirus neotelluricola</t>
  </si>
  <si>
    <t>Hysdruvirus pedovicinum</t>
  </si>
  <si>
    <t>Hysdruvirus segetadaptatum</t>
  </si>
  <si>
    <t>Hysdruvirus segetihabitans</t>
  </si>
  <si>
    <t>Kempsvovirus chthonocola</t>
  </si>
  <si>
    <t>Kempsvovirus humivivens</t>
  </si>
  <si>
    <t>Kempsvovirus segeticola</t>
  </si>
  <si>
    <t>Lahcomavirus messivivens</t>
  </si>
  <si>
    <t>Lahcomavirus segetadaptatum</t>
  </si>
  <si>
    <t>Lobdovirus agrivicinum</t>
  </si>
  <si>
    <t>Lobdovirus lutivicinum</t>
  </si>
  <si>
    <t>Lobdovirus neoarvadaptatum</t>
  </si>
  <si>
    <t>Lobdovirus neochorovicinum</t>
  </si>
  <si>
    <t>Lobdovirus pedovivens</t>
  </si>
  <si>
    <t>Lobdovirus peladaptatum</t>
  </si>
  <si>
    <t>Mitdiwavirus allofaecicola</t>
  </si>
  <si>
    <t>Mitdiwavirus allofaecihabitans</t>
  </si>
  <si>
    <t>Mitdiwavirus caenicola</t>
  </si>
  <si>
    <t>Mitdiwavirus faecenecus</t>
  </si>
  <si>
    <t>Mitdiwavirus faecihabitans</t>
  </si>
  <si>
    <t>Mitdiwavirus montiscola</t>
  </si>
  <si>
    <t>Pihngevirus asiovicinum</t>
  </si>
  <si>
    <t>Pihngevirus faecenecus</t>
  </si>
  <si>
    <t>Pihngevirus limenecus</t>
  </si>
  <si>
    <t>Pihngevirus radicihabitans</t>
  </si>
  <si>
    <t>Wahbolevirus faecadaptatum</t>
  </si>
  <si>
    <t>Yekorevirus choradaptatum</t>
  </si>
  <si>
    <t>Yeshinuvirus geovicinum</t>
  </si>
  <si>
    <t>Apeevirus fundihabitans</t>
  </si>
  <si>
    <t>Cartwavirus</t>
  </si>
  <si>
    <t>Cartwavirus ischnurivivens</t>
  </si>
  <si>
    <t>Cubpivirus</t>
  </si>
  <si>
    <t>Cubpivirus chilonishabitans</t>
  </si>
  <si>
    <t>Cubpivirus ischnurenecus</t>
  </si>
  <si>
    <t>Derlivirus</t>
  </si>
  <si>
    <t>Derlivirus dinebricola</t>
  </si>
  <si>
    <t>Dirlevirus</t>
  </si>
  <si>
    <t>Dirlevirus faecenecus</t>
  </si>
  <si>
    <t>Amubhivirus agrivivens</t>
  </si>
  <si>
    <t>Amubhivirus humicola</t>
  </si>
  <si>
    <t>Amubhivirus lutenecus</t>
  </si>
  <si>
    <t>Amubhivirus messadaptatum</t>
  </si>
  <si>
    <t>Amubhivirus soladaptatum</t>
  </si>
  <si>
    <t>Andhasavirus caenivivens</t>
  </si>
  <si>
    <t>Andhasavirus limicola</t>
  </si>
  <si>
    <t>Andhasavirus neoagrivivens</t>
  </si>
  <si>
    <t>Andhaxevirus chorovicinum</t>
  </si>
  <si>
    <t>Andhaxevirus faecihabitans</t>
  </si>
  <si>
    <t>Andhaxevirus geoadaptatum</t>
  </si>
  <si>
    <t>Andhaxevirus geovicinum</t>
  </si>
  <si>
    <t>Andhaxevirus limicola</t>
  </si>
  <si>
    <t>Andhaxevirus lutadaptatum</t>
  </si>
  <si>
    <t>Andhaxevirus messicola</t>
  </si>
  <si>
    <t>Andhaxevirus pedenecus</t>
  </si>
  <si>
    <t>Andhaxevirus radicihabitans</t>
  </si>
  <si>
    <t>Andhaxevirus segetadaptatum</t>
  </si>
  <si>
    <t>Andhaxevirus tellurivicinum</t>
  </si>
  <si>
    <t>Andhaxevirus terrivicinum</t>
  </si>
  <si>
    <t>Ashucavirus asiadaptatum</t>
  </si>
  <si>
    <t>Ashucavirus asiocola</t>
  </si>
  <si>
    <t>Ashucavirus chthonovicinum</t>
  </si>
  <si>
    <t>Cahdavirus asiohabitans</t>
  </si>
  <si>
    <t>Cahdavirus chorovivens</t>
  </si>
  <si>
    <t>Cahdavirus chthonadaptatum</t>
  </si>
  <si>
    <t>Cahdavirus limadaptatum</t>
  </si>
  <si>
    <t>Cahdavirus limivicinum</t>
  </si>
  <si>
    <t>Cahdavirus lutadaptatum</t>
  </si>
  <si>
    <t>Caloevirus caenicola</t>
  </si>
  <si>
    <t>Cauhldivirus chthonocola</t>
  </si>
  <si>
    <t>Cauhldivirus chthonovivens</t>
  </si>
  <si>
    <t>Cauhldivirus faecicola</t>
  </si>
  <si>
    <t>Cauhldivirus messivivens</t>
  </si>
  <si>
    <t>Cauhldivirus neolimadaptatum</t>
  </si>
  <si>
    <t>Cauhldivirus pelenecus</t>
  </si>
  <si>
    <t>Cauhldivirus segetivicinum</t>
  </si>
  <si>
    <t>Cauhldivirus terrenecus</t>
  </si>
  <si>
    <t>Chahsmivirus caenivicinum</t>
  </si>
  <si>
    <t>Chahsmivirus dinebrihabitans</t>
  </si>
  <si>
    <t>Chahsmivirus edaphenecus</t>
  </si>
  <si>
    <t>Chahsmivirus geoenecus</t>
  </si>
  <si>
    <t>Chahsmivirus humivicinum</t>
  </si>
  <si>
    <t>Chahsmivirus neochoradaptatum</t>
  </si>
  <si>
    <t>Chahsmivirus neolimivicinum</t>
  </si>
  <si>
    <t>Chahsmivirus pedenecus</t>
  </si>
  <si>
    <t>Chahsmivirus terricola</t>
  </si>
  <si>
    <t>Cintrevirus radicivicinum</t>
  </si>
  <si>
    <t>Cunavirus faecicola</t>
  </si>
  <si>
    <t>Cunavirus faecihabitans</t>
  </si>
  <si>
    <t>Cunavirus faecivicinum</t>
  </si>
  <si>
    <t>Decadevirus dinebrihabitans</t>
  </si>
  <si>
    <t>Dortuvirus</t>
  </si>
  <si>
    <t>Dortuvirus fonticola</t>
  </si>
  <si>
    <t>Dorudgevirus</t>
  </si>
  <si>
    <t>Dorudgevirus caenadaptatum</t>
  </si>
  <si>
    <t>Dosmizivirus edaphenecus</t>
  </si>
  <si>
    <t>Dosmizivirus terrenecus</t>
  </si>
  <si>
    <t>Draycavirus</t>
  </si>
  <si>
    <t>Draycavirus humivivens</t>
  </si>
  <si>
    <t>Dreytovirus</t>
  </si>
  <si>
    <t>Dreytovirus telluradaptatum</t>
  </si>
  <si>
    <t>Dreytovirus telluricola</t>
  </si>
  <si>
    <t>Duhcivirus agradaptatum</t>
  </si>
  <si>
    <t>Dunchevirus</t>
  </si>
  <si>
    <t>Dunchevirus limicola</t>
  </si>
  <si>
    <t>Dursuvirus</t>
  </si>
  <si>
    <t>Dursuvirus arvihabitans</t>
  </si>
  <si>
    <t>Dursuvirus choradaptatum</t>
  </si>
  <si>
    <t>Dursuvirus geohabitans</t>
  </si>
  <si>
    <t>Eahsevirus</t>
  </si>
  <si>
    <t>Eahsevirus limicola</t>
  </si>
  <si>
    <t>Eahsevirus limihabitans</t>
  </si>
  <si>
    <t>Eahsevirus solicola</t>
  </si>
  <si>
    <t>Eahvevirus</t>
  </si>
  <si>
    <t>Eahvevirus faecenecus</t>
  </si>
  <si>
    <t>Eedhovirus</t>
  </si>
  <si>
    <t>Eedhovirus chilonisadaptatum</t>
  </si>
  <si>
    <t>Eerlswovirus</t>
  </si>
  <si>
    <t>Eerlswovirus asiohabitans</t>
  </si>
  <si>
    <t>Eistcuvirus</t>
  </si>
  <si>
    <t>Eistcuvirus conocephalivivens</t>
  </si>
  <si>
    <t>Etongtovirus</t>
  </si>
  <si>
    <t>Etongtovirus faecivicinum</t>
  </si>
  <si>
    <t>Fagihyuvirus agricola</t>
  </si>
  <si>
    <t>Fagihyuvirus agrihabitans</t>
  </si>
  <si>
    <t>Fagihyuvirus agrivicinum</t>
  </si>
  <si>
    <t>Fagihyuvirus chorovicinum</t>
  </si>
  <si>
    <t>Fagihyuvirus humenecus</t>
  </si>
  <si>
    <t>Fagihyuvirus messihabitans</t>
  </si>
  <si>
    <t>Fagihyuvirus pelenecus</t>
  </si>
  <si>
    <t>Fagihyuvirus tegeticola</t>
  </si>
  <si>
    <t>Fenycovirus</t>
  </si>
  <si>
    <t>Fenycovirus faecenecus</t>
  </si>
  <si>
    <t>Fihluvirus</t>
  </si>
  <si>
    <t>Fihluvirus faecicola</t>
  </si>
  <si>
    <t>Fihluvirus faecihabitans</t>
  </si>
  <si>
    <t>Firnpuvirus</t>
  </si>
  <si>
    <t>Firnpuvirus faecenecus</t>
  </si>
  <si>
    <t>Flehknovirus</t>
  </si>
  <si>
    <t>Flehknovirus faecenecus</t>
  </si>
  <si>
    <t>Frinctavirus</t>
  </si>
  <si>
    <t>Frinctavirus faecadaptatum</t>
  </si>
  <si>
    <t>Fulbrouvirus</t>
  </si>
  <si>
    <t>Fulbrouvirus dinebrivivens</t>
  </si>
  <si>
    <t>Galoycavirus</t>
  </si>
  <si>
    <t>Galoycavirus dinebrenecus</t>
  </si>
  <si>
    <t>Giydovirus</t>
  </si>
  <si>
    <t>Giydovirus dinebrivivens</t>
  </si>
  <si>
    <t>Grandpovirus</t>
  </si>
  <si>
    <t>Grandpovirus leersiivivens</t>
  </si>
  <si>
    <t>Greatevirus</t>
  </si>
  <si>
    <t>Greatevirus pontederiicola</t>
  </si>
  <si>
    <t>Greatpavirus</t>
  </si>
  <si>
    <t>Greatpavirus dinebrihabitans</t>
  </si>
  <si>
    <t>Grehavirus</t>
  </si>
  <si>
    <t>Grehavirus dinebrivicinum</t>
  </si>
  <si>
    <t>Grendovirus</t>
  </si>
  <si>
    <t>Grendovirus dinebricola</t>
  </si>
  <si>
    <t>Haeldovirus</t>
  </si>
  <si>
    <t>Haeldovirus asiohabitans</t>
  </si>
  <si>
    <t>Haeldovirus borboradaptatum</t>
  </si>
  <si>
    <t>Haeldovirus dinebrenecus</t>
  </si>
  <si>
    <t>Hahmbtovirus</t>
  </si>
  <si>
    <t>Hahmbtovirus cyperivicinum</t>
  </si>
  <si>
    <t>Hahsevirus</t>
  </si>
  <si>
    <t>Hahsevirus agrivicinum</t>
  </si>
  <si>
    <t>Hahsevirus borboradaptatum</t>
  </si>
  <si>
    <t>Hahsevirus caenadaptatum</t>
  </si>
  <si>
    <t>Hahsevirus edaphovivens</t>
  </si>
  <si>
    <t>Hahsevirus faecivivens</t>
  </si>
  <si>
    <t>Hahsevirus geoenecus</t>
  </si>
  <si>
    <t>Hahsevirus limivicinum</t>
  </si>
  <si>
    <t>Hampdavirus</t>
  </si>
  <si>
    <t>Hampdavirus dinebradaptatum</t>
  </si>
  <si>
    <t>Hamptovirus</t>
  </si>
  <si>
    <t>Hamptovirus dinebrivicinum</t>
  </si>
  <si>
    <t>Helfovirus</t>
  </si>
  <si>
    <t>Helfovirus dinebrivicinum</t>
  </si>
  <si>
    <t>Herbuvirus</t>
  </si>
  <si>
    <t>Herbuvirus faecivicinum</t>
  </si>
  <si>
    <t>Herbuvirus faecivivens</t>
  </si>
  <si>
    <t>Hihlwaovirus</t>
  </si>
  <si>
    <t>Hihlwaovirus faecicola</t>
  </si>
  <si>
    <t>Hirbarovirus</t>
  </si>
  <si>
    <t>Hirbarovirus cyperenecus</t>
  </si>
  <si>
    <t>Hirtshivirus</t>
  </si>
  <si>
    <t>Hirtshivirus faecivicinum</t>
  </si>
  <si>
    <t>Hisilivirus</t>
  </si>
  <si>
    <t>Hisilivirus faecenecus</t>
  </si>
  <si>
    <t>Hisilovirus</t>
  </si>
  <si>
    <t>Hisilovirus faecicola</t>
  </si>
  <si>
    <t>Hitdovirus</t>
  </si>
  <si>
    <t>Hitdovirus faecivivens</t>
  </si>
  <si>
    <t>Hohnivirus</t>
  </si>
  <si>
    <t>Hohnivirus chthonovivens</t>
  </si>
  <si>
    <t>Hohnivirus luticola</t>
  </si>
  <si>
    <t>Hohnivirus pelovicinum</t>
  </si>
  <si>
    <t>Hohnivirus tellurivicinum</t>
  </si>
  <si>
    <t>Honleyivirus</t>
  </si>
  <si>
    <t>Honleyivirus edaphohabitans</t>
  </si>
  <si>
    <t>Honleyivirus faecihabitans</t>
  </si>
  <si>
    <t>Honolovirus</t>
  </si>
  <si>
    <t>Honolovirus asiocola</t>
  </si>
  <si>
    <t>Hudnivirus</t>
  </si>
  <si>
    <t>Hudnivirus fundenecus</t>
  </si>
  <si>
    <t>Huhnivirus</t>
  </si>
  <si>
    <t>Huhnivirus chthonovicinum</t>
  </si>
  <si>
    <t>Huhnuvirus</t>
  </si>
  <si>
    <t>Huhnuvirus solihabitans</t>
  </si>
  <si>
    <t>Hurlivirus</t>
  </si>
  <si>
    <t>Hurlivirus arvihabitans</t>
  </si>
  <si>
    <t>Hurlivirus geovivens</t>
  </si>
  <si>
    <t>Hurlivirus radicivicinum</t>
  </si>
  <si>
    <t>Hurlivirus segetivivens</t>
  </si>
  <si>
    <t>Icumivirus arvadaptatum</t>
  </si>
  <si>
    <t>Icumivirus chorocola</t>
  </si>
  <si>
    <t>Icumivirus edaphohabitans</t>
  </si>
  <si>
    <t>Idlucavirus</t>
  </si>
  <si>
    <t>Idlucavirus luticola</t>
  </si>
  <si>
    <t>Jiesduavirus dinebricola</t>
  </si>
  <si>
    <t>Jupbevirus lutivivens</t>
  </si>
  <si>
    <t>Jupbevirus terricola</t>
  </si>
  <si>
    <t>Keghovirus dinebrihabitans</t>
  </si>
  <si>
    <t>Keghovirus lutadaptatum</t>
  </si>
  <si>
    <t>Keghovirus lutivicinum</t>
  </si>
  <si>
    <t>Keghovirus pedenecus</t>
  </si>
  <si>
    <t>Keghovirus terrenecus</t>
  </si>
  <si>
    <t>Kehmevirus defluviicola</t>
  </si>
  <si>
    <t>Kehrevirus</t>
  </si>
  <si>
    <t>Kehrevirus terricola</t>
  </si>
  <si>
    <t>Kinehtovirus</t>
  </si>
  <si>
    <t>Kinehtovirus humivivens</t>
  </si>
  <si>
    <t>Kinolwovirus</t>
  </si>
  <si>
    <t>Kinolwovirus messenecus</t>
  </si>
  <si>
    <t>Kongskuvirus</t>
  </si>
  <si>
    <t>Kongskuvirus limicola</t>
  </si>
  <si>
    <t>Kongskuvirus solivivens</t>
  </si>
  <si>
    <t>Konwavirus</t>
  </si>
  <si>
    <t>Konwavirus geoadaptatum</t>
  </si>
  <si>
    <t>Koteshevirus</t>
  </si>
  <si>
    <t>Koteshevirus agrivicinum</t>
  </si>
  <si>
    <t>Koteshevirus allodinebrenecus</t>
  </si>
  <si>
    <t>Koteshevirus allodinebricola</t>
  </si>
  <si>
    <t>Koteshevirus arvenecus</t>
  </si>
  <si>
    <t>Koteshevirus arvicola</t>
  </si>
  <si>
    <t>Koteshevirus arvivicinum</t>
  </si>
  <si>
    <t>Koteshevirus arvivivens</t>
  </si>
  <si>
    <t>Koteshevirus asiadaptatum</t>
  </si>
  <si>
    <t>Koteshevirus asienecus</t>
  </si>
  <si>
    <t>Koteshevirus asiovivens</t>
  </si>
  <si>
    <t>Koteshevirus caenihabitans</t>
  </si>
  <si>
    <t>Koteshevirus chorovicinum</t>
  </si>
  <si>
    <t>Koteshevirus chorovivens</t>
  </si>
  <si>
    <t>Koteshevirus chthonovivens</t>
  </si>
  <si>
    <t>Koteshevirus dinebrenecus</t>
  </si>
  <si>
    <t>Koteshevirus dinebricola</t>
  </si>
  <si>
    <t>Koteshevirus dinebrivicinum</t>
  </si>
  <si>
    <t>Koteshevirus edaphadaptatum</t>
  </si>
  <si>
    <t>Koteshevirus edaphenecus</t>
  </si>
  <si>
    <t>Koteshevirus edaphocola</t>
  </si>
  <si>
    <t>Koteshevirus edaphohabitans</t>
  </si>
  <si>
    <t>Koteshevirus edaphovicinum</t>
  </si>
  <si>
    <t>Koteshevirus faecivivens</t>
  </si>
  <si>
    <t>Koteshevirus geoadaptatum</t>
  </si>
  <si>
    <t>Koteshevirus graminiscola</t>
  </si>
  <si>
    <t>Koteshevirus leersiihabitans</t>
  </si>
  <si>
    <t>Koteshevirus limicola</t>
  </si>
  <si>
    <t>Koteshevirus limivivens</t>
  </si>
  <si>
    <t>Koteshevirus lutadaptatum</t>
  </si>
  <si>
    <t>Koteshevirus luticola</t>
  </si>
  <si>
    <t>Koteshevirus messicola</t>
  </si>
  <si>
    <t>Koteshevirus neoarvicola</t>
  </si>
  <si>
    <t>Koteshevirus neoarvivicinum</t>
  </si>
  <si>
    <t>Koteshevirus neoasiovivens</t>
  </si>
  <si>
    <t>Koteshevirus neoedaphocola</t>
  </si>
  <si>
    <t>Koteshevirus pelovivens</t>
  </si>
  <si>
    <t>Koteshevirus radicihabitans</t>
  </si>
  <si>
    <t>Koteshevirus radicivicinum</t>
  </si>
  <si>
    <t>Koteshevirus segeticola</t>
  </si>
  <si>
    <t>Koteshevirus segetivicinum</t>
  </si>
  <si>
    <t>Koteshevirus solicola</t>
  </si>
  <si>
    <t>Koteshevirus solivivens</t>
  </si>
  <si>
    <t>Koteshevirus terradaptatum</t>
  </si>
  <si>
    <t>Koteshevirus terrivivens</t>
  </si>
  <si>
    <t>Kungsnevirus</t>
  </si>
  <si>
    <t>Kungsnevirus arvadaptatum</t>
  </si>
  <si>
    <t>Kungsnevirus arvivivens</t>
  </si>
  <si>
    <t>Kungsnevirus caenihabitans</t>
  </si>
  <si>
    <t>Kungsnevirus choradaptatum</t>
  </si>
  <si>
    <t>Kungsnevirus chthonadaptatum</t>
  </si>
  <si>
    <t>Kungsnevirus dinebrihabitans</t>
  </si>
  <si>
    <t>Kungsnevirus edaphohabitans</t>
  </si>
  <si>
    <t>Kungsnevirus limihabitans</t>
  </si>
  <si>
    <t>Kungsnevirus limivivens</t>
  </si>
  <si>
    <t>Kungsnevirus peladaptatum</t>
  </si>
  <si>
    <t>Kungsnevirus segetenecus</t>
  </si>
  <si>
    <t>Kungsnevirus segeticola</t>
  </si>
  <si>
    <t>Kungsnevirus solenecus</t>
  </si>
  <si>
    <t>Kungspuvirus</t>
  </si>
  <si>
    <t>Kungspuvirus chthonovicinum</t>
  </si>
  <si>
    <t>Lahbwuvirus</t>
  </si>
  <si>
    <t>Lahbwuvirus telluricola</t>
  </si>
  <si>
    <t>Lahdbrovirus</t>
  </si>
  <si>
    <t>Lahdbrovirus caenivivens</t>
  </si>
  <si>
    <t>Langlevirus</t>
  </si>
  <si>
    <t>Langlevirus chthonohabitans</t>
  </si>
  <si>
    <t>Leahmovirus</t>
  </si>
  <si>
    <t>Leahmovirus terrivicinum</t>
  </si>
  <si>
    <t>Lecwavirus</t>
  </si>
  <si>
    <t>Lecwavirus telluradaptatum</t>
  </si>
  <si>
    <t>Lehamuvirus</t>
  </si>
  <si>
    <t>Lehamuvirus humadaptatum</t>
  </si>
  <si>
    <t>Lighthovirus</t>
  </si>
  <si>
    <t>Lighthovirus solihabitans</t>
  </si>
  <si>
    <t>Lighthovirus tellurivicinum</t>
  </si>
  <si>
    <t>Lihdtlovirus</t>
  </si>
  <si>
    <t>Lihdtlovirus solihabitans</t>
  </si>
  <si>
    <t>Lihtdlivirus</t>
  </si>
  <si>
    <t>Lihtdlivirus caenihabitans</t>
  </si>
  <si>
    <t>Lihtdlivirus edaphenecus</t>
  </si>
  <si>
    <t>Lihtdlivirus edaphovicinum</t>
  </si>
  <si>
    <t>Lihtdlivirus geovicinum</t>
  </si>
  <si>
    <t>Litdlevirus</t>
  </si>
  <si>
    <t>Litdlevirus arvicola</t>
  </si>
  <si>
    <t>Litdlevirus humivivens</t>
  </si>
  <si>
    <t>Loamavirus</t>
  </si>
  <si>
    <t>Loamavirus messadaptatum</t>
  </si>
  <si>
    <t>Loghdhuvirus</t>
  </si>
  <si>
    <t>Loghdhuvirus borborovicinum</t>
  </si>
  <si>
    <t>Lohngkovirus</t>
  </si>
  <si>
    <t>Lohngkovirus allodinebrihabitans</t>
  </si>
  <si>
    <t>Lohngkovirus borborovicinum</t>
  </si>
  <si>
    <t>Lohngkovirus borborovivens</t>
  </si>
  <si>
    <t>Lohngkovirus caenadaptatum</t>
  </si>
  <si>
    <t>Lohngkovirus caenenecus</t>
  </si>
  <si>
    <t>Lohngkovirus caenicola</t>
  </si>
  <si>
    <t>Lohngkovirus chthonocola</t>
  </si>
  <si>
    <t>Lohngkovirus defluviicola</t>
  </si>
  <si>
    <t>Lohngkovirus dinebrihabitans</t>
  </si>
  <si>
    <t>Lohngkovirus dinebrivivens</t>
  </si>
  <si>
    <t>Lohngkovirus faecihabitans</t>
  </si>
  <si>
    <t>Lohngkovirus fundivivens</t>
  </si>
  <si>
    <t>Lohngkovirus humadaptatum</t>
  </si>
  <si>
    <t>Lohngkovirus limenecus</t>
  </si>
  <si>
    <t>Lohngkovirus lutivicinum</t>
  </si>
  <si>
    <t>Lohngkovirus lutivivens</t>
  </si>
  <si>
    <t>Lohngkovirus segetenecus</t>
  </si>
  <si>
    <t>Lohngkovirus tellurivicinum</t>
  </si>
  <si>
    <t>Lohwevirus</t>
  </si>
  <si>
    <t>Lohwevirus arvivicinum</t>
  </si>
  <si>
    <t>Lohwovirus</t>
  </si>
  <si>
    <t>Lohwovirus chorohabitans</t>
  </si>
  <si>
    <t>Longmavirus</t>
  </si>
  <si>
    <t>Longmavirus caenihabitans</t>
  </si>
  <si>
    <t>Longmavirus cypericola</t>
  </si>
  <si>
    <t>Longmavirus dinebrenecus</t>
  </si>
  <si>
    <t>Longmavirus humivicinum</t>
  </si>
  <si>
    <t>Longmavirus luticola</t>
  </si>
  <si>
    <t>Longmavirus messihabitans</t>
  </si>
  <si>
    <t>Longovirus</t>
  </si>
  <si>
    <t>Longovirus asiadaptatum</t>
  </si>
  <si>
    <t>Longovirus caenihabitans</t>
  </si>
  <si>
    <t>Longovirus dinebrenecus</t>
  </si>
  <si>
    <t>Longovirus edaphocola</t>
  </si>
  <si>
    <t>Longovirus humicola</t>
  </si>
  <si>
    <t>Longovirus limenecus</t>
  </si>
  <si>
    <t>Longovirus messicola</t>
  </si>
  <si>
    <t>Longovirus pedenecus</t>
  </si>
  <si>
    <t>Longovirus pelovicinum</t>
  </si>
  <si>
    <t>Longovirus pelovivens</t>
  </si>
  <si>
    <t>Longovirus solihabitans</t>
  </si>
  <si>
    <t>Longovirus tellurivivens</t>
  </si>
  <si>
    <t>Lowerquvirus</t>
  </si>
  <si>
    <t>Lowerquvirus solicola</t>
  </si>
  <si>
    <t>Lowsuvirus</t>
  </si>
  <si>
    <t>Lowsuvirus agradaptatum</t>
  </si>
  <si>
    <t>Lowsuvirus geocola</t>
  </si>
  <si>
    <t>Lowsuvirus geovicinum</t>
  </si>
  <si>
    <t>Lowsuvirus geovivens</t>
  </si>
  <si>
    <t>Lowsuvirus humivivens</t>
  </si>
  <si>
    <t>Lowsuvirus segetadaptatum</t>
  </si>
  <si>
    <t>Lowsuvirus solivivens</t>
  </si>
  <si>
    <t>Lowsuvirus telluricola</t>
  </si>
  <si>
    <t>Loxlovirus</t>
  </si>
  <si>
    <t>Loxlovirus humihabitans</t>
  </si>
  <si>
    <t>Ludtlevirus</t>
  </si>
  <si>
    <t>Ludtlevirus pelovicinum</t>
  </si>
  <si>
    <t>Ludtlovirus</t>
  </si>
  <si>
    <t>Ludtlovirus messadaptatum</t>
  </si>
  <si>
    <t>Ludtovirus</t>
  </si>
  <si>
    <t>Ludtovirus agrivivens</t>
  </si>
  <si>
    <t>Ludtovirus chorocola</t>
  </si>
  <si>
    <t>Ludtovirus graminiscola</t>
  </si>
  <si>
    <t>Ludtovirus humicola</t>
  </si>
  <si>
    <t>Ludtovirus pedovicinum</t>
  </si>
  <si>
    <t>Ludtovirus terrivicinum</t>
  </si>
  <si>
    <t>Lunjlavirus</t>
  </si>
  <si>
    <t>Lunjlavirus humenecus</t>
  </si>
  <si>
    <t>Luthavirus agrivicinum</t>
  </si>
  <si>
    <t>Luthavirus arvivivens</t>
  </si>
  <si>
    <t>Luthavirus asiovivens</t>
  </si>
  <si>
    <t>Luthavirus dinebrihabitans</t>
  </si>
  <si>
    <t>Luthavirus edaphohabitans</t>
  </si>
  <si>
    <t>Luthavirus messenecus</t>
  </si>
  <si>
    <t>Luthavirus pelohabitans</t>
  </si>
  <si>
    <t>Luthavirus terrenecus</t>
  </si>
  <si>
    <t>Lyejrivirus</t>
  </si>
  <si>
    <t>Lyejrivirus arvenecus</t>
  </si>
  <si>
    <t>Lyejrivirus asienecus</t>
  </si>
  <si>
    <t>Lyejrivirus chorovicinum</t>
  </si>
  <si>
    <t>Lyejrivirus edaphadaptatum</t>
  </si>
  <si>
    <t>Lyejrivirus pedadaptatum</t>
  </si>
  <si>
    <t>Lyejrivirus pedohabitans</t>
  </si>
  <si>
    <t>Lyejrivirus peladaptatum</t>
  </si>
  <si>
    <t>Lyejrivirus terradaptatum</t>
  </si>
  <si>
    <t>Mahqeavirus dinebradaptatum</t>
  </si>
  <si>
    <t>Mahqeavirus dinebrenecus</t>
  </si>
  <si>
    <t>Mahqeavirus dinebrivivens</t>
  </si>
  <si>
    <t>Mahqeavirus humadaptatum</t>
  </si>
  <si>
    <t>Mahrtovirus</t>
  </si>
  <si>
    <t>Mahrtovirus chthonohabitans</t>
  </si>
  <si>
    <t>Mahrtovirus limivicinum</t>
  </si>
  <si>
    <t>Mahrtovirus pelocola</t>
  </si>
  <si>
    <t>Martovirus</t>
  </si>
  <si>
    <t>Martovirus solicola</t>
  </si>
  <si>
    <t>Maxstovirus</t>
  </si>
  <si>
    <t>Maxstovirus chorenecus</t>
  </si>
  <si>
    <t>Maxstovirus chthonocola</t>
  </si>
  <si>
    <t>Maxstovirus geoadaptatum</t>
  </si>
  <si>
    <t>Mehraxmevirus arvadaptatum</t>
  </si>
  <si>
    <t>Mehraxmevirus arvivicinum</t>
  </si>
  <si>
    <t>Mehraxmevirus caenivivens</t>
  </si>
  <si>
    <t>Mehraxmevirus messicola</t>
  </si>
  <si>
    <t>Mehraxmevirus neopedohabitans</t>
  </si>
  <si>
    <t>Mehrevirus</t>
  </si>
  <si>
    <t>Mehrevirus radicivivens</t>
  </si>
  <si>
    <t>Merlkluvirus</t>
  </si>
  <si>
    <t>Merlkluvirus pelovicinum</t>
  </si>
  <si>
    <t>Merlkluvirus terricola</t>
  </si>
  <si>
    <t>Mihkrovirus agradaptatum</t>
  </si>
  <si>
    <t>Mihkrovirus agrenecus</t>
  </si>
  <si>
    <t>Mihkrovirus agrivivens</t>
  </si>
  <si>
    <t>Mihkrovirus arvenecus</t>
  </si>
  <si>
    <t>Mihkrovirus caenicola</t>
  </si>
  <si>
    <t>Mihkrovirus choradaptatum</t>
  </si>
  <si>
    <t>Mihkrovirus chthonadaptatum</t>
  </si>
  <si>
    <t>Mihkrovirus chthonenecus</t>
  </si>
  <si>
    <t>Mihkrovirus chthonovivens</t>
  </si>
  <si>
    <t>Mihkrovirus edaphenecus</t>
  </si>
  <si>
    <t>Mihkrovirus humicola</t>
  </si>
  <si>
    <t>Mihkrovirus limicola</t>
  </si>
  <si>
    <t>Mihkrovirus luticola</t>
  </si>
  <si>
    <t>Mihkrovirus lutihabitans</t>
  </si>
  <si>
    <t>Mihkrovirus lutivicinum</t>
  </si>
  <si>
    <t>Mihkrovirus lutivivens</t>
  </si>
  <si>
    <t>Mihkrovirus messihabitans</t>
  </si>
  <si>
    <t>Mihkrovirus neopelenecus</t>
  </si>
  <si>
    <t>Mihkrovirus neosoladaptatum</t>
  </si>
  <si>
    <t>Mihkrovirus paspalivicinum</t>
  </si>
  <si>
    <t>Mihkrovirus plasmoparicola</t>
  </si>
  <si>
    <t>Mihkrovirus radicihabitans</t>
  </si>
  <si>
    <t>Mihkrovirus radicivivens</t>
  </si>
  <si>
    <t>Mihkrovirus segetadaptatum</t>
  </si>
  <si>
    <t>Mihkrovirus segetihabitans</t>
  </si>
  <si>
    <t>Mihkrovirus tellurivivens</t>
  </si>
  <si>
    <t>Mihkrovirus terrenecus</t>
  </si>
  <si>
    <t>Mihkrovirus terricola</t>
  </si>
  <si>
    <t>Mihkrovirus terrivicinum</t>
  </si>
  <si>
    <t>Mihkrovirus titanodulivivens</t>
  </si>
  <si>
    <t>Mihkrovirus vitisadaptatum</t>
  </si>
  <si>
    <t>Mincetevirus</t>
  </si>
  <si>
    <t>Mincetevirus arvadaptatum</t>
  </si>
  <si>
    <t>Mincetevirus pelocola</t>
  </si>
  <si>
    <t>Mintuvirus borborovivens</t>
  </si>
  <si>
    <t>Mintuvirus limivicinum</t>
  </si>
  <si>
    <t>Mintuvirus pelovicinum</t>
  </si>
  <si>
    <t>Mohredovirus</t>
  </si>
  <si>
    <t>Mohredovirus limivivens</t>
  </si>
  <si>
    <t>Molcatevirus</t>
  </si>
  <si>
    <t>Molcatevirus pedocola</t>
  </si>
  <si>
    <t>Molcatevirus pelocola</t>
  </si>
  <si>
    <t>Molvevirus</t>
  </si>
  <si>
    <t>Molvevirus pelenecus</t>
  </si>
  <si>
    <t>Monkskivirus</t>
  </si>
  <si>
    <t>Monkskivirus chthonovivens</t>
  </si>
  <si>
    <t>Monkskivirus pedovicinum</t>
  </si>
  <si>
    <t>Moxhuvirus</t>
  </si>
  <si>
    <t>Moxhuvirus edaphenecus</t>
  </si>
  <si>
    <t>Mutledovirus</t>
  </si>
  <si>
    <t>Mutledovirus asiovicinum</t>
  </si>
  <si>
    <t>Mutledovirus caenadaptatum</t>
  </si>
  <si>
    <t>Mutledovirus chorenecus</t>
  </si>
  <si>
    <t>Mutledovirus telluradaptatum</t>
  </si>
  <si>
    <t>Naneatavirus</t>
  </si>
  <si>
    <t>Naneatavirus segetadaptatum</t>
  </si>
  <si>
    <t>Napdanuvirus</t>
  </si>
  <si>
    <t>Napdanuvirus chthonocola</t>
  </si>
  <si>
    <t>Nedhivirus</t>
  </si>
  <si>
    <t>Nedhivirus arvenecus</t>
  </si>
  <si>
    <t>Nehwtovirus</t>
  </si>
  <si>
    <t>Nehwtovirus borborohabitans</t>
  </si>
  <si>
    <t>Nehwtovirus caenivivens</t>
  </si>
  <si>
    <t>Nehwtovirus chorovicinum</t>
  </si>
  <si>
    <t>Nehwtovirus limadaptatum</t>
  </si>
  <si>
    <t>Nehwtovirus solenecus</t>
  </si>
  <si>
    <t>Nehwtovirus terricola</t>
  </si>
  <si>
    <t>Newbovirus</t>
  </si>
  <si>
    <t>Newbovirus messivivens</t>
  </si>
  <si>
    <t>Newbovirus pelocola</t>
  </si>
  <si>
    <t>Newpuvirus</t>
  </si>
  <si>
    <t>Newpuvirus terrivicinum</t>
  </si>
  <si>
    <t>Niwnhavirus</t>
  </si>
  <si>
    <t>Niwnhavirus messivicinum</t>
  </si>
  <si>
    <t>Niwtovirus</t>
  </si>
  <si>
    <t>Niwtovirus choradaptatum</t>
  </si>
  <si>
    <t>Nohmivirus</t>
  </si>
  <si>
    <t>Nohmivirus arvicola</t>
  </si>
  <si>
    <t>Nohmivirus arvihabitans</t>
  </si>
  <si>
    <t>Nohmivirus messenecus</t>
  </si>
  <si>
    <t>Nohmivirus radicivivens</t>
  </si>
  <si>
    <t>Nohrdovirus</t>
  </si>
  <si>
    <t>Nohrdovirus chorenecus</t>
  </si>
  <si>
    <t>Nohrdovirus chthonocola</t>
  </si>
  <si>
    <t>Nohrdovirus limihabitans</t>
  </si>
  <si>
    <t>Nohrdovirus segetenecus</t>
  </si>
  <si>
    <t>Nohrdovirus soladaptatum</t>
  </si>
  <si>
    <t>Northevirus</t>
  </si>
  <si>
    <t>Northevirus chthonadaptatum</t>
  </si>
  <si>
    <t>Northevirus limihabitans</t>
  </si>
  <si>
    <t>Northevirus limivivens</t>
  </si>
  <si>
    <t>Oldperovirus</t>
  </si>
  <si>
    <t>Oldperovirus radicihabitans</t>
  </si>
  <si>
    <t>Overwhuvirus</t>
  </si>
  <si>
    <t>Overwhuvirus caenihabitans</t>
  </si>
  <si>
    <t>Owenocuvirus choradaptatum</t>
  </si>
  <si>
    <t>Owenocuvirus chthonocola</t>
  </si>
  <si>
    <t>Oxychlovirus arvenecus</t>
  </si>
  <si>
    <t>Oxychlovirus edaphenecus</t>
  </si>
  <si>
    <t>Oxychlovirus geoenecus</t>
  </si>
  <si>
    <t>Oxychlovirus humenecus</t>
  </si>
  <si>
    <t>Oxychlovirus humihabitans</t>
  </si>
  <si>
    <t>Oxychlovirus limadaptatum</t>
  </si>
  <si>
    <t>Oxychlovirus montisadaptatum</t>
  </si>
  <si>
    <t>Oxychlovirus pedocola</t>
  </si>
  <si>
    <t>Oxychlovirus pelocola</t>
  </si>
  <si>
    <t>Oxychlovirus tellurivicinum</t>
  </si>
  <si>
    <t>Oxychlovirus tellurivivens</t>
  </si>
  <si>
    <t>Pailtovirus</t>
  </si>
  <si>
    <t>Pailtovirus arvivivens</t>
  </si>
  <si>
    <t>Paloswovirus</t>
  </si>
  <si>
    <t>Paloswovirus lutivivens</t>
  </si>
  <si>
    <t>Pedhlovirus</t>
  </si>
  <si>
    <t>Pedhlovirus caenenecus</t>
  </si>
  <si>
    <t>Pepevirus faecenecus</t>
  </si>
  <si>
    <t>Pepevirus faecicola</t>
  </si>
  <si>
    <t>Pepevirus faecihabitans</t>
  </si>
  <si>
    <t>Pepevirus faecivicinum</t>
  </si>
  <si>
    <t>Pepevirus faecivivens</t>
  </si>
  <si>
    <t>Perrunavirus faecadaptatum</t>
  </si>
  <si>
    <t>Perrunavirus faecihabitans</t>
  </si>
  <si>
    <t>Perrunavirus faecivivens</t>
  </si>
  <si>
    <t>Perrunavirus radicicola</t>
  </si>
  <si>
    <t>Phobpsivirus neoagradaptatum</t>
  </si>
  <si>
    <t>Phobpsivirus pedadaptatum</t>
  </si>
  <si>
    <t>Phobpsivirus pedovicinum</t>
  </si>
  <si>
    <t>Phobpsivirus pedovivens</t>
  </si>
  <si>
    <t>Phobpsivirus segeticola</t>
  </si>
  <si>
    <t>Piceduvirus</t>
  </si>
  <si>
    <t>Piceduvirus segetivivens</t>
  </si>
  <si>
    <t>Pihlevirus</t>
  </si>
  <si>
    <t>Pihlevirus pelenecus</t>
  </si>
  <si>
    <t>Pilordavirus</t>
  </si>
  <si>
    <t>Pilordavirus caenivivens</t>
  </si>
  <si>
    <t>Piponevirus agradaptatum</t>
  </si>
  <si>
    <t>Piponevirus soladaptatum</t>
  </si>
  <si>
    <t>Pohlevirus edaphenecus</t>
  </si>
  <si>
    <t>Pohlevirus limihabitans</t>
  </si>
  <si>
    <t>Pohlevirus messivivens</t>
  </si>
  <si>
    <t>Pohlevirus neoarvadaptatum</t>
  </si>
  <si>
    <t>Pohlevirus pedovivens</t>
  </si>
  <si>
    <t>Poncivirus caenihabitans</t>
  </si>
  <si>
    <t>Poncivirus pelenecus</t>
  </si>
  <si>
    <t>Poncivirus terricola</t>
  </si>
  <si>
    <t>Prihavirus</t>
  </si>
  <si>
    <t>Prihavirus agrivicinum</t>
  </si>
  <si>
    <t>Prihavirus asiadaptatum</t>
  </si>
  <si>
    <t>Prihavirus edaphocola</t>
  </si>
  <si>
    <t>Prihavirus edaphovivens</t>
  </si>
  <si>
    <t>Prihavirus segeticola</t>
  </si>
  <si>
    <t>Prihovirus</t>
  </si>
  <si>
    <t>Prihovirus limivicinum</t>
  </si>
  <si>
    <t>Prisdovirus</t>
  </si>
  <si>
    <t>Prisdovirus caenihabitans</t>
  </si>
  <si>
    <t>Prosdovirus</t>
  </si>
  <si>
    <t>Prosdovirus pedohabitans</t>
  </si>
  <si>
    <t>Pruncivirus</t>
  </si>
  <si>
    <t>Pruncivirus chthonohabitans</t>
  </si>
  <si>
    <t>Psimevirus choradaptatum</t>
  </si>
  <si>
    <t>Psimevirus segetivivens</t>
  </si>
  <si>
    <t>Punlevirus</t>
  </si>
  <si>
    <t>Punlevirus solihabitans</t>
  </si>
  <si>
    <t>Qubevirus escherichienecus</t>
  </si>
  <si>
    <t>Quihndavirus</t>
  </si>
  <si>
    <t>Quihndavirus agradaptatum</t>
  </si>
  <si>
    <t>Quihndavirus edaphocola</t>
  </si>
  <si>
    <t>Quihndavirus edaphohabitans</t>
  </si>
  <si>
    <t>Quihndavirus radicivivens</t>
  </si>
  <si>
    <t>Quihndavirus solicola</t>
  </si>
  <si>
    <t>Quihndavirus telluricola</t>
  </si>
  <si>
    <t>Radbaivirus agricola</t>
  </si>
  <si>
    <t>Radbaivirus agrivicinum</t>
  </si>
  <si>
    <t>Radbaivirus agrivivens</t>
  </si>
  <si>
    <t>Radbaivirus arvadaptatum</t>
  </si>
  <si>
    <t>Radbaivirus arvenecus</t>
  </si>
  <si>
    <t>Radbaivirus arvicola</t>
  </si>
  <si>
    <t>Radbaivirus asiadaptatum</t>
  </si>
  <si>
    <t>Radbaivirus asiocola</t>
  </si>
  <si>
    <t>Radbaivirus asiovicinum</t>
  </si>
  <si>
    <t>Radbaivirus asiovivens</t>
  </si>
  <si>
    <t>Radbaivirus chorocola</t>
  </si>
  <si>
    <t>Radbaivirus edaphadaptatum</t>
  </si>
  <si>
    <t>Radbaivirus edaphenecus</t>
  </si>
  <si>
    <t>Radbaivirus edaphocola</t>
  </si>
  <si>
    <t>Radbaivirus edaphohabitans</t>
  </si>
  <si>
    <t>Radbaivirus edaphovicinum</t>
  </si>
  <si>
    <t>Radbaivirus edaphovivens</t>
  </si>
  <si>
    <t>Radbaivirus graminiscola</t>
  </si>
  <si>
    <t>Radbaivirus humenecus</t>
  </si>
  <si>
    <t>Radbaivirus humivivens</t>
  </si>
  <si>
    <t>Radbaivirus limivicinum</t>
  </si>
  <si>
    <t>Radbaivirus lutadaptatum</t>
  </si>
  <si>
    <t>Radbaivirus messadaptatum</t>
  </si>
  <si>
    <t>Radbaivirus messihabitans</t>
  </si>
  <si>
    <t>Radbaivirus neoedaphocola</t>
  </si>
  <si>
    <t>Radbaivirus pedohabitans</t>
  </si>
  <si>
    <t>Radbaivirus pedovicinum</t>
  </si>
  <si>
    <t>Radbaivirus pedovivens</t>
  </si>
  <si>
    <t>Radbaivirus segetadaptatum</t>
  </si>
  <si>
    <t>Radbaivirus segetivicinum</t>
  </si>
  <si>
    <t>Radbaivirus soladaptatum</t>
  </si>
  <si>
    <t>Radbaivirus solivivens</t>
  </si>
  <si>
    <t>Rahdfavirus</t>
  </si>
  <si>
    <t>Rahdfavirus chthonovivens</t>
  </si>
  <si>
    <t>Ratlevirus</t>
  </si>
  <si>
    <t>Ratlevirus chthonenecus</t>
  </si>
  <si>
    <t>Redbauvirus</t>
  </si>
  <si>
    <t>Redbauvirus asiadaptatum</t>
  </si>
  <si>
    <t>Redbauvirus radicihabitans</t>
  </si>
  <si>
    <t>Ridwavirus</t>
  </si>
  <si>
    <t>Ridwavirus caenihabitans</t>
  </si>
  <si>
    <t>Rytunovirus</t>
  </si>
  <si>
    <t>Rytunovirus limihabitans</t>
  </si>
  <si>
    <t>Sahwbrivirus</t>
  </si>
  <si>
    <t>Sahwbrivirus humenecus</t>
  </si>
  <si>
    <t>Sambuevirus</t>
  </si>
  <si>
    <t>Sambuevirus dinebrivicinum</t>
  </si>
  <si>
    <t>Sambuevirus lutenecus</t>
  </si>
  <si>
    <t>Saudhavirus</t>
  </si>
  <si>
    <t>Saudhavirus asiohabitans</t>
  </si>
  <si>
    <t>Sbehrnivirus</t>
  </si>
  <si>
    <t>Sbehrnivirus humicola</t>
  </si>
  <si>
    <t>Sdadlevirus</t>
  </si>
  <si>
    <t>Sdadlevirus messihabitans</t>
  </si>
  <si>
    <t>Sdoctuvirus</t>
  </si>
  <si>
    <t>Sdoctuvirus caenenecus</t>
  </si>
  <si>
    <t>Sdohnivirus</t>
  </si>
  <si>
    <t>Sdohnivirus edaphovicinum</t>
  </si>
  <si>
    <t>Sdredfovirus</t>
  </si>
  <si>
    <t>Sdredfovirus chorenecus</t>
  </si>
  <si>
    <t>Sdredfovirus limihabitans</t>
  </si>
  <si>
    <t>Sdredfovirus limivivens</t>
  </si>
  <si>
    <t>Sdredtuvirus</t>
  </si>
  <si>
    <t>Sdredtuvirus pelovivens</t>
  </si>
  <si>
    <t>Sdretovirus</t>
  </si>
  <si>
    <t>Sdretovirus segetadaptatum</t>
  </si>
  <si>
    <t>Seckivirus</t>
  </si>
  <si>
    <t>Seckivirus asiadaptatum</t>
  </si>
  <si>
    <t>Selfuvirus</t>
  </si>
  <si>
    <t>Selfuvirus asienecus</t>
  </si>
  <si>
    <t>Selfuvirus asiohabitans</t>
  </si>
  <si>
    <t>Shehrpovirus</t>
  </si>
  <si>
    <t>Shehrpovirus terrivicinum</t>
  </si>
  <si>
    <t>Shestuvirus</t>
  </si>
  <si>
    <t>Shestuvirus messenecus</t>
  </si>
  <si>
    <t>Shestuvirus radicicola</t>
  </si>
  <si>
    <t>Shihovirus arvihabitans</t>
  </si>
  <si>
    <t>Shihovirus edaphohabitans</t>
  </si>
  <si>
    <t>Shihovirus edaphovivens</t>
  </si>
  <si>
    <t>Shihovirus humihabitans</t>
  </si>
  <si>
    <t>Shihovirus paspalenecus</t>
  </si>
  <si>
    <t>Shihovirus segetivivens</t>
  </si>
  <si>
    <t>Shipsduvirus</t>
  </si>
  <si>
    <t>Shipsduvirus humihabitans</t>
  </si>
  <si>
    <t>Shodtevirus</t>
  </si>
  <si>
    <t>Shodtevirus pelocola</t>
  </si>
  <si>
    <t>Shrewlivirus</t>
  </si>
  <si>
    <t>Shrewlivirus pedocola</t>
  </si>
  <si>
    <t>Shuldovirus</t>
  </si>
  <si>
    <t>Shuldovirus pedovivens</t>
  </si>
  <si>
    <t>Shutevirus</t>
  </si>
  <si>
    <t>Shutevirus asiohabitans</t>
  </si>
  <si>
    <t>Shutovirus</t>
  </si>
  <si>
    <t>Shutovirus agrenecus</t>
  </si>
  <si>
    <t>Shutovirus agrihabitans</t>
  </si>
  <si>
    <t>Shutovirus arvicola</t>
  </si>
  <si>
    <t>Shutovirus asiovicinum</t>
  </si>
  <si>
    <t>Shutovirus geocola</t>
  </si>
  <si>
    <t>Sincthavirus geoenecus</t>
  </si>
  <si>
    <t>Snitdevirus</t>
  </si>
  <si>
    <t>Snitdevirus edaphenecus</t>
  </si>
  <si>
    <t>Snitdevirus edaphocola</t>
  </si>
  <si>
    <t>Snitdevirus montisenecus</t>
  </si>
  <si>
    <t>Snitdevirus pelenecus</t>
  </si>
  <si>
    <t>Stanolovirus</t>
  </si>
  <si>
    <t>Stanolovirus arvicola</t>
  </si>
  <si>
    <t>Stanolovirus chorenecus</t>
  </si>
  <si>
    <t>Stanolovirus chorovicinum</t>
  </si>
  <si>
    <t>Stehlmavirus terrenecus</t>
  </si>
  <si>
    <t>Sterodovirus</t>
  </si>
  <si>
    <t>Sterodovirus geoadaptatum</t>
  </si>
  <si>
    <t>Stoartovirus</t>
  </si>
  <si>
    <t>Stoartovirus segetadaptatum</t>
  </si>
  <si>
    <t>Stretavirus</t>
  </si>
  <si>
    <t>Stretavirus messadaptatum</t>
  </si>
  <si>
    <t>Stritovirus</t>
  </si>
  <si>
    <t>Stritovirus caenicola</t>
  </si>
  <si>
    <t>Stritovirus faecihabitans</t>
  </si>
  <si>
    <t>Stritovirus fundicola</t>
  </si>
  <si>
    <t>Stritovirus humivicinum</t>
  </si>
  <si>
    <t>Stritovirus radicicola</t>
  </si>
  <si>
    <t>Stritovirus telluradaptatum</t>
  </si>
  <si>
    <t>Suhtovirus</t>
  </si>
  <si>
    <t>Suhtovirus chorovivens</t>
  </si>
  <si>
    <t>Tapikevirus solicola</t>
  </si>
  <si>
    <t>Tapikevirus terrivivens</t>
  </si>
  <si>
    <t>Tehnexuvirus chorovicinum</t>
  </si>
  <si>
    <t>Tehnexuvirus chthonohabitans</t>
  </si>
  <si>
    <t>Tehnexuvirus segetivivens</t>
  </si>
  <si>
    <t>Tehnexuvirus solenecus</t>
  </si>
  <si>
    <t>Temblevirus</t>
  </si>
  <si>
    <t>Temblevirus agrivivens</t>
  </si>
  <si>
    <t>Temblevirus asiadaptatum</t>
  </si>
  <si>
    <t>Temblevirus edaphohabitans</t>
  </si>
  <si>
    <t>Temblevirus lutadaptatum</t>
  </si>
  <si>
    <t>Templevirus</t>
  </si>
  <si>
    <t>Templevirus tellurivivens</t>
  </si>
  <si>
    <t>Templovirus</t>
  </si>
  <si>
    <t>Templovirus agradaptatum</t>
  </si>
  <si>
    <t>Tenwovirus</t>
  </si>
  <si>
    <t>Tenwovirus luticola</t>
  </si>
  <si>
    <t>Tenwovirus pelohabitans</t>
  </si>
  <si>
    <t>Thurlavirus</t>
  </si>
  <si>
    <t>Thurlavirus asiovicinum</t>
  </si>
  <si>
    <t>Thurlavirus geocola</t>
  </si>
  <si>
    <t>Thurlavirus lutenecus</t>
  </si>
  <si>
    <t>Todtivirus</t>
  </si>
  <si>
    <t>Todtivirus segetivicinum</t>
  </si>
  <si>
    <t>Tohvovirus humihabitans</t>
  </si>
  <si>
    <t>Tohvovirus radicivivens</t>
  </si>
  <si>
    <t>Tohvovirus segetadaptatum</t>
  </si>
  <si>
    <t>Tohvovirus segetenecus</t>
  </si>
  <si>
    <t>Trotivirus</t>
  </si>
  <si>
    <t>Trotivirus asiovicinum</t>
  </si>
  <si>
    <t>Trotivirus dinebrihabitans</t>
  </si>
  <si>
    <t>Trotivirus fundivicinum</t>
  </si>
  <si>
    <t>Trotivirus humadaptatum</t>
  </si>
  <si>
    <t>Trotivirus isoasiovicinum</t>
  </si>
  <si>
    <t>Trotivirus neoasiovicinum</t>
  </si>
  <si>
    <t>Trotivirus neosoladaptatum</t>
  </si>
  <si>
    <t>Trotivirus pedenecus</t>
  </si>
  <si>
    <t>Trotivirus pelocola</t>
  </si>
  <si>
    <t>Trotivirus soladaptatum</t>
  </si>
  <si>
    <t>Trucevirus choradaptatum</t>
  </si>
  <si>
    <t>Trucevirus pedovivens</t>
  </si>
  <si>
    <t>Tudmivirus</t>
  </si>
  <si>
    <t>Tudmivirus arvihabitans</t>
  </si>
  <si>
    <t>Tysohivirus</t>
  </si>
  <si>
    <t>Tysohivirus limenecus</t>
  </si>
  <si>
    <t>Ulinhavirus</t>
  </si>
  <si>
    <t>Ulinhavirus borborohabitans</t>
  </si>
  <si>
    <t>Ulinhavirus borborovicinum</t>
  </si>
  <si>
    <t>Ulinhavirus borborovivens</t>
  </si>
  <si>
    <t>Upborqevirus</t>
  </si>
  <si>
    <t>Upborqevirus asiovicinum</t>
  </si>
  <si>
    <t>Upborqevirus asiovivens</t>
  </si>
  <si>
    <t>Vohsuavirus agrenecus</t>
  </si>
  <si>
    <t>Vohsuavirus asiocola</t>
  </si>
  <si>
    <t>Vohsuavirus caenihabitans</t>
  </si>
  <si>
    <t>Vohsuavirus dinebradaptatum</t>
  </si>
  <si>
    <t>Vohsuavirus dinebrivivens</t>
  </si>
  <si>
    <t>Vohsuavirus edaphocola</t>
  </si>
  <si>
    <t>Vohsuavirus geovicinum</t>
  </si>
  <si>
    <t>Vohsuavirus geovivens</t>
  </si>
  <si>
    <t>Vohsuavirus humihabitans</t>
  </si>
  <si>
    <t>Vohsuavirus limivivens</t>
  </si>
  <si>
    <t>Vohsuavirus messivivens</t>
  </si>
  <si>
    <t>Vohsuavirus pedocola</t>
  </si>
  <si>
    <t>Vohsuavirus radicivicinum</t>
  </si>
  <si>
    <t>Vohsuavirus segeticola</t>
  </si>
  <si>
    <t>Vohsuavirus solihabitans</t>
  </si>
  <si>
    <t>Vohsuavirus telluradaptatum</t>
  </si>
  <si>
    <t>Vohsuavirus tellurivicinum</t>
  </si>
  <si>
    <t>Whietlevirus solenecus</t>
  </si>
  <si>
    <t>Yahnavirus asienecus</t>
  </si>
  <si>
    <t>Yahnavirus messicola</t>
  </si>
  <si>
    <t>Yuhrihovirus asiocola</t>
  </si>
  <si>
    <t>Yuhrihovirus chorenecus</t>
  </si>
  <si>
    <t>Yuhrihovirus chorovivens</t>
  </si>
  <si>
    <t>Yuhrihovirus edaphadaptatum</t>
  </si>
  <si>
    <t>Yuhrihovirus faecadaptatum</t>
  </si>
  <si>
    <t>Yuhrihovirus faecenecus</t>
  </si>
  <si>
    <t>Yuhrihovirus humivicinum</t>
  </si>
  <si>
    <t>Yuhrihovirus lutivicinum</t>
  </si>
  <si>
    <t>Yuhrihovirus nemorisvicinum</t>
  </si>
  <si>
    <t>Yuhrihovirus tellurenecus</t>
  </si>
  <si>
    <t>Yuhrihovirus terrivivens</t>
  </si>
  <si>
    <t>Begindovirus</t>
  </si>
  <si>
    <t>Begindovirus asiovicinum</t>
  </si>
  <si>
    <t>Duridgovirus</t>
  </si>
  <si>
    <t>Duridgovirus humadaptatum</t>
  </si>
  <si>
    <t>Duridgovirus messenecus</t>
  </si>
  <si>
    <t>Fahrmivirus faecivicinum</t>
  </si>
  <si>
    <t>Lunjuvirus</t>
  </si>
  <si>
    <t>Lunjuvirus agrivicinum</t>
  </si>
  <si>
    <t>Upirshuvirus</t>
  </si>
  <si>
    <t>Upirshuvirus tellurivivens</t>
  </si>
  <si>
    <t>Upirshuvirus terradaptatum</t>
  </si>
  <si>
    <t>Upirshuvirus terricola</t>
  </si>
  <si>
    <t>Voulevirus faecivicinum</t>
  </si>
  <si>
    <t>Wahlkovirus</t>
  </si>
  <si>
    <t>Wahlkovirus arvadaptatum</t>
  </si>
  <si>
    <t>Wahlkovirus arvihabitans</t>
  </si>
  <si>
    <t>Wahlkovirus borborenecus</t>
  </si>
  <si>
    <t>Wahlkovirus edaphadaptatum</t>
  </si>
  <si>
    <t>Wahlkovirus edaphohabitans</t>
  </si>
  <si>
    <t>Wahlkovirus messenecus</t>
  </si>
  <si>
    <t>Wahlkovirus pedenecus</t>
  </si>
  <si>
    <t>Wahlkovirus tellurihabitans</t>
  </si>
  <si>
    <t>Wahlkovirus terrenecus</t>
  </si>
  <si>
    <t>Wahpevirus</t>
  </si>
  <si>
    <t>Wahpevirus allofaecivivens</t>
  </si>
  <si>
    <t>Wahpevirus faecenecus</t>
  </si>
  <si>
    <t>Wahrwivirus</t>
  </si>
  <si>
    <t>Wahrwivirus allofaecenecus</t>
  </si>
  <si>
    <t>Wahrwivirus allofaecicola</t>
  </si>
  <si>
    <t>Wahrwivirus allofaecihabitans</t>
  </si>
  <si>
    <t>Wahrwivirus allofaecivicinum</t>
  </si>
  <si>
    <t>Wahrwivirus faecadaptatum</t>
  </si>
  <si>
    <t>Wahrwivirus faecenecus</t>
  </si>
  <si>
    <t>Wahrwivirus faecicola</t>
  </si>
  <si>
    <t>Wahrwivirus faecihabitans</t>
  </si>
  <si>
    <t>Wahrwivirus faecivivens</t>
  </si>
  <si>
    <t>Wahrwivirus nemorisadaptatum</t>
  </si>
  <si>
    <t>Wahrwivirus nemoriscola</t>
  </si>
  <si>
    <t>Wahrwivirus pseudofaecadaptatum</t>
  </si>
  <si>
    <t>Wahrwivirus pseudofaecihabitans</t>
  </si>
  <si>
    <t>Wahtivirus</t>
  </si>
  <si>
    <t>Wahtivirus allofaecenecus</t>
  </si>
  <si>
    <t>Wahtivirus pseudofaecenecus</t>
  </si>
  <si>
    <t>Warmivirus</t>
  </si>
  <si>
    <t>Warmivirus faecihabitans</t>
  </si>
  <si>
    <t>Waspevirus</t>
  </si>
  <si>
    <t>Waspevirus faecivivens</t>
  </si>
  <si>
    <t>Wedhlevirus</t>
  </si>
  <si>
    <t>Wedhlevirus edaphenecus</t>
  </si>
  <si>
    <t>Wehlfuvirus</t>
  </si>
  <si>
    <t>Wehlfuvirus dinebrihabitans</t>
  </si>
  <si>
    <t>Wehlfuvirus terricola</t>
  </si>
  <si>
    <t>Wehsdovirus</t>
  </si>
  <si>
    <t>Wehsdovirus faecivivens</t>
  </si>
  <si>
    <t>Welesbovirus</t>
  </si>
  <si>
    <t>Welesbovirus faecivivens</t>
  </si>
  <si>
    <t>Weothlivirus</t>
  </si>
  <si>
    <t>Weothlivirus dinebrivivens</t>
  </si>
  <si>
    <t>Whahdcavirus</t>
  </si>
  <si>
    <t>Whahdcavirus caenihabitans</t>
  </si>
  <si>
    <t>Whahdcavirus dinebricola</t>
  </si>
  <si>
    <t>Whahdcavirus nemorisvivens</t>
  </si>
  <si>
    <t>Whahdcavirus peladaptatum</t>
  </si>
  <si>
    <t>Whahdcavirus segetadaptatum</t>
  </si>
  <si>
    <t>Whochfovirus</t>
  </si>
  <si>
    <t>Whochfovirus faecenecus</t>
  </si>
  <si>
    <t>Whochfovirus radicivivens</t>
  </si>
  <si>
    <t>Whotchuvirus</t>
  </si>
  <si>
    <t>Whotchuvirus faecenecus</t>
  </si>
  <si>
    <t>Whotnavirus</t>
  </si>
  <si>
    <t>Whotnavirus limenecus</t>
  </si>
  <si>
    <t>Wihbtavirus</t>
  </si>
  <si>
    <t>Wihbtavirus faecadaptatum</t>
  </si>
  <si>
    <t>Wihlevirus</t>
  </si>
  <si>
    <t>Wihlevirus faecadaptatum</t>
  </si>
  <si>
    <t>Windevirus</t>
  </si>
  <si>
    <t>Windevirus asiovicinum</t>
  </si>
  <si>
    <t>Witirovirus</t>
  </si>
  <si>
    <t>Witirovirus dinebrihabitans</t>
  </si>
  <si>
    <t>Witirovirus humadaptatum</t>
  </si>
  <si>
    <t>Wixfuvirus</t>
  </si>
  <si>
    <t>Wixfuvirus edaphenecus</t>
  </si>
  <si>
    <t>Woatevirus</t>
  </si>
  <si>
    <t>Woatevirus caenihabitans</t>
  </si>
  <si>
    <t>Wohlvevirus</t>
  </si>
  <si>
    <t>Wohlvevirus radicihabitans</t>
  </si>
  <si>
    <t>Wohtovirus</t>
  </si>
  <si>
    <t>Wohtovirus chorenecus</t>
  </si>
  <si>
    <t>Wohtovirus chthonohabitans</t>
  </si>
  <si>
    <t>Wohtovirus humenecus</t>
  </si>
  <si>
    <t>Wohtovirus humihabitans</t>
  </si>
  <si>
    <t>Wohtovirus limihabitans</t>
  </si>
  <si>
    <t>Wohtovirus messicola</t>
  </si>
  <si>
    <t>Wohtovirus pedovicinum</t>
  </si>
  <si>
    <t>Wohtovirus pelovivens</t>
  </si>
  <si>
    <t>Wohtovirus tellurihabitans</t>
  </si>
  <si>
    <t>Wohtovirus terrivicinum</t>
  </si>
  <si>
    <t>Wolstavirus</t>
  </si>
  <si>
    <t>Wolstavirus terrivivens</t>
  </si>
  <si>
    <t>Woshavirus</t>
  </si>
  <si>
    <t>Woshavirus limihabitans</t>
  </si>
  <si>
    <t>Wostovirus</t>
  </si>
  <si>
    <t>Wostovirus faecivivens</t>
  </si>
  <si>
    <t>Wruxevirus</t>
  </si>
  <si>
    <t>Wruxevirus agrivicinum</t>
  </si>
  <si>
    <t>Wruxevirus terrenecus</t>
  </si>
  <si>
    <t>Wulfhavirus</t>
  </si>
  <si>
    <t>Wulfhavirus telluricola</t>
  </si>
  <si>
    <t>Wulmkuvirus</t>
  </si>
  <si>
    <t>Wulmkuvirus faecivivens</t>
  </si>
  <si>
    <t>Wulouvirus</t>
  </si>
  <si>
    <t>Wulouvirus faecenecus</t>
  </si>
  <si>
    <t>Wulvevirus</t>
  </si>
  <si>
    <t>Wulvevirus geoadaptatum</t>
  </si>
  <si>
    <t>Wurmloivirus</t>
  </si>
  <si>
    <t>Wurmloivirus humicola</t>
  </si>
  <si>
    <t>Brahivirus</t>
  </si>
  <si>
    <t>Brahivirus faecivicinum</t>
  </si>
  <si>
    <t>Hisehlovirus</t>
  </si>
  <si>
    <t>Hisehlovirus faecicola</t>
  </si>
  <si>
    <t>Niwtuvirus</t>
  </si>
  <si>
    <t>Niwtuvirus agrihabitans</t>
  </si>
  <si>
    <t>Niwtuvirus humihabitans</t>
  </si>
  <si>
    <t>Niwtuvirus lutenecus</t>
  </si>
  <si>
    <t>Niwtuvirus pedovicinum</t>
  </si>
  <si>
    <t>Pacehavirus borborenecus</t>
  </si>
  <si>
    <t>Pacehavirus pedocola</t>
  </si>
  <si>
    <t>Prorsmavirus</t>
  </si>
  <si>
    <t>Prorsmavirus faecicola</t>
  </si>
  <si>
    <t>Strotovirus</t>
  </si>
  <si>
    <t>Strotovirus faecivicinum</t>
  </si>
  <si>
    <t>Alcestovirus</t>
  </si>
  <si>
    <t>Alcestovirus geovivens</t>
  </si>
  <si>
    <t>Alehxovirus allofaecadaptatum</t>
  </si>
  <si>
    <t>Alehxovirus allofaecicola</t>
  </si>
  <si>
    <t>Alehxovirus allofaecivicinum</t>
  </si>
  <si>
    <t>Alehxovirus allofundenecus</t>
  </si>
  <si>
    <t>Alehxovirus allofundihabitans</t>
  </si>
  <si>
    <t>Alehxovirus allofundivicinum</t>
  </si>
  <si>
    <t>Alehxovirus allofundivivens</t>
  </si>
  <si>
    <t>Alehxovirus allonemorisadaptatum</t>
  </si>
  <si>
    <t>Alehxovirus allonemoriscola</t>
  </si>
  <si>
    <t>Alehxovirus allonemorisenecus</t>
  </si>
  <si>
    <t>Alehxovirus allonemorishabitans</t>
  </si>
  <si>
    <t>Alehxovirus asiadaptatum</t>
  </si>
  <si>
    <t>Alehxovirus chthonovicinum</t>
  </si>
  <si>
    <t>Alehxovirus faecadaptatum</t>
  </si>
  <si>
    <t>Alehxovirus faecicola</t>
  </si>
  <si>
    <t>Alehxovirus faecihabitans</t>
  </si>
  <si>
    <t>Alehxovirus faecivicinum</t>
  </si>
  <si>
    <t>Alehxovirus faecivivens</t>
  </si>
  <si>
    <t>Alehxovirus frumenticola</t>
  </si>
  <si>
    <t>Alehxovirus frumentivicinum</t>
  </si>
  <si>
    <t>Alehxovirus frumentivivens</t>
  </si>
  <si>
    <t>Alehxovirus fundenecus</t>
  </si>
  <si>
    <t>Alehxovirus fundicola</t>
  </si>
  <si>
    <t>Alehxovirus fundihabitans</t>
  </si>
  <si>
    <t>Alehxovirus fundivicinum</t>
  </si>
  <si>
    <t>Alehxovirus fundivivens</t>
  </si>
  <si>
    <t>Alehxovirus geovicinum</t>
  </si>
  <si>
    <t>Alehxovirus infecundadaptatum</t>
  </si>
  <si>
    <t>Alehxovirus limihabitans</t>
  </si>
  <si>
    <t>Alehxovirus limivicinum</t>
  </si>
  <si>
    <t>Alehxovirus messivicinum</t>
  </si>
  <si>
    <t>Alehxovirus montiscola</t>
  </si>
  <si>
    <t>Alehxovirus montisvivens</t>
  </si>
  <si>
    <t>Alehxovirus nemorisadaptatum</t>
  </si>
  <si>
    <t>Alehxovirus nemoriscola</t>
  </si>
  <si>
    <t>Alehxovirus nemorisvivens</t>
  </si>
  <si>
    <t>Alehxovirus neofaecadaptatum</t>
  </si>
  <si>
    <t>Alehxovirus neohumivivens</t>
  </si>
  <si>
    <t>Alehxovirus pedenecus</t>
  </si>
  <si>
    <t>Alehxovirus pedohabitans</t>
  </si>
  <si>
    <t>Alehxovirus pelocola</t>
  </si>
  <si>
    <t>Alehxovirus pelovivens</t>
  </si>
  <si>
    <t>Alehxovirus pratenecus</t>
  </si>
  <si>
    <t>Alehxovirus prativicinum</t>
  </si>
  <si>
    <t>Alehxovirus pseudofaecadaptatum</t>
  </si>
  <si>
    <t>Alehxovirus pseudofaecenecus</t>
  </si>
  <si>
    <t>Alehxovirus pseudofaecicola</t>
  </si>
  <si>
    <t>Alehxovirus pseudonemorisadaptatum</t>
  </si>
  <si>
    <t>Alehxovirus pseudonemoriscola</t>
  </si>
  <si>
    <t>Alehxovirus pseudonemorisenecus</t>
  </si>
  <si>
    <t>Alehxovirus pseudonemorisvicinum</t>
  </si>
  <si>
    <t>Alehxovirus pseudonemorisvivens</t>
  </si>
  <si>
    <t>Alehxovirus radicivivens</t>
  </si>
  <si>
    <t>Alehxovirus solivivens</t>
  </si>
  <si>
    <t>Alvestavirus</t>
  </si>
  <si>
    <t>Alvestavirus fundivicinum</t>
  </si>
  <si>
    <t>Asdankavirus</t>
  </si>
  <si>
    <t>Asdankavirus geoadaptatum</t>
  </si>
  <si>
    <t>Ashcevirus geovivens</t>
  </si>
  <si>
    <t>Ashcevirus pedovivens</t>
  </si>
  <si>
    <t>Ashcevirus pelenecus</t>
  </si>
  <si>
    <t>Ashcevirus telluricola</t>
  </si>
  <si>
    <t>Austrovirus</t>
  </si>
  <si>
    <t>Austrovirus limicola</t>
  </si>
  <si>
    <t>Badtivirus</t>
  </si>
  <si>
    <t>Badtivirus faecivicinum</t>
  </si>
  <si>
    <t>Bahrchivirus</t>
  </si>
  <si>
    <t>Bahrchivirus agrivivens</t>
  </si>
  <si>
    <t>Bahrchivirus caenihabitans</t>
  </si>
  <si>
    <t>Bahrchivirus edaphovicinum</t>
  </si>
  <si>
    <t>Bahrchivirus messivivens</t>
  </si>
  <si>
    <t>Bahrchivirus pedovicinum</t>
  </si>
  <si>
    <t>Bahrchivirus telluricola</t>
  </si>
  <si>
    <t>Bahxtivirus</t>
  </si>
  <si>
    <t>Bahxtivirus chorovivens</t>
  </si>
  <si>
    <t>Bartuvirus</t>
  </si>
  <si>
    <t>Bartuvirus messadaptatum</t>
  </si>
  <si>
    <t>Bartuvirus solivivens</t>
  </si>
  <si>
    <t>Behrmavirus</t>
  </si>
  <si>
    <t>Behrmavirus fundadaptatum</t>
  </si>
  <si>
    <t>Behrmavirus nemorishabitans</t>
  </si>
  <si>
    <t>Beiedevirus</t>
  </si>
  <si>
    <t>Beiedevirus terricola</t>
  </si>
  <si>
    <t>Beirlevirus</t>
  </si>
  <si>
    <t>Beirlevirus luticola</t>
  </si>
  <si>
    <t>Bepbevirus</t>
  </si>
  <si>
    <t>Bepbevirus segetenecus</t>
  </si>
  <si>
    <t>Bertovirus</t>
  </si>
  <si>
    <t>Bertovirus agrivivens</t>
  </si>
  <si>
    <t>Bescotivirus</t>
  </si>
  <si>
    <t>Bescotivirus agrivivens</t>
  </si>
  <si>
    <t>Bescotivirus soladaptatum</t>
  </si>
  <si>
    <t>Bicehmovirus agrihabitans</t>
  </si>
  <si>
    <t>Bicehmovirus agrivicinum</t>
  </si>
  <si>
    <t>Bicehmovirus arvihabitans</t>
  </si>
  <si>
    <t>Bicehmovirus borborocola</t>
  </si>
  <si>
    <t>Bicehmovirus caenadaptatum</t>
  </si>
  <si>
    <t>Bicehmovirus caenivicinum</t>
  </si>
  <si>
    <t>Bicehmovirus caenivivens</t>
  </si>
  <si>
    <t>Bicehmovirus chthonocola</t>
  </si>
  <si>
    <t>Bicehmovirus chthonovicinum</t>
  </si>
  <si>
    <t>Bicehmovirus edaphohabitans</t>
  </si>
  <si>
    <t>Bicehmovirus edaphovicinum</t>
  </si>
  <si>
    <t>Bicehmovirus faecicola</t>
  </si>
  <si>
    <t>Bicehmovirus humivicinum</t>
  </si>
  <si>
    <t>Bicehmovirus limadaptatum</t>
  </si>
  <si>
    <t>Bicehmovirus limenecus</t>
  </si>
  <si>
    <t>Bicehmovirus limicola</t>
  </si>
  <si>
    <t>Bicehmovirus limihabitans</t>
  </si>
  <si>
    <t>Bicehmovirus lutihabitans</t>
  </si>
  <si>
    <t>Bicehmovirus messadaptatum</t>
  </si>
  <si>
    <t>Bicehmovirus messicola</t>
  </si>
  <si>
    <t>Bicehmovirus neolimihabitans</t>
  </si>
  <si>
    <t>Bicehmovirus neopeladaptatum</t>
  </si>
  <si>
    <t>Bicehmovirus pedadaptatum</t>
  </si>
  <si>
    <t>Bicehmovirus pedohabitans</t>
  </si>
  <si>
    <t>Bicehmovirus pedovicinum</t>
  </si>
  <si>
    <t>Bicehmovirus pedovivens</t>
  </si>
  <si>
    <t>Bicehmovirus segeticola</t>
  </si>
  <si>
    <t>Bicehmovirus solihabitans</t>
  </si>
  <si>
    <t>Bicehmovirus terradaptatum</t>
  </si>
  <si>
    <t>Bicehmovirus terrenecus</t>
  </si>
  <si>
    <t>Bidwovirus</t>
  </si>
  <si>
    <t>Bidwovirus caenadaptatum</t>
  </si>
  <si>
    <t>Bihckevirus</t>
  </si>
  <si>
    <t>Bihckevirus asiadaptatum</t>
  </si>
  <si>
    <t>Bihndovirus</t>
  </si>
  <si>
    <t>Bihndovirus allonemorisvicinum</t>
  </si>
  <si>
    <t>Bilsivirus</t>
  </si>
  <si>
    <t>Bilsivirus pelovivens</t>
  </si>
  <si>
    <t>Bircswevirus</t>
  </si>
  <si>
    <t>Bircswevirus faecivicinum</t>
  </si>
  <si>
    <t>Bishavirus</t>
  </si>
  <si>
    <t>Bishavirus pelovicinum</t>
  </si>
  <si>
    <t>Bishovirus</t>
  </si>
  <si>
    <t>Bishovirus chthonadaptatum</t>
  </si>
  <si>
    <t>Bishovirus segetivivens</t>
  </si>
  <si>
    <t>Blacdavirus</t>
  </si>
  <si>
    <t>Blacdavirus humicola</t>
  </si>
  <si>
    <t>Boaesivirus</t>
  </si>
  <si>
    <t>Boaesivirus pseudofaecivicinum</t>
  </si>
  <si>
    <t>Bohlehivirus</t>
  </si>
  <si>
    <t>Bohlehivirus terrihabitans</t>
  </si>
  <si>
    <t>Boldovirus</t>
  </si>
  <si>
    <t>Boldovirus faecadaptatum</t>
  </si>
  <si>
    <t>Boldovirus radicivicinum</t>
  </si>
  <si>
    <t>Bourtovirus</t>
  </si>
  <si>
    <t>Bourtovirus lutenecus</t>
  </si>
  <si>
    <t>Bourtovirus soladaptatum</t>
  </si>
  <si>
    <t>Bourtovirus solenecus</t>
  </si>
  <si>
    <t>Bourtovirus telluricola</t>
  </si>
  <si>
    <t>Bridfovirus</t>
  </si>
  <si>
    <t>Bridfovirus faecadaptatum</t>
  </si>
  <si>
    <t>Bridfovirus faecicola</t>
  </si>
  <si>
    <t>Bridfovirus faecivivens</t>
  </si>
  <si>
    <t>Bridfovirus fundihabitans</t>
  </si>
  <si>
    <t>Brimcuvirus</t>
  </si>
  <si>
    <t>Brimcuvirus nemorisenecus</t>
  </si>
  <si>
    <t>Brimcuvirus segetihabitans</t>
  </si>
  <si>
    <t>Brimkuvirus</t>
  </si>
  <si>
    <t>Brimkuvirus radicivivens</t>
  </si>
  <si>
    <t>Broedwivirus</t>
  </si>
  <si>
    <t>Broedwivirus arvihabitans</t>
  </si>
  <si>
    <t>Broedwivirus geoadaptatum</t>
  </si>
  <si>
    <t>Broedwivirus messivicinum</t>
  </si>
  <si>
    <t>Buhdprovirus</t>
  </si>
  <si>
    <t>Buhdprovirus faecivivens</t>
  </si>
  <si>
    <t>Buhdprovirus montisadaptatum</t>
  </si>
  <si>
    <t>Buhrmuvirus</t>
  </si>
  <si>
    <t>Buhrmuvirus caenihabitans</t>
  </si>
  <si>
    <t>Bulkovirus</t>
  </si>
  <si>
    <t>Bulkovirus messihabitans</t>
  </si>
  <si>
    <t>Bushwuavirus</t>
  </si>
  <si>
    <t>Bushwuavirus pelovicinum</t>
  </si>
  <si>
    <t>Butlevirus</t>
  </si>
  <si>
    <t>Butlevirus tellurihabitans</t>
  </si>
  <si>
    <t>Campduvirus</t>
  </si>
  <si>
    <t>Campduvirus arvivicinum</t>
  </si>
  <si>
    <t>Campduvirus geovicinum</t>
  </si>
  <si>
    <t>Campduvirus humihabitans</t>
  </si>
  <si>
    <t>Campduvirus limihabitans</t>
  </si>
  <si>
    <t>Campduvirus limivivens</t>
  </si>
  <si>
    <t>Campduvirus lutenecus</t>
  </si>
  <si>
    <t>Campduvirus tellurivicinum</t>
  </si>
  <si>
    <t>Capbuvirus</t>
  </si>
  <si>
    <t>Capbuvirus terrihabitans</t>
  </si>
  <si>
    <t>Casfovirus</t>
  </si>
  <si>
    <t>Casfovirus limicola</t>
  </si>
  <si>
    <t>Casfovirus messivivens</t>
  </si>
  <si>
    <t>Casfovirus pedohabitans</t>
  </si>
  <si>
    <t>Casfovirus telluradaptatum</t>
  </si>
  <si>
    <t>Cawstavirus</t>
  </si>
  <si>
    <t>Cawstavirus faecenecus</t>
  </si>
  <si>
    <t>Chebevirus</t>
  </si>
  <si>
    <t>Chebevirus segetihabitans</t>
  </si>
  <si>
    <t>Chiruvirus</t>
  </si>
  <si>
    <t>Chiruvirus caenicola</t>
  </si>
  <si>
    <t>Chiruvirus edaphovicinum</t>
  </si>
  <si>
    <t>Chiruvirus limicola</t>
  </si>
  <si>
    <t>Chiruvirus lutenecus</t>
  </si>
  <si>
    <t>Chiruvirus pedenecus</t>
  </si>
  <si>
    <t>Chiruvirus pelohabitans</t>
  </si>
  <si>
    <t>Chitwivirus</t>
  </si>
  <si>
    <t>Chitwivirus messenecus</t>
  </si>
  <si>
    <t>Churkhuvirus</t>
  </si>
  <si>
    <t>Churkhuvirus limenecus</t>
  </si>
  <si>
    <t>Clavevirus</t>
  </si>
  <si>
    <t>Clavevirus geocola</t>
  </si>
  <si>
    <t>Clavevirus humicola</t>
  </si>
  <si>
    <t>Clavevirus humivicinum</t>
  </si>
  <si>
    <t>Clavevirus limivicinum</t>
  </si>
  <si>
    <t>Clavevirus pedovivens</t>
  </si>
  <si>
    <t>Clavevirus radicivivens</t>
  </si>
  <si>
    <t>Clavevirus segeticola</t>
  </si>
  <si>
    <t>Clofavirus</t>
  </si>
  <si>
    <t>Clofavirus faecicola</t>
  </si>
  <si>
    <t>Cumbruovirus</t>
  </si>
  <si>
    <t>Cumbruovirus edaphovicinum</t>
  </si>
  <si>
    <t>Cumpduvirus</t>
  </si>
  <si>
    <t>Cumpduvirus radicivicinum</t>
  </si>
  <si>
    <t>Curdwovirus</t>
  </si>
  <si>
    <t>Curdwovirus humivicinum</t>
  </si>
  <si>
    <t>Danchavirus</t>
  </si>
  <si>
    <t>Danchavirus faecivivens</t>
  </si>
  <si>
    <t>Danchavirus fundihabitans</t>
  </si>
  <si>
    <t>Darsivirus</t>
  </si>
  <si>
    <t>Darsivirus agrenecus</t>
  </si>
  <si>
    <t>Darsivirus soladaptatum</t>
  </si>
  <si>
    <t>Dordavirus</t>
  </si>
  <si>
    <t>Dordavirus asiovicinum</t>
  </si>
  <si>
    <t>Dordavirus limadaptatum</t>
  </si>
  <si>
    <t>Dordavirus nemorishabitans</t>
  </si>
  <si>
    <t>Drayduvirus</t>
  </si>
  <si>
    <t>Drayduvirus lutenecus</t>
  </si>
  <si>
    <t>Dreycovirus</t>
  </si>
  <si>
    <t>Dreycovirus lutenecus</t>
  </si>
  <si>
    <t>Eastcovirus</t>
  </si>
  <si>
    <t>Eastcovirus solivivens</t>
  </si>
  <si>
    <t>Eerlswavirus</t>
  </si>
  <si>
    <t>Eerlswavirus arvivicinum</t>
  </si>
  <si>
    <t>Eerlswavirus edaphadaptatum</t>
  </si>
  <si>
    <t>Eerlswavirus pedadaptatum</t>
  </si>
  <si>
    <t>Eidhovirus</t>
  </si>
  <si>
    <t>Eidhovirus agrenecus</t>
  </si>
  <si>
    <t>Endehruvirus agrenecus</t>
  </si>
  <si>
    <t>Endehruvirus agrihabitans</t>
  </si>
  <si>
    <t>Endehruvirus caenenecus</t>
  </si>
  <si>
    <t>Endehruvirus caenivicinum</t>
  </si>
  <si>
    <t>Endehruvirus edaphovicinum</t>
  </si>
  <si>
    <t>Endehruvirus lutadaptatum</t>
  </si>
  <si>
    <t>Endehruvirus lutenecus</t>
  </si>
  <si>
    <t>Endehruvirus messivivens</t>
  </si>
  <si>
    <t>Etingtavirus</t>
  </si>
  <si>
    <t>Etingtavirus agrenecus</t>
  </si>
  <si>
    <t>Etingtavirus radicicola</t>
  </si>
  <si>
    <t>Fagihovirus agrihabitans</t>
  </si>
  <si>
    <t>Fagihovirus humadaptatum</t>
  </si>
  <si>
    <t>Fagihovirus terrivivens</t>
  </si>
  <si>
    <t>Fluruvirus chthonovivens</t>
  </si>
  <si>
    <t>Fluruvirus tellurihabitans</t>
  </si>
  <si>
    <t>Frobavirus nemorishabitans</t>
  </si>
  <si>
    <t>Fudhoevirus messivivens</t>
  </si>
  <si>
    <t>Fudhoevirus terrihabitans</t>
  </si>
  <si>
    <t>Garnievirus chorocola</t>
  </si>
  <si>
    <t>Garnievirus chthonovivens</t>
  </si>
  <si>
    <t>Garnievirus edaphohabitans</t>
  </si>
  <si>
    <t>Garnievirus faecadaptatum</t>
  </si>
  <si>
    <t>Garnievirus faecivicinum</t>
  </si>
  <si>
    <t>Garnievirus humivivens</t>
  </si>
  <si>
    <t>Garnievirus montiscola</t>
  </si>
  <si>
    <t>Garnievirus pedocola</t>
  </si>
  <si>
    <t>Garnievirus pedovivens</t>
  </si>
  <si>
    <t>Gehrmavirus asiocola</t>
  </si>
  <si>
    <t>Gehrmavirus pelenecus</t>
  </si>
  <si>
    <t>Gehrmavirus pelovicinum</t>
  </si>
  <si>
    <t>Gihfavirus arvadaptatum</t>
  </si>
  <si>
    <t>Gihfavirus arvicola</t>
  </si>
  <si>
    <t>Gihfavirus arvivicinum</t>
  </si>
  <si>
    <t>Gihfavirus asienecus</t>
  </si>
  <si>
    <t>Gihfavirus asiovivens</t>
  </si>
  <si>
    <t>Gihfavirus caenadaptatum</t>
  </si>
  <si>
    <t>Gihfavirus chorocola</t>
  </si>
  <si>
    <t>Gihfavirus chorovivens</t>
  </si>
  <si>
    <t>Gihfavirus chthonocola</t>
  </si>
  <si>
    <t>Gihfavirus chthonovicinum</t>
  </si>
  <si>
    <t>Gihfavirus humadaptatum</t>
  </si>
  <si>
    <t>Gihfavirus messadaptatum</t>
  </si>
  <si>
    <t>Gihfavirus messivivens</t>
  </si>
  <si>
    <t>Gihfavirus pelovivens</t>
  </si>
  <si>
    <t>Gihfavirus radicihabitans</t>
  </si>
  <si>
    <t>Gihfavirus segeticola</t>
  </si>
  <si>
    <t>Gihfavirus soladaptatum</t>
  </si>
  <si>
    <t>Gihfavirus solenecus</t>
  </si>
  <si>
    <t>Gihfavirus solivivens</t>
  </si>
  <si>
    <t>Gihfavirus telluricola</t>
  </si>
  <si>
    <t>Gihfavirus tellurivicinum</t>
  </si>
  <si>
    <t>Giliycovirus</t>
  </si>
  <si>
    <t>Giliycovirus asienecus</t>
  </si>
  <si>
    <t>Giliycovirus caenenecus</t>
  </si>
  <si>
    <t>Giliycovirus caenihabitans</t>
  </si>
  <si>
    <t>Giliycovirus caenivicinum</t>
  </si>
  <si>
    <t>Giliycovirus chthonadaptatum</t>
  </si>
  <si>
    <t>Giliycovirus chthonenecus</t>
  </si>
  <si>
    <t>Giliycovirus chthonocola</t>
  </si>
  <si>
    <t>Giliycovirus chthonohabitans</t>
  </si>
  <si>
    <t>Giliycovirus chthonovicinum</t>
  </si>
  <si>
    <t>Giliycovirus chthonovivens</t>
  </si>
  <si>
    <t>Giliycovirus edaphovivens</t>
  </si>
  <si>
    <t>Giliycovirus geoadaptatum</t>
  </si>
  <si>
    <t>Giliycovirus geocola</t>
  </si>
  <si>
    <t>Giliycovirus geohabitans</t>
  </si>
  <si>
    <t>Giliycovirus geovicinum</t>
  </si>
  <si>
    <t>Giliycovirus geovivens</t>
  </si>
  <si>
    <t>Giliycovirus limicola</t>
  </si>
  <si>
    <t>Giliycovirus limihabitans</t>
  </si>
  <si>
    <t>Giliycovirus lutivicinum</t>
  </si>
  <si>
    <t>Giliycovirus lutivivens</t>
  </si>
  <si>
    <t>Giliycovirus paludicola</t>
  </si>
  <si>
    <t>Giliycovirus peladaptatum</t>
  </si>
  <si>
    <t>Giliycovirus pelenecus</t>
  </si>
  <si>
    <t>Giliycovirus pelocola</t>
  </si>
  <si>
    <t>Giliycovirus radicihabitans</t>
  </si>
  <si>
    <t>Giliycovirus solihabitans</t>
  </si>
  <si>
    <t>Giliycovirus solivivens</t>
  </si>
  <si>
    <t>Giliycovirus telluradaptatum</t>
  </si>
  <si>
    <t>Giliycovirus tellurenecus</t>
  </si>
  <si>
    <t>Giliycovirus telluricola</t>
  </si>
  <si>
    <t>Giliycovirus tellurihabitans</t>
  </si>
  <si>
    <t>Giliycovirus tellurivicinum</t>
  </si>
  <si>
    <t>Giliycovirus tellurivivens</t>
  </si>
  <si>
    <t>Giliycovirus terradaptatum</t>
  </si>
  <si>
    <t>Giliycovirus terrenecus</t>
  </si>
  <si>
    <t>Giliycovirus terricola</t>
  </si>
  <si>
    <t>Giliycovirus terrihabitans</t>
  </si>
  <si>
    <t>Giliycovirus terrivicinum</t>
  </si>
  <si>
    <t>Greatavirus</t>
  </si>
  <si>
    <t>Greatavirus asienecus</t>
  </si>
  <si>
    <t>Grehevirus</t>
  </si>
  <si>
    <t>Grehevirus arvivicinum</t>
  </si>
  <si>
    <t>Grehndovirus</t>
  </si>
  <si>
    <t>Grehndovirus messihabitans</t>
  </si>
  <si>
    <t>Gulmivirus fundenecus</t>
  </si>
  <si>
    <t>Gulmivirus fundivicinum</t>
  </si>
  <si>
    <t>Gulmivirus fundivivens</t>
  </si>
  <si>
    <t>Gulmivirus nemorisadaptatum</t>
  </si>
  <si>
    <t>Gulmivirus nemorishabitans</t>
  </si>
  <si>
    <t>Gulmivirus nemorisvicinum</t>
  </si>
  <si>
    <t>Hahselevirus</t>
  </si>
  <si>
    <t>Hahselevirus arvadaptatum</t>
  </si>
  <si>
    <t>Hampduvirus</t>
  </si>
  <si>
    <t>Hampduvirus faecadaptatum</t>
  </si>
  <si>
    <t>Hampduvirus faecicola</t>
  </si>
  <si>
    <t>Hampduvirus faecihabitans</t>
  </si>
  <si>
    <t>Hampduvirus faecivicinum</t>
  </si>
  <si>
    <t>Hampduvirus faecivivens</t>
  </si>
  <si>
    <t>Hampduvirus humicola</t>
  </si>
  <si>
    <t>Hampduvirus nemoriscola</t>
  </si>
  <si>
    <t>Hanolevirus</t>
  </si>
  <si>
    <t>Hanolevirus chthonocola</t>
  </si>
  <si>
    <t>Harbevirus</t>
  </si>
  <si>
    <t>Harbevirus allofundicola</t>
  </si>
  <si>
    <t>Harbevirus humivicinum</t>
  </si>
  <si>
    <t>Harbevirus humivivens</t>
  </si>
  <si>
    <t>Harbevirus messadaptatum</t>
  </si>
  <si>
    <t>Hardshivirus</t>
  </si>
  <si>
    <t>Hardshivirus chthonadaptatum</t>
  </si>
  <si>
    <t>Hardshivirus limivivens</t>
  </si>
  <si>
    <t>Hardshivirus segetivicinum</t>
  </si>
  <si>
    <t>Hihlwovirus</t>
  </si>
  <si>
    <t>Hihlwovirus agrivivens</t>
  </si>
  <si>
    <t>Hihlwovirus allofaecadaptatum</t>
  </si>
  <si>
    <t>Hihlwovirus allofaecicola</t>
  </si>
  <si>
    <t>Hihlwovirus allonemorisadaptatum</t>
  </si>
  <si>
    <t>Hihlwovirus chorovivens</t>
  </si>
  <si>
    <t>Hihlwovirus chthonohabitans</t>
  </si>
  <si>
    <t>Hihlwovirus faecadaptatum</t>
  </si>
  <si>
    <t>Hihlwovirus faecivivens</t>
  </si>
  <si>
    <t>Hihlwovirus frumentadaptatum</t>
  </si>
  <si>
    <t>Hihlwovirus frumentivivens</t>
  </si>
  <si>
    <t>Hihlwovirus fundihabitans</t>
  </si>
  <si>
    <t>Hihlwovirus geovivens</t>
  </si>
  <si>
    <t>Hihlwovirus lutenecus</t>
  </si>
  <si>
    <t>Hihlwovirus messicola</t>
  </si>
  <si>
    <t>Hihlwovirus montiscola</t>
  </si>
  <si>
    <t>Hihlwovirus montishabitans</t>
  </si>
  <si>
    <t>Hihlwovirus nemoriscola</t>
  </si>
  <si>
    <t>Hihlwovirus nemorisenecus</t>
  </si>
  <si>
    <t>Hihlwovirus nemorisvivens</t>
  </si>
  <si>
    <t>Hihlwovirus pedadaptatum</t>
  </si>
  <si>
    <t>Hihlwovirus radicivivens</t>
  </si>
  <si>
    <t>Hihlwovirus terrivivens</t>
  </si>
  <si>
    <t>Hilfovirus</t>
  </si>
  <si>
    <t>Hilfovirus faecivivens</t>
  </si>
  <si>
    <t>Hirbovirus</t>
  </si>
  <si>
    <t>Hirbovirus edaphohabitans</t>
  </si>
  <si>
    <t>Hirbovirus messivivens</t>
  </si>
  <si>
    <t>Hirbovirus pedadaptatum</t>
  </si>
  <si>
    <t>Hisolavirus</t>
  </si>
  <si>
    <t>Hisolavirus faecicola</t>
  </si>
  <si>
    <t>Hodnevirus</t>
  </si>
  <si>
    <t>Hodnevirus agradaptatum</t>
  </si>
  <si>
    <t>Hodnevirus agrenecus</t>
  </si>
  <si>
    <t>Hodnevirus agricola</t>
  </si>
  <si>
    <t>Hodnevirus agrihabitans</t>
  </si>
  <si>
    <t>Hodnevirus agrivicinum</t>
  </si>
  <si>
    <t>Hodnevirus agrivivens</t>
  </si>
  <si>
    <t>Hodnevirus alloagradaptatum</t>
  </si>
  <si>
    <t>Hodnevirus alloagrenecus</t>
  </si>
  <si>
    <t>Hodnevirus alloagricola</t>
  </si>
  <si>
    <t>Hodnevirus alloagrihabitans</t>
  </si>
  <si>
    <t>Hodnevirus alloagrivicinum</t>
  </si>
  <si>
    <t>Hodnevirus alloagrivivens</t>
  </si>
  <si>
    <t>Hodnevirus alloarvadaptatum</t>
  </si>
  <si>
    <t>Hodnevirus alloarvenecus</t>
  </si>
  <si>
    <t>Hodnevirus alloarvicola</t>
  </si>
  <si>
    <t>Hodnevirus alloarvihabitans</t>
  </si>
  <si>
    <t>Hodnevirus alloarvivicinum</t>
  </si>
  <si>
    <t>Hodnevirus alloarvivivens</t>
  </si>
  <si>
    <t>Hodnevirus alloasiadaptatum</t>
  </si>
  <si>
    <t>Hodnevirus alloasienecus</t>
  </si>
  <si>
    <t>Hodnevirus alloasiocola</t>
  </si>
  <si>
    <t>Hodnevirus alloasiohabitans</t>
  </si>
  <si>
    <t>Hodnevirus alloasiovicinum</t>
  </si>
  <si>
    <t>Hodnevirus alloasiovivens</t>
  </si>
  <si>
    <t>Hodnevirus allocaenadaptatum</t>
  </si>
  <si>
    <t>Hodnevirus allocaenenecus</t>
  </si>
  <si>
    <t>Hodnevirus allocaenicola</t>
  </si>
  <si>
    <t>Hodnevirus allocaenihabitans</t>
  </si>
  <si>
    <t>Hodnevirus allocaenivicinum</t>
  </si>
  <si>
    <t>Hodnevirus allocaenivivens</t>
  </si>
  <si>
    <t>Hodnevirus allochoradaptatum</t>
  </si>
  <si>
    <t>Hodnevirus allochorenecus</t>
  </si>
  <si>
    <t>Hodnevirus allochorocola</t>
  </si>
  <si>
    <t>Hodnevirus allochorohabitans</t>
  </si>
  <si>
    <t>Hodnevirus allochorovicinum</t>
  </si>
  <si>
    <t>Hodnevirus allochorovivens</t>
  </si>
  <si>
    <t>Hodnevirus allochthonadaptatum</t>
  </si>
  <si>
    <t>Hodnevirus allochthonenecus</t>
  </si>
  <si>
    <t>Hodnevirus allochthonocola</t>
  </si>
  <si>
    <t>Hodnevirus allochthonohabitans</t>
  </si>
  <si>
    <t>Hodnevirus allochthonovicinum</t>
  </si>
  <si>
    <t>Hodnevirus allochthonovivens</t>
  </si>
  <si>
    <t>Hodnevirus alloedaphadaptatum</t>
  </si>
  <si>
    <t>Hodnevirus alloedaphenecus</t>
  </si>
  <si>
    <t>Hodnevirus alloedaphocola</t>
  </si>
  <si>
    <t>Hodnevirus alloedaphohabitans</t>
  </si>
  <si>
    <t>Hodnevirus alloedaphovicinum</t>
  </si>
  <si>
    <t>Hodnevirus alloedaphovivens</t>
  </si>
  <si>
    <t>Hodnevirus allofaecadaptatum</t>
  </si>
  <si>
    <t>Hodnevirus allofaecenecus</t>
  </si>
  <si>
    <t>Hodnevirus allofaecicola</t>
  </si>
  <si>
    <t>Hodnevirus allofaecihabitans</t>
  </si>
  <si>
    <t>Hodnevirus allogeoadaptatum</t>
  </si>
  <si>
    <t>Hodnevirus allogeocola</t>
  </si>
  <si>
    <t>Hodnevirus allogeoenecus</t>
  </si>
  <si>
    <t>Hodnevirus allogeohabitans</t>
  </si>
  <si>
    <t>Hodnevirus allogeovicinum</t>
  </si>
  <si>
    <t>Hodnevirus allogeovivens</t>
  </si>
  <si>
    <t>Hodnevirus allohumadaptatum</t>
  </si>
  <si>
    <t>Hodnevirus allohumenecus</t>
  </si>
  <si>
    <t>Hodnevirus allohumicola</t>
  </si>
  <si>
    <t>Hodnevirus allohumihabitans</t>
  </si>
  <si>
    <t>Hodnevirus allohumivicinum</t>
  </si>
  <si>
    <t>Hodnevirus allohumivivens</t>
  </si>
  <si>
    <t>Hodnevirus allolimadaptatum</t>
  </si>
  <si>
    <t>Hodnevirus allolimenecus</t>
  </si>
  <si>
    <t>Hodnevirus allolimicola</t>
  </si>
  <si>
    <t>Hodnevirus allolimihabitans</t>
  </si>
  <si>
    <t>Hodnevirus allolimivicinum</t>
  </si>
  <si>
    <t>Hodnevirus allolimivivens</t>
  </si>
  <si>
    <t>Hodnevirus allolutadaptatum</t>
  </si>
  <si>
    <t>Hodnevirus allolutenecus</t>
  </si>
  <si>
    <t>Hodnevirus alloluticola</t>
  </si>
  <si>
    <t>Hodnevirus allolutihabitans</t>
  </si>
  <si>
    <t>Hodnevirus allolutivicinum</t>
  </si>
  <si>
    <t>Hodnevirus allolutivivens</t>
  </si>
  <si>
    <t>Hodnevirus allomessadaptatum</t>
  </si>
  <si>
    <t>Hodnevirus allomessenecus</t>
  </si>
  <si>
    <t>Hodnevirus allomessicola</t>
  </si>
  <si>
    <t>Hodnevirus allomessihabitans</t>
  </si>
  <si>
    <t>Hodnevirus allomessivicinum</t>
  </si>
  <si>
    <t>Hodnevirus allomessivivens</t>
  </si>
  <si>
    <t>Hodnevirus allomontishabitans</t>
  </si>
  <si>
    <t>Hodnevirus allomontisvicinum</t>
  </si>
  <si>
    <t>Hodnevirus allonemorisadaptatum</t>
  </si>
  <si>
    <t>Hodnevirus allonemorishabitans</t>
  </si>
  <si>
    <t>Hodnevirus allonemorisvivens</t>
  </si>
  <si>
    <t>Hodnevirus allopedadaptatum</t>
  </si>
  <si>
    <t>Hodnevirus allopedenecus</t>
  </si>
  <si>
    <t>Hodnevirus allopedocola</t>
  </si>
  <si>
    <t>Hodnevirus allopedohabitans</t>
  </si>
  <si>
    <t>Hodnevirus allopedovicinum</t>
  </si>
  <si>
    <t>Hodnevirus allopedovivens</t>
  </si>
  <si>
    <t>Hodnevirus allopeladaptatum</t>
  </si>
  <si>
    <t>Hodnevirus allopelenecus</t>
  </si>
  <si>
    <t>Hodnevirus allopelocola</t>
  </si>
  <si>
    <t>Hodnevirus allopelohabitans</t>
  </si>
  <si>
    <t>Hodnevirus allopelovicinum</t>
  </si>
  <si>
    <t>Hodnevirus allopelovivens</t>
  </si>
  <si>
    <t>Hodnevirus alloradicicola</t>
  </si>
  <si>
    <t>Hodnevirus alloradicihabitans</t>
  </si>
  <si>
    <t>Hodnevirus alloradicivicinum</t>
  </si>
  <si>
    <t>Hodnevirus alloradicivivens</t>
  </si>
  <si>
    <t>Hodnevirus allosegetadaptatum</t>
  </si>
  <si>
    <t>Hodnevirus allosegetenecus</t>
  </si>
  <si>
    <t>Hodnevirus allosegeticola</t>
  </si>
  <si>
    <t>Hodnevirus allosegetihabitans</t>
  </si>
  <si>
    <t>Hodnevirus allosegetivicinum</t>
  </si>
  <si>
    <t>Hodnevirus allosegetivivens</t>
  </si>
  <si>
    <t>Hodnevirus allosoladaptatum</t>
  </si>
  <si>
    <t>Hodnevirus allosolenecus</t>
  </si>
  <si>
    <t>Hodnevirus allosolicola</t>
  </si>
  <si>
    <t>Hodnevirus allosolihabitans</t>
  </si>
  <si>
    <t>Hodnevirus allosolivicinum</t>
  </si>
  <si>
    <t>Hodnevirus allosolivivens</t>
  </si>
  <si>
    <t>Hodnevirus allotelluradaptatum</t>
  </si>
  <si>
    <t>Hodnevirus allotellurenecus</t>
  </si>
  <si>
    <t>Hodnevirus allotelluricola</t>
  </si>
  <si>
    <t>Hodnevirus allotellurihabitans</t>
  </si>
  <si>
    <t>Hodnevirus allotellurivicinum</t>
  </si>
  <si>
    <t>Hodnevirus allotellurivivens</t>
  </si>
  <si>
    <t>Hodnevirus alloterradaptatum</t>
  </si>
  <si>
    <t>Hodnevirus alloterrenecus</t>
  </si>
  <si>
    <t>Hodnevirus alloterricola</t>
  </si>
  <si>
    <t>Hodnevirus alloterrihabitans</t>
  </si>
  <si>
    <t>Hodnevirus alloterrivicinum</t>
  </si>
  <si>
    <t>Hodnevirus alloterrivivens</t>
  </si>
  <si>
    <t>Hodnevirus arvadaptatum</t>
  </si>
  <si>
    <t>Hodnevirus arvenecus</t>
  </si>
  <si>
    <t>Hodnevirus arvicola</t>
  </si>
  <si>
    <t>Hodnevirus arvihabitans</t>
  </si>
  <si>
    <t>Hodnevirus arvivicinum</t>
  </si>
  <si>
    <t>Hodnevirus arvivivens</t>
  </si>
  <si>
    <t>Hodnevirus asiadaptatum</t>
  </si>
  <si>
    <t>Hodnevirus asienecus</t>
  </si>
  <si>
    <t>Hodnevirus asiocola</t>
  </si>
  <si>
    <t>Hodnevirus asiovivens</t>
  </si>
  <si>
    <t>Hodnevirus borborocola</t>
  </si>
  <si>
    <t>Hodnevirus caenadaptatum</t>
  </si>
  <si>
    <t>Hodnevirus caenivicinum</t>
  </si>
  <si>
    <t>Hodnevirus caenivivens</t>
  </si>
  <si>
    <t>Hodnevirus choradaptatum</t>
  </si>
  <si>
    <t>Hodnevirus chorenecus</t>
  </si>
  <si>
    <t>Hodnevirus chorocola</t>
  </si>
  <si>
    <t>Hodnevirus chorohabitans</t>
  </si>
  <si>
    <t>Hodnevirus chorovicinum</t>
  </si>
  <si>
    <t>Hodnevirus chorovivens</t>
  </si>
  <si>
    <t>Hodnevirus chthonadaptatum</t>
  </si>
  <si>
    <t>Hodnevirus chthonenecus</t>
  </si>
  <si>
    <t>Hodnevirus chthonocola</t>
  </si>
  <si>
    <t>Hodnevirus chthonohabitans</t>
  </si>
  <si>
    <t>Hodnevirus chthonovicinum</t>
  </si>
  <si>
    <t>Hodnevirus chthonovivens</t>
  </si>
  <si>
    <t>Hodnevirus defluviicola</t>
  </si>
  <si>
    <t>Hodnevirus duoagrenecus</t>
  </si>
  <si>
    <t>Hodnevirus duohumadaptatum</t>
  </si>
  <si>
    <t>Hodnevirus duotellurenecus</t>
  </si>
  <si>
    <t>Hodnevirus duoterrenecus</t>
  </si>
  <si>
    <t>Hodnevirus duoterrihabitans</t>
  </si>
  <si>
    <t>Hodnevirus duoterrivicinum</t>
  </si>
  <si>
    <t>Hodnevirus edaphadaptatum</t>
  </si>
  <si>
    <t>Hodnevirus edaphenecus</t>
  </si>
  <si>
    <t>Hodnevirus edaphocola</t>
  </si>
  <si>
    <t>Hodnevirus edaphohabitans</t>
  </si>
  <si>
    <t>Hodnevirus edaphovicinum</t>
  </si>
  <si>
    <t>Hodnevirus edaphovivens</t>
  </si>
  <si>
    <t>Hodnevirus faecenecus</t>
  </si>
  <si>
    <t>Hodnevirus faecihabitans</t>
  </si>
  <si>
    <t>Hodnevirus faecivicinum</t>
  </si>
  <si>
    <t>Hodnevirus fundenecus</t>
  </si>
  <si>
    <t>Hodnevirus geoadaptatum</t>
  </si>
  <si>
    <t>Hodnevirus geocola</t>
  </si>
  <si>
    <t>Hodnevirus geoenecus</t>
  </si>
  <si>
    <t>Hodnevirus geohabitans</t>
  </si>
  <si>
    <t>Hodnevirus geovicinum</t>
  </si>
  <si>
    <t>Hodnevirus geovivens</t>
  </si>
  <si>
    <t>Hodnevirus graminiscola</t>
  </si>
  <si>
    <t>Hodnevirus heteroagradaptatum</t>
  </si>
  <si>
    <t>Hodnevirus heteroagrivicinum</t>
  </si>
  <si>
    <t>Hodnevirus heterochthonohabitans</t>
  </si>
  <si>
    <t>Hodnevirus heteroedaphenecus</t>
  </si>
  <si>
    <t>Hodnevirus heteroedaphocola</t>
  </si>
  <si>
    <t>Hodnevirus heterogeoenecus</t>
  </si>
  <si>
    <t>Hodnevirus heterogeovicinum</t>
  </si>
  <si>
    <t>Hodnevirus heterohumadaptatum</t>
  </si>
  <si>
    <t>Hodnevirus heterohumenecus</t>
  </si>
  <si>
    <t>Hodnevirus heterohumicola</t>
  </si>
  <si>
    <t>Hodnevirus heterosolihabitans</t>
  </si>
  <si>
    <t>Hodnevirus heteroterrivivens</t>
  </si>
  <si>
    <t>Hodnevirus humadaptatum</t>
  </si>
  <si>
    <t>Hodnevirus humenecus</t>
  </si>
  <si>
    <t>Hodnevirus humicola</t>
  </si>
  <si>
    <t>Hodnevirus humihabitans</t>
  </si>
  <si>
    <t>Hodnevirus humivicinum</t>
  </si>
  <si>
    <t>Hodnevirus humivivens</t>
  </si>
  <si>
    <t>Hodnevirus isoagradaptatum</t>
  </si>
  <si>
    <t>Hodnevirus isoagricola</t>
  </si>
  <si>
    <t>Hodnevirus isoagrihabitans</t>
  </si>
  <si>
    <t>Hodnevirus isoagrivicinum</t>
  </si>
  <si>
    <t>Hodnevirus isoagrivivens</t>
  </si>
  <si>
    <t>Hodnevirus isoarvadaptatum</t>
  </si>
  <si>
    <t>Hodnevirus isoarvivivens</t>
  </si>
  <si>
    <t>Hodnevirus isochorenecus</t>
  </si>
  <si>
    <t>Hodnevirus isochorocola</t>
  </si>
  <si>
    <t>Hodnevirus isochorovicinum</t>
  </si>
  <si>
    <t>Hodnevirus isochorovivens</t>
  </si>
  <si>
    <t>Hodnevirus isochthonadaptatum</t>
  </si>
  <si>
    <t>Hodnevirus isochthonenecus</t>
  </si>
  <si>
    <t>Hodnevirus isochthonocola</t>
  </si>
  <si>
    <t>Hodnevirus isochthonohabitans</t>
  </si>
  <si>
    <t>Hodnevirus isochthonovicinum</t>
  </si>
  <si>
    <t>Hodnevirus isochthonovivens</t>
  </si>
  <si>
    <t>Hodnevirus isoedaphadaptatum</t>
  </si>
  <si>
    <t>Hodnevirus isoedaphenecus</t>
  </si>
  <si>
    <t>Hodnevirus isoedaphocola</t>
  </si>
  <si>
    <t>Hodnevirus isogeocola</t>
  </si>
  <si>
    <t>Hodnevirus isogeoenecus</t>
  </si>
  <si>
    <t>Hodnevirus isogeohabitans</t>
  </si>
  <si>
    <t>Hodnevirus isogeovicinum</t>
  </si>
  <si>
    <t>Hodnevirus isogeovivens</t>
  </si>
  <si>
    <t>Hodnevirus isohumadaptatum</t>
  </si>
  <si>
    <t>Hodnevirus isohumenecus</t>
  </si>
  <si>
    <t>Hodnevirus isohumicola</t>
  </si>
  <si>
    <t>Hodnevirus isohumihabitans</t>
  </si>
  <si>
    <t>Hodnevirus isohumivicinum</t>
  </si>
  <si>
    <t>Hodnevirus isohumivivens</t>
  </si>
  <si>
    <t>Hodnevirus isolimenecus</t>
  </si>
  <si>
    <t>Hodnevirus isopedohabitans</t>
  </si>
  <si>
    <t>Hodnevirus isopedovicinum</t>
  </si>
  <si>
    <t>Hodnevirus isosolicola</t>
  </si>
  <si>
    <t>Hodnevirus isosolihabitans</t>
  </si>
  <si>
    <t>Hodnevirus isosolivicinum</t>
  </si>
  <si>
    <t>Hodnevirus isotelluradaptatum</t>
  </si>
  <si>
    <t>Hodnevirus isotellurihabitans</t>
  </si>
  <si>
    <t>Hodnevirus isotellurivicinum</t>
  </si>
  <si>
    <t>Hodnevirus isotellurivivens</t>
  </si>
  <si>
    <t>Hodnevirus isoterradaptatum</t>
  </si>
  <si>
    <t>Hodnevirus isoterricola</t>
  </si>
  <si>
    <t>Hodnevirus isoterrivivens</t>
  </si>
  <si>
    <t>Hodnevirus limadaptatum</t>
  </si>
  <si>
    <t>Hodnevirus limenecus</t>
  </si>
  <si>
    <t>Hodnevirus limicola</t>
  </si>
  <si>
    <t>Hodnevirus limihabitans</t>
  </si>
  <si>
    <t>Hodnevirus limivicinum</t>
  </si>
  <si>
    <t>Hodnevirus limivivens</t>
  </si>
  <si>
    <t>Hodnevirus lutenecus</t>
  </si>
  <si>
    <t>Hodnevirus luticola</t>
  </si>
  <si>
    <t>Hodnevirus lutihabitans</t>
  </si>
  <si>
    <t>Hodnevirus lutivicinum</t>
  </si>
  <si>
    <t>Hodnevirus lutivivens</t>
  </si>
  <si>
    <t>Hodnevirus messadaptatum</t>
  </si>
  <si>
    <t>Hodnevirus messenecus</t>
  </si>
  <si>
    <t>Hodnevirus messicola</t>
  </si>
  <si>
    <t>Hodnevirus messihabitans</t>
  </si>
  <si>
    <t>Hodnevirus messivicinum</t>
  </si>
  <si>
    <t>Hodnevirus messivivens</t>
  </si>
  <si>
    <t>Hodnevirus monoagrihabitans</t>
  </si>
  <si>
    <t>Hodnevirus monoagrivicinum</t>
  </si>
  <si>
    <t>Hodnevirus monoagrivivens</t>
  </si>
  <si>
    <t>Hodnevirus monochoradaptatum</t>
  </si>
  <si>
    <t>Hodnevirus monochorenecus</t>
  </si>
  <si>
    <t>Hodnevirus monochorocola</t>
  </si>
  <si>
    <t>Hodnevirus monohumihabitans</t>
  </si>
  <si>
    <t>Hodnevirus monohumivicinum</t>
  </si>
  <si>
    <t>Hodnevirus monohumivivens</t>
  </si>
  <si>
    <t>Hodnevirus mononeoagricola</t>
  </si>
  <si>
    <t>Hodnevirus mononeochorohabitans</t>
  </si>
  <si>
    <t>Hodnevirus mononeochorovicinum</t>
  </si>
  <si>
    <t>Hodnevirus mononeochorovivens</t>
  </si>
  <si>
    <t>Hodnevirus mononeohumadaptatum</t>
  </si>
  <si>
    <t>Hodnevirus mononeohumenecus</t>
  </si>
  <si>
    <t>Hodnevirus mononeohumicola</t>
  </si>
  <si>
    <t>Hodnevirus monotelluricola</t>
  </si>
  <si>
    <t>Hodnevirus monotellurihabitans</t>
  </si>
  <si>
    <t>Hodnevirus monotellurivicinum</t>
  </si>
  <si>
    <t>Hodnevirus monotellurivivens</t>
  </si>
  <si>
    <t>Hodnevirus monoterradaptatum</t>
  </si>
  <si>
    <t>Hodnevirus monoterricola</t>
  </si>
  <si>
    <t>Hodnevirus monoterrivivens</t>
  </si>
  <si>
    <t>Hodnevirus montisenecus</t>
  </si>
  <si>
    <t>Hodnevirus montishabitans</t>
  </si>
  <si>
    <t>Hodnevirus montisvicinum</t>
  </si>
  <si>
    <t>Hodnevirus montisvivens</t>
  </si>
  <si>
    <t>Hodnevirus nemorisenecus</t>
  </si>
  <si>
    <t>Hodnevirus nemorisvicinum</t>
  </si>
  <si>
    <t>Hodnevirus nemorisvivens</t>
  </si>
  <si>
    <t>Hodnevirus neoagradaptatum</t>
  </si>
  <si>
    <t>Hodnevirus neoagrenecus</t>
  </si>
  <si>
    <t>Hodnevirus neoagricola</t>
  </si>
  <si>
    <t>Hodnevirus neoagrihabitans</t>
  </si>
  <si>
    <t>Hodnevirus neoagrivicinum</t>
  </si>
  <si>
    <t>Hodnevirus neoagrivivens</t>
  </si>
  <si>
    <t>Hodnevirus neoarvadaptatum</t>
  </si>
  <si>
    <t>Hodnevirus neoarvenecus</t>
  </si>
  <si>
    <t>Hodnevirus neoarvicola</t>
  </si>
  <si>
    <t>Hodnevirus neoarvihabitans</t>
  </si>
  <si>
    <t>Hodnevirus neoarvivicinum</t>
  </si>
  <si>
    <t>Hodnevirus neoarvivivens</t>
  </si>
  <si>
    <t>Hodnevirus neoasiadaptatum</t>
  </si>
  <si>
    <t>Hodnevirus neoasienecus</t>
  </si>
  <si>
    <t>Hodnevirus neocaenivicinum</t>
  </si>
  <si>
    <t>Hodnevirus neochoradaptatum</t>
  </si>
  <si>
    <t>Hodnevirus neochorenecus</t>
  </si>
  <si>
    <t>Hodnevirus neochorocola</t>
  </si>
  <si>
    <t>Hodnevirus neochorohabitans</t>
  </si>
  <si>
    <t>Hodnevirus neochorovicinum</t>
  </si>
  <si>
    <t>Hodnevirus neochorovivens</t>
  </si>
  <si>
    <t>Hodnevirus neochthonadaptatum</t>
  </si>
  <si>
    <t>Hodnevirus neochthonenecus</t>
  </si>
  <si>
    <t>Hodnevirus neochthonocola</t>
  </si>
  <si>
    <t>Hodnevirus neochthonohabitans</t>
  </si>
  <si>
    <t>Hodnevirus neochthonovicinum</t>
  </si>
  <si>
    <t>Hodnevirus neochthonovivens</t>
  </si>
  <si>
    <t>Hodnevirus neoedaphadaptatum</t>
  </si>
  <si>
    <t>Hodnevirus neoedaphenecus</t>
  </si>
  <si>
    <t>Hodnevirus neoedaphocola</t>
  </si>
  <si>
    <t>Hodnevirus neoedaphohabitans</t>
  </si>
  <si>
    <t>Hodnevirus neoedaphovicinum</t>
  </si>
  <si>
    <t>Hodnevirus neoedaphovivens</t>
  </si>
  <si>
    <t>Hodnevirus neogeoadaptatum</t>
  </si>
  <si>
    <t>Hodnevirus neogeocola</t>
  </si>
  <si>
    <t>Hodnevirus neogeoenecus</t>
  </si>
  <si>
    <t>Hodnevirus neogeohabitans</t>
  </si>
  <si>
    <t>Hodnevirus neogeovicinum</t>
  </si>
  <si>
    <t>Hodnevirus neogeovivens</t>
  </si>
  <si>
    <t>Hodnevirus neohumadaptatum</t>
  </si>
  <si>
    <t>Hodnevirus neohumenecus</t>
  </si>
  <si>
    <t>Hodnevirus neohumicola</t>
  </si>
  <si>
    <t>Hodnevirus neohumihabitans</t>
  </si>
  <si>
    <t>Hodnevirus neohumivicinum</t>
  </si>
  <si>
    <t>Hodnevirus neohumivivens</t>
  </si>
  <si>
    <t>Hodnevirus neolimenecus</t>
  </si>
  <si>
    <t>Hodnevirus neolimicola</t>
  </si>
  <si>
    <t>Hodnevirus neolimihabitans</t>
  </si>
  <si>
    <t>Hodnevirus neopedadaptatum</t>
  </si>
  <si>
    <t>Hodnevirus neopedenecus</t>
  </si>
  <si>
    <t>Hodnevirus neopedocola</t>
  </si>
  <si>
    <t>Hodnevirus neopedohabitans</t>
  </si>
  <si>
    <t>Hodnevirus neopedovicinum</t>
  </si>
  <si>
    <t>Hodnevirus neopedovivens</t>
  </si>
  <si>
    <t>Hodnevirus neosoladaptatum</t>
  </si>
  <si>
    <t>Hodnevirus neosolenecus</t>
  </si>
  <si>
    <t>Hodnevirus neosolicola</t>
  </si>
  <si>
    <t>Hodnevirus neosolihabitans</t>
  </si>
  <si>
    <t>Hodnevirus neosolivicinum</t>
  </si>
  <si>
    <t>Hodnevirus neosolivivens</t>
  </si>
  <si>
    <t>Hodnevirus neotelluradaptatum</t>
  </si>
  <si>
    <t>Hodnevirus neotellurenecus</t>
  </si>
  <si>
    <t>Hodnevirus neotelluricola</t>
  </si>
  <si>
    <t>Hodnevirus neotellurihabitans</t>
  </si>
  <si>
    <t>Hodnevirus neotellurivicinum</t>
  </si>
  <si>
    <t>Hodnevirus neotellurivivens</t>
  </si>
  <si>
    <t>Hodnevirus neoterradaptatum</t>
  </si>
  <si>
    <t>Hodnevirus neoterrenecus</t>
  </si>
  <si>
    <t>Hodnevirus neoterricola</t>
  </si>
  <si>
    <t>Hodnevirus neoterrihabitans</t>
  </si>
  <si>
    <t>Hodnevirus neoterrivicinum</t>
  </si>
  <si>
    <t>Hodnevirus neoterrivivens</t>
  </si>
  <si>
    <t>Hodnevirus paludicola</t>
  </si>
  <si>
    <t>Hodnevirus pedadaptatum</t>
  </si>
  <si>
    <t>Hodnevirus pedenecus</t>
  </si>
  <si>
    <t>Hodnevirus pedocola</t>
  </si>
  <si>
    <t>Hodnevirus pedohabitans</t>
  </si>
  <si>
    <t>Hodnevirus pedovicinum</t>
  </si>
  <si>
    <t>Hodnevirus pedovivens</t>
  </si>
  <si>
    <t>Hodnevirus peladaptatum</t>
  </si>
  <si>
    <t>Hodnevirus pelocola</t>
  </si>
  <si>
    <t>Hodnevirus pelohabitans</t>
  </si>
  <si>
    <t>Hodnevirus pelovicinum</t>
  </si>
  <si>
    <t>Hodnevirus pelovivens</t>
  </si>
  <si>
    <t>Hodnevirus pseudoagrivicinum</t>
  </si>
  <si>
    <t>Hodnevirus pseudoarvadaptatum</t>
  </si>
  <si>
    <t>Hodnevirus pseudoarvenecus</t>
  </si>
  <si>
    <t>Hodnevirus pseudoarvicola</t>
  </si>
  <si>
    <t>Hodnevirus pseudoarvihabitans</t>
  </si>
  <si>
    <t>Hodnevirus pseudoarvivicinum</t>
  </si>
  <si>
    <t>Hodnevirus pseudoarvivivens</t>
  </si>
  <si>
    <t>Hodnevirus pseudoasiadaptatum</t>
  </si>
  <si>
    <t>Hodnevirus pseudoasiocola</t>
  </si>
  <si>
    <t>Hodnevirus pseudoasiovicinum</t>
  </si>
  <si>
    <t>Hodnevirus pseudoasiovivens</t>
  </si>
  <si>
    <t>Hodnevirus pseudocaenadaptatum</t>
  </si>
  <si>
    <t>Hodnevirus pseudocaenicola</t>
  </si>
  <si>
    <t>Hodnevirus pseudocaenihabitans</t>
  </si>
  <si>
    <t>Hodnevirus pseudocaenivivens</t>
  </si>
  <si>
    <t>Hodnevirus pseudochoradaptatum</t>
  </si>
  <si>
    <t>Hodnevirus pseudochorenecus</t>
  </si>
  <si>
    <t>Hodnevirus pseudochorocola</t>
  </si>
  <si>
    <t>Hodnevirus pseudochorohabitans</t>
  </si>
  <si>
    <t>Hodnevirus pseudochorovicinum</t>
  </si>
  <si>
    <t>Hodnevirus pseudochorovivens</t>
  </si>
  <si>
    <t>Hodnevirus pseudochthonadaptatum</t>
  </si>
  <si>
    <t>Hodnevirus pseudochthonenecus</t>
  </si>
  <si>
    <t>Hodnevirus pseudochthonohabitans</t>
  </si>
  <si>
    <t>Hodnevirus pseudochthonovivens</t>
  </si>
  <si>
    <t>Hodnevirus pseudoedaphocola</t>
  </si>
  <si>
    <t>Hodnevirus pseudoedaphovicinum</t>
  </si>
  <si>
    <t>Hodnevirus pseudoedaphovivens</t>
  </si>
  <si>
    <t>Hodnevirus pseudofaecadaptatum</t>
  </si>
  <si>
    <t>Hodnevirus pseudofaecenecus</t>
  </si>
  <si>
    <t>Hodnevirus pseudofaecihabitans</t>
  </si>
  <si>
    <t>Hodnevirus pseudofaecivicinum</t>
  </si>
  <si>
    <t>Hodnevirus pseudogeoenecus</t>
  </si>
  <si>
    <t>Hodnevirus pseudogeohabitans</t>
  </si>
  <si>
    <t>Hodnevirus pseudogeovicinum</t>
  </si>
  <si>
    <t>Hodnevirus pseudohumadaptatum</t>
  </si>
  <si>
    <t>Hodnevirus pseudohumivicinum</t>
  </si>
  <si>
    <t>Hodnevirus pseudohumivivens</t>
  </si>
  <si>
    <t>Hodnevirus pseudolimadaptatum</t>
  </si>
  <si>
    <t>Hodnevirus pseudolimicola</t>
  </si>
  <si>
    <t>Hodnevirus pseudolutadaptatum</t>
  </si>
  <si>
    <t>Hodnevirus pseudolutenecus</t>
  </si>
  <si>
    <t>Hodnevirus pseudolutivivens</t>
  </si>
  <si>
    <t>Hodnevirus pseudomessadaptatum</t>
  </si>
  <si>
    <t>Hodnevirus pseudomessenecus</t>
  </si>
  <si>
    <t>Hodnevirus pseudomessicola</t>
  </si>
  <si>
    <t>Hodnevirus pseudomessihabitans</t>
  </si>
  <si>
    <t>Hodnevirus pseudomessivivens</t>
  </si>
  <si>
    <t>Hodnevirus pseudopedohabitans</t>
  </si>
  <si>
    <t>Hodnevirus pseudopeladaptatum</t>
  </si>
  <si>
    <t>Hodnevirus pseudopelenecus</t>
  </si>
  <si>
    <t>Hodnevirus pseudopelohabitans</t>
  </si>
  <si>
    <t>Hodnevirus pseudoradicicola</t>
  </si>
  <si>
    <t>Hodnevirus pseudoradicihabitans</t>
  </si>
  <si>
    <t>Hodnevirus pseudoradicivivens</t>
  </si>
  <si>
    <t>Hodnevirus pseudosegetenecus</t>
  </si>
  <si>
    <t>Hodnevirus pseudosegeticola</t>
  </si>
  <si>
    <t>Hodnevirus pseudosoladaptatum</t>
  </si>
  <si>
    <t>Hodnevirus pseudosolicola</t>
  </si>
  <si>
    <t>Hodnevirus pseudosolivicinum</t>
  </si>
  <si>
    <t>Hodnevirus pseudosolivivens</t>
  </si>
  <si>
    <t>Hodnevirus pseudotelluradaptatum</t>
  </si>
  <si>
    <t>Hodnevirus pseudotellurenecus</t>
  </si>
  <si>
    <t>Hodnevirus pseudotellurivivens</t>
  </si>
  <si>
    <t>Hodnevirus pseudoterradaptatum</t>
  </si>
  <si>
    <t>Hodnevirus pseudoterrenecus</t>
  </si>
  <si>
    <t>Hodnevirus pseudoterricola</t>
  </si>
  <si>
    <t>Hodnevirus pseudoterrihabitans</t>
  </si>
  <si>
    <t>Hodnevirus pseudoterrivicinum</t>
  </si>
  <si>
    <t>Hodnevirus pseudoterrivivens</t>
  </si>
  <si>
    <t>Hodnevirus radicicola</t>
  </si>
  <si>
    <t>Hodnevirus radicihabitans</t>
  </si>
  <si>
    <t>Hodnevirus radicivicinum</t>
  </si>
  <si>
    <t>Hodnevirus radicivivens</t>
  </si>
  <si>
    <t>Hodnevirus segetadaptatum</t>
  </si>
  <si>
    <t>Hodnevirus segetenecus</t>
  </si>
  <si>
    <t>Hodnevirus segeticola</t>
  </si>
  <si>
    <t>Hodnevirus segetihabitans</t>
  </si>
  <si>
    <t>Hodnevirus segetivivens</t>
  </si>
  <si>
    <t>Hodnevirus soladaptatum</t>
  </si>
  <si>
    <t>Hodnevirus solenecus</t>
  </si>
  <si>
    <t>Hodnevirus solicola</t>
  </si>
  <si>
    <t>Hodnevirus solihabitans</t>
  </si>
  <si>
    <t>Hodnevirus solivicinum</t>
  </si>
  <si>
    <t>Hodnevirus solivivens</t>
  </si>
  <si>
    <t>Hodnevirus telluradaptatum</t>
  </si>
  <si>
    <t>Hodnevirus tellurenecus</t>
  </si>
  <si>
    <t>Hodnevirus telluricola</t>
  </si>
  <si>
    <t>Hodnevirus tellurihabitans</t>
  </si>
  <si>
    <t>Hodnevirus tellurivicinum</t>
  </si>
  <si>
    <t>Hodnevirus tellurivivens</t>
  </si>
  <si>
    <t>Hodnevirus terradaptatum</t>
  </si>
  <si>
    <t>Hodnevirus terrenecus</t>
  </si>
  <si>
    <t>Hodnevirus terricola</t>
  </si>
  <si>
    <t>Hodnevirus terrihabitans</t>
  </si>
  <si>
    <t>Hodnevirus terrivicinum</t>
  </si>
  <si>
    <t>Hodnevirus terrivivens</t>
  </si>
  <si>
    <t>Hohnuvirus</t>
  </si>
  <si>
    <t>Hohnuvirus chthonocola</t>
  </si>
  <si>
    <t>Hohrdovirus agrenecus</t>
  </si>
  <si>
    <t>Hohrdovirus agricola</t>
  </si>
  <si>
    <t>Hohrdovirus agrivicinum</t>
  </si>
  <si>
    <t>Hohrdovirus asiocola</t>
  </si>
  <si>
    <t>Hohrdovirus caenadaptatum</t>
  </si>
  <si>
    <t>Hohrdovirus chorenecus</t>
  </si>
  <si>
    <t>Hohrdovirus chorohabitans</t>
  </si>
  <si>
    <t>Hohrdovirus chorovivens</t>
  </si>
  <si>
    <t>Hohrdovirus chthonadaptatum</t>
  </si>
  <si>
    <t>Hohrdovirus edaphadaptatum</t>
  </si>
  <si>
    <t>Hohrdovirus edaphenecus</t>
  </si>
  <si>
    <t>Hohrdovirus edaphocola</t>
  </si>
  <si>
    <t>Hohrdovirus geoadaptatum</t>
  </si>
  <si>
    <t>Hohrdovirus geoenecus</t>
  </si>
  <si>
    <t>Hohrdovirus lutenecus</t>
  </si>
  <si>
    <t>Hohrdovirus messenecus</t>
  </si>
  <si>
    <t>Hohrdovirus messihabitans</t>
  </si>
  <si>
    <t>Hohrdovirus montishabitans</t>
  </si>
  <si>
    <t>Hohrdovirus neolimadaptatum</t>
  </si>
  <si>
    <t>Hohrdovirus radicivicinum</t>
  </si>
  <si>
    <t>Hohrdovirus tellurihabitans</t>
  </si>
  <si>
    <t>Hohrdovirus tellurivivens</t>
  </si>
  <si>
    <t>Hohrdovirus terradaptatum</t>
  </si>
  <si>
    <t>Hohrdovirus terrihabitans</t>
  </si>
  <si>
    <t>Hohrdovirus terrivivens</t>
  </si>
  <si>
    <t>Huhbevirus agrihabitans</t>
  </si>
  <si>
    <t>Huhbevirus agrivicinum</t>
  </si>
  <si>
    <t>Huhbevirus arvenecus</t>
  </si>
  <si>
    <t>Huhbevirus arvicola</t>
  </si>
  <si>
    <t>Huhbevirus asiadaptatum</t>
  </si>
  <si>
    <t>Huhbevirus asienecus</t>
  </si>
  <si>
    <t>Huhbevirus caenicola</t>
  </si>
  <si>
    <t>Huhbevirus caenivicinum</t>
  </si>
  <si>
    <t>Huhbevirus chorohabitans</t>
  </si>
  <si>
    <t>Huhbevirus chorovivens</t>
  </si>
  <si>
    <t>Huhbevirus edaphocola</t>
  </si>
  <si>
    <t>Huhbevirus edaphohabitans</t>
  </si>
  <si>
    <t>Huhbevirus edaphovicinum</t>
  </si>
  <si>
    <t>Huhbevirus faecadaptatum</t>
  </si>
  <si>
    <t>Huhbevirus faecenecus</t>
  </si>
  <si>
    <t>Huhbevirus faecicola</t>
  </si>
  <si>
    <t>Huhbevirus faecihabitans</t>
  </si>
  <si>
    <t>Huhbevirus faecivicinum</t>
  </si>
  <si>
    <t>Huhbevirus faecivivens</t>
  </si>
  <si>
    <t>Huhbevirus frumentihabitans</t>
  </si>
  <si>
    <t>Huhbevirus frumentivicinum</t>
  </si>
  <si>
    <t>Huhbevirus fundivivens</t>
  </si>
  <si>
    <t>Huhbevirus geoenecus</t>
  </si>
  <si>
    <t>Huhbevirus geohabitans</t>
  </si>
  <si>
    <t>Huhbevirus humadaptatum</t>
  </si>
  <si>
    <t>Huhbevirus humivivens</t>
  </si>
  <si>
    <t>Huhbevirus lutenecus</t>
  </si>
  <si>
    <t>Huhbevirus lutihabitans</t>
  </si>
  <si>
    <t>Huhbevirus lutivivens</t>
  </si>
  <si>
    <t>Huhbevirus messenecus</t>
  </si>
  <si>
    <t>Huhbevirus nemorisadaptatum</t>
  </si>
  <si>
    <t>Huhbevirus nemoriscola</t>
  </si>
  <si>
    <t>Huhbevirus nemorisenecus</t>
  </si>
  <si>
    <t>Huhbevirus nemorisvicinum</t>
  </si>
  <si>
    <t>Huhbevirus neochthonohabitans</t>
  </si>
  <si>
    <t>Huhbevirus neochthonovicinum</t>
  </si>
  <si>
    <t>Huhbevirus neogeoadaptatum</t>
  </si>
  <si>
    <t>Huhbevirus neosolivivens</t>
  </si>
  <si>
    <t>Huhbevirus pelenecus</t>
  </si>
  <si>
    <t>Huhbevirus radicicola</t>
  </si>
  <si>
    <t>Huhbevirus radicivivens</t>
  </si>
  <si>
    <t>Huhbevirus segetadaptatum</t>
  </si>
  <si>
    <t>Huhbevirus segeticola</t>
  </si>
  <si>
    <t>Huhbevirus segetivicinum</t>
  </si>
  <si>
    <t>Huhbevirus segetivivens</t>
  </si>
  <si>
    <t>Huhbevirus soladaptatum</t>
  </si>
  <si>
    <t>Huhbevirus solenecus</t>
  </si>
  <si>
    <t>Huhbevirus tellurivivens</t>
  </si>
  <si>
    <t>Huhbevirus terrenecus</t>
  </si>
  <si>
    <t>Huhbevirus terrivicinum</t>
  </si>
  <si>
    <t>Huhbevirus terrivivens</t>
  </si>
  <si>
    <t>Huohcivirus asiocola</t>
  </si>
  <si>
    <t>Huylevirus agrivivens</t>
  </si>
  <si>
    <t>Huylevirus asiohabitans</t>
  </si>
  <si>
    <t>Huylevirus chthonohabitans</t>
  </si>
  <si>
    <t>Huylevirus lutadaptatum</t>
  </si>
  <si>
    <t>Hyjrovirus tellurivivens</t>
  </si>
  <si>
    <t>Kecuhnavirus asiadaptatum</t>
  </si>
  <si>
    <t>Kecuhnavirus faecicola</t>
  </si>
  <si>
    <t>Kecuhnavirus faecivicinum</t>
  </si>
  <si>
    <t>Kecuhnavirus faecivivens</t>
  </si>
  <si>
    <t>Kecuhnavirus frumenticola</t>
  </si>
  <si>
    <t>Kecuhnavirus montisadaptatum</t>
  </si>
  <si>
    <t>Kecuhnavirus montiscola</t>
  </si>
  <si>
    <t>Kecuhnavirus montisvivens</t>
  </si>
  <si>
    <t>Kecuhnavirus radicihabitans</t>
  </si>
  <si>
    <t>Kecuhnavirus segetadaptatum</t>
  </si>
  <si>
    <t>Kingscavirus</t>
  </si>
  <si>
    <t>Kingscavirus faecadaptatum</t>
  </si>
  <si>
    <t>Koroslivirus</t>
  </si>
  <si>
    <t>Koroslivirus allofaecihabitans</t>
  </si>
  <si>
    <t>Koroslivirus allofaecivivens</t>
  </si>
  <si>
    <t>Koroslivirus faecicola</t>
  </si>
  <si>
    <t>Koroslivirus montisvivens</t>
  </si>
  <si>
    <t>Koroslivirus pseudofaecivicinum</t>
  </si>
  <si>
    <t>Lazuovirus humenecus</t>
  </si>
  <si>
    <t>Lazuovirus limicola</t>
  </si>
  <si>
    <t>Lazuovirus pedovicinum</t>
  </si>
  <si>
    <t>Lehemavirus</t>
  </si>
  <si>
    <t>Lehemavirus lutivicinum</t>
  </si>
  <si>
    <t>Lidbrovirus</t>
  </si>
  <si>
    <t>Lidbrovirus pelovicinum</t>
  </si>
  <si>
    <t>Lidtloavirus</t>
  </si>
  <si>
    <t>Lidtloavirus agrivicinum</t>
  </si>
  <si>
    <t>Lidtloavirus chorovicinum</t>
  </si>
  <si>
    <t>Lidtloavirus edaphenecus</t>
  </si>
  <si>
    <t>Lidtloavirus edaphocola</t>
  </si>
  <si>
    <t>Lidtloavirus edaphohabitans</t>
  </si>
  <si>
    <t>Lidtloavirus edaphovivens</t>
  </si>
  <si>
    <t>Lidtloavirus humenecus</t>
  </si>
  <si>
    <t>Lidtloavirus humihabitans</t>
  </si>
  <si>
    <t>Lidtloavirus humivicinum</t>
  </si>
  <si>
    <t>Lidtloavirus humivivens</t>
  </si>
  <si>
    <t>Lidtloavirus limihabitans</t>
  </si>
  <si>
    <t>Lidtloavirus neohumihabitans</t>
  </si>
  <si>
    <t>Lidtloavirus pedocola</t>
  </si>
  <si>
    <t>Lipwuvirus</t>
  </si>
  <si>
    <t>Lipwuvirus nemorishabitans</t>
  </si>
  <si>
    <t>Litdlovirus</t>
  </si>
  <si>
    <t>Litdlovirus chthonadaptatum</t>
  </si>
  <si>
    <t>Litdlovirus telluricola</t>
  </si>
  <si>
    <t>Litlevirus</t>
  </si>
  <si>
    <t>Litlevirus faecicola</t>
  </si>
  <si>
    <t>Loecwouvirus</t>
  </si>
  <si>
    <t>Loecwouvirus pseudonemorishabitans</t>
  </si>
  <si>
    <t>Loecwouvirus tellurivicinum</t>
  </si>
  <si>
    <t>Lohwivirus</t>
  </si>
  <si>
    <t>Lohwivirus allofaecadaptatum</t>
  </si>
  <si>
    <t>Lohwivirus allofaecenecus</t>
  </si>
  <si>
    <t>Lohwivirus allofaecihabitans</t>
  </si>
  <si>
    <t>Lohwivirus edaphohabitans</t>
  </si>
  <si>
    <t>Lohwivirus faecihabitans</t>
  </si>
  <si>
    <t>Lohwivirus faecivicinum</t>
  </si>
  <si>
    <t>Lohwivirus faecivivens</t>
  </si>
  <si>
    <t>Lohwivirus montisadaptatum</t>
  </si>
  <si>
    <t>Lohwivirus neofaecivivens</t>
  </si>
  <si>
    <t>Lohwivirus pseudofaecadaptatum</t>
  </si>
  <si>
    <t>Lohwivirus pseudofaecenecus</t>
  </si>
  <si>
    <t>Lohwivirus pseudofaecicola</t>
  </si>
  <si>
    <t>Lohwivirus pseudofaecihabitans</t>
  </si>
  <si>
    <t>Lohwivirus pseudofaecivicinum</t>
  </si>
  <si>
    <t>Lohwivirus pseudofaecivivens</t>
  </si>
  <si>
    <t>Loimivirus</t>
  </si>
  <si>
    <t>Loimivirus nemorisvicinum</t>
  </si>
  <si>
    <t>Loptevirus agrihabitans</t>
  </si>
  <si>
    <t>Loptevirus chthonadaptatum</t>
  </si>
  <si>
    <t>Loptevirus segetadaptatum</t>
  </si>
  <si>
    <t>Loptevirus soladaptatum</t>
  </si>
  <si>
    <t>Loptevirus solivicinum</t>
  </si>
  <si>
    <t>Loptevirus solivivens</t>
  </si>
  <si>
    <t>Lughthovirus</t>
  </si>
  <si>
    <t>Lughthovirus chthonocola</t>
  </si>
  <si>
    <t>Lughthovirus edaphocola</t>
  </si>
  <si>
    <t>Lughthovirus edaphovivens</t>
  </si>
  <si>
    <t>Lughthovirus pedadaptatum</t>
  </si>
  <si>
    <t>Lughthovirus pedenecus</t>
  </si>
  <si>
    <t>Lughthovirus pedocola</t>
  </si>
  <si>
    <t>Lughthovirus pedohabitans</t>
  </si>
  <si>
    <t>Lughthovirus pedovicinum</t>
  </si>
  <si>
    <t>Lughthovirus pedovivens</t>
  </si>
  <si>
    <t>Lughthovirus tellurenecus</t>
  </si>
  <si>
    <t>Lughthovirus tellurivivens</t>
  </si>
  <si>
    <t>Luhtdivirus</t>
  </si>
  <si>
    <t>Luhtdivirus caenihabitans</t>
  </si>
  <si>
    <t>Luwerquvirus</t>
  </si>
  <si>
    <t>Luwerquvirus faecadaptatum</t>
  </si>
  <si>
    <t>Merlclivirus</t>
  </si>
  <si>
    <t>Merlclivirus radicivicinum</t>
  </si>
  <si>
    <t>Mertavirus</t>
  </si>
  <si>
    <t>Mertavirus limivicinum</t>
  </si>
  <si>
    <t>Minusuvirus neosolivicinum</t>
  </si>
  <si>
    <t>Minusuvirus pelenecus</t>
  </si>
  <si>
    <t>Mixstovirus</t>
  </si>
  <si>
    <t>Mixstovirus chorocola</t>
  </si>
  <si>
    <t>Mixstovirus pedocola</t>
  </si>
  <si>
    <t>Mixstovirus pedovivens</t>
  </si>
  <si>
    <t>Mohrtavirus</t>
  </si>
  <si>
    <t>Mohrtavirus asiohabitans</t>
  </si>
  <si>
    <t>Molucevirus caenenecus</t>
  </si>
  <si>
    <t>Molucevirus limicola</t>
  </si>
  <si>
    <t>Molucevirus solivicinum</t>
  </si>
  <si>
    <t>Molucevirus tellurivicinum</t>
  </si>
  <si>
    <t>Nehumivirus asiovicinum</t>
  </si>
  <si>
    <t>Nehumivirus choradaptatum</t>
  </si>
  <si>
    <t>Nehumivirus limenecus</t>
  </si>
  <si>
    <t>Nehumivirus lutenecus</t>
  </si>
  <si>
    <t>Nehumivirus lutivivens</t>
  </si>
  <si>
    <t>Nehwbovirus</t>
  </si>
  <si>
    <t>Nehwbovirus pelenecus</t>
  </si>
  <si>
    <t>Nethevirus</t>
  </si>
  <si>
    <t>Nethevirus luticola</t>
  </si>
  <si>
    <t>Nuhnehevirus</t>
  </si>
  <si>
    <t>Nuhnehevirus choradaptatum</t>
  </si>
  <si>
    <t>Nuhnehevirus fundicola</t>
  </si>
  <si>
    <t>Oldborovirus</t>
  </si>
  <si>
    <t>Oldborovirus edaphovicinum</t>
  </si>
  <si>
    <t>Oldborovirus radicicola</t>
  </si>
  <si>
    <t>Ovirwhivirus</t>
  </si>
  <si>
    <t>Ovirwhivirus faecenecus</t>
  </si>
  <si>
    <t>Ovirwhivirus nemorisadaptatum</t>
  </si>
  <si>
    <t>Pahspavirus agrivivens</t>
  </si>
  <si>
    <t>Pahspavirus caenivicinum</t>
  </si>
  <si>
    <t>Pahspavirus chorenecus</t>
  </si>
  <si>
    <t>Pahspavirus limivicinum</t>
  </si>
  <si>
    <t>Pahspavirus lutadaptatum</t>
  </si>
  <si>
    <t>Pahspavirus messihabitans</t>
  </si>
  <si>
    <t>Pahspavirus pelenecus</t>
  </si>
  <si>
    <t>Pahspavirus pelohabitans</t>
  </si>
  <si>
    <t>Pidhluvirus</t>
  </si>
  <si>
    <t>Pidhluvirus humadaptatum</t>
  </si>
  <si>
    <t>Pihckevirus</t>
  </si>
  <si>
    <t>Pihckevirus lutivicinum</t>
  </si>
  <si>
    <t>Pinlevirus</t>
  </si>
  <si>
    <t>Pinlevirus choradaptatum</t>
  </si>
  <si>
    <t>Pinlevirus edaphadaptatum</t>
  </si>
  <si>
    <t>Pinlevirus humivicinum</t>
  </si>
  <si>
    <t>Pinlevirus messivicinum</t>
  </si>
  <si>
    <t>Pinlevirus segetivivens</t>
  </si>
  <si>
    <t>Pinlevirus telluricola</t>
  </si>
  <si>
    <t>Pirifovirus asiohabitans</t>
  </si>
  <si>
    <t>Pirifovirus asiovicinum</t>
  </si>
  <si>
    <t>Pirifovirus caenicola</t>
  </si>
  <si>
    <t>Pirifovirus caenihabitans</t>
  </si>
  <si>
    <t>Pirifovirus choradaptatum</t>
  </si>
  <si>
    <t>Pirifovirus geocola</t>
  </si>
  <si>
    <t>Pirifovirus messivicinum</t>
  </si>
  <si>
    <t>Pirifovirus radicicola</t>
  </si>
  <si>
    <t>Pirifovirus terricola</t>
  </si>
  <si>
    <t>Prihuvirus</t>
  </si>
  <si>
    <t>Prihuvirus pseudofaecenecus</t>
  </si>
  <si>
    <t>Psiaduvirus caenadaptatum</t>
  </si>
  <si>
    <t>Psiaduvirus caenivicinum</t>
  </si>
  <si>
    <t>Psiaduvirus segeticola</t>
  </si>
  <si>
    <t>Puduphavirus humenecus</t>
  </si>
  <si>
    <t>Puduphavirus nemorishabitans</t>
  </si>
  <si>
    <t>Quihndovirus</t>
  </si>
  <si>
    <t>Quihndovirus agricola</t>
  </si>
  <si>
    <t>Quihndovirus caenivivens</t>
  </si>
  <si>
    <t>Quihndovirus chorenecus</t>
  </si>
  <si>
    <t>Quihndovirus geovivens</t>
  </si>
  <si>
    <t>Quihndovirus luticola</t>
  </si>
  <si>
    <t>Quihndovirus messivivens</t>
  </si>
  <si>
    <t>Quihndovirus pedenecus</t>
  </si>
  <si>
    <t>Quihndovirus segetadaptatum</t>
  </si>
  <si>
    <t>Quihndovirus segetenecus</t>
  </si>
  <si>
    <t>Quihndovirus solenecus</t>
  </si>
  <si>
    <t>Quihndovirus telluricola</t>
  </si>
  <si>
    <t>Quihndovirus terricola</t>
  </si>
  <si>
    <t>Quihndovirus terrivivens</t>
  </si>
  <si>
    <t>Retlevirus</t>
  </si>
  <si>
    <t>Retlevirus soladaptatum</t>
  </si>
  <si>
    <t>Rodtovirus neopelovivens</t>
  </si>
  <si>
    <t>Rydonovirus</t>
  </si>
  <si>
    <t>Rydonovirus arvicola</t>
  </si>
  <si>
    <t>Rydonovirus chthonocola</t>
  </si>
  <si>
    <t>Rydonovirus geovivens</t>
  </si>
  <si>
    <t>Rydonovirus limivicinum</t>
  </si>
  <si>
    <t>Rydonovirus montiscola</t>
  </si>
  <si>
    <t>Rydonovirus tellurenecus</t>
  </si>
  <si>
    <t>Rydonovirus tellurivicinum</t>
  </si>
  <si>
    <t>Sahlfavirus</t>
  </si>
  <si>
    <t>Sahlfavirus nemorisadaptatum</t>
  </si>
  <si>
    <t>Sderotavirus</t>
  </si>
  <si>
    <t>Sderotavirus choradaptatum</t>
  </si>
  <si>
    <t>Sderotavirus lutenecus</t>
  </si>
  <si>
    <t>Sderotavirus pelocola</t>
  </si>
  <si>
    <t>Sdrodtuvirus</t>
  </si>
  <si>
    <t>Sdrodtuvirus arvivicinum</t>
  </si>
  <si>
    <t>Sehcuvirus</t>
  </si>
  <si>
    <t>Sehcuvirus messivicinum</t>
  </si>
  <si>
    <t>Sempoevirus</t>
  </si>
  <si>
    <t>Sempoevirus messivivens</t>
  </si>
  <si>
    <t>Setdovirus</t>
  </si>
  <si>
    <t>Setdovirus faecicola</t>
  </si>
  <si>
    <t>Shiltuvirus</t>
  </si>
  <si>
    <t>Shiltuvirus faecivicinum</t>
  </si>
  <si>
    <t>Shrewlevirus</t>
  </si>
  <si>
    <t>Shrewlevirus lutivivens</t>
  </si>
  <si>
    <t>Stehnavirus terricola</t>
  </si>
  <si>
    <t>Stonedovirus</t>
  </si>
  <si>
    <t>Stonedovirus messivicinum</t>
  </si>
  <si>
    <t>Stonedovirus solenecus</t>
  </si>
  <si>
    <t>Strehtovirus</t>
  </si>
  <si>
    <t>Strehtovirus chthonocola</t>
  </si>
  <si>
    <t>Strehtovirus geoenecus</t>
  </si>
  <si>
    <t>Strehtovirus solivicinum</t>
  </si>
  <si>
    <t>Strotuvirus</t>
  </si>
  <si>
    <t>Strotuvirus chorenecus</t>
  </si>
  <si>
    <t>Studlivirus</t>
  </si>
  <si>
    <t>Studlivirus faecadaptatum</t>
  </si>
  <si>
    <t>Suhnsivirus humadaptatum</t>
  </si>
  <si>
    <t>Suhnsivirus montiscola</t>
  </si>
  <si>
    <t>Tehnicivirus chorovivens</t>
  </si>
  <si>
    <t>Tehnicivirus edaphovicinum</t>
  </si>
  <si>
    <t>Tehnicivirus geovivens</t>
  </si>
  <si>
    <t>Tehnicivirus limivivens</t>
  </si>
  <si>
    <t>Tehnicivirus segetihabitans</t>
  </si>
  <si>
    <t>Tehnicivirus terrenecus</t>
  </si>
  <si>
    <t>Thuhrlavirus</t>
  </si>
  <si>
    <t>Thuhrlavirus arvicola</t>
  </si>
  <si>
    <t>Tikiyavirus agricola</t>
  </si>
  <si>
    <t>Tikiyavirus allofaecadaptatum</t>
  </si>
  <si>
    <t>Tikiyavirus allofaecicola</t>
  </si>
  <si>
    <t>Tikiyavirus allofaecivicinum</t>
  </si>
  <si>
    <t>Tikiyavirus chthonadaptatum</t>
  </si>
  <si>
    <t>Tikiyavirus chthonenecus</t>
  </si>
  <si>
    <t>Tikiyavirus chthonocola</t>
  </si>
  <si>
    <t>Tikiyavirus chthonohabitans</t>
  </si>
  <si>
    <t>Tikiyavirus chthonovicinum</t>
  </si>
  <si>
    <t>Tikiyavirus chthonovivens</t>
  </si>
  <si>
    <t>Tikiyavirus edaphenecus</t>
  </si>
  <si>
    <t>Tikiyavirus faecadaptatum</t>
  </si>
  <si>
    <t>Tikiyavirus faecivicinum</t>
  </si>
  <si>
    <t>Tikiyavirus faecivivens</t>
  </si>
  <si>
    <t>Tikiyavirus geoadaptatum</t>
  </si>
  <si>
    <t>Tikiyavirus geocola</t>
  </si>
  <si>
    <t>Tikiyavirus geoenecus</t>
  </si>
  <si>
    <t>Tikiyavirus geohabitans</t>
  </si>
  <si>
    <t>Tikiyavirus geovicinum</t>
  </si>
  <si>
    <t>Tikiyavirus geovivens</t>
  </si>
  <si>
    <t>Tikiyavirus humicola</t>
  </si>
  <si>
    <t>Tikiyavirus lutenecus</t>
  </si>
  <si>
    <t>Tikiyavirus lutihabitans</t>
  </si>
  <si>
    <t>Tikiyavirus montisadaptatum</t>
  </si>
  <si>
    <t>Tikiyavirus montishabitans</t>
  </si>
  <si>
    <t>Tikiyavirus montisvivens</t>
  </si>
  <si>
    <t>Tikiyavirus nemorisenecus</t>
  </si>
  <si>
    <t>Tikiyavirus pedovicinum</t>
  </si>
  <si>
    <t>Tikiyavirus pelovicinum</t>
  </si>
  <si>
    <t>Tikiyavirus soladaptatum</t>
  </si>
  <si>
    <t>Tikiyavirus solenecus</t>
  </si>
  <si>
    <t>Tikiyavirus solicola</t>
  </si>
  <si>
    <t>Tikiyavirus solihabitans</t>
  </si>
  <si>
    <t>Tikiyavirus solivicinum</t>
  </si>
  <si>
    <t>Tikiyavirus solivivens</t>
  </si>
  <si>
    <t>Tikiyavirus telluradaptatum</t>
  </si>
  <si>
    <t>Tikiyavirus terrivicinum</t>
  </si>
  <si>
    <t>Tuskovirus asiocola</t>
  </si>
  <si>
    <t>Tuskovirus solivivens</t>
  </si>
  <si>
    <t>Tuwendivirus faecivivens</t>
  </si>
  <si>
    <t>Ulenhavirus</t>
  </si>
  <si>
    <t>Ulenhavirus nemorishabitans</t>
  </si>
  <si>
    <t>Wahlkavirus</t>
  </si>
  <si>
    <t>Wahlkavirus segetivivens</t>
  </si>
  <si>
    <t>Wahlkavirus tellurihabitans</t>
  </si>
  <si>
    <t>Wahspovirus</t>
  </si>
  <si>
    <t>Wahspovirus arvenecus</t>
  </si>
  <si>
    <t>Wahspovirus faecivivens</t>
  </si>
  <si>
    <t>Wahspovirus messadaptatum</t>
  </si>
  <si>
    <t>Wahspovirus montisenecus</t>
  </si>
  <si>
    <t>Watorgevirus</t>
  </si>
  <si>
    <t>Watorgevirus pedovicinum</t>
  </si>
  <si>
    <t>Wehlevirus</t>
  </si>
  <si>
    <t>Wehlevirus limadaptatum</t>
  </si>
  <si>
    <t>Wesdanuvirus</t>
  </si>
  <si>
    <t>Wesdanuvirus arvenecus</t>
  </si>
  <si>
    <t>Westonuvirus</t>
  </si>
  <si>
    <t>Westonuvirus agrivicinum</t>
  </si>
  <si>
    <t>Whadcovirus</t>
  </si>
  <si>
    <t>Whadcovirus faecenecus</t>
  </si>
  <si>
    <t>Whidchuvirus</t>
  </si>
  <si>
    <t>Whidchuvirus faecihabitans</t>
  </si>
  <si>
    <t>Whudnevirus</t>
  </si>
  <si>
    <t>Whudnevirus arvivivens</t>
  </si>
  <si>
    <t>Wibpevirus</t>
  </si>
  <si>
    <t>Wibpevirus agrenecus</t>
  </si>
  <si>
    <t>Wibpevirus agricola</t>
  </si>
  <si>
    <t>Wibpevirus agrivicinum</t>
  </si>
  <si>
    <t>Wibpevirus arvadaptatum</t>
  </si>
  <si>
    <t>Wibpevirus asiocola</t>
  </si>
  <si>
    <t>Wibpevirus asiovicinum</t>
  </si>
  <si>
    <t>Wibpevirus chorenecus</t>
  </si>
  <si>
    <t>Wibpevirus geohabitans</t>
  </si>
  <si>
    <t>Wibpevirus humihabitans</t>
  </si>
  <si>
    <t>Wibpevirus pedohabitans</t>
  </si>
  <si>
    <t>Wibpevirus pedovicinum</t>
  </si>
  <si>
    <t>Wibpevirus segetivicinum</t>
  </si>
  <si>
    <t>Wibpevirus tellurihabitans</t>
  </si>
  <si>
    <t>Wibpevirus tellurivicinum</t>
  </si>
  <si>
    <t>Wibpevirus terradaptatum</t>
  </si>
  <si>
    <t>Wilfovirus</t>
  </si>
  <si>
    <t>Wilfovirus arvenecus</t>
  </si>
  <si>
    <t>Wirwovirus</t>
  </si>
  <si>
    <t>Wirwovirus chorocola</t>
  </si>
  <si>
    <t>Wixfovirus</t>
  </si>
  <si>
    <t>Wixfovirus caenivivens</t>
  </si>
  <si>
    <t>Wohodivirus</t>
  </si>
  <si>
    <t>Wohodivirus caenihabitans</t>
  </si>
  <si>
    <t>Wohrmlevirus</t>
  </si>
  <si>
    <t>Wohrmlevirus soladaptatum</t>
  </si>
  <si>
    <t>Wohtavirus</t>
  </si>
  <si>
    <t>Wohtavirus edaphovicinum</t>
  </si>
  <si>
    <t>Wolvivirus</t>
  </si>
  <si>
    <t>Wolvivirus vitiscola</t>
  </si>
  <si>
    <t>Wruxavirus</t>
  </si>
  <si>
    <t>Wruxavirus allofaecicola</t>
  </si>
  <si>
    <t>Wruxavirus allonemorishabitans</t>
  </si>
  <si>
    <t>Wruxavirus humenecus</t>
  </si>
  <si>
    <t>Wundevirus</t>
  </si>
  <si>
    <t>Wundevirus agrihabitans</t>
  </si>
  <si>
    <t>Wushavirus</t>
  </si>
  <si>
    <t>Wushavirus faecivicinum</t>
  </si>
  <si>
    <t>Wushavirus limicola</t>
  </si>
  <si>
    <t>Yeziwivirus allofaecadaptatum</t>
  </si>
  <si>
    <t>Yeziwivirus allofaecenecus</t>
  </si>
  <si>
    <t>Yeziwivirus allofaecicola</t>
  </si>
  <si>
    <t>Yeziwivirus allofaecihabitans</t>
  </si>
  <si>
    <t>Yeziwivirus allofaecivicinum</t>
  </si>
  <si>
    <t>Yeziwivirus allofaecivivens</t>
  </si>
  <si>
    <t>Yeziwivirus asiovicinum</t>
  </si>
  <si>
    <t>Yeziwivirus faecadaptatum</t>
  </si>
  <si>
    <t>Yeziwivirus faecenecus</t>
  </si>
  <si>
    <t>Yeziwivirus faecicola</t>
  </si>
  <si>
    <t>Yeziwivirus faecihabitans</t>
  </si>
  <si>
    <t>Yeziwivirus faecivicinum</t>
  </si>
  <si>
    <t>Yeziwivirus faecivivens</t>
  </si>
  <si>
    <t>Yeziwivirus fundadaptatum</t>
  </si>
  <si>
    <t>Yeziwivirus humadaptatum</t>
  </si>
  <si>
    <t>Yeziwivirus lutenecus</t>
  </si>
  <si>
    <t>Yeziwivirus montisadaptatum</t>
  </si>
  <si>
    <t>Yeziwivirus pelenecus</t>
  </si>
  <si>
    <t>Yeziwivirus pelovivens</t>
  </si>
  <si>
    <t>Yeziwivirus soladaptatum</t>
  </si>
  <si>
    <t>Yeziwivirus solicola</t>
  </si>
  <si>
    <t>Yeziwivirus terricola</t>
  </si>
  <si>
    <t>Grandbuvirus</t>
  </si>
  <si>
    <t>Grandbuvirus radicivivens</t>
  </si>
  <si>
    <t>Mahrahovirus faecivivens</t>
  </si>
  <si>
    <t>Nordovirus</t>
  </si>
  <si>
    <t>Nordovirus asienecus</t>
  </si>
  <si>
    <t>Nordovirus segetivicinum</t>
  </si>
  <si>
    <t>Skrubnovirus chthonovivens</t>
  </si>
  <si>
    <t>Skrubnovirus edaphenecus</t>
  </si>
  <si>
    <t>Skrubnovirus humihabitans</t>
  </si>
  <si>
    <t>Skrubnovirus segeticola</t>
  </si>
  <si>
    <t>Rhizoulivirus alphamellea</t>
  </si>
  <si>
    <t>Naedrevirales</t>
  </si>
  <si>
    <t>Ophiovirus capsici</t>
  </si>
  <si>
    <t>Cartilovirus</t>
  </si>
  <si>
    <t>Cartilovirus plani</t>
  </si>
  <si>
    <t>Cultervirus electrophori</t>
  </si>
  <si>
    <t>Cultervirus inflati</t>
  </si>
  <si>
    <t>Loebevirus</t>
  </si>
  <si>
    <t>Loebevirus percae</t>
  </si>
  <si>
    <t>Anicalvirus hesdarense</t>
  </si>
  <si>
    <t>Birfecvirus</t>
  </si>
  <si>
    <t>Birfecvirus tibetense</t>
  </si>
  <si>
    <t>Copasivirus cattienense</t>
  </si>
  <si>
    <t>Ganiavirus fuyunense</t>
  </si>
  <si>
    <t>Penicillimonavirus cercosporae</t>
  </si>
  <si>
    <t>Phyllomonavirus culicis</t>
  </si>
  <si>
    <t>Plasmopamonavirus alphatrichodermae</t>
  </si>
  <si>
    <t>Plasmopamonavirus betatrichodermae</t>
  </si>
  <si>
    <t>Sclerotimonavirus alphaalternariae</t>
  </si>
  <si>
    <t>Sclerotimonavirus alpharhipicephali</t>
  </si>
  <si>
    <t>Sclerotimonavirus betaalternariae</t>
  </si>
  <si>
    <t>Sclerotimonavirus betarhipicephali</t>
  </si>
  <si>
    <t>Sclerotimonavirus ceratocystis</t>
  </si>
  <si>
    <t>Sclerotimonavirus prolifusarii</t>
  </si>
  <si>
    <t>Sclerotimonavirus trichodermae</t>
  </si>
  <si>
    <t>Berhavirus alphagirardiae</t>
  </si>
  <si>
    <t>Berhavirus betagirardiae</t>
  </si>
  <si>
    <t>Berhavirus gammagirardiae</t>
  </si>
  <si>
    <t>Berhavirus macrostomi</t>
  </si>
  <si>
    <t>Formivirus ixodis</t>
  </si>
  <si>
    <t>Nyavirus gerbillisci</t>
  </si>
  <si>
    <t>Tapwovirus taeniae</t>
  </si>
  <si>
    <t>Metaavulavirus bangorense</t>
  </si>
  <si>
    <t>Metaavulavirus calidris</t>
  </si>
  <si>
    <t>Metaavulavirus procarduelis</t>
  </si>
  <si>
    <t>Orthoavulavirus arenariae</t>
  </si>
  <si>
    <t>Orthoavulavirus taiwanense</t>
  </si>
  <si>
    <t>Paraavulavirus neophemae</t>
  </si>
  <si>
    <t>Feraresvirinae</t>
  </si>
  <si>
    <t>Respirovirus henanense</t>
  </si>
  <si>
    <t>Respirovirus rupicaprae</t>
  </si>
  <si>
    <t>Glossavirinae</t>
  </si>
  <si>
    <t>Ichthysvirinae</t>
  </si>
  <si>
    <t>Kamposvirinae</t>
  </si>
  <si>
    <t>Hippocavirus</t>
  </si>
  <si>
    <t>Hippocavirus hippocampi</t>
  </si>
  <si>
    <t>Bovinavirus</t>
  </si>
  <si>
    <t>Bovinavirus bovis</t>
  </si>
  <si>
    <t>Henipavirus angavokelyense</t>
  </si>
  <si>
    <t>Jeilongvirus chaetodipodis</t>
  </si>
  <si>
    <t>Jeilongvirus eothenomysis</t>
  </si>
  <si>
    <t>Jeilongvirus gueckedouense</t>
  </si>
  <si>
    <t>Jeilongvirus lishuiense</t>
  </si>
  <si>
    <t>Jeilongvirus longquanense</t>
  </si>
  <si>
    <t>Jeilongvirus mastomysis</t>
  </si>
  <si>
    <t>Jeilongvirus meliandouense</t>
  </si>
  <si>
    <t>Jeilongvirus merionis</t>
  </si>
  <si>
    <t>Jeilongvirus microti</t>
  </si>
  <si>
    <t>Jeilongvirus neotomae</t>
  </si>
  <si>
    <t>Jeilongvirus ninovense</t>
  </si>
  <si>
    <t>Jeilongvirus niviventris</t>
  </si>
  <si>
    <t>Jeilongvirus nzerekorense</t>
  </si>
  <si>
    <t>Jeilongvirus ochotonae</t>
  </si>
  <si>
    <t>Jeilongvirus oujiangense</t>
  </si>
  <si>
    <t>Jeilongvirus pajuense</t>
  </si>
  <si>
    <t>Jeilongvirus praomysis</t>
  </si>
  <si>
    <t>Jeilongvirus ratti</t>
  </si>
  <si>
    <t>Jeilongvirus sichuanense</t>
  </si>
  <si>
    <t>Jeilongvirus taichungense</t>
  </si>
  <si>
    <t>Jeilongvirus typhlomysis</t>
  </si>
  <si>
    <t>Jeilongvirus winnikense</t>
  </si>
  <si>
    <t>Jeilongvirus wufengense</t>
  </si>
  <si>
    <t>Jeilongvirus yeoncheonense</t>
  </si>
  <si>
    <t>Morbillivirus myotis</t>
  </si>
  <si>
    <t>Morbillivirus phyllostomi</t>
  </si>
  <si>
    <t>Morbillivirus suis</t>
  </si>
  <si>
    <t>Narmovirus meliandouense</t>
  </si>
  <si>
    <t>Narmovirus microti</t>
  </si>
  <si>
    <t>Narmovirus ninovense</t>
  </si>
  <si>
    <t>Parahenipavirus</t>
  </si>
  <si>
    <t>Parahenipavirus chodsigoae</t>
  </si>
  <si>
    <t>Parahenipavirus crocidurae</t>
  </si>
  <si>
    <t>Parahenipavirus daeryongense</t>
  </si>
  <si>
    <t>Parahenipavirus gamakense</t>
  </si>
  <si>
    <t>Parahenipavirus jingmenense</t>
  </si>
  <si>
    <t>Parahenipavirus langyaense</t>
  </si>
  <si>
    <t>Parahenipavirus meliandouense</t>
  </si>
  <si>
    <t>Parahenipavirus mojiangense</t>
  </si>
  <si>
    <t>Parahenipavirus soricis</t>
  </si>
  <si>
    <t>Parahenipavirus wenzhouense</t>
  </si>
  <si>
    <t>Parahenipavirus winnikense</t>
  </si>
  <si>
    <t>Parajeilongvirus</t>
  </si>
  <si>
    <t>Parajeilongvirus brazilense</t>
  </si>
  <si>
    <t>Parajeilongvirus carolliae</t>
  </si>
  <si>
    <t>Parajeilongvirus comorosense</t>
  </si>
  <si>
    <t>Parajeilongvirus desmodi</t>
  </si>
  <si>
    <t>Parajeilongvirus diaemi</t>
  </si>
  <si>
    <t>Parajeilongvirus erinacei</t>
  </si>
  <si>
    <t>Parajeilongvirus hainanense</t>
  </si>
  <si>
    <t>Parajeilongvirus hipposideri</t>
  </si>
  <si>
    <t>Parajeilongvirus hubeiense</t>
  </si>
  <si>
    <t>Parajeilongvirus jingmenense</t>
  </si>
  <si>
    <t>Parajeilongvirus madagascarense</t>
  </si>
  <si>
    <t>Parajeilongvirus miniopteri</t>
  </si>
  <si>
    <t>Parajeilongvirus myotis</t>
  </si>
  <si>
    <t>Parajeilongvirus pipistrelli</t>
  </si>
  <si>
    <t>Parajeilongvirus plecoti</t>
  </si>
  <si>
    <t>Parajeilongvirus rhinolophi</t>
  </si>
  <si>
    <t>Parajeilongvirus wenzhouense</t>
  </si>
  <si>
    <t>Parajeilongvirus zhejiangense</t>
  </si>
  <si>
    <t>Paramorbillivirus</t>
  </si>
  <si>
    <t>Paramorbillivirus berylmysis</t>
  </si>
  <si>
    <t>Paramorbillivirus gierlense</t>
  </si>
  <si>
    <t>Paramorbillivirus niviventris</t>
  </si>
  <si>
    <t>Paramorbillivirus pueyrredonense</t>
  </si>
  <si>
    <t>Tupaivirus</t>
  </si>
  <si>
    <t>Tupaivirus tupaiae</t>
  </si>
  <si>
    <t>Orthorubulavirus rhinolophi</t>
  </si>
  <si>
    <t>Pararubulavirus eidoli</t>
  </si>
  <si>
    <t>Skoliovirinae</t>
  </si>
  <si>
    <t>Almendravirus shanxi</t>
  </si>
  <si>
    <t>Almendravirus xiangshan</t>
  </si>
  <si>
    <t>Alpharicinrhavirus bancrofti</t>
  </si>
  <si>
    <t>Alpharicinrhavirus huanggang</t>
  </si>
  <si>
    <t>Alpharicinrhavirus huangpi</t>
  </si>
  <si>
    <t>Alpharicinrhavirus jilin</t>
  </si>
  <si>
    <t>Alpharicinrhavirus nanning</t>
  </si>
  <si>
    <t>Alpharicinrhavirus ningxia</t>
  </si>
  <si>
    <t>Alpharicinrhavirus qinghai</t>
  </si>
  <si>
    <t>Alpharicinrhavirus reticulatus</t>
  </si>
  <si>
    <t>Alpharicinrhavirus skanevik</t>
  </si>
  <si>
    <t>Alpharicinrhavirus tahe</t>
  </si>
  <si>
    <t>Alpharicinrhavirus taishun</t>
  </si>
  <si>
    <t>Alpharicinrhavirus zhangjiakou</t>
  </si>
  <si>
    <t>Amplylivirus pugnax</t>
  </si>
  <si>
    <t>Ephemerovirus huanggang</t>
  </si>
  <si>
    <t>Ledantevirus tongren</t>
  </si>
  <si>
    <t>Lostrhavirus alxa</t>
  </si>
  <si>
    <t>Lyssavirus kotalahti</t>
  </si>
  <si>
    <t>Merhavirus formosus</t>
  </si>
  <si>
    <t>Merhavirus hattula</t>
  </si>
  <si>
    <t>Merhavirus inari</t>
  </si>
  <si>
    <t>Ohlsrhavirus adumi</t>
  </si>
  <si>
    <t>Sigmavirus jopcycgri</t>
  </si>
  <si>
    <t>Sigmavirus tryoni</t>
  </si>
  <si>
    <t>Tupavirus incomtus</t>
  </si>
  <si>
    <t>Tupavirus stheno</t>
  </si>
  <si>
    <t>Tupavirus stoliczkanus</t>
  </si>
  <si>
    <t>Uniorhavirus</t>
  </si>
  <si>
    <t>Uniorhavirus killamcar</t>
  </si>
  <si>
    <t>Alphagymnorhavirus</t>
  </si>
  <si>
    <t>Alphagymnorhavirus abietis</t>
  </si>
  <si>
    <t>Alphagymnorhavirus amentotaxi</t>
  </si>
  <si>
    <t>Alphagymnorhavirus cupressi</t>
  </si>
  <si>
    <t>Alphagymnorhavirus piceae</t>
  </si>
  <si>
    <t>Alphagymnorhavirus pinibanksiae</t>
  </si>
  <si>
    <t>Alphagymnorhavirus piniflexilis</t>
  </si>
  <si>
    <t>Alphagymnorhavirus piniyunannensis</t>
  </si>
  <si>
    <t>Alphagymnorhavirus sciadopitysis</t>
  </si>
  <si>
    <t>Alphagymnorhavirus taxi</t>
  </si>
  <si>
    <t>Alphanucleorhabdovirus lycopersici</t>
  </si>
  <si>
    <t>Alphanucleorhabdovirus xinjianensis</t>
  </si>
  <si>
    <t>Betagymnorhavirus</t>
  </si>
  <si>
    <t>Betagymnorhavirus torreyae</t>
  </si>
  <si>
    <t>Betanucleorhabdovirus alphalycopersici</t>
  </si>
  <si>
    <t>Betanucleorhabdovirus betalycopersici</t>
  </si>
  <si>
    <t>Betanucleorhabdovirus picridis</t>
  </si>
  <si>
    <t>Betanucleorhabdovirus taraxi</t>
  </si>
  <si>
    <t>Cytorhabdovirus betafragariae</t>
  </si>
  <si>
    <t>Cytorhabdovirus betarosae</t>
  </si>
  <si>
    <t>Cytorhabdovirus daphnis</t>
  </si>
  <si>
    <t>Cytorhabdovirus glycinis</t>
  </si>
  <si>
    <t>Cytorhabdovirus hyptisis</t>
  </si>
  <si>
    <t>Cytorhabdovirus pastinacae</t>
  </si>
  <si>
    <t>Cytorhabdovirus pogostemi</t>
  </si>
  <si>
    <t>Cytorhabdovirus ribes</t>
  </si>
  <si>
    <t>Cytorhabdovirus rudbeckiae</t>
  </si>
  <si>
    <t>Cytorhabdovirus sambuci</t>
  </si>
  <si>
    <t>Cytorhabdovirus taraxaci</t>
  </si>
  <si>
    <t>Cytorhabdovirus tiliae</t>
  </si>
  <si>
    <t>Deltanucleorhabdovirus</t>
  </si>
  <si>
    <t>Deltanucleorhabdovirus fragariae</t>
  </si>
  <si>
    <t>Deltanucleorhabdovirus medicagonis</t>
  </si>
  <si>
    <t>Dichorhavirus australis</t>
  </si>
  <si>
    <t>Gammanucleorhabdovirus cerealis</t>
  </si>
  <si>
    <t>Varicosavirus aconiti</t>
  </si>
  <si>
    <t>Varicosavirus alphabrassicae</t>
  </si>
  <si>
    <t>Varicosavirus aperae</t>
  </si>
  <si>
    <t>Varicosavirus aponogeti</t>
  </si>
  <si>
    <t>Varicosavirus arceuthobii</t>
  </si>
  <si>
    <t>Varicosavirus artemisiae</t>
  </si>
  <si>
    <t>Varicosavirus asclepiadis</t>
  </si>
  <si>
    <t>Varicosavirus betabrassicae</t>
  </si>
  <si>
    <t>Varicosavirus caladeniae</t>
  </si>
  <si>
    <t>Varicosavirus centaurea</t>
  </si>
  <si>
    <t>Varicosavirus cucumis</t>
  </si>
  <si>
    <t>Varicosavirus didymochlaenae</t>
  </si>
  <si>
    <t>Varicosavirus erysimi</t>
  </si>
  <si>
    <t>Varicosavirus frullaniae</t>
  </si>
  <si>
    <t>Varicosavirus guizotiae</t>
  </si>
  <si>
    <t>Varicosavirus holci</t>
  </si>
  <si>
    <t>Varicosavirus leucanthemi</t>
  </si>
  <si>
    <t>Varicosavirus luffae</t>
  </si>
  <si>
    <t>Varicosavirus meliloti</t>
  </si>
  <si>
    <t>Varicosavirus monocleae</t>
  </si>
  <si>
    <t>Varicosavirus penniseti</t>
  </si>
  <si>
    <t>Varicosavirus primulae</t>
  </si>
  <si>
    <t>Varicosavirus ranunculi</t>
  </si>
  <si>
    <t>Varicosavirus raphani</t>
  </si>
  <si>
    <t>Varicosavirus ribes</t>
  </si>
  <si>
    <t>Varicosavirus silenis</t>
  </si>
  <si>
    <t>Varicosavirus streptoglossae</t>
  </si>
  <si>
    <t>Varicosavirus tanaceti</t>
  </si>
  <si>
    <t>Varicosavirus thrysopteris</t>
  </si>
  <si>
    <t>Varicosavirus treubiae</t>
  </si>
  <si>
    <t>Varicosavirus tritici</t>
  </si>
  <si>
    <t>Varicosavirus vincetoxici</t>
  </si>
  <si>
    <t>Varicosavirus zea</t>
  </si>
  <si>
    <t>Deltarhabdovirinae</t>
  </si>
  <si>
    <t>Alphahymrhavirus distinguendus</t>
  </si>
  <si>
    <t>Alphahymrhavirus xiangshan</t>
  </si>
  <si>
    <t>Betahymrhavirus xiangshan</t>
  </si>
  <si>
    <t>Betaricinrhavirus mudanjiang</t>
  </si>
  <si>
    <t>Betaricinrhavirus tongren</t>
  </si>
  <si>
    <t>Betaricinrhavirus yanbian</t>
  </si>
  <si>
    <t>Gammahymrhavirus</t>
  </si>
  <si>
    <t>Gammahymrhavirus cerana</t>
  </si>
  <si>
    <t>Gammahymrhavirus longicaudata</t>
  </si>
  <si>
    <t>Gammahymrhavirus mellifera</t>
  </si>
  <si>
    <t>Gammaricinrhavirus</t>
  </si>
  <si>
    <t>Gammaricinrhavirus fuyun</t>
  </si>
  <si>
    <t>Gammaricinrhavirus tacheng</t>
  </si>
  <si>
    <t>Primrhavirus</t>
  </si>
  <si>
    <t>Primrhavirus atrato</t>
  </si>
  <si>
    <t>Primrhavirus gabriel</t>
  </si>
  <si>
    <t>Primrhavirus primus</t>
  </si>
  <si>
    <t>Stangrhavirus</t>
  </si>
  <si>
    <t>Stangrhavirus elisy</t>
  </si>
  <si>
    <t>Stangrhavirus guadeloupe</t>
  </si>
  <si>
    <t>Stangrhavirus stang</t>
  </si>
  <si>
    <t>Stangrhavirus wuhan</t>
  </si>
  <si>
    <t>Margarhavirus</t>
  </si>
  <si>
    <t>Margarhavirus chemarfal</t>
  </si>
  <si>
    <t>Platrhavirus</t>
  </si>
  <si>
    <t>Platrhavirus microphallus</t>
  </si>
  <si>
    <t>Platrhavirus nodulosis</t>
  </si>
  <si>
    <t>Platrhavirus orientalis</t>
  </si>
  <si>
    <t>Platrhavirus pseudoglobulus</t>
  </si>
  <si>
    <t>Platrhavirus turkestanicum</t>
  </si>
  <si>
    <t>Platrhavirus vulpes</t>
  </si>
  <si>
    <t>Corulvirus</t>
  </si>
  <si>
    <t>Corulvirus hangzhouense</t>
  </si>
  <si>
    <t>Culivirus</t>
  </si>
  <si>
    <t>Culivirus belgradiense</t>
  </si>
  <si>
    <t>Culivirus dunyae</t>
  </si>
  <si>
    <t>Gordisvirus</t>
  </si>
  <si>
    <t>Gordisvirus californiense</t>
  </si>
  <si>
    <t>Gudgevirus</t>
  </si>
  <si>
    <t>Gudgevirus namadgii</t>
  </si>
  <si>
    <t>Laumovirus</t>
  </si>
  <si>
    <t>Laumovirus liaoningense</t>
  </si>
  <si>
    <t>Molauvirus</t>
  </si>
  <si>
    <t>Molauvirus liaoningense</t>
  </si>
  <si>
    <t>Nurnegvirus</t>
  </si>
  <si>
    <t>Nurnegvirus hainanense</t>
  </si>
  <si>
    <t>Puclevirus</t>
  </si>
  <si>
    <t>Puclevirus hangzhouense</t>
  </si>
  <si>
    <t>Tecephavirus</t>
  </si>
  <si>
    <t>Tecephavirus sydneyense</t>
  </si>
  <si>
    <t>Trocevirus</t>
  </si>
  <si>
    <t>Trocevirus haikouense</t>
  </si>
  <si>
    <t>Bunyaviricetes</t>
  </si>
  <si>
    <t>Elliovirales</t>
  </si>
  <si>
    <t>Lincruvirus braziliense</t>
  </si>
  <si>
    <t>Emaravirus ailanthi</t>
  </si>
  <si>
    <t>Emaravirus artemisiae</t>
  </si>
  <si>
    <t>Emaravirus kudzu</t>
  </si>
  <si>
    <t>Percilovirus</t>
  </si>
  <si>
    <t>Percilovirus gobii</t>
  </si>
  <si>
    <t>Percilovirus lophii</t>
  </si>
  <si>
    <t>Mobatvirus dakrongense</t>
  </si>
  <si>
    <t>Mobatvirus robinaense</t>
  </si>
  <si>
    <t>Orthohantavirus artybashense</t>
  </si>
  <si>
    <t>Orthohantavirus carrizalense</t>
  </si>
  <si>
    <t>Orthohantavirus lankaense</t>
  </si>
  <si>
    <t>Orthohantavirus mamorense</t>
  </si>
  <si>
    <t>Orthohantavirus wufangense</t>
  </si>
  <si>
    <t>Konkoviridae</t>
  </si>
  <si>
    <t>Olpivirus</t>
  </si>
  <si>
    <t>Olpivirus tulipae</t>
  </si>
  <si>
    <t>Gryffinivirus</t>
  </si>
  <si>
    <t>Gryffinivirus alamedaense</t>
  </si>
  <si>
    <t>Gryffinivirus hedwigae</t>
  </si>
  <si>
    <t>Orthobunyavirus barritaense</t>
  </si>
  <si>
    <t>Orthobunyavirus belmontense</t>
  </si>
  <si>
    <t>Orthobunyavirus parkeri</t>
  </si>
  <si>
    <t>Orthobunyavirus sussexense</t>
  </si>
  <si>
    <t>Orthobunyavirus yacaabaense</t>
  </si>
  <si>
    <t>Paratulasvirus</t>
  </si>
  <si>
    <t>Paratulasvirus agrocybes</t>
  </si>
  <si>
    <t>Hareavirales</t>
  </si>
  <si>
    <t>Mammarenavirus abaense</t>
  </si>
  <si>
    <t>Mammarenavirus batangense</t>
  </si>
  <si>
    <t>Mammarenavirus beregaense</t>
  </si>
  <si>
    <t>Mammarenavirus ganziense</t>
  </si>
  <si>
    <t>Mammarenavirus mafigaense</t>
  </si>
  <si>
    <t>Mammarenavirus mecsekense</t>
  </si>
  <si>
    <t>Mammarenavirus ngerengerense</t>
  </si>
  <si>
    <t>Mammarenavirus songeaense</t>
  </si>
  <si>
    <t>Mammarenavirus tietense</t>
  </si>
  <si>
    <t>Orthodiscovirus oryzae</t>
  </si>
  <si>
    <t>Orthonairovirus antuense</t>
  </si>
  <si>
    <t>Orthonairovirus crocidurae</t>
  </si>
  <si>
    <t>Orthonairovirus gubboense</t>
  </si>
  <si>
    <t>Orthonairovirus lambarenense</t>
  </si>
  <si>
    <t>Orthonairovirus manidae</t>
  </si>
  <si>
    <t>Orthonairovirus meihuashanense</t>
  </si>
  <si>
    <t>Orthonairovirus sinense</t>
  </si>
  <si>
    <t>Orthonairovirus sunci</t>
  </si>
  <si>
    <t>Sitinavirus</t>
  </si>
  <si>
    <t>Sitinavirus sichuanense</t>
  </si>
  <si>
    <t>Bocivirus</t>
  </si>
  <si>
    <t>Bocivirus botrytidis</t>
  </si>
  <si>
    <t>Bocivirus fusarii</t>
  </si>
  <si>
    <t>Bocivirus trichodermae</t>
  </si>
  <si>
    <t>Bocivirus viticulum</t>
  </si>
  <si>
    <t>Coguvirus chrysanthae</t>
  </si>
  <si>
    <t>Mechlorovirus ramuense</t>
  </si>
  <si>
    <t>Phlebovirus limboense</t>
  </si>
  <si>
    <t>Tenuivirus festucae</t>
  </si>
  <si>
    <t>Tenuivirus kwazuluense</t>
  </si>
  <si>
    <t>Tenuivirus pontaense</t>
  </si>
  <si>
    <t>Orthocurvulavirus annosi</t>
  </si>
  <si>
    <t>Orthocurvulavirus curvulariae</t>
  </si>
  <si>
    <t>Orthocurvulavirus fusarii</t>
  </si>
  <si>
    <t>Orthocurvulavirus rhizoctoniae</t>
  </si>
  <si>
    <t>Orthocurvulavirus rufi</t>
  </si>
  <si>
    <t>Orthocurvulavirus sclerotiniae</t>
  </si>
  <si>
    <t>Orthocurvulavirus tabidi</t>
  </si>
  <si>
    <t>Orthocurvulavirus trichodermae</t>
  </si>
  <si>
    <t>Alphapartitivirus betae</t>
  </si>
  <si>
    <t>Alphapartitivirus carotae</t>
  </si>
  <si>
    <t>Alphapartitivirus cerasi</t>
  </si>
  <si>
    <t>Alphapartitivirus chondrosteri</t>
  </si>
  <si>
    <t>Alphapartitivirus duodecimheterobasidion</t>
  </si>
  <si>
    <t>Alphapartitivirus flammulinae</t>
  </si>
  <si>
    <t>Alphapartitivirus helicobasidii</t>
  </si>
  <si>
    <t>Alphapartitivirus quindecimheterobasidion</t>
  </si>
  <si>
    <t>Alphapartitivirus roselliniae</t>
  </si>
  <si>
    <t>Alphapartitivirus tredecimheterobasidion</t>
  </si>
  <si>
    <t>Alphapartitivirus trifolii</t>
  </si>
  <si>
    <t>Alphapartitivirus triheterobasidion</t>
  </si>
  <si>
    <t>Alphapartitivirus uniheterobasidion</t>
  </si>
  <si>
    <t>Alphapartitivirus viciae</t>
  </si>
  <si>
    <t>Betapartitivirus anethi</t>
  </si>
  <si>
    <t>Betapartitivirus atkinsonellae</t>
  </si>
  <si>
    <t>Betapartitivirus cannabis</t>
  </si>
  <si>
    <t>Betapartitivirus ceratocystis</t>
  </si>
  <si>
    <t>Betapartitivirus duoheterobasidion</t>
  </si>
  <si>
    <t>Betapartitivirus fusarii</t>
  </si>
  <si>
    <t>Betapartitivirus humuli</t>
  </si>
  <si>
    <t>Betapartitivirus octiheterobasidion</t>
  </si>
  <si>
    <t>Betapartitivirus piheterobasidion</t>
  </si>
  <si>
    <t>Betapartitivirus pleuroti</t>
  </si>
  <si>
    <t>Betapartitivirus pratense</t>
  </si>
  <si>
    <t>Betapartitivirus primulae</t>
  </si>
  <si>
    <t>Betapartitivirus purpurae</t>
  </si>
  <si>
    <t>Betapartitivirus rhiso</t>
  </si>
  <si>
    <t>Betapartitivirus roselliniae</t>
  </si>
  <si>
    <t>Betapartitivirus septemheterobasidion</t>
  </si>
  <si>
    <t>Betapartitivirus trifolii</t>
  </si>
  <si>
    <t>Cryspovirus cryptosporidii</t>
  </si>
  <si>
    <t>Deltapartitivirus duobetae</t>
  </si>
  <si>
    <t>Deltapartitivirus duocapsici</t>
  </si>
  <si>
    <t>Deltapartitivirus fici</t>
  </si>
  <si>
    <t>Deltapartitivirus trebetae</t>
  </si>
  <si>
    <t>Deltapartitivirus unocapsici</t>
  </si>
  <si>
    <t>Gammapartitivirus aspergilli</t>
  </si>
  <si>
    <t>Gammapartitivirus duodisculae</t>
  </si>
  <si>
    <t>Gammapartitivirus effepenicillii</t>
  </si>
  <si>
    <t>Gammapartitivirus essepenicillii</t>
  </si>
  <si>
    <t>Gammapartitivirus fusarii</t>
  </si>
  <si>
    <t>Gammapartitivirus gremmeniellae</t>
  </si>
  <si>
    <t>Gammapartitivirus ophiostomae</t>
  </si>
  <si>
    <t>Gammapartitivirus unodisculae</t>
  </si>
  <si>
    <t>Alphaabyssovirus aplysiae</t>
  </si>
  <si>
    <t>Etaarterivirus ugarco</t>
  </si>
  <si>
    <t>Iotaarterivirus kibreg</t>
  </si>
  <si>
    <t>Thetaarterivirus mikelba</t>
  </si>
  <si>
    <t>Zetaarterivirus ugarco</t>
  </si>
  <si>
    <t>Betaarterivirus americense</t>
  </si>
  <si>
    <t>Betaarterivirus chinrav</t>
  </si>
  <si>
    <t>Betaarterivirus europensis</t>
  </si>
  <si>
    <t>Pontunivirus mauremydis</t>
  </si>
  <si>
    <t>Cyclophivirus ptyadis</t>
  </si>
  <si>
    <t>Kukrinivirus oligodontis</t>
  </si>
  <si>
    <t>Alphaletovirus microhylae</t>
  </si>
  <si>
    <t>Alphacoronavirus almalfi</t>
  </si>
  <si>
    <t>Alphacoronavirus myotis</t>
  </si>
  <si>
    <t>Alphacoronavirus australiense</t>
  </si>
  <si>
    <t>Alphacoronavirus ferrumequini</t>
  </si>
  <si>
    <t>Alphacoronavirus hipposideri</t>
  </si>
  <si>
    <t>Alphacoronavirus rousetti</t>
  </si>
  <si>
    <t>Alphacoronavirus chicagoense</t>
  </si>
  <si>
    <t>Alphacoronavirus ratti</t>
  </si>
  <si>
    <t>Alphacoronavirus neovisontis</t>
  </si>
  <si>
    <t>Alphacoronavirus miniopteri</t>
  </si>
  <si>
    <t>Alphacoronavirus pusilli</t>
  </si>
  <si>
    <t>Alphacoronavirus ricketti</t>
  </si>
  <si>
    <t>Alphacoronavirus chalinolobi</t>
  </si>
  <si>
    <t>Alphacoronavirus nyctali</t>
  </si>
  <si>
    <t>Alphacoronavirus pipistrelli</t>
  </si>
  <si>
    <t>Alphacoronavirus tylonycteridis</t>
  </si>
  <si>
    <t>Alphacoronavirus finnoniense</t>
  </si>
  <si>
    <t>Alphacoronavirus gouldii</t>
  </si>
  <si>
    <t>Alphacoronavirus porci</t>
  </si>
  <si>
    <t>Alphacoronavirus scotophili</t>
  </si>
  <si>
    <t>Alphacoronavirus rhinolophi</t>
  </si>
  <si>
    <t>Alphacoronavirus amsterdamense</t>
  </si>
  <si>
    <t>Alphacoronavirus triaenopis</t>
  </si>
  <si>
    <t>Alphacoronavirus soricis</t>
  </si>
  <si>
    <t>Alphacoronavirus sunci</t>
  </si>
  <si>
    <t>Alphacoronavirus suis</t>
  </si>
  <si>
    <t>Betacoronavirus gravedinis</t>
  </si>
  <si>
    <t>Betacoronavirus hongkongense</t>
  </si>
  <si>
    <t>Betacoronavirus muris</t>
  </si>
  <si>
    <t>Betacoronavirus myodae</t>
  </si>
  <si>
    <t>Betacoronavirus ratti</t>
  </si>
  <si>
    <t>Betacoronavirus hipposideri</t>
  </si>
  <si>
    <t>Betacoronavirus cameli</t>
  </si>
  <si>
    <t>Betacoronavirus erinacei</t>
  </si>
  <si>
    <t>Betacoronavirus pipistrelli</t>
  </si>
  <si>
    <t>Betacoronavirus tylonycteridis</t>
  </si>
  <si>
    <t>Betacoronavirus cororeum</t>
  </si>
  <si>
    <t>Betacoronavirus eidoli</t>
  </si>
  <si>
    <t>Betacoronavirus rousetti</t>
  </si>
  <si>
    <t>Betacoronavirus pandemicum</t>
  </si>
  <si>
    <t>Deltacoronavirus marecae</t>
  </si>
  <si>
    <t>Deltacoronavirus gallinulae</t>
  </si>
  <si>
    <t>Deltacoronavirus lonchurae</t>
  </si>
  <si>
    <t>Deltacoronavirus pycnonoti</t>
  </si>
  <si>
    <t>Deltacoronavirus suis</t>
  </si>
  <si>
    <t>Deltacoronavirus zosteropis</t>
  </si>
  <si>
    <t>Deltacoronavirus nycticoracis</t>
  </si>
  <si>
    <t>Gammacoronavirus brantae</t>
  </si>
  <si>
    <t>Gammacoronavirus delphinapteri</t>
  </si>
  <si>
    <t>Gammacoronavirus anatis</t>
  </si>
  <si>
    <t>Gammacoronavirus galli</t>
  </si>
  <si>
    <t>Gammacoronavirus pulli</t>
  </si>
  <si>
    <t>Alphapironavirus salmonis</t>
  </si>
  <si>
    <t>Bolenivirus botrylloidis</t>
  </si>
  <si>
    <t>Turrinivirus turritellae</t>
  </si>
  <si>
    <t>Alphamesonivirus casuarinaense</t>
  </si>
  <si>
    <t>Alphamesonivirus nseense</t>
  </si>
  <si>
    <t>Alphamesonivirus hanaense</t>
  </si>
  <si>
    <t>Alphamesonivirus kadiweuorum</t>
  </si>
  <si>
    <t>Alphamesonivirus daknongense</t>
  </si>
  <si>
    <t>Alphamesonivirus karangense</t>
  </si>
  <si>
    <t>Alphamesonivirus menoense</t>
  </si>
  <si>
    <t>Alphamesonivirus cavallyense</t>
  </si>
  <si>
    <t>Alphamesonivirus diankeense</t>
  </si>
  <si>
    <t>Alphamesonivirus ofaieorum</t>
  </si>
  <si>
    <t>Alphamesonivirus yichangense</t>
  </si>
  <si>
    <t>Nasenivirus tami</t>
  </si>
  <si>
    <t>Alphamononivirus schmidteae</t>
  </si>
  <si>
    <t>Chimshavirus chimaerae</t>
  </si>
  <si>
    <t>Sajorinivirus hyporhamphi</t>
  </si>
  <si>
    <t>Charybnivirus charybdis</t>
  </si>
  <si>
    <t>Charybnivirus wenlingense</t>
  </si>
  <si>
    <t>Paguronivirus eremitae</t>
  </si>
  <si>
    <t>Bafinivirus bliccae</t>
  </si>
  <si>
    <t>Bafinivirus pimephalae</t>
  </si>
  <si>
    <t>Oncotshavirus oncorhynchi</t>
  </si>
  <si>
    <t>Bostovirus bovis</t>
  </si>
  <si>
    <t>Infratovirus hebii</t>
  </si>
  <si>
    <t>Infratovirus hubeiense</t>
  </si>
  <si>
    <t>Lyctovirus lycodontis</t>
  </si>
  <si>
    <t>Pregotovirus moreliae</t>
  </si>
  <si>
    <t>Pregotovirus pythonis</t>
  </si>
  <si>
    <t>Pregotovirus myuchelyis</t>
  </si>
  <si>
    <t>Pregotovirus tiliquae</t>
  </si>
  <si>
    <t>Sectovirus xinzhouense</t>
  </si>
  <si>
    <t>Torovirus bovis</t>
  </si>
  <si>
    <t>Torovirus equi</t>
  </si>
  <si>
    <t>Torovirus suis</t>
  </si>
  <si>
    <t>Bavovirus bavariaense</t>
  </si>
  <si>
    <t>Lagovirus europaeus</t>
  </si>
  <si>
    <t>Minovirus pimephalis</t>
  </si>
  <si>
    <t>Nacovirus meleagridis</t>
  </si>
  <si>
    <t>Nebovirus newburyense</t>
  </si>
  <si>
    <t>Norovirus norwalkense</t>
  </si>
  <si>
    <t>Recovirus tulani</t>
  </si>
  <si>
    <t>Salovirus nordlandense</t>
  </si>
  <si>
    <t>Sapovirus sapporoense</t>
  </si>
  <si>
    <t>Valovirus valerienense</t>
  </si>
  <si>
    <t>Vesivirus exanthema</t>
  </si>
  <si>
    <t>Vesivirus felis</t>
  </si>
  <si>
    <t>Ailurivirus agiapa</t>
  </si>
  <si>
    <t>Aphthovirus bogeli</t>
  </si>
  <si>
    <t>Aphthovirus burrowsi</t>
  </si>
  <si>
    <t>Aphthovirus reedi</t>
  </si>
  <si>
    <t>Aphthovirus vesiculae</t>
  </si>
  <si>
    <t>Bopivirus abovi</t>
  </si>
  <si>
    <t>Cardiovirus dhusarah</t>
  </si>
  <si>
    <t>Cardiovirus ranori</t>
  </si>
  <si>
    <t>Cardiovirus rudhira</t>
  </si>
  <si>
    <t>Cardiovirus rueckerti</t>
  </si>
  <si>
    <t>Cardiovirus saffoldi</t>
  </si>
  <si>
    <t>Cardiovirus theileri</t>
  </si>
  <si>
    <t>Cosavirus asiani</t>
  </si>
  <si>
    <t>Cosavirus bepakis</t>
  </si>
  <si>
    <t>Cosavirus depakis</t>
  </si>
  <si>
    <t>Cosavirus eaustrali</t>
  </si>
  <si>
    <t>Cosavirus fepakis</t>
  </si>
  <si>
    <t>Erbovirus aequirhi</t>
  </si>
  <si>
    <t>Hunnivirus amagyari</t>
  </si>
  <si>
    <t>Malagasivirus alphalesa</t>
  </si>
  <si>
    <t>Malagasivirus betalesa</t>
  </si>
  <si>
    <t>Marsupivirus aburpengari</t>
  </si>
  <si>
    <t>Mischivirus acombewi</t>
  </si>
  <si>
    <t>Mischivirus beminio</t>
  </si>
  <si>
    <t>Mischivirus cica</t>
  </si>
  <si>
    <t>Mischivirus defoxi</t>
  </si>
  <si>
    <t>Mischivirus ehoushre</t>
  </si>
  <si>
    <t>Mosavirus acanmo</t>
  </si>
  <si>
    <t>Mosavirus betibeti</t>
  </si>
  <si>
    <t>Mupivirus arati</t>
  </si>
  <si>
    <t>Senecavirus cetus</t>
  </si>
  <si>
    <t>Senecavirus valles</t>
  </si>
  <si>
    <t>Teschovirus asilesi</t>
  </si>
  <si>
    <t>Teschovirus bishikawa</t>
  </si>
  <si>
    <t>Torchivirus atorpi</t>
  </si>
  <si>
    <t>Tottorivirus asuscro</t>
  </si>
  <si>
    <t>Anativirus aductai</t>
  </si>
  <si>
    <t>Anativirus biphaco</t>
  </si>
  <si>
    <t>Boosepivirus atauri</t>
  </si>
  <si>
    <t>Boosepivirus bebovi</t>
  </si>
  <si>
    <t>Boosepivirus ceovis</t>
  </si>
  <si>
    <t>Diresapivirus arhiferi</t>
  </si>
  <si>
    <t>Diresapivirus benyvelu</t>
  </si>
  <si>
    <t>Enterovirus alphacoxsackie</t>
  </si>
  <si>
    <t>Enterovirus alpharhino</t>
  </si>
  <si>
    <t>Enterovirus betacoxsackie</t>
  </si>
  <si>
    <t>Enterovirus betarhino</t>
  </si>
  <si>
    <t>Enterovirus cerhino</t>
  </si>
  <si>
    <t>Enterovirus coxsackiepol</t>
  </si>
  <si>
    <t>Enterovirus deconjuncti</t>
  </si>
  <si>
    <t>Enterovirus eibovi</t>
  </si>
  <si>
    <t>Enterovirus fitauri</t>
  </si>
  <si>
    <t>Enterovirus geswini</t>
  </si>
  <si>
    <t>Enterovirus hesimi</t>
  </si>
  <si>
    <t>Enterovirus idromi</t>
  </si>
  <si>
    <t>Enterovirus jesimi</t>
  </si>
  <si>
    <t>Enterovirus krodeni</t>
  </si>
  <si>
    <t>Enterovirus lesimi</t>
  </si>
  <si>
    <t>Felipivirus acati</t>
  </si>
  <si>
    <t>Parabovirus anorrati</t>
  </si>
  <si>
    <t>Parabovirus bechstihams</t>
  </si>
  <si>
    <t>Parabovirus chiwhibe</t>
  </si>
  <si>
    <t>Rabovirus aneyoci</t>
  </si>
  <si>
    <t>Rabovirus begaschmo</t>
  </si>
  <si>
    <t>Rabovirus cemarmo</t>
  </si>
  <si>
    <t>Rabovirus dehomo</t>
  </si>
  <si>
    <t>Sapelovirus anglia</t>
  </si>
  <si>
    <t>Sapelovirus besimi</t>
  </si>
  <si>
    <t>Caecilivirus banna</t>
  </si>
  <si>
    <t>Crahelivirus agapo</t>
  </si>
  <si>
    <t>Fipivirus acarpi</t>
  </si>
  <si>
    <t>Fipivirus besharpi</t>
  </si>
  <si>
    <t>Fipivirus crosso</t>
  </si>
  <si>
    <t>Fipivirus demackeri</t>
  </si>
  <si>
    <t>Fipivirus ebanjoi</t>
  </si>
  <si>
    <t>Fipivirus fiperchi</t>
  </si>
  <si>
    <t>Gruhelivirus agrusa</t>
  </si>
  <si>
    <t>Hepatovirus ahepa</t>
  </si>
  <si>
    <t>Hepatovirus bephopi</t>
  </si>
  <si>
    <t>Hepatovirus cemanavi</t>
  </si>
  <si>
    <t>Hepatovirus devoli</t>
  </si>
  <si>
    <t>Hepatovirus erubebrufu</t>
  </si>
  <si>
    <t>Hepatovirus fejalco</t>
  </si>
  <si>
    <t>Hepatovirus gafrisheta</t>
  </si>
  <si>
    <t>Hepatovirus hedgi</t>
  </si>
  <si>
    <t>Hepatovirus ishrewi</t>
  </si>
  <si>
    <t>Rohelivirus arodenti</t>
  </si>
  <si>
    <t>Tremovirus aetremori</t>
  </si>
  <si>
    <t>Tremovirus beturtli</t>
  </si>
  <si>
    <t>Danipivirus abrafi</t>
  </si>
  <si>
    <t>Dicipivirus acadici</t>
  </si>
  <si>
    <t>Dicipivirus berinro</t>
  </si>
  <si>
    <t>Gallivirus afowli</t>
  </si>
  <si>
    <t>Hemipivirus aholtge</t>
  </si>
  <si>
    <t>Kobuvirus aichi</t>
  </si>
  <si>
    <t>Kobuvirus bejaponia</t>
  </si>
  <si>
    <t>Kobuvirus cebes</t>
  </si>
  <si>
    <t>Kobuvirus dekago</t>
  </si>
  <si>
    <t>Kobuvirus ecuni</t>
  </si>
  <si>
    <t>Kobuvirus femyomini</t>
  </si>
  <si>
    <t>Livupivirus asmonewi</t>
  </si>
  <si>
    <t>Ludopivirus agrewhifrogo</t>
  </si>
  <si>
    <t>Megrivirus aturhepa</t>
  </si>
  <si>
    <t>Megrivirus berockdo</t>
  </si>
  <si>
    <t>Megrivirus chigalli</t>
  </si>
  <si>
    <t>Megrivirus deharri</t>
  </si>
  <si>
    <t>Megrivirus epengu</t>
  </si>
  <si>
    <t>Myrropivirus achiwas</t>
  </si>
  <si>
    <t>Oscivirus ahokorobi</t>
  </si>
  <si>
    <t>Passerivirus ahokothi</t>
  </si>
  <si>
    <t>Passerivirus bewaxi</t>
  </si>
  <si>
    <t>Pemapivirus achisotu</t>
  </si>
  <si>
    <t>Pemapivirus brohepotu</t>
  </si>
  <si>
    <t>Poecivirus ablacachi</t>
  </si>
  <si>
    <t>Pygoscepivirus apingu</t>
  </si>
  <si>
    <t>Rafivirus atorti</t>
  </si>
  <si>
    <t>Rafivirus begecki</t>
  </si>
  <si>
    <t>Rafivirus crhima</t>
  </si>
  <si>
    <t>Rajidapivirus ashaska</t>
  </si>
  <si>
    <t>Rosavirus acaliforni</t>
  </si>
  <si>
    <t>Rosavirus brorati</t>
  </si>
  <si>
    <t>Rosavirus chewhibe</t>
  </si>
  <si>
    <t>Sakobuvirus aportufeli</t>
  </si>
  <si>
    <t>Salivirus aklasse</t>
  </si>
  <si>
    <t>Sicinivirus ahiberni</t>
  </si>
  <si>
    <t>Symapivirus atriliza</t>
  </si>
  <si>
    <t>Tropivirus awaski</t>
  </si>
  <si>
    <t>Tropivirus betero</t>
  </si>
  <si>
    <t>Aalivirus apekidu</t>
  </si>
  <si>
    <t>Aquamavirus apinni</t>
  </si>
  <si>
    <t>Avihepatovirus ahepati</t>
  </si>
  <si>
    <t>Avisivirus aturki</t>
  </si>
  <si>
    <t>Avisivirus begallu</t>
  </si>
  <si>
    <t>Avisivirus cechici</t>
  </si>
  <si>
    <t>Crohivirus alermus</t>
  </si>
  <si>
    <t>Crohivirus beidoli</t>
  </si>
  <si>
    <t>Grusopivirus arecrocra</t>
  </si>
  <si>
    <t>Grusopivirus bechini</t>
  </si>
  <si>
    <t>Grusopivirus celori</t>
  </si>
  <si>
    <t>Kunsagivirus agrepla</t>
  </si>
  <si>
    <t>Kunsagivirus bacameba</t>
  </si>
  <si>
    <t>Kunsagivirus cetanba</t>
  </si>
  <si>
    <t>Limnipivirus ablugi</t>
  </si>
  <si>
    <t>Limnipivirus becarpi</t>
  </si>
  <si>
    <t>Limnipivirus cefahemi</t>
  </si>
  <si>
    <t>Limnipivirus disploca</t>
  </si>
  <si>
    <t>Orivirus aoroshaza</t>
  </si>
  <si>
    <t>Parechovirus ahumpari</t>
  </si>
  <si>
    <t>Parechovirus beljungani</t>
  </si>
  <si>
    <t>Parechovirus cebokele</t>
  </si>
  <si>
    <t>Parechovirus deferreti</t>
  </si>
  <si>
    <t>Parechovirus efalco</t>
  </si>
  <si>
    <t>Parechovirus feterobo</t>
  </si>
  <si>
    <t>Pasivirus agallia</t>
  </si>
  <si>
    <t>Potamipivirus aconstanci</t>
  </si>
  <si>
    <t>Potamipivirus balaski</t>
  </si>
  <si>
    <t>Shanbavirus aminfuli</t>
  </si>
  <si>
    <t>Ampivirus apilisi</t>
  </si>
  <si>
    <t>Harkavirus alfoldi</t>
  </si>
  <si>
    <t>Chipolycivirus chironomi</t>
  </si>
  <si>
    <t>Chipolycivirus hubeiense</t>
  </si>
  <si>
    <t>Hupolycivirus hubeiense</t>
  </si>
  <si>
    <t>Sopolycivirus bestiolae</t>
  </si>
  <si>
    <t>Sopolycivirus betalasii</t>
  </si>
  <si>
    <t>Sopolycivirus betamonomorii</t>
  </si>
  <si>
    <t>Sopolycivirus betasolenopsis</t>
  </si>
  <si>
    <t>Sopolycivirus formicae</t>
  </si>
  <si>
    <t>Sopolycivirus gammalasii</t>
  </si>
  <si>
    <t>Sopolycivirus lasii</t>
  </si>
  <si>
    <t>Sopolycivirus linepithematis</t>
  </si>
  <si>
    <t>Sopolycivirus monomorii</t>
  </si>
  <si>
    <t>Sopolycivirus myrmicae</t>
  </si>
  <si>
    <t>Sopolycivirus solenopsis</t>
  </si>
  <si>
    <t>Fabavirus avii</t>
  </si>
  <si>
    <t>Fabavirus gynostemmae</t>
  </si>
  <si>
    <t>Fabavirus yuccae</t>
  </si>
  <si>
    <t>Nepovirus alphaparis</t>
  </si>
  <si>
    <t>Nepovirus carolinense</t>
  </si>
  <si>
    <t>Nepovirus fontinalis</t>
  </si>
  <si>
    <t>Nepovirus lonchitis</t>
  </si>
  <si>
    <t>Nepovirus vittariae</t>
  </si>
  <si>
    <t>Cheravirus alpinum</t>
  </si>
  <si>
    <t>Cheravirus orobanchis</t>
  </si>
  <si>
    <t>Cheravirus trillii</t>
  </si>
  <si>
    <t>Sadwavirus gammananas</t>
  </si>
  <si>
    <t>Stralarivirus elaterii</t>
  </si>
  <si>
    <t>Torradovirus erigeronis</t>
  </si>
  <si>
    <t>Waikavirus lactucae</t>
  </si>
  <si>
    <t>Waikavirus rhododendri</t>
  </si>
  <si>
    <t>Invictavirus solenopsis</t>
  </si>
  <si>
    <t>Nyfulvavirus nylanderiae</t>
  </si>
  <si>
    <t>Enamovirus AEV</t>
  </si>
  <si>
    <t>Enamovirus AGV</t>
  </si>
  <si>
    <t>Enamovirus ALVE</t>
  </si>
  <si>
    <t>Enamovirus BEV</t>
  </si>
  <si>
    <t>Enamovirus BFTEV</t>
  </si>
  <si>
    <t>Enamovirus BPVE</t>
  </si>
  <si>
    <t>Enamovirus CLEV</t>
  </si>
  <si>
    <t>Enamovirus CVEV</t>
  </si>
  <si>
    <t>Enamovirus GEV</t>
  </si>
  <si>
    <t>Enamovirus GSPEV</t>
  </si>
  <si>
    <t>Enamovirus KSEV</t>
  </si>
  <si>
    <t>Enamovirus PEEV</t>
  </si>
  <si>
    <t>Enamovirus PEMV</t>
  </si>
  <si>
    <t>Enamovirus PLEV</t>
  </si>
  <si>
    <t>Enamovirus RCEV</t>
  </si>
  <si>
    <t>Hubsclerovirus</t>
  </si>
  <si>
    <t>Hubsclerovirus HUSRV</t>
  </si>
  <si>
    <t>Polemovirus PNLV</t>
  </si>
  <si>
    <t>Polerovirus AEYV</t>
  </si>
  <si>
    <t>Polerovirus APVA</t>
  </si>
  <si>
    <t>Polerovirus ARTVB</t>
  </si>
  <si>
    <t>Polerovirus BCHV</t>
  </si>
  <si>
    <t>Polerovirus BLYV</t>
  </si>
  <si>
    <t>Polerovirus BMYV</t>
  </si>
  <si>
    <t>Polerovirus BPV</t>
  </si>
  <si>
    <t>Polerovirus BVG</t>
  </si>
  <si>
    <t>Polerovirus BWYV</t>
  </si>
  <si>
    <t>Polerovirus CABYV</t>
  </si>
  <si>
    <t>Polerovirus CBTV1</t>
  </si>
  <si>
    <t>Polerovirus CBTV2</t>
  </si>
  <si>
    <t>Polerovirus CDPV</t>
  </si>
  <si>
    <t>Polerovirus CLDV</t>
  </si>
  <si>
    <t>Polerovirus CNPV</t>
  </si>
  <si>
    <t>Polerovirus CPCSV</t>
  </si>
  <si>
    <t>Polerovirus CPLRV</t>
  </si>
  <si>
    <t>Polerovirus CPPV1</t>
  </si>
  <si>
    <t>Polerovirus CPPV2</t>
  </si>
  <si>
    <t>Polerovirus CSPV</t>
  </si>
  <si>
    <t>Polerovirus CTRLV</t>
  </si>
  <si>
    <t>Polerovirus CYDVRPS</t>
  </si>
  <si>
    <t>Polerovirus CYDVRPV</t>
  </si>
  <si>
    <t>Polerovirus DVPV</t>
  </si>
  <si>
    <t>Polerovirus FBPV</t>
  </si>
  <si>
    <t>Polerovirus FVPV</t>
  </si>
  <si>
    <t>Polerovirus GPOV</t>
  </si>
  <si>
    <t>Polerovirus GRAV</t>
  </si>
  <si>
    <t>Polerovirus HEMVA</t>
  </si>
  <si>
    <t>Polerovirus KMPV</t>
  </si>
  <si>
    <t>Polerovirus LABYV</t>
  </si>
  <si>
    <t>Polerovirus MABYV</t>
  </si>
  <si>
    <t>Polerovirus MAYMV</t>
  </si>
  <si>
    <t>Polerovirus MJVA</t>
  </si>
  <si>
    <t>Polerovirus MYDVRMV</t>
  </si>
  <si>
    <t>Polerovirus MYFV</t>
  </si>
  <si>
    <t>Polerovirus ORMV</t>
  </si>
  <si>
    <t>Polerovirus PABYV</t>
  </si>
  <si>
    <t>Polerovirus PBMYV</t>
  </si>
  <si>
    <t>Polerovirus PDMV</t>
  </si>
  <si>
    <t>Polerovirus PELRCV</t>
  </si>
  <si>
    <t>Polerovirus PEVYV1</t>
  </si>
  <si>
    <t>Polerovirus PEVYV2</t>
  </si>
  <si>
    <t>Polerovirus PEVYV3</t>
  </si>
  <si>
    <t>Polerovirus PEVYV4</t>
  </si>
  <si>
    <t>Polerovirus PEVYV5</t>
  </si>
  <si>
    <t>Polerovirus PEVYV6</t>
  </si>
  <si>
    <t>Polerovirus PEWBVYV</t>
  </si>
  <si>
    <t>Polerovirus PLAVA</t>
  </si>
  <si>
    <t>Polerovirus PLRV</t>
  </si>
  <si>
    <t>Polerovirus PMPV</t>
  </si>
  <si>
    <t>Polerovirus PNPV</t>
  </si>
  <si>
    <t>Polerovirus PPEVYV</t>
  </si>
  <si>
    <t>Polerovirus PPOV</t>
  </si>
  <si>
    <t>Polerovirus PTPV</t>
  </si>
  <si>
    <t>Polerovirus PUPV</t>
  </si>
  <si>
    <t>Polerovirus SABYV</t>
  </si>
  <si>
    <t>Polerovirus SAYV</t>
  </si>
  <si>
    <t>Polerovirus SBCLRV</t>
  </si>
  <si>
    <t>Polerovirus SCYLV</t>
  </si>
  <si>
    <t>Polerovirus SLPV</t>
  </si>
  <si>
    <t>Polerovirus SPLSV</t>
  </si>
  <si>
    <t>Polerovirus SPV</t>
  </si>
  <si>
    <t>Polerovirus STAVB</t>
  </si>
  <si>
    <t>Polerovirus TAPV</t>
  </si>
  <si>
    <t>Polerovirus TCLV</t>
  </si>
  <si>
    <t>Polerovirus TNDV</t>
  </si>
  <si>
    <t>Polerovirus TPV1</t>
  </si>
  <si>
    <t>Polerovirus TPV2</t>
  </si>
  <si>
    <t>Polerovirus TRIYSV</t>
  </si>
  <si>
    <t>Polerovirus TUYV</t>
  </si>
  <si>
    <t>Polerovirus TVDV</t>
  </si>
  <si>
    <t>Polerovirus UPOV</t>
  </si>
  <si>
    <t>Polerovirus WCMV</t>
  </si>
  <si>
    <t>Polerovirus WLYAV</t>
  </si>
  <si>
    <t>Polerovirus WYDVGPV</t>
  </si>
  <si>
    <t>Polerovirus ZABYV</t>
  </si>
  <si>
    <t>Sobemovirus ARTVA</t>
  </si>
  <si>
    <t>Sobemovirus BSSV</t>
  </si>
  <si>
    <t>Sobemovirus CNMOV</t>
  </si>
  <si>
    <t>Sobemovirus CYCMV</t>
  </si>
  <si>
    <t>Sobemovirus IYMV</t>
  </si>
  <si>
    <t>Sobemovirus LTSV</t>
  </si>
  <si>
    <t>Sobemovirus MIMMV</t>
  </si>
  <si>
    <t>Sobemovirus PHYRMV</t>
  </si>
  <si>
    <t>Sobemovirus PISSV</t>
  </si>
  <si>
    <t>Sobemovirus PLSV</t>
  </si>
  <si>
    <t>Sobemovirus PLYV</t>
  </si>
  <si>
    <t>Sobemovirus RGMOV</t>
  </si>
  <si>
    <t>Sobemovirus ROMOV</t>
  </si>
  <si>
    <t>Sobemovirus RYMV</t>
  </si>
  <si>
    <t>Sobemovirus SBMV</t>
  </si>
  <si>
    <t>Sobemovirus SCMOV</t>
  </si>
  <si>
    <t>Sobemovirus SCPMV</t>
  </si>
  <si>
    <t>Sobemovirus SEMV</t>
  </si>
  <si>
    <t>Sobemovirus SNMOV</t>
  </si>
  <si>
    <t>Sobemovirus SOMV</t>
  </si>
  <si>
    <t>Sobemovirus SYCMV</t>
  </si>
  <si>
    <t>Sobemovirus TROV</t>
  </si>
  <si>
    <t>Sobemovirus VTMOV</t>
  </si>
  <si>
    <t>Sobemovirus XYDV</t>
  </si>
  <si>
    <t>Arepavirus arecae</t>
  </si>
  <si>
    <t>Arepavirus arecamaculatum</t>
  </si>
  <si>
    <t>Bevemovirus campanulae</t>
  </si>
  <si>
    <t>Brambyvirus rubi</t>
  </si>
  <si>
    <t>Bymovirus avenae</t>
  </si>
  <si>
    <t>Bymovirus hordei</t>
  </si>
  <si>
    <t>Bymovirus hordeiluteum</t>
  </si>
  <si>
    <t>Bymovirus oryzae</t>
  </si>
  <si>
    <t>Bymovirus tritici</t>
  </si>
  <si>
    <t>Bymovirus triticitessellati</t>
  </si>
  <si>
    <t>Celavirus apii</t>
  </si>
  <si>
    <t>Ipomovirus brunusmanihotis</t>
  </si>
  <si>
    <t>Ipomovirus cocciniae</t>
  </si>
  <si>
    <t>Ipomovirus cucumisvenaflavi</t>
  </si>
  <si>
    <t>Ipomovirus cucurbitavenaflavi</t>
  </si>
  <si>
    <t>Ipomovirus lenisbatatae</t>
  </si>
  <si>
    <t>Ipomovirus lycopersici</t>
  </si>
  <si>
    <t>Ipomovirus manihotis</t>
  </si>
  <si>
    <t>Macluravirus alipiniatessallati</t>
  </si>
  <si>
    <t>Macluravirus alpiniae</t>
  </si>
  <si>
    <t>Macluravirus cardamomi</t>
  </si>
  <si>
    <t>Macluravirus dioscoreachinense</t>
  </si>
  <si>
    <t>Macluravirus dioscoreaflavinecrosis</t>
  </si>
  <si>
    <t>Macluravirus dioscoreaflavitessellati</t>
  </si>
  <si>
    <t>Macluravirus maclurae</t>
  </si>
  <si>
    <t>Macluravirus narcissi</t>
  </si>
  <si>
    <t>Macluravirus rumicis</t>
  </si>
  <si>
    <t>Macluravirus scolymus</t>
  </si>
  <si>
    <t>Poacevirus caladeniae</t>
  </si>
  <si>
    <t>Poacevirus sacchari</t>
  </si>
  <si>
    <t>Poacevirus tritici</t>
  </si>
  <si>
    <t>Potyvirus adiuris</t>
  </si>
  <si>
    <t>Potyvirus algeriaense</t>
  </si>
  <si>
    <t>Potyvirus alliumagrestis</t>
  </si>
  <si>
    <t>Potyvirus almeidi</t>
  </si>
  <si>
    <t>Potyvirus alstromeriae</t>
  </si>
  <si>
    <t>Potyvirus amaranthi</t>
  </si>
  <si>
    <t>Potyvirus ampeloprasi</t>
  </si>
  <si>
    <t>Potyvirus angelicae</t>
  </si>
  <si>
    <t>Potyvirus apii</t>
  </si>
  <si>
    <t>Potyvirus apiumtessellati</t>
  </si>
  <si>
    <t>Potyvirus arachidis</t>
  </si>
  <si>
    <t>Potyvirus araujiae</t>
  </si>
  <si>
    <t>Potyvirus arracachae</t>
  </si>
  <si>
    <t>Potyvirus artichokis</t>
  </si>
  <si>
    <t>Potyvirus ascaloniae</t>
  </si>
  <si>
    <t>Potyvirus ascaloniavirgae</t>
  </si>
  <si>
    <t>Potyvirus asparagi</t>
  </si>
  <si>
    <t>Potyvirus atuberosi</t>
  </si>
  <si>
    <t>Potyvirus barbacenense</t>
  </si>
  <si>
    <t>Potyvirus basellae</t>
  </si>
  <si>
    <t>Potyvirus batatalatentis</t>
  </si>
  <si>
    <t>Potyvirus batatamaculae</t>
  </si>
  <si>
    <t>Potyvirus batataplumei</t>
  </si>
  <si>
    <t>Potyvirus begoniae</t>
  </si>
  <si>
    <t>Potyvirus betaceum</t>
  </si>
  <si>
    <t>Potyvirus betaci</t>
  </si>
  <si>
    <t>Potyvirus bidensia</t>
  </si>
  <si>
    <t>Potyvirus bidenstessellati</t>
  </si>
  <si>
    <t>Potyvirus brugmansiae</t>
  </si>
  <si>
    <t>Potyvirus calistephi</t>
  </si>
  <si>
    <t>Potyvirus callanthis</t>
  </si>
  <si>
    <t>Potyvirus cannae</t>
  </si>
  <si>
    <t>Potyvirus capsianuli</t>
  </si>
  <si>
    <t>Potyvirus capsiflavi</t>
  </si>
  <si>
    <t>Potyvirus capsimaculae</t>
  </si>
  <si>
    <t>Potyvirus capsiseverum</t>
  </si>
  <si>
    <t>Potyvirus capsivenae</t>
  </si>
  <si>
    <t>Potyvirus capsivenamaculae</t>
  </si>
  <si>
    <t>Potyvirus caricae</t>
  </si>
  <si>
    <t>Potyvirus carotae</t>
  </si>
  <si>
    <t>Potyvirus carotatenuifoli</t>
  </si>
  <si>
    <t>Potyvirus caryae</t>
  </si>
  <si>
    <t>Potyvirus catharantessellati</t>
  </si>
  <si>
    <t>Potyvirus cebatatae</t>
  </si>
  <si>
    <t>Potyvirus cepae</t>
  </si>
  <si>
    <t>Potyvirus ceratobii</t>
  </si>
  <si>
    <t>Potyvirus chamaescillae</t>
  </si>
  <si>
    <t>Potyvirus chichorii</t>
  </si>
  <si>
    <t>Potyvirus citrulli</t>
  </si>
  <si>
    <t>Potyvirus citrullimoroccense</t>
  </si>
  <si>
    <t>Potyvirus citrullufolimaculae</t>
  </si>
  <si>
    <t>Potyvirus clitoriae</t>
  </si>
  <si>
    <t>Potyvirus colchici</t>
  </si>
  <si>
    <t>Potyvirus commelinae</t>
  </si>
  <si>
    <t>Potyvirus cordophani</t>
  </si>
  <si>
    <t>Potyvirus costus</t>
  </si>
  <si>
    <t>Potyvirus croci</t>
  </si>
  <si>
    <t>Potyvirus cucurbitae</t>
  </si>
  <si>
    <t>Potyvirus cucurbitaflavitesselati</t>
  </si>
  <si>
    <t>Potyvirus cynanchi</t>
  </si>
  <si>
    <t>Potyvirus cypripedii</t>
  </si>
  <si>
    <t>Potyvirus cyrtanthi</t>
  </si>
  <si>
    <t>Potyvirus dactylis</t>
  </si>
  <si>
    <t>Potyvirus daphnis</t>
  </si>
  <si>
    <t>Potyvirus dasheenis</t>
  </si>
  <si>
    <t>Potyvirus daturae</t>
  </si>
  <si>
    <t>Potyvirus dendrobii</t>
  </si>
  <si>
    <t>Potyvirus dianthi</t>
  </si>
  <si>
    <t>Potyvirus dioscoreae</t>
  </si>
  <si>
    <t>Potyvirus duobatatae</t>
  </si>
  <si>
    <t>Potyvirus esculentinecrosis</t>
  </si>
  <si>
    <t>Potyvirus eucharae</t>
  </si>
  <si>
    <t>Potyvirus euphorbiae</t>
  </si>
  <si>
    <t>Potyvirus freesiae</t>
  </si>
  <si>
    <t>Potyvirus fritillariae</t>
  </si>
  <si>
    <t>Potyvirus gebatatae</t>
  </si>
  <si>
    <t>Potyvirus gloriosae</t>
  </si>
  <si>
    <t>Potyvirus glycitessellati</t>
  </si>
  <si>
    <t>Potyvirus gomphocarphi</t>
  </si>
  <si>
    <t>Potyvirus habenariae</t>
  </si>
  <si>
    <t>Potyvirus halapensis</t>
  </si>
  <si>
    <t>Potyvirus hardenbergiae</t>
  </si>
  <si>
    <t>Potyvirus heliannulabis</t>
  </si>
  <si>
    <t>Potyvirus helichloromaculae</t>
  </si>
  <si>
    <t>Potyvirus helitenuitessellati</t>
  </si>
  <si>
    <t>Potyvirus helitessellati</t>
  </si>
  <si>
    <t>Potyvirus henbanis</t>
  </si>
  <si>
    <t>Potyvirus hibbertiae</t>
  </si>
  <si>
    <t>Potyvirus hiemalisdaphnis</t>
  </si>
  <si>
    <t>Potyvirus hippeastri</t>
  </si>
  <si>
    <t>Potyvirus hyacinthi</t>
  </si>
  <si>
    <t>Potyvirus impatiensis</t>
  </si>
  <si>
    <t>Potyvirus iris</t>
  </si>
  <si>
    <t>Potyvirus iriseverum</t>
  </si>
  <si>
    <t>Potyvirus iristenuis</t>
  </si>
  <si>
    <t>Potyvirus jasmini</t>
  </si>
  <si>
    <t>Potyvirus kalanchoes</t>
  </si>
  <si>
    <t>Potyvirus konjac</t>
  </si>
  <si>
    <t>Potyvirus lactucae</t>
  </si>
  <si>
    <t>Potyvirus lactucaitalicense</t>
  </si>
  <si>
    <t>Potyvirus lilimaculae</t>
  </si>
  <si>
    <t>Potyvirus lupinus</t>
  </si>
  <si>
    <t>Potyvirus lycorsis</t>
  </si>
  <si>
    <t>Potyvirus malvae</t>
  </si>
  <si>
    <t>Potyvirus melongenae</t>
  </si>
  <si>
    <t>Potyvirus melozonati</t>
  </si>
  <si>
    <t>Potyvirus miscanthi</t>
  </si>
  <si>
    <t>Potyvirus morindatessellati</t>
  </si>
  <si>
    <t>Potyvirus muricati</t>
  </si>
  <si>
    <t>Potyvirus musae</t>
  </si>
  <si>
    <t>Potyvirus narcissus</t>
  </si>
  <si>
    <t>Potyvirus narcissusdegeneris</t>
  </si>
  <si>
    <t>Potyvirus narcissuslineae</t>
  </si>
  <si>
    <t>Potyvirus nerinis</t>
  </si>
  <si>
    <t>Potyvirus nicotianainsculpentis</t>
  </si>
  <si>
    <t>Potyvirus nicotianamaculae</t>
  </si>
  <si>
    <t>Potyvirus nicotianavenamaculae</t>
  </si>
  <si>
    <t>Potyvirus nicotianavenaobscurum</t>
  </si>
  <si>
    <t>Potyvirus nippodioscoreae</t>
  </si>
  <si>
    <t>Potyvirus nothoscordi</t>
  </si>
  <si>
    <t>Potyvirus orionspassiflorae</t>
  </si>
  <si>
    <t>Potyvirus ornithogali</t>
  </si>
  <si>
    <t>Potyvirus ornithogalitessellati</t>
  </si>
  <si>
    <t>Potyvirus pachyrhizus</t>
  </si>
  <si>
    <t>Potyvirus panax</t>
  </si>
  <si>
    <t>Potyvirus papayanuli</t>
  </si>
  <si>
    <t>Potyvirus paris</t>
  </si>
  <si>
    <t>Potyvirus parisnecrosis</t>
  </si>
  <si>
    <t>Potyvirus passifloradistorti</t>
  </si>
  <si>
    <t>Potyvirus passiflorae</t>
  </si>
  <si>
    <t>Potyvirus passifloraflavi</t>
  </si>
  <si>
    <t>Potyvirus passiflorafricanse</t>
  </si>
  <si>
    <t>Potyvirus passifloramaculae</t>
  </si>
  <si>
    <t>Potyvirus passiflory</t>
  </si>
  <si>
    <t>Potyvirus pastinacae</t>
  </si>
  <si>
    <t>Potyvirus pennisseti</t>
  </si>
  <si>
    <t>Potyvirus pepo</t>
  </si>
  <si>
    <t>Potyvirus peporesticulae</t>
  </si>
  <si>
    <t>Potyvirus pepotigris</t>
  </si>
  <si>
    <t>Potyvirus perulycopersici</t>
  </si>
  <si>
    <t>Potyvirus pfaffiae</t>
  </si>
  <si>
    <t>Potyvirus phaseoli</t>
  </si>
  <si>
    <t>Potyvirus phaseoluteum</t>
  </si>
  <si>
    <t>Potyvirus phaseovulgaris</t>
  </si>
  <si>
    <t>Potyvirus phytolaccae</t>
  </si>
  <si>
    <t>Potyvirus pisumsemenportati</t>
  </si>
  <si>
    <t>Potyvirus platycodonis</t>
  </si>
  <si>
    <t>Potyvirus pleionis</t>
  </si>
  <si>
    <t>Potyvirus plumpoxi</t>
  </si>
  <si>
    <t>Potyvirus polianthis</t>
  </si>
  <si>
    <t>Potyvirus polianthismaculae</t>
  </si>
  <si>
    <t>Potyvirus polygonati</t>
  </si>
  <si>
    <t>Potyvirus ranunculi</t>
  </si>
  <si>
    <t>Potyvirus ranunculideformationis</t>
  </si>
  <si>
    <t>Potyvirus ranunculitenuis</t>
  </si>
  <si>
    <t>Potyvirus rapae</t>
  </si>
  <si>
    <t>Potyvirus rhopalanthi</t>
  </si>
  <si>
    <t>Potyvirus rutae</t>
  </si>
  <si>
    <t>Potyvirus sacchari</t>
  </si>
  <si>
    <t>Potyvirus sarcochili</t>
  </si>
  <si>
    <t>Potyvirus schizanthi</t>
  </si>
  <si>
    <t>Potyvirus sorghitessellati</t>
  </si>
  <si>
    <t>Potyvirus spiranthesis</t>
  </si>
  <si>
    <t>Potyvirus streptopi</t>
  </si>
  <si>
    <t>Potyvirus suaveolens</t>
  </si>
  <si>
    <t>Potyvirus telfairiae</t>
  </si>
  <si>
    <t>Potyvirus telosmae</t>
  </si>
  <si>
    <t>Potyvirus tetraparis</t>
  </si>
  <si>
    <t>Potyvirus thevetiae</t>
  </si>
  <si>
    <t>Potyvirus thurnbergii</t>
  </si>
  <si>
    <t>Potyvirus torvi</t>
  </si>
  <si>
    <t>Potyvirus tradescantiae</t>
  </si>
  <si>
    <t>Potyvirus trifolii</t>
  </si>
  <si>
    <t>Potyvirus trompetae</t>
  </si>
  <si>
    <t>Potyvirus tropaeoli</t>
  </si>
  <si>
    <t>Potyvirus tuberosiflavi</t>
  </si>
  <si>
    <t>Potyvirus tulipadefractum</t>
  </si>
  <si>
    <t>Potyvirus tulipatessellati</t>
  </si>
  <si>
    <t>Potyvirus vallotae</t>
  </si>
  <si>
    <t>Potyvirus vanillae</t>
  </si>
  <si>
    <t>Potyvirus verbenae</t>
  </si>
  <si>
    <t>Potyvirus vetuberosi</t>
  </si>
  <si>
    <t>Potyvirus vignae</t>
  </si>
  <si>
    <t>Potyvirus wisteriae</t>
  </si>
  <si>
    <t>Potyvirus yamplacidum</t>
  </si>
  <si>
    <t>Potyvirus yamtesselati</t>
  </si>
  <si>
    <t>Potyvirus yidiuris</t>
  </si>
  <si>
    <t>Potyvirus yililii</t>
  </si>
  <si>
    <t>Potyvirus yiornithogali</t>
  </si>
  <si>
    <t>Potyvirus yipleionis</t>
  </si>
  <si>
    <t>Potyvirus yituberosi</t>
  </si>
  <si>
    <t>Potyvirus zantedeschiae</t>
  </si>
  <si>
    <t>Potyvirus zantedeschiatenuis</t>
  </si>
  <si>
    <t>Potyvirus zeananus</t>
  </si>
  <si>
    <t>Potyvirus zeatessellati</t>
  </si>
  <si>
    <t>Roymovirus passifloralatentis</t>
  </si>
  <si>
    <t>Roymovirus rosae</t>
  </si>
  <si>
    <t>Rymovirus agropyronis</t>
  </si>
  <si>
    <t>Rymovirus hordei</t>
  </si>
  <si>
    <t>Rymovirus lolii</t>
  </si>
  <si>
    <t>Tritimovirus arrhenatheri</t>
  </si>
  <si>
    <t>Tritimovirus avenae</t>
  </si>
  <si>
    <t>Tritimovirus bromi</t>
  </si>
  <si>
    <t>Tritimovirus eqlidense</t>
  </si>
  <si>
    <t>Tritimovirus triseti</t>
  </si>
  <si>
    <t>Tritimovirus tritici</t>
  </si>
  <si>
    <t>Avastrovirus galli</t>
  </si>
  <si>
    <t>Avastrovirus intestini</t>
  </si>
  <si>
    <t>Avastrovirus meleagridis</t>
  </si>
  <si>
    <t>Mamastrovirus californiani</t>
  </si>
  <si>
    <t>Mamastrovirus canis</t>
  </si>
  <si>
    <t>Mamastrovirus felis</t>
  </si>
  <si>
    <t>Mamastrovirus guangxiense</t>
  </si>
  <si>
    <t>Mamastrovirus hipposideri</t>
  </si>
  <si>
    <t>Mamastrovirus hominis</t>
  </si>
  <si>
    <t>Mamastrovirus homustovis</t>
  </si>
  <si>
    <t>Mamastrovirus melbournense</t>
  </si>
  <si>
    <t>Mamastrovirus miniopteri</t>
  </si>
  <si>
    <t>Mamastrovirus mustelae</t>
  </si>
  <si>
    <t>Mamastrovirus ovis</t>
  </si>
  <si>
    <t>Mamastrovirus pipistrelli</t>
  </si>
  <si>
    <t>Mamastrovirus pusilli</t>
  </si>
  <si>
    <t>Mamastrovirus suis</t>
  </si>
  <si>
    <t>Mamastrovirus taphozoi</t>
  </si>
  <si>
    <t>Mamastrovirus tursiopis</t>
  </si>
  <si>
    <t>Mamastrovirus vespertilionis</t>
  </si>
  <si>
    <t>Mamastrovirus virginiaense</t>
  </si>
  <si>
    <t>Mamastrovirus zalophi</t>
  </si>
  <si>
    <t>Alphapermutotetravirus euprosternae</t>
  </si>
  <si>
    <t>Alphapermutotetravirus thoseae</t>
  </si>
  <si>
    <t>Avihepadnavirus anatigruidae</t>
  </si>
  <si>
    <t>Avihepadnavirus bonicursoris</t>
  </si>
  <si>
    <t>Avihepadnavirus ciconiardeae</t>
  </si>
  <si>
    <t>Avihepadnavirus psittaduorum</t>
  </si>
  <si>
    <t>Avihepadnavirus psittaunius</t>
  </si>
  <si>
    <t>Herpetohepadnavirus nanoranae</t>
  </si>
  <si>
    <t>Metahepadnavirus lepomi</t>
  </si>
  <si>
    <t>Orthohepadnavirus bassarisci</t>
  </si>
  <si>
    <t>Orthohepadnavirus equidae</t>
  </si>
  <si>
    <t>Orthohepadnavirus felisdomestici</t>
  </si>
  <si>
    <t>Orthohepadnavirus hominoidei</t>
  </si>
  <si>
    <t>Orthohepadnavirus lagothricis</t>
  </si>
  <si>
    <t>Orthohepadnavirus longidigiti</t>
  </si>
  <si>
    <t>Orthohepadnavirus magniferrequini</t>
  </si>
  <si>
    <t>Orthohepadnavirus magnimyotis</t>
  </si>
  <si>
    <t>Orthohepadnavirus marmotae</t>
  </si>
  <si>
    <t>Orthohepadnavirus myominrhinus</t>
  </si>
  <si>
    <t>Orthohepadnavirus philantombae</t>
  </si>
  <si>
    <t>Orthohepadnavirus pomi</t>
  </si>
  <si>
    <t>Orthohepadnavirus rotundifolii</t>
  </si>
  <si>
    <t>Orthohepadnavirus sapaji</t>
  </si>
  <si>
    <t>Orthohepadnavirus sciuri</t>
  </si>
  <si>
    <t>Orthohepadnavirus soricicoronati</t>
  </si>
  <si>
    <t>Orthohepadnavirus soriciodoris</t>
  </si>
  <si>
    <t>Orthohepadnavirus soricisinensis</t>
  </si>
  <si>
    <t>Orthohepadnavirus tabernarii</t>
  </si>
  <si>
    <t>Parahepadnavirus osdeorsi</t>
  </si>
  <si>
    <t>Badnavirus camelliae</t>
  </si>
  <si>
    <t>Badnavirus tessellopandani</t>
  </si>
  <si>
    <t>Caulimovirus puerariae</t>
  </si>
  <si>
    <t>Rosadnavirus maculaviolae</t>
  </si>
  <si>
    <t>Soymovirus hibisci</t>
  </si>
  <si>
    <t>Soymovirus malvae</t>
  </si>
  <si>
    <t>Errantivirus ceratitidis</t>
  </si>
  <si>
    <t>Errantivirus drosophilae</t>
  </si>
  <si>
    <t>Errantivirus drososeptemdecimum</t>
  </si>
  <si>
    <t>Errantivirus errante</t>
  </si>
  <si>
    <t>Errantivirus idefixi</t>
  </si>
  <si>
    <t>Errantivirus tiranti</t>
  </si>
  <si>
    <t>Errantivirus tomi</t>
  </si>
  <si>
    <t>Errantivirus trichoplusiae</t>
  </si>
  <si>
    <t>Errantivirus unitivi</t>
  </si>
  <si>
    <t>Errantivirus zami</t>
  </si>
  <si>
    <t>Metavirus athilai</t>
  </si>
  <si>
    <t>Metavirus blastopiae</t>
  </si>
  <si>
    <t>Metavirus bombycis</t>
  </si>
  <si>
    <t>Metavirus caenorhabditis</t>
  </si>
  <si>
    <t>Metavirus cladosporii</t>
  </si>
  <si>
    <t>Metavirus dictyostelii</t>
  </si>
  <si>
    <t>Metavirus drosophilae</t>
  </si>
  <si>
    <t>Metavirus duoschizosaccharomycetis</t>
  </si>
  <si>
    <t>Metavirus fusarii</t>
  </si>
  <si>
    <t>Metavirus lilii</t>
  </si>
  <si>
    <t>Metavirus micropiae</t>
  </si>
  <si>
    <t>Metavirus osvaldi</t>
  </si>
  <si>
    <t>Metavirus saccharomycetis</t>
  </si>
  <si>
    <t>Metavirus sushii</t>
  </si>
  <si>
    <t>Metavirus tatarabidopsis</t>
  </si>
  <si>
    <t>Metavirus tribolii</t>
  </si>
  <si>
    <t>Metavirus tridrosophilae</t>
  </si>
  <si>
    <t>Metavirus tripneustis</t>
  </si>
  <si>
    <t>Metavirus ulyssis</t>
  </si>
  <si>
    <t>Metavirus unidrosophilae</t>
  </si>
  <si>
    <t>Metavirus unischizosaccharomycetis</t>
  </si>
  <si>
    <t>Hemivirus aedis</t>
  </si>
  <si>
    <t>Hemivirus copiae</t>
  </si>
  <si>
    <t>Hemivirus drosophilae</t>
  </si>
  <si>
    <t>Hemivirus duocandidae</t>
  </si>
  <si>
    <t>Hemivirus osseri</t>
  </si>
  <si>
    <t>Hemivirus pentacandidae</t>
  </si>
  <si>
    <t>Hemivirus saccharomycetis</t>
  </si>
  <si>
    <t>Hemivirus volvocis</t>
  </si>
  <si>
    <t>Pseudovirus arabidopsis</t>
  </si>
  <si>
    <t>Pseudovirus artarabidopsis</t>
  </si>
  <si>
    <t>Pseudovirus atrearabidopsis</t>
  </si>
  <si>
    <t>Pseudovirus australiense</t>
  </si>
  <si>
    <t>Pseudovirus brassicae</t>
  </si>
  <si>
    <t>Pseudovirus cajani</t>
  </si>
  <si>
    <t>Pseudovirus duosaccharomycetis</t>
  </si>
  <si>
    <t>Pseudovirus evelknieveli</t>
  </si>
  <si>
    <t>Pseudovirus glycinis</t>
  </si>
  <si>
    <t>Pseudovirus hordei</t>
  </si>
  <si>
    <t>Pseudovirus maydis</t>
  </si>
  <si>
    <t>Pseudovirus nicotianae</t>
  </si>
  <si>
    <t>Pseudovirus oryzae</t>
  </si>
  <si>
    <t>Pseudovirus physari</t>
  </si>
  <si>
    <t>Pseudovirus solani</t>
  </si>
  <si>
    <t>Pseudovirus tabaci</t>
  </si>
  <si>
    <t>Pseudovirus tetrasaccharomycetis</t>
  </si>
  <si>
    <t>Pseudovirus tritici</t>
  </si>
  <si>
    <t>Pseudovirus unisaccharomycetis</t>
  </si>
  <si>
    <t>Pseudovirus zeae</t>
  </si>
  <si>
    <t>Sirevirus arabidopsis</t>
  </si>
  <si>
    <t>Sirevirus glycinis</t>
  </si>
  <si>
    <t>Sirevirus lycopersici</t>
  </si>
  <si>
    <t>Sirevirus maydis</t>
  </si>
  <si>
    <t>Sirevirus zeae</t>
  </si>
  <si>
    <t>Alpharetrovirus avicarmilhil2</t>
  </si>
  <si>
    <t>Alpharetrovirus avifujsar</t>
  </si>
  <si>
    <t>Alpharetrovirus avileu</t>
  </si>
  <si>
    <t>Alpharetrovirus avimyebla</t>
  </si>
  <si>
    <t>Alpharetrovirus avimyecyt29</t>
  </si>
  <si>
    <t>Alpharetrovirus avirousar</t>
  </si>
  <si>
    <t>Alpharetrovirus avisar10</t>
  </si>
  <si>
    <t>Alpharetrovirus aviUR2sar</t>
  </si>
  <si>
    <t>Alpharetrovirus aviY73sar</t>
  </si>
  <si>
    <t>Betaretrovirus lan</t>
  </si>
  <si>
    <t>Betaretrovirus maspfimon</t>
  </si>
  <si>
    <t>Betaretrovirus murmamtum</t>
  </si>
  <si>
    <t>Betaretrovirus ovijaa</t>
  </si>
  <si>
    <t>Betaretrovirus squmon</t>
  </si>
  <si>
    <t>Deltaretrovirus bovleu</t>
  </si>
  <si>
    <t>Deltaretrovirus priTlym1</t>
  </si>
  <si>
    <t>Deltaretrovirus priTlym2</t>
  </si>
  <si>
    <t>Deltaretrovirus priTlym3</t>
  </si>
  <si>
    <t>Epsilonretrovirus waldersar</t>
  </si>
  <si>
    <t>Epsilonretrovirus walepihyp1</t>
  </si>
  <si>
    <t>Epsilonretrovirus walepihyp2</t>
  </si>
  <si>
    <t>Gammaretrovirus aviretend</t>
  </si>
  <si>
    <t>Gammaretrovirus avisplnec</t>
  </si>
  <si>
    <t>Gammaretrovirus chisyn</t>
  </si>
  <si>
    <t>Gammaretrovirus felleu</t>
  </si>
  <si>
    <t>Gammaretrovirus fibijimursar</t>
  </si>
  <si>
    <t>Gammaretrovirus gibleu</t>
  </si>
  <si>
    <t>Gammaretrovirus Hamursar</t>
  </si>
  <si>
    <t>Gammaretrovirus hazufelsar</t>
  </si>
  <si>
    <t>Gammaretrovirus Kimursar</t>
  </si>
  <si>
    <t>Gammaretrovirus koa</t>
  </si>
  <si>
    <t>Gammaretrovirus momursar</t>
  </si>
  <si>
    <t>Gammaretrovirus murleu</t>
  </si>
  <si>
    <t>Gammaretrovirus porConc</t>
  </si>
  <si>
    <t>Gammaretrovirus snythefelsar</t>
  </si>
  <si>
    <t>Gammaretrovirus woomonsar</t>
  </si>
  <si>
    <t>Lentivirus bovimdef</t>
  </si>
  <si>
    <t>Lentivirus bovjem</t>
  </si>
  <si>
    <t>Lentivirus capartenc</t>
  </si>
  <si>
    <t>Lentivirus equinfane</t>
  </si>
  <si>
    <t>Lentivirus felimdef</t>
  </si>
  <si>
    <t>Lentivirus humimdef1</t>
  </si>
  <si>
    <t>Lentivirus humimdef2</t>
  </si>
  <si>
    <t>Lentivirus ovivismae</t>
  </si>
  <si>
    <t>Lentivirus pum</t>
  </si>
  <si>
    <t>Lentivirus simimdef</t>
  </si>
  <si>
    <t>Bovispumavirus bostaufo</t>
  </si>
  <si>
    <t>Equispumavirus equcabfo</t>
  </si>
  <si>
    <t>Felispumavirus felcatfo</t>
  </si>
  <si>
    <t>Prosimiispumavirus otocrafo</t>
  </si>
  <si>
    <t>Simiispumavirus atesppfo</t>
  </si>
  <si>
    <t>Simiispumavirus caljacfo</t>
  </si>
  <si>
    <t>Simiispumavirus cernicfo</t>
  </si>
  <si>
    <t>Simiispumavirus chlaetfo</t>
  </si>
  <si>
    <t>Simiispumavirus gorgorgorfo</t>
  </si>
  <si>
    <t>Simiispumavirus maccycfo</t>
  </si>
  <si>
    <t>Simiispumavirus macfasfo</t>
  </si>
  <si>
    <t>Simiispumavirus macfusfo</t>
  </si>
  <si>
    <t>Simiispumavirus macmulfo</t>
  </si>
  <si>
    <t>Simiispumavirus pantroschfo</t>
  </si>
  <si>
    <t>Simiispumavirus pantrotrofo</t>
  </si>
  <si>
    <t>Simiispumavirus pantroverfo</t>
  </si>
  <si>
    <t>Simiispumavirus ponpygpygfo</t>
  </si>
  <si>
    <t>Simiispumavirus saiscifo</t>
  </si>
  <si>
    <t>Simiispumavirus sapxanfo</t>
  </si>
  <si>
    <t>Polymycovirus aspelaei</t>
  </si>
  <si>
    <t>Polymycovirus aspergilli</t>
  </si>
  <si>
    <t>Polymycovirus beauveriae</t>
  </si>
  <si>
    <t>Polymycovirus botryosphaeriae</t>
  </si>
  <si>
    <t>Polymycovirus cladosporii</t>
  </si>
  <si>
    <t>Polymycovirus colletotrichi</t>
  </si>
  <si>
    <t>Polymycovirus fusarii</t>
  </si>
  <si>
    <t>Polymycovirus magnaporthis</t>
  </si>
  <si>
    <t>Polymycovirus penicompactii</t>
  </si>
  <si>
    <t>Polymycovirus penidigitati</t>
  </si>
  <si>
    <t>Macronovirus macrobrachii</t>
  </si>
  <si>
    <t>Donvirus</t>
  </si>
  <si>
    <t>Donvirus odontotermitis</t>
  </si>
  <si>
    <t>Perideltavirus</t>
  </si>
  <si>
    <t>Perideltavirus desmodi</t>
  </si>
  <si>
    <t>Perideltavirus marmotae</t>
  </si>
  <si>
    <t>Perideltavirus odocoilei</t>
  </si>
  <si>
    <t>Perithurisazvirus</t>
  </si>
  <si>
    <t>Perithurisazvirus passeriformes</t>
  </si>
  <si>
    <t>Thurisazvirus desmodi</t>
  </si>
  <si>
    <t>Chlorovirus americanus</t>
  </si>
  <si>
    <t>Chlorovirus conductrix</t>
  </si>
  <si>
    <t>Chlorovirus heliozoae</t>
  </si>
  <si>
    <t>Chlorovirus illinoense</t>
  </si>
  <si>
    <t>Chlorovirus newyorkense</t>
  </si>
  <si>
    <t>Chlorovirus vanettense</t>
  </si>
  <si>
    <t>Coccolithovirus huxleyi</t>
  </si>
  <si>
    <t>Phaeovirus feldmanniae</t>
  </si>
  <si>
    <t>Phaeovirus irregularis</t>
  </si>
  <si>
    <t>Phaeovirus unasiliculosus</t>
  </si>
  <si>
    <t>Prasinovirus micromonas</t>
  </si>
  <si>
    <t>Prasinovirus ostreotauri</t>
  </si>
  <si>
    <t>Prymnesiovirus brevifilum</t>
  </si>
  <si>
    <t>Raphidovirus japonicum</t>
  </si>
  <si>
    <t>Cedratviridae</t>
  </si>
  <si>
    <t>Alphacedratvirus</t>
  </si>
  <si>
    <t>Alphacedratvirus aljazairense</t>
  </si>
  <si>
    <t>Alphacedratvirus brasiliense</t>
  </si>
  <si>
    <t>Alphacedratvirus franciense</t>
  </si>
  <si>
    <t>Alphacedratvirus rossiense</t>
  </si>
  <si>
    <t>Lymphocystivirus micropogonias1</t>
  </si>
  <si>
    <t>Lymphocystivirus paralichthys1</t>
  </si>
  <si>
    <t>Lymphocystivirus platichthys1</t>
  </si>
  <si>
    <t>Lymphocystivirus sparus1</t>
  </si>
  <si>
    <t>Megalocytivirus lates1</t>
  </si>
  <si>
    <t>Megalocytivirus spagrus1</t>
  </si>
  <si>
    <t>Ranavirus alytes1</t>
  </si>
  <si>
    <t>Ranavirus ambystoma1</t>
  </si>
  <si>
    <t>Ranavirus epinephelus1</t>
  </si>
  <si>
    <t>Ranavirus gadus1</t>
  </si>
  <si>
    <t>Ranavirus micropterus1</t>
  </si>
  <si>
    <t>Ranavirus perca1</t>
  </si>
  <si>
    <t>Ranavirus rana1</t>
  </si>
  <si>
    <t>Chloriridovirus aedes1</t>
  </si>
  <si>
    <t>Chloriridovirus anopheles1</t>
  </si>
  <si>
    <t>Chloriridovirus simulium1</t>
  </si>
  <si>
    <t>Chloriridovirus simulium2</t>
  </si>
  <si>
    <t>Chloriridovirus wiseana1</t>
  </si>
  <si>
    <t>Daphniairidovirus daphnia1</t>
  </si>
  <si>
    <t>Decapodiridovirus litopenaeus1</t>
  </si>
  <si>
    <t>Iridovirus armadillidium1</t>
  </si>
  <si>
    <t>Iridovirus chilo1</t>
  </si>
  <si>
    <t>Losannavirus</t>
  </si>
  <si>
    <t>Losannavirus lausannense</t>
  </si>
  <si>
    <t>Losannavirus tunisense</t>
  </si>
  <si>
    <t>Marseillevirus massiliense</t>
  </si>
  <si>
    <t>Marseillevirus senegalense</t>
  </si>
  <si>
    <t>Orpheoviridae</t>
  </si>
  <si>
    <t>Alphaorpheovirus</t>
  </si>
  <si>
    <t>Alphaorpheovirus massiliense</t>
  </si>
  <si>
    <t>Pithoviridae</t>
  </si>
  <si>
    <t>Alphapithovirus</t>
  </si>
  <si>
    <t>Alphapithovirus massiliense</t>
  </si>
  <si>
    <t>Alphapithovirus sibericum</t>
  </si>
  <si>
    <t>Avipoxvirus canarypox</t>
  </si>
  <si>
    <t>Avipoxvirus flamingopox</t>
  </si>
  <si>
    <t>Avipoxvirus fowlpox</t>
  </si>
  <si>
    <t>Avipoxvirus penguinpox</t>
  </si>
  <si>
    <t>Avipoxvirus pigeonpox</t>
  </si>
  <si>
    <t>Avipoxvirus quailpox</t>
  </si>
  <si>
    <t>Avipoxvirus turkeypox</t>
  </si>
  <si>
    <t>Capripoxvirus goatpox</t>
  </si>
  <si>
    <t>Capripoxvirus lumpyskinpox</t>
  </si>
  <si>
    <t>Capripoxvirus sheeppox</t>
  </si>
  <si>
    <t>Centapoxvirus microtuspox</t>
  </si>
  <si>
    <t>Centapoxvirus yokapox</t>
  </si>
  <si>
    <t>Cervidpoxvirus muledeerpox</t>
  </si>
  <si>
    <t>Crocodylidpoxvirus nilecrocodilepox</t>
  </si>
  <si>
    <t>Leporipoxvirus myxoma</t>
  </si>
  <si>
    <t>Leporipoxvirus shope</t>
  </si>
  <si>
    <t>Leporipoxvirus squirrelfibroma</t>
  </si>
  <si>
    <t>Macropopoxvirus mfuliginosuspox</t>
  </si>
  <si>
    <t>Macropopoxvirus mgiganteuspox</t>
  </si>
  <si>
    <t>Molluscipoxvirus molluscum</t>
  </si>
  <si>
    <t>Mustelpoxvirus seaotterpox</t>
  </si>
  <si>
    <t>Orthopoxvirus abatinomacacapox</t>
  </si>
  <si>
    <t>Orthopoxvirus akhmetapox</t>
  </si>
  <si>
    <t>Orthopoxvirus camelpox</t>
  </si>
  <si>
    <t>Orthopoxvirus cowpox</t>
  </si>
  <si>
    <t>Orthopoxvirus ectromelia</t>
  </si>
  <si>
    <t>Orthopoxvirus monkeypox</t>
  </si>
  <si>
    <t>Orthopoxvirus raccoonpox</t>
  </si>
  <si>
    <t>Orthopoxvirus skunkpox</t>
  </si>
  <si>
    <t>Orthopoxvirus taterapox</t>
  </si>
  <si>
    <t>Orthopoxvirus vaccinia</t>
  </si>
  <si>
    <t>Orthopoxvirus variola</t>
  </si>
  <si>
    <t>Orthopoxvirus volepox</t>
  </si>
  <si>
    <t>Oryzopoxvirus cotia</t>
  </si>
  <si>
    <t>Parapoxvirus bovinestomatitis</t>
  </si>
  <si>
    <t>Parapoxvirus orf</t>
  </si>
  <si>
    <t>Parapoxvirus pseudocowpox</t>
  </si>
  <si>
    <t>Parapoxvirus reddeerpox</t>
  </si>
  <si>
    <t>Parapoxvirus sealpox</t>
  </si>
  <si>
    <t>Pteropopoxvirus pteropox</t>
  </si>
  <si>
    <t>Salmonpoxvirus gillpox</t>
  </si>
  <si>
    <t>Sciuripoxvirus squirrelpox</t>
  </si>
  <si>
    <t>Suipoxvirus swinepox</t>
  </si>
  <si>
    <t>Vespertilionpoxvirus eptesipox</t>
  </si>
  <si>
    <t>Yatapoxvirus tanapox</t>
  </si>
  <si>
    <t>Yatapoxvirus yabapox</t>
  </si>
  <si>
    <t>Alphaentomopoxvirus acuprea</t>
  </si>
  <si>
    <t>Alphaentomopoxvirus mmelolontha</t>
  </si>
  <si>
    <t>Betaentomopoxvirus ahonmai</t>
  </si>
  <si>
    <t>Betaentomopoxvirus amoorei</t>
  </si>
  <si>
    <t>Betaentomopoxvirus cbiennis</t>
  </si>
  <si>
    <t>Betaentomopoxvirus cfumiferana</t>
  </si>
  <si>
    <t>Betaentomopoxvirus crosaceana</t>
  </si>
  <si>
    <t>Betaentomopoxvirus mseparata</t>
  </si>
  <si>
    <t>Deltaentomopoxvirus msanguinipes</t>
  </si>
  <si>
    <t>Epsilonentomopoxvirus</t>
  </si>
  <si>
    <t>Epsilonentomopoxvirus dlongicaudata</t>
  </si>
  <si>
    <t>Divpevirales</t>
  </si>
  <si>
    <t>Ruviroviridae</t>
  </si>
  <si>
    <t>Oviruvirus</t>
  </si>
  <si>
    <t>Oviruvirus palmerstonense</t>
  </si>
  <si>
    <t>Lavidavirales</t>
  </si>
  <si>
    <t>Maviroviridae</t>
  </si>
  <si>
    <t>Mavirus cafeteriae</t>
  </si>
  <si>
    <t>Mividavirales</t>
  </si>
  <si>
    <t>Sputniviroviridae</t>
  </si>
  <si>
    <t>Sputnikvirus mimiviri</t>
  </si>
  <si>
    <t>Sputnikvirus zamilonense</t>
  </si>
  <si>
    <t>Burtonviroviridae</t>
  </si>
  <si>
    <t>Burquivirus</t>
  </si>
  <si>
    <t>Burquivirus flavolapense</t>
  </si>
  <si>
    <t>Dishuiviroviridae</t>
  </si>
  <si>
    <t>Essdubovirus</t>
  </si>
  <si>
    <t>Essdubovirus chlorellae</t>
  </si>
  <si>
    <t>Gulliviroviridae</t>
  </si>
  <si>
    <t>Invirovirus</t>
  </si>
  <si>
    <t>Invirovirus crochense</t>
  </si>
  <si>
    <t>Omnilimnoviroviridae</t>
  </si>
  <si>
    <t>Panaquavirovirus</t>
  </si>
  <si>
    <t>Panaquavirovirus qinghaense</t>
  </si>
  <si>
    <t>Alphaturrivirus hveragerdiense</t>
  </si>
  <si>
    <t>Alphaturrivirus yellowstonense</t>
  </si>
  <si>
    <t>Aviadenovirus anatidae</t>
  </si>
  <si>
    <t>Aviadenovirus anatis</t>
  </si>
  <si>
    <t>Aviadenovirus anseris</t>
  </si>
  <si>
    <t>Aviadenovirus bubonis</t>
  </si>
  <si>
    <t>Aviadenovirus cairinae</t>
  </si>
  <si>
    <t>Aviadenovirus columbae</t>
  </si>
  <si>
    <t>Aviadenovirus columbidae</t>
  </si>
  <si>
    <t>Aviadenovirus falconis</t>
  </si>
  <si>
    <t>Aviadenovirus gallinae</t>
  </si>
  <si>
    <t>Aviadenovirus gallopavoprimum</t>
  </si>
  <si>
    <t>Aviadenovirus gallopavoquartum</t>
  </si>
  <si>
    <t>Aviadenovirus gallopavoquintum</t>
  </si>
  <si>
    <t>Aviadenovirus gruis</t>
  </si>
  <si>
    <t>Aviadenovirus hepatitidis</t>
  </si>
  <si>
    <t>Aviadenovirus hydropericardii</t>
  </si>
  <si>
    <t>Aviadenovirus podargidae</t>
  </si>
  <si>
    <t>Aviadenovirus quintum</t>
  </si>
  <si>
    <t>Aviadenovirus rubri</t>
  </si>
  <si>
    <t>Aviadenovirus senegalense</t>
  </si>
  <si>
    <t>Aviadenovirus spinus</t>
  </si>
  <si>
    <t>Aviadenovirus turdi</t>
  </si>
  <si>
    <t>Aviadenovirus ventriculi</t>
  </si>
  <si>
    <t>Barthadenovirus</t>
  </si>
  <si>
    <t>Barthadenovirus amazonae</t>
  </si>
  <si>
    <t>Barthadenovirus bosquartum</t>
  </si>
  <si>
    <t>Barthadenovirus bosseptimum</t>
  </si>
  <si>
    <t>Barthadenovirus bossextum</t>
  </si>
  <si>
    <t>Barthadenovirus caerulei</t>
  </si>
  <si>
    <t>Barthadenovirus cervi</t>
  </si>
  <si>
    <t>Barthadenovirus draconis</t>
  </si>
  <si>
    <t>Barthadenovirus galloanserae</t>
  </si>
  <si>
    <t>Barthadenovirus inornati</t>
  </si>
  <si>
    <t>Barthadenovirus lacertae</t>
  </si>
  <si>
    <t>Barthadenovirus macropodidae</t>
  </si>
  <si>
    <t>Barthadenovirus mellis</t>
  </si>
  <si>
    <t>Barthadenovirus ovis</t>
  </si>
  <si>
    <t>Barthadenovirus schwarzi</t>
  </si>
  <si>
    <t>Barthadenovirus serpentis</t>
  </si>
  <si>
    <t>Barthadenovirus sternae</t>
  </si>
  <si>
    <t>Barthadenovirus vulpeculae</t>
  </si>
  <si>
    <t>Ichtadenovirus acipenseris</t>
  </si>
  <si>
    <t>Mastadenovirus adami</t>
  </si>
  <si>
    <t>Mastadenovirus aegyptiaci</t>
  </si>
  <si>
    <t>Mastadenovirus alienum</t>
  </si>
  <si>
    <t>Mastadenovirus asiensse</t>
  </si>
  <si>
    <t>Mastadenovirus blackbeardi</t>
  </si>
  <si>
    <t>Mastadenovirus bosdecimum</t>
  </si>
  <si>
    <t>Mastadenovirus bosprimum</t>
  </si>
  <si>
    <t>Mastadenovirus bostertium</t>
  </si>
  <si>
    <t>Mastadenovirus bovidae</t>
  </si>
  <si>
    <t>Mastadenovirus caesari</t>
  </si>
  <si>
    <t>Mastadenovirus canidae</t>
  </si>
  <si>
    <t>Mastadenovirus caviae</t>
  </si>
  <si>
    <t>Mastadenovirus cervi</t>
  </si>
  <si>
    <t>Mastadenovirus chalinolobi</t>
  </si>
  <si>
    <t>Mastadenovirus chlorocebi</t>
  </si>
  <si>
    <t>Mastadenovirus cordis</t>
  </si>
  <si>
    <t>Mastadenovirus cynocephali</t>
  </si>
  <si>
    <t>Mastadenovirus delphini</t>
  </si>
  <si>
    <t>Mastadenovirus delphinidae</t>
  </si>
  <si>
    <t>Mastadenovirus dipodomysis</t>
  </si>
  <si>
    <t>Mastadenovirus dominans</t>
  </si>
  <si>
    <t>Mastadenovirus eidoli</t>
  </si>
  <si>
    <t>Mastadenovirus encephalomyelitidis</t>
  </si>
  <si>
    <t>Mastadenovirus equi</t>
  </si>
  <si>
    <t>Mastadenovirus equidae</t>
  </si>
  <si>
    <t>Mastadenovirus exoticum</t>
  </si>
  <si>
    <t>Mastadenovirus faecale</t>
  </si>
  <si>
    <t>Mastadenovirus flavi</t>
  </si>
  <si>
    <t>Mastadenovirus humile</t>
  </si>
  <si>
    <t>Mastadenovirus lamiae</t>
  </si>
  <si>
    <t>Mastadenovirus longumcaudae</t>
  </si>
  <si>
    <t>Mastadenovirus macacae</t>
  </si>
  <si>
    <t>Mastadenovirus magnauris</t>
  </si>
  <si>
    <t>Mastadenovirus miniopteridae</t>
  </si>
  <si>
    <t>Mastadenovirus muris</t>
  </si>
  <si>
    <t>Mastadenovirus musauriti</t>
  </si>
  <si>
    <t>Mastadenovirus otariidae</t>
  </si>
  <si>
    <t>Mastadenovirus ovisoctavum</t>
  </si>
  <si>
    <t>Mastadenovirus ovisprimum</t>
  </si>
  <si>
    <t>Mastadenovirus phocoenae</t>
  </si>
  <si>
    <t>Mastadenovirus pipistrelli</t>
  </si>
  <si>
    <t>Mastadenovirus porcusquartum</t>
  </si>
  <si>
    <t>Mastadenovirus porcusquintum</t>
  </si>
  <si>
    <t>Mastadenovirus porcustertium</t>
  </si>
  <si>
    <t>Mastadenovirus pteropodidae</t>
  </si>
  <si>
    <t>Mastadenovirus rhesi</t>
  </si>
  <si>
    <t>Mastadenovirus rhinolopidae</t>
  </si>
  <si>
    <t>Mastadenovirus russelli</t>
  </si>
  <si>
    <t>Mastadenovirus sciuri</t>
  </si>
  <si>
    <t>Mastadenovirus simiae</t>
  </si>
  <si>
    <t>Mastadenovirus simiavigesimum</t>
  </si>
  <si>
    <t>Mastadenovirus simuli</t>
  </si>
  <si>
    <t>Mastadenovirus tarandri</t>
  </si>
  <si>
    <t>Mastadenovirus trianonense</t>
  </si>
  <si>
    <t>Mastadenovirus tupaiae</t>
  </si>
  <si>
    <t>Mastadenovirus ursi</t>
  </si>
  <si>
    <t>Siadenovirus carbocapituli</t>
  </si>
  <si>
    <t>Siadenovirus cinerei</t>
  </si>
  <si>
    <t>Siadenovirus gallopavotertii</t>
  </si>
  <si>
    <t>Siadenovirus paridae</t>
  </si>
  <si>
    <t>Siadenovirus ranae</t>
  </si>
  <si>
    <t>Siadenovirus raptoris</t>
  </si>
  <si>
    <t>Siadenovirus sanguineae</t>
  </si>
  <si>
    <t>Siadenovirus spheniscidae</t>
  </si>
  <si>
    <t>Siadenovirus stercorariidae</t>
  </si>
  <si>
    <t>Siadenovirus uriae</t>
  </si>
  <si>
    <t>Siadenovirus viridis</t>
  </si>
  <si>
    <t>Testadenovirus trachemysis</t>
  </si>
  <si>
    <t>Matsushitaviridae</t>
  </si>
  <si>
    <t>Yingchengvirus boliviaense</t>
  </si>
  <si>
    <t>Yingchengvirus koreaense</t>
  </si>
  <si>
    <t>Yingchengvirus sinense</t>
  </si>
  <si>
    <t>Alphasphaerolipovirus helsinkii</t>
  </si>
  <si>
    <t>Alphasphaerolipovirus pinkense</t>
  </si>
  <si>
    <t>Alphasphaerolipovirus serpentinense</t>
  </si>
  <si>
    <t>Alphasphaerolipovirus viikkii</t>
  </si>
  <si>
    <t>Ageyesisatellite agerasingaporense</t>
  </si>
  <si>
    <t>Ageyesisatellite gossypiarabiaense</t>
  </si>
  <si>
    <t>Clecrusatellite benincasae</t>
  </si>
  <si>
    <t>Clecrusatellite capsici</t>
  </si>
  <si>
    <t>Clecrusatellite chiapasense</t>
  </si>
  <si>
    <t>Clecrusatellite cleomis</t>
  </si>
  <si>
    <t>Clecrusatellite crotonis</t>
  </si>
  <si>
    <t>Clecrusatellite cucumeris</t>
  </si>
  <si>
    <t>Clecrusatellite euphorbiae</t>
  </si>
  <si>
    <t>Clecrusatellite guatemalaense</t>
  </si>
  <si>
    <t>Clecrusatellite puertoricoense</t>
  </si>
  <si>
    <t>Clecrusatellite sidacubaense</t>
  </si>
  <si>
    <t>Clecrusatellite solanumanandense</t>
  </si>
  <si>
    <t>Clecrusatellite solanumdelhiense</t>
  </si>
  <si>
    <t>Clecrusatellite solanumflavusamaculasecundi</t>
  </si>
  <si>
    <t>Clecrusatellite solanumflavusmaculaprimi</t>
  </si>
  <si>
    <t>Clecrusatellite solanumvirudhunagarense</t>
  </si>
  <si>
    <t>Colecusatellite abelmoschusvenae</t>
  </si>
  <si>
    <t>Colecusatellite agerati</t>
  </si>
  <si>
    <t>Colecusatellite ageravenachinaense</t>
  </si>
  <si>
    <t>Colecusatellite ageravenae</t>
  </si>
  <si>
    <t>Colecusatellite ageravenaindiaense</t>
  </si>
  <si>
    <t>Colecusatellite capsici</t>
  </si>
  <si>
    <t>Colecusatellite gossypiaegyptense</t>
  </si>
  <si>
    <t>Colecusatellite gossypigeziraense</t>
  </si>
  <si>
    <t>Colecusatellite gossypilucknowense</t>
  </si>
  <si>
    <t>Colecusatellite gossypimultanense</t>
  </si>
  <si>
    <t>Colecusatellite gossypiumdarwinii</t>
  </si>
  <si>
    <t>Colecusatellite helianthuskarnatakaense</t>
  </si>
  <si>
    <t>Colecusatellite malvastri</t>
  </si>
  <si>
    <t>Colecusatellite malvastrumcameroonense</t>
  </si>
  <si>
    <t>Colecusatellite manihotismadagascarense</t>
  </si>
  <si>
    <t>Colecusatellite nicotianae</t>
  </si>
  <si>
    <t>Colecusatellite pedilanthi</t>
  </si>
  <si>
    <t>Colecusatellite sidaprimi</t>
  </si>
  <si>
    <t>Colecusatellite sidasecundi</t>
  </si>
  <si>
    <t>Colecusatellite sidavietnamense</t>
  </si>
  <si>
    <t>Colecusatellite solanumbueaense</t>
  </si>
  <si>
    <t>Colecusatellite solanumcameroonense</t>
  </si>
  <si>
    <t>Colecusatellite solanumflavuschinaense</t>
  </si>
  <si>
    <t>Colecusatellite solanumflavusthailandense</t>
  </si>
  <si>
    <t>Colecusatellite solanumflavusyunnanense</t>
  </si>
  <si>
    <t>Colecusatellite solanumpakistanense</t>
  </si>
  <si>
    <t>Colecusatellite synedrellae</t>
  </si>
  <si>
    <t>Draflysatellite libellulae</t>
  </si>
  <si>
    <t>Gosmusatellite abelmoschi</t>
  </si>
  <si>
    <t>Gosmusatellite abelmoschuscameroonense</t>
  </si>
  <si>
    <t>Gosmusatellite alceae</t>
  </si>
  <si>
    <t>Gosmusatellite ecliptae</t>
  </si>
  <si>
    <t>Gosmusatellite gossypicameroonense</t>
  </si>
  <si>
    <t>Gosmusatellite gossypiummustelini</t>
  </si>
  <si>
    <t>Gosmusatellite mestae</t>
  </si>
  <si>
    <t>Gosmusatellite vernoniafujianense</t>
  </si>
  <si>
    <t>Somasatellite sorghi</t>
  </si>
  <si>
    <t>Whiflysatellite guatemalaense</t>
  </si>
  <si>
    <t>Clostunsatellite astragali</t>
  </si>
  <si>
    <t>Clostunsatellite pisi</t>
  </si>
  <si>
    <t>Clostunsatellite sophokerman</t>
  </si>
  <si>
    <t>Clostunsatellite sophorae</t>
  </si>
  <si>
    <t>Clostunsatellite trifolii</t>
  </si>
  <si>
    <t>Fabenesatellite fabae</t>
  </si>
  <si>
    <t>Milvetsatellite japastra</t>
  </si>
  <si>
    <t>Mivedwarsatellite astragali</t>
  </si>
  <si>
    <t>Mivedwarsatellite erbse</t>
  </si>
  <si>
    <t>Mivedwarsatellite fabazerbai</t>
  </si>
  <si>
    <t>Mivedwarsatellite petrocremlingense</t>
  </si>
  <si>
    <t>Mivedwarsatellite petroselini</t>
  </si>
  <si>
    <t>Mivedwarsatellite sinastra</t>
  </si>
  <si>
    <t>Mivedwarsatellite sophalope</t>
  </si>
  <si>
    <t>Sophoyesatellite sophira</t>
  </si>
  <si>
    <t>Sophoyesatellite vicraccae</t>
  </si>
  <si>
    <t>Subclovsatellite bitbea</t>
  </si>
  <si>
    <t>Subclovsatellite fababea</t>
  </si>
  <si>
    <t>Subclovsatellite trisubterrae</t>
  </si>
  <si>
    <t>Subclovsatellite tunisifabae</t>
  </si>
  <si>
    <t>Babusatellite musae</t>
  </si>
  <si>
    <t>Cocosatellite cocos</t>
  </si>
  <si>
    <t>Cocosatellite kelapa</t>
  </si>
  <si>
    <t>Cocosatellite niadamu</t>
  </si>
  <si>
    <t>Cocosatellite popo</t>
  </si>
  <si>
    <t>Coprasatellite niu</t>
  </si>
  <si>
    <t>Kobbarisatellite kokonas</t>
  </si>
  <si>
    <t>Muscarsatellite cardamomi</t>
  </si>
  <si>
    <t>Muscarsatellite haikoumusa</t>
  </si>
  <si>
    <t>Muscarsatellite vietmusa</t>
  </si>
  <si>
    <t>Bottigliavirus krisuvikense</t>
  </si>
  <si>
    <t>Bottigliavirus pozzuoliense</t>
  </si>
  <si>
    <t>Bottigliavirus puteoliense</t>
  </si>
  <si>
    <t>Gyrovirus phaco1</t>
  </si>
  <si>
    <t>Hetorquevirus hominid3</t>
  </si>
  <si>
    <t>Hetorquevirus hominid4</t>
  </si>
  <si>
    <t>Hetorquevirus hominid5</t>
  </si>
  <si>
    <t>Hetorquevirus hominid6</t>
  </si>
  <si>
    <t>Hetorquevirus hominid7</t>
  </si>
  <si>
    <t>Hetorquevirus hominid8</t>
  </si>
  <si>
    <t>Lamedtorquevirus</t>
  </si>
  <si>
    <t>Lamedtorquevirus hominid11</t>
  </si>
  <si>
    <t>Memtorquevirus</t>
  </si>
  <si>
    <t>Memtorquevirus hominid12</t>
  </si>
  <si>
    <t>Memtorquevirus hominid13</t>
  </si>
  <si>
    <t>Memtorquevirus hominid14</t>
  </si>
  <si>
    <t>Samektorquevirus</t>
  </si>
  <si>
    <t>Samektorquevirus hominid15</t>
  </si>
  <si>
    <t>Samektorquevirus hominid16</t>
  </si>
  <si>
    <t>Samektorquevirus hominid17</t>
  </si>
  <si>
    <t>Samektorquevirus hominid18</t>
  </si>
  <si>
    <t>Yodtorquevirus</t>
  </si>
  <si>
    <t>Yodtorquevirus hominid9</t>
  </si>
  <si>
    <t>Yodtorquevirus hominid10</t>
  </si>
  <si>
    <t>Avsunviroid albamaculaperseae</t>
  </si>
  <si>
    <t>Elaviroid latensmelongenae</t>
  </si>
  <si>
    <t>Pelamoviroid latenspruni</t>
  </si>
  <si>
    <t>Pelamoviroid maculachrysanthemi</t>
  </si>
  <si>
    <t>Pelamoviroid malleusmali</t>
  </si>
  <si>
    <t>Bicaudavirus pozzuoliense</t>
  </si>
  <si>
    <t>Clavavirus yamagawaense</t>
  </si>
  <si>
    <t>Alphafusellovirus arnavatnense</t>
  </si>
  <si>
    <t>Alphafusellovirus beppuense</t>
  </si>
  <si>
    <t>Alphafusellovirus hengillense</t>
  </si>
  <si>
    <t>Alphafusellovirus hveragerdiense</t>
  </si>
  <si>
    <t>Alphafusellovirus kamchatkaense</t>
  </si>
  <si>
    <t>Alphafusellovirus reykjanesense</t>
  </si>
  <si>
    <t>Alphafusellovirus yellowstonense</t>
  </si>
  <si>
    <t>Betafusellovirus hveragerdiense</t>
  </si>
  <si>
    <t>Betafusellovirus yellowstonense</t>
  </si>
  <si>
    <t>Alphaglobulovirus cinderense</t>
  </si>
  <si>
    <t>Alphaglobulovirus obsidianense</t>
  </si>
  <si>
    <t>Alphaglobulovirus pozzuoliense</t>
  </si>
  <si>
    <t>Alphaglobulovirus sileriense</t>
  </si>
  <si>
    <t>Betaguttavirus kodakarajimaense</t>
  </si>
  <si>
    <t>Salterprovirus australiense</t>
  </si>
  <si>
    <t>Alphaovalivirus fumarolicaense</t>
  </si>
  <si>
    <t>Alphaportoglobovirus beppuense</t>
  </si>
  <si>
    <t>Alphaportoglobovirus umijigokuense</t>
  </si>
  <si>
    <t>Apscaviroid alphaflavivitis</t>
  </si>
  <si>
    <t>Apscaviroid austravitis</t>
  </si>
  <si>
    <t>Apscaviroid betadiospyri</t>
  </si>
  <si>
    <t>Apscaviroid betaflavivitis</t>
  </si>
  <si>
    <t>Apscaviroid cicatricimali</t>
  </si>
  <si>
    <t>Apscaviroid curvifoliumcitri</t>
  </si>
  <si>
    <t>Apscaviroid dendrobii</t>
  </si>
  <si>
    <t>Apscaviroid diospyri</t>
  </si>
  <si>
    <t>Apscaviroid epsiloncitri</t>
  </si>
  <si>
    <t>Apscaviroid etacitri</t>
  </si>
  <si>
    <t>Apscaviroid fossulamali</t>
  </si>
  <si>
    <t>Apscaviroid japanvitis</t>
  </si>
  <si>
    <t>Apscaviroid latenspruni</t>
  </si>
  <si>
    <t>Apscaviroid latensvitis</t>
  </si>
  <si>
    <t>Apscaviroid litchis</t>
  </si>
  <si>
    <t>Apscaviroid maculamali</t>
  </si>
  <si>
    <t>Apscaviroid nanocitri</t>
  </si>
  <si>
    <t>Apscaviroid pustulapyri</t>
  </si>
  <si>
    <t>Apscaviroid zetacitri</t>
  </si>
  <si>
    <t>Cocadviroid cadangi</t>
  </si>
  <si>
    <t>Cocadviroid latenshumuli</t>
  </si>
  <si>
    <t>Cocadviroid rimocitri</t>
  </si>
  <si>
    <t>Cocadviroid tinangajae</t>
  </si>
  <si>
    <t>Coleviroid alphacolei</t>
  </si>
  <si>
    <t>Coleviroid betacolei</t>
  </si>
  <si>
    <t>Coleviroid epsiloncolei</t>
  </si>
  <si>
    <t>Coleviroid gammacolei</t>
  </si>
  <si>
    <t>Coleviroid zetacolei</t>
  </si>
  <si>
    <t>Hostuviroid impedihumuli</t>
  </si>
  <si>
    <t>Hostuviroid latensdahliae</t>
  </si>
  <si>
    <t>Pospiviroid alphairesinis</t>
  </si>
  <si>
    <t>Pospiviroid apicimpeditum</t>
  </si>
  <si>
    <t>Pospiviroid chloronani</t>
  </si>
  <si>
    <t>Pospiviroid exocortiscitri</t>
  </si>
  <si>
    <t>Pospiviroid fusituberis</t>
  </si>
  <si>
    <t>Pospiviroid impedichrysanthemi</t>
  </si>
  <si>
    <t>Pospiviroid latenscolumneae</t>
  </si>
  <si>
    <t>Pospiviroid latensportulacae</t>
  </si>
  <si>
    <t>Pospiviroid machoplantae</t>
  </si>
  <si>
    <t>Pospiviroid parvicapsici</t>
  </si>
  <si>
    <t>Alphaspiravirus yamagawaense</t>
  </si>
  <si>
    <t>Nitmarvirus maris</t>
  </si>
  <si>
    <t>Betasatellite abelmoschusinvolutionis</t>
  </si>
  <si>
    <t>Betasatellite abelmoschusmusiviflavi</t>
  </si>
  <si>
    <t>Betasatellite abelmoschusomanense</t>
  </si>
  <si>
    <t>Betasatellite agerabueaense</t>
  </si>
  <si>
    <t>Betasatellite ageracameroonense</t>
  </si>
  <si>
    <t>Betasatellite ageraflavi</t>
  </si>
  <si>
    <t>Betasatellite ageraflavichinaense</t>
  </si>
  <si>
    <t>Betasatellite ageraflavinvolutionis</t>
  </si>
  <si>
    <t>Betasatellite ageraflavisrilankaense</t>
  </si>
  <si>
    <t>Betasatellite alternantherae</t>
  </si>
  <si>
    <t>Betasatellite andrographis</t>
  </si>
  <si>
    <t>Betasatellite capsi</t>
  </si>
  <si>
    <t>Betasatellite capsijaunpurense</t>
  </si>
  <si>
    <t>Betasatellite capsisrilankaense</t>
  </si>
  <si>
    <t>Betasatellite cardiospermi</t>
  </si>
  <si>
    <t>Betasatellite caricachinaense</t>
  </si>
  <si>
    <t>Betasatellite caricae</t>
  </si>
  <si>
    <t>Betasatellite caricagandhinagarense</t>
  </si>
  <si>
    <t>Betasatellite caricaindianense</t>
  </si>
  <si>
    <t>Betasatellite caricaindianensesecundi</t>
  </si>
  <si>
    <t>Betasatellite codiaei</t>
  </si>
  <si>
    <t>Betasatellite codiaeumflavi</t>
  </si>
  <si>
    <t>Betasatellite emiliae</t>
  </si>
  <si>
    <t>Betasatellite emiliafujianense</t>
  </si>
  <si>
    <t>Betasatellite erectitis</t>
  </si>
  <si>
    <t>Betasatellite eupatorii</t>
  </si>
  <si>
    <t>Betasatellite eupatoriumflavi</t>
  </si>
  <si>
    <t>Betasatellite gossypibahraichense</t>
  </si>
  <si>
    <t>Betasatellite gossypibangalorenseprimi</t>
  </si>
  <si>
    <t>Betasatellite gossypibangalorensequarti</t>
  </si>
  <si>
    <t>Betasatellite gossypibangalorensesecundi</t>
  </si>
  <si>
    <t>Betasatellite gossypibangalorensetertii</t>
  </si>
  <si>
    <t>Betasatellite gossypiburkinafasoense</t>
  </si>
  <si>
    <t>Betasatellite gossypigeziraense</t>
  </si>
  <si>
    <t>Betasatellite gossypikashmirense</t>
  </si>
  <si>
    <t>Betasatellite gossypimultanense</t>
  </si>
  <si>
    <t>Betasatellite gossypitandojamense</t>
  </si>
  <si>
    <t>Betasatellite hedyotis</t>
  </si>
  <si>
    <t>Betasatellite hibisci</t>
  </si>
  <si>
    <t>Betasatellite hibiscusvenae</t>
  </si>
  <si>
    <t>Betasatellite ioniceravenaflavi</t>
  </si>
  <si>
    <t>Betasatellite ioniceravenaibarakiense</t>
  </si>
  <si>
    <t>Betasatellite ioniceravenamusiviflavi</t>
  </si>
  <si>
    <t>Betasatellite ioniceravenanaraense</t>
  </si>
  <si>
    <t>Betasatellite leucatis</t>
  </si>
  <si>
    <t>Betasatellite linderniae</t>
  </si>
  <si>
    <t>Betasatellite ludwigiae</t>
  </si>
  <si>
    <t>Betasatellite ludwigiaprimi</t>
  </si>
  <si>
    <t>Betasatellite ludwigiasecundi</t>
  </si>
  <si>
    <t>Betasatellite ludwigiatertii</t>
  </si>
  <si>
    <t>Betasatellite malvastri</t>
  </si>
  <si>
    <t>Betasatellite malvastrumcambodiaense</t>
  </si>
  <si>
    <t>Betasatellite malvastrumflavi</t>
  </si>
  <si>
    <t>Betasatellite malvastrumyunnanenseprimi</t>
  </si>
  <si>
    <t>Betasatellite malvastrumyunnanensesecundi</t>
  </si>
  <si>
    <t>Betasatellite mirabilis</t>
  </si>
  <si>
    <t>Betasatellite momordicae</t>
  </si>
  <si>
    <t>Betasatellite nicotianachlorosis</t>
  </si>
  <si>
    <t>Betasatellite nicotianae</t>
  </si>
  <si>
    <t>Betasatellite nicotianajapanense</t>
  </si>
  <si>
    <t>Betasatellite nicotianapatnaense</t>
  </si>
  <si>
    <t>Betasatellite nicotianasheikhupuraense</t>
  </si>
  <si>
    <t>Betasatellite nicotianayunnanense</t>
  </si>
  <si>
    <t>Betasatellite nicotianinvolutionis</t>
  </si>
  <si>
    <t>Betasatellite phaseoli</t>
  </si>
  <si>
    <t>Betasatellite pisi</t>
  </si>
  <si>
    <t>Betasatellite raphani</t>
  </si>
  <si>
    <t>Betasatellite rhynchosiae</t>
  </si>
  <si>
    <t>Betasatellite rosae</t>
  </si>
  <si>
    <t>Betasatellite sidabarrackporense</t>
  </si>
  <si>
    <t>Betasatellite sidae</t>
  </si>
  <si>
    <t>Betasatellite sidamaduraiense</t>
  </si>
  <si>
    <t>Betasatellite sidamusivi</t>
  </si>
  <si>
    <t>Betasatellite sidavietnamenseprimo</t>
  </si>
  <si>
    <t>Betasatellite sidavietnamensesecundi</t>
  </si>
  <si>
    <t>Betasatellite siegesbeckiae</t>
  </si>
  <si>
    <t>Betasatellite siegesbeckiaguangxiense</t>
  </si>
  <si>
    <t>Betasatellite siegesbeckiasecundi</t>
  </si>
  <si>
    <t>Betasatellite solani</t>
  </si>
  <si>
    <t>Betasatellite solanibangalorense</t>
  </si>
  <si>
    <t>Betasatellite solanibangalorensesecundi</t>
  </si>
  <si>
    <t>Betasatellite solanibangladeshense</t>
  </si>
  <si>
    <t>Betasatellite solanibundiense</t>
  </si>
  <si>
    <t>Betasatellite solanichinaense</t>
  </si>
  <si>
    <t>Betasatellite solaniflavuschinaense</t>
  </si>
  <si>
    <t>Betasatellite solaniflavushandongense</t>
  </si>
  <si>
    <t>Betasatellite solaniflavusparvi</t>
  </si>
  <si>
    <t>Betasatellite solaniflavusthailandense</t>
  </si>
  <si>
    <t>Betasatellite solaniflavusvietnamense</t>
  </si>
  <si>
    <t>Betasatellite solaniflavusyunnanense</t>
  </si>
  <si>
    <t>Betasatellite solanighanaenseprimi</t>
  </si>
  <si>
    <t>Betasatellite solanighanaensesecundi</t>
  </si>
  <si>
    <t>Betasatellite solanighandinagarense</t>
  </si>
  <si>
    <t>Betasatellite solanihajipurense</t>
  </si>
  <si>
    <t>Betasatellite solanijavaense</t>
  </si>
  <si>
    <t>Betasatellite solanijoydebpurense</t>
  </si>
  <si>
    <t>Betasatellite solanijoydebpurensesecundi</t>
  </si>
  <si>
    <t>Betasatellite solanikarnatakaense</t>
  </si>
  <si>
    <t>Betasatellite solanilagunaense</t>
  </si>
  <si>
    <t>Betasatellite solanilaosense</t>
  </si>
  <si>
    <t>Betasatellite solanilucknowense</t>
  </si>
  <si>
    <t>Betasatellite solanimalaysiaense</t>
  </si>
  <si>
    <t>Betasatellite solanindianense</t>
  </si>
  <si>
    <t>Betasatellite solaninepalense</t>
  </si>
  <si>
    <t>Betasatellite solanipakistanense</t>
  </si>
  <si>
    <t>Betasatellite solanipanipatense</t>
  </si>
  <si>
    <t>Betasatellite solanipatnaense</t>
  </si>
  <si>
    <t>Betasatellite solaniphilippinense</t>
  </si>
  <si>
    <t>Betasatellite solanipunense</t>
  </si>
  <si>
    <t>Betasatellite solaniranchiense</t>
  </si>
  <si>
    <t>Betasatellite solanisecundi</t>
  </si>
  <si>
    <t>Betasatellite solanisrilankaense</t>
  </si>
  <si>
    <t>Betasatellite solanitogoense</t>
  </si>
  <si>
    <t>Betasatellite solaniyemenense</t>
  </si>
  <si>
    <t>Betasatellite vernoniae</t>
  </si>
  <si>
    <t>Betasatellite verrnoniaflavi</t>
  </si>
  <si>
    <t>Betasatellite verrnoniaflavusfujianense</t>
  </si>
  <si>
    <t>Betasatellite vignae</t>
  </si>
  <si>
    <t>Betasatellite zinniae</t>
  </si>
  <si>
    <t>Deltasatellite codiaeumiflavi</t>
  </si>
  <si>
    <t>Deltasatellite desmodii</t>
  </si>
  <si>
    <t>Deltasatellite ipomoeaprimi</t>
  </si>
  <si>
    <t>Deltasatellite ipomoeasecundi</t>
  </si>
  <si>
    <t>Deltasatellite ipomoeatertii</t>
  </si>
  <si>
    <t>Deltasatellite malvastri</t>
  </si>
  <si>
    <t>Deltasatellite sidaflavusprimi</t>
  </si>
  <si>
    <t>Deltasatellite sidaflavussecundi</t>
  </si>
  <si>
    <t>Deltasatellite sidaflavustertii</t>
  </si>
  <si>
    <t>Deltasatellite solani</t>
  </si>
  <si>
    <t>Deltasatellite solaniflavusprimi</t>
  </si>
  <si>
    <t>Deltasatellite solaniflavussecundi</t>
  </si>
  <si>
    <t>MSL38 Total</t>
  </si>
  <si>
    <t>MSL.39 Total</t>
  </si>
  <si>
    <t>Adnaviria;Zilligvirae;Taleaviricota;Tokiviricetes;Ligamenvirales;Lipothrixviridae;Alphalipothrixvirus;Alphalipothrixvirus SFV1</t>
  </si>
  <si>
    <t>Adnaviria;Zilligvirae;Taleaviricota;Tokiviricetes;Ligamenvirales;Lipothrixviridae;Alphalipothrixvirus;Alphalipothrixvirus beppuense</t>
  </si>
  <si>
    <t>Adnaviria;Zilligvirae;Taleaviricota;Tokiviricetes;Ligamenvirales;Lipothrixviridae;Alphalipothrixvirus;Alphalipothrixvirus SBFV2</t>
  </si>
  <si>
    <t>Adnaviria;Zilligvirae;Taleaviricota;Tokiviricetes;Ligamenvirales;Lipothrixviridae;Alphalipothrixvirus;Alphalipothrixvirus umijigokuense</t>
  </si>
  <si>
    <t>Adnaviria;Zilligvirae;Taleaviricota;Tokiviricetes;Ligamenvirales;Lipothrixviridae;Betalipothrixvirus;Acidianus filamentous virus 3</t>
  </si>
  <si>
    <t>Adnaviria;Zilligvirae;Taleaviricota;Tokiviricetes;Ligamenvirales;Lipothrixviridae;Betalipothrixvirus;Betalipothrixvirus acidiani</t>
  </si>
  <si>
    <t>Adnaviria;Zilligvirae;Taleaviricota;Tokiviricetes;Ligamenvirales;Lipothrixviridae;Betalipothrixvirus;Sulfolobus islandicus filamentous virus</t>
  </si>
  <si>
    <t>Adnaviria;Zilligvirae;Taleaviricota;Tokiviricetes;Ligamenvirales;Lipothrixviridae;Betalipothrixvirus;Betalipothrixvirus hveragerdiense</t>
  </si>
  <si>
    <t>Adnaviria;Zilligvirae;Taleaviricota;Tokiviricetes;Ligamenvirales;Lipothrixviridae;Betalipothrixvirus;Acidianus filamentous virus 7</t>
  </si>
  <si>
    <t>Adnaviria;Zilligvirae;Taleaviricota;Tokiviricetes;Ligamenvirales;Lipothrixviridae;Betalipothrixvirus;Betalipothrixvirus pezzuloense</t>
  </si>
  <si>
    <t>Adnaviria;Zilligvirae;Taleaviricota;Tokiviricetes;Ligamenvirales;Lipothrixviridae;Betalipothrixvirus;Acidianus filamentous virus 6</t>
  </si>
  <si>
    <t>Adnaviria;Zilligvirae;Taleaviricota;Tokiviricetes;Ligamenvirales;Lipothrixviridae;Betalipothrixvirus;Betalipothrixvirus pozzuoliense</t>
  </si>
  <si>
    <t>Adnaviria;Zilligvirae;Taleaviricota;Tokiviricetes;Ligamenvirales;Lipothrixviridae;Betalipothrixvirus;Acidianus filamentous virus 8</t>
  </si>
  <si>
    <t>Adnaviria;Zilligvirae;Taleaviricota;Tokiviricetes;Ligamenvirales;Lipothrixviridae;Betalipothrixvirus;Betalipothrixvirus puteoliense</t>
  </si>
  <si>
    <t>Adnaviria;Zilligvirae;Taleaviricota;Tokiviricetes;Ligamenvirales;Lipothrixviridae;Betalipothrixvirus;Acidianus filamentous virus 9</t>
  </si>
  <si>
    <t>Adnaviria;Zilligvirae;Taleaviricota;Tokiviricetes;Ligamenvirales;Lipothrixviridae;Betalipothrixvirus;Betalipothrixvirus uzonense</t>
  </si>
  <si>
    <t>Adnaviria;Zilligvirae;Taleaviricota;Tokiviricetes;Ligamenvirales;Lipothrixviridae;Deltalipothrixvirus;Deltalipothrixvirus SBFV3</t>
  </si>
  <si>
    <t>Adnaviria;Zilligvirae;Taleaviricota;Tokiviricetes;Ligamenvirales;Lipothrixviridae;Deltalipothrixvirus;Deltalipothrixvirus beppuense</t>
  </si>
  <si>
    <t>Adnaviria;Zilligvirae;Taleaviricota;Tokiviricetes;Ligamenvirales;Lipothrixviridae;Deltalipothrixvirus;Acidianus filamentous virus 2</t>
  </si>
  <si>
    <t>Adnaviria;Zilligvirae;Taleaviricota;Tokiviricetes;Ligamenvirales;Lipothrixviridae;Deltalipothrixvirus;Deltalipothrixvirus pozzuoliense</t>
  </si>
  <si>
    <t>Adnaviria;Zilligvirae;Taleaviricota;Tokiviricetes;Ligamenvirales;Rudiviridae;Azorudivirus;Azorudivirus SRV</t>
  </si>
  <si>
    <t>Adnaviria;Zilligvirae;Taleaviricota;Tokiviricetes;Ligamenvirales;Rudiviridae;Azorudivirus;Azorudivirus furnasense</t>
  </si>
  <si>
    <t>Adnaviria;Zilligvirae;Taleaviricota;Tokiviricetes;Ligamenvirales;Rudiviridae;Hoswirudivirus;Hoswirudivirus ARV3</t>
  </si>
  <si>
    <t>Adnaviria;Zilligvirae;Taleaviricota;Tokiviricetes;Ligamenvirales;Rudiviridae;Hoswirudivirus;Hoswirudivirus acidiani</t>
  </si>
  <si>
    <t>Adnaviria;Zilligvirae;Taleaviricota;Tokiviricetes;Ligamenvirales;Rudiviridae;Hoswirudivirus;Hoswirudivirus MRV1</t>
  </si>
  <si>
    <t>Adnaviria;Zilligvirae;Taleaviricota;Tokiviricetes;Ligamenvirales;Rudiviridae;Hoswirudivirus;Hoswirudivirus metallosphaerae</t>
  </si>
  <si>
    <t>Adnaviria;Zilligvirae;Taleaviricota;Tokiviricetes;Ligamenvirales;Rudiviridae;Hoswirudivirus;Hoswirudivirus ARV2</t>
  </si>
  <si>
    <t>Adnaviria;Zilligvirae;Taleaviricota;Tokiviricetes;Ligamenvirales;Rudiviridae;Hoswirudivirus;Hoswirudivirus pozzuoliense</t>
  </si>
  <si>
    <t>Adnaviria;Zilligvirae;Taleaviricota;Tokiviricetes;Ligamenvirales;Rudiviridae;Hoswirudivirus;Hoswirudivirus SSRV1</t>
  </si>
  <si>
    <t>Adnaviria;Zilligvirae;Taleaviricota;Tokiviricetes;Ligamenvirales;Rudiviridae;Hoswirudivirus;Hoswirudivirus saccharolobi</t>
  </si>
  <si>
    <t>Adnaviria;Zilligvirae;Taleaviricota;Tokiviricetes;Ligamenvirales;Rudiviridae;Icerudivirus;Icerudivirus SIRV3</t>
  </si>
  <si>
    <t>Adnaviria;Zilligvirae;Taleaviricota;Tokiviricetes;Ligamenvirales;Rudiviridae;Icerudivirus;Icerudivirus gunnuhverense</t>
  </si>
  <si>
    <t>Adnaviria;Zilligvirae;Taleaviricota;Tokiviricetes;Ligamenvirales;Rudiviridae;Icerudivirus;Icerudivirus SIRV2</t>
  </si>
  <si>
    <t>Adnaviria;Zilligvirae;Taleaviricota;Tokiviricetes;Ligamenvirales;Rudiviridae;Icerudivirus;Icerudivirus hveragerdiense</t>
  </si>
  <si>
    <t>Adnaviria;Zilligvirae;Taleaviricota;Tokiviricetes;Ligamenvirales;Rudiviridae;Icerudivirus;Icerudivirus SIRV1</t>
  </si>
  <si>
    <t>Adnaviria;Zilligvirae;Taleaviricota;Tokiviricetes;Ligamenvirales;Rudiviridae;Icerudivirus;Icerudivirus kverkfjoellense</t>
  </si>
  <si>
    <t>Adnaviria;Zilligvirae;Taleaviricota;Tokiviricetes;Ligamenvirales;Rudiviridae;Itarudivirus;Itarudivirus ARV1</t>
  </si>
  <si>
    <t>Adnaviria;Zilligvirae;Taleaviricota;Tokiviricetes;Ligamenvirales;Rudiviridae;Itarudivirus;Itarudivirus pozzuoliense</t>
  </si>
  <si>
    <t>Adnaviria;Zilligvirae;Taleaviricota;Tokiviricetes;Ligamenvirales;Rudiviridae;Japarudivirus;Japarudivirus SBRV1</t>
  </si>
  <si>
    <t>Adnaviria;Zilligvirae;Taleaviricota;Tokiviricetes;Ligamenvirales;Rudiviridae;Japarudivirus;Japarudivirus beppuense</t>
  </si>
  <si>
    <t>Adnaviria;Zilligvirae;Taleaviricota;Tokiviricetes;Ligamenvirales;Rudiviridae;Mexirudivirus;Mexirudivirus SMRV1</t>
  </si>
  <si>
    <t>Adnaviria;Zilligvirae;Taleaviricota;Tokiviricetes;Ligamenvirales;Rudiviridae;Mexirudivirus;Mexirudivirus azufresense</t>
  </si>
  <si>
    <t>Adnaviria;Zilligvirae;Taleaviricota;Tokiviricetes;Ligamenvirales;Rudiviridae;Usarudivirus;Usarudivirus SIRV10</t>
  </si>
  <si>
    <t>Adnaviria;Zilligvirae;Taleaviricota;Tokiviricetes;Ligamenvirales;Rudiviridae;Usarudivirus;Usarudivirus acidum</t>
  </si>
  <si>
    <t>Adnaviria;Zilligvirae;Taleaviricota;Tokiviricetes;Ligamenvirales;Rudiviridae;Usarudivirus;Usarudivirus SIRV9</t>
  </si>
  <si>
    <t>Adnaviria;Zilligvirae;Taleaviricota;Tokiviricetes;Ligamenvirales;Rudiviridae;Usarudivirus;Usarudivirus aestus</t>
  </si>
  <si>
    <t>Adnaviria;Zilligvirae;Taleaviricota;Tokiviricetes;Ligamenvirales;Rudiviridae;Usarudivirus;Usarudivirus SIRV8</t>
  </si>
  <si>
    <t>Adnaviria;Zilligvirae;Taleaviricota;Tokiviricetes;Ligamenvirales;Rudiviridae;Usarudivirus;Usarudivirus caloris</t>
  </si>
  <si>
    <t>Adnaviria;Zilligvirae;Taleaviricota;Tokiviricetes;Ligamenvirales;Rudiviridae;Usarudivirus;Usarudivirus SIRV11</t>
  </si>
  <si>
    <t>Adnaviria;Zilligvirae;Taleaviricota;Tokiviricetes;Ligamenvirales;Rudiviridae;Usarudivirus;Usarudivirus dryadis</t>
  </si>
  <si>
    <t>Adnaviria;Zilligvirae;Taleaviricota;Tokiviricetes;Ligamenvirales;Rudiviridae;Usarudivirus;Usarudivirus SIRV5</t>
  </si>
  <si>
    <t>Adnaviria;Zilligvirae;Taleaviricota;Tokiviricetes;Ligamenvirales;Rudiviridae;Usarudivirus;Usarudivirus nymphense</t>
  </si>
  <si>
    <t>Adnaviria;Zilligvirae;Taleaviricota;Tokiviricetes;Ligamenvirales;Rudiviridae;Usarudivirus;Usarudivirus SIRV4</t>
  </si>
  <si>
    <t>Adnaviria;Zilligvirae;Taleaviricota;Tokiviricetes;Ligamenvirales;Rudiviridae;Usarudivirus;Usarudivirus yellowstonense</t>
  </si>
  <si>
    <t>Adnaviria;Zilligvirae;Taleaviricota;Tokiviricetes;Ligamenvirales;Ungulaviridae;Captovirus;Captovirus AFV1</t>
  </si>
  <si>
    <t>Adnaviria;Zilligvirae;Taleaviricota;Tokiviricetes;Ligamenvirales;Ungulaviridae;Captovirus;Captovirus yellowstonense</t>
  </si>
  <si>
    <t>Adnaviria;Zilligvirae;Taleaviricota;Tokiviricetes;Primavirales;Tristromaviridae;Alphatristromavirus;Alphatristromavirus PFV1</t>
  </si>
  <si>
    <t>Adnaviria;Zilligvirae;Taleaviricota;Tokiviricetes;Primavirales;Tristromaviridae;Alphatristromavirus;Alphatristromavirus pozzuoliense</t>
  </si>
  <si>
    <t>Adnaviria;Zilligvirae;Taleaviricota;Tokiviricetes;Primavirales;Tristromaviridae;Alphatristromavirus;Alphatristromavirus PFV2</t>
  </si>
  <si>
    <t>Adnaviria;Zilligvirae;Taleaviricota;Tokiviricetes;Primavirales;Tristromaviridae;Alphatristromavirus;Alphatristromavirus puteoliense</t>
  </si>
  <si>
    <t>Adnaviria;Zilligvirae;Taleaviricota;Tokiviricetes;Primavirales;Tristromaviridae;Betatristromavirus;Betatristromavirus TTV1</t>
  </si>
  <si>
    <t>Adnaviria;Zilligvirae;Taleaviricota;Tokiviricetes;Primavirales;Tristromaviridae;Betatristromavirus;Betatristromavirus kraflaense</t>
  </si>
  <si>
    <t>Duplodnaviria;Heunggongvirae;Uroviricota;Caudoviricetes;Kirjokansivirales;Graaviviridae;Beejeyvirus;Beejeyvirus BJ1</t>
  </si>
  <si>
    <t>Duplodnaviria;Heunggongvirae;Uroviricota;Caudoviricetes;Kirjokansivirales;Graaviviridae;Beejeyvirus;Beejeyvirus bagaejinnorense</t>
  </si>
  <si>
    <t>Duplodnaviria;Heunggongvirae;Uroviricota;Caudoviricetes;Kirjokansivirales;Graaviviridae;Seejivirus;Seejivirus CGphi46</t>
  </si>
  <si>
    <t>Duplodnaviria;Heunggongvirae;Uroviricota;Caudoviricetes;Kirjokansivirales;Graaviviridae;Seejivirus;Seejivirus salhabitans</t>
  </si>
  <si>
    <t>Duplodnaviria;Heunggongvirae;Uroviricota;Caudoviricetes;Kirjokansivirales;Haloferuviridae;Dpdavirus;Dpdavirus HRTV29</t>
  </si>
  <si>
    <t>Duplodnaviria;Heunggongvirae;Uroviricota;Caudoviricetes;Kirjokansivirales;Haloferuviridae;Dpdavirus;Dpdavirus caudatum</t>
  </si>
  <si>
    <t>Duplodnaviria;Heunggongvirae;Uroviricota;Caudoviricetes;Kirjokansivirales;Haloferuviridae;Retbasiphovirus;Retbasiphovirus HFTV1</t>
  </si>
  <si>
    <t>Duplodnaviria;Heunggongvirae;Uroviricota;Caudoviricetes;Kirjokansivirales;Haloferuviridae;Retbasiphovirus;Retbasiphovirus hantatum</t>
  </si>
  <si>
    <t>Duplodnaviria;Heunggongvirae;Uroviricota;Caudoviricetes;Kirjokansivirales;Haloferuviridae;Saldibavirus;Saldibavirus HRTV4</t>
  </si>
  <si>
    <t>Duplodnaviria;Heunggongvirae;Uroviricota;Caudoviricetes;Kirjokansivirales;Haloferuviridae;Saldibavirus;Saldibavirus natrii</t>
  </si>
  <si>
    <t>Duplodnaviria;Heunggongvirae;Uroviricota;Caudoviricetes;Kirjokansivirales;Pyrstoviridae;Hatrivirus;Hatrivirus HATV3</t>
  </si>
  <si>
    <t>Duplodnaviria;Heunggongvirae;Uroviricota;Caudoviricetes;Kirjokansivirales;Pyrstoviridae;Hatrivirus;Hatrivirus caudatum</t>
  </si>
  <si>
    <t>Duplodnaviria;Heunggongvirae;Uroviricota;Caudoviricetes;Kirjokansivirales;Shortaselviridae;Lonfivirus;Lonfivirus HSTV1</t>
  </si>
  <si>
    <t>Duplodnaviria;Heunggongvirae;Uroviricota;Caudoviricetes;Kirjokansivirales;Shortaselviridae;Lonfivirus;Lonfivirus codicilli</t>
  </si>
  <si>
    <t>Duplodnaviria;Heunggongvirae;Uroviricota;Caudoviricetes;Methanobavirales;Anaerodiviridae;Metforvirus;Metforvirus Drs3</t>
  </si>
  <si>
    <t>Duplodnaviria;Heunggongvirae;Uroviricota;Caudoviricetes;Methanobavirales;Anaerodiviridae;Metforvirus;Metforvirus limi</t>
  </si>
  <si>
    <t>Duplodnaviria;Heunggongvirae;Uroviricota;Caudoviricetes;Methanobavirales;Leisingerviridae;Psimunavirus;Psimunavirus psiM2</t>
  </si>
  <si>
    <t>Duplodnaviria;Heunggongvirae;Uroviricota;Caudoviricetes;Methanobavirales;Leisingerviridae;Psimunavirus;Psimunavirus limi</t>
  </si>
  <si>
    <t>Duplodnaviria;Heunggongvirae;Uroviricota;Caudoviricetes;Thumleimavirales;Druskaviridae;Hacavirus;Hacavirus HCTV1</t>
  </si>
  <si>
    <t>Duplodnaviria;Heunggongvirae;Uroviricota;Caudoviricetes;Thumleimavirales;Druskaviridae;Hacavirus;Hacavirus italiense</t>
  </si>
  <si>
    <t>Duplodnaviria;Heunggongvirae;Uroviricota;Caudoviricetes;Thumleimavirales;Druskaviridae;Tredecimvirus;Tredecimvirus HVTV1</t>
  </si>
  <si>
    <t>Duplodnaviria;Heunggongvirae;Uroviricota;Caudoviricetes;Thumleimavirales;Druskaviridae;Tredecimvirus;Tredecimvirus thailandense</t>
  </si>
  <si>
    <t>Duplodnaviria;Heunggongvirae;Uroviricota;Caudoviricetes;Thumleimavirales;Hafunaviridae;Haloferacalesvirus;Haloferacalesvirus HRTV10</t>
  </si>
  <si>
    <t>Duplodnaviria;Heunggongvirae;Uroviricota;Caudoviricetes;Thumleimavirales;Hafunaviridae;Haloferacalesvirus;Haloferacalesvirus eilatense</t>
  </si>
  <si>
    <t>Duplodnaviria;Heunggongvirae;Uroviricota;Caudoviricetes;Thumleimavirales;Hafunaviridae;Haloferacalesvirus;Haloferacalesvirus HF1</t>
  </si>
  <si>
    <t>Duplodnaviria;Heunggongvirae;Uroviricota;Caudoviricetes;Thumleimavirales;Hafunaviridae;Haloferacalesvirus;Haloferacalesvirus moolapense</t>
  </si>
  <si>
    <t>Duplodnaviria;Heunggongvirae;Uroviricota;Caudoviricetes;Thumleimavirales;Hafunaviridae;Haloferacalesvirus;Haloferacalesvirus HRTV5</t>
  </si>
  <si>
    <t>Duplodnaviria;Heunggongvirae;Uroviricota;Caudoviricetes;Thumleimavirales;Hafunaviridae;Haloferacalesvirus;Haloferacalesvirus pyrstotum</t>
  </si>
  <si>
    <t>Duplodnaviria;Heunggongvirae;Uroviricota;Caudoviricetes;Thumleimavirales;Hafunaviridae;Haloferacalesvirus;Haloferacalesvirus HRTV8</t>
  </si>
  <si>
    <t>Duplodnaviria;Heunggongvirae;Uroviricota;Caudoviricetes;Thumleimavirales;Hafunaviridae;Haloferacalesvirus;Haloferacalesvirus salis</t>
  </si>
  <si>
    <t>Duplodnaviria;Heunggongvirae;Uroviricota;Caudoviricetes;Thumleimavirales;Hafunaviridae;Haloferacalesvirus;Haloferacalesvirus HSTV4</t>
  </si>
  <si>
    <t>Duplodnaviria;Heunggongvirae;Uroviricota;Caudoviricetes;Thumleimavirales;Hafunaviridae;Haloferacalesvirus;Haloferacalesvirus samutsakhonense</t>
  </si>
  <si>
    <t>Duplodnaviria;Heunggongvirae;Uroviricota;Caudoviricetes;Thumleimavirales;Hafunaviridae;Haloferacalesvirus;Haloferacalesvirus Serpecor1</t>
  </si>
  <si>
    <t>Duplodnaviria;Heunggongvirae;Uroviricota;Caudoviricetes;Thumleimavirales;Hafunaviridae;Haloferacalesvirus;Haloferacalesvirus serpentinense</t>
  </si>
  <si>
    <t>Duplodnaviria;Heunggongvirae;Uroviricota;Caudoviricetes;Thumleimavirales;Hafunaviridae;Haloferacalesvirus;Haloferacalesvirus HJTV2</t>
  </si>
  <si>
    <t>Duplodnaviria;Heunggongvirae;Uroviricota;Caudoviricetes;Thumleimavirales;Hafunaviridae;Haloferacalesvirus;Haloferacalesvirus thailandense</t>
  </si>
  <si>
    <t>Duplodnaviria;Heunggongvirae;Uroviricota;Caudoviricetes;Thumleimavirales;Hafunaviridae;Laminvirus;Laminvirus HRTV25</t>
  </si>
  <si>
    <t>Duplodnaviria;Heunggongvirae;Uroviricota;Caudoviricetes;Thumleimavirales;Hafunaviridae;Laminvirus;Laminvirus thailandense</t>
  </si>
  <si>
    <t>Duplodnaviria;Heunggongvirae;Uroviricota;Caudoviricetes;Thumleimavirales;Hafunaviridae;Mincapvirus;Mincapvirus HSTV2</t>
  </si>
  <si>
    <t>Duplodnaviria;Heunggongvirae;Uroviricota;Caudoviricetes;Thumleimavirales;Hafunaviridae;Mincapvirus;Mincapvirus eilatense</t>
  </si>
  <si>
    <t>Duplodnaviria;Heunggongvirae;Uroviricota;Caudoviricetes;Thumleimavirales;Hafunaviridae;Minorvirus;Minorvirus HRTV27</t>
  </si>
  <si>
    <t>Duplodnaviria;Heunggongvirae;Uroviricota;Caudoviricetes;Thumleimavirales;Hafunaviridae;Minorvirus;Minorvirus thailandense</t>
  </si>
  <si>
    <t>Duplodnaviria;Heunggongvirae;Uroviricota;Caudoviricetes;Thumleimavirales;Halomagnusviridae;Hagravirus;Hagravirus HGTV1</t>
  </si>
  <si>
    <t>Duplodnaviria;Heunggongvirae;Uroviricota;Caudoviricetes;Thumleimavirales;Halomagnusviridae;Hagravirus;Hagravirus capitaneum</t>
  </si>
  <si>
    <t>Duplodnaviria;Heunggongvirae;Uroviricota;Caudoviricetes;Thumleimavirales;Soleiviridae;Eilatmyovirus;Eilatmyovirus HATV2</t>
  </si>
  <si>
    <t>Duplodnaviria;Heunggongvirae;Uroviricota;Caudoviricetes;Thumleimavirales;Soleiviridae;Eilatmyovirus;Eilatmyovirus salis</t>
  </si>
  <si>
    <t>subfamily</t>
  </si>
  <si>
    <t>Duplodnaviria;Heunggongvirae;Uroviricota;Caudoviricetes;Drexlerviridae;Braunvirinae;Guelphvirus;Guelphvirus EC3a</t>
  </si>
  <si>
    <t>Duplodnaviria;Heunggongvirae;Uroviricota;Caudoviricetes;Drexlerviridae;Braunvirinae;Loudonvirus;Loudonvirus EC3a</t>
  </si>
  <si>
    <t>Duplodnaviria;Heunggongvirae;Uroviricota;Caudoviricetes;Drexlerviridae;Tempevirinae;Changchunvirus;Changchunvirus PHB17</t>
  </si>
  <si>
    <t>Duplodnaviria;Heunggongvirae;Uroviricota;Caudoviricetes;Drexlerviridae;Tempevirinae;Baihuvirus;Baihuvirus PHB17</t>
  </si>
  <si>
    <t>Duplodnaviria;Heunggongvirae;Uroviricota;Caudoviricetes;Herelleviridae;Jasinkavirinae</t>
  </si>
  <si>
    <t>Duplodnaviria;Heunggongvirae;Uroviricota;Caudoviricetes;Herelleviridae;Jasinskavirinae</t>
  </si>
  <si>
    <t>Duplodnaviria;Heunggongvirae;Uroviricota;Caudoviricetes;Madisaviridae;Clampvirus;Clampvirus HHTV1</t>
  </si>
  <si>
    <t>Duplodnaviria;Heunggongvirae;Uroviricota;Caudoviricetes;Madisaviridae;Clampvirus;Clampvirus italiense</t>
  </si>
  <si>
    <t>Duplodnaviria;Heunggongvirae;Uroviricota;Caudoviricetes;Pamexvirus;Pamexvirus PaMx74</t>
  </si>
  <si>
    <t>Duplodnaviria;Heunggongvirae;Uroviricota;Caudoviricetes;Mesyanzhinovviridae;Bradleyvirinae;Cinvestavvirus;Cinvestavvirus PaMx74</t>
  </si>
  <si>
    <t>Duplodnaviria;Heunggongvirae;Uroviricota;Caudoviricetes;Peduoviridae;Wadgaonvirus;Wadgaonvirus V13P477T2</t>
  </si>
  <si>
    <t>Duplodnaviria;Heunggongvirae;Uroviricota;Caudoviricetes;Peduoviridae;Elveevirus;Elveevirus V13P477T2</t>
  </si>
  <si>
    <t>Duplodnaviria;Heunggongvirae;Uroviricota;Caudoviricetes;Peduoviridae;Graikaemvirus;Graikaemvirus YenM324</t>
  </si>
  <si>
    <t>Duplodnaviria;Heunggongvirae;Uroviricota;Caudoviricetes;Peduoviridae;Graikaemvirus;Graikaemvirus YenM3117</t>
  </si>
  <si>
    <t>Duplodnaviria;Heunggongvirae;Uroviricota;Caudoviricetes;Peduoviridae;Stockinghallvirus;Stockinghallvirus FSLSP004</t>
  </si>
  <si>
    <t>Duplodnaviria;Heunggongvirae;Uroviricota;Caudoviricetes;Peduoviridae;Peduovirus;Peduovirus FSLSP004</t>
  </si>
  <si>
    <t>Duplodnaviria;Heunggongvirae;Uroviricota;Caudoviricetes;Saparoviridae;Halohivirus;Halohivirus HHTV2</t>
  </si>
  <si>
    <t>Duplodnaviria;Heunggongvirae;Uroviricota;Caudoviricetes;Saparoviridae;Halohivirus;Halohivirus suolae</t>
  </si>
  <si>
    <t>Duplodnaviria;Heunggongvirae;Uroviricota;Caudoviricetes;Saparoviridae;Samsavirus;Samsavirus HCTV2</t>
  </si>
  <si>
    <t>Duplodnaviria;Heunggongvirae;Uroviricota;Caudoviricetes;Saparoviridae;Samsavirus;Samsavirus crystalli</t>
  </si>
  <si>
    <t>Duplodnaviria;Heunggongvirae;Uroviricota;Caudoviricetes;Suolaviridae;Pormufvirus;Pormufvirus HRTV28</t>
  </si>
  <si>
    <t>Duplodnaviria;Heunggongvirae;Uroviricota;Caudoviricetes;Suolaviridae;Pormufvirus;Pormufvirus salinum</t>
  </si>
  <si>
    <t>Duplodnaviria;Heunggongvirae;Uroviricota;Caudoviricetes;Vertoviridae;Chaovirus;Chaovirus ChaoS9</t>
  </si>
  <si>
    <t>Duplodnaviria;Heunggongvirae;Uroviricota;Caudoviricetes;Vertoviridae;Chaovirus;Chaovirus bigenum</t>
  </si>
  <si>
    <t>Duplodnaviria;Heunggongvirae;Uroviricota;Caudoviricetes;Vertoviridae;Myohalovirus;Myohalovirus phiCh1</t>
  </si>
  <si>
    <t>Duplodnaviria;Heunggongvirae;Uroviricota;Caudoviricetes;Vertoviridae;Myohalovirus;Myohalovirus alkaliphilum</t>
  </si>
  <si>
    <t>Duplodnaviria;Heunggongvirae;Uroviricota;Caudoviricetes;Vertoviridae;Myohalovirus;Myohalovirus phiH</t>
  </si>
  <si>
    <t>Duplodnaviria;Heunggongvirae;Uroviricota;Caudoviricetes;Vertoviridae;Myohalovirus;Myohalovirus spontanei</t>
  </si>
  <si>
    <t>Duplodnaviria;Heunggongvirae;Uroviricota;Caudoviricetes;Otagovirus;Otagovirus VCM</t>
  </si>
  <si>
    <t>Duplodnaviria;Heunggongvirae;Uroviricota;Caudoviricetes;Gorskivirinae;Kremarvirus;Kremarvirus VCM</t>
  </si>
  <si>
    <t>Duplodnaviria;Heunggongvirae;Uroviricota;Caudoviricetes;Beetrevirus;Beetrevirus JBD67</t>
  </si>
  <si>
    <t>Duplodnaviria;Heunggongvirae;Uroviricota;Caudoviricetes;Guarnerosvirinae;Mechnikovvirus;Mechnikovvirus JBD67</t>
  </si>
  <si>
    <t>Duplodnaviria;Heunggongvirae;Uroviricota;Caudoviricetes;Beetrevirus;Beetrevirus JD18</t>
  </si>
  <si>
    <t>Duplodnaviria;Heunggongvirae;Uroviricota;Caudoviricetes;Guarnerosvirinae;Mechnikovvirus;Mechnikovvirus JD18</t>
  </si>
  <si>
    <t>Duplodnaviria;Heunggongvirae;Uroviricota;Caudoviricetes;Beetrevirus;Beetrevirus PM105</t>
  </si>
  <si>
    <t>Duplodnaviria;Heunggongvirae;Uroviricota;Caudoviricetes;Guarnerosvirinae;Mechnikovvirus;Mechnikovvirus PM105</t>
  </si>
  <si>
    <t>Duplodnaviria;Heunggongvirae;Uroviricota;Caudoviricetes;Jedunavirus;Jedunavirus KpV80</t>
  </si>
  <si>
    <t>Duplodnaviria;Heunggongvirae;Uroviricota;Caudoviricetes;Jameshumphriesvirinae;Sircambvirus;Sircambvirus KpV52</t>
  </si>
  <si>
    <t>Duplodnaviria;Heunggongvirae;Uroviricota;Caudoviricetes;Jedunavirus;Jedunavirus KpV52</t>
  </si>
  <si>
    <t>Duplodnaviria;Heunggongvirae;Uroviricota;Caudoviricetes;Jameshumphriesvirinae;Sircambvirus;Sircambvirus KpV79</t>
  </si>
  <si>
    <t>Duplodnaviria;Heunggongvirae;Uroviricota;Caudoviricetes;Quhwahvirus;Quhwahvirus ouhwah</t>
  </si>
  <si>
    <t>Duplodnaviria;Heunggongvirae;Uroviricota;Caudoviricetes;Kutznervirinae;Quhwahvirus;Quhwahvirus quhwah</t>
  </si>
  <si>
    <t>order</t>
  </si>
  <si>
    <t>Monodnaviria;Shotokuvirae;Cressdnaviricota;Arfiviricetes;Mulpavirales;Metaxyviridae;Cofodevirus;Coconut foliar decay virus</t>
  </si>
  <si>
    <t>Monodnaviria;Shotokuvirae;Cressdnaviricota;Arfiviricetes;Mulpavirales;Metaxyviridae;Cofodevirus;Cofodevirus kokonas</t>
  </si>
  <si>
    <t>Monodnaviria;Shotokuvirae;Cressdnaviricota;Arfiviricetes;Mulpavirales;Nanoviridae;Babuvirus;Abaca bunchy top virus</t>
  </si>
  <si>
    <t>Monodnaviria;Shotokuvirae;Cressdnaviricota;Arfiviricetes;Mulpavirales;Nanoviridae;Babuvirus;Babuvirus abacae</t>
  </si>
  <si>
    <t>Monodnaviria;Shotokuvirae;Cressdnaviricota;Arfiviricetes;Mulpavirales;Nanoviridae;Babuvirus;Cardamom bushy dwarf virus</t>
  </si>
  <si>
    <t>Monodnaviria;Shotokuvirae;Cressdnaviricota;Arfiviricetes;Mulpavirales;Nanoviridae;Babuvirus;Babuvirus cardamomi</t>
  </si>
  <si>
    <t>Monodnaviria;Shotokuvirae;Cressdnaviricota;Arfiviricetes;Mulpavirales;Nanoviridae;Babuvirus;Banana bunchy top virus</t>
  </si>
  <si>
    <t>Monodnaviria;Shotokuvirae;Cressdnaviricota;Arfiviricetes;Mulpavirales;Nanoviridae;Babuvirus;Babuvirus musae</t>
  </si>
  <si>
    <t>Monodnaviria;Shotokuvirae;Cressdnaviricota;Arfiviricetes;Mulpavirales;Nanoviridae;Nanovirus;Milk vetch dwarf virus</t>
  </si>
  <si>
    <t>Monodnaviria;Shotokuvirae;Cressdnaviricota;Arfiviricetes;Mulpavirales;Nanoviridae;Nanovirus;Nanovirus astragali</t>
  </si>
  <si>
    <t>Monodnaviria;Shotokuvirae;Cressdnaviricota;Arfiviricetes;Mulpavirales;Nanoviridae;Nanovirus;Pea yellow stunt virus</t>
  </si>
  <si>
    <t>Monodnaviria;Shotokuvirae;Cressdnaviricota;Arfiviricetes;Mulpavirales;Nanoviridae;Nanovirus;Nanovirus flavipisi</t>
  </si>
  <si>
    <t>Monodnaviria;Shotokuvirae;Cressdnaviricota;Arfiviricetes;Mulpavirales;Nanoviridae;Nanovirus;Faba bean yellow leaf virus</t>
  </si>
  <si>
    <t>Monodnaviria;Shotokuvirae;Cressdnaviricota;Arfiviricetes;Mulpavirales;Nanoviridae;Nanovirus;Nanovirus flaviviciae</t>
  </si>
  <si>
    <t>Monodnaviria;Shotokuvirae;Cressdnaviricota;Arfiviricetes;Mulpavirales;Nanoviridae;Nanovirus;Black medic leaf roll virus</t>
  </si>
  <si>
    <t>Monodnaviria;Shotokuvirae;Cressdnaviricota;Arfiviricetes;Mulpavirales;Nanoviridae;Nanovirus;Nanovirus medicagonis</t>
  </si>
  <si>
    <t>Monodnaviria;Shotokuvirae;Cressdnaviricota;Arfiviricetes;Mulpavirales;Nanoviridae;Nanovirus;Faba bean necrotic yellows virus</t>
  </si>
  <si>
    <t>Monodnaviria;Shotokuvirae;Cressdnaviricota;Arfiviricetes;Mulpavirales;Nanoviridae;Nanovirus;Nanovirus necroflaviviciae</t>
  </si>
  <si>
    <t>Monodnaviria;Shotokuvirae;Cressdnaviricota;Arfiviricetes;Mulpavirales;Nanoviridae;Nanovirus;Pea necrotic yellow dwarf virus</t>
  </si>
  <si>
    <t>Monodnaviria;Shotokuvirae;Cressdnaviricota;Arfiviricetes;Mulpavirales;Nanoviridae;Nanovirus;Nanovirus necropisi</t>
  </si>
  <si>
    <t>Monodnaviria;Shotokuvirae;Cressdnaviricota;Arfiviricetes;Mulpavirales;Nanoviridae;Nanovirus;Faba bean necrotic stunt virus</t>
  </si>
  <si>
    <t>Monodnaviria;Shotokuvirae;Cressdnaviricota;Arfiviricetes;Mulpavirales;Nanoviridae;Nanovirus;Nanovirus necropumiliviciae</t>
  </si>
  <si>
    <t>Monodnaviria;Shotokuvirae;Cressdnaviricota;Arfiviricetes;Mulpavirales;Nanoviridae;Nanovirus;Parsley severe stunt associated virus</t>
  </si>
  <si>
    <t>Monodnaviria;Shotokuvirae;Cressdnaviricota;Arfiviricetes;Mulpavirales;Nanoviridae;Nanovirus;Nanovirus petroselini</t>
  </si>
  <si>
    <t>Monodnaviria;Shotokuvirae;Cressdnaviricota;Arfiviricetes;Mulpavirales;Nanoviridae;Nanovirus;Sophora yellow stunt virus</t>
  </si>
  <si>
    <t>Monodnaviria;Shotokuvirae;Cressdnaviricota;Arfiviricetes;Mulpavirales;Nanoviridae;Nanovirus;Nanovirus sophorae</t>
  </si>
  <si>
    <t>Monodnaviria;Shotokuvirae;Cressdnaviricota;Arfiviricetes;Mulpavirales;Nanoviridae;Nanovirus;Subterranean clover stunt virus</t>
  </si>
  <si>
    <t>Monodnaviria;Shotokuvirae;Cressdnaviricota;Arfiviricetes;Mulpavirales;Nanoviridae;Nanovirus;Nanovirus trifolii</t>
  </si>
  <si>
    <t>Monodnaviria;Shotokuvirae;Cressdnaviricota;Arfiviricetes;Mulpavirales;Nanoviridae;Nanovirus;Cow vetch latent virus</t>
  </si>
  <si>
    <t>Monodnaviria;Shotokuvirae;Cressdnaviricota;Arfiviricetes;Mulpavirales;Nanoviridae;Nanovirus;Nanovirus viciacraccae</t>
  </si>
  <si>
    <t>Monodnaviria;Shotokuvirae;Cressdnaviricota;Arfiviricetes;Recrevirales;Redondoviridae;Torbevirus;Brisavirus</t>
  </si>
  <si>
    <t>Monodnaviria;Shotokuvirae;Cressdnaviricota;Arfiviricetes;Recrevirales;Redondoviridae;Torbevirus;Torbevirus brisa</t>
  </si>
  <si>
    <t>Monodnaviria;Shotokuvirae;Cressdnaviricota;Arfiviricetes;Recrevirales;Redondoviridae;Torbevirus;Vientovirus</t>
  </si>
  <si>
    <t>Monodnaviria;Shotokuvirae;Cressdnaviricota;Arfiviricetes;Recrevirales;Redondoviridae;Torbevirus;Torbevirus viento</t>
  </si>
  <si>
    <t>Monodnaviria;Shotokuvirae;Cressdnaviricota;Repensiviricetes;Geplafuvirales;Geminiviridae;Becurtovirus;Beet curly top Iran virus</t>
  </si>
  <si>
    <t>Monodnaviria;Shotokuvirae;Cressdnaviricota;Repensiviricetes;Geplafuvirales;Geminiviridae;Becurtovirus;Becurtovirus betae</t>
  </si>
  <si>
    <t>Monodnaviria;Shotokuvirae;Cressdnaviricota;Repensiviricetes;Geplafuvirales;Geminiviridae;Becurtovirus;Exomis microphylla latent virus</t>
  </si>
  <si>
    <t>Monodnaviria;Shotokuvirae;Cressdnaviricota;Repensiviricetes;Geplafuvirales;Geminiviridae;Becurtovirus;Becurtovirus exomis</t>
  </si>
  <si>
    <t>Monodnaviria;Shotokuvirae;Cressdnaviricota;Repensiviricetes;Geplafuvirales;Geminiviridae;Becurtovirus;Spinach curly top Arizona virus</t>
  </si>
  <si>
    <t>Monodnaviria;Shotokuvirae;Cressdnaviricota;Repensiviricetes;Geplafuvirales;Geminiviridae;Becurtovirus;Becurtovirus spinaciae</t>
  </si>
  <si>
    <t>Monodnaviria;Shotokuvirae;Cressdnaviricota;Repensiviricetes;Geplafuvirales;Geminiviridae;Begomovirus;Bhendi yellow vein Bhubhaneswar virus</t>
  </si>
  <si>
    <t>Monodnaviria;Shotokuvirae;Cressdnaviricota;Repensiviricetes;Geplafuvirales;Geminiviridae;Begomovirus;Begomovirus abelmoschusbhubhaneswarense</t>
  </si>
  <si>
    <t>Monodnaviria;Shotokuvirae;Cressdnaviricota;Repensiviricetes;Geplafuvirales;Geminiviridae;Begomovirus;Bhendi yellow vein mosaic Delhi virus</t>
  </si>
  <si>
    <t>Monodnaviria;Shotokuvirae;Cressdnaviricota;Repensiviricetes;Geplafuvirales;Geminiviridae;Begomovirus;Begomovirus abelmoschusdehliense</t>
  </si>
  <si>
    <t>Monodnaviria;Shotokuvirae;Cressdnaviricota;Repensiviricetes;Geplafuvirales;Geminiviridae;Begomovirus;Bhendi yellow vein mosaic virus</t>
  </si>
  <si>
    <t>Monodnaviria;Shotokuvirae;Cressdnaviricota;Repensiviricetes;Geplafuvirales;Geminiviridae;Begomovirus;Begomovirus abelmoschusflavi</t>
  </si>
  <si>
    <t>Monodnaviria;Shotokuvirae;Cressdnaviricota;Repensiviricetes;Geplafuvirales;Geminiviridae;Begomovirus;Bhendi yellow vein Haryana virus</t>
  </si>
  <si>
    <t>Monodnaviria;Shotokuvirae;Cressdnaviricota;Repensiviricetes;Geplafuvirales;Geminiviridae;Begomovirus;Begomovirus abelmoschusharyanaense</t>
  </si>
  <si>
    <t>Monodnaviria;Shotokuvirae;Cressdnaviricota;Repensiviricetes;Geplafuvirales;Geminiviridae;Begomovirus;Okra enation leaf curl virus</t>
  </si>
  <si>
    <t>Monodnaviria;Shotokuvirae;Cressdnaviricota;Repensiviricetes;Geplafuvirales;Geminiviridae;Begomovirus;Begomovirus abelsmoschusenation</t>
  </si>
  <si>
    <t>Monodnaviria;Shotokuvirae;Cressdnaviricota;Repensiviricetes;Geplafuvirales;Geminiviridae;Begomovirus;Okra mottle virus</t>
  </si>
  <si>
    <t>Monodnaviria;Shotokuvirae;Cressdnaviricota;Repensiviricetes;Geplafuvirales;Geminiviridae;Begomovirus;Begomovirus abelsmoschusmaculae</t>
  </si>
  <si>
    <t>Monodnaviria;Shotokuvirae;Cressdnaviricota;Repensiviricetes;Geplafuvirales;Geminiviridae;Begomovirus;Okra yellow mosaic Mexico virus</t>
  </si>
  <si>
    <t>Monodnaviria;Shotokuvirae;Cressdnaviricota;Repensiviricetes;Geplafuvirales;Geminiviridae;Begomovirus;Begomovirus abelsmoschusmexicoense</t>
  </si>
  <si>
    <t>Monodnaviria;Shotokuvirae;Cressdnaviricota;Repensiviricetes;Geplafuvirales;Geminiviridae;Begomovirus;Okra leaf curl Oman virus</t>
  </si>
  <si>
    <t>Monodnaviria;Shotokuvirae;Cressdnaviricota;Repensiviricetes;Geplafuvirales;Geminiviridae;Begomovirus;Begomovirus abelsmoschusomanense</t>
  </si>
  <si>
    <t>Monodnaviria;Shotokuvirae;Cressdnaviricota;Repensiviricetes;Geplafuvirales;Geminiviridae;Begomovirus;Okra yellow crinkle virus</t>
  </si>
  <si>
    <t>Monodnaviria;Shotokuvirae;Cressdnaviricota;Repensiviricetes;Geplafuvirales;Geminiviridae;Begomovirus;Begomovirus abelsmoschusretorridi</t>
  </si>
  <si>
    <t>Monodnaviria;Shotokuvirae;Cressdnaviricota;Repensiviricetes;Geplafuvirales;Geminiviridae;Begomovirus;Abutilon mosaic Brazil virus</t>
  </si>
  <si>
    <t>Monodnaviria;Shotokuvirae;Cressdnaviricota;Repensiviricetes;Geplafuvirales;Geminiviridae;Begomovirus;Begomovirus abutilonbrazilense</t>
  </si>
  <si>
    <t>Monodnaviria;Shotokuvirae;Cressdnaviricota;Repensiviricetes;Geplafuvirales;Geminiviridae;Begomovirus;Abutilon golden mosaic virus</t>
  </si>
  <si>
    <t>Monodnaviria;Shotokuvirae;Cressdnaviricota;Repensiviricetes;Geplafuvirales;Geminiviridae;Begomovirus;Begomovirus abutilonis</t>
  </si>
  <si>
    <t>Monodnaviria;Shotokuvirae;Cressdnaviricota;Repensiviricetes;Geplafuvirales;Geminiviridae;Begomovirus;Ageratum yellow vein Hualian virus</t>
  </si>
  <si>
    <t>Monodnaviria;Shotokuvirae;Cressdnaviricota;Repensiviricetes;Geplafuvirales;Geminiviridae;Begomovirus;Begomovirus agerahualianense</t>
  </si>
  <si>
    <t>Monodnaviria;Shotokuvirae;Cressdnaviricota;Repensiviricetes;Geplafuvirales;Geminiviridae;Begomovirus;Ageratum leaf curl virus</t>
  </si>
  <si>
    <t>Monodnaviria;Shotokuvirae;Cressdnaviricota;Repensiviricetes;Geplafuvirales;Geminiviridae;Begomovirus;Begomovirus agerainvolutionis</t>
  </si>
  <si>
    <t>Monodnaviria;Shotokuvirae;Cressdnaviricota;Repensiviricetes;Geplafuvirales;Geminiviridae;Begomovirus;Ageratum leaf curl Sichuan virus</t>
  </si>
  <si>
    <t>Monodnaviria;Shotokuvirae;Cressdnaviricota;Repensiviricetes;Geplafuvirales;Geminiviridae;Begomovirus;Begomovirus agerasichuanense</t>
  </si>
  <si>
    <t>Monodnaviria;Shotokuvirae;Cressdnaviricota;Repensiviricetes;Geplafuvirales;Geminiviridae;Begomovirus;Ageratum yellow vein Sri Lanka virus</t>
  </si>
  <si>
    <t>Monodnaviria;Shotokuvirae;Cressdnaviricota;Repensiviricetes;Geplafuvirales;Geminiviridae;Begomovirus;Begomovirus agerasrilankaense</t>
  </si>
  <si>
    <t>Monodnaviria;Shotokuvirae;Cressdnaviricota;Repensiviricetes;Geplafuvirales;Geminiviridae;Begomovirus;Ageratum enation virus</t>
  </si>
  <si>
    <t>Monodnaviria;Shotokuvirae;Cressdnaviricota;Repensiviricetes;Geplafuvirales;Geminiviridae;Begomovirus;Begomovirus agerati</t>
  </si>
  <si>
    <t>Monodnaviria;Shotokuvirae;Cressdnaviricota;Repensiviricetes;Geplafuvirales;Geminiviridae;Begomovirus;Ageratum yellow vein virus</t>
  </si>
  <si>
    <t>Monodnaviria;Shotokuvirae;Cressdnaviricota;Repensiviricetes;Geplafuvirales;Geminiviridae;Begomovirus;Begomovirus ageravenae</t>
  </si>
  <si>
    <t>Monodnaviria;Shotokuvirae;Cressdnaviricota;Repensiviricetes;Geplafuvirales;Geminiviridae;Begomovirus;Hollyhock leaf curl virus</t>
  </si>
  <si>
    <t>Monodnaviria;Shotokuvirae;Cressdnaviricota;Repensiviricetes;Geplafuvirales;Geminiviridae;Begomovirus;Begomovirus alceae</t>
  </si>
  <si>
    <t>Monodnaviria;Shotokuvirae;Cressdnaviricota;Repensiviricetes;Geplafuvirales;Geminiviridae;Begomovirus;Hollyhock yellow vein mosaic virus</t>
  </si>
  <si>
    <t>Monodnaviria;Shotokuvirae;Cressdnaviricota;Repensiviricetes;Geplafuvirales;Geminiviridae;Begomovirus;Begomovirus alceamuvisi</t>
  </si>
  <si>
    <t>Monodnaviria;Shotokuvirae;Cressdnaviricota;Repensiviricetes;Geplafuvirales;Geminiviridae;Begomovirus;Hollyhock yellow vein virus</t>
  </si>
  <si>
    <t>Monodnaviria;Shotokuvirae;Cressdnaviricota;Repensiviricetes;Geplafuvirales;Geminiviridae;Begomovirus;Begomovirus alceavenae</t>
  </si>
  <si>
    <t>Monodnaviria;Shotokuvirae;Cressdnaviricota;Repensiviricetes;Geplafuvirales;Geminiviridae;Begomovirus;Allamanda leaf curl virus</t>
  </si>
  <si>
    <t>Monodnaviria;Shotokuvirae;Cressdnaviricota;Repensiviricetes;Geplafuvirales;Geminiviridae;Begomovirus;Begomovirus allamandae</t>
  </si>
  <si>
    <t>Monodnaviria;Shotokuvirae;Cressdnaviricota;Repensiviricetes;Geplafuvirales;Geminiviridae;Begomovirus;Alternanthera yellow vein virus</t>
  </si>
  <si>
    <t>Monodnaviria;Shotokuvirae;Cressdnaviricota;Repensiviricetes;Geplafuvirales;Geminiviridae;Begomovirus;Begomovirus alternantherae</t>
  </si>
  <si>
    <t>Monodnaviria;Shotokuvirae;Cressdnaviricota;Repensiviricetes;Geplafuvirales;Geminiviridae;Begomovirus;Andrographis yellow vein leaf curl virus</t>
  </si>
  <si>
    <t>Monodnaviria;Shotokuvirae;Cressdnaviricota;Repensiviricetes;Geplafuvirales;Geminiviridae;Begomovirus;Begomovirus andrographis</t>
  </si>
  <si>
    <t>Monodnaviria;Shotokuvirae;Cressdnaviricota;Repensiviricetes;Geplafuvirales;Geminiviridae;Begomovirus;Asystasia mosaic Madagascar virus</t>
  </si>
  <si>
    <t>Monodnaviria;Shotokuvirae;Cressdnaviricota;Repensiviricetes;Geplafuvirales;Geminiviridae;Begomovirus;Begomovirus asystasiae</t>
  </si>
  <si>
    <t>Monodnaviria;Shotokuvirae;Cressdnaviricota;Repensiviricetes;Geplafuvirales;Geminiviridae;Begomovirus;West African Asystasia virus 1</t>
  </si>
  <si>
    <t>Monodnaviria;Shotokuvirae;Cressdnaviricota;Repensiviricetes;Geplafuvirales;Geminiviridae;Begomovirus;Begomovirus asystasiaprimi</t>
  </si>
  <si>
    <t>Monodnaviria;Shotokuvirae;Cressdnaviricota;Repensiviricetes;Geplafuvirales;Geminiviridae;Begomovirus;West African Asystasia virus 2</t>
  </si>
  <si>
    <t>Monodnaviria;Shotokuvirae;Cressdnaviricota;Repensiviricetes;Geplafuvirales;Geminiviridae;Begomovirus;Begomovirus asystasiasecundi</t>
  </si>
  <si>
    <t>Monodnaviria;Shotokuvirae;Cressdnaviricota;Repensiviricetes;Geplafuvirales;Geminiviridae;Begomovirus;West African Asystasia virus 3</t>
  </si>
  <si>
    <t>Monodnaviria;Shotokuvirae;Cressdnaviricota;Repensiviricetes;Geplafuvirales;Geminiviridae;Begomovirus;Begomovirus asystasiatertii</t>
  </si>
  <si>
    <t>Monodnaviria;Shotokuvirae;Cressdnaviricota;Repensiviricetes;Geplafuvirales;Geminiviridae;Begomovirus;Abutilon mosaic virus</t>
  </si>
  <si>
    <t>Monodnaviria;Shotokuvirae;Cressdnaviricota;Repensiviricetes;Geplafuvirales;Geminiviridae;Begomovirus;Begomovirus bauri</t>
  </si>
  <si>
    <t>Monodnaviria;Shotokuvirae;Cressdnaviricota;Repensiviricetes;Geplafuvirales;Geminiviridae;Begomovirus;Whitefly-associated begomovirus 1</t>
  </si>
  <si>
    <t>Monodnaviria;Shotokuvirae;Cressdnaviricota;Repensiviricetes;Geplafuvirales;Geminiviridae;Begomovirus;Begomovirus bemisiaprimi</t>
  </si>
  <si>
    <t>Monodnaviria;Shotokuvirae;Cressdnaviricota;Repensiviricetes;Geplafuvirales;Geminiviridae;Begomovirus;Whitefly-associated begomovirus 4</t>
  </si>
  <si>
    <t>Monodnaviria;Shotokuvirae;Cressdnaviricota;Repensiviricetes;Geplafuvirales;Geminiviridae;Begomovirus;Begomovirus bemisiaquarti</t>
  </si>
  <si>
    <t>Monodnaviria;Shotokuvirae;Cressdnaviricota;Repensiviricetes;Geplafuvirales;Geminiviridae;Begomovirus;Whitefly-associated begomovirus 2</t>
  </si>
  <si>
    <t>Monodnaviria;Shotokuvirae;Cressdnaviricota;Repensiviricetes;Geplafuvirales;Geminiviridae;Begomovirus;Begomovirus bemisiasecundi</t>
  </si>
  <si>
    <t>Monodnaviria;Shotokuvirae;Cressdnaviricota;Repensiviricetes;Geplafuvirales;Geminiviridae;Begomovirus;Whitefly-associated begomovirus 7</t>
  </si>
  <si>
    <t>Monodnaviria;Shotokuvirae;Cressdnaviricota;Repensiviricetes;Geplafuvirales;Geminiviridae;Begomovirus;Begomovirus bemisiaseptimi</t>
  </si>
  <si>
    <t>Monodnaviria;Shotokuvirae;Cressdnaviricota;Repensiviricetes;Geplafuvirales;Geminiviridae;Begomovirus;Whitefly-associated begomovirus 6</t>
  </si>
  <si>
    <t>Monodnaviria;Shotokuvirae;Cressdnaviricota;Repensiviricetes;Geplafuvirales;Geminiviridae;Begomovirus;Begomovirus bemisiasexti</t>
  </si>
  <si>
    <t>Monodnaviria;Shotokuvirae;Cressdnaviricota;Repensiviricetes;Geplafuvirales;Geminiviridae;Begomovirus;Whitefly-associated begomovirus 3</t>
  </si>
  <si>
    <t>Monodnaviria;Shotokuvirae;Cressdnaviricota;Repensiviricetes;Geplafuvirales;Geminiviridae;Begomovirus;Begomovirus bemisiatertii</t>
  </si>
  <si>
    <t>Monodnaviria;Shotokuvirae;Cressdnaviricota;Repensiviricetes;Geplafuvirales;Geminiviridae;Begomovirus;Bean golden yellow mosaic virus</t>
  </si>
  <si>
    <t>Monodnaviria;Shotokuvirae;Cressdnaviricota;Repensiviricetes;Geplafuvirales;Geminiviridae;Begomovirus;Begomovirus birdi</t>
  </si>
  <si>
    <t>Monodnaviria;Shotokuvirae;Cressdnaviricota;Repensiviricetes;Geplafuvirales;Geminiviridae;Begomovirus;Blainvillea yellow spot virus</t>
  </si>
  <si>
    <t>Monodnaviria;Shotokuvirae;Cressdnaviricota;Repensiviricetes;Geplafuvirales;Geminiviridae;Begomovirus;Begomovirus blainvilleae</t>
  </si>
  <si>
    <t>Monodnaviria;Shotokuvirae;Cressdnaviricota;Repensiviricetes;Geplafuvirales;Geminiviridae;Begomovirus;Blechum interveinal chlorosis virus</t>
  </si>
  <si>
    <t>Monodnaviria;Shotokuvirae;Cressdnaviricota;Repensiviricetes;Geplafuvirales;Geminiviridae;Begomovirus;Begomovirus blechi</t>
  </si>
  <si>
    <t>Monodnaviria;Shotokuvirae;Cressdnaviricota;Repensiviricetes;Geplafuvirales;Geminiviridae;Begomovirus;Blechum yellow vein virus</t>
  </si>
  <si>
    <t>Monodnaviria;Shotokuvirae;Cressdnaviricota;Repensiviricetes;Geplafuvirales;Geminiviridae;Begomovirus;Begomovirus blechumflavi</t>
  </si>
  <si>
    <t>Monodnaviria;Shotokuvirae;Cressdnaviricota;Repensiviricetes;Geplafuvirales;Geminiviridae;Begomovirus;Boerhavia yellow spot virus</t>
  </si>
  <si>
    <t>Monodnaviria;Shotokuvirae;Cressdnaviricota;Repensiviricetes;Geplafuvirales;Geminiviridae;Begomovirus;Begomovirus boerhaviae</t>
  </si>
  <si>
    <t>Monodnaviria;Shotokuvirae;Cressdnaviricota;Repensiviricetes;Geplafuvirales;Geminiviridae;Begomovirus;Cabbage leaf curl virus</t>
  </si>
  <si>
    <t>Monodnaviria;Shotokuvirae;Cressdnaviricota;Repensiviricetes;Geplafuvirales;Geminiviridae;Begomovirus;Begomovirus brassicae</t>
  </si>
  <si>
    <t>Monodnaviria;Shotokuvirae;Cressdnaviricota;Repensiviricetes;Geplafuvirales;Geminiviridae;Begomovirus;Cabbage leaf curl Jamaica virus</t>
  </si>
  <si>
    <t>Monodnaviria;Shotokuvirae;Cressdnaviricota;Repensiviricetes;Geplafuvirales;Geminiviridae;Begomovirus;Begomovirus brassicajamaicaense</t>
  </si>
  <si>
    <t>Monodnaviria;Shotokuvirae;Cressdnaviricota;Repensiviricetes;Geplafuvirales;Geminiviridae;Begomovirus;Capraria yellow spot virus</t>
  </si>
  <si>
    <t>Monodnaviria;Shotokuvirae;Cressdnaviricota;Repensiviricetes;Geplafuvirales;Geminiviridae;Begomovirus;Begomovirus caprariae</t>
  </si>
  <si>
    <t>Monodnaviria;Shotokuvirae;Cressdnaviricota;Repensiviricetes;Geplafuvirales;Geminiviridae;Begomovirus;Chilli leaf curl Ahmedabad virus</t>
  </si>
  <si>
    <t>Monodnaviria;Shotokuvirae;Cressdnaviricota;Repensiviricetes;Geplafuvirales;Geminiviridae;Begomovirus;Begomovirus capsiahmedbadense</t>
  </si>
  <si>
    <t>Monodnaviria;Shotokuvirae;Cressdnaviricota;Repensiviricetes;Geplafuvirales;Geminiviridae;Begomovirus;Chilli leaf curl Bhavanisagar virus</t>
  </si>
  <si>
    <t>Monodnaviria;Shotokuvirae;Cressdnaviricota;Repensiviricetes;Geplafuvirales;Geminiviridae;Begomovirus;Begomovirus capsibhavanisagarense</t>
  </si>
  <si>
    <t>Monodnaviria;Shotokuvirae;Cressdnaviricota;Repensiviricetes;Geplafuvirales;Geminiviridae;Begomovirus;Pepper leaf curl virus</t>
  </si>
  <si>
    <t>Monodnaviria;Shotokuvirae;Cressdnaviricota;Repensiviricetes;Geplafuvirales;Geminiviridae;Begomovirus;Begomovirus capsici</t>
  </si>
  <si>
    <t>Monodnaviria;Shotokuvirae;Cressdnaviricota;Repensiviricetes;Geplafuvirales;Geminiviridae;Begomovirus;Pepper yellow leaf curl Aceh virus</t>
  </si>
  <si>
    <t>Monodnaviria;Shotokuvirae;Cressdnaviricota;Repensiviricetes;Geplafuvirales;Geminiviridae;Begomovirus;Begomovirus capsicumacehense</t>
  </si>
  <si>
    <t>Monodnaviria;Shotokuvirae;Cressdnaviricota;Repensiviricetes;Geplafuvirales;Geminiviridae;Begomovirus;Pepper blistering leaf virus</t>
  </si>
  <si>
    <t>Monodnaviria;Shotokuvirae;Cressdnaviricota;Repensiviricetes;Geplafuvirales;Geminiviridae;Begomovirus;Begomovirus capsicumannui</t>
  </si>
  <si>
    <t>Monodnaviria;Shotokuvirae;Cressdnaviricota;Repensiviricetes;Geplafuvirales;Geminiviridae;Begomovirus;Pepper leaf curl Bangladesh virus</t>
  </si>
  <si>
    <t>Monodnaviria;Shotokuvirae;Cressdnaviricota;Repensiviricetes;Geplafuvirales;Geminiviridae;Begomovirus;Begomovirus capsicumbangladeschense</t>
  </si>
  <si>
    <t>Monodnaviria;Shotokuvirae;Cressdnaviricota;Repensiviricetes;Geplafuvirales;Geminiviridae;Begomovirus;Pepper yellow leaf curl virus</t>
  </si>
  <si>
    <t>Monodnaviria;Shotokuvirae;Cressdnaviricota;Repensiviricetes;Geplafuvirales;Geminiviridae;Begomovirus;Begomovirus capsicumchinaense</t>
  </si>
  <si>
    <t>Monodnaviria;Shotokuvirae;Cressdnaviricota;Repensiviricetes;Geplafuvirales;Geminiviridae;Begomovirus;Pepper leafroll virus</t>
  </si>
  <si>
    <t>Monodnaviria;Shotokuvirae;Cressdnaviricota;Repensiviricetes;Geplafuvirales;Geminiviridae;Begomovirus;Begomovirus capsicumcontorsioris</t>
  </si>
  <si>
    <t>Monodnaviria;Shotokuvirae;Cressdnaviricota;Repensiviricetes;Geplafuvirales;Geminiviridae;Begomovirus;Pepper huasteco yellow vein virus</t>
  </si>
  <si>
    <t>Monodnaviria;Shotokuvirae;Cressdnaviricota;Repensiviricetes;Geplafuvirales;Geminiviridae;Begomovirus;Begomovirus capsicumhuastecoense</t>
  </si>
  <si>
    <t>Monodnaviria;Shotokuvirae;Cressdnaviricota;Repensiviricetes;Geplafuvirales;Geminiviridae;Begomovirus;Pepper yellow leaf curl Indonesia virus</t>
  </si>
  <si>
    <t>Monodnaviria;Shotokuvirae;Cressdnaviricota;Repensiviricetes;Geplafuvirales;Geminiviridae;Begomovirus;Begomovirus capsicumindonesiaense</t>
  </si>
  <si>
    <t>Monodnaviria;Shotokuvirae;Cressdnaviricota;Repensiviricetes;Geplafuvirales;Geminiviridae;Begomovirus;Pepper yellow leaf curl Indonesia virus 2</t>
  </si>
  <si>
    <t>Monodnaviria;Shotokuvirae;Cressdnaviricota;Repensiviricetes;Geplafuvirales;Geminiviridae;Begomovirus;Begomovirus capsicumindonesiaenseduo</t>
  </si>
  <si>
    <t>Monodnaviria;Shotokuvirae;Cressdnaviricota;Repensiviricetes;Geplafuvirales;Geminiviridae;Begomovirus;Pepper leaf curl Lahore virus</t>
  </si>
  <si>
    <t>Monodnaviria;Shotokuvirae;Cressdnaviricota;Repensiviricetes;Geplafuvirales;Geminiviridae;Begomovirus;Begomovirus capsicumlahorense</t>
  </si>
  <si>
    <t>Monodnaviria;Shotokuvirae;Cressdnaviricota;Repensiviricetes;Geplafuvirales;Geminiviridae;Begomovirus;Pepper yellow vein Mali virus</t>
  </si>
  <si>
    <t>Monodnaviria;Shotokuvirae;Cressdnaviricota;Repensiviricetes;Geplafuvirales;Geminiviridae;Begomovirus;Begomovirus capsicummaliense</t>
  </si>
  <si>
    <t>Monodnaviria;Shotokuvirae;Cressdnaviricota;Repensiviricetes;Geplafuvirales;Geminiviridae;Begomovirus;Pepper golden mosaic virus</t>
  </si>
  <si>
    <t>Monodnaviria;Shotokuvirae;Cressdnaviricota;Repensiviricetes;Geplafuvirales;Geminiviridae;Begomovirus;Begomovirus capsicummusivi</t>
  </si>
  <si>
    <t>Monodnaviria;Shotokuvirae;Cressdnaviricota;Repensiviricetes;Geplafuvirales;Geminiviridae;Begomovirus;Pepper yellow leaf curl Thailand virus</t>
  </si>
  <si>
    <t>Monodnaviria;Shotokuvirae;Cressdnaviricota;Repensiviricetes;Geplafuvirales;Geminiviridae;Begomovirus;Begomovirus capsicumthailandense</t>
  </si>
  <si>
    <t>Monodnaviria;Shotokuvirae;Cressdnaviricota;Repensiviricetes;Geplafuvirales;Geminiviridae;Begomovirus;Pepper leaf curl Yunnan virus</t>
  </si>
  <si>
    <t>Monodnaviria;Shotokuvirae;Cressdnaviricota;Repensiviricetes;Geplafuvirales;Geminiviridae;Begomovirus;Begomovirus capsicumyunnanense</t>
  </si>
  <si>
    <t>Monodnaviria;Shotokuvirae;Cressdnaviricota;Repensiviricetes;Geplafuvirales;Geminiviridae;Begomovirus;Chilli leaf curl Gonda virus</t>
  </si>
  <si>
    <t>Monodnaviria;Shotokuvirae;Cressdnaviricota;Repensiviricetes;Geplafuvirales;Geminiviridae;Begomovirus;Begomovirus capsigondaense</t>
  </si>
  <si>
    <t>Monodnaviria;Shotokuvirae;Cressdnaviricota;Repensiviricetes;Geplafuvirales;Geminiviridae;Begomovirus;Chilli leaf curl Kanpur virus</t>
  </si>
  <si>
    <t>Monodnaviria;Shotokuvirae;Cressdnaviricota;Repensiviricetes;Geplafuvirales;Geminiviridae;Begomovirus;Begomovirus capsikanpurense</t>
  </si>
  <si>
    <t>Monodnaviria;Shotokuvirae;Cressdnaviricota;Repensiviricetes;Geplafuvirales;Geminiviridae;Begomovirus;Chilli leaf curl India virus</t>
  </si>
  <si>
    <t>Monodnaviria;Shotokuvirae;Cressdnaviricota;Repensiviricetes;Geplafuvirales;Geminiviridae;Begomovirus;Begomovirus capsindiaense</t>
  </si>
  <si>
    <t>Monodnaviria;Shotokuvirae;Cressdnaviricota;Repensiviricetes;Geplafuvirales;Geminiviridae;Begomovirus;Chilli leaf curl Sri Lanka virus</t>
  </si>
  <si>
    <t>Monodnaviria;Shotokuvirae;Cressdnaviricota;Repensiviricetes;Geplafuvirales;Geminiviridae;Begomovirus;Begomovirus capsisrilankaense</t>
  </si>
  <si>
    <t>Monodnaviria;Shotokuvirae;Cressdnaviricota;Repensiviricetes;Geplafuvirales;Geminiviridae;Begomovirus;Chilli leaf curl Vellanad virus</t>
  </si>
  <si>
    <t>Monodnaviria;Shotokuvirae;Cressdnaviricota;Repensiviricetes;Geplafuvirales;Geminiviridae;Begomovirus;Begomovirus capsivellanadense</t>
  </si>
  <si>
    <t>Monodnaviria;Shotokuvirae;Cressdnaviricota;Repensiviricetes;Geplafuvirales;Geminiviridae;Begomovirus;Papaya leaf curl China virus</t>
  </si>
  <si>
    <t>Monodnaviria;Shotokuvirae;Cressdnaviricota;Repensiviricetes;Geplafuvirales;Geminiviridae;Begomovirus;Begomovirus caricachinaense</t>
  </si>
  <si>
    <t>Monodnaviria;Shotokuvirae;Cressdnaviricota;Repensiviricetes;Geplafuvirales;Geminiviridae;Begomovirus;Papaya leaf curl virus</t>
  </si>
  <si>
    <t>Monodnaviria;Shotokuvirae;Cressdnaviricota;Repensiviricetes;Geplafuvirales;Geminiviridae;Begomovirus;Begomovirus caricae</t>
  </si>
  <si>
    <t>Monodnaviria;Shotokuvirae;Cressdnaviricota;Repensiviricetes;Geplafuvirales;Geminiviridae;Begomovirus;Papaya yellow leaf curl virus</t>
  </si>
  <si>
    <t>Monodnaviria;Shotokuvirae;Cressdnaviricota;Repensiviricetes;Geplafuvirales;Geminiviridae;Begomovirus;Begomovirus caricaflavi</t>
  </si>
  <si>
    <t>Monodnaviria;Shotokuvirae;Cressdnaviricota;Repensiviricetes;Geplafuvirales;Geminiviridae;Begomovirus;Papaya leaf curl Guandong virus</t>
  </si>
  <si>
    <t>Monodnaviria;Shotokuvirae;Cressdnaviricota;Repensiviricetes;Geplafuvirales;Geminiviridae;Begomovirus;Begomovirus caricaguandongense</t>
  </si>
  <si>
    <t>Monodnaviria;Shotokuvirae;Cressdnaviricota;Repensiviricetes;Geplafuvirales;Geminiviridae;Begomovirus;Papaya severe leaf curl virus 1</t>
  </si>
  <si>
    <t>Monodnaviria;Shotokuvirae;Cressdnaviricota;Repensiviricetes;Geplafuvirales;Geminiviridae;Begomovirus;Begomovirus caricaprimi</t>
  </si>
  <si>
    <t>Monodnaviria;Shotokuvirae;Cressdnaviricota;Repensiviricetes;Geplafuvirales;Geminiviridae;Begomovirus;Papaya severe leaf curl virus 2</t>
  </si>
  <si>
    <t>Monodnaviria;Shotokuvirae;Cressdnaviricota;Repensiviricetes;Geplafuvirales;Geminiviridae;Begomovirus;Begomovirus caricasecundi</t>
  </si>
  <si>
    <t>Monodnaviria;Shotokuvirae;Cressdnaviricota;Repensiviricetes;Geplafuvirales;Geminiviridae;Begomovirus;Catharanthus yellow mosaic virus</t>
  </si>
  <si>
    <t>Monodnaviria;Shotokuvirae;Cressdnaviricota;Repensiviricetes;Geplafuvirales;Geminiviridae;Begomovirus;Begomovirus catharanthi</t>
  </si>
  <si>
    <t>Monodnaviria;Shotokuvirae;Cressdnaviricota;Repensiviricetes;Geplafuvirales;Geminiviridae;Begomovirus;Allamanda leaf mottle distortion virus</t>
  </si>
  <si>
    <t>Monodnaviria;Shotokuvirae;Cressdnaviricota;Repensiviricetes;Geplafuvirales;Geminiviridae;Begomovirus;Begomovirus catharticae</t>
  </si>
  <si>
    <t>Monodnaviria;Shotokuvirae;Cressdnaviricota;Repensiviricetes;Geplafuvirales;Geminiviridae;Begomovirus;Centrosema yellow spot virus</t>
  </si>
  <si>
    <t>Monodnaviria;Shotokuvirae;Cressdnaviricota;Repensiviricetes;Geplafuvirales;Geminiviridae;Begomovirus;Begomovirus centrosemae</t>
  </si>
  <si>
    <t>Monodnaviria;Shotokuvirae;Cressdnaviricota;Repensiviricetes;Geplafuvirales;Geminiviridae;Begomovirus;Chayote yellow mosaic virus</t>
  </si>
  <si>
    <t>Monodnaviria;Shotokuvirae;Cressdnaviricota;Repensiviricetes;Geplafuvirales;Geminiviridae;Begomovirus;Begomovirus chayotis</t>
  </si>
  <si>
    <t>Monodnaviria;Shotokuvirae;Cressdnaviricota;Repensiviricetes;Geplafuvirales;Geminiviridae;Begomovirus;Chenopodium leaf curl virus</t>
  </si>
  <si>
    <t>Monodnaviria;Shotokuvirae;Cressdnaviricota;Repensiviricetes;Geplafuvirales;Geminiviridae;Begomovirus;Begomovirus chenopodii</t>
  </si>
  <si>
    <t>Monodnaviria;Shotokuvirae;Cressdnaviricota;Repensiviricetes;Geplafuvirales;Geminiviridae;Begomovirus;Chilli leaf curl virus</t>
  </si>
  <si>
    <t>Monodnaviria;Shotokuvirae;Cressdnaviricota;Repensiviricetes;Geplafuvirales;Geminiviridae;Begomovirus;Begomovirus chillicapsici</t>
  </si>
  <si>
    <t>Monodnaviria;Shotokuvirae;Cressdnaviricota;Repensiviricetes;Geplafuvirales;Geminiviridae;Begomovirus;Melon chlorotic leaf curl virus</t>
  </si>
  <si>
    <t>Monodnaviria;Shotokuvirae;Cressdnaviricota;Repensiviricetes;Geplafuvirales;Geminiviridae;Begomovirus;Begomovirus chlorocucumis</t>
  </si>
  <si>
    <t>Monodnaviria;Shotokuvirae;Cressdnaviricota;Repensiviricetes;Geplafuvirales;Geminiviridae;Begomovirus;Watermelon chlorotic stunt virus</t>
  </si>
  <si>
    <t>Monodnaviria;Shotokuvirae;Cressdnaviricota;Repensiviricetes;Geplafuvirales;Geminiviridae;Begomovirus;Begomovirus citrulli</t>
  </si>
  <si>
    <t>Monodnaviria;Shotokuvirae;Cressdnaviricota;Repensiviricetes;Geplafuvirales;Geminiviridae;Begomovirus;Cleome golden mosaic virus</t>
  </si>
  <si>
    <t>Monodnaviria;Shotokuvirae;Cressdnaviricota;Repensiviricetes;Geplafuvirales;Geminiviridae;Begomovirus;Begomovirus cleomaurei</t>
  </si>
  <si>
    <t>Monodnaviria;Shotokuvirae;Cressdnaviricota;Repensiviricetes;Geplafuvirales;Geminiviridae;Begomovirus;Cleome leaf crumple virus</t>
  </si>
  <si>
    <t>Monodnaviria;Shotokuvirae;Cressdnaviricota;Repensiviricetes;Geplafuvirales;Geminiviridae;Begomovirus;Begomovirus cleomecrispi</t>
  </si>
  <si>
    <t>Monodnaviria;Shotokuvirae;Cressdnaviricota;Repensiviricetes;Geplafuvirales;Geminiviridae;Begomovirus;Clerodendron yellow mosaic virus</t>
  </si>
  <si>
    <t>Monodnaviria;Shotokuvirae;Cressdnaviricota;Repensiviricetes;Geplafuvirales;Geminiviridae;Begomovirus;Begomovirus clerodendronflavi</t>
  </si>
  <si>
    <t>Monodnaviria;Shotokuvirae;Cressdnaviricota;Repensiviricetes;Geplafuvirales;Geminiviridae;Begomovirus;Clerodendron golden mosaic virus</t>
  </si>
  <si>
    <t>Monodnaviria;Shotokuvirae;Cressdnaviricota;Repensiviricetes;Geplafuvirales;Geminiviridae;Begomovirus;Begomovirus clerodendronis</t>
  </si>
  <si>
    <t>Monodnaviria;Shotokuvirae;Cressdnaviricota;Repensiviricetes;Geplafuvirales;Geminiviridae;Begomovirus;Clerodendrum golden mosaic China virus</t>
  </si>
  <si>
    <t>Monodnaviria;Shotokuvirae;Cressdnaviricota;Repensiviricetes;Geplafuvirales;Geminiviridae;Begomovirus;Begomovirus clerodendrumchinaense</t>
  </si>
  <si>
    <t>Monodnaviria;Shotokuvirae;Cressdnaviricota;Repensiviricetes;Geplafuvirales;Geminiviridae;Begomovirus;Clerodendrum golden mosaic Jiangsu virus</t>
  </si>
  <si>
    <t>Monodnaviria;Shotokuvirae;Cressdnaviricota;Repensiviricetes;Geplafuvirales;Geminiviridae;Begomovirus;Begomovirus clerodendrumjiangsuense</t>
  </si>
  <si>
    <t>Monodnaviria;Shotokuvirae;Cressdnaviricota;Repensiviricetes;Geplafuvirales;Geminiviridae;Begomovirus;Cnidoscolus mosaic leaf deformation virus</t>
  </si>
  <si>
    <t>Monodnaviria;Shotokuvirae;Cressdnaviricota;Repensiviricetes;Geplafuvirales;Geminiviridae;Begomovirus;Begomovirus cnidoscoli</t>
  </si>
  <si>
    <t>Monodnaviria;Shotokuvirae;Cressdnaviricota;Repensiviricetes;Geplafuvirales;Geminiviridae;Begomovirus;Coccinia mosaic Tamil Nadu virus</t>
  </si>
  <si>
    <t>Monodnaviria;Shotokuvirae;Cressdnaviricota;Repensiviricetes;Geplafuvirales;Geminiviridae;Begomovirus;Begomovirus cocciniae</t>
  </si>
  <si>
    <t>Monodnaviria;Shotokuvirae;Cressdnaviricota;Repensiviricetes;Geplafuvirales;Geminiviridae;Begomovirus;Tomato yellow leaf curl virus</t>
  </si>
  <si>
    <t>Monodnaviria;Shotokuvirae;Cressdnaviricota;Repensiviricetes;Geplafuvirales;Geminiviridae;Begomovirus;Begomovirus coheni</t>
  </si>
  <si>
    <t>Monodnaviria;Shotokuvirae;Cressdnaviricota;Repensiviricetes;Geplafuvirales;Geminiviridae;Begomovirus;Corchorus yellow vein Cuba virus</t>
  </si>
  <si>
    <t>Monodnaviria;Shotokuvirae;Cressdnaviricota;Repensiviricetes;Geplafuvirales;Geminiviridae;Begomovirus;Begomovirus corchocubaense</t>
  </si>
  <si>
    <t>Monodnaviria;Shotokuvirae;Cressdnaviricota;Repensiviricetes;Geplafuvirales;Geminiviridae;Begomovirus;Corchorus yellow spot virus</t>
  </si>
  <si>
    <t>Monodnaviria;Shotokuvirae;Cressdnaviricota;Repensiviricetes;Geplafuvirales;Geminiviridae;Begomovirus;Begomovirus corchoflavi</t>
  </si>
  <si>
    <t>Monodnaviria;Shotokuvirae;Cressdnaviricota;Repensiviricetes;Geplafuvirales;Geminiviridae;Begomovirus;Corchorus yellow vein mosaic virus</t>
  </si>
  <si>
    <t>Monodnaviria;Shotokuvirae;Cressdnaviricota;Repensiviricetes;Geplafuvirales;Geminiviridae;Begomovirus;Begomovirus corchomusivi</t>
  </si>
  <si>
    <t>Monodnaviria;Shotokuvirae;Cressdnaviricota;Repensiviricetes;Geplafuvirales;Geminiviridae;Begomovirus;Corchorus golden mosaic virus</t>
  </si>
  <si>
    <t>Monodnaviria;Shotokuvirae;Cressdnaviricota;Repensiviricetes;Geplafuvirales;Geminiviridae;Begomovirus;Begomovirus corchori</t>
  </si>
  <si>
    <t>Monodnaviria;Shotokuvirae;Cressdnaviricota;Repensiviricetes;Geplafuvirales;Geminiviridae;Begomovirus;Corchorus yellow vein virus</t>
  </si>
  <si>
    <t>Monodnaviria;Shotokuvirae;Cressdnaviricota;Repensiviricetes;Geplafuvirales;Geminiviridae;Begomovirus;Begomovirus corchovenae</t>
  </si>
  <si>
    <t>Monodnaviria;Shotokuvirae;Cressdnaviricota;Repensiviricetes;Geplafuvirales;Geminiviridae;Begomovirus;Bean golden mosaic virus</t>
  </si>
  <si>
    <t>Monodnaviria;Shotokuvirae;Cressdnaviricota;Repensiviricetes;Geplafuvirales;Geminiviridae;Begomovirus;Begomovirus costai</t>
  </si>
  <si>
    <t>Monodnaviria;Shotokuvirae;Cressdnaviricota;Repensiviricetes;Geplafuvirales;Geminiviridae;Begomovirus;Crassocephalum yellow vein virus</t>
  </si>
  <si>
    <t>Monodnaviria;Shotokuvirae;Cressdnaviricota;Repensiviricetes;Geplafuvirales;Geminiviridae;Begomovirus;Begomovirus crassocephali</t>
  </si>
  <si>
    <t>Monodnaviria;Shotokuvirae;Cressdnaviricota;Repensiviricetes;Geplafuvirales;Geminiviridae;Begomovirus;Sunn hemp leaf distortion virus</t>
  </si>
  <si>
    <t>Monodnaviria;Shotokuvirae;Cressdnaviricota;Repensiviricetes;Geplafuvirales;Geminiviridae;Begomovirus;Begomovirus crotalariae</t>
  </si>
  <si>
    <t>Monodnaviria;Shotokuvirae;Cressdnaviricota;Repensiviricetes;Geplafuvirales;Geminiviridae;Begomovirus;Croton yellow vein mosaic virus</t>
  </si>
  <si>
    <t>Monodnaviria;Shotokuvirae;Cressdnaviricota;Repensiviricetes;Geplafuvirales;Geminiviridae;Begomovirus;Begomovirus crotoflavi</t>
  </si>
  <si>
    <t>Monodnaviria;Shotokuvirae;Cressdnaviricota;Repensiviricetes;Geplafuvirales;Geminiviridae;Begomovirus;Croton golden mosaic virus</t>
  </si>
  <si>
    <t>Monodnaviria;Shotokuvirae;Cressdnaviricota;Repensiviricetes;Geplafuvirales;Geminiviridae;Begomovirus;Begomovirus crotomusivi</t>
  </si>
  <si>
    <t>Monodnaviria;Shotokuvirae;Cressdnaviricota;Repensiviricetes;Geplafuvirales;Geminiviridae;Begomovirus;Cucumber chlorotic leaf virus</t>
  </si>
  <si>
    <t>Monodnaviria;Shotokuvirae;Cressdnaviricota;Repensiviricetes;Geplafuvirales;Geminiviridae;Begomovirus;Begomovirus cucumis</t>
  </si>
  <si>
    <t>Monodnaviria;Shotokuvirae;Cressdnaviricota;Repensiviricetes;Geplafuvirales;Geminiviridae;Begomovirus;Melon yellow mosaic virus</t>
  </si>
  <si>
    <t>Monodnaviria;Shotokuvirae;Cressdnaviricota;Repensiviricetes;Geplafuvirales;Geminiviridae;Begomovirus;Begomovirus cucumisflavi</t>
  </si>
  <si>
    <t>Monodnaviria;Shotokuvirae;Cressdnaviricota;Repensiviricetes;Geplafuvirales;Geminiviridae;Begomovirus;Melon chlorotic mosaic virus</t>
  </si>
  <si>
    <t>Monodnaviria;Shotokuvirae;Cressdnaviricota;Repensiviricetes;Geplafuvirales;Geminiviridae;Begomovirus;Begomovirus cucumismusivi</t>
  </si>
  <si>
    <t>Monodnaviria;Shotokuvirae;Cressdnaviricota;Repensiviricetes;Geplafuvirales;Geminiviridae;Begomovirus;Squash leaf curl China virus</t>
  </si>
  <si>
    <t>Monodnaviria;Shotokuvirae;Cressdnaviricota;Repensiviricetes;Geplafuvirales;Geminiviridae;Begomovirus;Begomovirus cucurbitachinaense</t>
  </si>
  <si>
    <t>Monodnaviria;Shotokuvirae;Cressdnaviricota;Repensiviricetes;Geplafuvirales;Geminiviridae;Begomovirus;Cucurbit leaf crumple virus</t>
  </si>
  <si>
    <t>Monodnaviria;Shotokuvirae;Cressdnaviricota;Repensiviricetes;Geplafuvirales;Geminiviridae;Begomovirus;Begomovirus cucurbitae</t>
  </si>
  <si>
    <t>Monodnaviria;Shotokuvirae;Cressdnaviricota;Repensiviricetes;Geplafuvirales;Geminiviridae;Begomovirus;Pumpkin yellow mosaic virus</t>
  </si>
  <si>
    <t>Monodnaviria;Shotokuvirae;Cressdnaviricota;Repensiviricetes;Geplafuvirales;Geminiviridae;Begomovirus;Begomovirus cucurbitamaximae</t>
  </si>
  <si>
    <t>Monodnaviria;Shotokuvirae;Cressdnaviricota;Repensiviricetes;Geplafuvirales;Geminiviridae;Begomovirus;Squash leaf curl virus</t>
  </si>
  <si>
    <t>Monodnaviria;Shotokuvirae;Cressdnaviricota;Repensiviricetes;Geplafuvirales;Geminiviridae;Begomovirus;Begomovirus cucurbitapeponis</t>
  </si>
  <si>
    <t>Monodnaviria;Shotokuvirae;Cressdnaviricota;Repensiviricetes;Geplafuvirales;Geminiviridae;Begomovirus;Squash leaf curl Philippines virus</t>
  </si>
  <si>
    <t>Monodnaviria;Shotokuvirae;Cressdnaviricota;Repensiviricetes;Geplafuvirales;Geminiviridae;Begomovirus;Begomovirus cucurbitaphilippinense</t>
  </si>
  <si>
    <t>Monodnaviria;Shotokuvirae;Cressdnaviricota;Repensiviricetes;Geplafuvirales;Geminiviridae;Begomovirus;Squash mild leaf curl virus</t>
  </si>
  <si>
    <t>Monodnaviria;Shotokuvirae;Cressdnaviricota;Repensiviricetes;Geplafuvirales;Geminiviridae;Begomovirus;Begomovirus cucurbitatenuis</t>
  </si>
  <si>
    <t>Monodnaviria;Shotokuvirae;Cressdnaviricota;Repensiviricetes;Geplafuvirales;Geminiviridae;Begomovirus;Squash leaf curl Yunnan virus</t>
  </si>
  <si>
    <t>Monodnaviria;Shotokuvirae;Cressdnaviricota;Repensiviricetes;Geplafuvirales;Geminiviridae;Begomovirus;Begomovirus cucurbitayunnanense</t>
  </si>
  <si>
    <t>Monodnaviria;Shotokuvirae;Cressdnaviricota;Repensiviricetes;Geplafuvirales;Geminiviridae;Begomovirus;Dalechampia chlorotic mosaic virus</t>
  </si>
  <si>
    <t>Monodnaviria;Shotokuvirae;Cressdnaviricota;Repensiviricetes;Geplafuvirales;Geminiviridae;Begomovirus;Begomovirus dalechampiae</t>
  </si>
  <si>
    <t>Monodnaviria;Shotokuvirae;Cressdnaviricota;Repensiviricetes;Geplafuvirales;Geminiviridae;Begomovirus;Datura leaf distortion virus</t>
  </si>
  <si>
    <t>Monodnaviria;Shotokuvirae;Cressdnaviricota;Repensiviricetes;Geplafuvirales;Geminiviridae;Begomovirus;Begomovirus daturadistortionis</t>
  </si>
  <si>
    <t>Monodnaviria;Shotokuvirae;Cressdnaviricota;Repensiviricetes;Geplafuvirales;Geminiviridae;Begomovirus;Datura leaf curl virus</t>
  </si>
  <si>
    <t>Monodnaviria;Shotokuvirae;Cressdnaviricota;Repensiviricetes;Geplafuvirales;Geminiviridae;Begomovirus;Begomovirus daturae</t>
  </si>
  <si>
    <t>Monodnaviria;Shotokuvirae;Cressdnaviricota;Repensiviricetes;Geplafuvirales;Geminiviridae;Begomovirus;Deinbollia mosaic virus</t>
  </si>
  <si>
    <t>Monodnaviria;Shotokuvirae;Cressdnaviricota;Repensiviricetes;Geplafuvirales;Geminiviridae;Begomovirus;Begomovirus deinbolliae</t>
  </si>
  <si>
    <t>Monodnaviria;Shotokuvirae;Cressdnaviricota;Repensiviricetes;Geplafuvirales;Geminiviridae;Begomovirus;Desmodium mottle virus</t>
  </si>
  <si>
    <t>Monodnaviria;Shotokuvirae;Cressdnaviricota;Repensiviricetes;Geplafuvirales;Geminiviridae;Begomovirus;Begomovirus desmodii</t>
  </si>
  <si>
    <t>Monodnaviria;Shotokuvirae;Cressdnaviricota;Repensiviricetes;Geplafuvirales;Geminiviridae;Begomovirus;Desmodium leaf distortion virus</t>
  </si>
  <si>
    <t>Monodnaviria;Shotokuvirae;Cressdnaviricota;Repensiviricetes;Geplafuvirales;Geminiviridae;Begomovirus;Begomovirus desmodistortionis</t>
  </si>
  <si>
    <t>Monodnaviria;Shotokuvirae;Cressdnaviricota;Repensiviricetes;Geplafuvirales;Geminiviridae;Begomovirus;Dicliptera yellow mottle Cuba virus</t>
  </si>
  <si>
    <t>Monodnaviria;Shotokuvirae;Cressdnaviricota;Repensiviricetes;Geplafuvirales;Geminiviridae;Begomovirus;Begomovirus diclipteracubaense</t>
  </si>
  <si>
    <t>Monodnaviria;Shotokuvirae;Cressdnaviricota;Repensiviricetes;Geplafuvirales;Geminiviridae;Begomovirus;Dicliptera yellow mottle virus</t>
  </si>
  <si>
    <t>Monodnaviria;Shotokuvirae;Cressdnaviricota;Repensiviricetes;Geplafuvirales;Geminiviridae;Begomovirus;Begomovirus diclipterae</t>
  </si>
  <si>
    <t>Monodnaviria;Shotokuvirae;Cressdnaviricota;Repensiviricetes;Geplafuvirales;Geminiviridae;Begomovirus;Dolichos yellow mosaic virus</t>
  </si>
  <si>
    <t>Monodnaviria;Shotokuvirae;Cressdnaviricota;Repensiviricetes;Geplafuvirales;Geminiviridae;Begomovirus;Begomovirus dolichoris</t>
  </si>
  <si>
    <t>Monodnaviria;Shotokuvirae;Cressdnaviricota;Repensiviricetes;Geplafuvirales;Geminiviridae;Begomovirus;Duranta leaf curl virus</t>
  </si>
  <si>
    <t>Monodnaviria;Shotokuvirae;Cressdnaviricota;Repensiviricetes;Geplafuvirales;Geminiviridae;Begomovirus;Begomovirus durantae</t>
  </si>
  <si>
    <t>Monodnaviria;Shotokuvirae;Cressdnaviricota;Repensiviricetes;Geplafuvirales;Geminiviridae;Begomovirus;Eclipta yellow vein virus</t>
  </si>
  <si>
    <t>Monodnaviria;Shotokuvirae;Cressdnaviricota;Repensiviricetes;Geplafuvirales;Geminiviridae;Begomovirus;Begomovirus ecliptae</t>
  </si>
  <si>
    <t>Monodnaviria;Shotokuvirae;Cressdnaviricota;Repensiviricetes;Geplafuvirales;Geminiviridae;Begomovirus;Emilia yellow vein virus</t>
  </si>
  <si>
    <t>Monodnaviria;Shotokuvirae;Cressdnaviricota;Repensiviricetes;Geplafuvirales;Geminiviridae;Begomovirus;Begomovirus emiliae</t>
  </si>
  <si>
    <t>Monodnaviria;Shotokuvirae;Cressdnaviricota;Repensiviricetes;Geplafuvirales;Geminiviridae;Begomovirus;Emilia yellow vein Fujian virus</t>
  </si>
  <si>
    <t>Monodnaviria;Shotokuvirae;Cressdnaviricota;Repensiviricetes;Geplafuvirales;Geminiviridae;Begomovirus;Begomovirus emiliafujianense</t>
  </si>
  <si>
    <t>Monodnaviria;Shotokuvirae;Cressdnaviricota;Repensiviricetes;Geplafuvirales;Geminiviridae;Begomovirus;Emilia yellow vein Thailand virus</t>
  </si>
  <si>
    <t>Monodnaviria;Shotokuvirae;Cressdnaviricota;Repensiviricetes;Geplafuvirales;Geminiviridae;Begomovirus;Begomovirus emiliathailandense</t>
  </si>
  <si>
    <t>Monodnaviria;Shotokuvirae;Cressdnaviricota;Repensiviricetes;Geplafuvirales;Geminiviridae;Begomovirus;Erectites yellow mosaic virus</t>
  </si>
  <si>
    <t>Monodnaviria;Shotokuvirae;Cressdnaviricota;Repensiviricetes;Geplafuvirales;Geminiviridae;Begomovirus;Begomovirus erectitesis</t>
  </si>
  <si>
    <t>Monodnaviria;Shotokuvirae;Cressdnaviricota;Repensiviricetes;Geplafuvirales;Geminiviridae;Begomovirus;Eupatorium yellow vein virus</t>
  </si>
  <si>
    <t>Monodnaviria;Shotokuvirae;Cressdnaviricota;Repensiviricetes;Geplafuvirales;Geminiviridae;Begomovirus;Begomovirus eupatorii</t>
  </si>
  <si>
    <t>Monodnaviria;Shotokuvirae;Cressdnaviricota;Repensiviricetes;Geplafuvirales;Geminiviridae;Begomovirus;Euphorbia leaf curl virus</t>
  </si>
  <si>
    <t>Monodnaviria;Shotokuvirae;Cressdnaviricota;Repensiviricetes;Geplafuvirales;Geminiviridae;Begomovirus;Begomovirus euphorbiae</t>
  </si>
  <si>
    <t>Monodnaviria;Shotokuvirae;Cressdnaviricota;Repensiviricetes;Geplafuvirales;Geminiviridae;Begomovirus;Euphorbia yellow leaf curl virus</t>
  </si>
  <si>
    <t>Monodnaviria;Shotokuvirae;Cressdnaviricota;Repensiviricetes;Geplafuvirales;Geminiviridae;Begomovirus;Begomovirus euphorbiaflavi</t>
  </si>
  <si>
    <t>Monodnaviria;Shotokuvirae;Cressdnaviricota;Repensiviricetes;Geplafuvirales;Geminiviridae;Begomovirus;Euphorbia leaf curl Guangxi virus</t>
  </si>
  <si>
    <t>Monodnaviria;Shotokuvirae;Cressdnaviricota;Repensiviricetes;Geplafuvirales;Geminiviridae;Begomovirus;Begomovirus euphorbiaguangxiense</t>
  </si>
  <si>
    <t>Monodnaviria;Shotokuvirae;Cressdnaviricota;Repensiviricetes;Geplafuvirales;Geminiviridae;Begomovirus;Euphorbia mosaic virus</t>
  </si>
  <si>
    <t>Monodnaviria;Shotokuvirae;Cressdnaviricota;Repensiviricetes;Geplafuvirales;Geminiviridae;Begomovirus;Begomovirus euphorbiamusivi</t>
  </si>
  <si>
    <t>Monodnaviria;Shotokuvirae;Cressdnaviricota;Repensiviricetes;Geplafuvirales;Geminiviridae;Begomovirus;Euphorbia yellow mosaic virus</t>
  </si>
  <si>
    <t>Monodnaviria;Shotokuvirae;Cressdnaviricota;Repensiviricetes;Geplafuvirales;Geminiviridae;Begomovirus;Begomovirus euphorbiamusiviflavi</t>
  </si>
  <si>
    <t>Monodnaviria;Shotokuvirae;Cressdnaviricota;Repensiviricetes;Geplafuvirales;Geminiviridae;Begomovirus;Euphorbia mosaic Peru virus</t>
  </si>
  <si>
    <t>Monodnaviria;Shotokuvirae;Cressdnaviricota;Repensiviricetes;Geplafuvirales;Geminiviridae;Begomovirus;Begomovirus euphorbiaperuense</t>
  </si>
  <si>
    <t>Monodnaviria;Shotokuvirae;Cressdnaviricota;Repensiviricetes;Geplafuvirales;Geminiviridae;Begomovirus;Soybean chlorotic blotch virus</t>
  </si>
  <si>
    <t>Monodnaviria;Shotokuvirae;Cressdnaviricota;Repensiviricetes;Geplafuvirales;Geminiviridae;Begomovirus;Begomovirus glycinepallidi</t>
  </si>
  <si>
    <t>Monodnaviria;Shotokuvirae;Cressdnaviricota;Repensiviricetes;Geplafuvirales;Geminiviridae;Begomovirus;Soybean mild mottle virus</t>
  </si>
  <si>
    <t>Monodnaviria;Shotokuvirae;Cressdnaviricota;Repensiviricetes;Geplafuvirales;Geminiviridae;Begomovirus;Begomovirus glycinevariati</t>
  </si>
  <si>
    <t>Monodnaviria;Shotokuvirae;Cressdnaviricota;Repensiviricetes;Geplafuvirales;Geminiviridae;Begomovirus;Soybean blistering mosaic virus</t>
  </si>
  <si>
    <t>Monodnaviria;Shotokuvirae;Cressdnaviricota;Repensiviricetes;Geplafuvirales;Geminiviridae;Begomovirus;Begomovirus glycinis</t>
  </si>
  <si>
    <t>Monodnaviria;Shotokuvirae;Cressdnaviricota;Repensiviricetes;Geplafuvirales;Geminiviridae;Begomovirus;Cotton leaf curl Alabad virus</t>
  </si>
  <si>
    <t>Monodnaviria;Shotokuvirae;Cressdnaviricota;Repensiviricetes;Geplafuvirales;Geminiviridae;Begomovirus;Begomovirus gossypialabadense</t>
  </si>
  <si>
    <t>Monodnaviria;Shotokuvirae;Cressdnaviricota;Repensiviricetes;Geplafuvirales;Geminiviridae;Begomovirus;Cotton leaf curl Bangalore virus</t>
  </si>
  <si>
    <t>Monodnaviria;Shotokuvirae;Cressdnaviricota;Repensiviricetes;Geplafuvirales;Geminiviridae;Begomovirus;Begomovirus gossypibangalorense</t>
  </si>
  <si>
    <t>Monodnaviria;Shotokuvirae;Cressdnaviricota;Repensiviricetes;Geplafuvirales;Geminiviridae;Begomovirus;Cotton leaf curl Barasat virus</t>
  </si>
  <si>
    <t>Monodnaviria;Shotokuvirae;Cressdnaviricota;Repensiviricetes;Geplafuvirales;Geminiviridae;Begomovirus;Begomovirus gossypibarasatense</t>
  </si>
  <si>
    <t>Monodnaviria;Shotokuvirae;Cressdnaviricota;Repensiviricetes;Geplafuvirales;Geminiviridae;Begomovirus;Cotton yellow mosaic virus</t>
  </si>
  <si>
    <t>Monodnaviria;Shotokuvirae;Cressdnaviricota;Repensiviricetes;Geplafuvirales;Geminiviridae;Begomovirus;Begomovirus gossypiflavi</t>
  </si>
  <si>
    <t>Monodnaviria;Shotokuvirae;Cressdnaviricota;Repensiviricetes;Geplafuvirales;Geminiviridae;Begomovirus;Cotton leaf curl Gezira virus</t>
  </si>
  <si>
    <t>Monodnaviria;Shotokuvirae;Cressdnaviricota;Repensiviricetes;Geplafuvirales;Geminiviridae;Begomovirus;Begomovirus gossypigeziraense</t>
  </si>
  <si>
    <t>Monodnaviria;Shotokuvirae;Cressdnaviricota;Repensiviricetes;Geplafuvirales;Geminiviridae;Begomovirus;Cotton leaf crumple virus</t>
  </si>
  <si>
    <t>Monodnaviria;Shotokuvirae;Cressdnaviricota;Repensiviricetes;Geplafuvirales;Geminiviridae;Begomovirus;Begomovirus gossypii</t>
  </si>
  <si>
    <t>Monodnaviria;Shotokuvirae;Cressdnaviricota;Repensiviricetes;Geplafuvirales;Geminiviridae;Begomovirus;Cotton leaf curl Kokhran virus</t>
  </si>
  <si>
    <t>Monodnaviria;Shotokuvirae;Cressdnaviricota;Repensiviricetes;Geplafuvirales;Geminiviridae;Begomovirus;Begomovirus gossypikokranense</t>
  </si>
  <si>
    <t>Monodnaviria;Shotokuvirae;Cressdnaviricota;Repensiviricetes;Geplafuvirales;Geminiviridae;Begomovirus;Cotton chlorotic spot virus</t>
  </si>
  <si>
    <t>Monodnaviria;Shotokuvirae;Cressdnaviricota;Repensiviricetes;Geplafuvirales;Geminiviridae;Begomovirus;Begomovirus gossypimaculae</t>
  </si>
  <si>
    <t>Monodnaviria;Shotokuvirae;Cressdnaviricota;Repensiviricetes;Geplafuvirales;Geminiviridae;Begomovirus;Cotton leaf curl Multan virus</t>
  </si>
  <si>
    <t>Monodnaviria;Shotokuvirae;Cressdnaviricota;Repensiviricetes;Geplafuvirales;Geminiviridae;Begomovirus;Begomovirus gossypimultanense</t>
  </si>
  <si>
    <t>Monodnaviria;Shotokuvirae;Cressdnaviricota;Repensiviricetes;Geplafuvirales;Geminiviridae;Begomovirus;Hedyotis uncinella yellow mosaic virus</t>
  </si>
  <si>
    <t>Monodnaviria;Shotokuvirae;Cressdnaviricota;Repensiviricetes;Geplafuvirales;Geminiviridae;Begomovirus;Begomovirus hedyotis</t>
  </si>
  <si>
    <t>Monodnaviria;Shotokuvirae;Cressdnaviricota;Repensiviricetes;Geplafuvirales;Geminiviridae;Begomovirus;Hemidesmus yellow mosaic virus</t>
  </si>
  <si>
    <t>Monodnaviria;Shotokuvirae;Cressdnaviricota;Repensiviricetes;Geplafuvirales;Geminiviridae;Begomovirus;Begomovirus hemidesmi</t>
  </si>
  <si>
    <t>Monodnaviria;Shotokuvirae;Cressdnaviricota;Repensiviricetes;Geplafuvirales;Geminiviridae;Begomovirus;Hibiscus golden mosaic virus</t>
  </si>
  <si>
    <t>Monodnaviria;Shotokuvirae;Cressdnaviricota;Repensiviricetes;Geplafuvirales;Geminiviridae;Begomovirus;Begomovirus hibisci</t>
  </si>
  <si>
    <t>Monodnaviria;Shotokuvirae;Cressdnaviricota;Repensiviricetes;Geplafuvirales;Geminiviridae;Begomovirus;Hibiscus yellow vein leaf curl virus</t>
  </si>
  <si>
    <t>Monodnaviria;Shotokuvirae;Cressdnaviricota;Repensiviricetes;Geplafuvirales;Geminiviridae;Begomovirus;Begomovirus hibiscusvenae</t>
  </si>
  <si>
    <t>Monodnaviria;Shotokuvirae;Cressdnaviricota;Repensiviricetes;Geplafuvirales;Geminiviridae;Begomovirus;Hybanthus yellow mosaic virus</t>
  </si>
  <si>
    <t>Monodnaviria;Shotokuvirae;Cressdnaviricota;Repensiviricetes;Geplafuvirales;Geminiviridae;Begomovirus;Begomovirus hybanthi</t>
  </si>
  <si>
    <t>Monodnaviria;Shotokuvirae;Cressdnaviricota;Repensiviricetes;Geplafuvirales;Geminiviridae;Begomovirus;Sweet potato leaf curl Canary virus</t>
  </si>
  <si>
    <t>Monodnaviria;Shotokuvirae;Cressdnaviricota;Repensiviricetes;Geplafuvirales;Geminiviridae;Begomovirus;Begomovirus ipomoeacanaryense</t>
  </si>
  <si>
    <t>Monodnaviria;Shotokuvirae;Cressdnaviricota;Repensiviricetes;Geplafuvirales;Geminiviridae;Begomovirus;Sweet potato leaf curl China virus</t>
  </si>
  <si>
    <t>Monodnaviria;Shotokuvirae;Cressdnaviricota;Repensiviricetes;Geplafuvirales;Geminiviridae;Begomovirus;Begomovirus ipomoeachinaense</t>
  </si>
  <si>
    <t>Monodnaviria;Shotokuvirae;Cressdnaviricota;Repensiviricetes;Geplafuvirales;Geminiviridae;Begomovirus;Sweet potato leaf curl virus</t>
  </si>
  <si>
    <t>Monodnaviria;Shotokuvirae;Cressdnaviricota;Repensiviricetes;Geplafuvirales;Geminiviridae;Begomovirus;Begomovirus ipomoeae</t>
  </si>
  <si>
    <t>Monodnaviria;Shotokuvirae;Cressdnaviricota;Repensiviricetes;Geplafuvirales;Geminiviridae;Begomovirus;Sweet potato leaf curl Georgia virus</t>
  </si>
  <si>
    <t>Monodnaviria;Shotokuvirae;Cressdnaviricota;Repensiviricetes;Geplafuvirales;Geminiviridae;Begomovirus;Begomovirus ipomoeageorgiaense</t>
  </si>
  <si>
    <t>Monodnaviria;Shotokuvirae;Cressdnaviricota;Repensiviricetes;Geplafuvirales;Geminiviridae;Begomovirus;Sweet potato leaf curl Guangxi virus</t>
  </si>
  <si>
    <t>Monodnaviria;Shotokuvirae;Cressdnaviricota;Repensiviricetes;Geplafuvirales;Geminiviridae;Begomovirus;Begomovirus ipomoeaguangxiense</t>
  </si>
  <si>
    <t>Monodnaviria;Shotokuvirae;Cressdnaviricota;Repensiviricetes;Geplafuvirales;Geminiviridae;Begomovirus;Sweet potato leaf curl Henan virus</t>
  </si>
  <si>
    <t>Monodnaviria;Shotokuvirae;Cressdnaviricota;Repensiviricetes;Geplafuvirales;Geminiviridae;Begomovirus;Begomovirus ipomoeahenanense</t>
  </si>
  <si>
    <t>Monodnaviria;Shotokuvirae;Cressdnaviricota;Repensiviricetes;Geplafuvirales;Geminiviridae;Begomovirus;Sweet potato leaf curl Hubei virus</t>
  </si>
  <si>
    <t>Monodnaviria;Shotokuvirae;Cressdnaviricota;Repensiviricetes;Geplafuvirales;Geminiviridae;Begomovirus;Begomovirus ipomoeahubeiense</t>
  </si>
  <si>
    <t>Monodnaviria;Shotokuvirae;Cressdnaviricota;Repensiviricetes;Geplafuvirales;Geminiviridae;Begomovirus;Sweet potato golden vein Korea virus</t>
  </si>
  <si>
    <t>Monodnaviria;Shotokuvirae;Cressdnaviricota;Repensiviricetes;Geplafuvirales;Geminiviridae;Begomovirus;Begomovirus ipomoeakoreaense</t>
  </si>
  <si>
    <t>Monodnaviria;Shotokuvirae;Cressdnaviricota;Repensiviricetes;Geplafuvirales;Geminiviridae;Begomovirus;Sweet potato mosaic virus</t>
  </si>
  <si>
    <t>Monodnaviria;Shotokuvirae;Cressdnaviricota;Repensiviricetes;Geplafuvirales;Geminiviridae;Begomovirus;Begomovirus ipomoeamusivi</t>
  </si>
  <si>
    <t>Monodnaviria;Shotokuvirae;Cressdnaviricota;Repensiviricetes;Geplafuvirales;Geminiviridae;Begomovirus;Sweet potato leaf curl Sao Paulo virus</t>
  </si>
  <si>
    <t>Monodnaviria;Shotokuvirae;Cressdnaviricota;Repensiviricetes;Geplafuvirales;Geminiviridae;Begomovirus;Begomovirus ipomoeasaopauloense</t>
  </si>
  <si>
    <t>Monodnaviria;Shotokuvirae;Cressdnaviricota;Repensiviricetes;Geplafuvirales;Geminiviridae;Begomovirus;Sweet potato leaf curl Shandong virus</t>
  </si>
  <si>
    <t>Monodnaviria;Shotokuvirae;Cressdnaviricota;Repensiviricetes;Geplafuvirales;Geminiviridae;Begomovirus;Begomovirus ipomoeashandongense</t>
  </si>
  <si>
    <t>Monodnaviria;Shotokuvirae;Cressdnaviricota;Repensiviricetes;Geplafuvirales;Geminiviridae;Begomovirus;Sweet potato leaf curl Sichuan virus 1</t>
  </si>
  <si>
    <t>Monodnaviria;Shotokuvirae;Cressdnaviricota;Repensiviricetes;Geplafuvirales;Geminiviridae;Begomovirus;Begomovirus ipomoeasichuanprimi</t>
  </si>
  <si>
    <t>Monodnaviria;Shotokuvirae;Cressdnaviricota;Repensiviricetes;Geplafuvirales;Geminiviridae;Begomovirus;Sweet potato leaf curl Sichuan virus 2</t>
  </si>
  <si>
    <t>Monodnaviria;Shotokuvirae;Cressdnaviricota;Repensiviricetes;Geplafuvirales;Geminiviridae;Begomovirus;Begomovirus ipomoeasichuansecundi</t>
  </si>
  <si>
    <t>Monodnaviria;Shotokuvirae;Cressdnaviricota;Repensiviricetes;Geplafuvirales;Geminiviridae;Begomovirus;Sweet potato leaf curl South Carolina virus</t>
  </si>
  <si>
    <t>Monodnaviria;Shotokuvirae;Cressdnaviricota;Repensiviricetes;Geplafuvirales;Geminiviridae;Begomovirus;Begomovirus ipomoeasouthcarolinaense</t>
  </si>
  <si>
    <t>Monodnaviria;Shotokuvirae;Cressdnaviricota;Repensiviricetes;Geplafuvirales;Geminiviridae;Begomovirus;Jacquemontia yellow mosaic virus</t>
  </si>
  <si>
    <t>Monodnaviria;Shotokuvirae;Cressdnaviricota;Repensiviricetes;Geplafuvirales;Geminiviridae;Begomovirus;Begomovirus jacquemontiamusivi</t>
  </si>
  <si>
    <t>Monodnaviria;Shotokuvirae;Cressdnaviricota;Repensiviricetes;Geplafuvirales;Geminiviridae;Begomovirus;Jacquemontia yellow vein virus</t>
  </si>
  <si>
    <t>Monodnaviria;Shotokuvirae;Cressdnaviricota;Repensiviricetes;Geplafuvirales;Geminiviridae;Begomovirus;Begomovirus jacquemontiavenae</t>
  </si>
  <si>
    <t>Monodnaviria;Shotokuvirae;Cressdnaviricota;Repensiviricetes;Geplafuvirales;Geminiviridae;Begomovirus;Jacquemontia mosaic Yucatan virus</t>
  </si>
  <si>
    <t>Monodnaviria;Shotokuvirae;Cressdnaviricota;Repensiviricetes;Geplafuvirales;Geminiviridae;Begomovirus;Begomovirus jacquemontiayucatanense</t>
  </si>
  <si>
    <t>Monodnaviria;Shotokuvirae;Cressdnaviricota;Repensiviricetes;Geplafuvirales;Geminiviridae;Begomovirus;Jatropha leaf curl virus</t>
  </si>
  <si>
    <t>Monodnaviria;Shotokuvirae;Cressdnaviricota;Repensiviricetes;Geplafuvirales;Geminiviridae;Begomovirus;Begomovirus jatrophae</t>
  </si>
  <si>
    <t>Monodnaviria;Shotokuvirae;Cressdnaviricota;Repensiviricetes;Geplafuvirales;Geminiviridae;Begomovirus;Jatropha yellow mosaic virus</t>
  </si>
  <si>
    <t>Monodnaviria;Shotokuvirae;Cressdnaviricota;Repensiviricetes;Geplafuvirales;Geminiviridae;Begomovirus;Begomovirus jatrophaflavamusivi</t>
  </si>
  <si>
    <t>Monodnaviria;Shotokuvirae;Cressdnaviricota;Repensiviricetes;Geplafuvirales;Geminiviridae;Begomovirus;Jatropha leaf yellow mosaic virus</t>
  </si>
  <si>
    <t>Monodnaviria;Shotokuvirae;Cressdnaviricota;Repensiviricetes;Geplafuvirales;Geminiviridae;Begomovirus;Begomovirus jatrophaflavi</t>
  </si>
  <si>
    <t>Monodnaviria;Shotokuvirae;Cressdnaviricota;Repensiviricetes;Geplafuvirales;Geminiviridae;Begomovirus;Jatropha leaf curl Gujarat virus</t>
  </si>
  <si>
    <t>Monodnaviria;Shotokuvirae;Cressdnaviricota;Repensiviricetes;Geplafuvirales;Geminiviridae;Begomovirus;Begomovirus jatrophagujaratense</t>
  </si>
  <si>
    <t>Monodnaviria;Shotokuvirae;Cressdnaviricota;Repensiviricetes;Geplafuvirales;Geminiviridae;Begomovirus;Jatropha mosaic India virus</t>
  </si>
  <si>
    <t>Monodnaviria;Shotokuvirae;Cressdnaviricota;Repensiviricetes;Geplafuvirales;Geminiviridae;Begomovirus;Begomovirus jatrophaindiaense</t>
  </si>
  <si>
    <t>Monodnaviria;Shotokuvirae;Cressdnaviricota;Repensiviricetes;Geplafuvirales;Geminiviridae;Begomovirus;Jatropha mosaic virus</t>
  </si>
  <si>
    <t>Monodnaviria;Shotokuvirae;Cressdnaviricota;Repensiviricetes;Geplafuvirales;Geminiviridae;Begomovirus;Begomovirus jatrophamusivi</t>
  </si>
  <si>
    <t>Monodnaviria;Shotokuvirae;Cressdnaviricota;Repensiviricetes;Geplafuvirales;Geminiviridae;Begomovirus;Jatropha mosaic Nigeria virus</t>
  </si>
  <si>
    <t>Monodnaviria;Shotokuvirae;Cressdnaviricota;Repensiviricetes;Geplafuvirales;Geminiviridae;Begomovirus;Begomovirus jatrophanigeriaense</t>
  </si>
  <si>
    <t>Monodnaviria;Shotokuvirae;Cressdnaviricota;Repensiviricetes;Geplafuvirales;Geminiviridae;Begomovirus;Abutilon mosaic Bolivia virus</t>
  </si>
  <si>
    <t>Monodnaviria;Shotokuvirae;Cressdnaviricota;Repensiviricetes;Geplafuvirales;Geminiviridae;Begomovirus;Begomovirus jeskei</t>
  </si>
  <si>
    <t>Monodnaviria;Shotokuvirae;Cressdnaviricota;Repensiviricetes;Geplafuvirales;Geminiviridae;Begomovirus;Eupatorium yellow vein mosaic virus</t>
  </si>
  <si>
    <t>Monodnaviria;Shotokuvirae;Cressdnaviricota;Repensiviricetes;Geplafuvirales;Geminiviridae;Begomovirus;Begomovirus kokenae</t>
  </si>
  <si>
    <t>Monodnaviria;Shotokuvirae;Cressdnaviricota;Repensiviricetes;Geplafuvirales;Geminiviridae;Begomovirus;Leonurus mosaic virus</t>
  </si>
  <si>
    <t>Monodnaviria;Shotokuvirae;Cressdnaviricota;Repensiviricetes;Geplafuvirales;Geminiviridae;Begomovirus;Begomovirus leonuri</t>
  </si>
  <si>
    <t>Monodnaviria;Shotokuvirae;Cressdnaviricota;Repensiviricetes;Geplafuvirales;Geminiviridae;Begomovirus;Lindernia anagallis yellow vein virus</t>
  </si>
  <si>
    <t>Monodnaviria;Shotokuvirae;Cressdnaviricota;Repensiviricetes;Geplafuvirales;Geminiviridae;Begomovirus;Begomovirus linderniae</t>
  </si>
  <si>
    <t>Monodnaviria;Shotokuvirae;Cressdnaviricota;Repensiviricetes;Geplafuvirales;Geminiviridae;Begomovirus;Lisianthus enation leaf curl virus</t>
  </si>
  <si>
    <t>Monodnaviria;Shotokuvirae;Cressdnaviricota;Repensiviricetes;Geplafuvirales;Geminiviridae;Begomovirus;Begomovirus lisianthi</t>
  </si>
  <si>
    <t>Monodnaviria;Shotokuvirae;Cressdnaviricota;Repensiviricetes;Geplafuvirales;Geminiviridae;Begomovirus;Horsegram yellow mosaic virus</t>
  </si>
  <si>
    <t>Monodnaviria;Shotokuvirae;Cressdnaviricota;Repensiviricetes;Geplafuvirales;Geminiviridae;Begomovirus;Begomovirus loniceramusivi</t>
  </si>
  <si>
    <t>Monodnaviria;Shotokuvirae;Cressdnaviricota;Repensiviricetes;Geplafuvirales;Geminiviridae;Begomovirus;Ludwigia yellow vein virus</t>
  </si>
  <si>
    <t>Monodnaviria;Shotokuvirae;Cressdnaviricota;Repensiviricetes;Geplafuvirales;Geminiviridae;Begomovirus;Begomovirus ludwigiae</t>
  </si>
  <si>
    <t>Monodnaviria;Shotokuvirae;Cressdnaviricota;Repensiviricetes;Geplafuvirales;Geminiviridae;Begomovirus;Ludwigia yellow vein Vietnam virus</t>
  </si>
  <si>
    <t>Monodnaviria;Shotokuvirae;Cressdnaviricota;Repensiviricetes;Geplafuvirales;Geminiviridae;Begomovirus;Begomovirus ludwigiavietnamense</t>
  </si>
  <si>
    <t>Monodnaviria;Shotokuvirae;Cressdnaviricota;Repensiviricetes;Geplafuvirales;Geminiviridae;Begomovirus;Luffa yellow mosaic virus</t>
  </si>
  <si>
    <t>Monodnaviria;Shotokuvirae;Cressdnaviricota;Repensiviricetes;Geplafuvirales;Geminiviridae;Begomovirus;Begomovirus luffae</t>
  </si>
  <si>
    <t>Monodnaviria;Shotokuvirae;Cressdnaviricota;Repensiviricetes;Geplafuvirales;Geminiviridae;Begomovirus;Lycianthes yellow mosaic virus</t>
  </si>
  <si>
    <t>Monodnaviria;Shotokuvirae;Cressdnaviricota;Repensiviricetes;Geplafuvirales;Geminiviridae;Begomovirus;Begomovirus lycianthesis</t>
  </si>
  <si>
    <t>Monodnaviria;Shotokuvirae;Cressdnaviricota;Repensiviricetes;Geplafuvirales;Geminiviridae;Begomovirus;Macroptilium golden mosaic virus</t>
  </si>
  <si>
    <t>Monodnaviria;Shotokuvirae;Cressdnaviricota;Repensiviricetes;Geplafuvirales;Geminiviridae;Begomovirus;Begomovirus macroptilaurei</t>
  </si>
  <si>
    <t>Monodnaviria;Shotokuvirae;Cressdnaviricota;Repensiviricetes;Geplafuvirales;Geminiviridae;Begomovirus;Macroptilium common mosaic virus</t>
  </si>
  <si>
    <t>Monodnaviria;Shotokuvirae;Cressdnaviricota;Repensiviricetes;Geplafuvirales;Geminiviridae;Begomovirus;Begomovirus macroptilicommunis</t>
  </si>
  <si>
    <t>Monodnaviria;Shotokuvirae;Cressdnaviricota;Repensiviricetes;Geplafuvirales;Geminiviridae;Begomovirus;Macroptilium yellow mosaic Florida virus</t>
  </si>
  <si>
    <t>Monodnaviria;Shotokuvirae;Cressdnaviricota;Repensiviricetes;Geplafuvirales;Geminiviridae;Begomovirus;Begomovirus macroptilifloridaense</t>
  </si>
  <si>
    <t>Monodnaviria;Shotokuvirae;Cressdnaviricota;Repensiviricetes;Geplafuvirales;Geminiviridae;Begomovirus;Macroptilium yellow mosaic virus</t>
  </si>
  <si>
    <t>Monodnaviria;Shotokuvirae;Cressdnaviricota;Repensiviricetes;Geplafuvirales;Geminiviridae;Begomovirus;Begomovirus macroptilii</t>
  </si>
  <si>
    <t>Monodnaviria;Shotokuvirae;Cressdnaviricota;Repensiviricetes;Geplafuvirales;Geminiviridae;Begomovirus;Macroptilium yellow spot virus</t>
  </si>
  <si>
    <t>Monodnaviria;Shotokuvirae;Cressdnaviricota;Repensiviricetes;Geplafuvirales;Geminiviridae;Begomovirus;Begomovirus macroptilimaculae</t>
  </si>
  <si>
    <t>Monodnaviria;Shotokuvirae;Cressdnaviricota;Repensiviricetes;Geplafuvirales;Geminiviridae;Begomovirus;Macroptilium bright mosaic virus</t>
  </si>
  <si>
    <t>Monodnaviria;Shotokuvirae;Cressdnaviricota;Repensiviricetes;Geplafuvirales;Geminiviridae;Begomovirus;Begomovirus macroptilimusivi</t>
  </si>
  <si>
    <t>Monodnaviria;Shotokuvirae;Cressdnaviricota;Repensiviricetes;Geplafuvirales;Geminiviridae;Begomovirus;Macroptilium mosaic Puerto Rico virus</t>
  </si>
  <si>
    <t>Monodnaviria;Shotokuvirae;Cressdnaviricota;Repensiviricetes;Geplafuvirales;Geminiviridae;Begomovirus;Begomovirus macroptilipuertoricoense</t>
  </si>
  <si>
    <t>Monodnaviria;Shotokuvirae;Cressdnaviricota;Repensiviricetes;Geplafuvirales;Geminiviridae;Begomovirus;Macroptilium yellow vein virus</t>
  </si>
  <si>
    <t>Monodnaviria;Shotokuvirae;Cressdnaviricota;Repensiviricetes;Geplafuvirales;Geminiviridae;Begomovirus;Begomovirus macroptilivenae</t>
  </si>
  <si>
    <t>Monodnaviria;Shotokuvirae;Cressdnaviricota;Repensiviricetes;Geplafuvirales;Geminiviridae;Begomovirus;Honeysuckle yellow vein virus</t>
  </si>
  <si>
    <t>Monodnaviria;Shotokuvirae;Cressdnaviricota;Repensiviricetes;Geplafuvirales;Geminiviridae;Begomovirus;Begomovirus macrotylomae</t>
  </si>
  <si>
    <t>Monodnaviria;Shotokuvirae;Cressdnaviricota;Repensiviricetes;Geplafuvirales;Geminiviridae;Begomovirus;Malvastrum leaf curl virus</t>
  </si>
  <si>
    <t>Monodnaviria;Shotokuvirae;Cressdnaviricota;Repensiviricetes;Geplafuvirales;Geminiviridae;Begomovirus;Begomovirus malvastri</t>
  </si>
  <si>
    <t>Monodnaviria;Shotokuvirae;Cressdnaviricota;Repensiviricetes;Geplafuvirales;Geminiviridae;Begomovirus;Malvastrum yellow vein Cambodia virus</t>
  </si>
  <si>
    <t>Monodnaviria;Shotokuvirae;Cressdnaviricota;Repensiviricetes;Geplafuvirales;Geminiviridae;Begomovirus;Begomovirus malvastrumcambodiaense</t>
  </si>
  <si>
    <t>Monodnaviria;Shotokuvirae;Cressdnaviricota;Repensiviricetes;Geplafuvirales;Geminiviridae;Begomovirus;Malvastrum bright yellow mosaic virus</t>
  </si>
  <si>
    <t>Monodnaviria;Shotokuvirae;Cressdnaviricota;Repensiviricetes;Geplafuvirales;Geminiviridae;Begomovirus;Begomovirus malvastrumflavi</t>
  </si>
  <si>
    <t>Monodnaviria;Shotokuvirae;Cressdnaviricota;Repensiviricetes;Geplafuvirales;Geminiviridae;Begomovirus;Malvastrum yellow mosaic Helshire virus</t>
  </si>
  <si>
    <t>Monodnaviria;Shotokuvirae;Cressdnaviricota;Repensiviricetes;Geplafuvirales;Geminiviridae;Begomovirus;Begomovirus malvastrumhelshirense</t>
  </si>
  <si>
    <t>Monodnaviria;Shotokuvirae;Cressdnaviricota;Repensiviricetes;Geplafuvirales;Geminiviridae;Begomovirus;Malvastrum yellow vein Honghe virus</t>
  </si>
  <si>
    <t>Monodnaviria;Shotokuvirae;Cressdnaviricota;Repensiviricetes;Geplafuvirales;Geminiviridae;Begomovirus;Begomovirus malvastrumhonghense</t>
  </si>
  <si>
    <t>Monodnaviria;Shotokuvirae;Cressdnaviricota;Repensiviricetes;Geplafuvirales;Geminiviridae;Begomovirus;Malvastrum yellow mosaic Jamaica virus</t>
  </si>
  <si>
    <t>Monodnaviria;Shotokuvirae;Cressdnaviricota;Repensiviricetes;Geplafuvirales;Geminiviridae;Begomovirus;Begomovirus malvastrumjamaicaense</t>
  </si>
  <si>
    <t>Monodnaviria;Shotokuvirae;Cressdnaviricota;Repensiviricetes;Geplafuvirales;Geminiviridae;Begomovirus;Malvastrum yellow vein Lahore virus</t>
  </si>
  <si>
    <t>Monodnaviria;Shotokuvirae;Cressdnaviricota;Repensiviricetes;Geplafuvirales;Geminiviridae;Begomovirus;Begomovirus malvastrumlahorense</t>
  </si>
  <si>
    <t>Monodnaviria;Shotokuvirae;Cressdnaviricota;Repensiviricetes;Geplafuvirales;Geminiviridae;Begomovirus;Malvastrum yellow mosaic virus</t>
  </si>
  <si>
    <t>Monodnaviria;Shotokuvirae;Cressdnaviricota;Repensiviricetes;Geplafuvirales;Geminiviridae;Begomovirus;Begomovirus malvastrummusivi</t>
  </si>
  <si>
    <t>Monodnaviria;Shotokuvirae;Cressdnaviricota;Repensiviricetes;Geplafuvirales;Geminiviridae;Begomovirus;Malvastrum leaf curl Philippines virus</t>
  </si>
  <si>
    <t>Monodnaviria;Shotokuvirae;Cressdnaviricota;Repensiviricetes;Geplafuvirales;Geminiviridae;Begomovirus;Begomovirus malvastrumphilipinesense</t>
  </si>
  <si>
    <t>Monodnaviria;Shotokuvirae;Cressdnaviricota;Repensiviricetes;Geplafuvirales;Geminiviridae;Begomovirus;Malvastrum yellow vein Yunnan virus</t>
  </si>
  <si>
    <t>Monodnaviria;Shotokuvirae;Cressdnaviricota;Repensiviricetes;Geplafuvirales;Geminiviridae;Begomovirus;Begomovirus malvastrumyunnanense</t>
  </si>
  <si>
    <t>Monodnaviria;Shotokuvirae;Cressdnaviricota;Repensiviricetes;Geplafuvirales;Geminiviridae;Begomovirus;Malvastrum yellow vein virus</t>
  </si>
  <si>
    <t>Monodnaviria;Shotokuvirae;Cressdnaviricota;Repensiviricetes;Geplafuvirales;Geminiviridae;Begomovirus;Begomovirus malvatrumvenae</t>
  </si>
  <si>
    <t>Monodnaviria;Shotokuvirae;Cressdnaviricota;Repensiviricetes;Geplafuvirales;Geminiviridae;Begomovirus;African cassava mosaic virus</t>
  </si>
  <si>
    <t>Monodnaviria;Shotokuvirae;Cressdnaviricota;Repensiviricetes;Geplafuvirales;Geminiviridae;Begomovirus;Begomovirus manihotis</t>
  </si>
  <si>
    <t>Monodnaviria;Shotokuvirae;Cressdnaviricota;Repensiviricetes;Geplafuvirales;Geminiviridae;Begomovirus;East African cassava mosaic virus</t>
  </si>
  <si>
    <t>Monodnaviria;Shotokuvirae;Cressdnaviricota;Repensiviricetes;Geplafuvirales;Geminiviridae;Begomovirus;Begomovirus manihotisafricaense</t>
  </si>
  <si>
    <t>Monodnaviria;Shotokuvirae;Cressdnaviricota;Repensiviricetes;Geplafuvirales;Geminiviridae;Begomovirus;African cassava mosaic Burkina Faso virus</t>
  </si>
  <si>
    <t>Monodnaviria;Shotokuvirae;Cressdnaviricota;Repensiviricetes;Geplafuvirales;Geminiviridae;Begomovirus;Begomovirus manihotisburkinafasoense</t>
  </si>
  <si>
    <t>Monodnaviria;Shotokuvirae;Cressdnaviricota;Repensiviricetes;Geplafuvirales;Geminiviridae;Begomovirus;East African cassava mosaic Cameroon virus</t>
  </si>
  <si>
    <t>Monodnaviria;Shotokuvirae;Cressdnaviricota;Repensiviricetes;Geplafuvirales;Geminiviridae;Begomovirus;Begomovirus manihotiscameroonense</t>
  </si>
  <si>
    <t>Monodnaviria;Shotokuvirae;Cressdnaviricota;Repensiviricetes;Geplafuvirales;Geminiviridae;Begomovirus;Indian cassava mosaic virus</t>
  </si>
  <si>
    <t>Monodnaviria;Shotokuvirae;Cressdnaviricota;Repensiviricetes;Geplafuvirales;Geminiviridae;Begomovirus;Begomovirus manihotisindianense</t>
  </si>
  <si>
    <t>Monodnaviria;Shotokuvirae;Cressdnaviricota;Repensiviricetes;Geplafuvirales;Geminiviridae;Begomovirus;East African cassava mosaic Kenya virus</t>
  </si>
  <si>
    <t>Monodnaviria;Shotokuvirae;Cressdnaviricota;Repensiviricetes;Geplafuvirales;Geminiviridae;Begomovirus;Begomovirus manihotiskenyaense</t>
  </si>
  <si>
    <t>Monodnaviria;Shotokuvirae;Cressdnaviricota;Repensiviricetes;Geplafuvirales;Geminiviridae;Begomovirus;Cassava mosaic Madagascar virus</t>
  </si>
  <si>
    <t>Monodnaviria;Shotokuvirae;Cressdnaviricota;Repensiviricetes;Geplafuvirales;Geminiviridae;Begomovirus;Begomovirus manihotismadagascarense</t>
  </si>
  <si>
    <t>Monodnaviria;Shotokuvirae;Cressdnaviricota;Repensiviricetes;Geplafuvirales;Geminiviridae;Begomovirus;East African cassava mosaic Malawi virus</t>
  </si>
  <si>
    <t>Monodnaviria;Shotokuvirae;Cressdnaviricota;Repensiviricetes;Geplafuvirales;Geminiviridae;Begomovirus;Begomovirus manihotismalawiense</t>
  </si>
  <si>
    <t>Monodnaviria;Shotokuvirae;Cressdnaviricota;Repensiviricetes;Geplafuvirales;Geminiviridae;Begomovirus;East African cassava mosaic Zanzibar virus</t>
  </si>
  <si>
    <t>Monodnaviria;Shotokuvirae;Cressdnaviricota;Repensiviricetes;Geplafuvirales;Geminiviridae;Begomovirus;Begomovirus manihotiszanzibarense</t>
  </si>
  <si>
    <t>Monodnaviria;Shotokuvirae;Cressdnaviricota;Repensiviricetes;Geplafuvirales;Geminiviridae;Begomovirus;Melochia mosaic virus</t>
  </si>
  <si>
    <t>Monodnaviria;Shotokuvirae;Cressdnaviricota;Repensiviricetes;Geplafuvirales;Geminiviridae;Begomovirus;Begomovirus melochiae</t>
  </si>
  <si>
    <t>Monodnaviria;Shotokuvirae;Cressdnaviricota;Repensiviricetes;Geplafuvirales;Geminiviridae;Begomovirus;Melochia yellow mosaic virus</t>
  </si>
  <si>
    <t>Monodnaviria;Shotokuvirae;Cressdnaviricota;Repensiviricetes;Geplafuvirales;Geminiviridae;Begomovirus;Begomovirus melochiaflavi</t>
  </si>
  <si>
    <t>Monodnaviria;Shotokuvirae;Cressdnaviricota;Repensiviricetes;Geplafuvirales;Geminiviridae;Begomovirus;Merremia mosaic virus</t>
  </si>
  <si>
    <t>Monodnaviria;Shotokuvirae;Cressdnaviricota;Repensiviricetes;Geplafuvirales;Geminiviridae;Begomovirus;Begomovirus merremiae</t>
  </si>
  <si>
    <t>Monodnaviria;Shotokuvirae;Cressdnaviricota;Repensiviricetes;Geplafuvirales;Geminiviridae;Begomovirus;Merremia mosaic Puerto Rico virus</t>
  </si>
  <si>
    <t>Monodnaviria;Shotokuvirae;Cressdnaviricota;Repensiviricetes;Geplafuvirales;Geminiviridae;Begomovirus;Begomovirus merremiapuertoricoense</t>
  </si>
  <si>
    <t>Monodnaviria;Shotokuvirae;Cressdnaviricota;Repensiviricetes;Geplafuvirales;Geminiviridae;Begomovirus;Mesta yellow vein mosaic Bahraich virus</t>
  </si>
  <si>
    <t>Monodnaviria;Shotokuvirae;Cressdnaviricota;Repensiviricetes;Geplafuvirales;Geminiviridae;Begomovirus;Begomovirus mestae</t>
  </si>
  <si>
    <t>Monodnaviria;Shotokuvirae;Cressdnaviricota;Repensiviricetes;Geplafuvirales;Geminiviridae;Begomovirus;Mimosa yellow leaf curl virus</t>
  </si>
  <si>
    <t>Monodnaviria;Shotokuvirae;Cressdnaviricota;Repensiviricetes;Geplafuvirales;Geminiviridae;Begomovirus;Begomovirus mimosae</t>
  </si>
  <si>
    <t>Monodnaviria;Shotokuvirae;Cressdnaviricota;Repensiviricetes;Geplafuvirales;Geminiviridae;Begomovirus;Mirabilis leaf curl virus</t>
  </si>
  <si>
    <t>Monodnaviria;Shotokuvirae;Cressdnaviricota;Repensiviricetes;Geplafuvirales;Geminiviridae;Begomovirus;Begomovirus mirabilis</t>
  </si>
  <si>
    <t>Monodnaviria;Shotokuvirae;Cressdnaviricota;Repensiviricetes;Geplafuvirales;Geminiviridae;Begomovirus;Bitter gourd yellow mosaic virus</t>
  </si>
  <si>
    <t>Monodnaviria;Shotokuvirae;Cressdnaviricota;Repensiviricetes;Geplafuvirales;Geminiviridae;Begomovirus;Begomovirus momordicae</t>
  </si>
  <si>
    <t>Monodnaviria;Shotokuvirae;Cressdnaviricota;Repensiviricetes;Geplafuvirales;Geminiviridae;Begomovirus;Bean dwarf mosaic virus</t>
  </si>
  <si>
    <t>Monodnaviria;Shotokuvirae;Cressdnaviricota;Repensiviricetes;Geplafuvirales;Geminiviridae;Begomovirus;Begomovirus moralesi</t>
  </si>
  <si>
    <t>Monodnaviria;Shotokuvirae;Cressdnaviricota;Repensiviricetes;Geplafuvirales;Geminiviridae;Begomovirus;Velvet bean severe mosaic virus</t>
  </si>
  <si>
    <t>Monodnaviria;Shotokuvirae;Cressdnaviricota;Repensiviricetes;Geplafuvirales;Geminiviridae;Begomovirus;Begomovirus mucunae</t>
  </si>
  <si>
    <t>Monodnaviria;Shotokuvirae;Cressdnaviricota;Repensiviricetes;Geplafuvirales;Geminiviridae;Begomovirus;Velvet bean golden mosaic virus</t>
  </si>
  <si>
    <t>Monodnaviria;Shotokuvirae;Cressdnaviricota;Repensiviricetes;Geplafuvirales;Geminiviridae;Begomovirus;Begomovirus mucunaflavi</t>
  </si>
  <si>
    <t>Monodnaviria;Shotokuvirae;Cressdnaviricota;Repensiviricetes;Geplafuvirales;Geminiviridae;Begomovirus;Tobacco leaf curl Comoros virus</t>
  </si>
  <si>
    <t>Monodnaviria;Shotokuvirae;Cressdnaviricota;Repensiviricetes;Geplafuvirales;Geminiviridae;Begomovirus;Begomovirus nicotianacomorosense</t>
  </si>
  <si>
    <t>Monodnaviria;Shotokuvirae;Cressdnaviricota;Repensiviricetes;Geplafuvirales;Geminiviridae;Begomovirus;Tobacco leaf curl Cuba virus</t>
  </si>
  <si>
    <t>Monodnaviria;Shotokuvirae;Cressdnaviricota;Repensiviricetes;Geplafuvirales;Geminiviridae;Begomovirus;Begomovirus nicotianacubaense</t>
  </si>
  <si>
    <t>Monodnaviria;Shotokuvirae;Cressdnaviricota;Repensiviricetes;Geplafuvirales;Geminiviridae;Begomovirus;Tobacco leaf curl Dominican Republic virus</t>
  </si>
  <si>
    <t>Monodnaviria;Shotokuvirae;Cressdnaviricota;Repensiviricetes;Geplafuvirales;Geminiviridae;Begomovirus;Begomovirus nicotianadominicanense</t>
  </si>
  <si>
    <t>Monodnaviria;Shotokuvirae;Cressdnaviricota;Repensiviricetes;Geplafuvirales;Geminiviridae;Begomovirus;Tobacco curly shoot virus</t>
  </si>
  <si>
    <t>Monodnaviria;Shotokuvirae;Cressdnaviricota;Repensiviricetes;Geplafuvirales;Geminiviridae;Begomovirus;Begomovirus nicotianae</t>
  </si>
  <si>
    <t>Monodnaviria;Shotokuvirae;Cressdnaviricota;Repensiviricetes;Geplafuvirales;Geminiviridae;Begomovirus;Tobacco yellow crinkle virus</t>
  </si>
  <si>
    <t>Monodnaviria;Shotokuvirae;Cressdnaviricota;Repensiviricetes;Geplafuvirales;Geminiviridae;Begomovirus;Begomovirus nicotianaparvi</t>
  </si>
  <si>
    <t>Monodnaviria;Shotokuvirae;Cressdnaviricota;Repensiviricetes;Geplafuvirales;Geminiviridae;Begomovirus;Tobacco leaf curl Pusa virus</t>
  </si>
  <si>
    <t>Monodnaviria;Shotokuvirae;Cressdnaviricota;Repensiviricetes;Geplafuvirales;Geminiviridae;Begomovirus;Begomovirus nicotianapusaense</t>
  </si>
  <si>
    <t>Monodnaviria;Shotokuvirae;Cressdnaviricota;Repensiviricetes;Geplafuvirales;Geminiviridae;Begomovirus;Tobacco leaf rugose virus</t>
  </si>
  <si>
    <t>Monodnaviria;Shotokuvirae;Cressdnaviricota;Repensiviricetes;Geplafuvirales;Geminiviridae;Begomovirus;Begomovirus nicotianarugosi</t>
  </si>
  <si>
    <t>Monodnaviria;Shotokuvirae;Cressdnaviricota;Repensiviricetes;Geplafuvirales;Geminiviridae;Begomovirus;Tobacco leaf curl Thailand virus</t>
  </si>
  <si>
    <t>Monodnaviria;Shotokuvirae;Cressdnaviricota;Repensiviricetes;Geplafuvirales;Geminiviridae;Begomovirus;Begomovirus nicotianathailandense</t>
  </si>
  <si>
    <t>Monodnaviria;Shotokuvirae;Cressdnaviricota;Repensiviricetes;Geplafuvirales;Geminiviridae;Begomovirus;Tobacco mottle leaf curl virus</t>
  </si>
  <si>
    <t>Monodnaviria;Shotokuvirae;Cressdnaviricota;Repensiviricetes;Geplafuvirales;Geminiviridae;Begomovirus;Begomovirus nicotianavariati</t>
  </si>
  <si>
    <t>Monodnaviria;Shotokuvirae;Cressdnaviricota;Repensiviricetes;Geplafuvirales;Geminiviridae;Begomovirus;Tobacco leaf curl Yunnan virus</t>
  </si>
  <si>
    <t>Monodnaviria;Shotokuvirae;Cressdnaviricota;Repensiviricetes;Geplafuvirales;Geminiviridae;Begomovirus;Begomovirus nicotianayunnanense</t>
  </si>
  <si>
    <t>Monodnaviria;Shotokuvirae;Cressdnaviricota;Repensiviricetes;Geplafuvirales;Geminiviridae;Begomovirus;Tobacco leaf curl Zimbabwe virus</t>
  </si>
  <si>
    <t>Monodnaviria;Shotokuvirae;Cressdnaviricota;Repensiviricetes;Geplafuvirales;Geminiviridae;Begomovirus;Begomovirus nicotianazimbabwense</t>
  </si>
  <si>
    <t>Monodnaviria;Shotokuvirae;Cressdnaviricota;Repensiviricetes;Geplafuvirales;Geminiviridae;Begomovirus;Ocimum golden mosaic virus</t>
  </si>
  <si>
    <t>Monodnaviria;Shotokuvirae;Cressdnaviricota;Repensiviricetes;Geplafuvirales;Geminiviridae;Begomovirus;Begomovirus ocimumaurei</t>
  </si>
  <si>
    <t>Monodnaviria;Shotokuvirae;Cressdnaviricota;Repensiviricetes;Geplafuvirales;Geminiviridae;Begomovirus;Ocimum mosaic virus</t>
  </si>
  <si>
    <t>Monodnaviria;Shotokuvirae;Cressdnaviricota;Repensiviricetes;Geplafuvirales;Geminiviridae;Begomovirus;Begomovirus ocimummusivi</t>
  </si>
  <si>
    <t>Monodnaviria;Shotokuvirae;Cressdnaviricota;Repensiviricetes;Geplafuvirales;Geminiviridae;Begomovirus;Ocimum yellow vein virus</t>
  </si>
  <si>
    <t>Monodnaviria;Shotokuvirae;Cressdnaviricota;Repensiviricetes;Geplafuvirales;Geminiviridae;Begomovirus;Begomovirus ocimumvenae</t>
  </si>
  <si>
    <t>Monodnaviria;Shotokuvirae;Cressdnaviricota;Repensiviricetes;Geplafuvirales;Geminiviridae;Begomovirus;Papaya leaf crumple virus</t>
  </si>
  <si>
    <t>Monodnaviria;Shotokuvirae;Cressdnaviricota;Repensiviricetes;Geplafuvirales;Geminiviridae;Begomovirus;Begomovirus papayae</t>
  </si>
  <si>
    <t>Monodnaviria;Shotokuvirae;Cressdnaviricota;Repensiviricetes;Geplafuvirales;Geminiviridae;Begomovirus;Passionfruit leaf distortion virus</t>
  </si>
  <si>
    <t>Monodnaviria;Shotokuvirae;Cressdnaviricota;Repensiviricetes;Geplafuvirales;Geminiviridae;Begomovirus;Begomovirus passifloracontorsionis</t>
  </si>
  <si>
    <t>Monodnaviria;Shotokuvirae;Cressdnaviricota;Repensiviricetes;Geplafuvirales;Geminiviridae;Begomovirus;Passionfruit leaf curl virus</t>
  </si>
  <si>
    <t>Monodnaviria;Shotokuvirae;Cressdnaviricota;Repensiviricetes;Geplafuvirales;Geminiviridae;Begomovirus;Begomovirus passiflorae</t>
  </si>
  <si>
    <t>Monodnaviria;Shotokuvirae;Cressdnaviricota;Repensiviricetes;Geplafuvirales;Geminiviridae;Begomovirus;Passionfruit severe leaf distortion virus</t>
  </si>
  <si>
    <t>Monodnaviria;Shotokuvirae;Cressdnaviricota;Repensiviricetes;Geplafuvirales;Geminiviridae;Begomovirus;Begomovirus passifloraseveri</t>
  </si>
  <si>
    <t>Monodnaviria;Shotokuvirae;Cressdnaviricota;Repensiviricetes;Geplafuvirales;Geminiviridae;Begomovirus;Pavonia mosaic virus</t>
  </si>
  <si>
    <t>Monodnaviria;Shotokuvirae;Cressdnaviricota;Repensiviricetes;Geplafuvirales;Geminiviridae;Begomovirus;Begomovirus pavoniae</t>
  </si>
  <si>
    <t>Monodnaviria;Shotokuvirae;Cressdnaviricota;Repensiviricetes;Geplafuvirales;Geminiviridae;Begomovirus;Pavonia yellow mosaic virus</t>
  </si>
  <si>
    <t>Monodnaviria;Shotokuvirae;Cressdnaviricota;Repensiviricetes;Geplafuvirales;Geminiviridae;Begomovirus;Begomovirus pavoniaflavi</t>
  </si>
  <si>
    <t>Monodnaviria;Shotokuvirae;Cressdnaviricota;Repensiviricetes;Geplafuvirales;Geminiviridae;Begomovirus;Pedilanthus leaf curl virus</t>
  </si>
  <si>
    <t>Monodnaviria;Shotokuvirae;Cressdnaviricota;Repensiviricetes;Geplafuvirales;Geminiviridae;Begomovirus;Begomovirus pedilanthi</t>
  </si>
  <si>
    <t>Monodnaviria;Shotokuvirae;Cressdnaviricota;Repensiviricetes;Geplafuvirales;Geminiviridae;Begomovirus;Bean leaf crumple virus</t>
  </si>
  <si>
    <t>Monodnaviria;Shotokuvirae;Cressdnaviricota;Repensiviricetes;Geplafuvirales;Geminiviridae;Begomovirus;Begomovirus phaseoli</t>
  </si>
  <si>
    <t>Monodnaviria;Shotokuvirae;Cressdnaviricota;Repensiviricetes;Geplafuvirales;Geminiviridae;Begomovirus;Bean white chlorosis mosaic virus</t>
  </si>
  <si>
    <t>Monodnaviria;Shotokuvirae;Cressdnaviricota;Repensiviricetes;Geplafuvirales;Geminiviridae;Begomovirus;Begomovirus phaseolialbi</t>
  </si>
  <si>
    <t>Monodnaviria;Shotokuvirae;Cressdnaviricota;Repensiviricetes;Geplafuvirales;Geminiviridae;Begomovirus;Bean calico mosaic virus</t>
  </si>
  <si>
    <t>Monodnaviria;Shotokuvirae;Cressdnaviricota;Repensiviricetes;Geplafuvirales;Geminiviridae;Begomovirus;Begomovirus phaseolicaliconis</t>
  </si>
  <si>
    <t>Monodnaviria;Shotokuvirae;Cressdnaviricota;Repensiviricetes;Geplafuvirales;Geminiviridae;Begomovirus;Bean chlorosis virus</t>
  </si>
  <si>
    <t>Monodnaviria;Shotokuvirae;Cressdnaviricota;Repensiviricetes;Geplafuvirales;Geminiviridae;Begomovirus;Begomovirus phaseolichlorosis</t>
  </si>
  <si>
    <t>Monodnaviria;Shotokuvirae;Cressdnaviricota;Repensiviricetes;Geplafuvirales;Geminiviridae;Begomovirus;French bean leaf curl virus</t>
  </si>
  <si>
    <t>Monodnaviria;Shotokuvirae;Cressdnaviricota;Repensiviricetes;Geplafuvirales;Geminiviridae;Begomovirus;Begomovirus phaseoligallici</t>
  </si>
  <si>
    <t>Monodnaviria;Shotokuvirae;Cressdnaviricota;Repensiviricetes;Geplafuvirales;Geminiviridae;Begomovirus;Bean latent virus</t>
  </si>
  <si>
    <t>Monodnaviria;Shotokuvirae;Cressdnaviricota;Repensiviricetes;Geplafuvirales;Geminiviridae;Begomovirus;Begomovirus phaseolilatens</t>
  </si>
  <si>
    <t>Monodnaviria;Shotokuvirae;Cressdnaviricota;Repensiviricetes;Geplafuvirales;Geminiviridae;Begomovirus;Bean yellow mosaic Mexico virus</t>
  </si>
  <si>
    <t>Monodnaviria;Shotokuvirae;Cressdnaviricota;Repensiviricetes;Geplafuvirales;Geminiviridae;Begomovirus;Begomovirus phaseolimexicoense</t>
  </si>
  <si>
    <t>Monodnaviria;Shotokuvirae;Cressdnaviricota;Repensiviricetes;Geplafuvirales;Geminiviridae;Begomovirus;Bean bushy stunt virus</t>
  </si>
  <si>
    <t>Monodnaviria;Shotokuvirae;Cressdnaviricota;Repensiviricetes;Geplafuvirales;Geminiviridae;Begomovirus;Begomovirus phaseoliretorridi</t>
  </si>
  <si>
    <t>Monodnaviria;Shotokuvirae;Cressdnaviricota;Repensiviricetes;Geplafuvirales;Geminiviridae;Begomovirus;Common bean mottle virus</t>
  </si>
  <si>
    <t>Monodnaviria;Shotokuvirae;Cressdnaviricota;Repensiviricetes;Geplafuvirales;Geminiviridae;Begomovirus;Begomovirus phaseovulgaris</t>
  </si>
  <si>
    <t>Monodnaviria;Shotokuvirae;Cressdnaviricota;Repensiviricetes;Geplafuvirales;Geminiviridae;Begomovirus;Pea leaf distortion virus</t>
  </si>
  <si>
    <t>Monodnaviria;Shotokuvirae;Cressdnaviricota;Repensiviricetes;Geplafuvirales;Geminiviridae;Begomovirus;Begomovirus pisi</t>
  </si>
  <si>
    <t>Monodnaviria;Shotokuvirae;Cressdnaviricota;Repensiviricetes;Geplafuvirales;Geminiviridae;Begomovirus;Polygala garcinii virus</t>
  </si>
  <si>
    <t>Monodnaviria;Shotokuvirae;Cressdnaviricota;Repensiviricetes;Geplafuvirales;Geminiviridae;Begomovirus;Begomovirus polygalae</t>
  </si>
  <si>
    <t>Monodnaviria;Shotokuvirae;Cressdnaviricota;Repensiviricetes;Geplafuvirales;Geminiviridae;Begomovirus;Pouzolzia golden mosaic virus</t>
  </si>
  <si>
    <t>Monodnaviria;Shotokuvirae;Cressdnaviricota;Repensiviricetes;Geplafuvirales;Geminiviridae;Begomovirus;Begomovirus pouzolziae</t>
  </si>
  <si>
    <t>Monodnaviria;Shotokuvirae;Cressdnaviricota;Repensiviricetes;Geplafuvirales;Geminiviridae;Begomovirus;Pouzolzia yellow mosaic virus</t>
  </si>
  <si>
    <t>Monodnaviria;Shotokuvirae;Cressdnaviricota;Repensiviricetes;Geplafuvirales;Geminiviridae;Begomovirus;Begomovirus pouzolziaflavi</t>
  </si>
  <si>
    <t>Monodnaviria;Shotokuvirae;Cressdnaviricota;Repensiviricetes;Geplafuvirales;Geminiviridae;Begomovirus;Pouzolzia mosaic Guangdong virus</t>
  </si>
  <si>
    <t>Monodnaviria;Shotokuvirae;Cressdnaviricota;Repensiviricetes;Geplafuvirales;Geminiviridae;Begomovirus;Begomovirus pouzolziaguangdongense</t>
  </si>
  <si>
    <t>Monodnaviria;Shotokuvirae;Cressdnaviricota;Repensiviricetes;Geplafuvirales;Geminiviridae;Begomovirus;Premna leaf curl virus</t>
  </si>
  <si>
    <t>Monodnaviria;Shotokuvirae;Cressdnaviricota;Repensiviricetes;Geplafuvirales;Geminiviridae;Begomovirus;Begomovirus premnae</t>
  </si>
  <si>
    <t>Monodnaviria;Shotokuvirae;Cressdnaviricota;Repensiviricetes;Geplafuvirales;Geminiviridae;Begomovirus;Kudzu mosaic virus</t>
  </si>
  <si>
    <t>Monodnaviria;Shotokuvirae;Cressdnaviricota;Repensiviricetes;Geplafuvirales;Geminiviridae;Begomovirus;Begomovirus puerariae</t>
  </si>
  <si>
    <t>Monodnaviria;Shotokuvirae;Cressdnaviricota;Repensiviricetes;Geplafuvirales;Geminiviridae;Begomovirus;Ramie mosaic Yunnan virus</t>
  </si>
  <si>
    <t>Monodnaviria;Shotokuvirae;Cressdnaviricota;Repensiviricetes;Geplafuvirales;Geminiviridae;Begomovirus;Begomovirus ramiis</t>
  </si>
  <si>
    <t>Monodnaviria;Shotokuvirae;Cressdnaviricota;Repensiviricetes;Geplafuvirales;Geminiviridae;Begomovirus;Rhynchosia mild mosaic virus</t>
  </si>
  <si>
    <t>Monodnaviria;Shotokuvirae;Cressdnaviricota;Repensiviricetes;Geplafuvirales;Geminiviridae;Begomovirus;Begomovirus rhynchosiae</t>
  </si>
  <si>
    <t>Monodnaviria;Shotokuvirae;Cressdnaviricota;Repensiviricetes;Geplafuvirales;Geminiviridae;Begomovirus;Rhynchosia yellow mosaic virus</t>
  </si>
  <si>
    <t>Monodnaviria;Shotokuvirae;Cressdnaviricota;Repensiviricetes;Geplafuvirales;Geminiviridae;Begomovirus;Begomovirus rhynchosiaflavi</t>
  </si>
  <si>
    <t>Monodnaviria;Shotokuvirae;Cressdnaviricota;Repensiviricetes;Geplafuvirales;Geminiviridae;Begomovirus;Rhynchosia golden mosaic Havana virus</t>
  </si>
  <si>
    <t>Monodnaviria;Shotokuvirae;Cressdnaviricota;Repensiviricetes;Geplafuvirales;Geminiviridae;Begomovirus;Begomovirus rhynchosiahavanaense</t>
  </si>
  <si>
    <t>Monodnaviria;Shotokuvirae;Cressdnaviricota;Repensiviricetes;Geplafuvirales;Geminiviridae;Begomovirus;Rhynchosia yellow mosaic India virus</t>
  </si>
  <si>
    <t>Monodnaviria;Shotokuvirae;Cressdnaviricota;Repensiviricetes;Geplafuvirales;Geminiviridae;Begomovirus;Begomovirus rhynchosiaindiaense</t>
  </si>
  <si>
    <t>Monodnaviria;Shotokuvirae;Cressdnaviricota;Repensiviricetes;Geplafuvirales;Geminiviridae;Begomovirus;Rhynchosia rugose golden mosaic virus</t>
  </si>
  <si>
    <t>Monodnaviria;Shotokuvirae;Cressdnaviricota;Repensiviricetes;Geplafuvirales;Geminiviridae;Begomovirus;Begomovirus rhynchosiarugosi</t>
  </si>
  <si>
    <t>Monodnaviria;Shotokuvirae;Cressdnaviricota;Repensiviricetes;Geplafuvirales;Geminiviridae;Begomovirus;Rhynchosia golden mosaic Sinaloa virus</t>
  </si>
  <si>
    <t>Monodnaviria;Shotokuvirae;Cressdnaviricota;Repensiviricetes;Geplafuvirales;Geminiviridae;Begomovirus;Begomovirus rhynchosiasinaloaense</t>
  </si>
  <si>
    <t>Monodnaviria;Shotokuvirae;Cressdnaviricota;Repensiviricetes;Geplafuvirales;Geminiviridae;Begomovirus;Rhynchosia golden mosaic virus</t>
  </si>
  <si>
    <t>Monodnaviria;Shotokuvirae;Cressdnaviricota;Repensiviricetes;Geplafuvirales;Geminiviridae;Begomovirus;Begomovirus rhynchosiaurei</t>
  </si>
  <si>
    <t>Monodnaviria;Shotokuvirae;Cressdnaviricota;Repensiviricetes;Geplafuvirales;Geminiviridae;Begomovirus;Rose leaf curl virus</t>
  </si>
  <si>
    <t>Monodnaviria;Shotokuvirae;Cressdnaviricota;Repensiviricetes;Geplafuvirales;Geminiviridae;Begomovirus;Begomovirus rosae</t>
  </si>
  <si>
    <t>Monodnaviria;Shotokuvirae;Cressdnaviricota;Repensiviricetes;Geplafuvirales;Geminiviridae;Begomovirus;Sauropus leaf curl virus</t>
  </si>
  <si>
    <t>Monodnaviria;Shotokuvirae;Cressdnaviricota;Repensiviricetes;Geplafuvirales;Geminiviridae;Begomovirus;Begomovirus sauropi</t>
  </si>
  <si>
    <t>Monodnaviria;Shotokuvirae;Cressdnaviricota;Repensiviricetes;Geplafuvirales;Geminiviridae;Begomovirus;Senecio yellow mosaic virus</t>
  </si>
  <si>
    <t>Monodnaviria;Shotokuvirae;Cressdnaviricota;Repensiviricetes;Geplafuvirales;Geminiviridae;Begomovirus;Begomovirus senecionis</t>
  </si>
  <si>
    <t>Monodnaviria;Shotokuvirae;Cressdnaviricota;Repensiviricetes;Geplafuvirales;Geminiviridae;Begomovirus;Senna leaf curl virus</t>
  </si>
  <si>
    <t>Monodnaviria;Shotokuvirae;Cressdnaviricota;Repensiviricetes;Geplafuvirales;Geminiviridae;Begomovirus;Begomovirus sennae</t>
  </si>
  <si>
    <t>Monodnaviria;Shotokuvirae;Cressdnaviricota;Repensiviricetes;Geplafuvirales;Geminiviridae;Begomovirus;Sida mosaic Alagoas virus</t>
  </si>
  <si>
    <t>Monodnaviria;Shotokuvirae;Cressdnaviricota;Repensiviricetes;Geplafuvirales;Geminiviridae;Begomovirus;Begomovirus sidaalagoasense</t>
  </si>
  <si>
    <t>Monodnaviria;Shotokuvirae;Cressdnaviricota;Repensiviricetes;Geplafuvirales;Geminiviridae;Begomovirus;Sida mosaic Bolivia virus 2</t>
  </si>
  <si>
    <t>Monodnaviria;Shotokuvirae;Cressdnaviricota;Repensiviricetes;Geplafuvirales;Geminiviridae;Begomovirus;Begomovirus sidaboliviaensecundi</t>
  </si>
  <si>
    <t>Monodnaviria;Shotokuvirae;Cressdnaviricota;Repensiviricetes;Geplafuvirales;Geminiviridae;Begomovirus;Sida mosaic Bolivia virus 1</t>
  </si>
  <si>
    <t>Monodnaviria;Shotokuvirae;Cressdnaviricota;Repensiviricetes;Geplafuvirales;Geminiviridae;Begomovirus;Begomovirus sidaboliviaenseprimi</t>
  </si>
  <si>
    <t>Monodnaviria;Shotokuvirae;Cressdnaviricota;Repensiviricetes;Geplafuvirales;Geminiviridae;Begomovirus;Sida ciliaris golden mosaic virus</t>
  </si>
  <si>
    <t>Monodnaviria;Shotokuvirae;Cressdnaviricota;Repensiviricetes;Geplafuvirales;Geminiviridae;Begomovirus;Begomovirus sidaciliaris</t>
  </si>
  <si>
    <t>Monodnaviria;Shotokuvirae;Cressdnaviricota;Repensiviricetes;Geplafuvirales;Geminiviridae;Begomovirus;Sida leaf curl virus</t>
  </si>
  <si>
    <t>Monodnaviria;Shotokuvirae;Cressdnaviricota;Repensiviricetes;Geplafuvirales;Geminiviridae;Begomovirus;Begomovirus sidacontorsionis</t>
  </si>
  <si>
    <t>Monodnaviria;Shotokuvirae;Cressdnaviricota;Repensiviricetes;Geplafuvirales;Geminiviridae;Begomovirus;Sida yellow mosaic China virus</t>
  </si>
  <si>
    <t>Monodnaviria;Shotokuvirae;Cressdnaviricota;Repensiviricetes;Geplafuvirales;Geminiviridae;Begomovirus;Begomovirus sidaflavachinaense</t>
  </si>
  <si>
    <t>Monodnaviria;Shotokuvirae;Cressdnaviricota;Repensiviricetes;Geplafuvirales;Geminiviridae;Begomovirus;Sida yellow leaf curl virus</t>
  </si>
  <si>
    <t>Monodnaviria;Shotokuvirae;Cressdnaviricota;Repensiviricetes;Geplafuvirales;Geminiviridae;Begomovirus;Begomovirus sidaflavacontorsionis</t>
  </si>
  <si>
    <t>Monodnaviria;Shotokuvirae;Cressdnaviricota;Repensiviricetes;Geplafuvirales;Geminiviridae;Begomovirus;Sida yellow mosaic Alagoas virus</t>
  </si>
  <si>
    <t>Monodnaviria;Shotokuvirae;Cressdnaviricota;Repensiviricetes;Geplafuvirales;Geminiviridae;Begomovirus;Begomovirus sidaflavalagoense</t>
  </si>
  <si>
    <t>Monodnaviria;Shotokuvirae;Cressdnaviricota;Repensiviricetes;Geplafuvirales;Geminiviridae;Begomovirus;Sida yellow blotch virus</t>
  </si>
  <si>
    <t>Monodnaviria;Shotokuvirae;Cressdnaviricota;Repensiviricetes;Geplafuvirales;Geminiviridae;Begomovirus;Begomovirus sidaflavamaculae</t>
  </si>
  <si>
    <t>Monodnaviria;Shotokuvirae;Cressdnaviricota;Repensiviricetes;Geplafuvirales;Geminiviridae;Begomovirus;Sida yellow mosaic virus</t>
  </si>
  <si>
    <t>Monodnaviria;Shotokuvirae;Cressdnaviricota;Repensiviricetes;Geplafuvirales;Geminiviridae;Begomovirus;Begomovirus sidaflavamusivi</t>
  </si>
  <si>
    <t>Monodnaviria;Shotokuvirae;Cressdnaviricota;Repensiviricetes;Geplafuvirales;Geminiviridae;Begomovirus;Sida yellow net virus</t>
  </si>
  <si>
    <t>Monodnaviria;Shotokuvirae;Cressdnaviricota;Repensiviricetes;Geplafuvirales;Geminiviridae;Begomovirus;Begomovirus sidaflavaneti</t>
  </si>
  <si>
    <t>Monodnaviria;Shotokuvirae;Cressdnaviricota;Repensiviricetes;Geplafuvirales;Geminiviridae;Begomovirus;Sida yellow golden mosaic virus</t>
  </si>
  <si>
    <t>Monodnaviria;Shotokuvirae;Cressdnaviricota;Repensiviricetes;Geplafuvirales;Geminiviridae;Begomovirus;Begomovirus sidaflavaureimusivi</t>
  </si>
  <si>
    <t>Monodnaviria;Shotokuvirae;Cressdnaviricota;Repensiviricetes;Geplafuvirales;Geminiviridae;Begomovirus;Sida yellow mottle virus</t>
  </si>
  <si>
    <t>Monodnaviria;Shotokuvirae;Cressdnaviricota;Repensiviricetes;Geplafuvirales;Geminiviridae;Begomovirus;Begomovirus sidaflavavariati</t>
  </si>
  <si>
    <t>Monodnaviria;Shotokuvirae;Cressdnaviricota;Repensiviricetes;Geplafuvirales;Geminiviridae;Begomovirus;Sida yellow vein virus</t>
  </si>
  <si>
    <t>Monodnaviria;Shotokuvirae;Cressdnaviricota;Repensiviricetes;Geplafuvirales;Geminiviridae;Begomovirus;Begomovirus sidaflavavenae</t>
  </si>
  <si>
    <t>Monodnaviria;Shotokuvirae;Cressdnaviricota;Repensiviricetes;Geplafuvirales;Geminiviridae;Begomovirus;Sida yellow vein Vietnam virus</t>
  </si>
  <si>
    <t>Monodnaviria;Shotokuvirae;Cressdnaviricota;Repensiviricetes;Geplafuvirales;Geminiviridae;Begomovirus;Begomovirus sidaflavavietnamense</t>
  </si>
  <si>
    <t>Monodnaviria;Shotokuvirae;Cressdnaviricota;Repensiviricetes;Geplafuvirales;Geminiviridae;Begomovirus;Sida yellow mosaic Yucatan virus</t>
  </si>
  <si>
    <t>Monodnaviria;Shotokuvirae;Cressdnaviricota;Repensiviricetes;Geplafuvirales;Geminiviridae;Begomovirus;Begomovirus sidaflavayucatanense</t>
  </si>
  <si>
    <t>Monodnaviria;Shotokuvirae;Cressdnaviricota;Repensiviricetes;Geplafuvirales;Geminiviridae;Begomovirus;Sida bright yellow mosaic virus</t>
  </si>
  <si>
    <t>Monodnaviria;Shotokuvirae;Cressdnaviricota;Repensiviricetes;Geplafuvirales;Geminiviridae;Begomovirus;Begomovirus sidaflavi</t>
  </si>
  <si>
    <t>Monodnaviria;Shotokuvirae;Cressdnaviricota;Repensiviricetes;Geplafuvirales;Geminiviridae;Begomovirus;Sida interveinal bright yellow virus</t>
  </si>
  <si>
    <t>Monodnaviria;Shotokuvirae;Cressdnaviricota;Repensiviricetes;Geplafuvirales;Geminiviridae;Begomovirus;Begomovirus sidaintervenae</t>
  </si>
  <si>
    <t>Monodnaviria;Shotokuvirae;Cressdnaviricota;Repensiviricetes;Geplafuvirales;Geminiviridae;Begomovirus;Sida micrantha mosaic virus</t>
  </si>
  <si>
    <t>Monodnaviria;Shotokuvirae;Cressdnaviricota;Repensiviricetes;Geplafuvirales;Geminiviridae;Begomovirus;Begomovirus sidamicranthae</t>
  </si>
  <si>
    <t>Monodnaviria;Shotokuvirae;Cressdnaviricota;Repensiviricetes;Geplafuvirales;Geminiviridae;Begomovirus;Sida angular mosaic virus</t>
  </si>
  <si>
    <t>Monodnaviria;Shotokuvirae;Cressdnaviricota;Repensiviricetes;Geplafuvirales;Geminiviridae;Begomovirus;Begomovirus sidamusivi</t>
  </si>
  <si>
    <t>Monodnaviria;Shotokuvirae;Cressdnaviricota;Repensiviricetes;Geplafuvirales;Geminiviridae;Begomovirus;Sida chlorotic leaf virus</t>
  </si>
  <si>
    <t>Monodnaviria;Shotokuvirae;Cressdnaviricota;Repensiviricetes;Geplafuvirales;Geminiviridae;Begomovirus;Begomovirus sidapallidi</t>
  </si>
  <si>
    <t>Monodnaviria;Shotokuvirae;Cressdnaviricota;Repensiviricetes;Geplafuvirales;Geminiviridae;Begomovirus;Sida chlorotic mottle virus</t>
  </si>
  <si>
    <t>Monodnaviria;Shotokuvirae;Cressdnaviricota;Repensiviricetes;Geplafuvirales;Geminiviridae;Begomovirus;Begomovirus sidapallivariati</t>
  </si>
  <si>
    <t>Monodnaviria;Shotokuvirae;Cressdnaviricota;Repensiviricetes;Geplafuvirales;Geminiviridae;Begomovirus;Sida mosaic Sinaloa virus</t>
  </si>
  <si>
    <t>Monodnaviria;Shotokuvirae;Cressdnaviricota;Repensiviricetes;Geplafuvirales;Geminiviridae;Begomovirus;Begomovirus sidasinaloaense</t>
  </si>
  <si>
    <t>Monodnaviria;Shotokuvirae;Cressdnaviricota;Repensiviricetes;Geplafuvirales;Geminiviridae;Begomovirus;Sidastrum golden leaf spot virus</t>
  </si>
  <si>
    <t>Monodnaviria;Shotokuvirae;Cressdnaviricota;Repensiviricetes;Geplafuvirales;Geminiviridae;Begomovirus;Begomovirus sidastri</t>
  </si>
  <si>
    <t>Monodnaviria;Shotokuvirae;Cressdnaviricota;Repensiviricetes;Geplafuvirales;Geminiviridae;Begomovirus;Sida golden mosaic Braco virus</t>
  </si>
  <si>
    <t>Monodnaviria;Shotokuvirae;Cressdnaviricota;Repensiviricetes;Geplafuvirales;Geminiviridae;Begomovirus;Begomovirus sidaureibracoense</t>
  </si>
  <si>
    <t>Monodnaviria;Shotokuvirae;Cressdnaviricota;Repensiviricetes;Geplafuvirales;Geminiviridae;Begomovirus;Sida golden mosaic Brazil virus</t>
  </si>
  <si>
    <t>Monodnaviria;Shotokuvirae;Cressdnaviricota;Repensiviricetes;Geplafuvirales;Geminiviridae;Begomovirus;Begomovirus sidaureibrazilense</t>
  </si>
  <si>
    <t>Monodnaviria;Shotokuvirae;Cressdnaviricota;Repensiviricetes;Geplafuvirales;Geminiviridae;Begomovirus;Sida golden mosaic Buckup virus</t>
  </si>
  <si>
    <t>Monodnaviria;Shotokuvirae;Cressdnaviricota;Repensiviricetes;Geplafuvirales;Geminiviridae;Begomovirus;Begomovirus sidaureibuckupense</t>
  </si>
  <si>
    <t>Monodnaviria;Shotokuvirae;Cressdnaviricota;Repensiviricetes;Geplafuvirales;Geminiviridae;Begomovirus;Sida golden mosaic Costa Rica virus</t>
  </si>
  <si>
    <t>Monodnaviria;Shotokuvirae;Cressdnaviricota;Repensiviricetes;Geplafuvirales;Geminiviridae;Begomovirus;Begomovirus sidaureicostaricaense</t>
  </si>
  <si>
    <t>Monodnaviria;Shotokuvirae;Cressdnaviricota;Repensiviricetes;Geplafuvirales;Geminiviridae;Begomovirus;Sida golden mosaic virus</t>
  </si>
  <si>
    <t>Monodnaviria;Shotokuvirae;Cressdnaviricota;Repensiviricetes;Geplafuvirales;Geminiviridae;Begomovirus;Begomovirus sidaureidis</t>
  </si>
  <si>
    <t>Monodnaviria;Shotokuvirae;Cressdnaviricota;Repensiviricetes;Geplafuvirales;Geminiviridae;Begomovirus;Sida golden mosaic Florida virus</t>
  </si>
  <si>
    <t>Monodnaviria;Shotokuvirae;Cressdnaviricota;Repensiviricetes;Geplafuvirales;Geminiviridae;Begomovirus;Begomovirus sidaureifloridaense</t>
  </si>
  <si>
    <t>Monodnaviria;Shotokuvirae;Cressdnaviricota;Repensiviricetes;Geplafuvirales;Geminiviridae;Begomovirus;Sida golden mosaic Lara virus</t>
  </si>
  <si>
    <t>Monodnaviria;Shotokuvirae;Cressdnaviricota;Repensiviricetes;Geplafuvirales;Geminiviridae;Begomovirus;Begomovirus sidaureilaraense</t>
  </si>
  <si>
    <t>Monodnaviria;Shotokuvirae;Cressdnaviricota;Repensiviricetes;Geplafuvirales;Geminiviridae;Begomovirus;Sida golden yellow spot virus</t>
  </si>
  <si>
    <t>Monodnaviria;Shotokuvirae;Cressdnaviricota;Repensiviricetes;Geplafuvirales;Geminiviridae;Begomovirus;Begomovirus sidaureimaculae</t>
  </si>
  <si>
    <t>Monodnaviria;Shotokuvirae;Cressdnaviricota;Repensiviricetes;Geplafuvirales;Geminiviridae;Begomovirus;Sida golden mottle virus</t>
  </si>
  <si>
    <t>Monodnaviria;Shotokuvirae;Cressdnaviricota;Repensiviricetes;Geplafuvirales;Geminiviridae;Begomovirus;Begomovirus sidaureivariati</t>
  </si>
  <si>
    <t>Monodnaviria;Shotokuvirae;Cressdnaviricota;Repensiviricetes;Geplafuvirales;Geminiviridae;Begomovirus;Sida golden yellow vein virus</t>
  </si>
  <si>
    <t>Monodnaviria;Shotokuvirae;Cressdnaviricota;Repensiviricetes;Geplafuvirales;Geminiviridae;Begomovirus;Begomovirus sidaureivenae</t>
  </si>
  <si>
    <t>Monodnaviria;Shotokuvirae;Cressdnaviricota;Repensiviricetes;Geplafuvirales;Geminiviridae;Begomovirus;Sida mottle virus</t>
  </si>
  <si>
    <t>Monodnaviria;Shotokuvirae;Cressdnaviricota;Repensiviricetes;Geplafuvirales;Geminiviridae;Begomovirus;Begomovirus sidavariati</t>
  </si>
  <si>
    <t>Monodnaviria;Shotokuvirae;Cressdnaviricota;Repensiviricetes;Geplafuvirales;Geminiviridae;Begomovirus;Sida mottle Alagoas virus</t>
  </si>
  <si>
    <t>Monodnaviria;Shotokuvirae;Cressdnaviricota;Repensiviricetes;Geplafuvirales;Geminiviridae;Begomovirus;Begomovirus sidavariatialagoense</t>
  </si>
  <si>
    <t>Monodnaviria;Shotokuvirae;Cressdnaviricota;Repensiviricetes;Geplafuvirales;Geminiviridae;Begomovirus;Sida chlorotic vein virus</t>
  </si>
  <si>
    <t>Monodnaviria;Shotokuvirae;Cressdnaviricota;Repensiviricetes;Geplafuvirales;Geminiviridae;Begomovirus;Begomovirus sidavenae</t>
  </si>
  <si>
    <t>Monodnaviria;Shotokuvirae;Cressdnaviricota;Repensiviricetes;Geplafuvirales;Geminiviridae;Begomovirus;Sida common mosaic virus</t>
  </si>
  <si>
    <t>Monodnaviria;Shotokuvirae;Cressdnaviricota;Repensiviricetes;Geplafuvirales;Geminiviridae;Begomovirus;Begomovirus sidavulgaris</t>
  </si>
  <si>
    <t>Monodnaviria;Shotokuvirae;Cressdnaviricota;Repensiviricetes;Geplafuvirales;Geminiviridae;Begomovirus;Siegesbeckia yellow vein virus</t>
  </si>
  <si>
    <t>Monodnaviria;Shotokuvirae;Cressdnaviricota;Repensiviricetes;Geplafuvirales;Geminiviridae;Begomovirus;Begomovirus siegesbeckiae</t>
  </si>
  <si>
    <t>Monodnaviria;Shotokuvirae;Cressdnaviricota;Repensiviricetes;Geplafuvirales;Geminiviridae;Begomovirus;Siegesbeckia yellow vein Guangxi virus</t>
  </si>
  <si>
    <t>Monodnaviria;Shotokuvirae;Cressdnaviricota;Repensiviricetes;Geplafuvirales;Geminiviridae;Begomovirus;Begomovirus siegesbeckiaguangxiense</t>
  </si>
  <si>
    <t>Monodnaviria;Shotokuvirae;Cressdnaviricota;Repensiviricetes;Geplafuvirales;Geminiviridae;Begomovirus;Chino del tomate Amazonas virus</t>
  </si>
  <si>
    <t>Monodnaviria;Shotokuvirae;Cressdnaviricota;Repensiviricetes;Geplafuvirales;Geminiviridae;Begomovirus;Begomovirus solanumamazonasense</t>
  </si>
  <si>
    <t>Monodnaviria;Shotokuvirae;Cressdnaviricota;Repensiviricetes;Geplafuvirales;Geminiviridae;Begomovirus;Tomato leaf curl Anjouan virus</t>
  </si>
  <si>
    <t>Monodnaviria;Shotokuvirae;Cressdnaviricota;Repensiviricetes;Geplafuvirales;Geminiviridae;Begomovirus;Begomovirus solanumanjouanense</t>
  </si>
  <si>
    <t>Monodnaviria;Shotokuvirae;Cressdnaviricota;Repensiviricetes;Geplafuvirales;Geminiviridae;Begomovirus;Tomato mild yellow leaf curl Aragua virus</t>
  </si>
  <si>
    <t>Monodnaviria;Shotokuvirae;Cressdnaviricota;Repensiviricetes;Geplafuvirales;Geminiviridae;Begomovirus;Begomovirus solanumaraguaense</t>
  </si>
  <si>
    <t>Monodnaviria;Shotokuvirae;Cressdnaviricota;Repensiviricetes;Geplafuvirales;Geminiviridae;Begomovirus;Tomato mottle wrinkle virus</t>
  </si>
  <si>
    <t>Monodnaviria;Shotokuvirae;Cressdnaviricota;Repensiviricetes;Geplafuvirales;Geminiviridae;Begomovirus;Begomovirus solanumargentinaense</t>
  </si>
  <si>
    <t>Monodnaviria;Shotokuvirae;Cressdnaviricota;Repensiviricetes;Geplafuvirales;Geminiviridae;Begomovirus;Tomato leaf curl Arusha virus</t>
  </si>
  <si>
    <t>Monodnaviria;Shotokuvirae;Cressdnaviricota;Repensiviricetes;Geplafuvirales;Geminiviridae;Begomovirus;Begomovirus solanumarushaense</t>
  </si>
  <si>
    <t>Monodnaviria;Shotokuvirae;Cressdnaviricota;Repensiviricetes;Geplafuvirales;Geminiviridae;Begomovirus;Tomato golden leaf distortion virus</t>
  </si>
  <si>
    <t>Monodnaviria;Shotokuvirae;Cressdnaviricota;Repensiviricetes;Geplafuvirales;Geminiviridae;Begomovirus;Begomovirus solanumaureicontorsionis</t>
  </si>
  <si>
    <t>Monodnaviria;Shotokuvirae;Cressdnaviricota;Repensiviricetes;Geplafuvirales;Geminiviridae;Begomovirus;Tomato golden leaf spot virus</t>
  </si>
  <si>
    <t>Monodnaviria;Shotokuvirae;Cressdnaviricota;Repensiviricetes;Geplafuvirales;Geminiviridae;Begomovirus;Begomovirus solanumaureimaculae</t>
  </si>
  <si>
    <t>Monodnaviria;Shotokuvirae;Cressdnaviricota;Repensiviricetes;Geplafuvirales;Geminiviridae;Begomovirus;Tomato golden mosaic virus</t>
  </si>
  <si>
    <t>Monodnaviria;Shotokuvirae;Cressdnaviricota;Repensiviricetes;Geplafuvirales;Geminiviridae;Begomovirus;Begomovirus solanumaureimusivi</t>
  </si>
  <si>
    <t>Monodnaviria;Shotokuvirae;Cressdnaviricota;Repensiviricetes;Geplafuvirales;Geminiviridae;Begomovirus;Tomato golden mottle virus</t>
  </si>
  <si>
    <t>Monodnaviria;Shotokuvirae;Cressdnaviricota;Repensiviricetes;Geplafuvirales;Geminiviridae;Begomovirus;Begomovirus solanumaureivariati</t>
  </si>
  <si>
    <t>Monodnaviria;Shotokuvirae;Cressdnaviricota;Repensiviricetes;Geplafuvirales;Geminiviridae;Begomovirus;Tomato golden vein virus</t>
  </si>
  <si>
    <t>Monodnaviria;Shotokuvirae;Cressdnaviricota;Repensiviricetes;Geplafuvirales;Geminiviridae;Begomovirus;Begomovirus solanumaureivenae</t>
  </si>
  <si>
    <t>Monodnaviria;Shotokuvirae;Cressdnaviricota;Repensiviricetes;Geplafuvirales;Geminiviridae;Begomovirus;Tomato leaf curl virus</t>
  </si>
  <si>
    <t>Monodnaviria;Shotokuvirae;Cressdnaviricota;Repensiviricetes;Geplafuvirales;Geminiviridae;Begomovirus;Begomovirus solanumaustraliaense</t>
  </si>
  <si>
    <t>Monodnaviria;Shotokuvirae;Cressdnaviricota;Repensiviricetes;Geplafuvirales;Geminiviridae;Begomovirus;Tomato leaf curl Bangalore virus</t>
  </si>
  <si>
    <t>Monodnaviria;Shotokuvirae;Cressdnaviricota;Repensiviricetes;Geplafuvirales;Geminiviridae;Begomovirus;Begomovirus solanumbangalorense</t>
  </si>
  <si>
    <t>Monodnaviria;Shotokuvirae;Cressdnaviricota;Repensiviricetes;Geplafuvirales;Geminiviridae;Begomovirus;Tomato leaf curl Bangladesh virus</t>
  </si>
  <si>
    <t>Monodnaviria;Shotokuvirae;Cressdnaviricota;Repensiviricetes;Geplafuvirales;Geminiviridae;Begomovirus;Begomovirus solanumbangladeshense</t>
  </si>
  <si>
    <t>Monodnaviria;Shotokuvirae;Cressdnaviricota;Repensiviricetes;Geplafuvirales;Geminiviridae;Begomovirus;Solanum mosaic Bolivia virus</t>
  </si>
  <si>
    <t>Monodnaviria;Shotokuvirae;Cressdnaviricota;Repensiviricetes;Geplafuvirales;Geminiviridae;Begomovirus;Begomovirus solanumboliviense</t>
  </si>
  <si>
    <t>Monodnaviria;Shotokuvirae;Cressdnaviricota;Repensiviricetes;Geplafuvirales;Geminiviridae;Begomovirus;Tomato leaf curl Burkina Faso virus</t>
  </si>
  <si>
    <t>Monodnaviria;Shotokuvirae;Cressdnaviricota;Repensiviricetes;Geplafuvirales;Geminiviridae;Begomovirus;Begomovirus solanumburkinafasoense</t>
  </si>
  <si>
    <t>Monodnaviria;Shotokuvirae;Cressdnaviricota;Repensiviricetes;Geplafuvirales;Geminiviridae;Begomovirus;Tomato leaf curl Cebu virus</t>
  </si>
  <si>
    <t>Monodnaviria;Shotokuvirae;Cressdnaviricota;Repensiviricetes;Geplafuvirales;Geminiviridae;Begomovirus;Begomovirus solanumcebuense</t>
  </si>
  <si>
    <t>Monodnaviria;Shotokuvirae;Cressdnaviricota;Repensiviricetes;Geplafuvirales;Geminiviridae;Begomovirus;Tomato leaf curl China virus</t>
  </si>
  <si>
    <t>Monodnaviria;Shotokuvirae;Cressdnaviricota;Repensiviricetes;Geplafuvirales;Geminiviridae;Begomovirus;Begomovirus solanumchinaense</t>
  </si>
  <si>
    <t>Monodnaviria;Shotokuvirae;Cressdnaviricota;Repensiviricetes;Geplafuvirales;Geminiviridae;Begomovirus;Tomato leaf curl Comoros virus</t>
  </si>
  <si>
    <t>Monodnaviria;Shotokuvirae;Cressdnaviricota;Repensiviricetes;Geplafuvirales;Geminiviridae;Begomovirus;Begomovirus solanumcomorosense</t>
  </si>
  <si>
    <t>Monodnaviria;Shotokuvirae;Cressdnaviricota;Repensiviricetes;Geplafuvirales;Geminiviridae;Begomovirus;Tomato leaf distortion virus</t>
  </si>
  <si>
    <t>Monodnaviria;Shotokuvirae;Cressdnaviricota;Repensiviricetes;Geplafuvirales;Geminiviridae;Begomovirus;Begomovirus solanumcontorsionis</t>
  </si>
  <si>
    <t>Monodnaviria;Shotokuvirae;Cressdnaviricota;Repensiviricetes;Geplafuvirales;Geminiviridae;Begomovirus;Tomato wrinkled mosaic virus</t>
  </si>
  <si>
    <t>Monodnaviria;Shotokuvirae;Cressdnaviricota;Repensiviricetes;Geplafuvirales;Geminiviridae;Begomovirus;Begomovirus solanumcrispi</t>
  </si>
  <si>
    <t>Monodnaviria;Shotokuvirae;Cressdnaviricota;Repensiviricetes;Geplafuvirales;Geminiviridae;Begomovirus;Tomato leaf curl New Delhi virus</t>
  </si>
  <si>
    <t>Monodnaviria;Shotokuvirae;Cressdnaviricota;Repensiviricetes;Geplafuvirales;Geminiviridae;Begomovirus;Begomovirus solanumdelhiense</t>
  </si>
  <si>
    <t>Monodnaviria;Shotokuvirae;Cressdnaviricota;Repensiviricetes;Geplafuvirales;Geminiviridae;Begomovirus;Tomato leaf curl New Delhi virus 4</t>
  </si>
  <si>
    <t>Monodnaviria;Shotokuvirae;Cressdnaviricota;Repensiviricetes;Geplafuvirales;Geminiviridae;Begomovirus;Begomovirus solanumdelhiquarti</t>
  </si>
  <si>
    <t>Monodnaviria;Shotokuvirae;Cressdnaviricota;Repensiviricetes;Geplafuvirales;Geminiviridae;Begomovirus;Tomato leaf curl New Delhi virus 5</t>
  </si>
  <si>
    <t>Monodnaviria;Shotokuvirae;Cressdnaviricota;Repensiviricetes;Geplafuvirales;Geminiviridae;Begomovirus;Begomovirus solanumdelhiquinti</t>
  </si>
  <si>
    <t>Monodnaviria;Shotokuvirae;Cressdnaviricota;Repensiviricetes;Geplafuvirales;Geminiviridae;Begomovirus;Tomato leaf curl New Delhi virus 2</t>
  </si>
  <si>
    <t>Monodnaviria;Shotokuvirae;Cressdnaviricota;Repensiviricetes;Geplafuvirales;Geminiviridae;Begomovirus;Begomovirus solanumdelhisecundi</t>
  </si>
  <si>
    <t>Monodnaviria;Shotokuvirae;Cressdnaviricota;Repensiviricetes;Geplafuvirales;Geminiviridae;Begomovirus;Tomato leaf deformation virus</t>
  </si>
  <si>
    <t>Monodnaviria;Shotokuvirae;Cressdnaviricota;Repensiviricetes;Geplafuvirales;Geminiviridae;Begomovirus;Begomovirus solanumdepravationis</t>
  </si>
  <si>
    <t>Monodnaviria;Shotokuvirae;Cressdnaviricota;Repensiviricetes;Geplafuvirales;Geminiviridae;Begomovirus;Tomato leaf curl Diana virus</t>
  </si>
  <si>
    <t>Monodnaviria;Shotokuvirae;Cressdnaviricota;Repensiviricetes;Geplafuvirales;Geminiviridae;Begomovirus;Begomovirus solanumdianaense</t>
  </si>
  <si>
    <t>Monodnaviria;Shotokuvirae;Cressdnaviricota;Repensiviricetes;Geplafuvirales;Geminiviridae;Begomovirus;Tomato bright yellow mottle virus</t>
  </si>
  <si>
    <t>Monodnaviria;Shotokuvirae;Cressdnaviricota;Repensiviricetes;Geplafuvirales;Geminiviridae;Begomovirus;Begomovirus solanumflavariati</t>
  </si>
  <si>
    <t>Monodnaviria;Shotokuvirae;Cressdnaviricota;Repensiviricetes;Geplafuvirales;Geminiviridae;Begomovirus;Chino del tomate virus</t>
  </si>
  <si>
    <t>Monodnaviria;Shotokuvirae;Cressdnaviricota;Repensiviricetes;Geplafuvirales;Geminiviridae;Begomovirus;Begomovirus solanumflavi</t>
  </si>
  <si>
    <t>Monodnaviria;Shotokuvirae;Cressdnaviricota;Repensiviricetes;Geplafuvirales;Geminiviridae;Begomovirus;Tomato yellow leaf curl Sardinia virus</t>
  </si>
  <si>
    <t>Monodnaviria;Shotokuvirae;Cressdnaviricota;Repensiviricetes;Geplafuvirales;Geminiviridae;Begomovirus;Begomovirus solanumflavusardiniaense</t>
  </si>
  <si>
    <t>Monodnaviria;Shotokuvirae;Cressdnaviricota;Repensiviricetes;Geplafuvirales;Geminiviridae;Begomovirus;Tomato yellow leaf curl Axarquia virus</t>
  </si>
  <si>
    <t>Monodnaviria;Shotokuvirae;Cressdnaviricota;Repensiviricetes;Geplafuvirales;Geminiviridae;Begomovirus;Begomovirus solanumflavusaxarquiaense</t>
  </si>
  <si>
    <t>Monodnaviria;Shotokuvirae;Cressdnaviricota;Repensiviricetes;Geplafuvirales;Geminiviridae;Begomovirus;Tomato yellow leaf curl China virus</t>
  </si>
  <si>
    <t>Monodnaviria;Shotokuvirae;Cressdnaviricota;Repensiviricetes;Geplafuvirales;Geminiviridae;Begomovirus;Begomovirus solanumflavuschinaense</t>
  </si>
  <si>
    <t>Monodnaviria;Shotokuvirae;Cressdnaviricota;Repensiviricetes;Geplafuvirales;Geminiviridae;Begomovirus;Tomato yellow leaf distortion virus</t>
  </si>
  <si>
    <t>Monodnaviria;Shotokuvirae;Cressdnaviricota;Repensiviricetes;Geplafuvirales;Geminiviridae;Begomovirus;Begomovirus solanumflavuscontorsionis</t>
  </si>
  <si>
    <t>Monodnaviria;Shotokuvirae;Cressdnaviricota;Repensiviricetes;Geplafuvirales;Geminiviridae;Begomovirus;Tomato yellow leaf deformation dwarf virus</t>
  </si>
  <si>
    <t>Monodnaviria;Shotokuvirae;Cressdnaviricota;Repensiviricetes;Geplafuvirales;Geminiviridae;Begomovirus;Begomovirus solanumflavusdepravationis</t>
  </si>
  <si>
    <t>Monodnaviria;Shotokuvirae;Cressdnaviricota;Repensiviricetes;Geplafuvirales;Geminiviridae;Begomovirus;Tomato yellow leaf curl Guangdong virus</t>
  </si>
  <si>
    <t>Monodnaviria;Shotokuvirae;Cressdnaviricota;Repensiviricetes;Geplafuvirales;Geminiviridae;Begomovirus;Begomovirus solanumflavusguangdongense</t>
  </si>
  <si>
    <t>Monodnaviria;Shotokuvirae;Cressdnaviricota;Repensiviricetes;Geplafuvirales;Geminiviridae;Begomovirus;Tomato yellow leaf curl Shuangbai virus</t>
  </si>
  <si>
    <t>Monodnaviria;Shotokuvirae;Cressdnaviricota;Repensiviricetes;Geplafuvirales;Geminiviridae;Begomovirus;Begomovirus solanumflavushuangbaiense</t>
  </si>
  <si>
    <t>Monodnaviria;Shotokuvirae;Cressdnaviricota;Repensiviricetes;Geplafuvirales;Geminiviridae;Begomovirus;Tomato yellow leaf curl Indonesia virus</t>
  </si>
  <si>
    <t>Monodnaviria;Shotokuvirae;Cressdnaviricota;Repensiviricetes;Geplafuvirales;Geminiviridae;Begomovirus;Begomovirus solanumflavusindonesiaense</t>
  </si>
  <si>
    <t>Monodnaviria;Shotokuvirae;Cressdnaviricota;Repensiviricetes;Geplafuvirales;Geminiviridae;Begomovirus;Tomato yellow leaf curl Kanchanaburi virus</t>
  </si>
  <si>
    <t>Monodnaviria;Shotokuvirae;Cressdnaviricota;Repensiviricetes;Geplafuvirales;Geminiviridae;Begomovirus;Begomovirus solanumflavuskanchanaburiense</t>
  </si>
  <si>
    <t>Monodnaviria;Shotokuvirae;Cressdnaviricota;Repensiviricetes;Geplafuvirales;Geminiviridae;Begomovirus;Tomato yellow spot virus</t>
  </si>
  <si>
    <t>Monodnaviria;Shotokuvirae;Cressdnaviricota;Repensiviricetes;Geplafuvirales;Geminiviridae;Begomovirus;Begomovirus solanumflavusmaculae</t>
  </si>
  <si>
    <t>Monodnaviria;Shotokuvirae;Cressdnaviricota;Repensiviricetes;Geplafuvirales;Geminiviridae;Begomovirus;Tomato yellow leaf curl Malaga virus</t>
  </si>
  <si>
    <t>Monodnaviria;Shotokuvirae;Cressdnaviricota;Repensiviricetes;Geplafuvirales;Geminiviridae;Begomovirus;Begomovirus solanumflavusmalacitanum</t>
  </si>
  <si>
    <t>Monodnaviria;Shotokuvirae;Cressdnaviricota;Repensiviricetes;Geplafuvirales;Geminiviridae;Begomovirus;Tomato yellow leaf curl Mali virus</t>
  </si>
  <si>
    <t>Monodnaviria;Shotokuvirae;Cressdnaviricota;Repensiviricetes;Geplafuvirales;Geminiviridae;Begomovirus;Begomovirus solanumflavusmaliense</t>
  </si>
  <si>
    <t>Monodnaviria;Shotokuvirae;Cressdnaviricota;Repensiviricetes;Geplafuvirales;Geminiviridae;Begomovirus;Tomato yellow margin leaf curl virus</t>
  </si>
  <si>
    <t>Monodnaviria;Shotokuvirae;Cressdnaviricota;Repensiviricetes;Geplafuvirales;Geminiviridae;Begomovirus;Begomovirus solanumflavusmarginis</t>
  </si>
  <si>
    <t>Monodnaviria;Shotokuvirae;Cressdnaviricota;Repensiviricetes;Geplafuvirales;Geminiviridae;Begomovirus;Tomato yellow leaf curl Thailand virus</t>
  </si>
  <si>
    <t>Monodnaviria;Shotokuvirae;Cressdnaviricota;Repensiviricetes;Geplafuvirales;Geminiviridae;Begomovirus;Begomovirus solanumflavusthailandense</t>
  </si>
  <si>
    <t>Monodnaviria;Shotokuvirae;Cressdnaviricota;Repensiviricetes;Geplafuvirales;Geminiviridae;Begomovirus;Tomato yellow mottle virus</t>
  </si>
  <si>
    <t>Monodnaviria;Shotokuvirae;Cressdnaviricota;Repensiviricetes;Geplafuvirales;Geminiviridae;Begomovirus;Begomovirus solanumflavusvariati</t>
  </si>
  <si>
    <t>Monodnaviria;Shotokuvirae;Cressdnaviricota;Repensiviricetes;Geplafuvirales;Geminiviridae;Begomovirus;Tomato yellow vein streak virus</t>
  </si>
  <si>
    <t>Monodnaviria;Shotokuvirae;Cressdnaviricota;Repensiviricetes;Geplafuvirales;Geminiviridae;Begomovirus;Begomovirus solanumflavusvenae</t>
  </si>
  <si>
    <t>Monodnaviria;Shotokuvirae;Cressdnaviricota;Repensiviricetes;Geplafuvirales;Geminiviridae;Begomovirus;Tomato yellow leaf curl Vietnam virus</t>
  </si>
  <si>
    <t>Monodnaviria;Shotokuvirae;Cressdnaviricota;Repensiviricetes;Geplafuvirales;Geminiviridae;Begomovirus;Begomovirus solanumflavusvietnamense</t>
  </si>
  <si>
    <t>Monodnaviria;Shotokuvirae;Cressdnaviricota;Repensiviricetes;Geplafuvirales;Geminiviridae;Begomovirus;Tomato yellow leaf curl Yunnan virus</t>
  </si>
  <si>
    <t>Monodnaviria;Shotokuvirae;Cressdnaviricota;Repensiviricetes;Geplafuvirales;Geminiviridae;Begomovirus;Begomovirus solanumflavusyunnanense</t>
  </si>
  <si>
    <t>Monodnaviria;Shotokuvirae;Cressdnaviricota;Repensiviricetes;Geplafuvirales;Geminiviridae;Begomovirus;Tomato leaf curl Ghana virus</t>
  </si>
  <si>
    <t>Monodnaviria;Shotokuvirae;Cressdnaviricota;Repensiviricetes;Geplafuvirales;Geminiviridae;Begomovirus;Begomovirus solanumghanaense</t>
  </si>
  <si>
    <t>Monodnaviria;Shotokuvirae;Cressdnaviricota;Repensiviricetes;Geplafuvirales;Geminiviridae;Begomovirus;Tomato leaf curl Guangdong virus</t>
  </si>
  <si>
    <t>Monodnaviria;Shotokuvirae;Cressdnaviricota;Repensiviricetes;Geplafuvirales;Geminiviridae;Begomovirus;Begomovirus solanumguangdongense</t>
  </si>
  <si>
    <t>Monodnaviria;Shotokuvirae;Cressdnaviricota;Repensiviricetes;Geplafuvirales;Geminiviridae;Begomovirus;Tomato leaf curl Guangxi virus</t>
  </si>
  <si>
    <t>Monodnaviria;Shotokuvirae;Cressdnaviricota;Repensiviricetes;Geplafuvirales;Geminiviridae;Begomovirus;Begomovirus solanumguangxiense</t>
  </si>
  <si>
    <t>Monodnaviria;Shotokuvirae;Cressdnaviricota;Repensiviricetes;Geplafuvirales;Geminiviridae;Begomovirus;Tomato leaf curl Gujarat virus</t>
  </si>
  <si>
    <t>Monodnaviria;Shotokuvirae;Cressdnaviricota;Repensiviricetes;Geplafuvirales;Geminiviridae;Begomovirus;Begomovirus solanumgujaratense</t>
  </si>
  <si>
    <t>Monodnaviria;Shotokuvirae;Cressdnaviricota;Repensiviricetes;Geplafuvirales;Geminiviridae;Begomovirus;Tomato leaf curl Hainan virus</t>
  </si>
  <si>
    <t>Monodnaviria;Shotokuvirae;Cressdnaviricota;Repensiviricetes;Geplafuvirales;Geminiviridae;Begomovirus;Begomovirus solanumhainanense</t>
  </si>
  <si>
    <t>Monodnaviria;Shotokuvirae;Cressdnaviricota;Repensiviricetes;Geplafuvirales;Geminiviridae;Begomovirus;Tomato leaf curl Hanoi virus</t>
  </si>
  <si>
    <t>Monodnaviria;Shotokuvirae;Cressdnaviricota;Repensiviricetes;Geplafuvirales;Geminiviridae;Begomovirus;Begomovirus solanumhanoiense</t>
  </si>
  <si>
    <t>Monodnaviria;Shotokuvirae;Cressdnaviricota;Repensiviricetes;Geplafuvirales;Geminiviridae;Begomovirus;Tomato mosaic Havana virus</t>
  </si>
  <si>
    <t>Monodnaviria;Shotokuvirae;Cressdnaviricota;Repensiviricetes;Geplafuvirales;Geminiviridae;Begomovirus;Begomovirus solanumhavanaense</t>
  </si>
  <si>
    <t>Monodnaviria;Shotokuvirae;Cressdnaviricota;Repensiviricetes;Geplafuvirales;Geminiviridae;Begomovirus;Tomato leaf curl Hsinchu virus</t>
  </si>
  <si>
    <t>Monodnaviria;Shotokuvirae;Cressdnaviricota;Repensiviricetes;Geplafuvirales;Geminiviridae;Begomovirus;Begomovirus solanumhsinchuense</t>
  </si>
  <si>
    <t>Monodnaviria;Shotokuvirae;Cressdnaviricota;Repensiviricetes;Geplafuvirales;Geminiviridae;Begomovirus;Tomato interveinal chlorosis virus</t>
  </si>
  <si>
    <t>Monodnaviria;Shotokuvirae;Cressdnaviricota;Repensiviricetes;Geplafuvirales;Geminiviridae;Begomovirus;Begomovirus solanumintervenae</t>
  </si>
  <si>
    <t>Monodnaviria;Shotokuvirae;Cressdnaviricota;Repensiviricetes;Geplafuvirales;Geminiviridae;Begomovirus;Tomato leaf curl Iran virus</t>
  </si>
  <si>
    <t>Monodnaviria;Shotokuvirae;Cressdnaviricota;Repensiviricetes;Geplafuvirales;Geminiviridae;Begomovirus;Begomovirus solanumiranense</t>
  </si>
  <si>
    <t>Monodnaviria;Shotokuvirae;Cressdnaviricota;Repensiviricetes;Geplafuvirales;Geminiviridae;Begomovirus;Tomato leaf curl Japan virus</t>
  </si>
  <si>
    <t>Monodnaviria;Shotokuvirae;Cressdnaviricota;Repensiviricetes;Geplafuvirales;Geminiviridae;Begomovirus;Begomovirus solanumjapanense</t>
  </si>
  <si>
    <t>Monodnaviria;Shotokuvirae;Cressdnaviricota;Repensiviricetes;Geplafuvirales;Geminiviridae;Begomovirus;Tomato leaf curl Java virus</t>
  </si>
  <si>
    <t>Monodnaviria;Shotokuvirae;Cressdnaviricota;Repensiviricetes;Geplafuvirales;Geminiviridae;Begomovirus;Begomovirus solanumjavaense</t>
  </si>
  <si>
    <t>Monodnaviria;Shotokuvirae;Cressdnaviricota;Repensiviricetes;Geplafuvirales;Geminiviridae;Begomovirus;Tomato leaf curl Joydebpur virus</t>
  </si>
  <si>
    <t>Monodnaviria;Shotokuvirae;Cressdnaviricota;Repensiviricetes;Geplafuvirales;Geminiviridae;Begomovirus;Begomovirus solanumjoydebpurense</t>
  </si>
  <si>
    <t>Monodnaviria;Shotokuvirae;Cressdnaviricota;Repensiviricetes;Geplafuvirales;Geminiviridae;Begomovirus;Tomato severe leaf curl Kalakada virus</t>
  </si>
  <si>
    <t>Monodnaviria;Shotokuvirae;Cressdnaviricota;Repensiviricetes;Geplafuvirales;Geminiviridae;Begomovirus;Begomovirus solanumkalakadaense</t>
  </si>
  <si>
    <t>Monodnaviria;Shotokuvirae;Cressdnaviricota;Repensiviricetes;Geplafuvirales;Geminiviridae;Begomovirus;Tomato leaf curl Karnataka virus</t>
  </si>
  <si>
    <t>Monodnaviria;Shotokuvirae;Cressdnaviricota;Repensiviricetes;Geplafuvirales;Geminiviridae;Begomovirus;Begomovirus solanumkarnatakaense</t>
  </si>
  <si>
    <t>Monodnaviria;Shotokuvirae;Cressdnaviricota;Repensiviricetes;Geplafuvirales;Geminiviridae;Begomovirus;Tomato leaf curl Karnataka virus 2</t>
  </si>
  <si>
    <t>Monodnaviria;Shotokuvirae;Cressdnaviricota;Repensiviricetes;Geplafuvirales;Geminiviridae;Begomovirus;Begomovirus solanumkarnatakasecundi</t>
  </si>
  <si>
    <t>Monodnaviria;Shotokuvirae;Cressdnaviricota;Repensiviricetes;Geplafuvirales;Geminiviridae;Begomovirus;Tomato leaf curl Karnataka virus 3</t>
  </si>
  <si>
    <t>Monodnaviria;Shotokuvirae;Cressdnaviricota;Repensiviricetes;Geplafuvirales;Geminiviridae;Begomovirus;Begomovirus solanumkarnatakatertii</t>
  </si>
  <si>
    <t>Monodnaviria;Shotokuvirae;Cressdnaviricota;Repensiviricetes;Geplafuvirales;Geminiviridae;Begomovirus;Tomato leaf curl Kerala virus</t>
  </si>
  <si>
    <t>Monodnaviria;Shotokuvirae;Cressdnaviricota;Repensiviricetes;Geplafuvirales;Geminiviridae;Begomovirus;Begomovirus solanumkeralaense</t>
  </si>
  <si>
    <t>Monodnaviria;Shotokuvirae;Cressdnaviricota;Repensiviricetes;Geplafuvirales;Geminiviridae;Begomovirus;Tomato leaf curl Kunene virus</t>
  </si>
  <si>
    <t>Monodnaviria;Shotokuvirae;Cressdnaviricota;Repensiviricetes;Geplafuvirales;Geminiviridae;Begomovirus;Begomovirus solanumkunenense</t>
  </si>
  <si>
    <t>Monodnaviria;Shotokuvirae;Cressdnaviricota;Repensiviricetes;Geplafuvirales;Geminiviridae;Begomovirus;Tomato leaf curl Laos virus</t>
  </si>
  <si>
    <t>Monodnaviria;Shotokuvirae;Cressdnaviricota;Repensiviricetes;Geplafuvirales;Geminiviridae;Begomovirus;Begomovirus solanumlaosense</t>
  </si>
  <si>
    <t>Monodnaviria;Shotokuvirae;Cressdnaviricota;Repensiviricetes;Geplafuvirales;Geminiviridae;Begomovirus;Tomato chino La Paz virus</t>
  </si>
  <si>
    <t>Monodnaviria;Shotokuvirae;Cressdnaviricota;Repensiviricetes;Geplafuvirales;Geminiviridae;Begomovirus;Begomovirus solanumlapazense</t>
  </si>
  <si>
    <t>Monodnaviria;Shotokuvirae;Cressdnaviricota;Repensiviricetes;Geplafuvirales;Geminiviridae;Begomovirus;Tomato latent virus</t>
  </si>
  <si>
    <t>Monodnaviria;Shotokuvirae;Cressdnaviricota;Repensiviricetes;Geplafuvirales;Geminiviridae;Begomovirus;Begomovirus solanumlatentis</t>
  </si>
  <si>
    <t>Monodnaviria;Shotokuvirae;Cressdnaviricota;Repensiviricetes;Geplafuvirales;Geminiviridae;Begomovirus;Tomato leaf curl Liwa virus</t>
  </si>
  <si>
    <t>Monodnaviria;Shotokuvirae;Cressdnaviricota;Repensiviricetes;Geplafuvirales;Geminiviridae;Begomovirus;Begomovirus solanumliwaense</t>
  </si>
  <si>
    <t>Monodnaviria;Shotokuvirae;Cressdnaviricota;Repensiviricetes;Geplafuvirales;Geminiviridae;Begomovirus;Tomato leaf curl Madagascar virus</t>
  </si>
  <si>
    <t>Monodnaviria;Shotokuvirae;Cressdnaviricota;Repensiviricetes;Geplafuvirales;Geminiviridae;Begomovirus;Begomovirus solanummadagascarense</t>
  </si>
  <si>
    <t>Monodnaviria;Shotokuvirae;Cressdnaviricota;Repensiviricetes;Geplafuvirales;Geminiviridae;Begomovirus;Tomato leaf curl Mahe virus</t>
  </si>
  <si>
    <t>Monodnaviria;Shotokuvirae;Cressdnaviricota;Repensiviricetes;Geplafuvirales;Geminiviridae;Begomovirus;Begomovirus solanummahense</t>
  </si>
  <si>
    <t>Monodnaviria;Shotokuvirae;Cressdnaviricota;Repensiviricetes;Geplafuvirales;Geminiviridae;Begomovirus;Tomato leaf curl Malaysia virus</t>
  </si>
  <si>
    <t>Monodnaviria;Shotokuvirae;Cressdnaviricota;Repensiviricetes;Geplafuvirales;Geminiviridae;Begomovirus;Begomovirus solanummalaysiaense</t>
  </si>
  <si>
    <t>Monodnaviria;Shotokuvirae;Cressdnaviricota;Repensiviricetes;Geplafuvirales;Geminiviridae;Begomovirus;Tomato leaf curl Mali virus</t>
  </si>
  <si>
    <t>Monodnaviria;Shotokuvirae;Cressdnaviricota;Repensiviricetes;Geplafuvirales;Geminiviridae;Begomovirus;Begomovirus solanummaliense</t>
  </si>
  <si>
    <t>Monodnaviria;Shotokuvirae;Cressdnaviricota;Repensiviricetes;Geplafuvirales;Geminiviridae;Begomovirus;Tomato leaf curl Mindanao virus</t>
  </si>
  <si>
    <t>Monodnaviria;Shotokuvirae;Cressdnaviricota;Repensiviricetes;Geplafuvirales;Geminiviridae;Begomovirus;Begomovirus solanummindanaoense</t>
  </si>
  <si>
    <t>Monodnaviria;Shotokuvirae;Cressdnaviricota;Repensiviricetes;Geplafuvirales;Geminiviridae;Begomovirus;Tomato leaf curl Moheli virus</t>
  </si>
  <si>
    <t>Monodnaviria;Shotokuvirae;Cressdnaviricota;Repensiviricetes;Geplafuvirales;Geminiviridae;Begomovirus;Begomovirus solanummoheliense</t>
  </si>
  <si>
    <t>Monodnaviria;Shotokuvirae;Cressdnaviricota;Repensiviricetes;Geplafuvirales;Geminiviridae;Begomovirus;Tomato bright yellow mosaic virus</t>
  </si>
  <si>
    <t>Monodnaviria;Shotokuvirae;Cressdnaviricota;Repensiviricetes;Geplafuvirales;Geminiviridae;Begomovirus;Begomovirus solanummusivi</t>
  </si>
  <si>
    <t>Monodnaviria;Shotokuvirae;Cressdnaviricota;Repensiviricetes;Geplafuvirales;Geminiviridae;Begomovirus;Tomato leaf curl Namakely virus</t>
  </si>
  <si>
    <t>Monodnaviria;Shotokuvirae;Cressdnaviricota;Repensiviricetes;Geplafuvirales;Geminiviridae;Begomovirus;Begomovirus solanumnamakelyense</t>
  </si>
  <si>
    <t>Monodnaviria;Shotokuvirae;Cressdnaviricota;Repensiviricetes;Geplafuvirales;Geminiviridae;Begomovirus;Tomato leaf curl Nigeria virus</t>
  </si>
  <si>
    <t>Monodnaviria;Shotokuvirae;Cressdnaviricota;Repensiviricetes;Geplafuvirales;Geminiviridae;Begomovirus;Begomovirus solanumnigeriaense</t>
  </si>
  <si>
    <t>Monodnaviria;Shotokuvirae;Cressdnaviricota;Repensiviricetes;Geplafuvirales;Geminiviridae;Begomovirus;Tomato leaf curl Palampur virus</t>
  </si>
  <si>
    <t>Monodnaviria;Shotokuvirae;Cressdnaviricota;Repensiviricetes;Geplafuvirales;Geminiviridae;Begomovirus;Begomovirus solanumpalampurense</t>
  </si>
  <si>
    <t>Monodnaviria;Shotokuvirae;Cressdnaviricota;Repensiviricetes;Geplafuvirales;Geminiviridae;Begomovirus;Tomato chlorotic leaf curl virus</t>
  </si>
  <si>
    <t>Monodnaviria;Shotokuvirae;Cressdnaviricota;Repensiviricetes;Geplafuvirales;Geminiviridae;Begomovirus;Begomovirus solanumpallidi</t>
  </si>
  <si>
    <t>Monodnaviria;Shotokuvirae;Cressdnaviricota;Repensiviricetes;Geplafuvirales;Geminiviridae;Begomovirus;Tomato chlorotic leaf distortion virus</t>
  </si>
  <si>
    <t>Monodnaviria;Shotokuvirae;Cressdnaviricota;Repensiviricetes;Geplafuvirales;Geminiviridae;Begomovirus;Begomovirus solanumpallidicontorsionis</t>
  </si>
  <si>
    <t>Monodnaviria;Shotokuvirae;Cressdnaviricota;Repensiviricetes;Geplafuvirales;Geminiviridae;Begomovirus;Tomato chlorotic mottle Guyane virus</t>
  </si>
  <si>
    <t>Monodnaviria;Shotokuvirae;Cressdnaviricota;Repensiviricetes;Geplafuvirales;Geminiviridae;Begomovirus;Begomovirus solanumpallidiguyanense</t>
  </si>
  <si>
    <t>Monodnaviria;Shotokuvirae;Cressdnaviricota;Repensiviricetes;Geplafuvirales;Geminiviridae;Begomovirus;Tomato chlorotic mottle virus</t>
  </si>
  <si>
    <t>Monodnaviria;Shotokuvirae;Cressdnaviricota;Repensiviricetes;Geplafuvirales;Geminiviridae;Begomovirus;Begomovirus solanumpallidivariati</t>
  </si>
  <si>
    <t>Monodnaviria;Shotokuvirae;Cressdnaviricota;Repensiviricetes;Geplafuvirales;Geminiviridae;Begomovirus;Tomato dwarf leaf virus</t>
  </si>
  <si>
    <t>Monodnaviria;Shotokuvirae;Cressdnaviricota;Repensiviricetes;Geplafuvirales;Geminiviridae;Begomovirus;Begomovirus solanumparvi</t>
  </si>
  <si>
    <t>Monodnaviria;Shotokuvirae;Cressdnaviricota;Repensiviricetes;Geplafuvirales;Geminiviridae;Begomovirus;Tomato leaf curl Patna virus</t>
  </si>
  <si>
    <t>Monodnaviria;Shotokuvirae;Cressdnaviricota;Repensiviricetes;Geplafuvirales;Geminiviridae;Begomovirus;Begomovirus solanumpatnaense</t>
  </si>
  <si>
    <t>Monodnaviria;Shotokuvirae;Cressdnaviricota;Repensiviricetes;Geplafuvirales;Geminiviridae;Begomovirus;Tomato leaf curl Philippines virus</t>
  </si>
  <si>
    <t>Monodnaviria;Shotokuvirae;Cressdnaviricota;Repensiviricetes;Geplafuvirales;Geminiviridae;Begomovirus;Begomovirus solanumphilippinense</t>
  </si>
  <si>
    <t>Monodnaviria;Shotokuvirae;Cressdnaviricota;Repensiviricetes;Geplafuvirales;Geminiviridae;Begomovirus;Tomato leaf curl Pune virus</t>
  </si>
  <si>
    <t>Monodnaviria;Shotokuvirae;Cressdnaviricota;Repensiviricetes;Geplafuvirales;Geminiviridae;Begomovirus;Begomovirus solanumpunense</t>
  </si>
  <si>
    <t>Monodnaviria;Shotokuvirae;Cressdnaviricota;Repensiviricetes;Geplafuvirales;Geminiviridae;Begomovirus;Tomato leaf curl Rajasthan virus</t>
  </si>
  <si>
    <t>Monodnaviria;Shotokuvirae;Cressdnaviricota;Repensiviricetes;Geplafuvirales;Geminiviridae;Begomovirus;Begomovirus solanumrajasthanense</t>
  </si>
  <si>
    <t>Monodnaviria;Shotokuvirae;Cressdnaviricota;Repensiviricetes;Geplafuvirales;Geminiviridae;Begomovirus;Tomato curly stunt virus</t>
  </si>
  <si>
    <t>Monodnaviria;Shotokuvirae;Cressdnaviricota;Repensiviricetes;Geplafuvirales;Geminiviridae;Begomovirus;Begomovirus solanumretorridi</t>
  </si>
  <si>
    <t>Monodnaviria;Shotokuvirae;Cressdnaviricota;Repensiviricetes;Geplafuvirales;Geminiviridae;Begomovirus;Tomato rugose mosaic virus</t>
  </si>
  <si>
    <t>Monodnaviria;Shotokuvirae;Cressdnaviricota;Repensiviricetes;Geplafuvirales;Geminiviridae;Begomovirus;Begomovirus solanumrugosi</t>
  </si>
  <si>
    <t>Monodnaviria;Shotokuvirae;Cressdnaviricota;Repensiviricetes;Geplafuvirales;Geminiviridae;Begomovirus;Tomato rugose yellow leaf curl virus</t>
  </si>
  <si>
    <t>Monodnaviria;Shotokuvirae;Cressdnaviricota;Repensiviricetes;Geplafuvirales;Geminiviridae;Begomovirus;Begomovirus solanumrugosiflavi</t>
  </si>
  <si>
    <t>Monodnaviria;Shotokuvirae;Cressdnaviricota;Repensiviricetes;Geplafuvirales;Geminiviridae;Begomovirus;Tomato severe leaf curl virus</t>
  </si>
  <si>
    <t>Monodnaviria;Shotokuvirae;Cressdnaviricota;Repensiviricetes;Geplafuvirales;Geminiviridae;Begomovirus;Begomovirus solanumseveri</t>
  </si>
  <si>
    <t>Monodnaviria;Shotokuvirae;Cressdnaviricota;Repensiviricetes;Geplafuvirales;Geminiviridae;Begomovirus;Tomato mosaic severe dwarf virus</t>
  </si>
  <si>
    <t>Monodnaviria;Shotokuvirae;Cressdnaviricota;Repensiviricetes;Geplafuvirales;Geminiviridae;Begomovirus;Begomovirus solanumseverparvi</t>
  </si>
  <si>
    <t>Monodnaviria;Shotokuvirae;Cressdnaviricota;Repensiviricetes;Geplafuvirales;Geminiviridae;Begomovirus;Tomato severe rugose virus</t>
  </si>
  <si>
    <t>Monodnaviria;Shotokuvirae;Cressdnaviricota;Repensiviricetes;Geplafuvirales;Geminiviridae;Begomovirus;Begomovirus solanumseverugosi</t>
  </si>
  <si>
    <t>Monodnaviria;Shotokuvirae;Cressdnaviricota;Repensiviricetes;Geplafuvirales;Geminiviridae;Begomovirus;Tomato leaf curl Seychelles virus</t>
  </si>
  <si>
    <t>Monodnaviria;Shotokuvirae;Cressdnaviricota;Repensiviricetes;Geplafuvirales;Geminiviridae;Begomovirus;Begomovirus solanumseychellesense</t>
  </si>
  <si>
    <t>Monodnaviria;Shotokuvirae;Cressdnaviricota;Repensiviricetes;Geplafuvirales;Geminiviridae;Begomovirus;Tomato leaf curl Sinaloa virus</t>
  </si>
  <si>
    <t>Monodnaviria;Shotokuvirae;Cressdnaviricota;Repensiviricetes;Geplafuvirales;Geminiviridae;Begomovirus;Begomovirus solanumsinaloaense</t>
  </si>
  <si>
    <t>Monodnaviria;Shotokuvirae;Cressdnaviricota;Repensiviricetes;Geplafuvirales;Geminiviridae;Begomovirus;Tomato leaf curl Sri Lanka virus</t>
  </si>
  <si>
    <t>Monodnaviria;Shotokuvirae;Cressdnaviricota;Repensiviricetes;Geplafuvirales;Geminiviridae;Begomovirus;Begomovirus solanumsrilankaense</t>
  </si>
  <si>
    <t>Monodnaviria;Shotokuvirae;Cressdnaviricota;Repensiviricetes;Geplafuvirales;Geminiviridae;Begomovirus;Tomato leaf curl Sudan virus</t>
  </si>
  <si>
    <t>Monodnaviria;Shotokuvirae;Cressdnaviricota;Repensiviricetes;Geplafuvirales;Geminiviridae;Begomovirus;Begomovirus solanumsudanense</t>
  </si>
  <si>
    <t>Monodnaviria;Shotokuvirae;Cressdnaviricota;Repensiviricetes;Geplafuvirales;Geminiviridae;Begomovirus;Tomato leaf curl Sulawesi virus</t>
  </si>
  <si>
    <t>Monodnaviria;Shotokuvirae;Cressdnaviricota;Repensiviricetes;Geplafuvirales;Geminiviridae;Begomovirus;Begomovirus solanumsulawesiense</t>
  </si>
  <si>
    <t>Monodnaviria;Shotokuvirae;Cressdnaviricota;Repensiviricetes;Geplafuvirales;Geminiviridae;Begomovirus;Tomato mottle Taino virus</t>
  </si>
  <si>
    <t>Monodnaviria;Shotokuvirae;Cressdnaviricota;Repensiviricetes;Geplafuvirales;Geminiviridae;Begomovirus;Begomovirus solanumtainoense</t>
  </si>
  <si>
    <t>Monodnaviria;Shotokuvirae;Cressdnaviricota;Repensiviricetes;Geplafuvirales;Geminiviridae;Begomovirus;Tomato leaf curl Taiwan virus</t>
  </si>
  <si>
    <t>Monodnaviria;Shotokuvirae;Cressdnaviricota;Repensiviricetes;Geplafuvirales;Geminiviridae;Begomovirus;Begomovirus solanumtaiwanense</t>
  </si>
  <si>
    <t>Monodnaviria;Shotokuvirae;Cressdnaviricota;Repensiviricetes;Geplafuvirales;Geminiviridae;Begomovirus;Tomato leaf curl Tanzania virus</t>
  </si>
  <si>
    <t>Monodnaviria;Shotokuvirae;Cressdnaviricota;Repensiviricetes;Geplafuvirales;Geminiviridae;Begomovirus;Begomovirus solanumtanzaniaense</t>
  </si>
  <si>
    <t>Monodnaviria;Shotokuvirae;Cressdnaviricota;Repensiviricetes;Geplafuvirales;Geminiviridae;Begomovirus;Tomato mild mosaic virus</t>
  </si>
  <si>
    <t>Monodnaviria;Shotokuvirae;Cressdnaviricota;Repensiviricetes;Geplafuvirales;Geminiviridae;Begomovirus;Begomovirus solanumtenuimusivi</t>
  </si>
  <si>
    <t>Monodnaviria;Shotokuvirae;Cressdnaviricota;Repensiviricetes;Geplafuvirales;Geminiviridae;Begomovirus;Tomato leaf curl Toliara virus</t>
  </si>
  <si>
    <t>Monodnaviria;Shotokuvirae;Cressdnaviricota;Repensiviricetes;Geplafuvirales;Geminiviridae;Begomovirus;Begomovirus solanumtoliaraense</t>
  </si>
  <si>
    <t>Monodnaviria;Shotokuvirae;Cressdnaviricota;Repensiviricetes;Geplafuvirales;Geminiviridae;Begomovirus;Tomato twisted leaf virus</t>
  </si>
  <si>
    <t>Monodnaviria;Shotokuvirae;Cressdnaviricota;Repensiviricetes;Geplafuvirales;Geminiviridae;Begomovirus;Begomovirus solanumtortilis</t>
  </si>
  <si>
    <t>Monodnaviria;Shotokuvirae;Cressdnaviricota;Repensiviricetes;Geplafuvirales;Geminiviridae;Begomovirus;Tomato enation leaf curl virus</t>
  </si>
  <si>
    <t>Monodnaviria;Shotokuvirae;Cressdnaviricota;Repensiviricetes;Geplafuvirales;Geminiviridae;Begomovirus;Begomovirus solanumtumoris</t>
  </si>
  <si>
    <t>Monodnaviria;Shotokuvirae;Cressdnaviricota;Repensiviricetes;Geplafuvirales;Geminiviridae;Begomovirus;Tomato leaf curl Uganda virus</t>
  </si>
  <si>
    <t>Monodnaviria;Shotokuvirae;Cressdnaviricota;Repensiviricetes;Geplafuvirales;Geminiviridae;Begomovirus;Begomovirus solanumugandaense</t>
  </si>
  <si>
    <t>Monodnaviria;Shotokuvirae;Cressdnaviricota;Repensiviricetes;Geplafuvirales;Geminiviridae;Begomovirus;Tomato mottle virus</t>
  </si>
  <si>
    <t>Monodnaviria;Shotokuvirae;Cressdnaviricota;Repensiviricetes;Geplafuvirales;Geminiviridae;Begomovirus;Begomovirus solanumvariati</t>
  </si>
  <si>
    <t>Monodnaviria;Shotokuvirae;Cressdnaviricota;Repensiviricetes;Geplafuvirales;Geminiviridae;Begomovirus;Tomato mottle leaf curl virus</t>
  </si>
  <si>
    <t>Monodnaviria;Shotokuvirae;Cressdnaviricota;Repensiviricetes;Geplafuvirales;Geminiviridae;Begomovirus;Begomovirus solanumvariatuminvolutionis</t>
  </si>
  <si>
    <t>Monodnaviria;Shotokuvirae;Cressdnaviricota;Repensiviricetes;Geplafuvirales;Geminiviridae;Begomovirus;Tomato vein clearing leaf deformation virus</t>
  </si>
  <si>
    <t>Monodnaviria;Shotokuvirae;Cressdnaviricota;Repensiviricetes;Geplafuvirales;Geminiviridae;Begomovirus;Begomovirus solanumvenadepravationis</t>
  </si>
  <si>
    <t>Monodnaviria;Shotokuvirae;Cressdnaviricota;Repensiviricetes;Geplafuvirales;Geminiviridae;Begomovirus;Tomato leaf curl Vietnam virus</t>
  </si>
  <si>
    <t>Monodnaviria;Shotokuvirae;Cressdnaviricota;Repensiviricetes;Geplafuvirales;Geminiviridae;Begomovirus;Begomovirus solanumvietnamense</t>
  </si>
  <si>
    <t>Monodnaviria;Shotokuvirae;Cressdnaviricota;Repensiviricetes;Geplafuvirales;Geminiviridae;Begomovirus;Tomato leaf curl purple vein virus</t>
  </si>
  <si>
    <t>Monodnaviria;Shotokuvirae;Cressdnaviricota;Repensiviricetes;Geplafuvirales;Geminiviridae;Begomovirus;Begomovirus solanumviolavenae</t>
  </si>
  <si>
    <t>Monodnaviria;Shotokuvirae;Cressdnaviricota;Repensiviricetes;Geplafuvirales;Geminiviridae;Begomovirus;Tomato common mosaic virus</t>
  </si>
  <si>
    <t>Monodnaviria;Shotokuvirae;Cressdnaviricota;Repensiviricetes;Geplafuvirales;Geminiviridae;Begomovirus;Begomovirus solanumvulgarismusivi</t>
  </si>
  <si>
    <t>Monodnaviria;Shotokuvirae;Cressdnaviricota;Repensiviricetes;Geplafuvirales;Geminiviridae;Begomovirus;Spilanthes yellow vein virus</t>
  </si>
  <si>
    <t>Monodnaviria;Shotokuvirae;Cressdnaviricota;Repensiviricetes;Geplafuvirales;Geminiviridae;Begomovirus;Begomovirus spilanthis</t>
  </si>
  <si>
    <t>Monodnaviria;Shotokuvirae;Cressdnaviricota;Repensiviricetes;Geplafuvirales;Geminiviridae;Begomovirus;Spinach yellow vein virus</t>
  </si>
  <si>
    <t>Monodnaviria;Shotokuvirae;Cressdnaviricota;Repensiviricetes;Geplafuvirales;Geminiviridae;Begomovirus;Begomovirus spinaciae</t>
  </si>
  <si>
    <t>Monodnaviria;Shotokuvirae;Cressdnaviricota;Repensiviricetes;Geplafuvirales;Geminiviridae;Begomovirus;Stachytarpheta leaf curl virus</t>
  </si>
  <si>
    <t>Monodnaviria;Shotokuvirae;Cressdnaviricota;Repensiviricetes;Geplafuvirales;Geminiviridae;Begomovirus;Begomovirus stachytarphetae</t>
  </si>
  <si>
    <t>Monodnaviria;Shotokuvirae;Cressdnaviricota;Repensiviricetes;Geplafuvirales;Geminiviridae;Begomovirus;Sri Lankan cassava mosaic virus</t>
  </si>
  <si>
    <t>Monodnaviria;Shotokuvirae;Cressdnaviricota;Repensiviricetes;Geplafuvirales;Geminiviridae;Begomovirus;Begomovirus stanleyi</t>
  </si>
  <si>
    <t>Monodnaviria;Shotokuvirae;Cressdnaviricota;Repensiviricetes;Geplafuvirales;Geminiviridae;Begomovirus;Synedrella yellow vein clearing virus</t>
  </si>
  <si>
    <t>Monodnaviria;Shotokuvirae;Cressdnaviricota;Repensiviricetes;Geplafuvirales;Geminiviridae;Begomovirus;Begomovirus synedrellae</t>
  </si>
  <si>
    <t>Monodnaviria;Shotokuvirae;Cressdnaviricota;Repensiviricetes;Geplafuvirales;Geminiviridae;Begomovirus;Telfairia golden mosaic virus</t>
  </si>
  <si>
    <t>Monodnaviria;Shotokuvirae;Cressdnaviricota;Repensiviricetes;Geplafuvirales;Geminiviridae;Begomovirus;Begomovirus telfairiae</t>
  </si>
  <si>
    <t>Monodnaviria;Shotokuvirae;Cressdnaviricota;Repensiviricetes;Geplafuvirales;Geminiviridae;Begomovirus;Triumfetta yellow mosaic virus</t>
  </si>
  <si>
    <t>Monodnaviria;Shotokuvirae;Cressdnaviricota;Repensiviricetes;Geplafuvirales;Geminiviridae;Begomovirus;Begomovirus triumfettae</t>
  </si>
  <si>
    <t>Monodnaviria;Shotokuvirae;Cressdnaviricota;Repensiviricetes;Geplafuvirales;Geminiviridae;Begomovirus;Potato yellow mosaic virus</t>
  </si>
  <si>
    <t>Monodnaviria;Shotokuvirae;Cressdnaviricota;Repensiviricetes;Geplafuvirales;Geminiviridae;Begomovirus;Begomovirus tuberosi</t>
  </si>
  <si>
    <t>Monodnaviria;Shotokuvirae;Cressdnaviricota;Repensiviricetes;Geplafuvirales;Geminiviridae;Begomovirus;Potato yellow mosaic Panama virus</t>
  </si>
  <si>
    <t>Monodnaviria;Shotokuvirae;Cressdnaviricota;Repensiviricetes;Geplafuvirales;Geminiviridae;Begomovirus;Begomovirus tuberosumpanamaense</t>
  </si>
  <si>
    <t>Monodnaviria;Shotokuvirae;Cressdnaviricota;Repensiviricetes;Geplafuvirales;Geminiviridae;Begomovirus;Verbena mottle virus</t>
  </si>
  <si>
    <t>Monodnaviria;Shotokuvirae;Cressdnaviricota;Repensiviricetes;Geplafuvirales;Geminiviridae;Begomovirus;Begomovirus verbenae</t>
  </si>
  <si>
    <t>Monodnaviria;Shotokuvirae;Cressdnaviricota;Repensiviricetes;Geplafuvirales;Geminiviridae;Begomovirus;Vernonia crinkle virus</t>
  </si>
  <si>
    <t>Monodnaviria;Shotokuvirae;Cressdnaviricota;Repensiviricetes;Geplafuvirales;Geminiviridae;Begomovirus;Begomovirus vernoniae</t>
  </si>
  <si>
    <t>Monodnaviria;Shotokuvirae;Cressdnaviricota;Repensiviricetes;Geplafuvirales;Geminiviridae;Begomovirus;Vernonia yellow vein Fujian virus</t>
  </si>
  <si>
    <t>Monodnaviria;Shotokuvirae;Cressdnaviricota;Repensiviricetes;Geplafuvirales;Geminiviridae;Begomovirus;Begomovirus vernoniafujianense</t>
  </si>
  <si>
    <t>Monodnaviria;Shotokuvirae;Cressdnaviricota;Repensiviricetes;Geplafuvirales;Geminiviridae;Begomovirus;Vernonia yellow vein virus</t>
  </si>
  <si>
    <t>Monodnaviria;Shotokuvirae;Cressdnaviricota;Repensiviricetes;Geplafuvirales;Geminiviridae;Begomovirus;Begomovirus vernoniavenae</t>
  </si>
  <si>
    <t>Monodnaviria;Shotokuvirae;Cressdnaviricota;Repensiviricetes;Geplafuvirales;Geminiviridae;Begomovirus;Vigna yellow mosaic virus</t>
  </si>
  <si>
    <t>Monodnaviria;Shotokuvirae;Cressdnaviricota;Repensiviricetes;Geplafuvirales;Geminiviridae;Begomovirus;Begomovirus vignae</t>
  </si>
  <si>
    <t>Monodnaviria;Shotokuvirae;Cressdnaviricota;Repensiviricetes;Geplafuvirales;Geminiviridae;Begomovirus;Cowpea bright yellow mosaic virus</t>
  </si>
  <si>
    <t>Monodnaviria;Shotokuvirae;Cressdnaviricota;Repensiviricetes;Geplafuvirales;Geminiviridae;Begomovirus;Begomovirus vignaflavi</t>
  </si>
  <si>
    <t>Monodnaviria;Shotokuvirae;Cressdnaviricota;Repensiviricetes;Geplafuvirales;Geminiviridae;Begomovirus;Cowpea golden mosaic virus</t>
  </si>
  <si>
    <t>Monodnaviria;Shotokuvirae;Cressdnaviricota;Repensiviricetes;Geplafuvirales;Geminiviridae;Begomovirus;Begomovirus vignamusivi</t>
  </si>
  <si>
    <t>Monodnaviria;Shotokuvirae;Cressdnaviricota;Repensiviricetes;Geplafuvirales;Geminiviridae;Begomovirus;Mungbean yellow mosaic virus</t>
  </si>
  <si>
    <t>Monodnaviria;Shotokuvirae;Cressdnaviricota;Repensiviricetes;Geplafuvirales;Geminiviridae;Begomovirus;Begomovirus vignaradiatae</t>
  </si>
  <si>
    <t>Monodnaviria;Shotokuvirae;Cressdnaviricota;Repensiviricetes;Geplafuvirales;Geminiviridae;Begomovirus;Mungbean yellow mosaic India virus</t>
  </si>
  <si>
    <t>Monodnaviria;Shotokuvirae;Cressdnaviricota;Repensiviricetes;Geplafuvirales;Geminiviridae;Begomovirus;Begomovirus vignaradiataindiaense</t>
  </si>
  <si>
    <t>Monodnaviria;Shotokuvirae;Cressdnaviricota;Repensiviricetes;Geplafuvirales;Geminiviridae;Begomovirus;Vinca leaf curl virus</t>
  </si>
  <si>
    <t>Monodnaviria;Shotokuvirae;Cressdnaviricota;Repensiviricetes;Geplafuvirales;Geminiviridae;Begomovirus;Begomovirus vincae</t>
  </si>
  <si>
    <t>Monodnaviria;Shotokuvirae;Cressdnaviricota;Repensiviricetes;Geplafuvirales;Geminiviridae;Begomovirus;Common bean severe mosaic virus</t>
  </si>
  <si>
    <t>Monodnaviria;Shotokuvirae;Cressdnaviricota;Repensiviricetes;Geplafuvirales;Geminiviridae;Begomovirus;Begomovirus vulgaris</t>
  </si>
  <si>
    <t>Monodnaviria;Shotokuvirae;Cressdnaviricota;Repensiviricetes;Geplafuvirales;Geminiviridae;Begomovirus;South African cassava mosaic virus</t>
  </si>
  <si>
    <t>Monodnaviria;Shotokuvirae;Cressdnaviricota;Repensiviricetes;Geplafuvirales;Geminiviridae;Begomovirus;Begomovirus warburgi</t>
  </si>
  <si>
    <t>Monodnaviria;Shotokuvirae;Cressdnaviricota;Repensiviricetes;Geplafuvirales;Geminiviridae;Begomovirus;Wissadula golden mosaic virus</t>
  </si>
  <si>
    <t>Monodnaviria;Shotokuvirae;Cressdnaviricota;Repensiviricetes;Geplafuvirales;Geminiviridae;Begomovirus;Begomovirus wissadulae</t>
  </si>
  <si>
    <t>Monodnaviria;Shotokuvirae;Cressdnaviricota;Repensiviricetes;Geplafuvirales;Geminiviridae;Begomovirus;Wissadula yellow mosaic virus</t>
  </si>
  <si>
    <t>Monodnaviria;Shotokuvirae;Cressdnaviricota;Repensiviricetes;Geplafuvirales;Geminiviridae;Begomovirus;Begomovirus wissadulaflavi</t>
  </si>
  <si>
    <t>Monodnaviria;Shotokuvirae;Cressdnaviricota;Repensiviricetes;Geplafuvirales;Geminiviridae;Begomovirus;Oxalis yellow vein virus</t>
  </si>
  <si>
    <t>Monodnaviria;Shotokuvirae;Cressdnaviricota;Repensiviricetes;Geplafuvirales;Geminiviridae;Begomovirus;iBegomovirus oxalisflavi</t>
  </si>
  <si>
    <t>Monodnaviria;Shotokuvirae;Cressdnaviricota;Repensiviricetes;Geplafuvirales;Geminiviridae;Capulavirus;Euphorbia caput-medusae latent virus</t>
  </si>
  <si>
    <t>Monodnaviria;Shotokuvirae;Cressdnaviricota;Repensiviricetes;Geplafuvirales;Geminiviridae;Capulavirus;Capulavirus euphorbiae</t>
  </si>
  <si>
    <t>Monodnaviria;Shotokuvirae;Cressdnaviricota;Repensiviricetes;Geplafuvirales;Geminiviridae;Capulavirus;Alfalfa leaf curl virus</t>
  </si>
  <si>
    <t>Monodnaviria;Shotokuvirae;Cressdnaviricota;Repensiviricetes;Geplafuvirales;Geminiviridae;Capulavirus;Capulavirus medicagonis</t>
  </si>
  <si>
    <t>Monodnaviria;Shotokuvirae;Cressdnaviricota;Repensiviricetes;Geplafuvirales;Geminiviridae;Capulavirus;French bean severe leaf curl virus</t>
  </si>
  <si>
    <t>Monodnaviria;Shotokuvirae;Cressdnaviricota;Repensiviricetes;Geplafuvirales;Geminiviridae;Capulavirus;Capulavirus phaseoli</t>
  </si>
  <si>
    <t>Monodnaviria;Shotokuvirae;Cressdnaviricota;Repensiviricetes;Geplafuvirales;Geminiviridae;Capulavirus;Plantago lanceolata latent virus</t>
  </si>
  <si>
    <t>Monodnaviria;Shotokuvirae;Cressdnaviricota;Repensiviricetes;Geplafuvirales;Geminiviridae;Capulavirus;Capulavirus plantagonis</t>
  </si>
  <si>
    <t>Monodnaviria;Shotokuvirae;Cressdnaviricota;Repensiviricetes;Geplafuvirales;Geminiviridae;Citlodavirus;Paper mulberry leaf curl virus 2</t>
  </si>
  <si>
    <t>Monodnaviria;Shotokuvirae;Cressdnaviricota;Repensiviricetes;Geplafuvirales;Geminiviridae;Citlodavirus;Citlodavirus broussonetiae</t>
  </si>
  <si>
    <t>Monodnaviria;Shotokuvirae;Cressdnaviricota;Repensiviricetes;Geplafuvirales;Geminiviridae;Citlodavirus;Camellia chlorotic dwarf-associated virus</t>
  </si>
  <si>
    <t>Monodnaviria;Shotokuvirae;Cressdnaviricota;Repensiviricetes;Geplafuvirales;Geminiviridae;Citlodavirus;Citlodavirus camelliae</t>
  </si>
  <si>
    <t>Monodnaviria;Shotokuvirae;Cressdnaviricota;Repensiviricetes;Geplafuvirales;Geminiviridae;Citlodavirus;Citrus chlorotic dwarf associated virus</t>
  </si>
  <si>
    <t>Monodnaviria;Shotokuvirae;Cressdnaviricota;Repensiviricetes;Geplafuvirales;Geminiviridae;Citlodavirus;Citlodavirus citri</t>
  </si>
  <si>
    <t>Monodnaviria;Shotokuvirae;Cressdnaviricota;Repensiviricetes;Geplafuvirales;Geminiviridae;Citlodavirus;Passion fruit chlorotic mottle virus</t>
  </si>
  <si>
    <t>Monodnaviria;Shotokuvirae;Cressdnaviricota;Repensiviricetes;Geplafuvirales;Geminiviridae;Citlodavirus;Citlodavirus passiflorae</t>
  </si>
  <si>
    <t>Monodnaviria;Shotokuvirae;Cressdnaviricota;Repensiviricetes;Geplafuvirales;Geminiviridae;Curtovirus;Horseradish curly top virus</t>
  </si>
  <si>
    <t>Monodnaviria;Shotokuvirae;Cressdnaviricota;Repensiviricetes;Geplafuvirales;Geminiviridae;Curtovirus;Curtovirus armoraciae</t>
  </si>
  <si>
    <t>Monodnaviria;Shotokuvirae;Cressdnaviricota;Repensiviricetes;Geplafuvirales;Geminiviridae;Curtovirus;Beet curly top virus</t>
  </si>
  <si>
    <t>Monodnaviria;Shotokuvirae;Cressdnaviricota;Repensiviricetes;Geplafuvirales;Geminiviridae;Curtovirus;Curtovirus betae</t>
  </si>
  <si>
    <t>Monodnaviria;Shotokuvirae;Cressdnaviricota;Repensiviricetes;Geplafuvirales;Geminiviridae;Curtovirus;Spinach severe curly top virus</t>
  </si>
  <si>
    <t>Monodnaviria;Shotokuvirae;Cressdnaviricota;Repensiviricetes;Geplafuvirales;Geminiviridae;Curtovirus;Curtovirus spinaciae</t>
  </si>
  <si>
    <t>Monodnaviria;Shotokuvirae;Cressdnaviricota;Repensiviricetes;Geplafuvirales;Geminiviridae;Eragrovirus;Eragrostis curvula streak virus</t>
  </si>
  <si>
    <t>Monodnaviria;Shotokuvirae;Cressdnaviricota;Repensiviricetes;Geplafuvirales;Geminiviridae;Eragrovirus;Eragrovirus curvulae</t>
  </si>
  <si>
    <t>Monodnaviria;Shotokuvirae;Cressdnaviricota;Repensiviricetes;Geplafuvirales;Geminiviridae;Grablovirus;Prunus latent virus</t>
  </si>
  <si>
    <t>Monodnaviria;Shotokuvirae;Cressdnaviricota;Repensiviricetes;Geplafuvirales;Geminiviridae;Grablovirus;Grablovirus pruni</t>
  </si>
  <si>
    <t>Monodnaviria;Shotokuvirae;Cressdnaviricota;Repensiviricetes;Geplafuvirales;Geminiviridae;Grablovirus;Wild Vitis latent virus</t>
  </si>
  <si>
    <t>Monodnaviria;Shotokuvirae;Cressdnaviricota;Repensiviricetes;Geplafuvirales;Geminiviridae;Grablovirus;Grablovirus silvestris</t>
  </si>
  <si>
    <t>Monodnaviria;Shotokuvirae;Cressdnaviricota;Repensiviricetes;Geplafuvirales;Geminiviridae;Grablovirus;Grapevine red blotch virus</t>
  </si>
  <si>
    <t>Monodnaviria;Shotokuvirae;Cressdnaviricota;Repensiviricetes;Geplafuvirales;Geminiviridae;Grablovirus;Grablovirus vitis</t>
  </si>
  <si>
    <t>Monodnaviria;Shotokuvirae;Cressdnaviricota;Repensiviricetes;Geplafuvirales;Geminiviridae;Maldovirus;Juncus maritimus geminivirus 1</t>
  </si>
  <si>
    <t>Monodnaviria;Shotokuvirae;Cressdnaviricota;Repensiviricetes;Geplafuvirales;Geminiviridae;Maldovirus;Maldovirus junci</t>
  </si>
  <si>
    <t>Monodnaviria;Shotokuvirae;Cressdnaviricota;Repensiviricetes;Geplafuvirales;Geminiviridae;Maldovirus;Apple geminivirus 1</t>
  </si>
  <si>
    <t>Monodnaviria;Shotokuvirae;Cressdnaviricota;Repensiviricetes;Geplafuvirales;Geminiviridae;Maldovirus;Maldovirus mali</t>
  </si>
  <si>
    <t>Monodnaviria;Shotokuvirae;Cressdnaviricota;Repensiviricetes;Geplafuvirales;Geminiviridae;Maldovirus;Grapevine geminivirus A</t>
  </si>
  <si>
    <t>Monodnaviria;Shotokuvirae;Cressdnaviricota;Repensiviricetes;Geplafuvirales;Geminiviridae;Maldovirus;Maldovirus vitis</t>
  </si>
  <si>
    <t>Monodnaviria;Shotokuvirae;Cressdnaviricota;Repensiviricetes;Geplafuvirales;Geminiviridae;Mastrevirus;Chickpea chlorosis Australia virus</t>
  </si>
  <si>
    <t>Monodnaviria;Shotokuvirae;Cressdnaviricota;Repensiviricetes;Geplafuvirales;Geminiviridae;Mastrevirus;Mastrevirus arietini</t>
  </si>
  <si>
    <t>Monodnaviria;Shotokuvirae;Cressdnaviricota;Repensiviricetes;Geplafuvirales;Geminiviridae;Mastrevirus;Oat dwarf virus</t>
  </si>
  <si>
    <t>Monodnaviria;Shotokuvirae;Cressdnaviricota;Repensiviricetes;Geplafuvirales;Geminiviridae;Mastrevirus;Mastrevirus avenae</t>
  </si>
  <si>
    <t>Monodnaviria;Shotokuvirae;Cressdnaviricota;Repensiviricetes;Geplafuvirales;Geminiviridae;Mastrevirus;Axonopus compressus streak virus</t>
  </si>
  <si>
    <t>Monodnaviria;Shotokuvirae;Cressdnaviricota;Repensiviricetes;Geplafuvirales;Geminiviridae;Mastrevirus;Mastrevirus axonopi</t>
  </si>
  <si>
    <t>Monodnaviria;Shotokuvirae;Cressdnaviricota;Repensiviricetes;Geplafuvirales;Geminiviridae;Mastrevirus;Maize streak Reunion virus</t>
  </si>
  <si>
    <t>Monodnaviria;Shotokuvirae;Cressdnaviricota;Repensiviricetes;Geplafuvirales;Geminiviridae;Mastrevirus;Mastrevirus bourbonense</t>
  </si>
  <si>
    <t>Monodnaviria;Shotokuvirae;Cressdnaviricota;Repensiviricetes;Geplafuvirales;Geminiviridae;Mastrevirus;Bromus catharticus striate mosaic virus</t>
  </si>
  <si>
    <t>Monodnaviria;Shotokuvirae;Cressdnaviricota;Repensiviricetes;Geplafuvirales;Geminiviridae;Mastrevirus;Mastrevirus bromi</t>
  </si>
  <si>
    <t>Monodnaviria;Shotokuvirae;Cressdnaviricota;Repensiviricetes;Geplafuvirales;Geminiviridae;Mastrevirus;Chloris striate mosaic virus</t>
  </si>
  <si>
    <t>Monodnaviria;Shotokuvirae;Cressdnaviricota;Repensiviricetes;Geplafuvirales;Geminiviridae;Mastrevirus;Mastrevirus chloris</t>
  </si>
  <si>
    <t>Monodnaviria;Shotokuvirae;Cressdnaviricota;Repensiviricetes;Geplafuvirales;Geminiviridae;Mastrevirus;Chickpea chlorosis virus</t>
  </si>
  <si>
    <t>Monodnaviria;Shotokuvirae;Cressdnaviricota;Repensiviricetes;Geplafuvirales;Geminiviridae;Mastrevirus;Mastrevirus cicerosis</t>
  </si>
  <si>
    <t>Monodnaviria;Shotokuvirae;Cressdnaviricota;Repensiviricetes;Geplafuvirales;Geminiviridae;Mastrevirus;Chickpea chlorotic dwarf virus</t>
  </si>
  <si>
    <t>Monodnaviria;Shotokuvirae;Cressdnaviricota;Repensiviricetes;Geplafuvirales;Geminiviridae;Mastrevirus;Mastrevirus cicerparvi</t>
  </si>
  <si>
    <t>Monodnaviria;Shotokuvirae;Cressdnaviricota;Repensiviricetes;Geplafuvirales;Geminiviridae;Mastrevirus;Digitaria ciliaris striate mosaic virus</t>
  </si>
  <si>
    <t>Monodnaviria;Shotokuvirae;Cressdnaviricota;Repensiviricetes;Geplafuvirales;Geminiviridae;Mastrevirus;Mastrevirus ciliaris</t>
  </si>
  <si>
    <t>Monodnaviria;Shotokuvirae;Cressdnaviricota;Repensiviricetes;Geplafuvirales;Geminiviridae;Mastrevirus;Digitaria didactyla striate mosaic virus</t>
  </si>
  <si>
    <t>Monodnaviria;Shotokuvirae;Cressdnaviricota;Repensiviricetes;Geplafuvirales;Geminiviridae;Mastrevirus;Mastrevirus didactylae</t>
  </si>
  <si>
    <t>Monodnaviria;Shotokuvirae;Cressdnaviricota;Repensiviricetes;Geplafuvirales;Geminiviridae;Mastrevirus;Digitaria streak virus</t>
  </si>
  <si>
    <t>Monodnaviria;Shotokuvirae;Cressdnaviricota;Repensiviricetes;Geplafuvirales;Geminiviridae;Mastrevirus;Mastrevirus digitariae</t>
  </si>
  <si>
    <t>Monodnaviria;Shotokuvirae;Cressdnaviricota;Repensiviricetes;Geplafuvirales;Geminiviridae;Mastrevirus;Paspalum dilatatum striate mosaic virus</t>
  </si>
  <si>
    <t>Monodnaviria;Shotokuvirae;Cressdnaviricota;Repensiviricetes;Geplafuvirales;Geminiviridae;Mastrevirus;Mastrevirus dilatati</t>
  </si>
  <si>
    <t>Monodnaviria;Shotokuvirae;Cressdnaviricota;Repensiviricetes;Geplafuvirales;Geminiviridae;Mastrevirus;Eleusine indica associated virus</t>
  </si>
  <si>
    <t>Monodnaviria;Shotokuvirae;Cressdnaviricota;Repensiviricetes;Geplafuvirales;Geminiviridae;Mastrevirus;Mastrevirus eleusinae</t>
  </si>
  <si>
    <t>Monodnaviria;Shotokuvirae;Cressdnaviricota;Repensiviricetes;Geplafuvirales;Geminiviridae;Mastrevirus;Eragrostis streak virus</t>
  </si>
  <si>
    <t>Monodnaviria;Shotokuvirae;Cressdnaviricota;Repensiviricetes;Geplafuvirales;Geminiviridae;Mastrevirus;Mastrevirus eragrostis</t>
  </si>
  <si>
    <t>Monodnaviria;Shotokuvirae;Cressdnaviricota;Repensiviricetes;Geplafuvirales;Geminiviridae;Mastrevirus;Eragrostis minor streak virus</t>
  </si>
  <si>
    <t>Monodnaviria;Shotokuvirae;Cressdnaviricota;Repensiviricetes;Geplafuvirales;Geminiviridae;Mastrevirus;Mastrevirus eragrostisminoris</t>
  </si>
  <si>
    <t>Monodnaviria;Shotokuvirae;Cressdnaviricota;Repensiviricetes;Geplafuvirales;Geminiviridae;Mastrevirus;Dragonfly-associated mastrevirus</t>
  </si>
  <si>
    <t>Monodnaviria;Shotokuvirae;Cressdnaviricota;Repensiviricetes;Geplafuvirales;Geminiviridae;Mastrevirus;Mastrevirus erythrodiplaxis</t>
  </si>
  <si>
    <t>Monodnaviria;Shotokuvirae;Cressdnaviricota;Repensiviricetes;Geplafuvirales;Geminiviridae;Mastrevirus;Chickpea yellow dwarf virus</t>
  </si>
  <si>
    <t>Monodnaviria;Shotokuvirae;Cressdnaviricota;Repensiviricetes;Geplafuvirales;Geminiviridae;Mastrevirus;Mastrevirus flavaparvi</t>
  </si>
  <si>
    <t>Monodnaviria;Shotokuvirae;Cressdnaviricota;Repensiviricetes;Geplafuvirales;Geminiviridae;Mastrevirus;Chickpea yellows virus</t>
  </si>
  <si>
    <t>Monodnaviria;Shotokuvirae;Cressdnaviricota;Repensiviricetes;Geplafuvirales;Geminiviridae;Mastrevirus;Mastrevirus flavi</t>
  </si>
  <si>
    <t>Monodnaviria;Shotokuvirae;Cressdnaviricota;Repensiviricetes;Geplafuvirales;Geminiviridae;Mastrevirus;Maize streak dwarfing virus</t>
  </si>
  <si>
    <t>Monodnaviria;Shotokuvirae;Cressdnaviricota;Repensiviricetes;Geplafuvirales;Geminiviridae;Mastrevirus;Mastrevirus fulleri</t>
  </si>
  <si>
    <t>Monodnaviria;Shotokuvirae;Cressdnaviricota;Repensiviricetes;Geplafuvirales;Geminiviridae;Mastrevirus;Wheat dwarf virus</t>
  </si>
  <si>
    <t>Monodnaviria;Shotokuvirae;Cressdnaviricota;Repensiviricetes;Geplafuvirales;Geminiviridae;Mastrevirus;Mastrevirus hordei</t>
  </si>
  <si>
    <t>Monodnaviria;Shotokuvirae;Cressdnaviricota;Repensiviricetes;Geplafuvirales;Geminiviridae;Mastrevirus;Sweet potato symptomless virus 1</t>
  </si>
  <si>
    <t>Monodnaviria;Shotokuvirae;Cressdnaviricota;Repensiviricetes;Geplafuvirales;Geminiviridae;Mastrevirus;Mastrevirus ipomoeae</t>
  </si>
  <si>
    <t>Monodnaviria;Shotokuvirae;Cressdnaviricota;Repensiviricetes;Geplafuvirales;Geminiviridae;Mastrevirus;Melenis repens associated virus</t>
  </si>
  <si>
    <t>Monodnaviria;Shotokuvirae;Cressdnaviricota;Repensiviricetes;Geplafuvirales;Geminiviridae;Mastrevirus;Mastrevirus melenis</t>
  </si>
  <si>
    <t>Monodnaviria;Shotokuvirae;Cressdnaviricota;Repensiviricetes;Geplafuvirales;Geminiviridae;Mastrevirus;Miscanthus streak virus</t>
  </si>
  <si>
    <t>Monodnaviria;Shotokuvirae;Cressdnaviricota;Repensiviricetes;Geplafuvirales;Geminiviridae;Mastrevirus;Mastrevirus miscanthi</t>
  </si>
  <si>
    <t>Monodnaviria;Shotokuvirae;Cressdnaviricota;Repensiviricetes;Geplafuvirales;Geminiviridae;Mastrevirus;Rice latent virus 1</t>
  </si>
  <si>
    <t>Monodnaviria;Shotokuvirae;Cressdnaviricota;Repensiviricetes;Geplafuvirales;Geminiviridae;Mastrevirus;Mastrevirus oryzaprimi</t>
  </si>
  <si>
    <t>Monodnaviria;Shotokuvirae;Cressdnaviricota;Repensiviricetes;Geplafuvirales;Geminiviridae;Mastrevirus;Rice latent virus 2</t>
  </si>
  <si>
    <t>Monodnaviria;Shotokuvirae;Cressdnaviricota;Repensiviricetes;Geplafuvirales;Geminiviridae;Mastrevirus;Mastrevirus oryzasecundi</t>
  </si>
  <si>
    <t>Monodnaviria;Shotokuvirae;Cressdnaviricota;Repensiviricetes;Geplafuvirales;Geminiviridae;Mastrevirus;Panicum streak virus</t>
  </si>
  <si>
    <t>Monodnaviria;Shotokuvirae;Cressdnaviricota;Repensiviricetes;Geplafuvirales;Geminiviridae;Mastrevirus;Mastrevirus panici</t>
  </si>
  <si>
    <t>Monodnaviria;Shotokuvirae;Cressdnaviricota;Repensiviricetes;Geplafuvirales;Geminiviridae;Mastrevirus;Paspalum striate mosaic virus</t>
  </si>
  <si>
    <t>Monodnaviria;Shotokuvirae;Cressdnaviricota;Repensiviricetes;Geplafuvirales;Geminiviridae;Mastrevirus;Mastrevirus paspali</t>
  </si>
  <si>
    <t>Monodnaviria;Shotokuvirae;Cressdnaviricota;Repensiviricetes;Geplafuvirales;Geminiviridae;Mastrevirus;Chickpea redleaf virus</t>
  </si>
  <si>
    <t>Monodnaviria;Shotokuvirae;Cressdnaviricota;Repensiviricetes;Geplafuvirales;Geminiviridae;Mastrevirus;Mastrevirus rubrumprimi</t>
  </si>
  <si>
    <t>Monodnaviria;Shotokuvirae;Cressdnaviricota;Repensiviricetes;Geplafuvirales;Geminiviridae;Mastrevirus;Chickpea redleaf virus 2</t>
  </si>
  <si>
    <t>Monodnaviria;Shotokuvirae;Cressdnaviricota;Repensiviricetes;Geplafuvirales;Geminiviridae;Mastrevirus;Mastrevirus rubrumsecundi</t>
  </si>
  <si>
    <t>Monodnaviria;Shotokuvirae;Cressdnaviricota;Repensiviricetes;Geplafuvirales;Geminiviridae;Mastrevirus;Saccharum streak virus</t>
  </si>
  <si>
    <t>Monodnaviria;Shotokuvirae;Cressdnaviricota;Repensiviricetes;Geplafuvirales;Geminiviridae;Mastrevirus;Mastrevirus sacchari</t>
  </si>
  <si>
    <t>Monodnaviria;Shotokuvirae;Cressdnaviricota;Repensiviricetes;Geplafuvirales;Geminiviridae;Mastrevirus;Sugarcane streak virus</t>
  </si>
  <si>
    <t>Monodnaviria;Shotokuvirae;Cressdnaviricota;Repensiviricetes;Geplafuvirales;Geminiviridae;Mastrevirus;Mastrevirus saccharofficinari</t>
  </si>
  <si>
    <t>Monodnaviria;Shotokuvirae;Cressdnaviricota;Repensiviricetes;Geplafuvirales;Geminiviridae;Mastrevirus;Sugarcane white streak virus</t>
  </si>
  <si>
    <t>Monodnaviria;Shotokuvirae;Cressdnaviricota;Repensiviricetes;Geplafuvirales;Geminiviridae;Mastrevirus;Mastrevirus saccharumalbusvenae</t>
  </si>
  <si>
    <t>Monodnaviria;Shotokuvirae;Cressdnaviricota;Repensiviricetes;Geplafuvirales;Geminiviridae;Mastrevirus;Sugarcane streak Reunion virus</t>
  </si>
  <si>
    <t>Monodnaviria;Shotokuvirae;Cressdnaviricota;Repensiviricetes;Geplafuvirales;Geminiviridae;Mastrevirus;Mastrevirus saccharumbourbonense</t>
  </si>
  <si>
    <t>Monodnaviria;Shotokuvirae;Cressdnaviricota;Repensiviricetes;Geplafuvirales;Geminiviridae;Mastrevirus;Sugarcane streak Egypt virus</t>
  </si>
  <si>
    <t>Monodnaviria;Shotokuvirae;Cressdnaviricota;Repensiviricetes;Geplafuvirales;Geminiviridae;Mastrevirus;Mastrevirus saccharumegyptense</t>
  </si>
  <si>
    <t>Monodnaviria;Shotokuvirae;Cressdnaviricota;Repensiviricetes;Geplafuvirales;Geminiviridae;Mastrevirus;Sugarcane chlorotic streak virus</t>
  </si>
  <si>
    <t>Monodnaviria;Shotokuvirae;Cressdnaviricota;Repensiviricetes;Geplafuvirales;Geminiviridae;Mastrevirus;Mastrevirus saccharumpallidi</t>
  </si>
  <si>
    <t>Monodnaviria;Shotokuvirae;Cressdnaviricota;Repensiviricetes;Geplafuvirales;Geminiviridae;Mastrevirus;Sugarcane striate virus</t>
  </si>
  <si>
    <t>Monodnaviria;Shotokuvirae;Cressdnaviricota;Repensiviricetes;Geplafuvirales;Geminiviridae;Mastrevirus;Mastrevirus saccharumstriati</t>
  </si>
  <si>
    <t>Monodnaviria;Shotokuvirae;Cressdnaviricota;Repensiviricetes;Geplafuvirales;Geminiviridae;Mastrevirus;Sorghum arundinaceum associated virus</t>
  </si>
  <si>
    <t>Monodnaviria;Shotokuvirae;Cressdnaviricota;Repensiviricetes;Geplafuvirales;Geminiviridae;Mastrevirus;Mastrevirus sorghi</t>
  </si>
  <si>
    <t>Monodnaviria;Shotokuvirae;Cressdnaviricota;Repensiviricetes;Geplafuvirales;Geminiviridae;Mastrevirus;Sporobolus striate mosaic virus 1</t>
  </si>
  <si>
    <t>Monodnaviria;Shotokuvirae;Cressdnaviricota;Repensiviricetes;Geplafuvirales;Geminiviridae;Mastrevirus;Mastrevirus sporoboprimi</t>
  </si>
  <si>
    <t>Monodnaviria;Shotokuvirae;Cressdnaviricota;Repensiviricetes;Geplafuvirales;Geminiviridae;Mastrevirus;Sporobolus striate mosaic virus 2</t>
  </si>
  <si>
    <t>Monodnaviria;Shotokuvirae;Cressdnaviricota;Repensiviricetes;Geplafuvirales;Geminiviridae;Mastrevirus;Mastrevirus sporobosecundi</t>
  </si>
  <si>
    <t>Monodnaviria;Shotokuvirae;Cressdnaviricota;Repensiviricetes;Geplafuvirales;Geminiviridae;Mastrevirus;Maize streak virus</t>
  </si>
  <si>
    <t>Monodnaviria;Shotokuvirae;Cressdnaviricota;Repensiviricetes;Geplafuvirales;Geminiviridae;Mastrevirus;Mastrevirus storeyi</t>
  </si>
  <si>
    <t>Monodnaviria;Shotokuvirae;Cressdnaviricota;Repensiviricetes;Geplafuvirales;Geminiviridae;Mastrevirus;Maize striate mosaic virus</t>
  </si>
  <si>
    <t>Monodnaviria;Shotokuvirae;Cressdnaviricota;Repensiviricetes;Geplafuvirales;Geminiviridae;Mastrevirus;Mastrevirus striatis</t>
  </si>
  <si>
    <t>Monodnaviria;Shotokuvirae;Cressdnaviricota;Repensiviricetes;Geplafuvirales;Geminiviridae;Mastrevirus;Tobacco yellow dwarf virus</t>
  </si>
  <si>
    <t>Monodnaviria;Shotokuvirae;Cressdnaviricota;Repensiviricetes;Geplafuvirales;Geminiviridae;Mastrevirus;Mastrevirus tabaci</t>
  </si>
  <si>
    <t>Monodnaviria;Shotokuvirae;Cressdnaviricota;Repensiviricetes;Geplafuvirales;Geminiviridae;Mastrevirus;Wheat dwarf India virus</t>
  </si>
  <si>
    <t>Monodnaviria;Shotokuvirae;Cressdnaviricota;Repensiviricetes;Geplafuvirales;Geminiviridae;Mastrevirus;Mastrevirus tritici</t>
  </si>
  <si>
    <t>Monodnaviria;Shotokuvirae;Cressdnaviricota;Repensiviricetes;Geplafuvirales;Geminiviridae;Mastrevirus;Urochloa streak virus</t>
  </si>
  <si>
    <t>Monodnaviria;Shotokuvirae;Cressdnaviricota;Repensiviricetes;Geplafuvirales;Geminiviridae;Mastrevirus;Mastrevirus urochloae</t>
  </si>
  <si>
    <t>Monodnaviria;Shotokuvirae;Cressdnaviricota;Repensiviricetes;Geplafuvirales;Geminiviridae;Mastrevirus;Switchgrass mosaic-associated virus</t>
  </si>
  <si>
    <t>Monodnaviria;Shotokuvirae;Cressdnaviricota;Repensiviricetes;Geplafuvirales;Geminiviridae;Mastrevirus;Mastrevirus virgati</t>
  </si>
  <si>
    <t>Monodnaviria;Shotokuvirae;Cressdnaviricota;Repensiviricetes;Geplafuvirales;Geminiviridae;Mulcrilevirus;Paper mulberry leaf curl virus 1</t>
  </si>
  <si>
    <t>Monodnaviria;Shotokuvirae;Cressdnaviricota;Repensiviricetes;Geplafuvirales;Geminiviridae;Mulcrilevirus;Mulcrilevirus broussonetiae</t>
  </si>
  <si>
    <t>Monodnaviria;Shotokuvirae;Cressdnaviricota;Repensiviricetes;Geplafuvirales;Geminiviridae;Mulcrilevirus;Mulberry crinkle leaf virus</t>
  </si>
  <si>
    <t>Monodnaviria;Shotokuvirae;Cressdnaviricota;Repensiviricetes;Geplafuvirales;Geminiviridae;Mulcrilevirus;Mulcrilevirus mori</t>
  </si>
  <si>
    <t>Monodnaviria;Shotokuvirae;Cressdnaviricota;Repensiviricetes;Geplafuvirales;Geminiviridae;Opunvirus;Opuntia virus 1</t>
  </si>
  <si>
    <t>Monodnaviria;Shotokuvirae;Cressdnaviricota;Repensiviricetes;Geplafuvirales;Geminiviridae;Opunvirus;Opunvirus opuntiae</t>
  </si>
  <si>
    <t>Monodnaviria;Shotokuvirae;Cressdnaviricota;Repensiviricetes;Geplafuvirales;Geminiviridae;Topilevirus;Tomato geminivirus 1</t>
  </si>
  <si>
    <t>Monodnaviria;Shotokuvirae;Cressdnaviricota;Repensiviricetes;Geplafuvirales;Geminiviridae;Topilevirus;Topilevirus lycopersici</t>
  </si>
  <si>
    <t>Monodnaviria;Shotokuvirae;Cressdnaviricota;Repensiviricetes;Geplafuvirales;Geminiviridae;Topilevirus;Tomato apical leaf curl virus</t>
  </si>
  <si>
    <t>Monodnaviria;Shotokuvirae;Cressdnaviricota;Repensiviricetes;Geplafuvirales;Geminiviridae;Topilevirus;Topilevirus solani</t>
  </si>
  <si>
    <t>Monodnaviria;Shotokuvirae;Cressdnaviricota;Repensiviricetes;Geplafuvirales;Geminiviridae;Topocuvirus;Tomato pseudo-curly top virus</t>
  </si>
  <si>
    <t>Monodnaviria;Shotokuvirae;Cressdnaviricota;Repensiviricetes;Geplafuvirales;Geminiviridae;Topocuvirus;Topocuvirus solani</t>
  </si>
  <si>
    <t>Monodnaviria;Shotokuvirae;Cressdnaviricota;Repensiviricetes;Geplafuvirales;Geminiviridae;Turncurtovirus;Turnip curly top virus</t>
  </si>
  <si>
    <t>Monodnaviria;Shotokuvirae;Cressdnaviricota;Repensiviricetes;Geplafuvirales;Geminiviridae;Turncurtovirus;Turncurtovirus brassicae</t>
  </si>
  <si>
    <t>Monodnaviria;Shotokuvirae;Cressdnaviricota;Repensiviricetes;Geplafuvirales;Geminiviridae;Turncurtovirus;Turnip leaf roll virus</t>
  </si>
  <si>
    <t>Monodnaviria;Shotokuvirae;Cressdnaviricota;Repensiviricetes;Geplafuvirales;Geminiviridae;Turncurtovirus;Turncurtovirus rapae</t>
  </si>
  <si>
    <t>Monodnaviria;Shotokuvirae;Cressdnaviricota;Repensiviricetes;Geplafuvirales;Geminiviridae;Turncurtovirus;Sesame curly top virus</t>
  </si>
  <si>
    <t>Monodnaviria;Shotokuvirae;Cressdnaviricota;Repensiviricetes;Geplafuvirales;Geminiviridae;Turncurtovirus;Turncurtovirus sesami</t>
  </si>
  <si>
    <t>Monodnaviria;Trapavirae;Saleviricota;Huolimaviricetes;Haloruvirales;Pleolipoviridae;Alphapleolipovirus;Alphapleolipovirus HRPV1</t>
  </si>
  <si>
    <t>Monodnaviria;Trapavirae;Saleviricota;Huolimaviricetes;Haloruvirales;Pleolipoviridae;Alphapleolipovirus;Alphapleolipovirus finnoniense</t>
  </si>
  <si>
    <t>Monodnaviria;Trapavirae;Saleviricota;Huolimaviricetes;Haloruvirales;Pleolipoviridae;Alphapleolipovirus;Alphapleolipovirus HHPV2</t>
  </si>
  <si>
    <t>Monodnaviria;Trapavirae;Saleviricota;Huolimaviricetes;Haloruvirales;Pleolipoviridae;Alphapleolipovirus;Alphapleolipovirus huluense</t>
  </si>
  <si>
    <t>Monodnaviria;Trapavirae;Saleviricota;Huolimaviricetes;Haloruvirales;Pleolipoviridae;Alphapleolipovirus;Alphapleolipovirus HHPV1</t>
  </si>
  <si>
    <t>Monodnaviria;Trapavirae;Saleviricota;Huolimaviricetes;Haloruvirales;Pleolipoviridae;Alphapleolipovirus;Alphapleolipovirus italiense</t>
  </si>
  <si>
    <t>Monodnaviria;Trapavirae;Saleviricota;Huolimaviricetes;Haloruvirales;Pleolipoviridae;Alphapleolipovirus;Alphapleolipovirus HRPV6</t>
  </si>
  <si>
    <t>Monodnaviria;Trapavirae;Saleviricota;Huolimaviricetes;Haloruvirales;Pleolipoviridae;Alphapleolipovirus;Alphapleolipovirus samutsakhonense</t>
  </si>
  <si>
    <t>Monodnaviria;Trapavirae;Saleviricota;Huolimaviricetes;Haloruvirales;Pleolipoviridae;Alphapleolipovirus;Alphapleolipovirus HRPV2</t>
  </si>
  <si>
    <t>Monodnaviria;Trapavirae;Saleviricota;Huolimaviricetes;Haloruvirales;Pleolipoviridae;Alphapleolipovirus;Alphapleolipovirus thailandense</t>
  </si>
  <si>
    <t>Monodnaviria;Trapavirae;Saleviricota;Huolimaviricetes;Haloruvirales;Pleolipoviridae;Betapleolipovirus;Betapleolipovirus HRPV9</t>
  </si>
  <si>
    <t>Monodnaviria;Trapavirae;Saleviricota;Huolimaviricetes;Haloruvirales;Pleolipoviridae;Betapleolipovirus;Betapleolipovirus flexibile</t>
  </si>
  <si>
    <t>Monodnaviria;Trapavirae;Saleviricota;Huolimaviricetes;Haloruvirales;Pleolipoviridae;Betapleolipovirus;Betapleolipovirus HGPV1</t>
  </si>
  <si>
    <t>Monodnaviria;Trapavirae;Saleviricota;Huolimaviricetes;Haloruvirales;Pleolipoviridae;Betapleolipovirus;Betapleolipovirus halogeometrici</t>
  </si>
  <si>
    <t>Monodnaviria;Trapavirae;Saleviricota;Huolimaviricetes;Haloruvirales;Pleolipoviridae;Betapleolipovirus;Betapleolipovirus SNJ2</t>
  </si>
  <si>
    <t>Monodnaviria;Trapavirae;Saleviricota;Huolimaviricetes;Haloruvirales;Pleolipoviridae;Betapleolipovirus;Betapleolipovirus integrationis</t>
  </si>
  <si>
    <t>Monodnaviria;Trapavirae;Saleviricota;Huolimaviricetes;Haloruvirales;Pleolipoviridae;Betapleolipovirus;Betapleolipovirus HHPV4</t>
  </si>
  <si>
    <t>Monodnaviria;Trapavirae;Saleviricota;Huolimaviricetes;Haloruvirales;Pleolipoviridae;Betapleolipovirus;Betapleolipovirus italiense</t>
  </si>
  <si>
    <t>Monodnaviria;Trapavirae;Saleviricota;Huolimaviricetes;Haloruvirales;Pleolipoviridae;Betapleolipovirus;Betapleolipovirus HRPV3</t>
  </si>
  <si>
    <t>Monodnaviria;Trapavirae;Saleviricota;Huolimaviricetes;Haloruvirales;Pleolipoviridae;Betapleolipovirus;Betapleolipovirus kalvoae</t>
  </si>
  <si>
    <t>Monodnaviria;Trapavirae;Saleviricota;Huolimaviricetes;Haloruvirales;Pleolipoviridae;Betapleolipovirus;Betapleolipovirus HRPV11</t>
  </si>
  <si>
    <t>Monodnaviria;Trapavirae;Saleviricota;Huolimaviricetes;Haloruvirales;Pleolipoviridae;Betapleolipovirus;Betapleolipovirus retbaense</t>
  </si>
  <si>
    <t>Monodnaviria;Trapavirae;Saleviricota;Huolimaviricetes;Haloruvirales;Pleolipoviridae;Betapleolipovirus;Betapleolipovirus HRPV12</t>
  </si>
  <si>
    <t>Monodnaviria;Trapavirae;Saleviricota;Huolimaviricetes;Haloruvirales;Pleolipoviridae;Betapleolipovirus;Betapleolipovirus rosense</t>
  </si>
  <si>
    <t>Monodnaviria;Trapavirae;Saleviricota;Huolimaviricetes;Haloruvirales;Pleolipoviridae;Betapleolipovirus;Betapleolipovirus HRPV10</t>
  </si>
  <si>
    <t>Monodnaviria;Trapavirae;Saleviricota;Huolimaviricetes;Haloruvirales;Pleolipoviridae;Betapleolipovirus;Betapleolipovirus senegalense</t>
  </si>
  <si>
    <t>Monodnaviria;Trapavirae;Saleviricota;Huolimaviricetes;Haloruvirales;Pleolipoviridae;Betapleolipovirus;Betapleolipovirus HHPV3</t>
  </si>
  <si>
    <t>Monodnaviria;Trapavirae;Saleviricota;Huolimaviricetes;Haloruvirales;Pleolipoviridae;Betapleolipovirus;Betapleolipovirus thailandense</t>
  </si>
  <si>
    <t>Monodnaviria;Trapavirae;Saleviricota;Huolimaviricetes;Haloruvirales;Pleolipoviridae;Gammapleolipovirus;Gammapleolipovirus His2</t>
  </si>
  <si>
    <t>Monodnaviria;Trapavirae;Saleviricota;Huolimaviricetes;Haloruvirales;Pleolipoviridae;Gammapleolipovirus;Gammapleolipovirus australiense</t>
  </si>
  <si>
    <t>Monodnaviria;Trapavirae;Saleviricota;Huolimaviricetes;Haloruvirales;Pleolipoviridae;Gammapleolipovirus;Gammapleolipovirus Hardyhisp2</t>
  </si>
  <si>
    <t>Monodnaviria;Trapavirae;Saleviricota;Huolimaviricetes;Haloruvirales;Pleolipoviridae;Gammapleolipovirus;Gammapleolipovirus hardyense</t>
  </si>
  <si>
    <t>class</t>
  </si>
  <si>
    <t>Riboviria;Orthornavirae;Botybirnavirus;Botrytis porri botybirnavirus 1</t>
  </si>
  <si>
    <t>Riboviria;Orthornavirae;Duplornaviricota;Chrymotiviricetes;Ghabrivirales;Alphatotivirineae;Botybirnaviridae;Botybirnavirus;Botybirnavirus ichi</t>
  </si>
  <si>
    <t>Riboviria;Orthornavirae;Duplornaviricota;Chrymotiviricetes;Ghabrivirales;Megabirnaviridae;Megabirnavirus;Rosellinia necatrix megabirnavirus 1</t>
  </si>
  <si>
    <t>Riboviria;Orthornavirae;Duplornaviricota;Chrymotiviricetes;Ghabrivirales;Alphatotivirineae;Megabirnaviridae;Megabirnavirus;Megabirnavirus ichi</t>
  </si>
  <si>
    <t>Riboviria;Orthornavirae;Duplornaviricota;Chrymotiviricetes;Ghabrivirales;Totiviridae;Totivirus;Ustilago maydis virus H1</t>
  </si>
  <si>
    <t>Riboviria;Orthornavirae;Duplornaviricota;Chrymotiviricetes;Ghabrivirales;Alphatotivirineae;Monocitiviridae;Monocitivirus;Monocitivirus ichi</t>
  </si>
  <si>
    <t>Riboviria;Orthornavirae;Duplornaviricota;Chrymotiviricetes;Ghabrivirales;Totiviridae;Leishmaniavirus;Leishmania RNA virus 1</t>
  </si>
  <si>
    <t>Riboviria;Orthornavirae;Duplornaviricota;Chrymotiviricetes;Ghabrivirales;Alphatotivirineae;Pseudototiviridae;Leishmaniavirus;Leishmaniavirus ichi</t>
  </si>
  <si>
    <t>Riboviria;Orthornavirae;Duplornaviricota;Chrymotiviricetes;Ghabrivirales;Totiviridae;Leishmaniavirus;Leishmania RNA virus 2</t>
  </si>
  <si>
    <t>Riboviria;Orthornavirae;Duplornaviricota;Chrymotiviricetes;Ghabrivirales;Alphatotivirineae;Pseudototiviridae;Leishmaniavirus;Leishmaniavirus ni</t>
  </si>
  <si>
    <t>Riboviria;Orthornavirae;Duplornaviricota;Chrymotiviricetes;Ghabrivirales;Totiviridae;Trichomonasvirus;Trichomonas vaginalis virus 1</t>
  </si>
  <si>
    <t>Riboviria;Orthornavirae;Duplornaviricota;Chrymotiviricetes;Ghabrivirales;Alphatotivirineae;Pseudototiviridae;Trichomonasvirus;Trichomonasvirus vagiprimus</t>
  </si>
  <si>
    <t>Riboviria;Orthornavirae;Duplornaviricota;Chrymotiviricetes;Ghabrivirales;Totiviridae;Trichomonasvirus;Trichomonas vaginalis virus 4</t>
  </si>
  <si>
    <t>Riboviria;Orthornavirae;Duplornaviricota;Chrymotiviricetes;Ghabrivirales;Alphatotivirineae;Pseudototiviridae;Trichomonasvirus;Trichomonasvirus vagiquartus</t>
  </si>
  <si>
    <t>Riboviria;Orthornavirae;Duplornaviricota;Chrymotiviricetes;Ghabrivirales;Totiviridae;Trichomonasvirus;Trichomonas vaginalis virus 2</t>
  </si>
  <si>
    <t>Riboviria;Orthornavirae;Duplornaviricota;Chrymotiviricetes;Ghabrivirales;Alphatotivirineae;Pseudototiviridae;Trichomonasvirus;Trichomonasvirus vagisecundus</t>
  </si>
  <si>
    <t>Riboviria;Orthornavirae;Duplornaviricota;Chrymotiviricetes;Ghabrivirales;Totiviridae;Trichomonasvirus;Trichomonas vaginalis virus 3</t>
  </si>
  <si>
    <t>Riboviria;Orthornavirae;Duplornaviricota;Chrymotiviricetes;Ghabrivirales;Alphatotivirineae;Pseudototiviridae;Trichomonasvirus;Trichomonasvirus vagitertius</t>
  </si>
  <si>
    <t>Riboviria;Orthornavirae;Duplornaviricota;Chrymotiviricetes;Ghabrivirales;Totiviridae;Victorivirus;Coniothyrium minitans RNA virus</t>
  </si>
  <si>
    <t>Riboviria;Orthornavirae;Duplornaviricota;Chrymotiviricetes;Ghabrivirales;Alphatotivirineae;Pseudototiviridae;Victorivirus;Victorivirus go</t>
  </si>
  <si>
    <t>Riboviria;Orthornavirae;Duplornaviricota;Chrymotiviricetes;Ghabrivirales;Totiviridae;Victorivirus;Epichloe festucae virus 1</t>
  </si>
  <si>
    <t>Riboviria;Orthornavirae;Duplornaviricota;Chrymotiviricetes;Ghabrivirales;Alphatotivirineae;Pseudototiviridae;Victorivirus;Victorivirus hachi</t>
  </si>
  <si>
    <t>Riboviria;Orthornavirae;Duplornaviricota;Chrymotiviricetes;Ghabrivirales;Totiviridae;Victorivirus;Helminthosporium victoriae virus 190S</t>
  </si>
  <si>
    <t>Riboviria;Orthornavirae;Duplornaviricota;Chrymotiviricetes;Ghabrivirales;Alphatotivirineae;Pseudototiviridae;Victorivirus;Victorivirus ichi</t>
  </si>
  <si>
    <t>Riboviria;Orthornavirae;Duplornaviricota;Chrymotiviricetes;Ghabrivirales;Totiviridae;Victorivirus;Magnaporthe oryzae virus 2</t>
  </si>
  <si>
    <t>Riboviria;Orthornavirae;Duplornaviricota;Chrymotiviricetes;Ghabrivirales;Alphatotivirineae;Pseudototiviridae;Victorivirus;Victorivirus jyu</t>
  </si>
  <si>
    <t>Riboviria;Orthornavirae;Duplornaviricota;Chrymotiviricetes;Ghabrivirales;Totiviridae;Victorivirus;Rosellinia necatrix victorivirus 1</t>
  </si>
  <si>
    <t>Riboviria;Orthornavirae;Duplornaviricota;Chrymotiviricetes;Ghabrivirales;Alphatotivirineae;Pseudototiviridae;Victorivirus;Victorivirus jyugo</t>
  </si>
  <si>
    <t>Riboviria;Orthornavirae;Duplornaviricota;Chrymotiviricetes;Ghabrivirales;Totiviridae;Victorivirus;Tolypocladium cylindrosporum virus 1</t>
  </si>
  <si>
    <t>Riboviria;Orthornavirae;Duplornaviricota;Chrymotiviricetes;Ghabrivirales;Alphatotivirineae;Pseudototiviridae;Victorivirus;Victorivirus jyuichi</t>
  </si>
  <si>
    <t>Riboviria;Orthornavirae;Duplornaviricota;Chrymotiviricetes;Ghabrivirales;Totiviridae;Victorivirus;Aspergillus foetidus slow virus 1</t>
  </si>
  <si>
    <t>Riboviria;Orthornavirae;Duplornaviricota;Chrymotiviricetes;Ghabrivirales;Alphatotivirineae;Pseudototiviridae;Victorivirus;Victorivirus jyuni</t>
  </si>
  <si>
    <t>Riboviria;Orthornavirae;Duplornaviricota;Chrymotiviricetes;Ghabrivirales;Totiviridae;Victorivirus;Beauveria bassiana victorivirus 1</t>
  </si>
  <si>
    <t>Riboviria;Orthornavirae;Duplornaviricota;Chrymotiviricetes;Ghabrivirales;Alphatotivirineae;Pseudototiviridae;Victorivirus;Victorivirus jyusani</t>
  </si>
  <si>
    <t>Riboviria;Orthornavirae;Duplornaviricota;Chrymotiviricetes;Ghabrivirales;Totiviridae;Victorivirus;Magnaporthe oryzae virus 1</t>
  </si>
  <si>
    <t>Riboviria;Orthornavirae;Duplornaviricota;Chrymotiviricetes;Ghabrivirales;Alphatotivirineae;Pseudototiviridae;Victorivirus;Victorivirus kyu</t>
  </si>
  <si>
    <t>Riboviria;Orthornavirae;Duplornaviricota;Chrymotiviricetes;Ghabrivirales;Totiviridae;Victorivirus;Chalara elegans RNA Virus 1</t>
  </si>
  <si>
    <t>Riboviria;Orthornavirae;Duplornaviricota;Chrymotiviricetes;Ghabrivirales;Alphatotivirineae;Pseudototiviridae;Victorivirus;Victorivirus ni</t>
  </si>
  <si>
    <t>Riboviria;Orthornavirae;Duplornaviricota;Chrymotiviricetes;Ghabrivirales;Totiviridae;Victorivirus;Helicobasidium mompa totivirus 1-17</t>
  </si>
  <si>
    <t>Riboviria;Orthornavirae;Duplornaviricota;Chrymotiviricetes;Ghabrivirales;Alphatotivirineae;Pseudototiviridae;Victorivirus;Victorivirus roku</t>
  </si>
  <si>
    <t>Riboviria;Orthornavirae;Duplornaviricota;Chrymotiviricetes;Ghabrivirales;Totiviridae;Victorivirus;Sphaeropsis sapinea RNA virus 1</t>
  </si>
  <si>
    <t>Riboviria;Orthornavirae;Duplornaviricota;Chrymotiviricetes;Ghabrivirales;Alphatotivirineae;Pseudototiviridae;Victorivirus;Victorivirus sani</t>
  </si>
  <si>
    <t>Riboviria;Orthornavirae;Duplornaviricota;Chrymotiviricetes;Ghabrivirales;Totiviridae;Victorivirus;Sphaeropsis sapinea RNA virus 2</t>
  </si>
  <si>
    <t>Riboviria;Orthornavirae;Duplornaviricota;Chrymotiviricetes;Ghabrivirales;Alphatotivirineae;Pseudototiviridae;Victorivirus;Victorivirus shi</t>
  </si>
  <si>
    <t>Riboviria;Orthornavirae;Duplornaviricota;Chrymotiviricetes;Ghabrivirales;Totiviridae;Victorivirus;Gremmeniella abietina RNA virus L1</t>
  </si>
  <si>
    <t>Riboviria;Orthornavirae;Duplornaviricota;Chrymotiviricetes;Ghabrivirales;Alphatotivirineae;Pseudototiviridae;Victorivirus;Victorivirus shichi</t>
  </si>
  <si>
    <t>Riboviria;Orthornavirae;Duplornaviricota;Chrymotiviricetes;Ghabrivirales;Quadriviridae;Quadrivirus;Rosellinia necatrix quadrivirus 1</t>
  </si>
  <si>
    <t>Riboviria;Orthornavirae;Duplornaviricota;Chrymotiviricetes;Ghabrivirales;Alphatotivirineae;Quadriviridae;Quadrivirus;Quadrivirus ichi</t>
  </si>
  <si>
    <t>Riboviria;Orthornavirae;Duplornaviricota;Chrymotiviricetes;Ghabrivirales;Totiviridae;Giardiavirus;Giardia lamblia virus</t>
  </si>
  <si>
    <t>Riboviria;Orthornavirae;Duplornaviricota;Chrymotiviricetes;Ghabrivirales;Betatotivirineae;Giardiaviridae;Giardiavirus;Giardiavirus ichi</t>
  </si>
  <si>
    <t>Riboviria;Orthornavirae;Duplornaviricota;Chrymotiviricetes;Ghabrivirales;Totiviridae</t>
  </si>
  <si>
    <t>Riboviria;Orthornavirae;Duplornaviricota;Chrymotiviricetes;Ghabrivirales;Orthototiviridae</t>
  </si>
  <si>
    <t>Riboviria;Orthornavirae;Duplornaviricota;Chrymotiviricetes;Ghabrivirales;Totiviridae;Totivirus;Xanthophyllomyces dendrorhous virus L1B</t>
  </si>
  <si>
    <t>Riboviria;Orthornavirae;Duplornaviricota;Chrymotiviricetes;Ghabrivirales;Orthototiviridae;Totivirus;Totivirus go</t>
  </si>
  <si>
    <t>Riboviria;Orthornavirae;Duplornaviricota;Chrymotiviricetes;Ghabrivirales;Totiviridae;Totivirus;Saccharomyces cerevisiae virus L-A</t>
  </si>
  <si>
    <t>Riboviria;Orthornavirae;Duplornaviricota;Chrymotiviricetes;Ghabrivirales;Orthototiviridae;Totivirus;Totivirus ichi</t>
  </si>
  <si>
    <t>Riboviria;Orthornavirae;Duplornaviricota;Chrymotiviricetes;Ghabrivirales;Totiviridae;Totivirus;Saccharomyces cerevisiae virus LBCLa</t>
  </si>
  <si>
    <t>Riboviria;Orthornavirae;Duplornaviricota;Chrymotiviricetes;Ghabrivirales;Orthototiviridae;Totivirus;Totivirus ni</t>
  </si>
  <si>
    <t>Riboviria;Orthornavirae;Duplornaviricota;Chrymotiviricetes;Ghabrivirales;Totiviridae;Totivirus;Scheffersomyces segobiensis virus L</t>
  </si>
  <si>
    <t>Riboviria;Orthornavirae;Duplornaviricota;Chrymotiviricetes;Ghabrivirales;Orthototiviridae;Totivirus;Totivirus roku</t>
  </si>
  <si>
    <t>Riboviria;Orthornavirae;Duplornaviricota;Chrymotiviricetes;Ghabrivirales;Totiviridae;Totivirus;Tuber aestivum virus 1</t>
  </si>
  <si>
    <t>Riboviria;Orthornavirae;Duplornaviricota;Chrymotiviricetes;Ghabrivirales;Orthototiviridae;Totivirus;Totivirus sani</t>
  </si>
  <si>
    <t>Riboviria;Orthornavirae;Duplornaviricota;Chrymotiviricetes;Ghabrivirales;Totiviridae;Totivirus;Xanthophyllomyces dendrorhous virus L1A</t>
  </si>
  <si>
    <t>Riboviria;Orthornavirae;Duplornaviricota;Chrymotiviricetes;Ghabrivirales;Orthototiviridae;Totivirus;Totivirus shi</t>
  </si>
  <si>
    <t>Riboviria;Orthornavirae;Duplornaviricota;Resentoviricetes;Reovirales;Sedoreoviridae;Cardoreovirus;Eriocheir sinensis reovirus</t>
  </si>
  <si>
    <t>Riboviria;Orthornavirae;Duplornaviricota;Resentoviricetes;Reovirales;Sedoreoviridae;Cardoreovirus;Cardoreovirus eriocheiris</t>
  </si>
  <si>
    <t>Riboviria;Orthornavirae;Duplornaviricota;Resentoviricetes;Reovirales;Sedoreoviridae;Mimoreovirus;Micromonas pusilla reovirus</t>
  </si>
  <si>
    <t>Riboviria;Orthornavirae;Duplornaviricota;Resentoviricetes;Reovirales;Sedoreoviridae;Mimoreovirus;Mimoreovirus micromonadis</t>
  </si>
  <si>
    <t>Riboviria;Orthornavirae;Duplornaviricota;Resentoviricetes;Reovirales;Sedoreoviridae;Orbivirus;African horse sickness virus</t>
  </si>
  <si>
    <t>Riboviria;Orthornavirae;Duplornaviricota;Resentoviricetes;Reovirales;Sedoreoviridae;Orbivirus;Orbivirus alphaequi</t>
  </si>
  <si>
    <t>Riboviria;Orthornavirae;Duplornaviricota;Resentoviricetes;Reovirales;Sedoreoviridae;Orbivirus;Corriparta virus</t>
  </si>
  <si>
    <t>Riboviria;Orthornavirae;Duplornaviricota;Resentoviricetes;Reovirales;Sedoreoviridae;Orbivirus;Orbivirus alphamitchellense</t>
  </si>
  <si>
    <t>Riboviria;Orthornavirae;Duplornaviricota;Resentoviricetes;Reovirales;Sedoreoviridae;Orbivirus;Equine encephalosis virus</t>
  </si>
  <si>
    <t>Riboviria;Orthornavirae;Duplornaviricota;Resentoviricetes;Reovirales;Sedoreoviridae;Orbivirus;Orbivirus betaequi</t>
  </si>
  <si>
    <t>Riboviria;Orthornavirae;Duplornaviricota;Resentoviricetes;Reovirales;Sedoreoviridae;Orbivirus;Wallal virus</t>
  </si>
  <si>
    <t>Riboviria;Orthornavirae;Duplornaviricota;Resentoviricetes;Reovirales;Sedoreoviridae;Orbivirus;Orbivirus betamitchellense</t>
  </si>
  <si>
    <t>Riboviria;Orthornavirae;Duplornaviricota;Resentoviricetes;Reovirales;Sedoreoviridae;Orbivirus;Bluetongue virus</t>
  </si>
  <si>
    <t>Riboviria;Orthornavirae;Duplornaviricota;Resentoviricetes;Reovirales;Sedoreoviridae;Orbivirus;Orbivirus caerulinguae</t>
  </si>
  <si>
    <t>Riboviria;Orthornavirae;Duplornaviricota;Resentoviricetes;Reovirales;Sedoreoviridae;Orbivirus;Changuinola virus</t>
  </si>
  <si>
    <t>Riboviria;Orthornavirae;Duplornaviricota;Resentoviricetes;Reovirales;Sedoreoviridae;Orbivirus;Orbivirus changuinolaense</t>
  </si>
  <si>
    <t>Riboviria;Orthornavirae;Duplornaviricota;Resentoviricetes;Reovirales;Sedoreoviridae;Orbivirus;Chenuda virus</t>
  </si>
  <si>
    <t>Riboviria;Orthornavirae;Duplornaviricota;Resentoviricetes;Reovirales;Sedoreoviridae;Orbivirus;Orbivirus chenudaense</t>
  </si>
  <si>
    <t>Riboviria;Orthornavirae;Duplornaviricota;Resentoviricetes;Reovirales;Sedoreoviridae;Orbivirus;Chobar Gorge virus</t>
  </si>
  <si>
    <t>Riboviria;Orthornavirae;Duplornaviricota;Resentoviricetes;Reovirales;Sedoreoviridae;Orbivirus;Orbivirus chobarense</t>
  </si>
  <si>
    <t>Riboviria;Orthornavirae;Duplornaviricota;Resentoviricetes;Reovirales;Sedoreoviridae;Orbivirus;Wongorr virus</t>
  </si>
  <si>
    <t>Riboviria;Orthornavirae;Duplornaviricota;Resentoviricetes;Reovirales;Sedoreoviridae;Orbivirus;Orbivirus deltamitchellense</t>
  </si>
  <si>
    <t>Riboviria;Orthornavirae;Duplornaviricota;Resentoviricetes;Reovirales;Sedoreoviridae;Orbivirus;Eubenangee virus</t>
  </si>
  <si>
    <t>Riboviria;Orthornavirae;Duplornaviricota;Resentoviricetes;Reovirales;Sedoreoviridae;Orbivirus;Orbivirus eubenangeense</t>
  </si>
  <si>
    <t>Riboviria;Orthornavirae;Duplornaviricota;Resentoviricetes;Reovirales;Sedoreoviridae;Orbivirus;Peruvian horse sickness virus</t>
  </si>
  <si>
    <t>Riboviria;Orthornavirae;Duplornaviricota;Resentoviricetes;Reovirales;Sedoreoviridae;Orbivirus;Orbivirus gammaequi</t>
  </si>
  <si>
    <t>Riboviria;Orthornavirae;Duplornaviricota;Resentoviricetes;Reovirales;Sedoreoviridae;Orbivirus;Warrego virus</t>
  </si>
  <si>
    <t>Riboviria;Orthornavirae;Duplornaviricota;Resentoviricetes;Reovirales;Sedoreoviridae;Orbivirus;Orbivirus gammamitchellense</t>
  </si>
  <si>
    <t>Riboviria;Orthornavirae;Duplornaviricota;Resentoviricetes;Reovirales;Sedoreoviridae;Orbivirus;Lebombo virus</t>
  </si>
  <si>
    <t>Riboviria;Orthornavirae;Duplornaviricota;Resentoviricetes;Reovirales;Sedoreoviridae;Orbivirus;Orbivirus lebomboense</t>
  </si>
  <si>
    <t>Riboviria;Orthornavirae;Duplornaviricota;Resentoviricetes;Reovirales;Sedoreoviridae;Orbivirus;Great Island virus</t>
  </si>
  <si>
    <t>Riboviria;Orthornavirae;Duplornaviricota;Resentoviricetes;Reovirales;Sedoreoviridae;Orbivirus;Orbivirus magninsulae</t>
  </si>
  <si>
    <t>Riboviria;Orthornavirae;Duplornaviricota;Resentoviricetes;Reovirales;Sedoreoviridae;Orbivirus;Orungo virus</t>
  </si>
  <si>
    <t>Riboviria;Orthornavirae;Duplornaviricota;Resentoviricetes;Reovirales;Sedoreoviridae;Orbivirus;Orbivirus orungoense</t>
  </si>
  <si>
    <t>Riboviria;Orthornavirae;Duplornaviricota;Resentoviricetes;Reovirales;Sedoreoviridae;Orbivirus;Palyam virus</t>
  </si>
  <si>
    <t>Riboviria;Orthornavirae;Duplornaviricota;Resentoviricetes;Reovirales;Sedoreoviridae;Orbivirus;Orbivirus palyamense</t>
  </si>
  <si>
    <t>Riboviria;Orthornavirae;Duplornaviricota;Resentoviricetes;Reovirales;Sedoreoviridae;Orbivirus;Epizootic hemorrhagic disease virus</t>
  </si>
  <si>
    <t>Riboviria;Orthornavirae;Duplornaviricota;Resentoviricetes;Reovirales;Sedoreoviridae;Orbivirus;Orbivirus ruminantium</t>
  </si>
  <si>
    <t>Riboviria;Orthornavirae;Duplornaviricota;Resentoviricetes;Reovirales;Sedoreoviridae;Orbivirus;St Croix River virus</t>
  </si>
  <si>
    <t>Riboviria;Orthornavirae;Duplornaviricota;Resentoviricetes;Reovirales;Sedoreoviridae;Orbivirus;Orbivirus saintcroixense</t>
  </si>
  <si>
    <t>Riboviria;Orthornavirae;Duplornaviricota;Resentoviricetes;Reovirales;Sedoreoviridae;Orbivirus;Ieri virus</t>
  </si>
  <si>
    <t>Riboviria;Orthornavirae;Duplornaviricota;Resentoviricetes;Reovirales;Sedoreoviridae;Orbivirus;Orbivirus trinidadense</t>
  </si>
  <si>
    <t>Riboviria;Orthornavirae;Duplornaviricota;Resentoviricetes;Reovirales;Sedoreoviridae;Orbivirus;Umatilla virus</t>
  </si>
  <si>
    <t>Riboviria;Orthornavirae;Duplornaviricota;Resentoviricetes;Reovirales;Sedoreoviridae;Orbivirus;Orbivirus umatillaense</t>
  </si>
  <si>
    <t>Riboviria;Orthornavirae;Duplornaviricota;Resentoviricetes;Reovirales;Sedoreoviridae;Orbivirus;Wad Medani virus</t>
  </si>
  <si>
    <t>Riboviria;Orthornavirae;Duplornaviricota;Resentoviricetes;Reovirales;Sedoreoviridae;Orbivirus;Orbivirus wadmedaniense</t>
  </si>
  <si>
    <t>Riboviria;Orthornavirae;Duplornaviricota;Resentoviricetes;Reovirales;Sedoreoviridae;Orbivirus;Yunnan orbivirus</t>
  </si>
  <si>
    <t>Riboviria;Orthornavirae;Duplornaviricota;Resentoviricetes;Reovirales;Sedoreoviridae;Orbivirus;Orbivirus yunnanense</t>
  </si>
  <si>
    <t>Riboviria;Orthornavirae;Duplornaviricota;Resentoviricetes;Reovirales;Sedoreoviridae;Phytoreovirus;Rice dwarf virus</t>
  </si>
  <si>
    <t>Riboviria;Orthornavirae;Duplornaviricota;Resentoviricetes;Reovirales;Sedoreoviridae;Phytoreovirus;Phytoreovirus alphaoryzae</t>
  </si>
  <si>
    <t>Riboviria;Orthornavirae;Duplornaviricota;Resentoviricetes;Reovirales;Sedoreoviridae;Phytoreovirus;Rice gall dwarf virus</t>
  </si>
  <si>
    <t>Riboviria;Orthornavirae;Duplornaviricota;Resentoviricetes;Reovirales;Sedoreoviridae;Phytoreovirus;Phytoreovirus betaoryzae</t>
  </si>
  <si>
    <t>Riboviria;Orthornavirae;Duplornaviricota;Resentoviricetes;Reovirales;Sedoreoviridae;Phytoreovirus;Wound tumor virus</t>
  </si>
  <si>
    <t>Riboviria;Orthornavirae;Duplornaviricota;Resentoviricetes;Reovirales;Sedoreoviridae;Phytoreovirus;Phytoreovirus vulnustumoris</t>
  </si>
  <si>
    <t>Riboviria;Orthornavirae;Duplornaviricota;Resentoviricetes;Reovirales;Sedoreoviridae;Rotavirus;Rotavirus A</t>
  </si>
  <si>
    <t>Riboviria;Orthornavirae;Duplornaviricota;Resentoviricetes;Reovirales;Sedoreoviridae;Rotavirus;Rotavirus alphagastroenteritidis</t>
  </si>
  <si>
    <t>Riboviria;Orthornavirae;Duplornaviricota;Resentoviricetes;Reovirales;Sedoreoviridae;Rotavirus;Rotavirus H</t>
  </si>
  <si>
    <t>Riboviria;Orthornavirae;Duplornaviricota;Resentoviricetes;Reovirales;Sedoreoviridae;Rotavirus;Rotavirus aspergastroenteritidis</t>
  </si>
  <si>
    <t>Riboviria;Orthornavirae;Duplornaviricota;Resentoviricetes;Reovirales;Sedoreoviridae;Rotavirus;Rotavirus B</t>
  </si>
  <si>
    <t>Riboviria;Orthornavirae;Duplornaviricota;Resentoviricetes;Reovirales;Sedoreoviridae;Rotavirus;Rotavirus betagastroenteritidis</t>
  </si>
  <si>
    <t>Riboviria;Orthornavirae;Duplornaviricota;Resentoviricetes;Reovirales;Sedoreoviridae;Rotavirus;Rotavirus D</t>
  </si>
  <si>
    <t>Riboviria;Orthornavirae;Duplornaviricota;Resentoviricetes;Reovirales;Sedoreoviridae;Rotavirus;Rotavirus deltagastroenteritidis</t>
  </si>
  <si>
    <t>Riboviria;Orthornavirae;Duplornaviricota;Resentoviricetes;Reovirales;Sedoreoviridae;Rotavirus;Rotavirus G</t>
  </si>
  <si>
    <t>Riboviria;Orthornavirae;Duplornaviricota;Resentoviricetes;Reovirales;Sedoreoviridae;Rotavirus;Rotavirus gammagastroenteritidis</t>
  </si>
  <si>
    <t>Riboviria;Orthornavirae;Duplornaviricota;Resentoviricetes;Reovirales;Sedoreoviridae;Rotavirus;Rotavirus I</t>
  </si>
  <si>
    <t>Riboviria;Orthornavirae;Duplornaviricota;Resentoviricetes;Reovirales;Sedoreoviridae;Rotavirus;Rotavirus iotagastroenteritidis</t>
  </si>
  <si>
    <t>Riboviria;Orthornavirae;Duplornaviricota;Resentoviricetes;Reovirales;Sedoreoviridae;Rotavirus;Rotavirus J</t>
  </si>
  <si>
    <t>Riboviria;Orthornavirae;Duplornaviricota;Resentoviricetes;Reovirales;Sedoreoviridae;Rotavirus;Rotavirus jotagastroenteritidis</t>
  </si>
  <si>
    <t>Riboviria;Orthornavirae;Duplornaviricota;Resentoviricetes;Reovirales;Sedoreoviridae;Rotavirus;Rotavirus F</t>
  </si>
  <si>
    <t>Riboviria;Orthornavirae;Duplornaviricota;Resentoviricetes;Reovirales;Sedoreoviridae;Rotavirus;Rotavirus phigastroenteritidis</t>
  </si>
  <si>
    <t>Riboviria;Orthornavirae;Duplornaviricota;Resentoviricetes;Reovirales;Sedoreoviridae;Rotavirus;Rotavirus C</t>
  </si>
  <si>
    <t>Riboviria;Orthornavirae;Duplornaviricota;Resentoviricetes;Reovirales;Sedoreoviridae;Rotavirus;Rotavirus tritogastroenteritidis</t>
  </si>
  <si>
    <t>Riboviria;Orthornavirae;Duplornaviricota;Resentoviricetes;Reovirales;Sedoreoviridae;Seadornavirus;Banna virus</t>
  </si>
  <si>
    <t>Riboviria;Orthornavirae;Duplornaviricota;Resentoviricetes;Reovirales;Sedoreoviridae;Seadornavirus;Seadornavirus bannaense</t>
  </si>
  <si>
    <t>Riboviria;Orthornavirae;Duplornaviricota;Resentoviricetes;Reovirales;Sedoreoviridae;Seadornavirus;Kadipiro virus</t>
  </si>
  <si>
    <t>Riboviria;Orthornavirae;Duplornaviricota;Resentoviricetes;Reovirales;Sedoreoviridae;Seadornavirus;Seadornavirus kadipiroense</t>
  </si>
  <si>
    <t>Riboviria;Orthornavirae;Duplornaviricota;Resentoviricetes;Reovirales;Sedoreoviridae;Seadornavirus;Liao ning virus</t>
  </si>
  <si>
    <t>Riboviria;Orthornavirae;Duplornaviricota;Resentoviricetes;Reovirales;Sedoreoviridae;Seadornavirus;Seadornavirus liaoningense</t>
  </si>
  <si>
    <t>Riboviria;Orthornavirae;Duplornaviricota;Resentoviricetes;Reovirales;Spinareoviridae;Aquareovirus;Aquareovirus C</t>
  </si>
  <si>
    <t>Riboviria;Orthornavirae;Duplornaviricota;Resentoviricetes;Reovirales;Spinareoviridae;Aquareovirus;Aquareovirus ctenopharyngodontis</t>
  </si>
  <si>
    <t>Riboviria;Orthornavirae;Duplornaviricota;Resentoviricetes;Reovirales;Spinareoviridae;Aquareovirus;Aquareovirus G</t>
  </si>
  <si>
    <t>Riboviria;Orthornavirae;Duplornaviricota;Resentoviricetes;Reovirales;Spinareoviridae;Aquareovirus;Aquareovirus graminis</t>
  </si>
  <si>
    <t>Riboviria;Orthornavirae;Duplornaviricota;Resentoviricetes;Reovirales;Spinareoviridae;Aquareovirus;Aquareovirus D</t>
  </si>
  <si>
    <t>Riboviria;Orthornavirae;Duplornaviricota;Resentoviricetes;Reovirales;Spinareoviridae;Aquareovirus;Aquareovirus ictaluri</t>
  </si>
  <si>
    <t>Riboviria;Orthornavirae;Duplornaviricota;Resentoviricetes;Reovirales;Spinareoviridae;Aquareovirus;Aquareovirus F</t>
  </si>
  <si>
    <t>Riboviria;Orthornavirae;Duplornaviricota;Resentoviricetes;Reovirales;Spinareoviridae;Aquareovirus;Aquareovirus maculosi</t>
  </si>
  <si>
    <t>Riboviria;Orthornavirae;Duplornaviricota;Resentoviricetes;Reovirales;Spinareoviridae;Aquareovirus;Aquareovirus B</t>
  </si>
  <si>
    <t>Riboviria;Orthornavirae;Duplornaviricota;Resentoviricetes;Reovirales;Spinareoviridae;Aquareovirus;Aquareovirus oncorhynchi</t>
  </si>
  <si>
    <t>Riboviria;Orthornavirae;Duplornaviricota;Resentoviricetes;Reovirales;Spinareoviridae;Aquareovirus;Aquareovirus A</t>
  </si>
  <si>
    <t>Riboviria;Orthornavirae;Duplornaviricota;Resentoviricetes;Reovirales;Spinareoviridae;Aquareovirus;Aquareovirus salmonis</t>
  </si>
  <si>
    <t>Riboviria;Orthornavirae;Duplornaviricota;Resentoviricetes;Reovirales;Spinareoviridae;Aquareovirus;Aquareovirus E</t>
  </si>
  <si>
    <t>Riboviria;Orthornavirae;Duplornaviricota;Resentoviricetes;Reovirales;Spinareoviridae;Aquareovirus;Aquareovirus scophthalmi</t>
  </si>
  <si>
    <t>Riboviria;Orthornavirae;Duplornaviricota;Resentoviricetes;Reovirales;Spinareoviridae;Coltivirus;Colorado tick fever coltivirus</t>
  </si>
  <si>
    <t>Riboviria;Orthornavirae;Duplornaviricota;Resentoviricetes;Reovirales;Spinareoviridae;Coltivirus;Coltivirus dermacentoris</t>
  </si>
  <si>
    <t>Riboviria;Orthornavirae;Duplornaviricota;Resentoviricetes;Reovirales;Spinareoviridae;Coltivirus;Eyach coltivirus</t>
  </si>
  <si>
    <t>Riboviria;Orthornavirae;Duplornaviricota;Resentoviricetes;Reovirales;Spinareoviridae;Coltivirus;Coltivirus ixodis</t>
  </si>
  <si>
    <t>Riboviria;Orthornavirae;Duplornaviricota;Resentoviricetes;Reovirales;Spinareoviridae;Coltivirus;Kundal coltivirus</t>
  </si>
  <si>
    <t>Riboviria;Orthornavirae;Duplornaviricota;Resentoviricetes;Reovirales;Spinareoviridae;Coltivirus;Coltivirus kundalense</t>
  </si>
  <si>
    <t>Riboviria;Orthornavirae;Duplornaviricota;Resentoviricetes;Reovirales;Spinareoviridae;Coltivirus;Tai Forest coltivirus</t>
  </si>
  <si>
    <t>Riboviria;Orthornavirae;Duplornaviricota;Resentoviricetes;Reovirales;Spinareoviridae;Coltivirus;Coltivirus taiense</t>
  </si>
  <si>
    <t>Riboviria;Orthornavirae;Duplornaviricota;Resentoviricetes;Reovirales;Spinareoviridae;Coltivirus;Tarumizu coltivirus</t>
  </si>
  <si>
    <t>Riboviria;Orthornavirae;Duplornaviricota;Resentoviricetes;Reovirales;Spinareoviridae;Coltivirus;Coltivirus tarumizuense</t>
  </si>
  <si>
    <t>Riboviria;Orthornavirae;Duplornaviricota;Resentoviricetes;Reovirales;Spinareoviridae;Cypovirus;Cypovirus 6</t>
  </si>
  <si>
    <t>Riboviria;Orthornavirae;Duplornaviricota;Resentoviricetes;Reovirales;Spinareoviridae;Cypovirus;Cypovirus aglaidis</t>
  </si>
  <si>
    <t>Riboviria;Orthornavirae;Duplornaviricota;Resentoviricetes;Reovirales;Spinareoviridae;Cypovirus;Cypovirus 9</t>
  </si>
  <si>
    <t>Riboviria;Orthornavirae;Duplornaviricota;Resentoviricetes;Reovirales;Spinareoviridae;Cypovirus;Cypovirus agrotidis</t>
  </si>
  <si>
    <t>Riboviria;Orthornavirae;Duplornaviricota;Resentoviricetes;Reovirales;Spinareoviridae;Cypovirus;Cypovirus 1</t>
  </si>
  <si>
    <t>Riboviria;Orthornavirae;Duplornaviricota;Resentoviricetes;Reovirales;Spinareoviridae;Cypovirus;Cypovirus altineae</t>
  </si>
  <si>
    <t>Riboviria;Orthornavirae;Duplornaviricota;Resentoviricetes;Reovirales;Spinareoviridae;Cypovirus;Cypovirus 4</t>
  </si>
  <si>
    <t>Riboviria;Orthornavirae;Duplornaviricota;Resentoviricetes;Reovirales;Spinareoviridae;Cypovirus;Cypovirus antheraeae</t>
  </si>
  <si>
    <t>Riboviria;Orthornavirae;Duplornaviricota;Resentoviricetes;Reovirales;Spinareoviridae;Cypovirus;Cypovirus 3</t>
  </si>
  <si>
    <t>Riboviria;Orthornavirae;Duplornaviricota;Resentoviricetes;Reovirales;Spinareoviridae;Cypovirus;Cypovirus aplocerae</t>
  </si>
  <si>
    <t>Riboviria;Orthornavirae;Duplornaviricota;Resentoviricetes;Reovirales;Spinareoviridae;Cypovirus;Cypovirus 10</t>
  </si>
  <si>
    <t>Riboviria;Orthornavirae;Duplornaviricota;Resentoviricetes;Reovirales;Spinareoviridae;Cypovirus;Cypovirus aprophylae</t>
  </si>
  <si>
    <t>Riboviria;Orthornavirae;Duplornaviricota;Resentoviricetes;Reovirales;Spinareoviridae;Cypovirus;Cypovirus 12</t>
  </si>
  <si>
    <t>Riboviria;Orthornavirae;Duplornaviricota;Resentoviricetes;Reovirales;Spinareoviridae;Cypovirus;Cypovirus autographae</t>
  </si>
  <si>
    <t>Riboviria;Orthornavirae;Duplornaviricota;Resentoviricetes;Reovirales;Spinareoviridae;Cypovirus;Cypovirus 5</t>
  </si>
  <si>
    <t>Riboviria;Orthornavirae;Duplornaviricota;Resentoviricetes;Reovirales;Spinareoviridae;Cypovirus;Cypovirus betineae</t>
  </si>
  <si>
    <t>Riboviria;Orthornavirae;Duplornaviricota;Resentoviricetes;Reovirales;Spinareoviridae;Cypovirus;Cypovirus 16</t>
  </si>
  <si>
    <t>Riboviria;Orthornavirae;Duplornaviricota;Resentoviricetes;Reovirales;Spinareoviridae;Cypovirus;Cypovirus choristoneurae</t>
  </si>
  <si>
    <t>Riboviria;Orthornavirae;Duplornaviricota;Resentoviricetes;Reovirales;Spinareoviridae;Cypovirus;Cypovirus 8</t>
  </si>
  <si>
    <t>Riboviria;Orthornavirae;Duplornaviricota;Resentoviricetes;Reovirales;Spinareoviridae;Cypovirus;Cypovirus gatineae</t>
  </si>
  <si>
    <t>Riboviria;Orthornavirae;Duplornaviricota;Resentoviricetes;Reovirales;Spinareoviridae;Cypovirus;Cypovirus 11</t>
  </si>
  <si>
    <t>Riboviria;Orthornavirae;Duplornaviricota;Resentoviricetes;Reovirales;Spinareoviridae;Cypovirus;Cypovirus heliothidis</t>
  </si>
  <si>
    <t>Riboviria;Orthornavirae;Duplornaviricota;Resentoviricetes;Reovirales;Spinareoviridae;Cypovirus;Cypovirus 2</t>
  </si>
  <si>
    <t>Riboviria;Orthornavirae;Duplornaviricota;Resentoviricetes;Reovirales;Spinareoviridae;Cypovirus;Cypovirus inachidis</t>
  </si>
  <si>
    <t>Riboviria;Orthornavirae;Duplornaviricota;Resentoviricetes;Reovirales;Spinareoviridae;Cypovirus;Cypovirus 14</t>
  </si>
  <si>
    <t>Riboviria;Orthornavirae;Duplornaviricota;Resentoviricetes;Reovirales;Spinareoviridae;Cypovirus;Cypovirus lymantriae</t>
  </si>
  <si>
    <t>Riboviria;Orthornavirae;Duplornaviricota;Resentoviricetes;Reovirales;Spinareoviridae;Cypovirus;Cypovirus 7</t>
  </si>
  <si>
    <t>Riboviria;Orthornavirae;Duplornaviricota;Resentoviricetes;Reovirales;Spinareoviridae;Cypovirus;Cypovirus mamestrae</t>
  </si>
  <si>
    <t>Riboviria;Orthornavirae;Duplornaviricota;Resentoviricetes;Reovirales;Spinareoviridae;Cypovirus;Cypovirus 13</t>
  </si>
  <si>
    <t>Riboviria;Orthornavirae;Duplornaviricota;Resentoviricetes;Reovirales;Spinareoviridae;Cypovirus;Cypovirus polistis</t>
  </si>
  <si>
    <t>Riboviria;Orthornavirae;Duplornaviricota;Resentoviricetes;Reovirales;Spinareoviridae;Cypovirus;Cypovirus 15</t>
  </si>
  <si>
    <t>Riboviria;Orthornavirae;Duplornaviricota;Resentoviricetes;Reovirales;Spinareoviridae;Cypovirus;Cypovirus trichoplusiae</t>
  </si>
  <si>
    <t>Riboviria;Orthornavirae;Duplornaviricota;Resentoviricetes;Reovirales;Spinareoviridae;Dinovernavirus;Aedes pseudoscutellaris reovirus</t>
  </si>
  <si>
    <t>Riboviria;Orthornavirae;Duplornaviricota;Resentoviricetes;Reovirales;Spinareoviridae;Dinovernavirus;Dinovernavirus aedis</t>
  </si>
  <si>
    <t>Riboviria;Orthornavirae;Duplornaviricota;Resentoviricetes;Reovirales;Spinareoviridae;Fijivirus;Garlic dwarf virus</t>
  </si>
  <si>
    <t>Riboviria;Orthornavirae;Duplornaviricota;Resentoviricetes;Reovirales;Spinareoviridae;Fijivirus;Fijivirus allii</t>
  </si>
  <si>
    <t>Riboviria;Orthornavirae;Duplornaviricota;Resentoviricetes;Reovirales;Spinareoviridae;Fijivirus;Rice black streaked dwarf virus</t>
  </si>
  <si>
    <t>Riboviria;Orthornavirae;Duplornaviricota;Resentoviricetes;Reovirales;Spinareoviridae;Fijivirus;Fijivirus alporyzae</t>
  </si>
  <si>
    <t>Riboviria;Orthornavirae;Duplornaviricota;Resentoviricetes;Reovirales;Spinareoviridae;Fijivirus;Oat sterile dwarf virus</t>
  </si>
  <si>
    <t>Riboviria;Orthornavirae;Duplornaviricota;Resentoviricetes;Reovirales;Spinareoviridae;Fijivirus;Fijivirus avenae</t>
  </si>
  <si>
    <t>Riboviria;Orthornavirae;Duplornaviricota;Resentoviricetes;Reovirales;Spinareoviridae;Fijivirus;Southern rice black-streaked dwarf virus</t>
  </si>
  <si>
    <t>Riboviria;Orthornavirae;Duplornaviricota;Resentoviricetes;Reovirales;Spinareoviridae;Fijivirus;Fijivirus boryzae</t>
  </si>
  <si>
    <t>Riboviria;Orthornavirae;Duplornaviricota;Resentoviricetes;Reovirales;Spinareoviridae;Fijivirus;Mal de Rio Cuarto virus</t>
  </si>
  <si>
    <t>Riboviria;Orthornavirae;Duplornaviricota;Resentoviricetes;Reovirales;Spinareoviridae;Fijivirus;Fijivirus cuartoense</t>
  </si>
  <si>
    <t>Riboviria;Orthornavirae;Duplornaviricota;Resentoviricetes;Reovirales;Spinareoviridae;Fijivirus;Pangola stunt virus</t>
  </si>
  <si>
    <t>Riboviria;Orthornavirae;Duplornaviricota;Resentoviricetes;Reovirales;Spinareoviridae;Fijivirus;Fijivirus digitariae</t>
  </si>
  <si>
    <t>Riboviria;Orthornavirae;Duplornaviricota;Resentoviricetes;Reovirales;Spinareoviridae;Fijivirus;Fiji disease virus</t>
  </si>
  <si>
    <t>Riboviria;Orthornavirae;Duplornaviricota;Resentoviricetes;Reovirales;Spinareoviridae;Fijivirus;Fijivirus fijiense</t>
  </si>
  <si>
    <t>Riboviria;Orthornavirae;Duplornaviricota;Resentoviricetes;Reovirales;Spinareoviridae;Fijivirus;Nilaparvata lugens reovirus</t>
  </si>
  <si>
    <t>Riboviria;Orthornavirae;Duplornaviricota;Resentoviricetes;Reovirales;Spinareoviridae;Fijivirus;Fijivirus nilaparvatae</t>
  </si>
  <si>
    <t>Riboviria;Orthornavirae;Duplornaviricota;Resentoviricetes;Reovirales;Spinareoviridae;Fijivirus;Maize rough dwarf virus</t>
  </si>
  <si>
    <t>Riboviria;Orthornavirae;Duplornaviricota;Resentoviricetes;Reovirales;Spinareoviridae;Fijivirus;Fijivirus zeae</t>
  </si>
  <si>
    <t>Riboviria;Orthornavirae;Duplornaviricota;Resentoviricetes;Reovirales;Spinareoviridae;Idnoreovirus;Idnoreovirus 5</t>
  </si>
  <si>
    <t>Riboviria;Orthornavirae;Duplornaviricota;Resentoviricetes;Reovirales;Spinareoviridae;Idnoreovirus;Idnoreovirus ceratitidis</t>
  </si>
  <si>
    <t>Riboviria;Orthornavirae;Duplornaviricota;Resentoviricetes;Reovirales;Spinareoviridae;Idnoreovirus;Idnoreovirus 4</t>
  </si>
  <si>
    <t>Riboviria;Orthornavirae;Duplornaviricota;Resentoviricetes;Reovirales;Spinareoviridae;Idnoreovirus;Idnoreovirus daci</t>
  </si>
  <si>
    <t>Riboviria;Orthornavirae;Duplornaviricota;Resentoviricetes;Reovirales;Spinareoviridae;Idnoreovirus;Idnoreovirus 1</t>
  </si>
  <si>
    <t>Riboviria;Orthornavirae;Duplornaviricota;Resentoviricetes;Reovirales;Spinareoviridae;Idnoreovirus;Idnoreovirus diadromi</t>
  </si>
  <si>
    <t>Riboviria;Orthornavirae;Duplornaviricota;Resentoviricetes;Reovirales;Spinareoviridae;Idnoreovirus;Idnoreovirus 2</t>
  </si>
  <si>
    <t>Riboviria;Orthornavirae;Duplornaviricota;Resentoviricetes;Reovirales;Spinareoviridae;Idnoreovirus;Idnoreovirus hypersoteris</t>
  </si>
  <si>
    <t>Riboviria;Orthornavirae;Duplornaviricota;Resentoviricetes;Reovirales;Spinareoviridae;Idnoreovirus;Idnoreovirus 3</t>
  </si>
  <si>
    <t>Riboviria;Orthornavirae;Duplornaviricota;Resentoviricetes;Reovirales;Spinareoviridae;Idnoreovirus;Idnoreovirus muscae</t>
  </si>
  <si>
    <t>Riboviria;Orthornavirae;Duplornaviricota;Resentoviricetes;Reovirales;Spinareoviridae;Mycoreovirus;Mycoreovirus 1</t>
  </si>
  <si>
    <t>Riboviria;Orthornavirae;Duplornaviricota;Resentoviricetes;Reovirales;Spinareoviridae;Mycoreovirus;Mycoreovirus alcryphonectriae</t>
  </si>
  <si>
    <t>Riboviria;Orthornavirae;Duplornaviricota;Resentoviricetes;Reovirales;Spinareoviridae;Mycoreovirus;Mycoreovirus 2</t>
  </si>
  <si>
    <t>Riboviria;Orthornavirae;Duplornaviricota;Resentoviricetes;Reovirales;Spinareoviridae;Mycoreovirus;Mycoreovirus becryphonectriae</t>
  </si>
  <si>
    <t>Riboviria;Orthornavirae;Duplornaviricota;Resentoviricetes;Reovirales;Spinareoviridae;Mycoreovirus;Mycoreovirus 3</t>
  </si>
  <si>
    <t>Riboviria;Orthornavirae;Duplornaviricota;Resentoviricetes;Reovirales;Spinareoviridae;Mycoreovirus;Mycoreovirus roselliniae</t>
  </si>
  <si>
    <t>Riboviria;Orthornavirae;Duplornaviricota;Resentoviricetes;Reovirales;Spinareoviridae;Orthoreovirus;Avian orthoreovirus</t>
  </si>
  <si>
    <t>Riboviria;Orthornavirae;Duplornaviricota;Resentoviricetes;Reovirales;Spinareoviridae;Orthoreovirus;Orthoreovirus avis</t>
  </si>
  <si>
    <t>Riboviria;Orthornavirae;Duplornaviricota;Resentoviricetes;Reovirales;Spinareoviridae;Orthoreovirus;Broome orthoreovirus</t>
  </si>
  <si>
    <t>Riboviria;Orthornavirae;Duplornaviricota;Resentoviricetes;Reovirales;Spinareoviridae;Orthoreovirus;Orthoreovirus broomense</t>
  </si>
  <si>
    <t>Riboviria;Orthornavirae;Duplornaviricota;Resentoviricetes;Reovirales;Spinareoviridae;Orthoreovirus;Mahlapitsi orthoreovirus</t>
  </si>
  <si>
    <t>Riboviria;Orthornavirae;Duplornaviricota;Resentoviricetes;Reovirales;Spinareoviridae;Orthoreovirus;Orthoreovirus mahlapitsiense</t>
  </si>
  <si>
    <t>Riboviria;Orthornavirae;Duplornaviricota;Resentoviricetes;Reovirales;Spinareoviridae;Orthoreovirus;Mammalian orthoreovirus</t>
  </si>
  <si>
    <t>Riboviria;Orthornavirae;Duplornaviricota;Resentoviricetes;Reovirales;Spinareoviridae;Orthoreovirus;Orthoreovirus mammalis</t>
  </si>
  <si>
    <t>Riboviria;Orthornavirae;Duplornaviricota;Resentoviricetes;Reovirales;Spinareoviridae;Orthoreovirus;Nelson Bay orthoreovirus</t>
  </si>
  <si>
    <t>Riboviria;Orthornavirae;Duplornaviricota;Resentoviricetes;Reovirales;Spinareoviridae;Orthoreovirus;Orthoreovirus nelsonense</t>
  </si>
  <si>
    <t>Riboviria;Orthornavirae;Duplornaviricota;Resentoviricetes;Reovirales;Spinareoviridae;Orthoreovirus;Neoavian orthoreovirus</t>
  </si>
  <si>
    <t>Riboviria;Orthornavirae;Duplornaviricota;Resentoviricetes;Reovirales;Spinareoviridae;Orthoreovirus;Orthoreovirus neoavis</t>
  </si>
  <si>
    <t>Riboviria;Orthornavirae;Duplornaviricota;Resentoviricetes;Reovirales;Spinareoviridae;Orthoreovirus;Baboon orthoreovirus</t>
  </si>
  <si>
    <t>Riboviria;Orthornavirae;Duplornaviricota;Resentoviricetes;Reovirales;Spinareoviridae;Orthoreovirus;Orthoreovirus papionis</t>
  </si>
  <si>
    <t>Riboviria;Orthornavirae;Duplornaviricota;Resentoviricetes;Reovirales;Spinareoviridae;Orthoreovirus;Piscine orthoreovirus</t>
  </si>
  <si>
    <t>Riboviria;Orthornavirae;Duplornaviricota;Resentoviricetes;Reovirales;Spinareoviridae;Orthoreovirus;Orthoreovirus piscis</t>
  </si>
  <si>
    <t>Riboviria;Orthornavirae;Duplornaviricota;Resentoviricetes;Reovirales;Spinareoviridae;Orthoreovirus;Reptilian orthoreovirus</t>
  </si>
  <si>
    <t>Riboviria;Orthornavirae;Duplornaviricota;Resentoviricetes;Reovirales;Spinareoviridae;Orthoreovirus;Orthoreovirus reptilis</t>
  </si>
  <si>
    <t>Riboviria;Orthornavirae;Duplornaviricota;Resentoviricetes;Reovirales;Spinareoviridae;Orthoreovirus;Testudine orthoreovirus</t>
  </si>
  <si>
    <t>Riboviria;Orthornavirae;Duplornaviricota;Resentoviricetes;Reovirales;Spinareoviridae;Orthoreovirus;Orthoreovirus testudinis</t>
  </si>
  <si>
    <t>Riboviria;Orthornavirae;Duplornaviricota;Resentoviricetes;Reovirales;Spinareoviridae;Oryzavirus;Echinochloa ragged stunt virus</t>
  </si>
  <si>
    <t>Riboviria;Orthornavirae;Duplornaviricota;Resentoviricetes;Reovirales;Spinareoviridae;Oryzavirus;Oryzavirus echinochloae</t>
  </si>
  <si>
    <t>Riboviria;Orthornavirae;Duplornaviricota;Resentoviricetes;Reovirales;Spinareoviridae;Oryzavirus;Rice ragged stunt virus</t>
  </si>
  <si>
    <t>Riboviria;Orthornavirae;Duplornaviricota;Resentoviricetes;Reovirales;Spinareoviridae;Oryzavirus;Oryzavirus oryzae</t>
  </si>
  <si>
    <t>Riboviria;Orthornavirae;Kitrinoviricota;Alsuviricetes;Hepelivirales;Alphatetraviridae;Betatetravirus;Antheraea eucalypti virus</t>
  </si>
  <si>
    <t>Riboviria;Orthornavirae;Kitrinoviricota;Alsuviricetes;Hepelivirales;Alphatetraviridae;Betatetravirus;Betatetravirus antheraeae</t>
  </si>
  <si>
    <t>Riboviria;Orthornavirae;Kitrinoviricota;Alsuviricetes;Hepelivirales;Alphatetraviridae;Betatetravirus;Darna trima virus</t>
  </si>
  <si>
    <t>Riboviria;Orthornavirae;Kitrinoviricota;Alsuviricetes;Hepelivirales;Alphatetraviridae;Betatetravirus;Betatetravirus darnae</t>
  </si>
  <si>
    <t>Riboviria;Orthornavirae;Kitrinoviricota;Alsuviricetes;Hepelivirales;Alphatetraviridae;Betatetravirus;Dasychira pudibunda virus</t>
  </si>
  <si>
    <t>Riboviria;Orthornavirae;Kitrinoviricota;Alsuviricetes;Hepelivirales;Alphatetraviridae;Betatetravirus;Betatetravirus dasychirae</t>
  </si>
  <si>
    <t>Riboviria;Orthornavirae;Kitrinoviricota;Alsuviricetes;Hepelivirales;Alphatetraviridae;Betatetravirus;Nudaurelia capensis beta virus</t>
  </si>
  <si>
    <t>Riboviria;Orthornavirae;Kitrinoviricota;Alsuviricetes;Hepelivirales;Alphatetraviridae;Betatetravirus;Betatetravirus nudaureliae</t>
  </si>
  <si>
    <t>Riboviria;Orthornavirae;Kitrinoviricota;Alsuviricetes;Hepelivirales;Alphatetraviridae;Betatetravirus;Philosamia cynthia x ricini virus</t>
  </si>
  <si>
    <t>Riboviria;Orthornavirae;Kitrinoviricota;Alsuviricetes;Hepelivirales;Alphatetraviridae;Betatetravirus;Betatetravirus philosamiae</t>
  </si>
  <si>
    <t>Riboviria;Orthornavirae;Kitrinoviricota;Alsuviricetes;Hepelivirales;Alphatetraviridae;Betatetravirus;Pseudoplusia includens virus</t>
  </si>
  <si>
    <t>Riboviria;Orthornavirae;Kitrinoviricota;Alsuviricetes;Hepelivirales;Alphatetraviridae;Betatetravirus;Betatetravirus pseudoplusiae</t>
  </si>
  <si>
    <t>Riboviria;Orthornavirae;Kitrinoviricota;Alsuviricetes;Hepelivirales;Alphatetraviridae;Betatetravirus;Trichoplusia ni virus</t>
  </si>
  <si>
    <t>Riboviria;Orthornavirae;Kitrinoviricota;Alsuviricetes;Hepelivirales;Alphatetraviridae;Betatetravirus;Betatetravirus trichoplusiae</t>
  </si>
  <si>
    <t>Riboviria;Orthornavirae;Kitrinoviricota;Alsuviricetes;Hepelivirales;Alphatetraviridae;Omegatetravirus;Dendrolimus punctatus virus</t>
  </si>
  <si>
    <t>Riboviria;Orthornavirae;Kitrinoviricota;Alsuviricetes;Hepelivirales;Alphatetraviridae;Omegatetravirus;Omegatetravirus dendrolimi</t>
  </si>
  <si>
    <t>Riboviria;Orthornavirae;Kitrinoviricota;Alsuviricetes;Hepelivirales;Alphatetraviridae;Omegatetravirus;Helicoverpa armigera stunt virus</t>
  </si>
  <si>
    <t>Riboviria;Orthornavirae;Kitrinoviricota;Alsuviricetes;Hepelivirales;Alphatetraviridae;Omegatetravirus;Omegatetravirus helicoverpae</t>
  </si>
  <si>
    <t>Riboviria;Orthornavirae;Kitrinoviricota;Alsuviricetes;Hepelivirales;Alphatetraviridae;Omegatetravirus;Nudaurelia capensis omega virus</t>
  </si>
  <si>
    <t>Riboviria;Orthornavirae;Kitrinoviricota;Alsuviricetes;Hepelivirales;Alphatetraviridae;Omegatetravirus;Omegatetravirus nudaureliae</t>
  </si>
  <si>
    <t>Riboviria;Orthornavirae;Kitrinoviricota;Alsuviricetes;Hepelivirales;Benyviridae;Benyvirus;Burdock mottle virus</t>
  </si>
  <si>
    <t>Riboviria;Orthornavirae;Kitrinoviricota;Alsuviricetes;Hepelivirales;Benyviridae;Benyvirus;Benyvirus arctii</t>
  </si>
  <si>
    <t>Riboviria;Orthornavirae;Kitrinoviricota;Alsuviricetes;Hepelivirales;Benyviridae;Benyvirus;Beet necrotic yellow vein virus</t>
  </si>
  <si>
    <t>Riboviria;Orthornavirae;Kitrinoviricota;Alsuviricetes;Hepelivirales;Benyviridae;Benyvirus;Benyvirus necrobetae</t>
  </si>
  <si>
    <t>Riboviria;Orthornavirae;Kitrinoviricota;Alsuviricetes;Hepelivirales;Benyviridae;Benyvirus;Rice stripe necrosis virus</t>
  </si>
  <si>
    <t>Riboviria;Orthornavirae;Kitrinoviricota;Alsuviricetes;Hepelivirales;Benyviridae;Benyvirus;Benyvirus oryzae</t>
  </si>
  <si>
    <t>Riboviria;Orthornavirae;Kitrinoviricota;Alsuviricetes;Hepelivirales;Benyviridae;Benyvirus;Beet soil-borne mosaic virus</t>
  </si>
  <si>
    <t>Riboviria;Orthornavirae;Kitrinoviricota;Alsuviricetes;Hepelivirales;Benyviridae;Benyvirus;Benyvirus solibetae</t>
  </si>
  <si>
    <t>Riboviria;Orthornavirae;Kitrinoviricota;Alsuviricetes;Martellivirales;Bromoviridae;Alfamovirus;Alfalfa mosaic virus</t>
  </si>
  <si>
    <t>Riboviria;Orthornavirae;Kitrinoviricota;Alsuviricetes;Martellivirales;Bromoviridae;Alfamovirus;Alfamovirus AMV</t>
  </si>
  <si>
    <t>Riboviria;Orthornavirae;Kitrinoviricota;Alsuviricetes;Martellivirales;Bromoviridae;Anulavirus;Amazon lily mild mottle virus</t>
  </si>
  <si>
    <t>Riboviria;Orthornavirae;Kitrinoviricota;Alsuviricetes;Martellivirales;Bromoviridae;Anulavirus;Anulavirus ALMMV</t>
  </si>
  <si>
    <t>Riboviria;Orthornavirae;Kitrinoviricota;Alsuviricetes;Martellivirales;Bromoviridae;Anulavirus;Pelargonium zonate spot virus</t>
  </si>
  <si>
    <t>Riboviria;Orthornavirae;Kitrinoviricota;Alsuviricetes;Martellivirales;Bromoviridae;Anulavirus;Anulavirus PZSV</t>
  </si>
  <si>
    <t>Riboviria;Orthornavirae;Kitrinoviricota;Alsuviricetes;Martellivirales;Bromoviridae;Bromovirus;Broad bean mottle virus</t>
  </si>
  <si>
    <t>Riboviria;Orthornavirae;Kitrinoviricota;Alsuviricetes;Martellivirales;Bromoviridae;Bromovirus;Bromovirus BBMV</t>
  </si>
  <si>
    <t>Riboviria;Orthornavirae;Kitrinoviricota;Alsuviricetes;Martellivirales;Bromoviridae;Bromovirus;Brome mosaic virus</t>
  </si>
  <si>
    <t>Riboviria;Orthornavirae;Kitrinoviricota;Alsuviricetes;Martellivirales;Bromoviridae;Bromovirus;Bromovirus BMV</t>
  </si>
  <si>
    <t>Riboviria;Orthornavirae;Kitrinoviricota;Alsuviricetes;Martellivirales;Bromoviridae;Bromovirus;Cowpea chlorotic mottle virus</t>
  </si>
  <si>
    <t>Riboviria;Orthornavirae;Kitrinoviricota;Alsuviricetes;Martellivirales;Bromoviridae;Bromovirus;Bromovirus CCMV</t>
  </si>
  <si>
    <t>Riboviria;Orthornavirae;Kitrinoviricota;Alsuviricetes;Martellivirales;Bromoviridae;Bromovirus;Cassia yellow blotch virus</t>
  </si>
  <si>
    <t>Riboviria;Orthornavirae;Kitrinoviricota;Alsuviricetes;Martellivirales;Bromoviridae;Bromovirus;Bromovirus CYBV</t>
  </si>
  <si>
    <t>Riboviria;Orthornavirae;Kitrinoviricota;Alsuviricetes;Martellivirales;Bromoviridae;Bromovirus;Melandrium yellow fleck virus</t>
  </si>
  <si>
    <t>Riboviria;Orthornavirae;Kitrinoviricota;Alsuviricetes;Martellivirales;Bromoviridae;Bromovirus;Bromovirus MYFV</t>
  </si>
  <si>
    <t>Riboviria;Orthornavirae;Kitrinoviricota;Alsuviricetes;Martellivirales;Bromoviridae;Bromovirus;Spring beauty latent virus</t>
  </si>
  <si>
    <t>Riboviria;Orthornavirae;Kitrinoviricota;Alsuviricetes;Martellivirales;Bromoviridae;Bromovirus;Bromovirus SBLV</t>
  </si>
  <si>
    <t>Riboviria;Orthornavirae;Kitrinoviricota;Alsuviricetes;Martellivirales;Bromoviridae;Cucumovirus;Cucumber mosaic virus</t>
  </si>
  <si>
    <t>Riboviria;Orthornavirae;Kitrinoviricota;Alsuviricetes;Martellivirales;Bromoviridae;Cucumovirus;Cucumovirus CMV</t>
  </si>
  <si>
    <t>Riboviria;Orthornavirae;Kitrinoviricota;Alsuviricetes;Martellivirales;Bromoviridae;Cucumovirus;Gayfeather mild mottle virus</t>
  </si>
  <si>
    <t>Riboviria;Orthornavirae;Kitrinoviricota;Alsuviricetes;Martellivirales;Bromoviridae;Cucumovirus;Cucumovirus GMMV</t>
  </si>
  <si>
    <t>Riboviria;Orthornavirae;Kitrinoviricota;Alsuviricetes;Martellivirales;Bromoviridae;Cucumovirus;Peanut stunt virus</t>
  </si>
  <si>
    <t>Riboviria;Orthornavirae;Kitrinoviricota;Alsuviricetes;Martellivirales;Bromoviridae;Cucumovirus;Cucumovirus PSV</t>
  </si>
  <si>
    <t>Riboviria;Orthornavirae;Kitrinoviricota;Alsuviricetes;Martellivirales;Bromoviridae;Cucumovirus;Tomato aspermy virus</t>
  </si>
  <si>
    <t>Riboviria;Orthornavirae;Kitrinoviricota;Alsuviricetes;Martellivirales;Bromoviridae;Cucumovirus;Cucumovirus TAV</t>
  </si>
  <si>
    <t>Riboviria;Orthornavirae;Kitrinoviricota;Alsuviricetes;Martellivirales;Bromoviridae;Ilarvirus;Ageratum latent virus</t>
  </si>
  <si>
    <t>Riboviria;Orthornavirae;Kitrinoviricota;Alsuviricetes;Martellivirales;Bromoviridae;Ilarvirus;Ilarvirus AGLV</t>
  </si>
  <si>
    <t>Riboviria;Orthornavirae;Kitrinoviricota;Alsuviricetes;Martellivirales;Bromoviridae;Ilarvirus;American plum line pattern virus</t>
  </si>
  <si>
    <t>Riboviria;Orthornavirae;Kitrinoviricota;Alsuviricetes;Martellivirales;Bromoviridae;Ilarvirus;Ilarvirus APLPV</t>
  </si>
  <si>
    <t>Riboviria;Orthornavirae;Kitrinoviricota;Alsuviricetes;Martellivirales;Bromoviridae;Ilarvirus;Apple mosaic virus</t>
  </si>
  <si>
    <t>Riboviria;Orthornavirae;Kitrinoviricota;Alsuviricetes;Martellivirales;Bromoviridae;Ilarvirus;Ilarvirus ApMV</t>
  </si>
  <si>
    <t>Riboviria;Orthornavirae;Kitrinoviricota;Alsuviricetes;Martellivirales;Bromoviridae;Ilarvirus;Asparagus virus 2</t>
  </si>
  <si>
    <t>Riboviria;Orthornavirae;Kitrinoviricota;Alsuviricetes;Martellivirales;Bromoviridae;Ilarvirus;Ilarvirus AV2</t>
  </si>
  <si>
    <t>Riboviria;Orthornavirae;Kitrinoviricota;Alsuviricetes;Martellivirales;Bromoviridae;Ilarvirus;Blackberry chlorotic ringspot virus</t>
  </si>
  <si>
    <t>Riboviria;Orthornavirae;Kitrinoviricota;Alsuviricetes;Martellivirales;Bromoviridae;Ilarvirus;Ilarvirus BCRV</t>
  </si>
  <si>
    <t>Riboviria;Orthornavirae;Kitrinoviricota;Alsuviricetes;Martellivirales;Bromoviridae;Ilarvirus;Blueberry shock virus</t>
  </si>
  <si>
    <t>Riboviria;Orthornavirae;Kitrinoviricota;Alsuviricetes;Martellivirales;Bromoviridae;Ilarvirus;Ilarvirus BSV</t>
  </si>
  <si>
    <t>Riboviria;Orthornavirae;Kitrinoviricota;Alsuviricetes;Martellivirales;Bromoviridae;Ilarvirus;Citrus leaf rugose virus</t>
  </si>
  <si>
    <t>Riboviria;Orthornavirae;Kitrinoviricota;Alsuviricetes;Martellivirales;Bromoviridae;Ilarvirus;Ilarvirus CLRV</t>
  </si>
  <si>
    <t>Riboviria;Orthornavirae;Kitrinoviricota;Alsuviricetes;Martellivirales;Bromoviridae;Ilarvirus;Citrus variegation virus</t>
  </si>
  <si>
    <t>Riboviria;Orthornavirae;Kitrinoviricota;Alsuviricetes;Martellivirales;Bromoviridae;Ilarvirus;Ilarvirus CVV</t>
  </si>
  <si>
    <t>Riboviria;Orthornavirae;Kitrinoviricota;Alsuviricetes;Martellivirales;Bromoviridae;Ilarvirus;Elm mottle virus</t>
  </si>
  <si>
    <t>Riboviria;Orthornavirae;Kitrinoviricota;Alsuviricetes;Martellivirales;Bromoviridae;Ilarvirus;Ilarvirus EMoV</t>
  </si>
  <si>
    <t>Riboviria;Orthornavirae;Kitrinoviricota;Alsuviricetes;Martellivirales;Bromoviridae;Ilarvirus;Fragaria chiloensis latent virus</t>
  </si>
  <si>
    <t>Riboviria;Orthornavirae;Kitrinoviricota;Alsuviricetes;Martellivirales;Bromoviridae;Ilarvirus;Ilarvirus FCILV</t>
  </si>
  <si>
    <t>Riboviria;Orthornavirae;Kitrinoviricota;Alsuviricetes;Martellivirales;Bromoviridae;Ilarvirus;Humulus japonicus latent virus</t>
  </si>
  <si>
    <t>Riboviria;Orthornavirae;Kitrinoviricota;Alsuviricetes;Martellivirales;Bromoviridae;Ilarvirus;Ilarvirus HJLV</t>
  </si>
  <si>
    <t>Riboviria;Orthornavirae;Kitrinoviricota;Alsuviricetes;Martellivirales;Bromoviridae;Ilarvirus;Lilac leaf chlorosis virus</t>
  </si>
  <si>
    <t>Riboviria;Orthornavirae;Kitrinoviricota;Alsuviricetes;Martellivirales;Bromoviridae;Ilarvirus;Ilarvirus LLCV</t>
  </si>
  <si>
    <t>Riboviria;Orthornavirae;Kitrinoviricota;Alsuviricetes;Martellivirales;Bromoviridae;Ilarvirus;Lilac ring mottle virus</t>
  </si>
  <si>
    <t>Riboviria;Orthornavirae;Kitrinoviricota;Alsuviricetes;Martellivirales;Bromoviridae;Ilarvirus;Ilarvirus LRMV</t>
  </si>
  <si>
    <t>Riboviria;Orthornavirae;Kitrinoviricota;Alsuviricetes;Martellivirales;Bromoviridae;Ilarvirus;Prune dwarf virus</t>
  </si>
  <si>
    <t>Riboviria;Orthornavirae;Kitrinoviricota;Alsuviricetes;Martellivirales;Bromoviridae;Ilarvirus;Ilarvirus PDV</t>
  </si>
  <si>
    <t>Riboviria;Orthornavirae;Kitrinoviricota;Alsuviricetes;Martellivirales;Bromoviridae;Ilarvirus;Parietaria mottle virus</t>
  </si>
  <si>
    <t>Riboviria;Orthornavirae;Kitrinoviricota;Alsuviricetes;Martellivirales;Bromoviridae;Ilarvirus;Ilarvirus PMV</t>
  </si>
  <si>
    <t>Riboviria;Orthornavirae;Kitrinoviricota;Alsuviricetes;Martellivirales;Bromoviridae;Ilarvirus;Prunus necrotic ringspot virus</t>
  </si>
  <si>
    <t>Riboviria;Orthornavirae;Kitrinoviricota;Alsuviricetes;Martellivirales;Bromoviridae;Ilarvirus;Ilarvirus PNRSV</t>
  </si>
  <si>
    <t>Riboviria;Orthornavirae;Kitrinoviricota;Alsuviricetes;Martellivirales;Bromoviridae;Ilarvirus;Privet ringspot virus</t>
  </si>
  <si>
    <t>Riboviria;Orthornavirae;Kitrinoviricota;Alsuviricetes;Martellivirales;Bromoviridae;Ilarvirus;Ilarvirus PrRSV</t>
  </si>
  <si>
    <t>Riboviria;Orthornavirae;Kitrinoviricota;Alsuviricetes;Martellivirales;Bromoviridae;Ilarvirus;Spinach latent virus</t>
  </si>
  <si>
    <t>Riboviria;Orthornavirae;Kitrinoviricota;Alsuviricetes;Martellivirales;Bromoviridae;Ilarvirus;Ilarvirus SLV</t>
  </si>
  <si>
    <t>Riboviria;Orthornavirae;Kitrinoviricota;Alsuviricetes;Martellivirales;Bromoviridae;Ilarvirus;Strawberry necrotic shock virus</t>
  </si>
  <si>
    <t>Riboviria;Orthornavirae;Kitrinoviricota;Alsuviricetes;Martellivirales;Bromoviridae;Ilarvirus;Ilarvirus SNSV</t>
  </si>
  <si>
    <t>Riboviria;Orthornavirae;Kitrinoviricota;Alsuviricetes;Martellivirales;Bromoviridae;Ilarvirus;Tulare apple mosaic virus</t>
  </si>
  <si>
    <t>Riboviria;Orthornavirae;Kitrinoviricota;Alsuviricetes;Martellivirales;Bromoviridae;Ilarvirus;Ilarvirus TAMV</t>
  </si>
  <si>
    <t>Riboviria;Orthornavirae;Kitrinoviricota;Alsuviricetes;Martellivirales;Bromoviridae;Ilarvirus;Tomato necrotic streak virus</t>
  </si>
  <si>
    <t>Riboviria;Orthornavirae;Kitrinoviricota;Alsuviricetes;Martellivirales;Bromoviridae;Ilarvirus;Ilarvirus TomNSV</t>
  </si>
  <si>
    <t>Riboviria;Orthornavirae;Kitrinoviricota;Alsuviricetes;Martellivirales;Bromoviridae;Ilarvirus;Tobacco streak virus</t>
  </si>
  <si>
    <t>Riboviria;Orthornavirae;Kitrinoviricota;Alsuviricetes;Martellivirales;Bromoviridae;Ilarvirus;Ilarvirus TSV</t>
  </si>
  <si>
    <t>Riboviria;Orthornavirae;Kitrinoviricota;Alsuviricetes;Martellivirales;Bromoviridae;Oleavirus;Olive latent virus 2</t>
  </si>
  <si>
    <t>Riboviria;Orthornavirae;Kitrinoviricota;Alsuviricetes;Martellivirales;Bromoviridae;Oleavirus;Oleavirus OLV2</t>
  </si>
  <si>
    <t>Riboviria;Orthornavirae;Kitrinoviricota;Alsuviricetes;Martellivirales;Closteroviridae;Ampelovirus;Air potato ampelovirus 1</t>
  </si>
  <si>
    <t>Riboviria;Orthornavirae;Kitrinoviricota;Alsuviricetes;Martellivirales;Closteroviridae;Ampelovirus;Ampelovirus bulbiferae</t>
  </si>
  <si>
    <t>Riboviria;Orthornavirae;Kitrinoviricota;Alsuviricetes;Martellivirales;Closteroviridae;Ampelovirus;Yam asymptomatic virus 1</t>
  </si>
  <si>
    <t>Riboviria;Orthornavirae;Kitrinoviricota;Alsuviricetes;Martellivirales;Closteroviridae;Ampelovirus;Ampelovirus dioscoreae</t>
  </si>
  <si>
    <t>Riboviria;Orthornavirae;Kitrinoviricota;Alsuviricetes;Martellivirales;Closteroviridae;Ampelovirus;Pineapple mealybug wilt-associated virus 2</t>
  </si>
  <si>
    <t>Riboviria;Orthornavirae;Kitrinoviricota;Alsuviricetes;Martellivirales;Closteroviridae;Ampelovirus;Ampelovirus duananas</t>
  </si>
  <si>
    <t>Riboviria;Orthornavirae;Kitrinoviricota;Alsuviricetes;Martellivirales;Closteroviridae;Ampelovirus;Little cherry virus 2</t>
  </si>
  <si>
    <t>Riboviria;Orthornavirae;Kitrinoviricota;Alsuviricetes;Martellivirales;Closteroviridae;Ampelovirus;Ampelovirus nanoavii</t>
  </si>
  <si>
    <t>Riboviria;Orthornavirae;Kitrinoviricota;Alsuviricetes;Martellivirales;Closteroviridae;Ampelovirus;Pistachio ampelovirus A</t>
  </si>
  <si>
    <t>Riboviria;Orthornavirae;Kitrinoviricota;Alsuviricetes;Martellivirales;Closteroviridae;Ampelovirus;Ampelovirus pistaciae</t>
  </si>
  <si>
    <t>Riboviria;Orthornavirae;Kitrinoviricota;Alsuviricetes;Martellivirales;Closteroviridae;Ampelovirus;Plum bark necrosis stem pitting-associated virus</t>
  </si>
  <si>
    <t>Riboviria;Orthornavirae;Kitrinoviricota;Alsuviricetes;Martellivirales;Closteroviridae;Ampelovirus;Ampelovirus pruni</t>
  </si>
  <si>
    <t>Riboviria;Orthornavirae;Kitrinoviricota;Alsuviricetes;Martellivirales;Closteroviridae;Ampelovirus;Grapevine leafroll-associated virus 4</t>
  </si>
  <si>
    <t>Riboviria;Orthornavirae;Kitrinoviricota;Alsuviricetes;Martellivirales;Closteroviridae;Ampelovirus;Ampelovirus tetravitis</t>
  </si>
  <si>
    <t>Riboviria;Orthornavirae;Kitrinoviricota;Alsuviricetes;Martellivirales;Closteroviridae;Ampelovirus;Grapevine leafroll-associated virus 13</t>
  </si>
  <si>
    <t>Riboviria;Orthornavirae;Kitrinoviricota;Alsuviricetes;Martellivirales;Closteroviridae;Ampelovirus;Ampelovirus tredecimvitis</t>
  </si>
  <si>
    <t>Riboviria;Orthornavirae;Kitrinoviricota;Alsuviricetes;Martellivirales;Closteroviridae;Ampelovirus;Pineapple mealybug wilt-associated virus 3</t>
  </si>
  <si>
    <t>Riboviria;Orthornavirae;Kitrinoviricota;Alsuviricetes;Martellivirales;Closteroviridae;Ampelovirus;Ampelovirus triananas</t>
  </si>
  <si>
    <t>Riboviria;Orthornavirae;Kitrinoviricota;Alsuviricetes;Martellivirales;Closteroviridae;Ampelovirus;Grapevine leafroll-associated virus 3</t>
  </si>
  <si>
    <t>Riboviria;Orthornavirae;Kitrinoviricota;Alsuviricetes;Martellivirales;Closteroviridae;Ampelovirus;Ampelovirus trivitis</t>
  </si>
  <si>
    <t>Riboviria;Orthornavirae;Kitrinoviricota;Alsuviricetes;Martellivirales;Closteroviridae;Ampelovirus;Pineapple mealybug wilt-associated virus 1</t>
  </si>
  <si>
    <t>Riboviria;Orthornavirae;Kitrinoviricota;Alsuviricetes;Martellivirales;Closteroviridae;Ampelovirus;Ampelovirus unananas</t>
  </si>
  <si>
    <t>Riboviria;Orthornavirae;Kitrinoviricota;Alsuviricetes;Martellivirales;Closteroviridae;Ampelovirus;Grapevine leafroll-associated virus 1</t>
  </si>
  <si>
    <t>Riboviria;Orthornavirae;Kitrinoviricota;Alsuviricetes;Martellivirales;Closteroviridae;Ampelovirus;Ampelovirus univitis</t>
  </si>
  <si>
    <t>Riboviria;Orthornavirae;Kitrinoviricota;Alsuviricetes;Martellivirales;Closteroviridae;Ampelovirus;Blackberry vein banding-associated virus</t>
  </si>
  <si>
    <t>Riboviria;Orthornavirae;Kitrinoviricota;Alsuviricetes;Martellivirales;Closteroviridae;Ampelovirus;Ampelovirus venarubi</t>
  </si>
  <si>
    <t>Riboviria;Orthornavirae;Kitrinoviricota;Alsuviricetes;Martellivirales;Closteroviridae;Bluvavirus;Blueberry virus A</t>
  </si>
  <si>
    <t>Riboviria;Orthornavirae;Kitrinoviricota;Alsuviricetes;Martellivirales;Closteroviridae;Bluvavirus;Bluvavirus vaccinii</t>
  </si>
  <si>
    <t>Riboviria;Orthornavirae;Kitrinoviricota;Alsuviricetes;Martellivirales;Closteroviridae;Closterovirus;Arracacha virus 1</t>
  </si>
  <si>
    <t>Riboviria;Orthornavirae;Kitrinoviricota;Alsuviricetes;Martellivirales;Closteroviridae;Closterovirus;Closterovirus arracaciae</t>
  </si>
  <si>
    <t>Riboviria;Orthornavirae;Kitrinoviricota;Alsuviricetes;Martellivirales;Closteroviridae;Closterovirus;Carrot closterorivus 1</t>
  </si>
  <si>
    <t>Riboviria;Orthornavirae;Kitrinoviricota;Alsuviricetes;Martellivirales;Closteroviridae;Closterovirus;Closterovirus carotae</t>
  </si>
  <si>
    <t>Riboviria;Orthornavirae;Kitrinoviricota;Alsuviricetes;Martellivirales;Closteroviridae;Closterovirus;Burdock yellows virus</t>
  </si>
  <si>
    <t>Riboviria;Orthornavirae;Kitrinoviricota;Alsuviricetes;Martellivirales;Closteroviridae;Closterovirus;Closterovirus flavarctii</t>
  </si>
  <si>
    <t>Riboviria;Orthornavirae;Kitrinoviricota;Alsuviricetes;Martellivirales;Closteroviridae;Closterovirus;Beet yellows virus</t>
  </si>
  <si>
    <t>Riboviria;Orthornavirae;Kitrinoviricota;Alsuviricetes;Martellivirales;Closteroviridae;Closterovirus;Closterovirus flavibetae</t>
  </si>
  <si>
    <t>Riboviria;Orthornavirae;Kitrinoviricota;Alsuviricetes;Martellivirales;Closteroviridae;Closterovirus;Carrot yellow leaf virus</t>
  </si>
  <si>
    <t>Riboviria;Orthornavirae;Kitrinoviricota;Alsuviricetes;Martellivirales;Closteroviridae;Closterovirus;Closterovirus flavicarotae</t>
  </si>
  <si>
    <t>Riboviria;Orthornavirae;Kitrinoviricota;Alsuviricetes;Martellivirales;Closteroviridae;Closterovirus;Wheat yellow leaf virus</t>
  </si>
  <si>
    <t>Riboviria;Orthornavirae;Kitrinoviricota;Alsuviricetes;Martellivirales;Closteroviridae;Closterovirus;Closterovirus flavitritici</t>
  </si>
  <si>
    <t>Riboviria;Orthornavirae;Kitrinoviricota;Alsuviricetes;Martellivirales;Closteroviridae;Closterovirus;Strawberry chlorotic fleck-associated virus</t>
  </si>
  <si>
    <t>Riboviria;Orthornavirae;Kitrinoviricota;Alsuviricetes;Martellivirales;Closteroviridae;Closterovirus;Closterovirus fragariae</t>
  </si>
  <si>
    <t>Riboviria;Orthornavirae;Kitrinoviricota;Alsuviricetes;Martellivirales;Closteroviridae;Closterovirus;Raspberry leaf mottle virus</t>
  </si>
  <si>
    <t>Riboviria;Orthornavirae;Kitrinoviricota;Alsuviricetes;Martellivirales;Closteroviridae;Closterovirus;Closterovirus macularubi</t>
  </si>
  <si>
    <t>Riboviria;Orthornavirae;Kitrinoviricota;Alsuviricetes;Martellivirales;Closteroviridae;Closterovirus;Mint virus 1</t>
  </si>
  <si>
    <t>Riboviria;Orthornavirae;Kitrinoviricota;Alsuviricetes;Martellivirales;Closteroviridae;Closterovirus;Closterovirus menthae</t>
  </si>
  <si>
    <t>Riboviria;Orthornavirae;Kitrinoviricota;Alsuviricetes;Martellivirales;Closteroviridae;Closterovirus;Beet yellow stunt virus</t>
  </si>
  <si>
    <t>Riboviria;Orthornavirae;Kitrinoviricota;Alsuviricetes;Martellivirales;Closteroviridae;Closterovirus;Closterovirus nanobetae</t>
  </si>
  <si>
    <t>Riboviria;Orthornavirae;Kitrinoviricota;Alsuviricetes;Martellivirales;Closteroviridae;Closterovirus;Carnation necrotic fleck virus</t>
  </si>
  <si>
    <t>Riboviria;Orthornavirae;Kitrinoviricota;Alsuviricetes;Martellivirales;Closteroviridae;Closterovirus;Closterovirus necrodianthi</t>
  </si>
  <si>
    <t>Riboviria;Orthornavirae;Kitrinoviricota;Alsuviricetes;Martellivirales;Closteroviridae;Closterovirus;Rehmannia virus 1</t>
  </si>
  <si>
    <t>Riboviria;Orthornavirae;Kitrinoviricota;Alsuviricetes;Martellivirales;Closteroviridae;Closterovirus;Closterovirus rehmanniae</t>
  </si>
  <si>
    <t>Riboviria;Orthornavirae;Kitrinoviricota;Alsuviricetes;Martellivirales;Closteroviridae;Closterovirus;Rose leaf rosette-associated virus</t>
  </si>
  <si>
    <t>Riboviria;Orthornavirae;Kitrinoviricota;Alsuviricetes;Martellivirales;Closteroviridae;Closterovirus;Closterovirus rosafolium</t>
  </si>
  <si>
    <t>Riboviria;Orthornavirae;Kitrinoviricota;Alsuviricetes;Martellivirales;Closteroviridae;Closterovirus;Tobacco virus 1</t>
  </si>
  <si>
    <t>Riboviria;Orthornavirae;Kitrinoviricota;Alsuviricetes;Martellivirales;Closteroviridae;Closterovirus;Closterovirus tabaci</t>
  </si>
  <si>
    <t>Riboviria;Orthornavirae;Kitrinoviricota;Alsuviricetes;Martellivirales;Closteroviridae;Closterovirus;Citrus tristeza virus</t>
  </si>
  <si>
    <t>Riboviria;Orthornavirae;Kitrinoviricota;Alsuviricetes;Martellivirales;Closteroviridae;Closterovirus;Closterovirus tristezae</t>
  </si>
  <si>
    <t>Riboviria;Orthornavirae;Kitrinoviricota;Alsuviricetes;Martellivirales;Closteroviridae;Closterovirus;Blackcurrant closterovirus 1</t>
  </si>
  <si>
    <t>Riboviria;Orthornavirae;Kitrinoviricota;Alsuviricetes;Martellivirales;Closteroviridae;Closterovirus;Closterovirus uniribi</t>
  </si>
  <si>
    <t>Riboviria;Orthornavirae;Kitrinoviricota;Alsuviricetes;Martellivirales;Closteroviridae;Closterovirus;Grapevine leafroll-associated virus 2</t>
  </si>
  <si>
    <t>Riboviria;Orthornavirae;Kitrinoviricota;Alsuviricetes;Martellivirales;Closteroviridae;Closterovirus;Closterovirus vitis</t>
  </si>
  <si>
    <t>Riboviria;Orthornavirae;Kitrinoviricota;Alsuviricetes;Martellivirales;Closteroviridae;Crinivirus;Abutilon yellows virus</t>
  </si>
  <si>
    <t>Riboviria;Orthornavirae;Kitrinoviricota;Alsuviricetes;Martellivirales;Closteroviridae;Crinivirus;Crinivirus abutilonis</t>
  </si>
  <si>
    <t>Riboviria;Orthornavirae;Kitrinoviricota;Alsuviricetes;Martellivirales;Closteroviridae;Crinivirus;Tetterwort vein chlorosis virus</t>
  </si>
  <si>
    <t>Riboviria;Orthornavirae;Kitrinoviricota;Alsuviricetes;Martellivirales;Closteroviridae;Crinivirus;Crinivirus chelidonii</t>
  </si>
  <si>
    <t>Riboviria;Orthornavirae;Kitrinoviricota;Alsuviricetes;Martellivirales;Closteroviridae;Crinivirus;Tomato infectious chlorosis virus</t>
  </si>
  <si>
    <t>Riboviria;Orthornavirae;Kitrinoviricota;Alsuviricetes;Martellivirales;Closteroviridae;Crinivirus;Crinivirus contagichlorosis</t>
  </si>
  <si>
    <t>Riboviria;Orthornavirae;Kitrinoviricota;Alsuviricetes;Martellivirales;Closteroviridae;Crinivirus;Cucurbit yellow stunting disorder virus</t>
  </si>
  <si>
    <t>Riboviria;Orthornavirae;Kitrinoviricota;Alsuviricetes;Martellivirales;Closteroviridae;Crinivirus;Crinivirus cucurbitae</t>
  </si>
  <si>
    <t>Riboviria;Orthornavirae;Kitrinoviricota;Alsuviricetes;Martellivirales;Closteroviridae;Crinivirus;Diodia vein chlorosis virus</t>
  </si>
  <si>
    <t>Riboviria;Orthornavirae;Kitrinoviricota;Alsuviricetes;Martellivirales;Closteroviridae;Crinivirus;Crinivirus diodiae</t>
  </si>
  <si>
    <t>Riboviria;Orthornavirae;Kitrinoviricota;Alsuviricetes;Martellivirales;Closteroviridae;Crinivirus;Bean yellow disorder virus</t>
  </si>
  <si>
    <t>Riboviria;Orthornavirae;Kitrinoviricota;Alsuviricetes;Martellivirales;Closteroviridae;Crinivirus;Crinivirus flavibetae</t>
  </si>
  <si>
    <t>Riboviria;Orthornavirae;Kitrinoviricota;Alsuviricetes;Martellivirales;Closteroviridae;Crinivirus;Potato yellow vein virus</t>
  </si>
  <si>
    <t>Riboviria;Orthornavirae;Kitrinoviricota;Alsuviricetes;Martellivirales;Closteroviridae;Crinivirus;Crinivirus flavisolani</t>
  </si>
  <si>
    <t>Riboviria;Orthornavirae;Kitrinoviricota;Alsuviricetes;Martellivirales;Closteroviridae;Crinivirus;Sweet potato chlorotic stunt virus</t>
  </si>
  <si>
    <t>Riboviria;Orthornavirae;Kitrinoviricota;Alsuviricetes;Martellivirales;Closteroviridae;Crinivirus;Crinivirus ipomeae</t>
  </si>
  <si>
    <t>Riboviria;Orthornavirae;Kitrinoviricota;Alsuviricetes;Martellivirales;Closteroviridae;Crinivirus;Lettuce chlorosis virus</t>
  </si>
  <si>
    <t>Riboviria;Orthornavirae;Kitrinoviricota;Alsuviricetes;Martellivirales;Closteroviridae;Crinivirus;Crinivirus lactucachlorosi</t>
  </si>
  <si>
    <t>Riboviria;Orthornavirae;Kitrinoviricota;Alsuviricetes;Martellivirales;Closteroviridae;Crinivirus;Lettuce infectious yellows virus</t>
  </si>
  <si>
    <t>Riboviria;Orthornavirae;Kitrinoviricota;Alsuviricetes;Martellivirales;Closteroviridae;Crinivirus;Crinivirus lactucaflavi</t>
  </si>
  <si>
    <t>Riboviria;Orthornavirae;Kitrinoviricota;Alsuviricetes;Martellivirales;Closteroviridae;Crinivirus;Strawberry pallidosis-associated virus</t>
  </si>
  <si>
    <t>Riboviria;Orthornavirae;Kitrinoviricota;Alsuviricetes;Martellivirales;Closteroviridae;Crinivirus;Crinivirus palidofragariae</t>
  </si>
  <si>
    <t>Riboviria;Orthornavirae;Kitrinoviricota;Alsuviricetes;Martellivirales;Closteroviridae;Crinivirus;Beet pseudoyellows virus</t>
  </si>
  <si>
    <t>Riboviria;Orthornavirae;Kitrinoviricota;Alsuviricetes;Martellivirales;Closteroviridae;Crinivirus;Crinivirus pseudobetae</t>
  </si>
  <si>
    <t>Riboviria;Orthornavirae;Kitrinoviricota;Alsuviricetes;Martellivirales;Closteroviridae;Crinivirus;Blackberry yellow vein-associated virus</t>
  </si>
  <si>
    <t>Riboviria;Orthornavirae;Kitrinoviricota;Alsuviricetes;Martellivirales;Closteroviridae;Crinivirus;Crinivirus rubi</t>
  </si>
  <si>
    <t>Riboviria;Orthornavirae;Kitrinoviricota;Alsuviricetes;Martellivirales;Closteroviridae;Crinivirus;Tomato chlorosis virus</t>
  </si>
  <si>
    <t>Riboviria;Orthornavirae;Kitrinoviricota;Alsuviricetes;Martellivirales;Closteroviridae;Crinivirus;Crinivirus tomatichlorosis</t>
  </si>
  <si>
    <t>Riboviria;Orthornavirae;Kitrinoviricota;Alsuviricetes;Martellivirales;Closteroviridae;Menthavirus;Mint vein banding-associated virus</t>
  </si>
  <si>
    <t>Riboviria;Orthornavirae;Kitrinoviricota;Alsuviricetes;Martellivirales;Closteroviridae;Menthavirus;Menthavirus menthae</t>
  </si>
  <si>
    <t>Riboviria;Orthornavirae;Kitrinoviricota;Alsuviricetes;Martellivirales;Closteroviridae;Olivavirus;Actinidia virus 1</t>
  </si>
  <si>
    <t>Riboviria;Orthornavirae;Kitrinoviricota;Alsuviricetes;Martellivirales;Closteroviridae;Olivavirus;Olivavirus actinidiae</t>
  </si>
  <si>
    <t>Riboviria;Orthornavirae;Kitrinoviricota;Alsuviricetes;Martellivirales;Closteroviridae;Olivavirus;Persimmon virus B</t>
  </si>
  <si>
    <t>Riboviria;Orthornavirae;Kitrinoviricota;Alsuviricetes;Martellivirales;Closteroviridae;Olivavirus;Olivavirus betadiospyri</t>
  </si>
  <si>
    <t>Riboviria;Orthornavirae;Kitrinoviricota;Alsuviricetes;Martellivirales;Closteroviridae;Olivavirus;Olive leaf yellowing-associated virus</t>
  </si>
  <si>
    <t>Riboviria;Orthornavirae;Kitrinoviricota;Alsuviricetes;Martellivirales;Closteroviridae;Olivavirus;Olivavirus flavioleae</t>
  </si>
  <si>
    <t>Riboviria;Orthornavirae;Kitrinoviricota;Alsuviricetes;Martellivirales;Closteroviridae;Velarivirus;Malus domestica virus A</t>
  </si>
  <si>
    <t>Riboviria;Orthornavirae;Kitrinoviricota;Alsuviricetes;Martellivirales;Closteroviridae;Velarivirus;Velarivirus alphamali</t>
  </si>
  <si>
    <t>Riboviria;Orthornavirae;Kitrinoviricota;Alsuviricetes;Martellivirales;Closteroviridae;Velarivirus;Areca palm velarivirus 1</t>
  </si>
  <si>
    <t>Riboviria;Orthornavirae;Kitrinoviricota;Alsuviricetes;Martellivirales;Closteroviridae;Velarivirus;Velarivirus arecae</t>
  </si>
  <si>
    <t>Riboviria;Orthornavirae;Kitrinoviricota;Alsuviricetes;Martellivirales;Closteroviridae;Velarivirus;Cordyline virus 2</t>
  </si>
  <si>
    <t>Riboviria;Orthornavirae;Kitrinoviricota;Alsuviricetes;Martellivirales;Closteroviridae;Velarivirus;Velarivirus duocordylinae</t>
  </si>
  <si>
    <t>Riboviria;Orthornavirae;Kitrinoviricota;Alsuviricetes;Martellivirales;Closteroviridae;Velarivirus;Little cherry virus 1</t>
  </si>
  <si>
    <t>Riboviria;Orthornavirae;Kitrinoviricota;Alsuviricetes;Martellivirales;Closteroviridae;Velarivirus;Velarivirus nanoavii</t>
  </si>
  <si>
    <t>Riboviria;Orthornavirae;Kitrinoviricota;Alsuviricetes;Martellivirales;Closteroviridae;Velarivirus;Grapevine leafroll-associated virus 7</t>
  </si>
  <si>
    <t>Riboviria;Orthornavirae;Kitrinoviricota;Alsuviricetes;Martellivirales;Closteroviridae;Velarivirus;Velarivirus septemvitis</t>
  </si>
  <si>
    <t>Riboviria;Orthornavirae;Kitrinoviricota;Alsuviricetes;Martellivirales;Closteroviridae;Velarivirus;Cordyline virus 4</t>
  </si>
  <si>
    <t>Riboviria;Orthornavirae;Kitrinoviricota;Alsuviricetes;Martellivirales;Closteroviridae;Velarivirus;Velarivirus tetracordylinae</t>
  </si>
  <si>
    <t>Riboviria;Orthornavirae;Kitrinoviricota;Alsuviricetes;Martellivirales;Closteroviridae;Velarivirus;Cordyline virus 3</t>
  </si>
  <si>
    <t>Riboviria;Orthornavirae;Kitrinoviricota;Alsuviricetes;Martellivirales;Closteroviridae;Velarivirus;Velarivirus tricordylinae</t>
  </si>
  <si>
    <t>Riboviria;Orthornavirae;Kitrinoviricota;Alsuviricetes;Martellivirales;Closteroviridae;Velarivirus;Cordyline virus 1</t>
  </si>
  <si>
    <t>Riboviria;Orthornavirae;Kitrinoviricota;Alsuviricetes;Martellivirales;Closteroviridae;Velarivirus;Velarivirus unicordylinae</t>
  </si>
  <si>
    <t>Riboviria;Orthornavirae;Kitrinoviricota;Alsuviricetes;Martellivirales;Endornaviridae;Alphaendornavirus;Agaricus bisporus alphaendornavirus 1</t>
  </si>
  <si>
    <t>Riboviria;Orthornavirae;Kitrinoviricota;Alsuviricetes;Martellivirales;Endornaviridae;Alphaendornavirus;Alphaendornavirus agarici</t>
  </si>
  <si>
    <t>Riboviria;Orthornavirae;Kitrinoviricota;Alsuviricetes;Martellivirales;Endornaviridae;Alphaendornavirus;Basella alba alphaendornavirus 1</t>
  </si>
  <si>
    <t>Riboviria;Orthornavirae;Kitrinoviricota;Alsuviricetes;Martellivirales;Endornaviridae;Alphaendornavirus;Alphaendornavirus basellae</t>
  </si>
  <si>
    <t>Riboviria;Orthornavirae;Kitrinoviricota;Alsuviricetes;Martellivirales;Endornaviridae;Alphaendornavirus;Bell pepper alphaendornavirus</t>
  </si>
  <si>
    <t>Riboviria;Orthornavirae;Kitrinoviricota;Alsuviricetes;Martellivirales;Endornaviridae;Alphaendornavirus;Alphaendornavirus capsici</t>
  </si>
  <si>
    <t>Riboviria;Orthornavirae;Kitrinoviricota;Alsuviricetes;Martellivirales;Endornaviridae;Alphaendornavirus;Cucumis melo alphaendornavirus</t>
  </si>
  <si>
    <t>Riboviria;Orthornavirae;Kitrinoviricota;Alsuviricetes;Martellivirales;Endornaviridae;Alphaendornavirus;Alphaendornavirus cucumis</t>
  </si>
  <si>
    <t>Riboviria;Orthornavirae;Kitrinoviricota;Alsuviricetes;Martellivirales;Endornaviridae;Alphaendornavirus;Cluster bean alphaendornavirus 1</t>
  </si>
  <si>
    <t>Riboviria;Orthornavirae;Kitrinoviricota;Alsuviricetes;Martellivirales;Endornaviridae;Alphaendornavirus;Alphaendornavirus cyamopsis</t>
  </si>
  <si>
    <t>Riboviria;Orthornavirae;Kitrinoviricota;Alsuviricetes;Martellivirales;Endornaviridae;Alphaendornavirus;Erysiphe cichoracearum alphaendornavirus</t>
  </si>
  <si>
    <t>Riboviria;Orthornavirae;Kitrinoviricota;Alsuviricetes;Martellivirales;Endornaviridae;Alphaendornavirus;Alphaendornavirus erysiphes</t>
  </si>
  <si>
    <t>Riboviria;Orthornavirae;Kitrinoviricota;Alsuviricetes;Martellivirales;Endornaviridae;Alphaendornavirus;Hot pepper alphaendornavirus</t>
  </si>
  <si>
    <t>Riboviria;Orthornavirae;Kitrinoviricota;Alsuviricetes;Martellivirales;Endornaviridae;Alphaendornavirus;Alphaendornavirus fucapsici</t>
  </si>
  <si>
    <t>Riboviria;Orthornavirae;Kitrinoviricota;Alsuviricetes;Martellivirales;Endornaviridae;Alphaendornavirus;Phaseolus vulgaris alphaendornavirus 2</t>
  </si>
  <si>
    <t>Riboviria;Orthornavirae;Kitrinoviricota;Alsuviricetes;Martellivirales;Endornaviridae;Alphaendornavirus;Alphaendornavirus fuphaseoli</t>
  </si>
  <si>
    <t>Riboviria;Orthornavirae;Kitrinoviricota;Alsuviricetes;Martellivirales;Endornaviridae;Alphaendornavirus;Helianthus annuus alphaendornavirus</t>
  </si>
  <si>
    <t>Riboviria;Orthornavirae;Kitrinoviricota;Alsuviricetes;Martellivirales;Endornaviridae;Alphaendornavirus;Alphaendornavirus helianthi</t>
  </si>
  <si>
    <t>Riboviria;Orthornavirae;Kitrinoviricota;Alsuviricetes;Martellivirales;Endornaviridae;Alphaendornavirus;Helicobasidium mompa alphaendornavirus 1</t>
  </si>
  <si>
    <t>Riboviria;Orthornavirae;Kitrinoviricota;Alsuviricetes;Martellivirales;Endornaviridae;Alphaendornavirus;Alphaendornavirus helicobasidii</t>
  </si>
  <si>
    <t>Riboviria;Orthornavirae;Kitrinoviricota;Alsuviricetes;Martellivirales;Endornaviridae;Alphaendornavirus;Hordeum vulgare alphaendornavirus</t>
  </si>
  <si>
    <t>Riboviria;Orthornavirae;Kitrinoviricota;Alsuviricetes;Martellivirales;Endornaviridae;Alphaendornavirus;Alphaendornavirus hordei</t>
  </si>
  <si>
    <t>Riboviria;Orthornavirae;Kitrinoviricota;Alsuviricetes;Martellivirales;Endornaviridae;Alphaendornavirus;Lagenaria siceraria alphaendornavirus</t>
  </si>
  <si>
    <t>Riboviria;Orthornavirae;Kitrinoviricota;Alsuviricetes;Martellivirales;Endornaviridae;Alphaendornavirus;Alphaendornavirus lagenariae</t>
  </si>
  <si>
    <t>Riboviria;Orthornavirae;Kitrinoviricota;Alsuviricetes;Martellivirales;Endornaviridae;Alphaendornavirus;Phaseolus vulgaris alphaendornavirus 3</t>
  </si>
  <si>
    <t>Riboviria;Orthornavirae;Kitrinoviricota;Alsuviricetes;Martellivirales;Endornaviridae;Alphaendornavirus;Alphaendornavirus miphaseoli</t>
  </si>
  <si>
    <t>Riboviria;Orthornavirae;Kitrinoviricota;Alsuviricetes;Martellivirales;Endornaviridae;Alphaendornavirus;Oryza sativa alphaendornavirus</t>
  </si>
  <si>
    <t>Riboviria;Orthornavirae;Kitrinoviricota;Alsuviricetes;Martellivirales;Endornaviridae;Alphaendornavirus;Alphaendornavirus oryzae</t>
  </si>
  <si>
    <t>Riboviria;Orthornavirae;Kitrinoviricota;Alsuviricetes;Martellivirales;Endornaviridae;Alphaendornavirus;Persea americana alphaendornavirus 1</t>
  </si>
  <si>
    <t>Riboviria;Orthornavirae;Kitrinoviricota;Alsuviricetes;Martellivirales;Endornaviridae;Alphaendornavirus;Alphaendornavirus perseae</t>
  </si>
  <si>
    <t>Riboviria;Orthornavirae;Kitrinoviricota;Alsuviricetes;Martellivirales;Endornaviridae;Alphaendornavirus;Phaseolus vulgaris alphaendornavirus 1</t>
  </si>
  <si>
    <t>Riboviria;Orthornavirae;Kitrinoviricota;Alsuviricetes;Martellivirales;Endornaviridae;Alphaendornavirus;Alphaendornavirus phaseoli</t>
  </si>
  <si>
    <t>Riboviria;Orthornavirae;Kitrinoviricota;Alsuviricetes;Martellivirales;Endornaviridae;Alphaendornavirus;Phytophthora alphaendornavirus 1</t>
  </si>
  <si>
    <t>Riboviria;Orthornavirae;Kitrinoviricota;Alsuviricetes;Martellivirales;Endornaviridae;Alphaendornavirus;Alphaendornavirus phytophthorae</t>
  </si>
  <si>
    <t>Riboviria;Orthornavirae;Kitrinoviricota;Alsuviricetes;Martellivirales;Endornaviridae;Alphaendornavirus;Winged bean alphaendornavirus 1</t>
  </si>
  <si>
    <t>Riboviria;Orthornavirae;Kitrinoviricota;Alsuviricetes;Martellivirales;Endornaviridae;Alphaendornavirus;Alphaendornavirus psophocarpi</t>
  </si>
  <si>
    <t>Riboviria;Orthornavirae;Kitrinoviricota;Alsuviricetes;Martellivirales;Endornaviridae;Alphaendornavirus;Rhizoctonia cerealis alphaendornavirus 1</t>
  </si>
  <si>
    <t>Riboviria;Orthornavirae;Kitrinoviricota;Alsuviricetes;Martellivirales;Endornaviridae;Alphaendornavirus;Alphaendornavirus rhizocerealis</t>
  </si>
  <si>
    <t>Riboviria;Orthornavirae;Kitrinoviricota;Alsuviricetes;Martellivirales;Endornaviridae;Alphaendornavirus;Rhizoctonia solani alphaendornavirus 2</t>
  </si>
  <si>
    <t>Riboviria;Orthornavirae;Kitrinoviricota;Alsuviricetes;Martellivirales;Endornaviridae;Alphaendornavirus;Alphaendornavirus rhizosolani</t>
  </si>
  <si>
    <t>Riboviria;Orthornavirae;Kitrinoviricota;Alsuviricetes;Martellivirales;Endornaviridae;Alphaendornavirus;Oryza rufipogon alphaendornavirus</t>
  </si>
  <si>
    <t>Riboviria;Orthornavirae;Kitrinoviricota;Alsuviricetes;Martellivirales;Endornaviridae;Alphaendornavirus;Alphaendornavirus rupifigonis</t>
  </si>
  <si>
    <t>Riboviria;Orthornavirae;Kitrinoviricota;Alsuviricetes;Martellivirales;Endornaviridae;Alphaendornavirus;Vicia faba alphaendornavirus</t>
  </si>
  <si>
    <t>Riboviria;Orthornavirae;Kitrinoviricota;Alsuviricetes;Martellivirales;Endornaviridae;Alphaendornavirus;Alphaendornavirus viciae</t>
  </si>
  <si>
    <t>Riboviria;Orthornavirae;Kitrinoviricota;Alsuviricetes;Martellivirales;Endornaviridae;Alphaendornavirus;Grapevine endophyte alphaendornavirus</t>
  </si>
  <si>
    <t>Riboviria;Orthornavirae;Kitrinoviricota;Alsuviricetes;Martellivirales;Endornaviridae;Alphaendornavirus;Alphaendornavirus vitis</t>
  </si>
  <si>
    <t>Riboviria;Orthornavirae;Kitrinoviricota;Alsuviricetes;Martellivirales;Endornaviridae;Alphaendornavirus;Yerba mate alphaendornavirus</t>
  </si>
  <si>
    <t>Riboviria;Orthornavirae;Kitrinoviricota;Alsuviricetes;Martellivirales;Endornaviridae;Alphaendornavirus;Alphaendornavirus yerbae</t>
  </si>
  <si>
    <t>Riboviria;Orthornavirae;Kitrinoviricota;Alsuviricetes;Martellivirales;Endornaviridae;Betaendornavirus;Alternaria brassicicola betaendornavirus 1</t>
  </si>
  <si>
    <t>Riboviria;Orthornavirae;Kitrinoviricota;Alsuviricetes;Martellivirales;Endornaviridae;Betaendornavirus;Betaendornavirus alternariae</t>
  </si>
  <si>
    <t>Riboviria;Orthornavirae;Kitrinoviricota;Alsuviricetes;Martellivirales;Endornaviridae;Betaendornavirus;Botrytis cinerea betaendornavirus 1</t>
  </si>
  <si>
    <t>Riboviria;Orthornavirae;Kitrinoviricota;Alsuviricetes;Martellivirales;Endornaviridae;Betaendornavirus;Betaendornavirus botrytidis</t>
  </si>
  <si>
    <t>Riboviria;Orthornavirae;Kitrinoviricota;Alsuviricetes;Martellivirales;Endornaviridae;Betaendornavirus;Sclerotinia minor betaendornavirus 1</t>
  </si>
  <si>
    <t>Riboviria;Orthornavirae;Kitrinoviricota;Alsuviricetes;Martellivirales;Endornaviridae;Betaendornavirus;Betaendornavirus fusclerotiniae</t>
  </si>
  <si>
    <t>Riboviria;Orthornavirae;Kitrinoviricota;Alsuviricetes;Martellivirales;Endornaviridae;Betaendornavirus;Gremmeniella abietina betaendornavirus 1</t>
  </si>
  <si>
    <t>Riboviria;Orthornavirae;Kitrinoviricota;Alsuviricetes;Martellivirales;Endornaviridae;Betaendornavirus;Betaendornavirus gremmeniellae</t>
  </si>
  <si>
    <t>Riboviria;Orthornavirae;Kitrinoviricota;Alsuviricetes;Martellivirales;Endornaviridae;Betaendornavirus;Rosellinia necatrix betaendornavirus 1</t>
  </si>
  <si>
    <t>Riboviria;Orthornavirae;Kitrinoviricota;Alsuviricetes;Martellivirales;Endornaviridae;Betaendornavirus;Betaendornavirus roselliniae</t>
  </si>
  <si>
    <t>Riboviria;Orthornavirae;Kitrinoviricota;Alsuviricetes;Martellivirales;Endornaviridae;Betaendornavirus;Sclerotinia sclerotiorum betaendornavirus 1</t>
  </si>
  <si>
    <t>Riboviria;Orthornavirae;Kitrinoviricota;Alsuviricetes;Martellivirales;Endornaviridae;Betaendornavirus;Betaendornavirus sclerotiniae</t>
  </si>
  <si>
    <t>Riboviria;Orthornavirae;Kitrinoviricota;Alsuviricetes;Martellivirales;Endornaviridae;Betaendornavirus;Tuber aestivum betaendornavirus</t>
  </si>
  <si>
    <t>Riboviria;Orthornavirae;Kitrinoviricota;Alsuviricetes;Martellivirales;Endornaviridae;Betaendornavirus;Betaendornavirus tuberis</t>
  </si>
  <si>
    <t>Riboviria;Orthornavirae;Kitrinoviricota;Alsuviricetes;Martellivirales;Togaviridae;Alphavirus;Aura virus</t>
  </si>
  <si>
    <t>Riboviria;Orthornavirae;Kitrinoviricota;Alsuviricetes;Martellivirales;Togaviridae;Alphavirus;Alphavirus aura</t>
  </si>
  <si>
    <t>Riboviria;Orthornavirae;Kitrinoviricota;Alsuviricetes;Martellivirales;Togaviridae;Alphavirus;Barmah Forest virus</t>
  </si>
  <si>
    <t>Riboviria;Orthornavirae;Kitrinoviricota;Alsuviricetes;Martellivirales;Togaviridae;Alphavirus;Alphavirus barmah</t>
  </si>
  <si>
    <t>Riboviria;Orthornavirae;Kitrinoviricota;Alsuviricetes;Martellivirales;Togaviridae;Alphavirus;Bebaru virus</t>
  </si>
  <si>
    <t>Riboviria;Orthornavirae;Kitrinoviricota;Alsuviricetes;Martellivirales;Togaviridae;Alphavirus;Alphavirus bebaru</t>
  </si>
  <si>
    <t>Riboviria;Orthornavirae;Kitrinoviricota;Alsuviricetes;Martellivirales;Togaviridae;Alphavirus;Caaingua virus</t>
  </si>
  <si>
    <t>Riboviria;Orthornavirae;Kitrinoviricota;Alsuviricetes;Martellivirales;Togaviridae;Alphavirus;Alphavirus caaingua</t>
  </si>
  <si>
    <t>Riboviria;Orthornavirae;Kitrinoviricota;Alsuviricetes;Martellivirales;Togaviridae;Alphavirus;Cabassou virus</t>
  </si>
  <si>
    <t>Riboviria;Orthornavirae;Kitrinoviricota;Alsuviricetes;Martellivirales;Togaviridae;Alphavirus;Alphavirus cabassou</t>
  </si>
  <si>
    <t>Riboviria;Orthornavirae;Kitrinoviricota;Alsuviricetes;Martellivirales;Togaviridae;Alphavirus;Chikungunya virus</t>
  </si>
  <si>
    <t>Riboviria;Orthornavirae;Kitrinoviricota;Alsuviricetes;Martellivirales;Togaviridae;Alphavirus;Alphavirus chikungunya</t>
  </si>
  <si>
    <t>Riboviria;Orthornavirae;Kitrinoviricota;Alsuviricetes;Martellivirales;Togaviridae;Alphavirus;Eastern equine encephalitis virus</t>
  </si>
  <si>
    <t>Riboviria;Orthornavirae;Kitrinoviricota;Alsuviricetes;Martellivirales;Togaviridae;Alphavirus;Alphavirus eastern</t>
  </si>
  <si>
    <t>Riboviria;Orthornavirae;Kitrinoviricota;Alsuviricetes;Martellivirales;Togaviridae;Alphavirus;Eilat virus</t>
  </si>
  <si>
    <t>Riboviria;Orthornavirae;Kitrinoviricota;Alsuviricetes;Martellivirales;Togaviridae;Alphavirus;Alphavirus eilat</t>
  </si>
  <si>
    <t>Riboviria;Orthornavirae;Kitrinoviricota;Alsuviricetes;Martellivirales;Togaviridae;Alphavirus;Everglades virus</t>
  </si>
  <si>
    <t>Riboviria;Orthornavirae;Kitrinoviricota;Alsuviricetes;Martellivirales;Togaviridae;Alphavirus;Alphavirus everglades</t>
  </si>
  <si>
    <t>Riboviria;Orthornavirae;Kitrinoviricota;Alsuviricetes;Martellivirales;Togaviridae;Alphavirus;Fort Morgan virus</t>
  </si>
  <si>
    <t>Riboviria;Orthornavirae;Kitrinoviricota;Alsuviricetes;Martellivirales;Togaviridae;Alphavirus;Alphavirus fortmorgan</t>
  </si>
  <si>
    <t>Riboviria;Orthornavirae;Kitrinoviricota;Alsuviricetes;Martellivirales;Togaviridae;Alphavirus;Getah virus</t>
  </si>
  <si>
    <t>Riboviria;Orthornavirae;Kitrinoviricota;Alsuviricetes;Martellivirales;Togaviridae;Alphavirus;Alphavirus getah</t>
  </si>
  <si>
    <t>Riboviria;Orthornavirae;Kitrinoviricota;Alsuviricetes;Martellivirales;Togaviridae;Alphavirus;Highlands J virus</t>
  </si>
  <si>
    <t>Riboviria;Orthornavirae;Kitrinoviricota;Alsuviricetes;Martellivirales;Togaviridae;Alphavirus;Alphavirus highlandsj</t>
  </si>
  <si>
    <t>Riboviria;Orthornavirae;Kitrinoviricota;Alsuviricetes;Martellivirales;Togaviridae;Alphavirus;Madariaga virus</t>
  </si>
  <si>
    <t>Riboviria;Orthornavirae;Kitrinoviricota;Alsuviricetes;Martellivirales;Togaviridae;Alphavirus;Alphavirus madariaga</t>
  </si>
  <si>
    <t>Riboviria;Orthornavirae;Kitrinoviricota;Alsuviricetes;Martellivirales;Togaviridae;Alphavirus;Mayaro virus</t>
  </si>
  <si>
    <t>Riboviria;Orthornavirae;Kitrinoviricota;Alsuviricetes;Martellivirales;Togaviridae;Alphavirus;Alphavirus mayaro</t>
  </si>
  <si>
    <t>Riboviria;Orthornavirae;Kitrinoviricota;Alsuviricetes;Martellivirales;Togaviridae;Alphavirus;Middelburg virus</t>
  </si>
  <si>
    <t>Riboviria;Orthornavirae;Kitrinoviricota;Alsuviricetes;Martellivirales;Togaviridae;Alphavirus;Alphavirus middelburg</t>
  </si>
  <si>
    <t>Riboviria;Orthornavirae;Kitrinoviricota;Alsuviricetes;Martellivirales;Togaviridae;Alphavirus;Mosso das Pedras virus</t>
  </si>
  <si>
    <t>Riboviria;Orthornavirae;Kitrinoviricota;Alsuviricetes;Martellivirales;Togaviridae;Alphavirus;Alphavirus mossopedras</t>
  </si>
  <si>
    <t>Riboviria;Orthornavirae;Kitrinoviricota;Alsuviricetes;Martellivirales;Togaviridae;Alphavirus;Mucambo virus</t>
  </si>
  <si>
    <t>Riboviria;Orthornavirae;Kitrinoviricota;Alsuviricetes;Martellivirales;Togaviridae;Alphavirus;Alphavirus mucambo</t>
  </si>
  <si>
    <t>Riboviria;Orthornavirae;Kitrinoviricota;Alsuviricetes;Martellivirales;Togaviridae;Alphavirus;Ndumu virus</t>
  </si>
  <si>
    <t>Riboviria;Orthornavirae;Kitrinoviricota;Alsuviricetes;Martellivirales;Togaviridae;Alphavirus;Alphavirus ndumu</t>
  </si>
  <si>
    <t>Riboviria;Orthornavirae;Kitrinoviricota;Alsuviricetes;Martellivirales;Togaviridae;Alphavirus;Rio Negro virus</t>
  </si>
  <si>
    <t>Riboviria;Orthornavirae;Kitrinoviricota;Alsuviricetes;Martellivirales;Togaviridae;Alphavirus;Alphavirus negro</t>
  </si>
  <si>
    <t>Riboviria;Orthornavirae;Kitrinoviricota;Alsuviricetes;Martellivirales;Togaviridae;Alphavirus;Onyong-nyong virus</t>
  </si>
  <si>
    <t>Riboviria;Orthornavirae;Kitrinoviricota;Alsuviricetes;Martellivirales;Togaviridae;Alphavirus;Alphavirus onyong</t>
  </si>
  <si>
    <t>Riboviria;Orthornavirae;Kitrinoviricota;Alsuviricetes;Martellivirales;Togaviridae;Alphavirus;Pixuna virus</t>
  </si>
  <si>
    <t>Riboviria;Orthornavirae;Kitrinoviricota;Alsuviricetes;Martellivirales;Togaviridae;Alphavirus;Alphavirus pixuna</t>
  </si>
  <si>
    <t>Riboviria;Orthornavirae;Kitrinoviricota;Alsuviricetes;Martellivirales;Togaviridae;Alphavirus;Ross River virus</t>
  </si>
  <si>
    <t>Riboviria;Orthornavirae;Kitrinoviricota;Alsuviricetes;Martellivirales;Togaviridae;Alphavirus;Alphavirus rossriver</t>
  </si>
  <si>
    <t>Riboviria;Orthornavirae;Kitrinoviricota;Alsuviricetes;Martellivirales;Togaviridae;Alphavirus;Salmon pancreas disease virus</t>
  </si>
  <si>
    <t>Riboviria;Orthornavirae;Kitrinoviricota;Alsuviricetes;Martellivirales;Togaviridae;Alphavirus;Alphavirus salmon</t>
  </si>
  <si>
    <t>Riboviria;Orthornavirae;Kitrinoviricota;Alsuviricetes;Martellivirales;Togaviridae;Alphavirus;Southern elephant seal virus</t>
  </si>
  <si>
    <t>Riboviria;Orthornavirae;Kitrinoviricota;Alsuviricetes;Martellivirales;Togaviridae;Alphavirus;Alphavirus seal</t>
  </si>
  <si>
    <t>Riboviria;Orthornavirae;Kitrinoviricota;Alsuviricetes;Martellivirales;Togaviridae;Alphavirus;Semliki Forest virus</t>
  </si>
  <si>
    <t>Riboviria;Orthornavirae;Kitrinoviricota;Alsuviricetes;Martellivirales;Togaviridae;Alphavirus;Alphavirus semliki</t>
  </si>
  <si>
    <t>Riboviria;Orthornavirae;Kitrinoviricota;Alsuviricetes;Martellivirales;Togaviridae;Alphavirus;Sindbis virus</t>
  </si>
  <si>
    <t>Riboviria;Orthornavirae;Kitrinoviricota;Alsuviricetes;Martellivirales;Togaviridae;Alphavirus;Alphavirus sindbis</t>
  </si>
  <si>
    <t>Riboviria;Orthornavirae;Kitrinoviricota;Alsuviricetes;Martellivirales;Togaviridae;Alphavirus;Tonate virus</t>
  </si>
  <si>
    <t>Riboviria;Orthornavirae;Kitrinoviricota;Alsuviricetes;Martellivirales;Togaviridae;Alphavirus;Alphavirus tonate</t>
  </si>
  <si>
    <t>Riboviria;Orthornavirae;Kitrinoviricota;Alsuviricetes;Martellivirales;Togaviridae;Alphavirus;Trocara virus</t>
  </si>
  <si>
    <t>Riboviria;Orthornavirae;Kitrinoviricota;Alsuviricetes;Martellivirales;Togaviridae;Alphavirus;Alphavirus trocara</t>
  </si>
  <si>
    <t>Riboviria;Orthornavirae;Kitrinoviricota;Alsuviricetes;Martellivirales;Togaviridae;Alphavirus;Una virus</t>
  </si>
  <si>
    <t>Riboviria;Orthornavirae;Kitrinoviricota;Alsuviricetes;Martellivirales;Togaviridae;Alphavirus;Alphavirus una</t>
  </si>
  <si>
    <t>Riboviria;Orthornavirae;Kitrinoviricota;Alsuviricetes;Martellivirales;Togaviridae;Alphavirus;Venezuelan equine encephalitis virus</t>
  </si>
  <si>
    <t>Riboviria;Orthornavirae;Kitrinoviricota;Alsuviricetes;Martellivirales;Togaviridae;Alphavirus;Alphavirus venezuelan</t>
  </si>
  <si>
    <t>Riboviria;Orthornavirae;Kitrinoviricota;Alsuviricetes;Martellivirales;Togaviridae;Alphavirus;Western equine encephalitis virus</t>
  </si>
  <si>
    <t>Riboviria;Orthornavirae;Kitrinoviricota;Alsuviricetes;Martellivirales;Togaviridae;Alphavirus;Alphavirus western</t>
  </si>
  <si>
    <t>Riboviria;Orthornavirae;Kitrinoviricota;Alsuviricetes;Martellivirales;Togaviridae;Alphavirus;Whataroa virus</t>
  </si>
  <si>
    <t>Riboviria;Orthornavirae;Kitrinoviricota;Alsuviricetes;Martellivirales;Togaviridae;Alphavirus;Alphavirus whataroa</t>
  </si>
  <si>
    <t>Riboviria;Orthornavirae;Kitrinoviricota;Alsuviricetes;Martellivirales;Virgaviridae;Furovirus;Oat golden stripe virus</t>
  </si>
  <si>
    <t>Riboviria;Orthornavirae;Kitrinoviricota;Alsuviricetes;Martellivirales;Virgaviridae;Furovirus;Furovirus avenae</t>
  </si>
  <si>
    <t>Riboviria;Orthornavirae;Kitrinoviricota;Alsuviricetes;Martellivirales;Virgaviridae;Furovirus;Soil-borne cereal mosaic virus</t>
  </si>
  <si>
    <t>Riboviria;Orthornavirae;Kitrinoviricota;Alsuviricetes;Martellivirales;Virgaviridae;Furovirus;Furovirus cerealis</t>
  </si>
  <si>
    <t>Riboviria;Orthornavirae;Kitrinoviricota;Alsuviricetes;Martellivirales;Virgaviridae;Furovirus;Chinese wheat mosaic virus</t>
  </si>
  <si>
    <t>Riboviria;Orthornavirae;Kitrinoviricota;Alsuviricetes;Martellivirales;Virgaviridae;Furovirus;Furovirus chinense</t>
  </si>
  <si>
    <t>Riboviria;Orthornavirae;Kitrinoviricota;Alsuviricetes;Martellivirales;Virgaviridae;Furovirus;Japanese soil-borne wheat mosaic virus</t>
  </si>
  <si>
    <t>Riboviria;Orthornavirae;Kitrinoviricota;Alsuviricetes;Martellivirales;Virgaviridae;Furovirus;Furovirus japonicum</t>
  </si>
  <si>
    <t>Riboviria;Orthornavirae;Kitrinoviricota;Alsuviricetes;Martellivirales;Virgaviridae;Furovirus;Sorghum chlorotic spot virus</t>
  </si>
  <si>
    <t>Riboviria;Orthornavirae;Kitrinoviricota;Alsuviricetes;Martellivirales;Virgaviridae;Furovirus;Furovirus sorghi</t>
  </si>
  <si>
    <t>Riboviria;Orthornavirae;Kitrinoviricota;Alsuviricetes;Martellivirales;Virgaviridae;Furovirus;Soil-borne wheat mosaic virus</t>
  </si>
  <si>
    <t>Riboviria;Orthornavirae;Kitrinoviricota;Alsuviricetes;Martellivirales;Virgaviridae;Furovirus;Furovirus tritici</t>
  </si>
  <si>
    <t>Riboviria;Orthornavirae;Kitrinoviricota;Alsuviricetes;Martellivirales;Virgaviridae;Goravirus;Drakaea virus A</t>
  </si>
  <si>
    <t>Riboviria;Orthornavirae;Kitrinoviricota;Alsuviricetes;Martellivirales;Virgaviridae;Goravirus;Goravirus drakeae</t>
  </si>
  <si>
    <t>Riboviria;Orthornavirae;Kitrinoviricota;Alsuviricetes;Martellivirales;Virgaviridae;Goravirus;Gentian ovary ringspot virus</t>
  </si>
  <si>
    <t>Riboviria;Orthornavirae;Kitrinoviricota;Alsuviricetes;Martellivirales;Virgaviridae;Goravirus;Goravirus gentianae</t>
  </si>
  <si>
    <t>Riboviria;Orthornavirae;Kitrinoviricota;Alsuviricetes;Martellivirales;Virgaviridae;Hordeivirus;Anthoxanthum latent blanching virus</t>
  </si>
  <si>
    <t>Riboviria;Orthornavirae;Kitrinoviricota;Alsuviricetes;Martellivirales;Virgaviridae;Hordeivirus;Hordeivirus anthoxanthi</t>
  </si>
  <si>
    <t>Riboviria;Orthornavirae;Kitrinoviricota;Alsuviricetes;Martellivirales;Virgaviridae;Hordeivirus;Barley stripe mosaic virus</t>
  </si>
  <si>
    <t>Riboviria;Orthornavirae;Kitrinoviricota;Alsuviricetes;Martellivirales;Virgaviridae;Hordeivirus;Hordeivirus hordei</t>
  </si>
  <si>
    <t>Riboviria;Orthornavirae;Kitrinoviricota;Alsuviricetes;Martellivirales;Virgaviridae;Hordeivirus;Lychnis ringspot virus</t>
  </si>
  <si>
    <t>Riboviria;Orthornavirae;Kitrinoviricota;Alsuviricetes;Martellivirales;Virgaviridae;Hordeivirus;Hordeivirus lychnis</t>
  </si>
  <si>
    <t>Riboviria;Orthornavirae;Kitrinoviricota;Alsuviricetes;Martellivirales;Virgaviridae;Hordeivirus;Poa semilatent virus</t>
  </si>
  <si>
    <t>Riboviria;Orthornavirae;Kitrinoviricota;Alsuviricetes;Martellivirales;Virgaviridae;Hordeivirus;Hordeivirus poae</t>
  </si>
  <si>
    <t>Riboviria;Orthornavirae;Kitrinoviricota;Alsuviricetes;Martellivirales;Virgaviridae;Pecluvirus;Peanut clump virus</t>
  </si>
  <si>
    <t>Riboviria;Orthornavirae;Kitrinoviricota;Alsuviricetes;Martellivirales;Virgaviridae;Pecluvirus;Pecluvirus arachidis</t>
  </si>
  <si>
    <t>Riboviria;Orthornavirae;Kitrinoviricota;Alsuviricetes;Martellivirales;Virgaviridae;Pecluvirus;Indian peanut clump virus</t>
  </si>
  <si>
    <t>Riboviria;Orthornavirae;Kitrinoviricota;Alsuviricetes;Martellivirales;Virgaviridae;Pecluvirus;Pecluvirus indicum</t>
  </si>
  <si>
    <t>Riboviria;Orthornavirae;Kitrinoviricota;Alsuviricetes;Martellivirales;Virgaviridae;Pomovirus;Beet virus Q</t>
  </si>
  <si>
    <t>Riboviria;Orthornavirae;Kitrinoviricota;Alsuviricetes;Martellivirales;Virgaviridae;Pomovirus;Pomovirus betae</t>
  </si>
  <si>
    <t>Riboviria;Orthornavirae;Kitrinoviricota;Alsuviricetes;Martellivirales;Virgaviridae;Pomovirus;Colombian potato soil-borne virus</t>
  </si>
  <si>
    <t>Riboviria;Orthornavirae;Kitrinoviricota;Alsuviricetes;Martellivirales;Virgaviridae;Pomovirus;Pomovirus colombiense</t>
  </si>
  <si>
    <t>Riboviria;Orthornavirae;Kitrinoviricota;Alsuviricetes;Martellivirales;Virgaviridae;Pomovirus;Potato mop-top virus</t>
  </si>
  <si>
    <t>Riboviria;Orthornavirae;Kitrinoviricota;Alsuviricetes;Martellivirales;Virgaviridae;Pomovirus;Pomovirus solani</t>
  </si>
  <si>
    <t>Riboviria;Orthornavirae;Kitrinoviricota;Alsuviricetes;Martellivirales;Virgaviridae;Pomovirus;Beet soil-borne virus</t>
  </si>
  <si>
    <t>Riboviria;Orthornavirae;Kitrinoviricota;Alsuviricetes;Martellivirales;Virgaviridae;Pomovirus;Pomovirus solibetae</t>
  </si>
  <si>
    <t>Riboviria;Orthornavirae;Kitrinoviricota;Alsuviricetes;Martellivirales;Virgaviridae;Pomovirus;Broad bean necrosis virus</t>
  </si>
  <si>
    <t>Riboviria;Orthornavirae;Kitrinoviricota;Alsuviricetes;Martellivirales;Virgaviridae;Pomovirus;Pomovirus viciae</t>
  </si>
  <si>
    <t>Riboviria;Orthornavirae;Kitrinoviricota;Alsuviricetes;Martellivirales;Virgaviridae;Tobamovirus;Yellow tailflower mild mottle virus</t>
  </si>
  <si>
    <t>Riboviria;Orthornavirae;Kitrinoviricota;Alsuviricetes;Martellivirales;Virgaviridae;Tobamovirus;Tobamovirus anthocercis</t>
  </si>
  <si>
    <t>Riboviria;Orthornavirae;Kitrinoviricota;Alsuviricetes;Martellivirales;Virgaviridae;Tobamovirus;Brugmansia mild mottle virus</t>
  </si>
  <si>
    <t>Riboviria;Orthornavirae;Kitrinoviricota;Alsuviricetes;Martellivirales;Virgaviridae;Tobamovirus;Tobamovirus brugmansiae</t>
  </si>
  <si>
    <t>Riboviria;Orthornavirae;Kitrinoviricota;Alsuviricetes;Martellivirales;Virgaviridae;Tobamovirus;Cactus mild mottle virus</t>
  </si>
  <si>
    <t>Riboviria;Orthornavirae;Kitrinoviricota;Alsuviricetes;Martellivirales;Virgaviridae;Tobamovirus;Tobamovirus cacti</t>
  </si>
  <si>
    <t>Riboviria;Orthornavirae;Kitrinoviricota;Alsuviricetes;Martellivirales;Virgaviridae;Tobamovirus;Pepper mild mottle virus</t>
  </si>
  <si>
    <t>Riboviria;Orthornavirae;Kitrinoviricota;Alsuviricetes;Martellivirales;Virgaviridae;Tobamovirus;Tobamovirus capsici</t>
  </si>
  <si>
    <t>Riboviria;Orthornavirae;Kitrinoviricota;Alsuviricetes;Martellivirales;Virgaviridae;Tobamovirus;Clitoria yellow mottle virus</t>
  </si>
  <si>
    <t>Riboviria;Orthornavirae;Kitrinoviricota;Alsuviricetes;Martellivirales;Virgaviridae;Tobamovirus;Tobamovirus clitoriae</t>
  </si>
  <si>
    <t>Riboviria;Orthornavirae;Kitrinoviricota;Alsuviricetes;Martellivirales;Virgaviridae;Tobamovirus;Sunn-hemp mosaic virus</t>
  </si>
  <si>
    <t>Riboviria;Orthornavirae;Kitrinoviricota;Alsuviricetes;Martellivirales;Virgaviridae;Tobamovirus;Tobamovirus crotalariae</t>
  </si>
  <si>
    <t>Riboviria;Orthornavirae;Kitrinoviricota;Alsuviricetes;Martellivirales;Virgaviridae;Tobamovirus;Cucumber mottle virus</t>
  </si>
  <si>
    <t>Riboviria;Orthornavirae;Kitrinoviricota;Alsuviricetes;Martellivirales;Virgaviridae;Tobamovirus;Tobamovirus cucumeris</t>
  </si>
  <si>
    <t>Riboviria;Orthornavirae;Kitrinoviricota;Alsuviricetes;Martellivirales;Virgaviridae;Tobamovirus;Zucchini green mottle mosaic virus</t>
  </si>
  <si>
    <t>Riboviria;Orthornavirae;Kitrinoviricota;Alsuviricetes;Martellivirales;Virgaviridae;Tobamovirus;Tobamovirus cucurbitae</t>
  </si>
  <si>
    <t>Riboviria;Orthornavirae;Kitrinoviricota;Alsuviricetes;Martellivirales;Virgaviridae;Tobamovirus;Hibiscus latent Fort Pierce virus</t>
  </si>
  <si>
    <t>Riboviria;Orthornavirae;Kitrinoviricota;Alsuviricetes;Martellivirales;Virgaviridae;Tobamovirus;Tobamovirus fortpiercense</t>
  </si>
  <si>
    <t>Riboviria;Orthornavirae;Kitrinoviricota;Alsuviricetes;Martellivirales;Virgaviridae;Tobamovirus;Frangipani mosaic virus</t>
  </si>
  <si>
    <t>Riboviria;Orthornavirae;Kitrinoviricota;Alsuviricetes;Martellivirales;Virgaviridae;Tobamovirus;Tobamovirus frangipani</t>
  </si>
  <si>
    <t>Riboviria;Orthornavirae;Kitrinoviricota;Alsuviricetes;Martellivirales;Virgaviridae;Tobamovirus;Tomato brown rugose fruit virus</t>
  </si>
  <si>
    <t>Riboviria;Orthornavirae;Kitrinoviricota;Alsuviricetes;Martellivirales;Virgaviridae;Tobamovirus;Tobamovirus fructirugosum</t>
  </si>
  <si>
    <t>Riboviria;Orthornavirae;Kitrinoviricota;Alsuviricetes;Martellivirales;Virgaviridae;Tobamovirus;Kyuri green mottle mosaic virus</t>
  </si>
  <si>
    <t>Riboviria;Orthornavirae;Kitrinoviricota;Alsuviricetes;Martellivirales;Virgaviridae;Tobamovirus;Tobamovirus kyuri</t>
  </si>
  <si>
    <t>Riboviria;Orthornavirae;Kitrinoviricota;Alsuviricetes;Martellivirales;Virgaviridae;Tobamovirus;Tobacco latent virus</t>
  </si>
  <si>
    <t>Riboviria;Orthornavirae;Kitrinoviricota;Alsuviricetes;Martellivirales;Virgaviridae;Tobamovirus;Tobamovirus latentabaci</t>
  </si>
  <si>
    <t>Riboviria;Orthornavirae;Kitrinoviricota;Alsuviricetes;Martellivirales;Virgaviridae;Tobamovirus;Bell pepper mottle virus</t>
  </si>
  <si>
    <t>Riboviria;Orthornavirae;Kitrinoviricota;Alsuviricetes;Martellivirales;Virgaviridae;Tobamovirus;Tobamovirus maculacapsici</t>
  </si>
  <si>
    <t>Riboviria;Orthornavirae;Kitrinoviricota;Alsuviricetes;Martellivirales;Virgaviridae;Tobamovirus;Cucumber fruit mottle mosaic virus</t>
  </si>
  <si>
    <t>Riboviria;Orthornavirae;Kitrinoviricota;Alsuviricetes;Martellivirales;Virgaviridae;Tobamovirus;Tobamovirus maculafructi</t>
  </si>
  <si>
    <t>Riboviria;Orthornavirae;Kitrinoviricota;Alsuviricetes;Martellivirales;Virgaviridae;Tobamovirus;Tomato mottle mosaic virus</t>
  </si>
  <si>
    <t>Riboviria;Orthornavirae;Kitrinoviricota;Alsuviricetes;Martellivirales;Virgaviridae;Tobamovirus;Tobamovirus maculatessellati</t>
  </si>
  <si>
    <t>Riboviria;Orthornavirae;Kitrinoviricota;Alsuviricetes;Martellivirales;Virgaviridae;Tobamovirus;Maracuja mosaic virus</t>
  </si>
  <si>
    <t>Riboviria;Orthornavirae;Kitrinoviricota;Alsuviricetes;Martellivirales;Virgaviridae;Tobamovirus;Tobamovirus maracujae</t>
  </si>
  <si>
    <t>Riboviria;Orthornavirae;Kitrinoviricota;Alsuviricetes;Martellivirales;Virgaviridae;Tobamovirus;Tobacco mild green mosaic virus</t>
  </si>
  <si>
    <t>Riboviria;Orthornavirae;Kitrinoviricota;Alsuviricetes;Martellivirales;Virgaviridae;Tobamovirus;Tobamovirus mititessellati</t>
  </si>
  <si>
    <t>Riboviria;Orthornavirae;Kitrinoviricota;Alsuviricetes;Martellivirales;Virgaviridae;Tobamovirus;Rattail cactus necrosis-associated virus</t>
  </si>
  <si>
    <t>Riboviria;Orthornavirae;Kitrinoviricota;Alsuviricetes;Martellivirales;Virgaviridae;Tobamovirus;Tobamovirus muricaudae</t>
  </si>
  <si>
    <t>Riboviria;Orthornavirae;Kitrinoviricota;Alsuviricetes;Martellivirales;Virgaviridae;Tobamovirus;Obuda pepper virus</t>
  </si>
  <si>
    <t>Riboviria;Orthornavirae;Kitrinoviricota;Alsuviricetes;Martellivirales;Virgaviridae;Tobamovirus;Tobamovirus obudae</t>
  </si>
  <si>
    <t>Riboviria;Orthornavirae;Kitrinoviricota;Alsuviricetes;Martellivirales;Virgaviridae;Tobamovirus;Odontoglossum ringspot virus</t>
  </si>
  <si>
    <t>Riboviria;Orthornavirae;Kitrinoviricota;Alsuviricetes;Martellivirales;Virgaviridae;Tobamovirus;Tobamovirus odontoglossi</t>
  </si>
  <si>
    <t>Riboviria;Orthornavirae;Kitrinoviricota;Alsuviricetes;Martellivirales;Virgaviridae;Tobamovirus;Opuntia chlorotic ringspot virus</t>
  </si>
  <si>
    <t>Riboviria;Orthornavirae;Kitrinoviricota;Alsuviricetes;Martellivirales;Virgaviridae;Tobamovirus;Tobamovirus opuntiae</t>
  </si>
  <si>
    <t>Riboviria;Orthornavirae;Kitrinoviricota;Alsuviricetes;Martellivirales;Virgaviridae;Tobamovirus;Paprika mild mottle virus</t>
  </si>
  <si>
    <t>Riboviria;Orthornavirae;Kitrinoviricota;Alsuviricetes;Martellivirales;Virgaviridae;Tobamovirus;Tobamovirus paprikae</t>
  </si>
  <si>
    <t>Riboviria;Orthornavirae;Kitrinoviricota;Alsuviricetes;Martellivirales;Virgaviridae;Tobamovirus;Passion fruit mosaic virus</t>
  </si>
  <si>
    <t>Riboviria;Orthornavirae;Kitrinoviricota;Alsuviricetes;Martellivirales;Virgaviridae;Tobamovirus;Tobamovirus passiflorae</t>
  </si>
  <si>
    <t>Riboviria;Orthornavirae;Kitrinoviricota;Alsuviricetes;Martellivirales;Virgaviridae;Tobamovirus;Ribgrass mosaic virus</t>
  </si>
  <si>
    <t>Riboviria;Orthornavirae;Kitrinoviricota;Alsuviricetes;Martellivirales;Virgaviridae;Tobamovirus;Tobamovirus plantagonis</t>
  </si>
  <si>
    <t>Riboviria;Orthornavirae;Kitrinoviricota;Alsuviricetes;Martellivirales;Virgaviridae;Tobamovirus;Plumeria mosaic virus</t>
  </si>
  <si>
    <t>Riboviria;Orthornavirae;Kitrinoviricota;Alsuviricetes;Martellivirales;Virgaviridae;Tobamovirus;Tobamovirus plumeriae</t>
  </si>
  <si>
    <t>Riboviria;Orthornavirae;Kitrinoviricota;Alsuviricetes;Martellivirales;Virgaviridae;Tobamovirus;Turnip vein-clearing virus</t>
  </si>
  <si>
    <t>Riboviria;Orthornavirae;Kitrinoviricota;Alsuviricetes;Martellivirales;Virgaviridae;Tobamovirus;Tobamovirus rapae</t>
  </si>
  <si>
    <t>Riboviria;Orthornavirae;Kitrinoviricota;Alsuviricetes;Martellivirales;Virgaviridae;Tobamovirus;Rehmannia mosaic virus</t>
  </si>
  <si>
    <t>Riboviria;Orthornavirae;Kitrinoviricota;Alsuviricetes;Martellivirales;Virgaviridae;Tobamovirus;Tobamovirus rehmanniae</t>
  </si>
  <si>
    <t>Riboviria;Orthornavirae;Kitrinoviricota;Alsuviricetes;Martellivirales;Virgaviridae;Tobamovirus;Hibiscus latent Singapore virus</t>
  </si>
  <si>
    <t>Riboviria;Orthornavirae;Kitrinoviricota;Alsuviricetes;Martellivirales;Virgaviridae;Tobamovirus;Tobamovirus singaporense</t>
  </si>
  <si>
    <t>Riboviria;Orthornavirae;Kitrinoviricota;Alsuviricetes;Martellivirales;Virgaviridae;Tobamovirus;Streptocarpus flower break virus</t>
  </si>
  <si>
    <t>Riboviria;Orthornavirae;Kitrinoviricota;Alsuviricetes;Martellivirales;Virgaviridae;Tobamovirus;Tobamovirus streptocarpi</t>
  </si>
  <si>
    <t>Riboviria;Orthornavirae;Kitrinoviricota;Alsuviricetes;Martellivirales;Virgaviridae;Tobamovirus;Tobacco mosaic virus</t>
  </si>
  <si>
    <t>Riboviria;Orthornavirae;Kitrinoviricota;Alsuviricetes;Martellivirales;Virgaviridae;Tobamovirus;Tobamovirus tabaci</t>
  </si>
  <si>
    <t>Riboviria;Orthornavirae;Kitrinoviricota;Alsuviricetes;Martellivirales;Virgaviridae;Tobamovirus;Tomato mosaic virus</t>
  </si>
  <si>
    <t>Riboviria;Orthornavirae;Kitrinoviricota;Alsuviricetes;Martellivirales;Virgaviridae;Tobamovirus;Tobamovirus tomatotessellati</t>
  </si>
  <si>
    <t>Riboviria;Orthornavirae;Kitrinoviricota;Alsuviricetes;Martellivirales;Virgaviridae;Tobamovirus;Tropical soda apple mosaic virus</t>
  </si>
  <si>
    <t>Riboviria;Orthornavirae;Kitrinoviricota;Alsuviricetes;Martellivirales;Virgaviridae;Tobamovirus;Tobamovirus tropici</t>
  </si>
  <si>
    <t>Riboviria;Orthornavirae;Kitrinoviricota;Alsuviricetes;Martellivirales;Virgaviridae;Tobamovirus;Ullucus mild mottle virus</t>
  </si>
  <si>
    <t>Riboviria;Orthornavirae;Kitrinoviricota;Alsuviricetes;Martellivirales;Virgaviridae;Tobamovirus;Tobamovirus ulluci</t>
  </si>
  <si>
    <t>Riboviria;Orthornavirae;Kitrinoviricota;Alsuviricetes;Martellivirales;Virgaviridae;Tobamovirus;Cucumber green mottle mosaic virus</t>
  </si>
  <si>
    <t>Riboviria;Orthornavirae;Kitrinoviricota;Alsuviricetes;Martellivirales;Virgaviridae;Tobamovirus;Tobamovirus viridimaculae</t>
  </si>
  <si>
    <t>Riboviria;Orthornavirae;Kitrinoviricota;Alsuviricetes;Martellivirales;Virgaviridae;Tobamovirus;Wasabi mottle virus</t>
  </si>
  <si>
    <t>Riboviria;Orthornavirae;Kitrinoviricota;Alsuviricetes;Martellivirales;Virgaviridae;Tobamovirus;Tobamovirus wasabi</t>
  </si>
  <si>
    <t>Riboviria;Orthornavirae;Kitrinoviricota;Alsuviricetes;Martellivirales;Virgaviridae;Tobamovirus;Youcai mosaic virus</t>
  </si>
  <si>
    <t>Riboviria;Orthornavirae;Kitrinoviricota;Alsuviricetes;Martellivirales;Virgaviridae;Tobamovirus;Tobamovirus youcai</t>
  </si>
  <si>
    <t>Riboviria;Orthornavirae;Kitrinoviricota;Alsuviricetes;Martellivirales;Virgaviridae;Tobravirus;Pepper ringspot virus</t>
  </si>
  <si>
    <t>Riboviria;Orthornavirae;Kitrinoviricota;Alsuviricetes;Martellivirales;Virgaviridae;Tobravirus;Tobravirus capsici</t>
  </si>
  <si>
    <t>Riboviria;Orthornavirae;Kitrinoviricota;Alsuviricetes;Martellivirales;Virgaviridae;Tobravirus;Pea early-browning virus</t>
  </si>
  <si>
    <t>Riboviria;Orthornavirae;Kitrinoviricota;Alsuviricetes;Martellivirales;Virgaviridae;Tobravirus;Tobravirus pisi</t>
  </si>
  <si>
    <t>Riboviria;Orthornavirae;Kitrinoviricota;Alsuviricetes;Martellivirales;Virgaviridae;Tobravirus;Tobacco rattle virus</t>
  </si>
  <si>
    <t>Riboviria;Orthornavirae;Kitrinoviricota;Alsuviricetes;Martellivirales;Virgaviridae;Tobravirus;Tobravirus tabaci</t>
  </si>
  <si>
    <t>Riboviria;Orthornavirae;Kitrinoviricota;Alsuviricetes;Tymovirales;Alphaflexiviridae;Allexivirus;Acarallexivirus;Garlic virus A</t>
  </si>
  <si>
    <t>Riboviria;Orthornavirae;Kitrinoviricota;Alsuviricetes;Tymovirales;Alphaflexiviridae;Allexivirus;Acarallexivirus;Allexivirus alphallii</t>
  </si>
  <si>
    <t>Riboviria;Orthornavirae;Kitrinoviricota;Alsuviricetes;Tymovirales;Alphaflexiviridae;Allexivirus;Acarallexivirus;Garlic virus B</t>
  </si>
  <si>
    <t>Riboviria;Orthornavirae;Kitrinoviricota;Alsuviricetes;Tymovirales;Alphaflexiviridae;Allexivirus;Acarallexivirus;Allexivirus betallii</t>
  </si>
  <si>
    <t>Riboviria;Orthornavirae;Kitrinoviricota;Alsuviricetes;Tymovirales;Alphaflexiviridae;Allexivirus;Acarallexivirus;Garlic virus C</t>
  </si>
  <si>
    <t>Riboviria;Orthornavirae;Kitrinoviricota;Alsuviricetes;Tymovirales;Alphaflexiviridae;Allexivirus;Acarallexivirus;Allexivirus chiallii</t>
  </si>
  <si>
    <t>Riboviria;Orthornavirae;Kitrinoviricota;Alsuviricetes;Tymovirales;Alphaflexiviridae;Allexivirus;Acarallexivirus;Garlic virus D</t>
  </si>
  <si>
    <t>Riboviria;Orthornavirae;Kitrinoviricota;Alsuviricetes;Tymovirales;Alphaflexiviridae;Allexivirus;Acarallexivirus;Allexivirus deltallii</t>
  </si>
  <si>
    <t>Riboviria;Orthornavirae;Kitrinoviricota;Alsuviricetes;Tymovirales;Alphaflexiviridae;Allexivirus;Acarallexivirus;Garlic virus X</t>
  </si>
  <si>
    <t>Riboviria;Orthornavirae;Kitrinoviricota;Alsuviricetes;Tymovirales;Alphaflexiviridae;Allexivirus;Acarallexivirus;Allexivirus ecsallii</t>
  </si>
  <si>
    <t>Riboviria;Orthornavirae;Kitrinoviricota;Alsuviricetes;Tymovirales;Alphaflexiviridae;Allexivirus;Acarallexivirus;Shallot virus X</t>
  </si>
  <si>
    <t>Riboviria;Orthornavirae;Kitrinoviricota;Alsuviricetes;Tymovirales;Alphaflexiviridae;Allexivirus;Acarallexivirus;Allexivirus ecsascalonicum</t>
  </si>
  <si>
    <t>Riboviria;Orthornavirae;Kitrinoviricota;Alsuviricetes;Tymovirales;Alphaflexiviridae;Allexivirus;Acarallexivirus;Garlic virus E</t>
  </si>
  <si>
    <t>Riboviria;Orthornavirae;Kitrinoviricota;Alsuviricetes;Tymovirales;Alphaflexiviridae;Allexivirus;Acarallexivirus;Allexivirus epsalii</t>
  </si>
  <si>
    <t>Riboviria;Orthornavirae;Kitrinoviricota;Alsuviricetes;Tymovirales;Alphaflexiviridae;Allexivirus;Blackberry virus E</t>
  </si>
  <si>
    <t>Riboviria;Orthornavirae;Kitrinoviricota;Alsuviricetes;Tymovirales;Alphaflexiviridae;Allexivirus;Allexivirus epsilonrubi</t>
  </si>
  <si>
    <t>Riboviria;Orthornavirae;Kitrinoviricota;Alsuviricetes;Tymovirales;Alphaflexiviridae;Allexivirus;Garlic mite-borne filamentous virus</t>
  </si>
  <si>
    <t>Riboviria;Orthornavirae;Kitrinoviricota;Alsuviricetes;Tymovirales;Alphaflexiviridae;Allexivirus;Allexivirus filumallii</t>
  </si>
  <si>
    <t>Riboviria;Orthornavirae;Kitrinoviricota;Alsuviricetes;Tymovirales;Alphaflexiviridae;Allexivirus;Vanilla latent virus</t>
  </si>
  <si>
    <t>Riboviria;Orthornavirae;Kitrinoviricota;Alsuviricetes;Tymovirales;Alphaflexiviridae;Allexivirus;Allexivirus latensvanillae</t>
  </si>
  <si>
    <t>Riboviria;Orthornavirae;Kitrinoviricota;Alsuviricetes;Tymovirales;Alphaflexiviridae;Allexivirus;Arachis pintoi virus</t>
  </si>
  <si>
    <t>Riboviria;Orthornavirae;Kitrinoviricota;Alsuviricetes;Tymovirales;Alphaflexiviridae;Allexivirus;Allexivirus pintoi</t>
  </si>
  <si>
    <t>Riboviria;Orthornavirae;Kitrinoviricota;Alsuviricetes;Tymovirales;Alphaflexiviridae;Allexivirus;Senna severe yellow mosaic virus</t>
  </si>
  <si>
    <t>Riboviria;Orthornavirae;Kitrinoviricota;Alsuviricetes;Tymovirales;Alphaflexiviridae;Allexivirus;Allexivirus sennae</t>
  </si>
  <si>
    <t>Riboviria;Orthornavirae;Kitrinoviricota;Alsuviricetes;Tymovirales;Alphaflexiviridae;Allexivirus;Alfalfa virus S</t>
  </si>
  <si>
    <t>Riboviria;Orthornavirae;Kitrinoviricota;Alsuviricetes;Tymovirales;Alphaflexiviridae;Allexivirus;Allexivirus sigmamedicagonis</t>
  </si>
  <si>
    <t>Riboviria;Orthornavirae;Kitrinoviricota;Alsuviricetes;Tymovirales;Alphaflexiviridae;Botrexvirus;Botrytis virus X</t>
  </si>
  <si>
    <t>Riboviria;Orthornavirae;Kitrinoviricota;Alsuviricetes;Tymovirales;Alphaflexiviridae;Botrexvirus;Botrexvirus ecsbotrytis</t>
  </si>
  <si>
    <t>Riboviria;Orthornavirae;Kitrinoviricota;Alsuviricetes;Tymovirales;Alphaflexiviridae;Lolavirus;Lolium latent virus</t>
  </si>
  <si>
    <t>Riboviria;Orthornavirae;Kitrinoviricota;Alsuviricetes;Tymovirales;Alphaflexiviridae;Lolavirus;Lolavirus latenslolii</t>
  </si>
  <si>
    <t>Riboviria;Orthornavirae;Kitrinoviricota;Alsuviricetes;Tymovirales;Alphaflexiviridae;Platypuvirus;Donkey orchid symptomless virus</t>
  </si>
  <si>
    <t>Riboviria;Orthornavirae;Kitrinoviricota;Alsuviricetes;Tymovirales;Alphaflexiviridae;Platypuvirus;Platypuvirus asinorchis</t>
  </si>
  <si>
    <t>Riboviria;Orthornavirae;Kitrinoviricota;Alsuviricetes;Tymovirales;Alphaflexiviridae;Potexvirus;Mandarivirus;Citrus yellow mottle-associated virus</t>
  </si>
  <si>
    <t>Riboviria;Orthornavirae;Kitrinoviricota;Alsuviricetes;Tymovirales;Alphaflexiviridae;Potexvirus;Mandarivirus;Potexvirus citriflavimaculae</t>
  </si>
  <si>
    <t>Riboviria;Orthornavirae;Kitrinoviricota;Alsuviricetes;Tymovirales;Alphaflexiviridae;Potexvirus;Mandarivirus;Citrus yellow vein clearing virus</t>
  </si>
  <si>
    <t>Riboviria;Orthornavirae;Kitrinoviricota;Alsuviricetes;Tymovirales;Alphaflexiviridae;Potexvirus;Mandarivirus;Potexvirus citriflavivenae</t>
  </si>
  <si>
    <t>Riboviria;Orthornavirae;Kitrinoviricota;Alsuviricetes;Tymovirales;Alphaflexiviridae;Potexvirus;Mandarivirus;Indian citrus ringspot virus</t>
  </si>
  <si>
    <t>Riboviria;Orthornavirae;Kitrinoviricota;Alsuviricetes;Tymovirales;Alphaflexiviridae;Potexvirus;Mandarivirus;Potexvirus citrindicum</t>
  </si>
  <si>
    <t>Riboviria;Orthornavirae;Kitrinoviricota;Alsuviricetes;Tymovirales;Alphaflexiviridae;Potexvirus;Alternanthera mosaic virus</t>
  </si>
  <si>
    <t>Riboviria;Orthornavirae;Kitrinoviricota;Alsuviricetes;Tymovirales;Alphaflexiviridae;Potexvirus;Potexvirus alternantherae</t>
  </si>
  <si>
    <t>Riboviria;Orthornavirae;Kitrinoviricota;Alsuviricetes;Tymovirales;Alphaflexiviridae;Potexvirus;Babaco mosaic virus</t>
  </si>
  <si>
    <t>Riboviria;Orthornavirae;Kitrinoviricota;Alsuviricetes;Tymovirales;Alphaflexiviridae;Potexvirus;Potexvirus babaci</t>
  </si>
  <si>
    <t>Riboviria;Orthornavirae;Kitrinoviricota;Alsuviricetes;Tymovirales;Alphaflexiviridae;Potexvirus;Bamboo mosaic virus</t>
  </si>
  <si>
    <t>Riboviria;Orthornavirae;Kitrinoviricota;Alsuviricetes;Tymovirales;Alphaflexiviridae;Potexvirus;Potexvirus bambusae</t>
  </si>
  <si>
    <t>Riboviria;Orthornavirae;Kitrinoviricota;Alsuviricetes;Tymovirales;Alphaflexiviridae;Potexvirus;Cassava Colombian symptomless virus</t>
  </si>
  <si>
    <t>Riboviria;Orthornavirae;Kitrinoviricota;Alsuviricetes;Tymovirales;Alphaflexiviridae;Potexvirus;Potexvirus colombiense</t>
  </si>
  <si>
    <t>Riboviria;Orthornavirae;Kitrinoviricota;Alsuviricetes;Tymovirales;Alphaflexiviridae;Potexvirus;Cymbidium mosaic virus</t>
  </si>
  <si>
    <t>Riboviria;Orthornavirae;Kitrinoviricota;Alsuviricetes;Tymovirales;Alphaflexiviridae;Potexvirus;Potexvirus cymbidii</t>
  </si>
  <si>
    <t>Riboviria;Orthornavirae;Kitrinoviricota;Alsuviricetes;Tymovirales;Alphaflexiviridae;Potexvirus;Allium virus X</t>
  </si>
  <si>
    <t>Riboviria;Orthornavirae;Kitrinoviricota;Alsuviricetes;Tymovirales;Alphaflexiviridae;Potexvirus;Potexvirus ecsallii</t>
  </si>
  <si>
    <t>Riboviria;Orthornavirae;Kitrinoviricota;Alsuviricetes;Tymovirales;Alphaflexiviridae;Potexvirus;Alstroemeria virus X</t>
  </si>
  <si>
    <t>Riboviria;Orthornavirae;Kitrinoviricota;Alsuviricetes;Tymovirales;Alphaflexiviridae;Potexvirus;Potexvirus ecsalstroemeriae</t>
  </si>
  <si>
    <t>Riboviria;Orthornavirae;Kitrinoviricota;Alsuviricetes;Tymovirales;Alphaflexiviridae;Potexvirus;Cactus virus X</t>
  </si>
  <si>
    <t>Riboviria;Orthornavirae;Kitrinoviricota;Alsuviricetes;Tymovirales;Alphaflexiviridae;Potexvirus;Potexvirus ecscacti</t>
  </si>
  <si>
    <t>Riboviria;Orthornavirae;Kitrinoviricota;Alsuviricetes;Tymovirales;Alphaflexiviridae;Potexvirus;Schlumbergera virus X</t>
  </si>
  <si>
    <t>Riboviria;Orthornavirae;Kitrinoviricota;Alsuviricetes;Tymovirales;Alphaflexiviridae;Potexvirus;Potexvirus ecschlumbergerae</t>
  </si>
  <si>
    <t>Riboviria;Orthornavirae;Kitrinoviricota;Alsuviricetes;Tymovirales;Alphaflexiviridae;Potexvirus;Cnidium virus X</t>
  </si>
  <si>
    <t>Riboviria;Orthornavirae;Kitrinoviricota;Alsuviricetes;Tymovirales;Alphaflexiviridae;Potexvirus;Potexvirus ecscnidii</t>
  </si>
  <si>
    <t>Riboviria;Orthornavirae;Kitrinoviricota;Alsuviricetes;Tymovirales;Alphaflexiviridae;Potexvirus;Yam virus X</t>
  </si>
  <si>
    <t>Riboviria;Orthornavirae;Kitrinoviricota;Alsuviricetes;Tymovirales;Alphaflexiviridae;Potexvirus;Potexvirus ecsdioscoreae</t>
  </si>
  <si>
    <t>Riboviria;Orthornavirae;Kitrinoviricota;Alsuviricetes;Tymovirales;Alphaflexiviridae;Potexvirus;Hosta virus X</t>
  </si>
  <si>
    <t>Riboviria;Orthornavirae;Kitrinoviricota;Alsuviricetes;Tymovirales;Alphaflexiviridae;Potexvirus;Potexvirus ecshostae</t>
  </si>
  <si>
    <t>Riboviria;Orthornavirae;Kitrinoviricota;Alsuviricetes;Tymovirales;Alphaflexiviridae;Potexvirus;Lettuce virus X</t>
  </si>
  <si>
    <t>Riboviria;Orthornavirae;Kitrinoviricota;Alsuviricetes;Tymovirales;Alphaflexiviridae;Potexvirus;Potexvirus ecslactucae</t>
  </si>
  <si>
    <t>Riboviria;Orthornavirae;Kitrinoviricota;Alsuviricetes;Tymovirales;Alphaflexiviridae;Potexvirus;Lily virus X</t>
  </si>
  <si>
    <t>Riboviria;Orthornavirae;Kitrinoviricota;Alsuviricetes;Tymovirales;Alphaflexiviridae;Potexvirus;Potexvirus ecslilii</t>
  </si>
  <si>
    <t>Riboviria;Orthornavirae;Kitrinoviricota;Alsuviricetes;Tymovirales;Alphaflexiviridae;Potexvirus;Cassava virus X</t>
  </si>
  <si>
    <t>Riboviria;Orthornavirae;Kitrinoviricota;Alsuviricetes;Tymovirales;Alphaflexiviridae;Potexvirus;Potexvirus ecsmanihotis</t>
  </si>
  <si>
    <t>Riboviria;Orthornavirae;Kitrinoviricota;Alsuviricetes;Tymovirales;Alphaflexiviridae;Potexvirus;Mint virus X</t>
  </si>
  <si>
    <t>Riboviria;Orthornavirae;Kitrinoviricota;Alsuviricetes;Tymovirales;Alphaflexiviridae;Potexvirus;Potexvirus ecsmenthae</t>
  </si>
  <si>
    <t>Riboviria;Orthornavirae;Kitrinoviricota;Alsuviricetes;Tymovirales;Alphaflexiviridae;Potexvirus;Nerine virus X</t>
  </si>
  <si>
    <t>Riboviria;Orthornavirae;Kitrinoviricota;Alsuviricetes;Tymovirales;Alphaflexiviridae;Potexvirus;Potexvirus ecsnerinis</t>
  </si>
  <si>
    <t>Riboviria;Orthornavirae;Kitrinoviricota;Alsuviricetes;Tymovirales;Alphaflexiviridae;Potexvirus;Opuntia virus X</t>
  </si>
  <si>
    <t>Riboviria;Orthornavirae;Kitrinoviricota;Alsuviricetes;Tymovirales;Alphaflexiviridae;Potexvirus;Potexvirus ecsopuntiae</t>
  </si>
  <si>
    <t>Riboviria;Orthornavirae;Kitrinoviricota;Alsuviricetes;Tymovirales;Alphaflexiviridae;Potexvirus;Phaius virus X</t>
  </si>
  <si>
    <t>Riboviria;Orthornavirae;Kitrinoviricota;Alsuviricetes;Tymovirales;Alphaflexiviridae;Potexvirus;Potexvirus ecsphaii</t>
  </si>
  <si>
    <t>Riboviria;Orthornavirae;Kitrinoviricota;Alsuviricetes;Tymovirales;Alphaflexiviridae;Potexvirus;Pitaya virus X</t>
  </si>
  <si>
    <t>Riboviria;Orthornavirae;Kitrinoviricota;Alsuviricetes;Tymovirales;Alphaflexiviridae;Potexvirus;Potexvirus ecspitayae</t>
  </si>
  <si>
    <t>Riboviria;Orthornavirae;Kitrinoviricota;Alsuviricetes;Tymovirales;Alphaflexiviridae;Potexvirus;Plantain virus X</t>
  </si>
  <si>
    <t>Riboviria;Orthornavirae;Kitrinoviricota;Alsuviricetes;Tymovirales;Alphaflexiviridae;Potexvirus;Potexvirus ecsplantagonis</t>
  </si>
  <si>
    <t>Riboviria;Orthornavirae;Kitrinoviricota;Alsuviricetes;Tymovirales;Alphaflexiviridae;Potexvirus;Potato virus X</t>
  </si>
  <si>
    <t>Riboviria;Orthornavirae;Kitrinoviricota;Alsuviricetes;Tymovirales;Alphaflexiviridae;Potexvirus;Potexvirus ecspotati</t>
  </si>
  <si>
    <t>Riboviria;Orthornavirae;Kitrinoviricota;Alsuviricetes;Tymovirales;Alphaflexiviridae;Potexvirus;Turtle grass virus X</t>
  </si>
  <si>
    <t>Riboviria;Orthornavirae;Kitrinoviricota;Alsuviricetes;Tymovirales;Alphaflexiviridae;Potexvirus;Potexvirus ecsthalassiae</t>
  </si>
  <si>
    <t>Riboviria;Orthornavirae;Kitrinoviricota;Alsuviricetes;Tymovirales;Alphaflexiviridae;Potexvirus;Tulip virus X</t>
  </si>
  <si>
    <t>Riboviria;Orthornavirae;Kitrinoviricota;Alsuviricetes;Tymovirales;Alphaflexiviridae;Potexvirus;Potexvirus ecstulipae</t>
  </si>
  <si>
    <t>Riboviria;Orthornavirae;Kitrinoviricota;Alsuviricetes;Tymovirales;Alphaflexiviridae;Potexvirus;Vanilla virus X</t>
  </si>
  <si>
    <t>Riboviria;Orthornavirae;Kitrinoviricota;Alsuviricetes;Tymovirales;Alphaflexiviridae;Potexvirus;Potexvirus ecsvanillae</t>
  </si>
  <si>
    <t>Riboviria;Orthornavirae;Kitrinoviricota;Alsuviricetes;Tymovirales;Alphaflexiviridae;Potexvirus;Zygocactus virus X</t>
  </si>
  <si>
    <t>Riboviria;Orthornavirae;Kitrinoviricota;Alsuviricetes;Tymovirales;Alphaflexiviridae;Potexvirus;Potexvirus eczygocacti</t>
  </si>
  <si>
    <t>Riboviria;Orthornavirae;Kitrinoviricota;Alsuviricetes;Tymovirales;Alphaflexiviridae;Potexvirus;Euonymus yellow mottle associated virus</t>
  </si>
  <si>
    <t>Riboviria;Orthornavirae;Kitrinoviricota;Alsuviricetes;Tymovirales;Alphaflexiviridae;Potexvirus;Potexvirus flavimaculae</t>
  </si>
  <si>
    <t>Riboviria;Orthornavirae;Kitrinoviricota;Alsuviricetes;Tymovirales;Alphaflexiviridae;Potexvirus;Clover yellow mosaic virus</t>
  </si>
  <si>
    <t>Riboviria;Orthornavirae;Kitrinoviricota;Alsuviricetes;Tymovirales;Alphaflexiviridae;Potexvirus;Potexvirus flavitrifolii</t>
  </si>
  <si>
    <t>Riboviria;Orthornavirae;Kitrinoviricota;Alsuviricetes;Tymovirales;Alphaflexiviridae;Potexvirus;Euonymus yellow vein virus</t>
  </si>
  <si>
    <t>Riboviria;Orthornavirae;Kitrinoviricota;Alsuviricetes;Tymovirales;Alphaflexiviridae;Potexvirus;Potexvirus flavivenae</t>
  </si>
  <si>
    <t>Riboviria;Orthornavirae;Kitrinoviricota;Alsuviricetes;Tymovirales;Alphaflexiviridae;Potexvirus;Strawberry mild yellow edge virus</t>
  </si>
  <si>
    <t>Riboviria;Orthornavirae;Kitrinoviricota;Alsuviricetes;Tymovirales;Alphaflexiviridae;Potexvirus;Potexvirus fragariae</t>
  </si>
  <si>
    <t>Riboviria;Orthornavirae;Kitrinoviricota;Alsuviricetes;Tymovirales;Alphaflexiviridae;Potexvirus;Hydrangea ringspot virus</t>
  </si>
  <si>
    <t>Riboviria;Orthornavirae;Kitrinoviricota;Alsuviricetes;Tymovirales;Alphaflexiviridae;Potexvirus;Potexvirus hydrangeae</t>
  </si>
  <si>
    <t>Riboviria;Orthornavirae;Kitrinoviricota;Alsuviricetes;Tymovirales;Alphaflexiviridae;Potexvirus;Lagenaria mild mosaic virus</t>
  </si>
  <si>
    <t>Riboviria;Orthornavirae;Kitrinoviricota;Alsuviricetes;Tymovirales;Alphaflexiviridae;Potexvirus;Potexvirus lagenariae</t>
  </si>
  <si>
    <t>Riboviria;Orthornavirae;Kitrinoviricota;Alsuviricetes;Tymovirales;Alphaflexiviridae;Potexvirus;Malva mosaic virus</t>
  </si>
  <si>
    <t>Riboviria;Orthornavirae;Kitrinoviricota;Alsuviricetes;Tymovirales;Alphaflexiviridae;Potexvirus;Potexvirus malvae</t>
  </si>
  <si>
    <t>Riboviria;Orthornavirae;Kitrinoviricota;Alsuviricetes;Tymovirales;Alphaflexiviridae;Potexvirus;Potato aucuba mosaic virus</t>
  </si>
  <si>
    <t>Riboviria;Orthornavirae;Kitrinoviricota;Alsuviricetes;Tymovirales;Alphaflexiviridae;Potexvirus;Potexvirus marmoraucuba</t>
  </si>
  <si>
    <t>Riboviria;Orthornavirae;Kitrinoviricota;Alsuviricetes;Tymovirales;Alphaflexiviridae;Potexvirus;Tamus red mosaic virus</t>
  </si>
  <si>
    <t>Riboviria;Orthornavirae;Kitrinoviricota;Alsuviricetes;Tymovirales;Alphaflexiviridae;Potexvirus;Potexvirus marmordioscoreae</t>
  </si>
  <si>
    <t>Riboviria;Orthornavirae;Kitrinoviricota;Alsuviricetes;Tymovirales;Alphaflexiviridae;Potexvirus;Cassava common mosaic virus</t>
  </si>
  <si>
    <t>Riboviria;Orthornavirae;Kitrinoviricota;Alsuviricetes;Tymovirales;Alphaflexiviridae;Potexvirus;Potexvirus marmormanihotis</t>
  </si>
  <si>
    <t>Riboviria;Orthornavirae;Kitrinoviricota;Alsuviricetes;Tymovirales;Alphaflexiviridae;Potexvirus;Plantago asiatica mosaic virus</t>
  </si>
  <si>
    <t>Riboviria;Orthornavirae;Kitrinoviricota;Alsuviricetes;Tymovirales;Alphaflexiviridae;Potexvirus;Potexvirus marmorplantagonis</t>
  </si>
  <si>
    <t>Riboviria;Orthornavirae;Kitrinoviricota;Alsuviricetes;Tymovirales;Alphaflexiviridae;Potexvirus;Senna mosaic virus</t>
  </si>
  <si>
    <t>Riboviria;Orthornavirae;Kitrinoviricota;Alsuviricetes;Tymovirales;Alphaflexiviridae;Potexvirus;Potexvirus marmorsennae</t>
  </si>
  <si>
    <t>Riboviria;Orthornavirae;Kitrinoviricota;Alsuviricetes;Tymovirales;Alphaflexiviridae;Potexvirus;Narcissus mosaic virus</t>
  </si>
  <si>
    <t>Riboviria;Orthornavirae;Kitrinoviricota;Alsuviricetes;Tymovirales;Alphaflexiviridae;Potexvirus;Potexvirus narcissi</t>
  </si>
  <si>
    <t>Riboviria;Orthornavirae;Kitrinoviricota;Alsuviricetes;Tymovirales;Alphaflexiviridae;Potexvirus;Ambrosia asymptomatic virus 1</t>
  </si>
  <si>
    <t>Riboviria;Orthornavirae;Kitrinoviricota;Alsuviricetes;Tymovirales;Alphaflexiviridae;Potexvirus;Potexvirus nesignambrosiae</t>
  </si>
  <si>
    <t>Riboviria;Orthornavirae;Kitrinoviricota;Alsuviricetes;Tymovirales;Alphaflexiviridae;Potexvirus;Papaya mosaic virus</t>
  </si>
  <si>
    <t>Riboviria;Orthornavirae;Kitrinoviricota;Alsuviricetes;Tymovirales;Alphaflexiviridae;Potexvirus;Potexvirus papayae</t>
  </si>
  <si>
    <t>Riboviria;Orthornavirae;Kitrinoviricota;Alsuviricetes;Tymovirales;Alphaflexiviridae;Potexvirus;Pepino mosaic virus</t>
  </si>
  <si>
    <t>Riboviria;Orthornavirae;Kitrinoviricota;Alsuviricetes;Tymovirales;Alphaflexiviridae;Potexvirus;Potexvirus pepini</t>
  </si>
  <si>
    <t>Riboviria;Orthornavirae;Kitrinoviricota;Alsuviricetes;Tymovirales;Alphaflexiviridae;Potexvirus;Foxtail mosaic virus</t>
  </si>
  <si>
    <t>Riboviria;Orthornavirae;Kitrinoviricota;Alsuviricetes;Tymovirales;Alphaflexiviridae;Potexvirus;Potexvirus setariae</t>
  </si>
  <si>
    <t>Riboviria;Orthornavirae;Kitrinoviricota;Alsuviricetes;Tymovirales;Alphaflexiviridae;Potexvirus;Asparagus virus 3</t>
  </si>
  <si>
    <t>Riboviria;Orthornavirae;Kitrinoviricota;Alsuviricetes;Tymovirales;Alphaflexiviridae;Potexvirus;Potexvirus triasparagi</t>
  </si>
  <si>
    <t>Riboviria;Orthornavirae;Kitrinoviricota;Alsuviricetes;Tymovirales;Alphaflexiviridae;Potexvirus;White clover mosaic virus</t>
  </si>
  <si>
    <t>Riboviria;Orthornavirae;Kitrinoviricota;Alsuviricetes;Tymovirales;Alphaflexiviridae;Potexvirus;Potexvirus trifolii</t>
  </si>
  <si>
    <t>Riboviria;Orthornavirae;Kitrinoviricota;Alsuviricetes;Tymovirales;Alphaflexiviridae;Sclerodarnavirus;Sclerotinia sclerotiorum debilitation-associated RNA virus</t>
  </si>
  <si>
    <t>Riboviria;Orthornavirae;Kitrinoviricota;Alsuviricetes;Tymovirales;Alphaflexiviridae;Sclerodarnavirus;Sclerodarnavirus sclerotiniae</t>
  </si>
  <si>
    <t>Riboviria;Orthornavirae;Kitrinoviricota;Alsuviricetes;Tymovirales;Betaflexiviridae;Quinvirinae;Banmivirus;Banmivirus BanMMV</t>
  </si>
  <si>
    <t>Riboviria;Orthornavirae;Kitrinoviricota;Alsuviricetes;Tymovirales;Betaflexiviridae;Quinvirinae;Banmivirus;Banmivirus musae</t>
  </si>
  <si>
    <t>Riboviria;Orthornavirae;Kitrinoviricota;Alsuviricetes;Tymovirales;Betaflexiviridae;Quinvirinae;Banmivirus;Banmivirus MoaBV</t>
  </si>
  <si>
    <t>Riboviria;Orthornavirae;Kitrinoviricota;Alsuviricetes;Tymovirales;Betaflexiviridae;Quinvirinae;Banmivirus;Banmivirus musornatae</t>
  </si>
  <si>
    <t>Riboviria;Orthornavirae;Kitrinoviricota;Alsuviricetes;Tymovirales;Betaflexiviridae;Quinvirinae;Carlavirus;Carlavirus PepVA</t>
  </si>
  <si>
    <t>Riboviria;Orthornavirae;Kitrinoviricota;Alsuviricetes;Tymovirales;Betaflexiviridae;Quinvirinae;Carlavirus;Carlavirus alphacapsici</t>
  </si>
  <si>
    <t>Riboviria;Orthornavirae;Kitrinoviricota;Alsuviricetes;Tymovirales;Betaflexiviridae;Quinvirinae;Carlavirus;Carlavirus ClCVA</t>
  </si>
  <si>
    <t>Riboviria;Orthornavirae;Kitrinoviricota;Alsuviricetes;Tymovirales;Betaflexiviridae;Quinvirinae;Carlavirus;Carlavirus alphacliviae</t>
  </si>
  <si>
    <t>Riboviria;Orthornavirae;Kitrinoviricota;Alsuviricetes;Tymovirales;Betaflexiviridae;Quinvirinae;Carlavirus;Carlavirus AcVA</t>
  </si>
  <si>
    <t>Riboviria;Orthornavirae;Kitrinoviricota;Alsuviricetes;Tymovirales;Betaflexiviridae;Quinvirinae;Carlavirus;Carlavirus alphaconiti</t>
  </si>
  <si>
    <t>Riboviria;Orthornavirae;Kitrinoviricota;Alsuviricetes;Tymovirales;Betaflexiviridae;Quinvirinae;Carlavirus;Ligustrum virus A</t>
  </si>
  <si>
    <t>Riboviria;Orthornavirae;Kitrinoviricota;Alsuviricetes;Tymovirales;Betaflexiviridae;Quinvirinae;Carlavirus;Carlavirus alphaligustri</t>
  </si>
  <si>
    <t>Riboviria;Orthornavirae;Kitrinoviricota;Alsuviricetes;Tymovirales;Betaflexiviridae;Quinvirinae;Carlavirus;Carlavirus RoVA</t>
  </si>
  <si>
    <t>Riboviria;Orthornavirae;Kitrinoviricota;Alsuviricetes;Tymovirales;Betaflexiviridae;Quinvirinae;Carlavirus;Carlavirus alpharosae</t>
  </si>
  <si>
    <t>Riboviria;Orthornavirae;Kitrinoviricota;Alsuviricetes;Tymovirales;Betaflexiviridae;Quinvirinae;Carlavirus;American hop latent virus</t>
  </si>
  <si>
    <t>Riboviria;Orthornavirae;Kitrinoviricota;Alsuviricetes;Tymovirales;Betaflexiviridae;Quinvirinae;Carlavirus;Carlavirus americanense</t>
  </si>
  <si>
    <t>Riboviria;Orthornavirae;Kitrinoviricota;Alsuviricetes;Tymovirales;Betaflexiviridae;Quinvirinae;Carlavirus;Atractylodes mottle virus</t>
  </si>
  <si>
    <t>Riboviria;Orthornavirae;Kitrinoviricota;Alsuviricetes;Tymovirales;Betaflexiviridae;Quinvirinae;Carlavirus;Carlavirus atractylodis</t>
  </si>
  <si>
    <t>Riboviria;Orthornavirae;Kitrinoviricota;Alsuviricetes;Tymovirales;Betaflexiviridae;Quinvirinae;Carlavirus;Chrysanthemum virus B</t>
  </si>
  <si>
    <t>Riboviria;Orthornavirae;Kitrinoviricota;Alsuviricetes;Tymovirales;Betaflexiviridae;Quinvirinae;Carlavirus;Carlavirus betachrysanthemi</t>
  </si>
  <si>
    <t>Riboviria;Orthornavirae;Kitrinoviricota;Alsuviricetes;Tymovirales;Betaflexiviridae;Quinvirinae;Carlavirus;Carlavirus AgCVB</t>
  </si>
  <si>
    <t>Riboviria;Orthornavirae;Kitrinoviricota;Alsuviricetes;Tymovirales;Betaflexiviridae;Quinvirinae;Carlavirus;Carlavirus betagapanthi</t>
  </si>
  <si>
    <t>Riboviria;Orthornavirae;Kitrinoviricota;Alsuviricetes;Tymovirales;Betaflexiviridae;Quinvirinae;Carlavirus;Phlox virus B</t>
  </si>
  <si>
    <t>Riboviria;Orthornavirae;Kitrinoviricota;Alsuviricetes;Tymovirales;Betaflexiviridae;Quinvirinae;Carlavirus;Carlavirus betaphlocis</t>
  </si>
  <si>
    <t>Riboviria;Orthornavirae;Kitrinoviricota;Alsuviricetes;Tymovirales;Betaflexiviridae;Quinvirinae;Carlavirus;Carlavirus RVB</t>
  </si>
  <si>
    <t>Riboviria;Orthornavirae;Kitrinoviricota;Alsuviricetes;Tymovirales;Betaflexiviridae;Quinvirinae;Carlavirus;Carlavirus betarosae</t>
  </si>
  <si>
    <t>Riboviria;Orthornavirae;Kitrinoviricota;Alsuviricetes;Tymovirales;Betaflexiviridae;Quinvirinae;Carlavirus;Carlavirus BiCV</t>
  </si>
  <si>
    <t>Riboviria;Orthornavirae;Kitrinoviricota;Alsuviricetes;Tymovirales;Betaflexiviridae;Quinvirinae;Carlavirus;Carlavirus betulae</t>
  </si>
  <si>
    <t>Riboviria;Orthornavirae;Kitrinoviricota;Alsuviricetes;Tymovirales;Betaflexiviridae;Quinvirinae;Carlavirus;Cactus virus 2</t>
  </si>
  <si>
    <t>Riboviria;Orthornavirae;Kitrinoviricota;Alsuviricetes;Tymovirales;Betaflexiviridae;Quinvirinae;Carlavirus;Carlavirus cacti</t>
  </si>
  <si>
    <t>Riboviria;Orthornavirae;Kitrinoviricota;Alsuviricetes;Tymovirales;Betaflexiviridae;Quinvirinae;Carlavirus;Potato virus H</t>
  </si>
  <si>
    <t>Riboviria;Orthornavirae;Kitrinoviricota;Alsuviricetes;Tymovirales;Betaflexiviridae;Quinvirinae;Carlavirus;Carlavirus chisolani</t>
  </si>
  <si>
    <t>Riboviria;Orthornavirae;Kitrinoviricota;Alsuviricetes;Tymovirales;Betaflexiviridae;Quinvirinae;Carlavirus;Sweet potato chlorotic fleck virus</t>
  </si>
  <si>
    <t>Riboviria;Orthornavirae;Kitrinoviricota;Alsuviricetes;Tymovirales;Betaflexiviridae;Quinvirinae;Carlavirus;Carlavirus chloroipomoeae</t>
  </si>
  <si>
    <t>Riboviria;Orthornavirae;Kitrinoviricota;Alsuviricetes;Tymovirales;Betaflexiviridae;Quinvirinae;Carlavirus;Coleus vein necrosis virus</t>
  </si>
  <si>
    <t>Riboviria;Orthornavirae;Kitrinoviricota;Alsuviricetes;Tymovirales;Betaflexiviridae;Quinvirinae;Carlavirus;Carlavirus colei</t>
  </si>
  <si>
    <t>Riboviria;Orthornavirae;Kitrinoviricota;Alsuviricetes;Tymovirales;Betaflexiviridae;Quinvirinae;Carlavirus;Sint-Jan onion latent virus</t>
  </si>
  <si>
    <t>Riboviria;Orthornavirae;Kitrinoviricota;Alsuviricetes;Tymovirales;Betaflexiviridae;Quinvirinae;Carlavirus;Carlavirus cornutum</t>
  </si>
  <si>
    <t>Riboviria;Orthornavirae;Kitrinoviricota;Alsuviricetes;Tymovirales;Betaflexiviridae;Quinvirinae;Carlavirus;Cucumber vein-clearing virus</t>
  </si>
  <si>
    <t>Riboviria;Orthornavirae;Kitrinoviricota;Alsuviricetes;Tymovirales;Betaflexiviridae;Quinvirinae;Carlavirus;Carlavirus cucumis</t>
  </si>
  <si>
    <t>Riboviria;Orthornavirae;Kitrinoviricota;Alsuviricetes;Tymovirales;Betaflexiviridae;Quinvirinae;Carlavirus;Sambucus virus D</t>
  </si>
  <si>
    <t>Riboviria;Orthornavirae;Kitrinoviricota;Alsuviricetes;Tymovirales;Betaflexiviridae;Quinvirinae;Carlavirus;Carlavirus deltasambuci</t>
  </si>
  <si>
    <t>Riboviria;Orthornavirae;Kitrinoviricota;Alsuviricetes;Tymovirales;Betaflexiviridae;Quinvirinae;Carlavirus;Carlavirus CCV-2</t>
  </si>
  <si>
    <t>Riboviria;Orthornavirae;Kitrinoviricota;Alsuviricetes;Tymovirales;Betaflexiviridae;Quinvirinae;Carlavirus;Carlavirus duocacti</t>
  </si>
  <si>
    <t>Riboviria;Orthornavirae;Kitrinoviricota;Alsuviricetes;Tymovirales;Betaflexiviridae;Quinvirinae;Carlavirus;Sambucus virus E</t>
  </si>
  <si>
    <t>Riboviria;Orthornavirae;Kitrinoviricota;Alsuviricetes;Tymovirales;Betaflexiviridae;Quinvirinae;Carlavirus;Carlavirus epsilonsambuci</t>
  </si>
  <si>
    <t>Riboviria;Orthornavirae;Kitrinoviricota;Alsuviricetes;Tymovirales;Betaflexiviridae;Quinvirinae;Carlavirus;Strawberry pseudo mild yellow edge virus</t>
  </si>
  <si>
    <t>Riboviria;Orthornavirae;Kitrinoviricota;Alsuviricetes;Tymovirales;Betaflexiviridae;Quinvirinae;Carlavirus;Carlavirus fragariae</t>
  </si>
  <si>
    <t>Riboviria;Orthornavirae;Kitrinoviricota;Alsuviricetes;Tymovirales;Betaflexiviridae;Quinvirinae;Carlavirus;Sambucus virus C</t>
  </si>
  <si>
    <t>Riboviria;Orthornavirae;Kitrinoviricota;Alsuviricetes;Tymovirales;Betaflexiviridae;Quinvirinae;Carlavirus;Carlavirus gammasambuci</t>
  </si>
  <si>
    <t>Riboviria;Orthornavirae;Kitrinoviricota;Alsuviricetes;Tymovirales;Betaflexiviridae;Quinvirinae;Carlavirus;Helleborus mosaic virus</t>
  </si>
  <si>
    <t>Riboviria;Orthornavirae;Kitrinoviricota;Alsuviricetes;Tymovirales;Betaflexiviridae;Quinvirinae;Carlavirus;Carlavirus hellebori</t>
  </si>
  <si>
    <t>Riboviria;Orthornavirae;Kitrinoviricota;Alsuviricetes;Tymovirales;Betaflexiviridae;Quinvirinae;Carlavirus;Hop mosaic virus</t>
  </si>
  <si>
    <t>Riboviria;Orthornavirae;Kitrinoviricota;Alsuviricetes;Tymovirales;Betaflexiviridae;Quinvirinae;Carlavirus;Carlavirus humuli</t>
  </si>
  <si>
    <t>Riboviria;Orthornavirae;Kitrinoviricota;Alsuviricetes;Tymovirales;Betaflexiviridae;Quinvirinae;Carlavirus;Hydrangea chlorotic mottle virus</t>
  </si>
  <si>
    <t>Riboviria;Orthornavirae;Kitrinoviricota;Alsuviricetes;Tymovirales;Betaflexiviridae;Quinvirinae;Carlavirus;Carlavirus hydrangeae</t>
  </si>
  <si>
    <t>Riboviria;Orthornavirae;Kitrinoviricota;Alsuviricetes;Tymovirales;Betaflexiviridae;Quinvirinae;Carlavirus;Sweet potato C6 virus</t>
  </si>
  <si>
    <t>Riboviria;Orthornavirae;Kitrinoviricota;Alsuviricetes;Tymovirales;Betaflexiviridae;Quinvirinae;Carlavirus;Carlavirus ipomoeae</t>
  </si>
  <si>
    <t>Riboviria;Orthornavirae;Kitrinoviricota;Alsuviricetes;Tymovirales;Betaflexiviridae;Quinvirinae;Carlavirus;Aconitum latent virus</t>
  </si>
  <si>
    <t>Riboviria;Orthornavirae;Kitrinoviricota;Alsuviricetes;Tymovirales;Betaflexiviridae;Quinvirinae;Carlavirus;Carlavirus latensaconiti</t>
  </si>
  <si>
    <t>Riboviria;Orthornavirae;Kitrinoviricota;Alsuviricetes;Tymovirales;Betaflexiviridae;Quinvirinae;Carlavirus;Garlic common latent virus</t>
  </si>
  <si>
    <t>Riboviria;Orthornavirae;Kitrinoviricota;Alsuviricetes;Tymovirales;Betaflexiviridae;Quinvirinae;Carlavirus;Carlavirus latensallii</t>
  </si>
  <si>
    <t>Riboviria;Orthornavirae;Kitrinoviricota;Alsuviricetes;Tymovirales;Betaflexiviridae;Quinvirinae;Carlavirus;Shallot latent virus</t>
  </si>
  <si>
    <t>Riboviria;Orthornavirae;Kitrinoviricota;Alsuviricetes;Tymovirales;Betaflexiviridae;Quinvirinae;Carlavirus;Carlavirus latensascalonici</t>
  </si>
  <si>
    <t>Riboviria;Orthornavirae;Kitrinoviricota;Alsuviricetes;Tymovirales;Betaflexiviridae;Quinvirinae;Carlavirus;Cole latent virus</t>
  </si>
  <si>
    <t>Riboviria;Orthornavirae;Kitrinoviricota;Alsuviricetes;Tymovirales;Betaflexiviridae;Quinvirinae;Carlavirus;Carlavirus latensbrassicae</t>
  </si>
  <si>
    <t>Riboviria;Orthornavirae;Kitrinoviricota;Alsuviricetes;Tymovirales;Betaflexiviridae;Quinvirinae;Carlavirus;Caper latent virus</t>
  </si>
  <si>
    <t>Riboviria;Orthornavirae;Kitrinoviricota;Alsuviricetes;Tymovirales;Betaflexiviridae;Quinvirinae;Carlavirus;Carlavirus latenscapparis</t>
  </si>
  <si>
    <t>Riboviria;Orthornavirae;Kitrinoviricota;Alsuviricetes;Tymovirales;Betaflexiviridae;Quinvirinae;Carlavirus;Carnation latent virus</t>
  </si>
  <si>
    <t>Riboviria;Orthornavirae;Kitrinoviricota;Alsuviricetes;Tymovirales;Betaflexiviridae;Quinvirinae;Carlavirus;Carlavirus latensdianthi</t>
  </si>
  <si>
    <t>Riboviria;Orthornavirae;Kitrinoviricota;Alsuviricetes;Tymovirales;Betaflexiviridae;Quinvirinae;Carlavirus;Yam latent virus</t>
  </si>
  <si>
    <t>Riboviria;Orthornavirae;Kitrinoviricota;Alsuviricetes;Tymovirales;Betaflexiviridae;Quinvirinae;Carlavirus;Carlavirus latensdioscoreae</t>
  </si>
  <si>
    <t>Riboviria;Orthornavirae;Kitrinoviricota;Alsuviricetes;Tymovirales;Betaflexiviridae;Quinvirinae;Carlavirus;Gaillardia latent virus</t>
  </si>
  <si>
    <t>Riboviria;Orthornavirae;Kitrinoviricota;Alsuviricetes;Tymovirales;Betaflexiviridae;Quinvirinae;Carlavirus;Carlavirus latensgaillardiae</t>
  </si>
  <si>
    <t>Riboviria;Orthornavirae;Kitrinoviricota;Alsuviricetes;Tymovirales;Betaflexiviridae;Quinvirinae;Carlavirus;Hippeastrum latent virus</t>
  </si>
  <si>
    <t>Riboviria;Orthornavirae;Kitrinoviricota;Alsuviricetes;Tymovirales;Betaflexiviridae;Quinvirinae;Carlavirus;Carlavirus latenshippeastri</t>
  </si>
  <si>
    <t>Riboviria;Orthornavirae;Kitrinoviricota;Alsuviricetes;Tymovirales;Betaflexiviridae;Quinvirinae;Carlavirus;Hop latent virus</t>
  </si>
  <si>
    <t>Riboviria;Orthornavirae;Kitrinoviricota;Alsuviricetes;Tymovirales;Betaflexiviridae;Quinvirinae;Carlavirus;Carlavirus latenshumuli</t>
  </si>
  <si>
    <t>Riboviria;Orthornavirae;Kitrinoviricota;Alsuviricetes;Tymovirales;Betaflexiviridae;Quinvirinae;Carlavirus;Kalanchoe latent virus</t>
  </si>
  <si>
    <t>Riboviria;Orthornavirae;Kitrinoviricota;Alsuviricetes;Tymovirales;Betaflexiviridae;Quinvirinae;Carlavirus;Carlavirus latenskalanchoe</t>
  </si>
  <si>
    <t>Riboviria;Orthornavirae;Kitrinoviricota;Alsuviricetes;Tymovirales;Betaflexiviridae;Quinvirinae;Carlavirus;Narcissus common latent virus</t>
  </si>
  <si>
    <t>Riboviria;Orthornavirae;Kitrinoviricota;Alsuviricetes;Tymovirales;Betaflexiviridae;Quinvirinae;Carlavirus;Carlavirus latensnarcissi</t>
  </si>
  <si>
    <t>Riboviria;Orthornavirae;Kitrinoviricota;Alsuviricetes;Tymovirales;Betaflexiviridae;Quinvirinae;Carlavirus;Nerine latent virus</t>
  </si>
  <si>
    <t>Riboviria;Orthornavirae;Kitrinoviricota;Alsuviricetes;Tymovirales;Betaflexiviridae;Quinvirinae;Carlavirus;Carlavirus latensnerinis</t>
  </si>
  <si>
    <t>Riboviria;Orthornavirae;Kitrinoviricota;Alsuviricetes;Tymovirales;Betaflexiviridae;Quinvirinae;Carlavirus;Potato latent virus</t>
  </si>
  <si>
    <t>Riboviria;Orthornavirae;Kitrinoviricota;Alsuviricetes;Tymovirales;Betaflexiviridae;Quinvirinae;Carlavirus;Carlavirus latensolani</t>
  </si>
  <si>
    <t>Riboviria;Orthornavirae;Kitrinoviricota;Alsuviricetes;Tymovirales;Betaflexiviridae;Quinvirinae;Carlavirus;Passiflora latent virus</t>
  </si>
  <si>
    <t>Riboviria;Orthornavirae;Kitrinoviricota;Alsuviricetes;Tymovirales;Betaflexiviridae;Quinvirinae;Carlavirus;Carlavirus latenspassiflorae</t>
  </si>
  <si>
    <t>Riboviria;Orthornavirae;Kitrinoviricota;Alsuviricetes;Tymovirales;Betaflexiviridae;Quinvirinae;Carlavirus;Verbena latent virus</t>
  </si>
  <si>
    <t>Riboviria;Orthornavirae;Kitrinoviricota;Alsuviricetes;Tymovirales;Betaflexiviridae;Quinvirinae;Carlavirus;Carlavirus latensverbenae</t>
  </si>
  <si>
    <t>Riboviria;Orthornavirae;Kitrinoviricota;Alsuviricetes;Tymovirales;Betaflexiviridae;Quinvirinae;Carlavirus;Lily symptomless virus</t>
  </si>
  <si>
    <t>Riboviria;Orthornavirae;Kitrinoviricota;Alsuviricetes;Tymovirales;Betaflexiviridae;Quinvirinae;Carlavirus;Carlavirus lilii</t>
  </si>
  <si>
    <t>Riboviria;Orthornavirae;Kitrinoviricota;Alsuviricetes;Tymovirales;Betaflexiviridae;Quinvirinae;Carlavirus;Carlavirus PapMaV</t>
  </si>
  <si>
    <t>Riboviria;Orthornavirae;Kitrinoviricota;Alsuviricetes;Tymovirales;Betaflexiviridae;Quinvirinae;Carlavirus;Carlavirus maculapapayae</t>
  </si>
  <si>
    <t>Riboviria;Orthornavirae;Kitrinoviricota;Alsuviricetes;Tymovirales;Betaflexiviridae;Quinvirinae;Carlavirus;Melon yellowing-associated virus</t>
  </si>
  <si>
    <t>Riboviria;Orthornavirae;Kitrinoviricota;Alsuviricetes;Tymovirales;Betaflexiviridae;Quinvirinae;Carlavirus;Carlavirus melonis</t>
  </si>
  <si>
    <t>Riboviria;Orthornavirae;Kitrinoviricota;Alsuviricetes;Tymovirales;Betaflexiviridae;Quinvirinae;Carlavirus;Phlox virus M</t>
  </si>
  <si>
    <t>Riboviria;Orthornavirae;Kitrinoviricota;Alsuviricetes;Tymovirales;Betaflexiviridae;Quinvirinae;Carlavirus;Carlavirus miphlocis</t>
  </si>
  <si>
    <t>Riboviria;Orthornavirae;Kitrinoviricota;Alsuviricetes;Tymovirales;Betaflexiviridae;Quinvirinae;Carlavirus;Mirabilis jalapa mottle virus</t>
  </si>
  <si>
    <t>Riboviria;Orthornavirae;Kitrinoviricota;Alsuviricetes;Tymovirales;Betaflexiviridae;Quinvirinae;Carlavirus;Carlavirus mirabilis</t>
  </si>
  <si>
    <t>Riboviria;Orthornavirae;Kitrinoviricota;Alsuviricetes;Tymovirales;Betaflexiviridae;Quinvirinae;Carlavirus;Potato virus M</t>
  </si>
  <si>
    <t>Riboviria;Orthornavirae;Kitrinoviricota;Alsuviricetes;Tymovirales;Betaflexiviridae;Quinvirinae;Carlavirus;Carlavirus misolani</t>
  </si>
  <si>
    <t>Riboviria;Orthornavirae;Kitrinoviricota;Alsuviricetes;Tymovirales;Betaflexiviridae;Quinvirinae;Carlavirus;Carlavirus PaMMaV</t>
  </si>
  <si>
    <t>Riboviria;Orthornavirae;Kitrinoviricota;Alsuviricetes;Tymovirales;Betaflexiviridae;Quinvirinae;Carlavirus;Carlavirus mitipapayae</t>
  </si>
  <si>
    <t>Riboviria;Orthornavirae;Kitrinoviricota;Alsuviricetes;Tymovirales;Betaflexiviridae;Quinvirinae;Carlavirus;Ligustrum necrotic ringspot virus</t>
  </si>
  <si>
    <t>Riboviria;Orthornavirae;Kitrinoviricota;Alsuviricetes;Tymovirales;Betaflexiviridae;Quinvirinae;Carlavirus;Carlavirus necroligustri</t>
  </si>
  <si>
    <t>Riboviria;Orthornavirae;Kitrinoviricota;Alsuviricetes;Tymovirales;Betaflexiviridae;Quinvirinae;Carlavirus;Helleborus net necrosis virus</t>
  </si>
  <si>
    <t>Riboviria;Orthornavirae;Kitrinoviricota;Alsuviricetes;Tymovirales;Betaflexiviridae;Quinvirinae;Carlavirus;Carlavirus necroretis</t>
  </si>
  <si>
    <t>Riboviria;Orthornavirae;Kitrinoviricota;Alsuviricetes;Tymovirales;Betaflexiviridae;Quinvirinae;Carlavirus;Butterbur mosaic virus</t>
  </si>
  <si>
    <t>Riboviria;Orthornavirae;Kitrinoviricota;Alsuviricetes;Tymovirales;Betaflexiviridae;Quinvirinae;Carlavirus;Carlavirus petasitis</t>
  </si>
  <si>
    <t>Riboviria;Orthornavirae;Kitrinoviricota;Alsuviricetes;Tymovirales;Betaflexiviridae;Quinvirinae;Carlavirus;Pea streak virus</t>
  </si>
  <si>
    <t>Riboviria;Orthornavirae;Kitrinoviricota;Alsuviricetes;Tymovirales;Betaflexiviridae;Quinvirinae;Carlavirus;Carlavirus pisi</t>
  </si>
  <si>
    <t>Riboviria;Orthornavirae;Kitrinoviricota;Alsuviricetes;Tymovirales;Betaflexiviridae;Quinvirinae;Carlavirus;Potato virus P</t>
  </si>
  <si>
    <t>Riboviria;Orthornavirae;Kitrinoviricota;Alsuviricetes;Tymovirales;Betaflexiviridae;Quinvirinae;Carlavirus;Carlavirus pisolani</t>
  </si>
  <si>
    <t>Riboviria;Orthornavirae;Kitrinoviricota;Alsuviricetes;Tymovirales;Betaflexiviridae;Quinvirinae;Carlavirus;Poplar mosaic virus</t>
  </si>
  <si>
    <t>Riboviria;Orthornavirae;Kitrinoviricota;Alsuviricetes;Tymovirales;Betaflexiviridae;Quinvirinae;Carlavirus;Carlavirus populi</t>
  </si>
  <si>
    <t>Riboviria;Orthornavirae;Kitrinoviricota;Alsuviricetes;Tymovirales;Betaflexiviridae;Quinvirinae;Carlavirus;Carlavirus CVR</t>
  </si>
  <si>
    <t>Riboviria;Orthornavirae;Kitrinoviricota;Alsuviricetes;Tymovirales;Betaflexiviridae;Quinvirinae;Carlavirus;Carlavirus rhochrysanthemi</t>
  </si>
  <si>
    <t>Riboviria;Orthornavirae;Kitrinoviricota;Alsuviricetes;Tymovirales;Betaflexiviridae;Quinvirinae;Carlavirus;Daphne virus S</t>
  </si>
  <si>
    <t>Riboviria;Orthornavirae;Kitrinoviricota;Alsuviricetes;Tymovirales;Betaflexiviridae;Quinvirinae;Carlavirus;Carlavirus sigmadaphnis</t>
  </si>
  <si>
    <t>Riboviria;Orthornavirae;Kitrinoviricota;Alsuviricetes;Tymovirales;Betaflexiviridae;Quinvirinae;Carlavirus;Helenium virus S</t>
  </si>
  <si>
    <t>Riboviria;Orthornavirae;Kitrinoviricota;Alsuviricetes;Tymovirales;Betaflexiviridae;Quinvirinae;Carlavirus;Carlavirus sigmahelenii</t>
  </si>
  <si>
    <t>Riboviria;Orthornavirae;Kitrinoviricota;Alsuviricetes;Tymovirales;Betaflexiviridae;Quinvirinae;Carlavirus;Phlox virus S</t>
  </si>
  <si>
    <t>Riboviria;Orthornavirae;Kitrinoviricota;Alsuviricetes;Tymovirales;Betaflexiviridae;Quinvirinae;Carlavirus;Carlavirus sigmaphlocis</t>
  </si>
  <si>
    <t>Riboviria;Orthornavirae;Kitrinoviricota;Alsuviricetes;Tymovirales;Betaflexiviridae;Quinvirinae;Carlavirus;Carlavirus ShVS</t>
  </si>
  <si>
    <t>Riboviria;Orthornavirae;Kitrinoviricota;Alsuviricetes;Tymovirales;Betaflexiviridae;Quinvirinae;Carlavirus;Carlavirus sigmascalonici</t>
  </si>
  <si>
    <t>Riboviria;Orthornavirae;Kitrinoviricota;Alsuviricetes;Tymovirales;Betaflexiviridae;Quinvirinae;Carlavirus;Potato virus S</t>
  </si>
  <si>
    <t>Riboviria;Orthornavirae;Kitrinoviricota;Alsuviricetes;Tymovirales;Betaflexiviridae;Quinvirinae;Carlavirus;Carlavirus sigmasolani</t>
  </si>
  <si>
    <t>Riboviria;Orthornavirae;Kitrinoviricota;Alsuviricetes;Tymovirales;Betaflexiviridae;Quinvirinae;Carlavirus;Red clover vein mosaic virus</t>
  </si>
  <si>
    <t>Riboviria;Orthornavirae;Kitrinoviricota;Alsuviricetes;Tymovirales;Betaflexiviridae;Quinvirinae;Carlavirus;Carlavirus trifolii</t>
  </si>
  <si>
    <t>Riboviria;Orthornavirae;Kitrinoviricota;Alsuviricetes;Tymovirales;Betaflexiviridae;Quinvirinae;Carlavirus;Carlavirus CCV-1</t>
  </si>
  <si>
    <t>Riboviria;Orthornavirae;Kitrinoviricota;Alsuviricetes;Tymovirales;Betaflexiviridae;Quinvirinae;Carlavirus;Carlavirus unicacti</t>
  </si>
  <si>
    <t>Riboviria;Orthornavirae;Kitrinoviricota;Alsuviricetes;Tymovirales;Betaflexiviridae;Quinvirinae;Carlavirus;Carlavirus SCV1</t>
  </si>
  <si>
    <t>Riboviria;Orthornavirae;Kitrinoviricota;Alsuviricetes;Tymovirales;Betaflexiviridae;Quinvirinae;Carlavirus;Carlavirus uniglycinis</t>
  </si>
  <si>
    <t>Riboviria;Orthornavirae;Kitrinoviricota;Alsuviricetes;Tymovirales;Betaflexiviridae;Quinvirinae;Carlavirus;Blueberry scorch virus</t>
  </si>
  <si>
    <t>Riboviria;Orthornavirae;Kitrinoviricota;Alsuviricetes;Tymovirales;Betaflexiviridae;Quinvirinae;Carlavirus;Carlavirus vaccinii</t>
  </si>
  <si>
    <t>Riboviria;Orthornavirae;Kitrinoviricota;Alsuviricetes;Tymovirales;Betaflexiviridae;Quinvirinae;Carlavirus;Cowpea mild mottle virus</t>
  </si>
  <si>
    <t>Riboviria;Orthornavirae;Kitrinoviricota;Alsuviricetes;Tymovirales;Betaflexiviridae;Quinvirinae;Carlavirus;Carlavirus vignae</t>
  </si>
  <si>
    <t>Riboviria;Orthornavirae;Kitrinoviricota;Alsuviricetes;Tymovirales;Betaflexiviridae;Quinvirinae;Foveavirus;Foveavirus GFVA</t>
  </si>
  <si>
    <t>Riboviria;Orthornavirae;Kitrinoviricota;Alsuviricetes;Tymovirales;Betaflexiviridae;Quinvirinae;Foveavirus;Foveavirus alphavitis</t>
  </si>
  <si>
    <t>Riboviria;Orthornavirae;Kitrinoviricota;Alsuviricetes;Tymovirales;Betaflexiviridae;Quinvirinae;Foveavirus;Foveavirus ChVB</t>
  </si>
  <si>
    <t>Riboviria;Orthornavirae;Kitrinoviricota;Alsuviricetes;Tymovirales;Betaflexiviridae;Quinvirinae;Foveavirus;Foveavirus betavii</t>
  </si>
  <si>
    <t>Riboviria;Orthornavirae;Kitrinoviricota;Alsuviricetes;Tymovirales;Betaflexiviridae;Quinvirinae;Foveavirus;Asian prunus virus 2</t>
  </si>
  <si>
    <t>Riboviria;Orthornavirae;Kitrinoviricota;Alsuviricetes;Tymovirales;Betaflexiviridae;Quinvirinae;Foveavirus;Foveavirus duoasiaticum</t>
  </si>
  <si>
    <t>Riboviria;Orthornavirae;Kitrinoviricota;Alsuviricetes;Tymovirales;Betaflexiviridae;Quinvirinae;Foveavirus;Apricot latent virus</t>
  </si>
  <si>
    <t>Riboviria;Orthornavirae;Kitrinoviricota;Alsuviricetes;Tymovirales;Betaflexiviridae;Quinvirinae;Foveavirus;Foveavirus latensarmeniacae</t>
  </si>
  <si>
    <t>Riboviria;Orthornavirae;Kitrinoviricota;Alsuviricetes;Tymovirales;Betaflexiviridae;Quinvirinae;Foveavirus;Apple stem pitting virus</t>
  </si>
  <si>
    <t>Riboviria;Orthornavirae;Kitrinoviricota;Alsuviricetes;Tymovirales;Betaflexiviridae;Quinvirinae;Foveavirus;Foveavirus mali</t>
  </si>
  <si>
    <t>Riboviria;Orthornavirae;Kitrinoviricota;Alsuviricetes;Tymovirales;Betaflexiviridae;Quinvirinae;Foveavirus;Peach chlorotic mottle virus</t>
  </si>
  <si>
    <t>Riboviria;Orthornavirae;Kitrinoviricota;Alsuviricetes;Tymovirales;Betaflexiviridae;Quinvirinae;Foveavirus;Foveavirus persicae</t>
  </si>
  <si>
    <t>Riboviria;Orthornavirae;Kitrinoviricota;Alsuviricetes;Tymovirales;Betaflexiviridae;Quinvirinae;Foveavirus;Grapevine rupestris stem pitting-associated virus</t>
  </si>
  <si>
    <t>Riboviria;Orthornavirae;Kitrinoviricota;Alsuviricetes;Tymovirales;Betaflexiviridae;Quinvirinae;Foveavirus;Foveavirus rupestris</t>
  </si>
  <si>
    <t>Riboviria;Orthornavirae;Kitrinoviricota;Alsuviricetes;Tymovirales;Betaflexiviridae;Quinvirinae;Foveavirus;Grapevine virus T</t>
  </si>
  <si>
    <t>Riboviria;Orthornavirae;Kitrinoviricota;Alsuviricetes;Tymovirales;Betaflexiviridae;Quinvirinae;Foveavirus;Foveavirus tafvitis</t>
  </si>
  <si>
    <t>Riboviria;Orthornavirae;Kitrinoviricota;Alsuviricetes;Tymovirales;Betaflexiviridae;Quinvirinae;Foveavirus;Foveavirus CRSaV-4</t>
  </si>
  <si>
    <t>Riboviria;Orthornavirae;Kitrinoviricota;Alsuviricetes;Tymovirales;Betaflexiviridae;Quinvirinae;Foveavirus;Foveavirus tetracamelliae</t>
  </si>
  <si>
    <t>Riboviria;Orthornavirae;Kitrinoviricota;Alsuviricetes;Tymovirales;Betaflexiviridae;Quinvirinae;Foveavirus;Asian prunus virus 1</t>
  </si>
  <si>
    <t>Riboviria;Orthornavirae;Kitrinoviricota;Alsuviricetes;Tymovirales;Betaflexiviridae;Quinvirinae;Foveavirus;Foveavirus unasiaticum</t>
  </si>
  <si>
    <t>Riboviria;Orthornavirae;Kitrinoviricota;Alsuviricetes;Tymovirales;Betaflexiviridae;Quinvirinae;Foveavirus;Rubus canadensis virus 1</t>
  </si>
  <si>
    <t>Riboviria;Orthornavirae;Kitrinoviricota;Alsuviricetes;Tymovirales;Betaflexiviridae;Quinvirinae;Foveavirus;Foveavirus unicanadense</t>
  </si>
  <si>
    <t>Riboviria;Orthornavirae;Kitrinoviricota;Alsuviricetes;Tymovirales;Betaflexiviridae;Quinvirinae;Foveavirus;Foveavirus RuV1</t>
  </si>
  <si>
    <t>Riboviria;Orthornavirae;Kitrinoviricota;Alsuviricetes;Tymovirales;Betaflexiviridae;Quinvirinae;Foveavirus;Foveavirus unirubi</t>
  </si>
  <si>
    <t>Riboviria;Orthornavirae;Kitrinoviricota;Alsuviricetes;Tymovirales;Betaflexiviridae;Quinvirinae;Robigovirus;African oil palm ringspot virus</t>
  </si>
  <si>
    <t>Riboviria;Orthornavirae;Kitrinoviricota;Alsuviricetes;Tymovirales;Betaflexiviridae;Quinvirinae;Robigovirus;Robigovirus elaeis</t>
  </si>
  <si>
    <t>Riboviria;Orthornavirae;Kitrinoviricota;Alsuviricetes;Tymovirales;Betaflexiviridae;Quinvirinae;Robigovirus;Cherry necrotic rusty mottle virus</t>
  </si>
  <si>
    <t>Riboviria;Orthornavirae;Kitrinoviricota;Alsuviricetes;Tymovirales;Betaflexiviridae;Quinvirinae;Robigovirus;Robigovirus necroavii</t>
  </si>
  <si>
    <t>Riboviria;Orthornavirae;Kitrinoviricota;Alsuviricetes;Tymovirales;Betaflexiviridae;Quinvirinae;Robigovirus;Cherry rusty mottle associated virus</t>
  </si>
  <si>
    <t>Riboviria;Orthornavirae;Kitrinoviricota;Alsuviricetes;Tymovirales;Betaflexiviridae;Quinvirinae;Robigovirus;Robigovirus robigomaculae</t>
  </si>
  <si>
    <t>Riboviria;Orthornavirae;Kitrinoviricota;Alsuviricetes;Tymovirales;Betaflexiviridae;Quinvirinae;Robigovirus;Cherry twisted leaf associated virus</t>
  </si>
  <si>
    <t>Riboviria;Orthornavirae;Kitrinoviricota;Alsuviricetes;Tymovirales;Betaflexiviridae;Quinvirinae;Robigovirus;Robigovirus tortifoliae</t>
  </si>
  <si>
    <t>Riboviria;Orthornavirae;Kitrinoviricota;Alsuviricetes;Tymovirales;Betaflexiviridae;Quinvirinae;Robigovirus;Cherry green ring mottle virus</t>
  </si>
  <si>
    <t>Riboviria;Orthornavirae;Kitrinoviricota;Alsuviricetes;Tymovirales;Betaflexiviridae;Quinvirinae;Robigovirus;Robigovirus viridiavii</t>
  </si>
  <si>
    <t>Riboviria;Orthornavirae;Kitrinoviricota;Alsuviricetes;Tymovirales;Betaflexiviridae;Quinvirinae;Sustrivirus;Sustrivirus SCSMaV</t>
  </si>
  <si>
    <t>Riboviria;Orthornavirae;Kitrinoviricota;Alsuviricetes;Tymovirales;Betaflexiviridae;Quinvirinae;Sustrivirus;Sustrivirus sacchari</t>
  </si>
  <si>
    <t>Riboviria;Orthornavirae;Kitrinoviricota;Alsuviricetes;Tymovirales;Betaflexiviridae;Trivirinae;Capillovirus;Capillovirus LoVA</t>
  </si>
  <si>
    <t>Riboviria;Orthornavirae;Kitrinoviricota;Alsuviricetes;Tymovirales;Betaflexiviridae;Trivirinae;Capillovirus;Capillovirus alphaeriobotryae</t>
  </si>
  <si>
    <t>Riboviria;Orthornavirae;Kitrinoviricota;Alsuviricetes;Tymovirales;Betaflexiviridae;Trivirinae;Capillovirus;Mume virus A</t>
  </si>
  <si>
    <t>Riboviria;Orthornavirae;Kitrinoviricota;Alsuviricetes;Tymovirales;Betaflexiviridae;Trivirinae;Capillovirus;Capillovirus alphamume</t>
  </si>
  <si>
    <t>Riboviria;Orthornavirae;Kitrinoviricota;Alsuviricetes;Tymovirales;Betaflexiviridae;Trivirinae;Capillovirus;Currant virus A</t>
  </si>
  <si>
    <t>Riboviria;Orthornavirae;Kitrinoviricota;Alsuviricetes;Tymovirales;Betaflexiviridae;Trivirinae;Capillovirus;Capillovirus alpharibis</t>
  </si>
  <si>
    <t>Riboviria;Orthornavirae;Kitrinoviricota;Alsuviricetes;Tymovirales;Betaflexiviridae;Trivirinae;Capillovirus;Cherry virus A</t>
  </si>
  <si>
    <t>Riboviria;Orthornavirae;Kitrinoviricota;Alsuviricetes;Tymovirales;Betaflexiviridae;Trivirinae;Capillovirus;Capillovirus alphavii</t>
  </si>
  <si>
    <t>Riboviria;Orthornavirae;Kitrinoviricota;Alsuviricetes;Tymovirales;Betaflexiviridae;Trivirinae;Capillovirus;Apple stem grooving virus</t>
  </si>
  <si>
    <t>Riboviria;Orthornavirae;Kitrinoviricota;Alsuviricetes;Tymovirales;Betaflexiviridae;Trivirinae;Capillovirus;Capillovirus mali</t>
  </si>
  <si>
    <t>Riboviria;Orthornavirae;Kitrinoviricota;Alsuviricetes;Tymovirales;Betaflexiviridae;Trivirinae;Capillovirus;Capillovirus TRV1</t>
  </si>
  <si>
    <t>Riboviria;Orthornavirae;Kitrinoviricota;Alsuviricetes;Tymovirales;Betaflexiviridae;Trivirinae;Capillovirus;Capillovirus uniheveae</t>
  </si>
  <si>
    <t>Riboviria;Orthornavirae;Kitrinoviricota;Alsuviricetes;Tymovirales;Betaflexiviridae;Trivirinae;Chordovirus;Carrot Ch virus 2</t>
  </si>
  <si>
    <t>Riboviria;Orthornavirae;Kitrinoviricota;Alsuviricetes;Tymovirales;Betaflexiviridae;Trivirinae;Chordovirus;Chordovirus duocarotae</t>
  </si>
  <si>
    <t>Riboviria;Orthornavirae;Kitrinoviricota;Alsuviricetes;Tymovirales;Betaflexiviridae;Trivirinae;Chordovirus;Chordovirus HV4</t>
  </si>
  <si>
    <t>Riboviria;Orthornavirae;Kitrinoviricota;Alsuviricetes;Tymovirales;Betaflexiviridae;Trivirinae;Chordovirus;Chordovirus tetraheraclei</t>
  </si>
  <si>
    <t>Riboviria;Orthornavirae;Kitrinoviricota;Alsuviricetes;Tymovirales;Betaflexiviridae;Trivirinae;Chordovirus;Carrot Ch virus 1</t>
  </si>
  <si>
    <t>Riboviria;Orthornavirae;Kitrinoviricota;Alsuviricetes;Tymovirales;Betaflexiviridae;Trivirinae;Chordovirus;Chordovirus unicarotae</t>
  </si>
  <si>
    <t>Riboviria;Orthornavirae;Kitrinoviricota;Alsuviricetes;Tymovirales;Betaflexiviridae;Trivirinae;Chordovirus;Chordovirus LeCV1</t>
  </si>
  <si>
    <t>Riboviria;Orthornavirae;Kitrinoviricota;Alsuviricetes;Tymovirales;Betaflexiviridae;Trivirinae;Chordovirus;Chordovirus unilactucae</t>
  </si>
  <si>
    <t>Riboviria;Orthornavirae;Kitrinoviricota;Alsuviricetes;Tymovirales;Betaflexiviridae;Trivirinae;Citrivirus;Citrus leaf blotch virus</t>
  </si>
  <si>
    <t>Riboviria;Orthornavirae;Kitrinoviricota;Alsuviricetes;Tymovirales;Betaflexiviridae;Trivirinae;Citrivirus;Citrivirus citri</t>
  </si>
  <si>
    <t>Riboviria;Orthornavirae;Kitrinoviricota;Alsuviricetes;Tymovirales;Betaflexiviridae;Trivirinae;Divavirus;Diuris virus A</t>
  </si>
  <si>
    <t>Riboviria;Orthornavirae;Kitrinoviricota;Alsuviricetes;Tymovirales;Betaflexiviridae;Trivirinae;Divavirus;Divavirus alphadiuris</t>
  </si>
  <si>
    <t>Riboviria;Orthornavirae;Kitrinoviricota;Alsuviricetes;Tymovirales;Betaflexiviridae;Trivirinae;Divavirus;Hardenbergia virus A</t>
  </si>
  <si>
    <t>Riboviria;Orthornavirae;Kitrinoviricota;Alsuviricetes;Tymovirales;Betaflexiviridae;Trivirinae;Divavirus;Divavirus alphahardenbergiae</t>
  </si>
  <si>
    <t>Riboviria;Orthornavirae;Kitrinoviricota;Alsuviricetes;Tymovirales;Betaflexiviridae;Trivirinae;Divavirus;Diuris virus B</t>
  </si>
  <si>
    <t>Riboviria;Orthornavirae;Kitrinoviricota;Alsuviricetes;Tymovirales;Betaflexiviridae;Trivirinae;Divavirus;Divavirus betadiuris</t>
  </si>
  <si>
    <t>Riboviria;Orthornavirae;Kitrinoviricota;Alsuviricetes;Tymovirales;Betaflexiviridae;Trivirinae;Prunevirus;Actinidia seed borne latent virus</t>
  </si>
  <si>
    <t>Riboviria;Orthornavirae;Kitrinoviricota;Alsuviricetes;Tymovirales;Betaflexiviridae;Trivirinae;Prunevirus;Prunevirus actinidiae</t>
  </si>
  <si>
    <t>Riboviria;Orthornavirae;Kitrinoviricota;Alsuviricetes;Tymovirales;Betaflexiviridae;Trivirinae;Prunevirus;Apricot vein clearing associated virus</t>
  </si>
  <si>
    <t>Riboviria;Orthornavirae;Kitrinoviricota;Alsuviricetes;Tymovirales;Betaflexiviridae;Trivirinae;Prunevirus;Prunevirus armeniacae</t>
  </si>
  <si>
    <t>Riboviria;Orthornavirae;Kitrinoviricota;Alsuviricetes;Tymovirales;Betaflexiviridae;Trivirinae;Prunevirus;Caucasus prunus virus</t>
  </si>
  <si>
    <t>Riboviria;Orthornavirae;Kitrinoviricota;Alsuviricetes;Tymovirales;Betaflexiviridae;Trivirinae;Prunevirus;Prunevirus caucasicum</t>
  </si>
  <si>
    <t>Riboviria;Orthornavirae;Kitrinoviricota;Alsuviricetes;Tymovirales;Betaflexiviridae;Trivirinae;Prunevirus;Prunevirus CRSaV-1</t>
  </si>
  <si>
    <t>Riboviria;Orthornavirae;Kitrinoviricota;Alsuviricetes;Tymovirales;Betaflexiviridae;Trivirinae;Prunevirus;Prunevirus unicamelliae</t>
  </si>
  <si>
    <t>Riboviria;Orthornavirae;Kitrinoviricota;Alsuviricetes;Tymovirales;Betaflexiviridae;Trivirinae;Ravavirus;Ribes americanum virus A</t>
  </si>
  <si>
    <t>Riboviria;Orthornavirae;Kitrinoviricota;Alsuviricetes;Tymovirales;Betaflexiviridae;Trivirinae;Ravavirus;Ravavirus alpharibis</t>
  </si>
  <si>
    <t>Riboviria;Orthornavirae;Kitrinoviricota;Alsuviricetes;Tymovirales;Betaflexiviridae;Trivirinae;Tepovirus;Tepovirus AgVT</t>
  </si>
  <si>
    <t>Riboviria;Orthornavirae;Kitrinoviricota;Alsuviricetes;Tymovirales;Betaflexiviridae;Trivirinae;Tepovirus;Tepovirus tafagavis</t>
  </si>
  <si>
    <t>Riboviria;Orthornavirae;Kitrinoviricota;Alsuviricetes;Tymovirales;Betaflexiviridae;Trivirinae;Tepovirus;Tepovirus ChVT</t>
  </si>
  <si>
    <t>Riboviria;Orthornavirae;Kitrinoviricota;Alsuviricetes;Tymovirales;Betaflexiviridae;Trivirinae;Tepovirus;Tepovirus tafavii</t>
  </si>
  <si>
    <t>Riboviria;Orthornavirae;Kitrinoviricota;Alsuviricetes;Tymovirales;Betaflexiviridae;Trivirinae;Tepovirus;Prunus virus T</t>
  </si>
  <si>
    <t>Riboviria;Orthornavirae;Kitrinoviricota;Alsuviricetes;Tymovirales;Betaflexiviridae;Trivirinae;Tepovirus;Tepovirus tafpruni</t>
  </si>
  <si>
    <t>Riboviria;Orthornavirae;Kitrinoviricota;Alsuviricetes;Tymovirales;Betaflexiviridae;Trivirinae;Tepovirus;Potato virus T</t>
  </si>
  <si>
    <t>Riboviria;Orthornavirae;Kitrinoviricota;Alsuviricetes;Tymovirales;Betaflexiviridae;Trivirinae;Tepovirus;Tepovirus tafsolani</t>
  </si>
  <si>
    <t>Riboviria;Orthornavirae;Kitrinoviricota;Alsuviricetes;Tymovirales;Betaflexiviridae;Trivirinae;Tepovirus;Tepovirus ZoVT</t>
  </si>
  <si>
    <t>Riboviria;Orthornavirae;Kitrinoviricota;Alsuviricetes;Tymovirales;Betaflexiviridae;Trivirinae;Tepovirus;Tepovirus tafzosterae</t>
  </si>
  <si>
    <t>Riboviria;Orthornavirae;Kitrinoviricota;Alsuviricetes;Tymovirales;Betaflexiviridae;Trivirinae;Trichovirus;Apricot pseudo-chlorotic leaf spot virus</t>
  </si>
  <si>
    <t>Riboviria;Orthornavirae;Kitrinoviricota;Alsuviricetes;Tymovirales;Betaflexiviridae;Trivirinae;Trichovirus;Trichovirus armeniacae</t>
  </si>
  <si>
    <t>Riboviria;Orthornavirae;Kitrinoviricota;Alsuviricetes;Tymovirales;Betaflexiviridae;Trivirinae;Trichovirus;Trichovirus PCLSV</t>
  </si>
  <si>
    <t>Riboviria;Orthornavirae;Kitrinoviricota;Alsuviricetes;Tymovirales;Betaflexiviridae;Trivirinae;Trichovirus;Trichovirus chloropersicae</t>
  </si>
  <si>
    <t>Riboviria;Orthornavirae;Kitrinoviricota;Alsuviricetes;Tymovirales;Betaflexiviridae;Trivirinae;Trichovirus;Trichovirus CLV-1</t>
  </si>
  <si>
    <t>Riboviria;Orthornavirae;Kitrinoviricota;Alsuviricetes;Tymovirales;Betaflexiviridae;Trivirinae;Trichovirus;Trichovirus latensavii</t>
  </si>
  <si>
    <t>Riboviria;Orthornavirae;Kitrinoviricota;Alsuviricetes;Tymovirales;Betaflexiviridae;Trivirinae;Trichovirus;Cherry mottle leaf virus</t>
  </si>
  <si>
    <t>Riboviria;Orthornavirae;Kitrinoviricota;Alsuviricetes;Tymovirales;Betaflexiviridae;Trivirinae;Trichovirus;Trichovirus maculavii</t>
  </si>
  <si>
    <t>Riboviria;Orthornavirae;Kitrinoviricota;Alsuviricetes;Tymovirales;Betaflexiviridae;Trivirinae;Trichovirus;Apple chlorotic leaf spot virus</t>
  </si>
  <si>
    <t>Riboviria;Orthornavirae;Kitrinoviricota;Alsuviricetes;Tymovirales;Betaflexiviridae;Trivirinae;Trichovirus;Trichovirus mali</t>
  </si>
  <si>
    <t>Riboviria;Orthornavirae;Kitrinoviricota;Alsuviricetes;Tymovirales;Betaflexiviridae;Trivirinae;Trichovirus;Trichovirus PeVM</t>
  </si>
  <si>
    <t>Riboviria;Orthornavirae;Kitrinoviricota;Alsuviricetes;Tymovirales;Betaflexiviridae;Trivirinae;Trichovirus;Trichovirus mipersicae</t>
  </si>
  <si>
    <t>Riboviria;Orthornavirae;Kitrinoviricota;Alsuviricetes;Tymovirales;Betaflexiviridae;Trivirinae;Trichovirus;Grapevine berry inner necrosis virus</t>
  </si>
  <si>
    <t>Riboviria;Orthornavirae;Kitrinoviricota;Alsuviricetes;Tymovirales;Betaflexiviridae;Trivirinae;Trichovirus;Trichovirus necroacini</t>
  </si>
  <si>
    <t>Riboviria;Orthornavirae;Kitrinoviricota;Alsuviricetes;Tymovirales;Betaflexiviridae;Trivirinae;Trichovirus;Peach mosaic virus</t>
  </si>
  <si>
    <t>Riboviria;Orthornavirae;Kitrinoviricota;Alsuviricetes;Tymovirales;Betaflexiviridae;Trivirinae;Trichovirus;Trichovirus persicae</t>
  </si>
  <si>
    <t>Riboviria;Orthornavirae;Kitrinoviricota;Alsuviricetes;Tymovirales;Betaflexiviridae;Trivirinae;Trichovirus;Phlomis mottle virus</t>
  </si>
  <si>
    <t>Riboviria;Orthornavirae;Kitrinoviricota;Alsuviricetes;Tymovirales;Betaflexiviridae;Trivirinae;Trichovirus;Trichovirus phlomis</t>
  </si>
  <si>
    <t>Riboviria;Orthornavirae;Kitrinoviricota;Alsuviricetes;Tymovirales;Betaflexiviridae;Trivirinae;Trichovirus;Grapevine Pinot gris virus</t>
  </si>
  <si>
    <t>Riboviria;Orthornavirae;Kitrinoviricota;Alsuviricetes;Tymovirales;Betaflexiviridae;Trivirinae;Trichovirus;Trichovirus pinovitis</t>
  </si>
  <si>
    <t>Riboviria;Orthornavirae;Kitrinoviricota;Alsuviricetes;Tymovirales;Betaflexiviridae;Trivirinae;Vitivirus;Actinidia virus A</t>
  </si>
  <si>
    <t>Riboviria;Orthornavirae;Kitrinoviricota;Alsuviricetes;Tymovirales;Betaflexiviridae;Trivirinae;Vitivirus;Vitivirus alphactinidiae</t>
  </si>
  <si>
    <t>Riboviria;Orthornavirae;Kitrinoviricota;Alsuviricetes;Tymovirales;Betaflexiviridae;Trivirinae;Vitivirus;Blackberry virus A</t>
  </si>
  <si>
    <t>Riboviria;Orthornavirae;Kitrinoviricota;Alsuviricetes;Tymovirales;Betaflexiviridae;Trivirinae;Vitivirus;Vitivirus alpharubi</t>
  </si>
  <si>
    <t>Riboviria;Orthornavirae;Kitrinoviricota;Alsuviricetes;Tymovirales;Betaflexiviridae;Trivirinae;Vitivirus;Grapevine virus A</t>
  </si>
  <si>
    <t>Riboviria;Orthornavirae;Kitrinoviricota;Alsuviricetes;Tymovirales;Betaflexiviridae;Trivirinae;Vitivirus;Vitivirus alphavitis</t>
  </si>
  <si>
    <t>Riboviria;Orthornavirae;Kitrinoviricota;Alsuviricetes;Tymovirales;Betaflexiviridae;Trivirinae;Vitivirus;Actinidia virus B</t>
  </si>
  <si>
    <t>Riboviria;Orthornavirae;Kitrinoviricota;Alsuviricetes;Tymovirales;Betaflexiviridae;Trivirinae;Vitivirus;Vitivirus betactinidiae</t>
  </si>
  <si>
    <t>Riboviria;Orthornavirae;Kitrinoviricota;Alsuviricetes;Tymovirales;Betaflexiviridae;Trivirinae;Vitivirus;Grapevine virus B</t>
  </si>
  <si>
    <t>Riboviria;Orthornavirae;Kitrinoviricota;Alsuviricetes;Tymovirales;Betaflexiviridae;Trivirinae;Vitivirus;Vitivirus betavitis</t>
  </si>
  <si>
    <t>Riboviria;Orthornavirae;Kitrinoviricota;Alsuviricetes;Tymovirales;Betaflexiviridae;Trivirinae;Vitivirus;Grapevine virus D</t>
  </si>
  <si>
    <t>Riboviria;Orthornavirae;Kitrinoviricota;Alsuviricetes;Tymovirales;Betaflexiviridae;Trivirinae;Vitivirus;Vitivirus deltavitis</t>
  </si>
  <si>
    <t>Riboviria;Orthornavirae;Kitrinoviricota;Alsuviricetes;Tymovirales;Betaflexiviridae;Trivirinae;Vitivirus;Mint virus 2</t>
  </si>
  <si>
    <t>Riboviria;Orthornavirae;Kitrinoviricota;Alsuviricetes;Tymovirales;Betaflexiviridae;Trivirinae;Vitivirus;Vitivirus duomenthae</t>
  </si>
  <si>
    <t>Riboviria;Orthornavirae;Kitrinoviricota;Alsuviricetes;Tymovirales;Betaflexiviridae;Trivirinae;Vitivirus;Grapevine virus E</t>
  </si>
  <si>
    <t>Riboviria;Orthornavirae;Kitrinoviricota;Alsuviricetes;Tymovirales;Betaflexiviridae;Trivirinae;Vitivirus;Vitivirus epsilonvitis</t>
  </si>
  <si>
    <t>Riboviria;Orthornavirae;Kitrinoviricota;Alsuviricetes;Tymovirales;Betaflexiviridae;Trivirinae;Vitivirus;Grapevine virus H</t>
  </si>
  <si>
    <t>Riboviria;Orthornavirae;Kitrinoviricota;Alsuviricetes;Tymovirales;Betaflexiviridae;Trivirinae;Vitivirus;Vitivirus etavitis</t>
  </si>
  <si>
    <t>Riboviria;Orthornavirae;Kitrinoviricota;Alsuviricetes;Tymovirales;Betaflexiviridae;Trivirinae;Vitivirus;Grapevine virus G</t>
  </si>
  <si>
    <t>Riboviria;Orthornavirae;Kitrinoviricota;Alsuviricetes;Tymovirales;Betaflexiviridae;Trivirinae;Vitivirus;Vitivirus gammavitis</t>
  </si>
  <si>
    <t>Riboviria;Orthornavirae;Kitrinoviricota;Alsuviricetes;Tymovirales;Betaflexiviridae;Trivirinae;Vitivirus;Grapevine virus I</t>
  </si>
  <si>
    <t>Riboviria;Orthornavirae;Kitrinoviricota;Alsuviricetes;Tymovirales;Betaflexiviridae;Trivirinae;Vitivirus;Vitivirus iotavitis</t>
  </si>
  <si>
    <t>Riboviria;Orthornavirae;Kitrinoviricota;Alsuviricetes;Tymovirales;Betaflexiviridae;Trivirinae;Vitivirus;Grapevine virus J</t>
  </si>
  <si>
    <t>Riboviria;Orthornavirae;Kitrinoviricota;Alsuviricetes;Tymovirales;Betaflexiviridae;Trivirinae;Vitivirus;Vitivirus jeivitis</t>
  </si>
  <si>
    <t>Riboviria;Orthornavirae;Kitrinoviricota;Alsuviricetes;Tymovirales;Betaflexiviridae;Trivirinae;Vitivirus;Vitivirus GVL</t>
  </si>
  <si>
    <t>Riboviria;Orthornavirae;Kitrinoviricota;Alsuviricetes;Tymovirales;Betaflexiviridae;Trivirinae;Vitivirus;Vitivirus lambdavitis</t>
  </si>
  <si>
    <t>Riboviria;Orthornavirae;Kitrinoviricota;Alsuviricetes;Tymovirales;Betaflexiviridae;Trivirinae;Vitivirus;Heracleum latent virus</t>
  </si>
  <si>
    <t>Riboviria;Orthornavirae;Kitrinoviricota;Alsuviricetes;Tymovirales;Betaflexiviridae;Trivirinae;Vitivirus;Vitivirus latensheraclei</t>
  </si>
  <si>
    <t>Riboviria;Orthornavirae;Kitrinoviricota;Alsuviricetes;Tymovirales;Betaflexiviridae;Trivirinae;Vitivirus;Grapevine virus F</t>
  </si>
  <si>
    <t>Riboviria;Orthornavirae;Kitrinoviricota;Alsuviricetes;Tymovirales;Betaflexiviridae;Trivirinae;Vitivirus;Vitivirus phivitis</t>
  </si>
  <si>
    <t>Riboviria;Orthornavirae;Kitrinoviricota;Alsuviricetes;Tymovirales;Betaflexiviridae;Trivirinae;Vitivirus;Vitivirus BGMaV</t>
  </si>
  <si>
    <t>Riboviria;Orthornavirae;Kitrinoviricota;Alsuviricetes;Tymovirales;Betaflexiviridae;Trivirinae;Vitivirus;Vitivirus vaccinii</t>
  </si>
  <si>
    <t>Riboviria;Orthornavirae;Kitrinoviricota;Alsuviricetes;Tymovirales;Betaflexiviridae;Trivirinae;Vitivirus;Arracacha virus V</t>
  </si>
  <si>
    <t>Riboviria;Orthornavirae;Kitrinoviricota;Alsuviricetes;Tymovirales;Betaflexiviridae;Trivirinae;Vitivirus;Vitivirus viarracaciae</t>
  </si>
  <si>
    <t>Riboviria;Orthornavirae;Kitrinoviricota;Alsuviricetes;Tymovirales;Betaflexiviridae;Trivirinae;Wamavirus;Watermelon virus A</t>
  </si>
  <si>
    <t>Riboviria;Orthornavirae;Kitrinoviricota;Alsuviricetes;Tymovirales;Betaflexiviridae;Trivirinae;Wamavirus;Wamavirus alphacitrulli</t>
  </si>
  <si>
    <t>Riboviria;Orthornavirae;Kitrinoviricota;Alsuviricetes;Tymovirales;Deltaflexiviridae;Deltaflexivirus;Fusarium deltaflexivirus 1</t>
  </si>
  <si>
    <t>Riboviria;Orthornavirae;Kitrinoviricota;Alsuviricetes;Tymovirales;Deltaflexiviridae;Deltaflexivirus;Deltaflexivirus fusarii</t>
  </si>
  <si>
    <t>Riboviria;Orthornavirae;Kitrinoviricota;Alsuviricetes;Tymovirales;Deltaflexiviridae;Deltaflexivirus;Soybean-associated deltaflexivirus 1</t>
  </si>
  <si>
    <t>Riboviria;Orthornavirae;Kitrinoviricota;Alsuviricetes;Tymovirales;Deltaflexiviridae;Deltaflexivirus;Deltaflexivirus glycinis</t>
  </si>
  <si>
    <t>Riboviria;Orthornavirae;Kitrinoviricota;Alsuviricetes;Tymovirales;Deltaflexiviridae;Deltaflexivirus;Sclerotinia deltaflexivirus 1</t>
  </si>
  <si>
    <t>Riboviria;Orthornavirae;Kitrinoviricota;Alsuviricetes;Tymovirales;Deltaflexiviridae;Deltaflexivirus;Deltaflexivirus sclerotiniae</t>
  </si>
  <si>
    <t>Riboviria;Orthornavirae;Kitrinoviricota;Alsuviricetes;Tymovirales;Gammaflexiviridae;Gammaflexivirus;Gammaflexivirus EntGFV-1</t>
  </si>
  <si>
    <t>Riboviria;Orthornavirae;Kitrinoviricota;Alsuviricetes;Tymovirales;Gammaflexiviridae;Gammaflexivirus;Gammaflexivirus unientoleucae</t>
  </si>
  <si>
    <t>Riboviria;Orthornavirae;Kitrinoviricota;Alsuviricetes;Tymovirales;Gammaflexiviridae;Gammaflexivirus;Gammaflexivirus PaGFV-1</t>
  </si>
  <si>
    <t>Riboviria;Orthornavirae;Kitrinoviricota;Alsuviricetes;Tymovirales;Gammaflexiviridae;Gammaflexivirus;Gammaflexivirus unipistaciae</t>
  </si>
  <si>
    <t>Riboviria;Orthornavirae;Kitrinoviricota;Alsuviricetes;Tymovirales;Gammaflexiviridae;Mycoflexivirus;Botrytis virus F</t>
  </si>
  <si>
    <t>Riboviria;Orthornavirae;Kitrinoviricota;Alsuviricetes;Tymovirales;Gammaflexiviridae;Mycoflexivirus;Mycoflexivirus phibotrytidis</t>
  </si>
  <si>
    <t>Riboviria;Orthornavirae;Kitrinoviricota;Alsuviricetes;Tymovirales;Gammaflexiviridae;Xylavirus;Xylavirus EntGFV-2</t>
  </si>
  <si>
    <t>Riboviria;Orthornavirae;Kitrinoviricota;Alsuviricetes;Tymovirales;Gammaflexiviridae;Xylavirus;Xylavirus duoentoleucae</t>
  </si>
  <si>
    <t>Riboviria;Orthornavirae;Kitrinoviricota;Magsaviricetes;Nodamuvirales;Nodaviridae;Alphanodavirus;Boolarra virus</t>
  </si>
  <si>
    <t>Riboviria;Orthornavirae;Kitrinoviricota;Magsaviricetes;Nodamuvirales;Nodaviridae;Alphanodavirus;Alphanodavirus boolarraense</t>
  </si>
  <si>
    <t>Riboviria;Orthornavirae;Kitrinoviricota;Magsaviricetes;Nodamuvirales;Nodaviridae;Alphanodavirus;Flock House virus</t>
  </si>
  <si>
    <t>Riboviria;Orthornavirae;Kitrinoviricota;Magsaviricetes;Nodamuvirales;Nodaviridae;Alphanodavirus;Alphanodavirus flockense</t>
  </si>
  <si>
    <t>Riboviria;Orthornavirae;Kitrinoviricota;Magsaviricetes;Nodamuvirales;Nodaviridae;Alphanodavirus;Black beetle virus</t>
  </si>
  <si>
    <t>Riboviria;Orthornavirae;Kitrinoviricota;Magsaviricetes;Nodamuvirales;Nodaviridae;Alphanodavirus;Alphanodavirus heteronychi</t>
  </si>
  <si>
    <t>Riboviria;Orthornavirae;Kitrinoviricota;Magsaviricetes;Nodamuvirales;Nodaviridae;Alphanodavirus;Nodamura virus</t>
  </si>
  <si>
    <t>Riboviria;Orthornavirae;Kitrinoviricota;Magsaviricetes;Nodamuvirales;Nodaviridae;Alphanodavirus;Alphanodavirus nodamuraense</t>
  </si>
  <si>
    <t>Riboviria;Orthornavirae;Kitrinoviricota;Magsaviricetes;Nodamuvirales;Nodaviridae;Alphanodavirus;Pariacoto virus</t>
  </si>
  <si>
    <t>Riboviria;Orthornavirae;Kitrinoviricota;Magsaviricetes;Nodamuvirales;Nodaviridae;Alphanodavirus;Alphanodavirus pariacotoense</t>
  </si>
  <si>
    <t>Riboviria;Orthornavirae;Kitrinoviricota;Magsaviricetes;Nodamuvirales;Nodaviridae;Betanodavirus;Redspotted grouper nervous necrosis virus</t>
  </si>
  <si>
    <t>Riboviria;Orthornavirae;Kitrinoviricota;Magsaviricetes;Nodamuvirales;Nodaviridae;Betanodavirus;Betanodavirus epinepheli</t>
  </si>
  <si>
    <t>Riboviria;Orthornavirae;Kitrinoviricota;Magsaviricetes;Nodamuvirales;Nodaviridae;Betanodavirus;Striped jack nervous necrosis virus</t>
  </si>
  <si>
    <t>Riboviria;Orthornavirae;Kitrinoviricota;Magsaviricetes;Nodamuvirales;Nodaviridae;Betanodavirus;Betanodavirus pseudocarangis</t>
  </si>
  <si>
    <t>Riboviria;Orthornavirae;Kitrinoviricota;Magsaviricetes;Nodamuvirales;Nodaviridae;Betanodavirus;Tiger puffer nervous necrosis virus</t>
  </si>
  <si>
    <t>Riboviria;Orthornavirae;Kitrinoviricota;Magsaviricetes;Nodamuvirales;Nodaviridae;Betanodavirus;Betanodavirus takifugui</t>
  </si>
  <si>
    <t>Riboviria;Orthornavirae;Kitrinoviricota;Magsaviricetes;Nodamuvirales;Nodaviridae;Betanodavirus;Barfin flounder nervous necrosis virus</t>
  </si>
  <si>
    <t>Riboviria;Orthornavirae;Kitrinoviricota;Magsaviricetes;Nodamuvirales;Nodaviridae;Betanodavirus;Betanodavirus verasperi</t>
  </si>
  <si>
    <t>Riboviria;Orthornavirae;Kitrinoviricota;Tolucaviricetes;Tolivirales;Carmotetraviridae;Alphacarmotetravirus;Providence virus</t>
  </si>
  <si>
    <t>Riboviria;Orthornavirae;Kitrinoviricota;Tolucaviricetes;Tolivirales;Carmotetraviridae;Alphacarmotetravirus;Alphacarmotetravirus providencense</t>
  </si>
  <si>
    <t>Riboviria;Orthornavirae;Pisuviricota;Pisoniviricetes;Sobelivirales;Solemoviridae;Barley yellow dwarf virus SGV</t>
  </si>
  <si>
    <t>Riboviria;Orthornavirae;Kitrinoviricota;Tolucaviricetes;Tolivirales;Tombusviridae;Regressovirinae;Luteovirus;Luteovirus sgvhordei</t>
  </si>
  <si>
    <t>Riboviria;Orthornavirae;Lenarviricota;Amabiliviricetes;Wolframvirales;Narnaviridae;Narnavirus;Saccharomyces 23S RNA narnavirus</t>
  </si>
  <si>
    <t>Riboviria;Orthornavirae;Lenarviricota;Amabiliviricetes;Wolframvirales;Narnaviridae;Narnavirus;Narnavirus saccharomaior</t>
  </si>
  <si>
    <t>Riboviria;Orthornavirae;Lenarviricota;Amabiliviricetes;Wolframvirales;Narnaviridae;Narnavirus;Saccharomyces 20S RNA narnavirus</t>
  </si>
  <si>
    <t>Riboviria;Orthornavirae;Lenarviricota;Amabiliviricetes;Wolframvirales;Narnaviridae;Narnavirus;Narnavirus saccharominor</t>
  </si>
  <si>
    <t>Riboviria;Orthornavirae;Lenarviricota;Leviviricetes;Norzivirales;Atkinsviridae;Qeihnovirus;Qeihnovirus defluviicola</t>
  </si>
  <si>
    <t>Riboviria;Orthornavirae;Lenarviricota;Leviviricetes;Norzivirales;Atkinsviridae;Aldormivirus;Aldormivirus defluviicola</t>
  </si>
  <si>
    <t>Riboviria;Orthornavirae;Lenarviricota;Leviviricetes;Norzivirales;Atkinsviridae;Qeihnovirus;Qeihnovirus luticola</t>
  </si>
  <si>
    <t>Riboviria;Orthornavirae;Lenarviricota;Leviviricetes;Norzivirales;Atkinsviridae;Aldormivirus;Aldormivirus luticola</t>
  </si>
  <si>
    <t>Riboviria;Orthornavirae;Lenarviricota;Leviviricetes;Norzivirales;Atkinsviridae;Qeihnovirus;Qeihnovirus lutihabitans</t>
  </si>
  <si>
    <t>Riboviria;Orthornavirae;Lenarviricota;Leviviricetes;Norzivirales;Atkinsviridae;Aldormivirus;Aldormivirus lutihabitans</t>
  </si>
  <si>
    <t>Riboviria;Orthornavirae;Lenarviricota;Leviviricetes;Norzivirales;Atkinsviridae;Qeihnovirus;Qeihnovirus lutivivens</t>
  </si>
  <si>
    <t>Riboviria;Orthornavirae;Lenarviricota;Leviviricetes;Norzivirales;Atkinsviridae;Aldormivirus;Aldormivirus lutivivens</t>
  </si>
  <si>
    <t>Riboviria;Orthornavirae;Lenarviricota;Leviviricetes;Norzivirales;Atkinsviridae;Qeihnovirus;Qeihnovirus peladaptatum</t>
  </si>
  <si>
    <t>Riboviria;Orthornavirae;Lenarviricota;Leviviricetes;Norzivirales;Atkinsviridae;Aldormivirus;Aldormivirus peladaptatum</t>
  </si>
  <si>
    <t>Riboviria;Orthornavirae;Lenarviricota;Leviviricetes;Norzivirales;Atkinsviridae;Ipivevirus;Ipivevirus pelenecus</t>
  </si>
  <si>
    <t>Riboviria;Orthornavirae;Lenarviricota;Leviviricetes;Norzivirales;Atkinsviridae;Aldormivirus;Aldormivirus pelenecus</t>
  </si>
  <si>
    <t>Riboviria;Orthornavirae;Lenarviricota;Leviviricetes;Norzivirales;Atkinsviridae;Rainacovirus;Rainacovirus pelenecus</t>
  </si>
  <si>
    <t>Riboviria;Orthornavirae;Lenarviricota;Leviviricetes;Norzivirales;Atkinsviridae;Alkesdovirus;Alkesdovirus pelenecus</t>
  </si>
  <si>
    <t>Riboviria;Orthornavirae;Lenarviricota;Leviviricetes;Norzivirales;Atkinsviridae;Rainacovirus;Rainacovirus pelohabitans</t>
  </si>
  <si>
    <t>Riboviria;Orthornavirae;Lenarviricota;Leviviricetes;Norzivirales;Atkinsviridae;Alkesdovirus;Alkesdovirus pelohabitans</t>
  </si>
  <si>
    <t>Riboviria;Orthornavirae;Lenarviricota;Leviviricetes;Norzivirales;Atkinsviridae;Rainacovirus;Rainacovirus pelovicinum</t>
  </si>
  <si>
    <t>Riboviria;Orthornavirae;Lenarviricota;Leviviricetes;Norzivirales;Atkinsviridae;Alkesdovirus;Alkesdovirus pelovicinum</t>
  </si>
  <si>
    <t>Riboviria;Orthornavirae;Lenarviricota;Leviviricetes;Norzivirales;Atkinsviridae;Rainacovirus;Rainacovirus tellurivicinum</t>
  </si>
  <si>
    <t>Riboviria;Orthornavirae;Lenarviricota;Leviviricetes;Norzivirales;Atkinsviridae;Alkesdovirus;Alkesdovirus tellurivicinum</t>
  </si>
  <si>
    <t>Riboviria;Orthornavirae;Lenarviricota;Leviviricetes;Norzivirales;Atkinsviridae;Rainacovirus;Rainacovirus tellurivivens</t>
  </si>
  <si>
    <t>Riboviria;Orthornavirae;Lenarviricota;Leviviricetes;Norzivirales;Atkinsviridae;Alkesdovirus;Alkesdovirus tellurivivens</t>
  </si>
  <si>
    <t>Riboviria;Orthornavirae;Lenarviricota;Leviviricetes;Norzivirales;Atkinsviridae;Rainacovirus;Rainacovirus terradaptatum</t>
  </si>
  <si>
    <t>Riboviria;Orthornavirae;Lenarviricota;Leviviricetes;Norzivirales;Atkinsviridae;Alkesdovirus;Alkesdovirus terradaptatum</t>
  </si>
  <si>
    <t>Riboviria;Orthornavirae;Lenarviricota;Leviviricetes;Norzivirales;Atkinsviridae;Rainacovirus;Rainacovirus terricola</t>
  </si>
  <si>
    <t>Riboviria;Orthornavirae;Lenarviricota;Leviviricetes;Norzivirales;Atkinsviridae;Alkesdovirus;Alkesdovirus terricola</t>
  </si>
  <si>
    <t>Riboviria;Orthornavirae;Lenarviricota;Leviviricetes;Norzivirales;Atkinsviridae;Qeihnovirus;Qeihnovirus lutivicinum</t>
  </si>
  <si>
    <t>Riboviria;Orthornavirae;Lenarviricota;Leviviricetes;Norzivirales;Atkinsviridae;Alvostovirus;Alvostovirus lutivicinum</t>
  </si>
  <si>
    <t>Riboviria;Orthornavirae;Lenarviricota;Leviviricetes;Norzivirales;Atkinsviridae;Tsecebavirus;Tsecebavirus borborovicinum</t>
  </si>
  <si>
    <t>Riboviria;Orthornavirae;Lenarviricota;Leviviricetes;Norzivirales;Atkinsviridae;Apihcavirus;Apihcavirus neoborborovicinum</t>
  </si>
  <si>
    <t>Riboviria;Orthornavirae;Lenarviricota;Leviviricetes;Norzivirales;Atkinsviridae;Lehptevirus;Lehptevirus chorohabitans</t>
  </si>
  <si>
    <t>Riboviria;Orthornavirae;Lenarviricota;Leviviricetes;Norzivirales;Atkinsviridae;Bruncluvirus;Bruncluvirus chorohabitans</t>
  </si>
  <si>
    <t>Riboviria;Orthornavirae;Lenarviricota;Leviviricetes;Norzivirales;Atkinsviridae;Rainacovirus;Rainacovirus pelocola</t>
  </si>
  <si>
    <t>Riboviria;Orthornavirae;Lenarviricota;Leviviricetes;Norzivirales;Atkinsviridae;Casfavirus;Casfavirus pelocola</t>
  </si>
  <si>
    <t>Riboviria;Orthornavirae;Lenarviricota;Leviviricetes;Norzivirales;Atkinsviridae;Lehptevirus;Lehptevirus asiohabitans</t>
  </si>
  <si>
    <t>Riboviria;Orthornavirae;Lenarviricota;Leviviricetes;Norzivirales;Atkinsviridae;Coughduvirus;Coughduvirus asiohabitans</t>
  </si>
  <si>
    <t>Riboviria;Orthornavirae;Lenarviricota;Leviviricetes;Norzivirales;Atkinsviridae;Lehptevirus;Lehptevirus asiovicinum</t>
  </si>
  <si>
    <t>Riboviria;Orthornavirae;Lenarviricota;Leviviricetes;Norzivirales;Atkinsviridae;Coughduvirus;Coughduvirus asiovicinum</t>
  </si>
  <si>
    <t>Riboviria;Orthornavirae;Lenarviricota;Leviviricetes;Norzivirales;Atkinsviridae;Lehptevirus;Lehptevirus asiovivens</t>
  </si>
  <si>
    <t>Riboviria;Orthornavirae;Lenarviricota;Leviviricetes;Norzivirales;Atkinsviridae;Coughduvirus;Coughduvirus asiovivens</t>
  </si>
  <si>
    <t>Riboviria;Orthornavirae;Lenarviricota;Leviviricetes;Norzivirales;Atkinsviridae;Lehptevirus;Lehptevirus borboradaptatum</t>
  </si>
  <si>
    <t>Riboviria;Orthornavirae;Lenarviricota;Leviviricetes;Norzivirales;Atkinsviridae;Coughduvirus;Coughduvirus borboradaptatum</t>
  </si>
  <si>
    <t>Riboviria;Orthornavirae;Lenarviricota;Leviviricetes;Norzivirales;Atkinsviridae;Sdonativirus;Sdonativirus humihabitans</t>
  </si>
  <si>
    <t>Riboviria;Orthornavirae;Lenarviricota;Leviviricetes;Norzivirales;Atkinsviridae;Hysdruvirus;Hysdruvirus humihabitans</t>
  </si>
  <si>
    <t>Riboviria;Orthornavirae;Lenarviricota;Leviviricetes;Norzivirales;Atkinsviridae;Nehujevirus;Nehujevirus caenicola</t>
  </si>
  <si>
    <t>Riboviria;Orthornavirae;Lenarviricota;Leviviricetes;Norzivirales;Atkinsviridae;Mitdiwavirus;Mitdiwavirus caenicola</t>
  </si>
  <si>
    <t>Riboviria;Orthornavirae;Lenarviricota;Leviviricetes;Norzivirales;Atkinsviridae;Shopitevirus;Shopitevirus limenecus</t>
  </si>
  <si>
    <t>Riboviria;Orthornavirae;Lenarviricota;Leviviricetes;Norzivirales;Atkinsviridae;Pihngevirus;Pihngevirus limenecus</t>
  </si>
  <si>
    <t>Riboviria;Orthornavirae;Lenarviricota;Leviviricetes;Norzivirales;Fiersviridae;Anedhivirus;Anedhivirus chorovicinum</t>
  </si>
  <si>
    <t>Riboviria;Orthornavirae;Lenarviricota;Leviviricetes;Norzivirales;Fiersviridae;Andhaxevirus;Andhaxevirus chorovicinum</t>
  </si>
  <si>
    <t>Riboviria;Orthornavirae;Lenarviricota;Leviviricetes;Norzivirales;Fiersviridae;Manohtivirus;Manohtivirus pedenecus</t>
  </si>
  <si>
    <t>Riboviria;Orthornavirae;Lenarviricota;Leviviricetes;Norzivirales;Fiersviridae;Andhaxevirus;Andhaxevirus pedenecus</t>
  </si>
  <si>
    <t>Riboviria;Orthornavirae;Lenarviricota;Leviviricetes;Norzivirales;Fiersviridae;Creshivirus;Creshivirus fonticola</t>
  </si>
  <si>
    <t>Riboviria;Orthornavirae;Lenarviricota;Leviviricetes;Norzivirales;Fiersviridae;Dortuvirus;Dortuvirus fonticola</t>
  </si>
  <si>
    <t>Riboviria;Orthornavirae;Lenarviricota;Leviviricetes;Norzivirales;Fiersviridae;Pipunevirus;Pipunevirus caenadaptatum</t>
  </si>
  <si>
    <t>Riboviria;Orthornavirae;Lenarviricota;Leviviricetes;Norzivirales;Fiersviridae;Dorudgevirus;Dorudgevirus caenadaptatum</t>
  </si>
  <si>
    <t>Riboviria;Orthornavirae;Lenarviricota;Leviviricetes;Norzivirales;Fiersviridae;Sehcovirus;Sehcovirus humivivens</t>
  </si>
  <si>
    <t>Riboviria;Orthornavirae;Lenarviricota;Leviviricetes;Norzivirales;Fiersviridae;Draycavirus;Draycavirus humivivens</t>
  </si>
  <si>
    <t>Riboviria;Orthornavirae;Lenarviricota;Leviviricetes;Norzivirales;Fiersviridae;Nahsuvirus;Nahsuvirus telluradaptatum</t>
  </si>
  <si>
    <t>Riboviria;Orthornavirae;Lenarviricota;Leviviricetes;Norzivirales;Fiersviridae;Dreytovirus;Dreytovirus telluradaptatum</t>
  </si>
  <si>
    <t>Riboviria;Orthornavirae;Lenarviricota;Leviviricetes;Norzivirales;Fiersviridae;Nahsuvirus;Nahsuvirus telluricola</t>
  </si>
  <si>
    <t>Riboviria;Orthornavirae;Lenarviricota;Leviviricetes;Norzivirales;Fiersviridae;Dreytovirus;Dreytovirus telluricola</t>
  </si>
  <si>
    <t>Riboviria;Orthornavirae;Lenarviricota;Leviviricetes;Norzivirales;Fiersviridae;Shuravirus;Shuravirus limicola</t>
  </si>
  <si>
    <t>Riboviria;Orthornavirae;Lenarviricota;Leviviricetes;Norzivirales;Fiersviridae;Dunchevirus;Dunchevirus limicola</t>
  </si>
  <si>
    <t>Riboviria;Orthornavirae;Lenarviricota;Leviviricetes;Norzivirales;Fiersviridae;Apukhovirus;Apukhovirus arvihabitans</t>
  </si>
  <si>
    <t>Riboviria;Orthornavirae;Lenarviricota;Leviviricetes;Norzivirales;Fiersviridae;Dursuvirus;Dursuvirus arvihabitans</t>
  </si>
  <si>
    <t>Riboviria;Orthornavirae;Lenarviricota;Leviviricetes;Norzivirales;Fiersviridae;Sphonivirus;Sphonivirus choradaptatum</t>
  </si>
  <si>
    <t>Riboviria;Orthornavirae;Lenarviricota;Leviviricetes;Norzivirales;Fiersviridae;Dursuvirus;Dursuvirus choradaptatum</t>
  </si>
  <si>
    <t>Riboviria;Orthornavirae;Lenarviricota;Leviviricetes;Norzivirales;Fiersviridae;Vinehtivirus;Vinehtivirus limicola</t>
  </si>
  <si>
    <t>Riboviria;Orthornavirae;Lenarviricota;Leviviricetes;Norzivirales;Fiersviridae;Eahsevirus;Eahsevirus limicola</t>
  </si>
  <si>
    <t>Riboviria;Orthornavirae;Lenarviricota;Leviviricetes;Norzivirales;Fiersviridae;Nihucivirus;Nihucivirus limihabitans</t>
  </si>
  <si>
    <t>Riboviria;Orthornavirae;Lenarviricota;Leviviricetes;Norzivirales;Fiersviridae;Eahsevirus;Eahsevirus limihabitans</t>
  </si>
  <si>
    <t>Riboviria;Orthornavirae;Lenarviricota;Leviviricetes;Norzivirales;Fiersviridae;Monamovirus;Monamovirus asiohabitans</t>
  </si>
  <si>
    <t>Riboviria;Orthornavirae;Lenarviricota;Leviviricetes;Norzivirales;Fiersviridae;Eerlswovirus;Eerlswovirus asiohabitans</t>
  </si>
  <si>
    <t>Riboviria;Orthornavirae;Lenarviricota;Leviviricetes;Norzivirales;Fiersviridae;Phulivirus;Phulivirus agrihabitans</t>
  </si>
  <si>
    <t>Riboviria;Orthornavirae;Lenarviricota;Leviviricetes;Norzivirales;Fiersviridae;Fagihyuvirus;Fagihyuvirus agrihabitans</t>
  </si>
  <si>
    <t>Riboviria;Orthornavirae;Lenarviricota;Leviviricetes;Norzivirales;Fiersviridae;Phulivirus;Phulivirus agrivicinum</t>
  </si>
  <si>
    <t>Riboviria;Orthornavirae;Lenarviricota;Leviviricetes;Norzivirales;Fiersviridae;Fagihyuvirus;Fagihyuvirus agrivicinum</t>
  </si>
  <si>
    <t>Riboviria;Orthornavirae;Lenarviricota;Leviviricetes;Norzivirales;Fiersviridae;Phulivirus;Phulivirus tegeticola</t>
  </si>
  <si>
    <t>Riboviria;Orthornavirae;Lenarviricota;Leviviricetes;Norzivirales;Fiersviridae;Fagihyuvirus;Fagihyuvirus tegeticola</t>
  </si>
  <si>
    <t>Riboviria;Orthornavirae;Lenarviricota;Leviviricetes;Norzivirales;Fiersviridae;Boloprevirus;Boloprevirus asiohabitans</t>
  </si>
  <si>
    <t>Riboviria;Orthornavirae;Lenarviricota;Leviviricetes;Norzivirales;Fiersviridae;Haeldovirus;Haeldovirus asiohabitans</t>
  </si>
  <si>
    <t>Riboviria;Orthornavirae;Lenarviricota;Leviviricetes;Norzivirales;Fiersviridae;Boloprevirus;Boloprevirus borboradaptatum</t>
  </si>
  <si>
    <t>Riboviria;Orthornavirae;Lenarviricota;Leviviricetes;Norzivirales;Fiersviridae;Haeldovirus;Haeldovirus borboradaptatum</t>
  </si>
  <si>
    <t>Riboviria;Orthornavirae;Lenarviricota;Leviviricetes;Norzivirales;Fiersviridae;Mucrahivirus;Mucrahivirus borboradaptatum</t>
  </si>
  <si>
    <t>Riboviria;Orthornavirae;Lenarviricota;Leviviricetes;Norzivirales;Fiersviridae;Hahsevirus;Hahsevirus borboradaptatum</t>
  </si>
  <si>
    <t>Riboviria;Orthornavirae;Lenarviricota;Leviviricetes;Norzivirales;Fiersviridae;Nahsuvirus;Nahsuvirus caenadaptatum</t>
  </si>
  <si>
    <t>Riboviria;Orthornavirae;Lenarviricota;Leviviricetes;Norzivirales;Fiersviridae;Hahsevirus;Hahsevirus caenadaptatum</t>
  </si>
  <si>
    <t>Riboviria;Orthornavirae;Lenarviricota;Leviviricetes;Norzivirales;Fiersviridae;Mucrahivirus;Mucrahivirus geoenecus</t>
  </si>
  <si>
    <t>Riboviria;Orthornavirae;Lenarviricota;Leviviricetes;Norzivirales;Fiersviridae;Hahsevirus;Hahsevirus geoenecus</t>
  </si>
  <si>
    <t>Riboviria;Orthornavirae;Lenarviricota;Leviviricetes;Norzivirales;Fiersviridae;Aldhiuvirus;Aldhiuvirus defluviicola</t>
  </si>
  <si>
    <t>Riboviria;Orthornavirae;Lenarviricota;Leviviricetes;Norzivirales;Fiersviridae;Kehmevirus;Kehmevirus defluviicola</t>
  </si>
  <si>
    <t>Riboviria;Orthornavirae;Lenarviricota;Leviviricetes;Norzivirales;Fiersviridae;Condavirus;Condavirus arvenecus</t>
  </si>
  <si>
    <t>Riboviria;Orthornavirae;Lenarviricota;Leviviricetes;Norzivirales;Fiersviridae;Koteshevirus;Koteshevirus arvenecus</t>
  </si>
  <si>
    <t>Riboviria;Orthornavirae;Lenarviricota;Leviviricetes;Norzivirales;Fiersviridae;Condavirus;Condavirus arvicola</t>
  </si>
  <si>
    <t>Riboviria;Orthornavirae;Lenarviricota;Leviviricetes;Norzivirales;Fiersviridae;Koteshevirus;Koteshevirus arvicola</t>
  </si>
  <si>
    <t>Riboviria;Orthornavirae;Lenarviricota;Leviviricetes;Norzivirales;Fiersviridae;Condavirus;Condavirus arvivicinum</t>
  </si>
  <si>
    <t>Riboviria;Orthornavirae;Lenarviricota;Leviviricetes;Norzivirales;Fiersviridae;Koteshevirus;Koteshevirus arvivicinum</t>
  </si>
  <si>
    <t>Riboviria;Orthornavirae;Lenarviricota;Leviviricetes;Norzivirales;Fiersviridae;Condavirus;Condavirus arvivivens</t>
  </si>
  <si>
    <t>Riboviria;Orthornavirae;Lenarviricota;Leviviricetes;Norzivirales;Fiersviridae;Koteshevirus;Koteshevirus arvivivens</t>
  </si>
  <si>
    <t>Riboviria;Orthornavirae;Lenarviricota;Leviviricetes;Norzivirales;Fiersviridae;Sehcovirus;Sehcovirus asiovivens</t>
  </si>
  <si>
    <t>Riboviria;Orthornavirae;Lenarviricota;Leviviricetes;Norzivirales;Fiersviridae;Koteshevirus;Koteshevirus asiovivens</t>
  </si>
  <si>
    <t>Riboviria;Orthornavirae;Lenarviricota;Leviviricetes;Norzivirales;Fiersviridae;Pohtamavirus;Pohtamavirus caenihabitans</t>
  </si>
  <si>
    <t>Riboviria;Orthornavirae;Lenarviricota;Leviviricetes;Norzivirales;Fiersviridae;Koteshevirus;Koteshevirus caenihabitans</t>
  </si>
  <si>
    <t>Riboviria;Orthornavirae;Lenarviricota;Leviviricetes;Norzivirales;Fiersviridae;Condavirus;Condavirus edaphadaptatum</t>
  </si>
  <si>
    <t>Riboviria;Orthornavirae;Lenarviricota;Leviviricetes;Norzivirales;Fiersviridae;Koteshevirus;Koteshevirus edaphadaptatum</t>
  </si>
  <si>
    <t>Riboviria;Orthornavirae;Lenarviricota;Leviviricetes;Norzivirales;Fiersviridae;Condavirus;Condavirus edaphocola</t>
  </si>
  <si>
    <t>Riboviria;Orthornavirae;Lenarviricota;Leviviricetes;Norzivirales;Fiersviridae;Koteshevirus;Koteshevirus edaphocola</t>
  </si>
  <si>
    <t>Riboviria;Orthornavirae;Lenarviricota;Leviviricetes;Norzivirales;Fiersviridae;Condavirus;Condavirus edaphohabitans</t>
  </si>
  <si>
    <t>Riboviria;Orthornavirae;Lenarviricota;Leviviricetes;Norzivirales;Fiersviridae;Koteshevirus;Koteshevirus edaphohabitans</t>
  </si>
  <si>
    <t>Riboviria;Orthornavirae;Lenarviricota;Leviviricetes;Norzivirales;Fiersviridae;Condavirus;Condavirus edaphovicinum</t>
  </si>
  <si>
    <t>Riboviria;Orthornavirae;Lenarviricota;Leviviricetes;Norzivirales;Fiersviridae;Koteshevirus;Koteshevirus edaphovicinum</t>
  </si>
  <si>
    <t>Riboviria;Orthornavirae;Lenarviricota;Leviviricetes;Norzivirales;Fiersviridae;Nuihimevirus;Nuihimevirus lutadaptatum</t>
  </si>
  <si>
    <t>Riboviria;Orthornavirae;Lenarviricota;Leviviricetes;Norzivirales;Fiersviridae;Koteshevirus;Koteshevirus lutadaptatum</t>
  </si>
  <si>
    <t>Riboviria;Orthornavirae;Lenarviricota;Leviviricetes;Norzivirales;Fiersviridae;Gahlinevirus;Gahlinevirus luticola</t>
  </si>
  <si>
    <t>Riboviria;Orthornavirae;Lenarviricota;Leviviricetes;Norzivirales;Fiersviridae;Koteshevirus;Koteshevirus luticola</t>
  </si>
  <si>
    <t>Riboviria;Orthornavirae;Lenarviricota;Leviviricetes;Norzivirales;Fiersviridae;Brudgevirus;Brudgevirus terrivivens</t>
  </si>
  <si>
    <t>Riboviria;Orthornavirae;Lenarviricota;Leviviricetes;Norzivirales;Fiersviridae;Koteshevirus;Koteshevirus terrivivens</t>
  </si>
  <si>
    <t>Riboviria;Orthornavirae;Lenarviricota;Leviviricetes;Norzivirales;Fiersviridae;Condavirus;Condavirus edaphenecus</t>
  </si>
  <si>
    <t>Riboviria;Orthornavirae;Lenarviricota;Leviviricetes;Norzivirales;Fiersviridae;Lihtdlivirus;Lihtdlivirus edaphenecus</t>
  </si>
  <si>
    <t>Riboviria;Orthornavirae;Lenarviricota;Leviviricetes;Norzivirales;Fiersviridae;Nahjiuvirus;Nahjiuvirus borborovicinum</t>
  </si>
  <si>
    <t>Riboviria;Orthornavirae;Lenarviricota;Leviviricetes;Norzivirales;Fiersviridae;Loghdhuvirus;Loghdhuvirus borborovicinum</t>
  </si>
  <si>
    <t>Riboviria;Orthornavirae;Lenarviricota;Leviviricetes;Norzivirales;Fiersviridae;Brudgevirus;Brudgevirus borborovicinum</t>
  </si>
  <si>
    <t>Riboviria;Orthornavirae;Lenarviricota;Leviviricetes;Norzivirales;Fiersviridae;Lohngkovirus;Lohngkovirus borborovicinum</t>
  </si>
  <si>
    <t>Riboviria;Orthornavirae;Lenarviricota;Leviviricetes;Norzivirales;Fiersviridae;Brudgevirus;Brudgevirus borborovivens</t>
  </si>
  <si>
    <t>Riboviria;Orthornavirae;Lenarviricota;Leviviricetes;Norzivirales;Fiersviridae;Lohngkovirus;Lohngkovirus borborovivens</t>
  </si>
  <si>
    <t>Riboviria;Orthornavirae;Lenarviricota;Leviviricetes;Norzivirales;Fiersviridae;Brudgevirus;Brudgevirus caenadaptatum</t>
  </si>
  <si>
    <t>Riboviria;Orthornavirae;Lenarviricota;Leviviricetes;Norzivirales;Fiersviridae;Lohngkovirus;Lohngkovirus caenadaptatum</t>
  </si>
  <si>
    <t>Riboviria;Orthornavirae;Lenarviricota;Leviviricetes;Norzivirales;Fiersviridae;Brudgevirus;Brudgevirus caenenecus</t>
  </si>
  <si>
    <t>Riboviria;Orthornavirae;Lenarviricota;Leviviricetes;Norzivirales;Fiersviridae;Lohngkovirus;Lohngkovirus caenenecus</t>
  </si>
  <si>
    <t>Riboviria;Orthornavirae;Lenarviricota;Leviviricetes;Norzivirales;Fiersviridae;Brudgevirus;Brudgevirus caenicola</t>
  </si>
  <si>
    <t>Riboviria;Orthornavirae;Lenarviricota;Leviviricetes;Norzivirales;Fiersviridae;Lohngkovirus;Lohngkovirus caenicola</t>
  </si>
  <si>
    <t>Riboviria;Orthornavirae;Lenarviricota;Leviviricetes;Norzivirales;Fiersviridae;Brudgevirus;Brudgevirus defluviicola</t>
  </si>
  <si>
    <t>Riboviria;Orthornavirae;Lenarviricota;Leviviricetes;Norzivirales;Fiersviridae;Lohngkovirus;Lohngkovirus defluviicola</t>
  </si>
  <si>
    <t>Riboviria;Orthornavirae;Lenarviricota;Leviviricetes;Norzivirales;Fiersviridae;Brudgevirus;Brudgevirus humadaptatum</t>
  </si>
  <si>
    <t>Riboviria;Orthornavirae;Lenarviricota;Leviviricetes;Norzivirales;Fiersviridae;Lohngkovirus;Lohngkovirus humadaptatum</t>
  </si>
  <si>
    <t>Riboviria;Orthornavirae;Lenarviricota;Leviviricetes;Norzivirales;Fiersviridae;Mucrahivirus;Mucrahivirus geocola</t>
  </si>
  <si>
    <t>Riboviria;Orthornavirae;Lenarviricota;Leviviricetes;Norzivirales;Fiersviridae;Lowsuvirus;Lowsuvirus geocola</t>
  </si>
  <si>
    <t>Riboviria;Orthornavirae;Lenarviricota;Leviviricetes;Norzivirales;Fiersviridae;Mucrahivirus;Mucrahivirus geovicinum</t>
  </si>
  <si>
    <t>Riboviria;Orthornavirae;Lenarviricota;Leviviricetes;Norzivirales;Fiersviridae;Lowsuvirus;Lowsuvirus geovicinum</t>
  </si>
  <si>
    <t>Riboviria;Orthornavirae;Lenarviricota;Leviviricetes;Norzivirales;Fiersviridae;Mucrahivirus;Mucrahivirus geovivens</t>
  </si>
  <si>
    <t>Riboviria;Orthornavirae;Lenarviricota;Leviviricetes;Norzivirales;Fiersviridae;Lowsuvirus;Lowsuvirus geovivens</t>
  </si>
  <si>
    <t>Riboviria;Orthornavirae;Lenarviricota;Leviviricetes;Norzivirales;Fiersviridae;Sphonivirus;Sphonivirus agrivivens</t>
  </si>
  <si>
    <t>Riboviria;Orthornavirae;Lenarviricota;Leviviricetes;Norzivirales;Fiersviridae;Ludtovirus;Ludtovirus agrivivens</t>
  </si>
  <si>
    <t>Riboviria;Orthornavirae;Lenarviricota;Leviviricetes;Norzivirales;Fiersviridae;Sphonivirus;Sphonivirus chorocola</t>
  </si>
  <si>
    <t>Riboviria;Orthornavirae;Lenarviricota;Leviviricetes;Norzivirales;Fiersviridae;Ludtovirus;Ludtovirus chorocola</t>
  </si>
  <si>
    <t>Riboviria;Orthornavirae;Lenarviricota;Leviviricetes;Norzivirales;Fiersviridae;Bathrivirus;Bathrivirus terrenecus</t>
  </si>
  <si>
    <t>Riboviria;Orthornavirae;Lenarviricota;Leviviricetes;Norzivirales;Fiersviridae;Luthavirus;Luthavirus terrenecus</t>
  </si>
  <si>
    <t>Riboviria;Orthornavirae;Lenarviricota;Leviviricetes;Norzivirales;Fiersviridae;Tehdravirus;Tehdravirus arvivicinum</t>
  </si>
  <si>
    <t>Riboviria;Orthornavirae;Lenarviricota;Leviviricetes;Norzivirales;Fiersviridae;Mehraxmevirus;Mehraxmevirus arvivicinum</t>
  </si>
  <si>
    <t>Riboviria;Orthornavirae;Lenarviricota;Leviviricetes;Norzivirales;Fiersviridae;Bertavirus;Bertavirus lutihabitans</t>
  </si>
  <si>
    <t>Riboviria;Orthornavirae;Lenarviricota;Leviviricetes;Norzivirales;Fiersviridae;Mihkrovirus;Mihkrovirus lutihabitans</t>
  </si>
  <si>
    <t>Riboviria;Orthornavirae;Lenarviricota;Leviviricetes;Norzivirales;Fiersviridae;Nahrudavirus;Nahrudavirus borborovivens</t>
  </si>
  <si>
    <t>Riboviria;Orthornavirae;Lenarviricota;Leviviricetes;Norzivirales;Fiersviridae;Mintuvirus;Mintuvirus borborovivens</t>
  </si>
  <si>
    <t>Riboviria;Orthornavirae;Lenarviricota;Leviviricetes;Norzivirales;Fiersviridae;Glincaevirus;Glincaevirus pelovicinum</t>
  </si>
  <si>
    <t>Riboviria;Orthornavirae;Lenarviricota;Leviviricetes;Norzivirales;Fiersviridae;Mintuvirus;Mintuvirus pelovicinum</t>
  </si>
  <si>
    <t>Riboviria;Orthornavirae;Lenarviricota;Leviviricetes;Norzivirales;Fiersviridae;Nahjiuvirus;Nahjiuvirus borborohabitans</t>
  </si>
  <si>
    <t>Riboviria;Orthornavirae;Lenarviricota;Leviviricetes;Norzivirales;Fiersviridae;Nehwtovirus;Nehwtovirus borborohabitans</t>
  </si>
  <si>
    <t>Riboviria;Orthornavirae;Lenarviricota;Leviviricetes;Norzivirales;Fiersviridae;Kenamavirus;Kenamavirus limadaptatum</t>
  </si>
  <si>
    <t>Riboviria;Orthornavirae;Lenarviricota;Leviviricetes;Norzivirales;Fiersviridae;Nehwtovirus;Nehwtovirus limadaptatum</t>
  </si>
  <si>
    <t>Riboviria;Orthornavirae;Lenarviricota;Leviviricetes;Norzivirales;Fiersviridae;Shuravirus;Shuravirus limihabitans</t>
  </si>
  <si>
    <t>Riboviria;Orthornavirae;Lenarviricota;Leviviricetes;Norzivirales;Fiersviridae;Nohrdovirus;Nohrdovirus limihabitans</t>
  </si>
  <si>
    <t>Riboviria;Orthornavirae;Lenarviricota;Leviviricetes;Norzivirales;Fiersviridae;Noehsivirus;Noehsivirus tellurivicinum</t>
  </si>
  <si>
    <t>Riboviria;Orthornavirae;Lenarviricota;Leviviricetes;Norzivirales;Fiersviridae;Oxychlovirus;Oxychlovirus tellurivicinum</t>
  </si>
  <si>
    <t>Riboviria;Orthornavirae;Lenarviricota;Leviviricetes;Norzivirales;Fiersviridae;Noehsivirus;Noehsivirus tellurivivens</t>
  </si>
  <si>
    <t>Riboviria;Orthornavirae;Lenarviricota;Leviviricetes;Norzivirales;Fiersviridae;Oxychlovirus;Oxychlovirus tellurivivens</t>
  </si>
  <si>
    <t>Riboviria;Orthornavirae;Lenarviricota;Leviviricetes;Norzivirales;Fiersviridae;Psehatovirus;Psehatovirus edaphadaptatum</t>
  </si>
  <si>
    <t>Riboviria;Orthornavirae;Lenarviricota;Leviviricetes;Norzivirales;Fiersviridae;Radbaivirus;Radbaivirus edaphadaptatum</t>
  </si>
  <si>
    <t>Riboviria;Orthornavirae;Lenarviricota;Leviviricetes;Norzivirales;Fiersviridae;Psehatovirus;Psehatovirus edaphenecus</t>
  </si>
  <si>
    <t>Riboviria;Orthornavirae;Lenarviricota;Leviviricetes;Norzivirales;Fiersviridae;Radbaivirus;Radbaivirus edaphenecus</t>
  </si>
  <si>
    <t>Riboviria;Orthornavirae;Lenarviricota;Leviviricetes;Norzivirales;Fiersviridae;Psehatovirus;Psehatovirus edaphocola</t>
  </si>
  <si>
    <t>Riboviria;Orthornavirae;Lenarviricota;Leviviricetes;Norzivirales;Fiersviridae;Radbaivirus;Radbaivirus edaphocola</t>
  </si>
  <si>
    <t>Riboviria;Orthornavirae;Lenarviricota;Leviviricetes;Norzivirales;Fiersviridae;Psehatovirus;Psehatovirus edaphohabitans</t>
  </si>
  <si>
    <t>Riboviria;Orthornavirae;Lenarviricota;Leviviricetes;Norzivirales;Fiersviridae;Radbaivirus;Radbaivirus edaphohabitans</t>
  </si>
  <si>
    <t>Riboviria;Orthornavirae;Lenarviricota;Leviviricetes;Norzivirales;Fiersviridae;Psehatovirus;Psehatovirus edaphovicinum</t>
  </si>
  <si>
    <t>Riboviria;Orthornavirae;Lenarviricota;Leviviricetes;Norzivirales;Fiersviridae;Radbaivirus;Radbaivirus edaphovicinum</t>
  </si>
  <si>
    <t>Riboviria;Orthornavirae;Lenarviricota;Leviviricetes;Norzivirales;Fiersviridae;Psehatovirus;Psehatovirus edaphovivens</t>
  </si>
  <si>
    <t>Riboviria;Orthornavirae;Lenarviricota;Leviviricetes;Norzivirales;Fiersviridae;Radbaivirus;Radbaivirus edaphovivens</t>
  </si>
  <si>
    <t>Riboviria;Orthornavirae;Lenarviricota;Leviviricetes;Norzivirales;Fiersviridae;Dehcevirus;Dehcevirus asiohabitans</t>
  </si>
  <si>
    <t>Riboviria;Orthornavirae;Lenarviricota;Leviviricetes;Norzivirales;Fiersviridae;Saudhavirus;Saudhavirus asiohabitans</t>
  </si>
  <si>
    <t>Riboviria;Orthornavirae;Lenarviricota;Leviviricetes;Norzivirales;Fiersviridae;Lulohlevirus;Lulohlevirus edaphohabitans</t>
  </si>
  <si>
    <t>Riboviria;Orthornavirae;Lenarviricota;Leviviricetes;Norzivirales;Fiersviridae;Shihovirus;Shihovirus edaphohabitans</t>
  </si>
  <si>
    <t>Riboviria;Orthornavirae;Lenarviricota;Leviviricetes;Norzivirales;Fiersviridae;Wahtavirus;Wahtavirus luticola</t>
  </si>
  <si>
    <t>Riboviria;Orthornavirae;Lenarviricota;Leviviricetes;Norzivirales;Fiersviridae;Tenwovirus;Tenwovirus luticola</t>
  </si>
  <si>
    <t>Riboviria;Orthornavirae;Lenarviricota;Leviviricetes;Norzivirales;Fiersviridae;Creshivirus;Creshivirus pelohabitans</t>
  </si>
  <si>
    <t>Riboviria;Orthornavirae;Lenarviricota;Leviviricetes;Norzivirales;Fiersviridae;Tenwovirus;Tenwovirus pelohabitans</t>
  </si>
  <si>
    <t>Riboviria;Orthornavirae;Lenarviricota;Leviviricetes;Norzivirales;Fiersviridae;Dehcevirus;Dehcevirus asiovicinum</t>
  </si>
  <si>
    <t>Riboviria;Orthornavirae;Lenarviricota;Leviviricetes;Norzivirales;Fiersviridae;Trotivirus;Trotivirus asiovicinum</t>
  </si>
  <si>
    <t>Riboviria;Orthornavirae;Lenarviricota;Leviviricetes;Norzivirales;Fiersviridae;Monamovirus;Monamovirus asiovicinum</t>
  </si>
  <si>
    <t>Riboviria;Orthornavirae;Lenarviricota;Leviviricetes;Norzivirales;Fiersviridae;Trotivirus;Trotivirus neoasiovicinum</t>
  </si>
  <si>
    <t>Riboviria;Orthornavirae;Lenarviricota;Leviviricetes;Norzivirales;Fiersviridae;Dehcevirus;Dehcevirus soladaptatum</t>
  </si>
  <si>
    <t>Riboviria;Orthornavirae;Lenarviricota;Leviviricetes;Norzivirales;Fiersviridae;Trotivirus;Trotivirus soladaptatum</t>
  </si>
  <si>
    <t>Riboviria;Orthornavirae;Lenarviricota;Leviviricetes;Norzivirales;Fiersviridae;Vinehtivirus;Vinehtivirus limenecus</t>
  </si>
  <si>
    <t>Riboviria;Orthornavirae;Lenarviricota;Leviviricetes;Norzivirales;Fiersviridae;Tysohivirus;Tysohivirus limenecus</t>
  </si>
  <si>
    <t>Riboviria;Orthornavirae;Lenarviricota;Leviviricetes;Norzivirales;Fiersviridae;Pipunevirus;Pipunevirus borborohabitans</t>
  </si>
  <si>
    <t>Riboviria;Orthornavirae;Lenarviricota;Leviviricetes;Norzivirales;Fiersviridae;Ulinhavirus;Ulinhavirus borborohabitans</t>
  </si>
  <si>
    <t>Riboviria;Orthornavirae;Lenarviricota;Leviviricetes;Norzivirales;Fiersviridae;Pipunevirus;Pipunevirus borborovicinum</t>
  </si>
  <si>
    <t>Riboviria;Orthornavirae;Lenarviricota;Leviviricetes;Norzivirales;Fiersviridae;Ulinhavirus;Ulinhavirus borborovicinum</t>
  </si>
  <si>
    <t>Riboviria;Orthornavirae;Lenarviricota;Leviviricetes;Norzivirales;Fiersviridae;Pipunevirus;Pipunevirus borborovivens</t>
  </si>
  <si>
    <t>Riboviria;Orthornavirae;Lenarviricota;Leviviricetes;Norzivirales;Fiersviridae;Ulinhavirus;Ulinhavirus borborovivens</t>
  </si>
  <si>
    <t>Riboviria;Orthornavirae;Lenarviricota;Leviviricetes;Norzivirales;Fiersviridae;Boloprevirus;Boloprevirus asiovicinum</t>
  </si>
  <si>
    <t>Riboviria;Orthornavirae;Lenarviricota;Leviviricetes;Norzivirales;Fiersviridae;Upborqevirus;Upborqevirus asiovicinum</t>
  </si>
  <si>
    <t>Riboviria;Orthornavirae;Lenarviricota;Leviviricetes;Norzivirales;Fiersviridae;Boloprevirus;Boloprevirus asiovivens</t>
  </si>
  <si>
    <t>Riboviria;Orthornavirae;Lenarviricota;Leviviricetes;Norzivirales;Fiersviridae;Upborqevirus;Upborqevirus asiovivens</t>
  </si>
  <si>
    <t>Riboviria;Orthornavirae;Lenarviricota;Leviviricetes;Norzivirales;Fiersviridae;Adahivirus;Adahivirus asienecus</t>
  </si>
  <si>
    <t>Riboviria;Orthornavirae;Lenarviricota;Leviviricetes;Norzivirales;Fiersviridae;Yahnavirus;Yahnavirus asienecus</t>
  </si>
  <si>
    <t>Riboviria;Orthornavirae;Lenarviricota;Leviviricetes;Norzivirales;Solspiviridae;Intasivirus;Intasivirus tellurivivens</t>
  </si>
  <si>
    <t>Riboviria;Orthornavirae;Lenarviricota;Leviviricetes;Norzivirales;Solspiviridae;Upirshuvirus;Upirshuvirus tellurivivens</t>
  </si>
  <si>
    <t>Riboviria;Orthornavirae;Lenarviricota;Leviviricetes;Norzivirales;Solspiviridae;Intasivirus;Intasivirus terradaptatum</t>
  </si>
  <si>
    <t>Riboviria;Orthornavirae;Lenarviricota;Leviviricetes;Norzivirales;Solspiviridae;Upirshuvirus;Upirshuvirus terradaptatum</t>
  </si>
  <si>
    <t>Riboviria;Orthornavirae;Lenarviricota;Leviviricetes;Norzivirales;Solspiviridae;Intasivirus;Intasivirus terricola</t>
  </si>
  <si>
    <t>Riboviria;Orthornavirae;Lenarviricota;Leviviricetes;Norzivirales;Solspiviridae;Upirshuvirus;Upirshuvirus terricola</t>
  </si>
  <si>
    <t>Riboviria;Orthornavirae;Lenarviricota;Leviviricetes;Norzivirales;Solspiviridae;Alohrdovirus;Alohrdovirus borborenecus</t>
  </si>
  <si>
    <t>Riboviria;Orthornavirae;Lenarviricota;Leviviricetes;Norzivirales;Solspiviridae;Wahlkovirus;Wahlkovirus borborenecus</t>
  </si>
  <si>
    <t>Riboviria;Orthornavirae;Lenarviricota;Leviviricetes;Norzivirales;Solspiviridae;Intasivirus;Intasivirus terrenecus</t>
  </si>
  <si>
    <t>Riboviria;Orthornavirae;Lenarviricota;Leviviricetes;Norzivirales;Solspiviridae;Wahlkovirus;Wahlkovirus terrenecus</t>
  </si>
  <si>
    <t>Riboviria;Orthornavirae;Lenarviricota;Leviviricetes;Norzivirales;Solspiviridae;Intasivirus;Intasivirus peladaptatum</t>
  </si>
  <si>
    <t>Riboviria;Orthornavirae;Lenarviricota;Leviviricetes;Norzivirales;Solspiviridae;Whahdcavirus;Whahdcavirus peladaptatum</t>
  </si>
  <si>
    <t>Riboviria;Orthornavirae;Lenarviricota;Leviviricetes;Timlovirales;Blumeviridae;Tinebovirus;Tinebovirus borborenecus</t>
  </si>
  <si>
    <t>Riboviria;Orthornavirae;Lenarviricota;Leviviricetes;Timlovirales;Blumeviridae;Pacehavirus;Pacehavirus borborenecus</t>
  </si>
  <si>
    <t>Riboviria;Orthornavirae;Lenarviricota;Leviviricetes;Timlovirales;Steitzviridae;Kyanivirus;Kyanivirus asiadaptatum</t>
  </si>
  <si>
    <t>Riboviria;Orthornavirae;Lenarviricota;Leviviricetes;Timlovirales;Steitzviridae;Alehxovirus;Alehxovirus asiadaptatum</t>
  </si>
  <si>
    <t>Riboviria;Orthornavirae;Lenarviricota;Leviviricetes;Timlovirales;Steitzviridae;Erimutivirus;Erimutivirus chthonovicinum</t>
  </si>
  <si>
    <t>Riboviria;Orthornavirae;Lenarviricota;Leviviricetes;Timlovirales;Steitzviridae;Alehxovirus;Alehxovirus chthonovicinum</t>
  </si>
  <si>
    <t>Riboviria;Orthornavirae;Lenarviricota;Leviviricetes;Timlovirales;Steitzviridae;Arpirivirus;Arpirivirus pedenecus</t>
  </si>
  <si>
    <t>Riboviria;Orthornavirae;Lenarviricota;Leviviricetes;Timlovirales;Steitzviridae;Alehxovirus;Alehxovirus pedenecus</t>
  </si>
  <si>
    <t>Riboviria;Orthornavirae;Lenarviricota;Leviviricetes;Timlovirales;Steitzviridae;Arpirivirus;Arpirivirus pedohabitans</t>
  </si>
  <si>
    <t>Riboviria;Orthornavirae;Lenarviricota;Leviviricetes;Timlovirales;Steitzviridae;Alehxovirus;Alehxovirus pedohabitans</t>
  </si>
  <si>
    <t>Riboviria;Orthornavirae;Lenarviricota;Leviviricetes;Timlovirales;Steitzviridae;Kyanivirus;Kyanivirus pelovivens</t>
  </si>
  <si>
    <t>Riboviria;Orthornavirae;Lenarviricota;Leviviricetes;Timlovirales;Steitzviridae;Alehxovirus;Alehxovirus pelovivens</t>
  </si>
  <si>
    <t>Riboviria;Orthornavirae;Lenarviricota;Leviviricetes;Timlovirales;Steitzviridae;Nihlwovirus;Nihlwovirus limicola</t>
  </si>
  <si>
    <t>Riboviria;Orthornavirae;Lenarviricota;Leviviricetes;Timlovirales;Steitzviridae;Austrovirus;Austrovirus limicola</t>
  </si>
  <si>
    <t>Riboviria;Orthornavirae;Lenarviricota;Leviviricetes;Timlovirales;Steitzviridae;Kecijavirus;Kecijavirus borborocola</t>
  </si>
  <si>
    <t>Riboviria;Orthornavirae;Lenarviricota;Leviviricetes;Timlovirales;Steitzviridae;Bicehmovirus;Bicehmovirus borborocola</t>
  </si>
  <si>
    <t>Riboviria;Orthornavirae;Lenarviricota;Leviviricetes;Timlovirales;Steitzviridae;Psouhdivirus;Psouhdivirus caenivivens</t>
  </si>
  <si>
    <t>Riboviria;Orthornavirae;Lenarviricota;Leviviricetes;Timlovirales;Steitzviridae;Bicehmovirus;Bicehmovirus caenivivens</t>
  </si>
  <si>
    <t>Riboviria;Orthornavirae;Lenarviricota;Leviviricetes;Timlovirales;Steitzviridae;Psouhdivirus;Psouhdivirus limadaptatum</t>
  </si>
  <si>
    <t>Riboviria;Orthornavirae;Lenarviricota;Leviviricetes;Timlovirales;Steitzviridae;Bicehmovirus;Bicehmovirus limadaptatum</t>
  </si>
  <si>
    <t>Riboviria;Orthornavirae;Lenarviricota;Leviviricetes;Timlovirales;Steitzviridae;Psouhdivirus;Psouhdivirus limenecus</t>
  </si>
  <si>
    <t>Riboviria;Orthornavirae;Lenarviricota;Leviviricetes;Timlovirales;Steitzviridae;Bicehmovirus;Bicehmovirus limenecus</t>
  </si>
  <si>
    <t>Riboviria;Orthornavirae;Lenarviricota;Leviviricetes;Timlovirales;Steitzviridae;Psouhdivirus;Psouhdivirus limicola</t>
  </si>
  <si>
    <t>Riboviria;Orthornavirae;Lenarviricota;Leviviricetes;Timlovirales;Steitzviridae;Bicehmovirus;Bicehmovirus limicola</t>
  </si>
  <si>
    <t>Riboviria;Orthornavirae;Lenarviricota;Leviviricetes;Timlovirales;Steitzviridae;Psouhdivirus;Psouhdivirus limihabitans</t>
  </si>
  <si>
    <t>Riboviria;Orthornavirae;Lenarviricota;Leviviricetes;Timlovirales;Steitzviridae;Bicehmovirus;Bicehmovirus limihabitans</t>
  </si>
  <si>
    <t>Riboviria;Orthornavirae;Lenarviricota;Leviviricetes;Timlovirales;Steitzviridae;Chorovirus;Chorovirus peladaptatum</t>
  </si>
  <si>
    <t>Riboviria;Orthornavirae;Lenarviricota;Leviviricetes;Timlovirales;Steitzviridae;Bicehmovirus;Bicehmovirus neopeladaptatum</t>
  </si>
  <si>
    <t>Riboviria;Orthornavirae;Lenarviricota;Leviviricetes;Timlovirales;Steitzviridae;Psouhdivirus;Psouhdivirus pedohabitans</t>
  </si>
  <si>
    <t>Riboviria;Orthornavirae;Lenarviricota;Leviviricetes;Timlovirales;Steitzviridae;Bicehmovirus;Bicehmovirus pedohabitans</t>
  </si>
  <si>
    <t>Riboviria;Orthornavirae;Lenarviricota;Leviviricetes;Timlovirales;Steitzviridae;Psouhdivirus;Psouhdivirus pedovicinum</t>
  </si>
  <si>
    <t>Riboviria;Orthornavirae;Lenarviricota;Leviviricetes;Timlovirales;Steitzviridae;Bicehmovirus;Bicehmovirus pedovicinum</t>
  </si>
  <si>
    <t>Riboviria;Orthornavirae;Lenarviricota;Leviviricetes;Timlovirales;Steitzviridae;Abakapovirus;Abakapovirus asiadaptatum</t>
  </si>
  <si>
    <t>Riboviria;Orthornavirae;Lenarviricota;Leviviricetes;Timlovirales;Steitzviridae;Bihckevirus;Bihckevirus asiadaptatum</t>
  </si>
  <si>
    <t>Riboviria;Orthornavirae;Lenarviricota;Leviviricetes;Timlovirales;Steitzviridae;Cunarovirus;Cunarovirus pelovicinum</t>
  </si>
  <si>
    <t>Riboviria;Orthornavirae;Lenarviricota;Leviviricetes;Timlovirales;Steitzviridae;Bushwuavirus;Bushwuavirus pelovicinum</t>
  </si>
  <si>
    <t>Riboviria;Orthornavirae;Lenarviricota;Leviviricetes;Timlovirales;Steitzviridae;Nihlwovirus;Nihlwovirus limenecus</t>
  </si>
  <si>
    <t>Riboviria;Orthornavirae;Lenarviricota;Leviviricetes;Timlovirales;Steitzviridae;Churkhuvirus;Churkhuvirus limenecus</t>
  </si>
  <si>
    <t>Riboviria;Orthornavirae;Lenarviricota;Leviviricetes;Timlovirales;Steitzviridae;Arctuvirus;Arctuvirus arvivicinum</t>
  </si>
  <si>
    <t>Riboviria;Orthornavirae;Lenarviricota;Leviviricetes;Timlovirales;Steitzviridae;Eerlswavirus;Eerlswavirus arvivicinum</t>
  </si>
  <si>
    <t>Riboviria;Orthornavirae;Lenarviricota;Leviviricetes;Timlovirales;Steitzviridae;Arctuvirus;Arctuvirus edaphadaptatum</t>
  </si>
  <si>
    <t>Riboviria;Orthornavirae;Lenarviricota;Leviviricetes;Timlovirales;Steitzviridae;Eerlswavirus;Eerlswavirus edaphadaptatum</t>
  </si>
  <si>
    <t>Riboviria;Orthornavirae;Lenarviricota;Leviviricetes;Timlovirales;Steitzviridae;Arctuvirus;Arctuvirus pedadaptatum</t>
  </si>
  <si>
    <t>Riboviria;Orthornavirae;Lenarviricota;Leviviricetes;Timlovirales;Steitzviridae;Eerlswavirus;Eerlswavirus pedadaptatum</t>
  </si>
  <si>
    <t>Riboviria;Orthornavirae;Lenarviricota;Leviviricetes;Timlovirales;Steitzviridae;Chlurivirus;Chlurivirus chorocola</t>
  </si>
  <si>
    <t>Riboviria;Orthornavirae;Lenarviricota;Leviviricetes;Timlovirales;Steitzviridae;Garnievirus;Garnievirus chorocola</t>
  </si>
  <si>
    <t>Riboviria;Orthornavirae;Lenarviricota;Leviviricetes;Timlovirales;Steitzviridae;Pepusduvirus;Pepusduvirus humivivens</t>
  </si>
  <si>
    <t>Riboviria;Orthornavirae;Lenarviricota;Leviviricetes;Timlovirales;Steitzviridae;Garnievirus;Garnievirus humivivens</t>
  </si>
  <si>
    <t>Riboviria;Orthornavirae;Lenarviricota;Leviviricetes;Timlovirales;Steitzviridae;Aphenovirus;Aphenovirus arvadaptatum</t>
  </si>
  <si>
    <t>Riboviria;Orthornavirae;Lenarviricota;Leviviricetes;Timlovirales;Steitzviridae;Gihfavirus;Gihfavirus arvadaptatum</t>
  </si>
  <si>
    <t>Riboviria;Orthornavirae;Lenarviricota;Leviviricetes;Timlovirales;Steitzviridae;Aphenovirus;Aphenovirus arvicola</t>
  </si>
  <si>
    <t>Riboviria;Orthornavirae;Lenarviricota;Leviviricetes;Timlovirales;Steitzviridae;Gihfavirus;Gihfavirus arvicola</t>
  </si>
  <si>
    <t>Riboviria;Orthornavirae;Lenarviricota;Leviviricetes;Timlovirales;Steitzviridae;Aphenovirus;Aphenovirus chorovivens</t>
  </si>
  <si>
    <t>Riboviria;Orthornavirae;Lenarviricota;Leviviricetes;Timlovirales;Steitzviridae;Gihfavirus;Gihfavirus chorovivens</t>
  </si>
  <si>
    <t>Riboviria;Orthornavirae;Lenarviricota;Leviviricetes;Timlovirales;Steitzviridae;Weheuvirus;Weheuvirus chthonadaptatum</t>
  </si>
  <si>
    <t>Riboviria;Orthornavirae;Lenarviricota;Leviviricetes;Timlovirales;Steitzviridae;Giliycovirus;Giliycovirus chthonadaptatum</t>
  </si>
  <si>
    <t>Riboviria;Orthornavirae;Lenarviricota;Leviviricetes;Timlovirales;Steitzviridae;Weheuvirus;Weheuvirus chthonenecus</t>
  </si>
  <si>
    <t>Riboviria;Orthornavirae;Lenarviricota;Leviviricetes;Timlovirales;Steitzviridae;Giliycovirus;Giliycovirus chthonenecus</t>
  </si>
  <si>
    <t>Riboviria;Orthornavirae;Lenarviricota;Leviviricetes;Timlovirales;Steitzviridae;Weheuvirus;Weheuvirus chthonohabitans</t>
  </si>
  <si>
    <t>Riboviria;Orthornavirae;Lenarviricota;Leviviricetes;Timlovirales;Steitzviridae;Giliycovirus;Giliycovirus chthonohabitans</t>
  </si>
  <si>
    <t>Riboviria;Orthornavirae;Lenarviricota;Leviviricetes;Timlovirales;Steitzviridae;Weheuvirus;Weheuvirus chthonovicinum</t>
  </si>
  <si>
    <t>Riboviria;Orthornavirae;Lenarviricota;Leviviricetes;Timlovirales;Steitzviridae;Giliycovirus;Giliycovirus chthonovicinum</t>
  </si>
  <si>
    <t>Riboviria;Orthornavirae;Lenarviricota;Leviviricetes;Timlovirales;Steitzviridae;Weheuvirus;Weheuvirus chthonovivens</t>
  </si>
  <si>
    <t>Riboviria;Orthornavirae;Lenarviricota;Leviviricetes;Timlovirales;Steitzviridae;Giliycovirus;Giliycovirus chthonovivens</t>
  </si>
  <si>
    <t>Riboviria;Orthornavirae;Lenarviricota;Leviviricetes;Timlovirales;Steitzviridae;Weheuvirus;Weheuvirus geoadaptatum</t>
  </si>
  <si>
    <t>Riboviria;Orthornavirae;Lenarviricota;Leviviricetes;Timlovirales;Steitzviridae;Giliycovirus;Giliycovirus geoadaptatum</t>
  </si>
  <si>
    <t>Riboviria;Orthornavirae;Lenarviricota;Leviviricetes;Timlovirales;Steitzviridae;Weheuvirus;Weheuvirus geocola</t>
  </si>
  <si>
    <t>Riboviria;Orthornavirae;Lenarviricota;Leviviricetes;Timlovirales;Steitzviridae;Giliycovirus;Giliycovirus geocola</t>
  </si>
  <si>
    <t>Riboviria;Orthornavirae;Lenarviricota;Leviviricetes;Timlovirales;Steitzviridae;Weheuvirus;Weheuvirus geohabitans</t>
  </si>
  <si>
    <t>Riboviria;Orthornavirae;Lenarviricota;Leviviricetes;Timlovirales;Steitzviridae;Giliycovirus;Giliycovirus geohabitans</t>
  </si>
  <si>
    <t>Riboviria;Orthornavirae;Lenarviricota;Leviviricetes;Timlovirales;Steitzviridae;Weheuvirus;Weheuvirus geovicinum</t>
  </si>
  <si>
    <t>Riboviria;Orthornavirae;Lenarviricota;Leviviricetes;Timlovirales;Steitzviridae;Giliycovirus;Giliycovirus geovicinum</t>
  </si>
  <si>
    <t>Riboviria;Orthornavirae;Lenarviricota;Leviviricetes;Timlovirales;Steitzviridae;Weheuvirus;Weheuvirus geovivens</t>
  </si>
  <si>
    <t>Riboviria;Orthornavirae;Lenarviricota;Leviviricetes;Timlovirales;Steitzviridae;Giliycovirus;Giliycovirus geovivens</t>
  </si>
  <si>
    <t>Riboviria;Orthornavirae;Lenarviricota;Leviviricetes;Timlovirales;Steitzviridae;Weheuvirus;Weheuvirus lutivicinum</t>
  </si>
  <si>
    <t>Riboviria;Orthornavirae;Lenarviricota;Leviviricetes;Timlovirales;Steitzviridae;Giliycovirus;Giliycovirus lutivicinum</t>
  </si>
  <si>
    <t>Riboviria;Orthornavirae;Lenarviricota;Leviviricetes;Timlovirales;Steitzviridae;Weheuvirus;Weheuvirus lutivivens</t>
  </si>
  <si>
    <t>Riboviria;Orthornavirae;Lenarviricota;Leviviricetes;Timlovirales;Steitzviridae;Giliycovirus;Giliycovirus lutivivens</t>
  </si>
  <si>
    <t>Riboviria;Orthornavirae;Lenarviricota;Leviviricetes;Timlovirales;Steitzviridae;Weheuvirus;Weheuvirus paludicola</t>
  </si>
  <si>
    <t>Riboviria;Orthornavirae;Lenarviricota;Leviviricetes;Timlovirales;Steitzviridae;Giliycovirus;Giliycovirus paludicola</t>
  </si>
  <si>
    <t>Riboviria;Orthornavirae;Lenarviricota;Leviviricetes;Timlovirales;Steitzviridae;Weheuvirus;Weheuvirus peladaptatum</t>
  </si>
  <si>
    <t>Riboviria;Orthornavirae;Lenarviricota;Leviviricetes;Timlovirales;Steitzviridae;Giliycovirus;Giliycovirus peladaptatum</t>
  </si>
  <si>
    <t>Riboviria;Orthornavirae;Lenarviricota;Leviviricetes;Timlovirales;Steitzviridae;Weheuvirus;Weheuvirus pelenecus</t>
  </si>
  <si>
    <t>Riboviria;Orthornavirae;Lenarviricota;Leviviricetes;Timlovirales;Steitzviridae;Giliycovirus;Giliycovirus pelenecus</t>
  </si>
  <si>
    <t>Riboviria;Orthornavirae;Lenarviricota;Leviviricetes;Timlovirales;Steitzviridae;Weheuvirus;Weheuvirus pelocola</t>
  </si>
  <si>
    <t>Riboviria;Orthornavirae;Lenarviricota;Leviviricetes;Timlovirales;Steitzviridae;Giliycovirus;Giliycovirus pelocola</t>
  </si>
  <si>
    <t>Riboviria;Orthornavirae;Lenarviricota;Leviviricetes;Timlovirales;Steitzviridae;Weheuvirus;Weheuvirus solihabitans</t>
  </si>
  <si>
    <t>Riboviria;Orthornavirae;Lenarviricota;Leviviricetes;Timlovirales;Steitzviridae;Giliycovirus;Giliycovirus solihabitans</t>
  </si>
  <si>
    <t>Riboviria;Orthornavirae;Lenarviricota;Leviviricetes;Timlovirales;Steitzviridae;Weheuvirus;Weheuvirus solivivens</t>
  </si>
  <si>
    <t>Riboviria;Orthornavirae;Lenarviricota;Leviviricetes;Timlovirales;Steitzviridae;Giliycovirus;Giliycovirus solivivens</t>
  </si>
  <si>
    <t>Riboviria;Orthornavirae;Lenarviricota;Leviviricetes;Timlovirales;Steitzviridae;Weheuvirus;Weheuvirus telluradaptatum</t>
  </si>
  <si>
    <t>Riboviria;Orthornavirae;Lenarviricota;Leviviricetes;Timlovirales;Steitzviridae;Giliycovirus;Giliycovirus telluradaptatum</t>
  </si>
  <si>
    <t>Riboviria;Orthornavirae;Lenarviricota;Leviviricetes;Timlovirales;Steitzviridae;Weheuvirus;Weheuvirus tellurenecus</t>
  </si>
  <si>
    <t>Riboviria;Orthornavirae;Lenarviricota;Leviviricetes;Timlovirales;Steitzviridae;Giliycovirus;Giliycovirus tellurenecus</t>
  </si>
  <si>
    <t>Riboviria;Orthornavirae;Lenarviricota;Leviviricetes;Timlovirales;Steitzviridae;Weheuvirus;Weheuvirus telluricola</t>
  </si>
  <si>
    <t>Riboviria;Orthornavirae;Lenarviricota;Leviviricetes;Timlovirales;Steitzviridae;Giliycovirus;Giliycovirus telluricola</t>
  </si>
  <si>
    <t>Riboviria;Orthornavirae;Lenarviricota;Leviviricetes;Timlovirales;Steitzviridae;Weheuvirus;Weheuvirus tellurihabitans</t>
  </si>
  <si>
    <t>Riboviria;Orthornavirae;Lenarviricota;Leviviricetes;Timlovirales;Steitzviridae;Giliycovirus;Giliycovirus tellurihabitans</t>
  </si>
  <si>
    <t>Riboviria;Orthornavirae;Lenarviricota;Leviviricetes;Timlovirales;Steitzviridae;Weheuvirus;Weheuvirus tellurivicinum</t>
  </si>
  <si>
    <t>Riboviria;Orthornavirae;Lenarviricota;Leviviricetes;Timlovirales;Steitzviridae;Giliycovirus;Giliycovirus tellurivicinum</t>
  </si>
  <si>
    <t>Riboviria;Orthornavirae;Lenarviricota;Leviviricetes;Timlovirales;Steitzviridae;Weheuvirus;Weheuvirus tellurivivens</t>
  </si>
  <si>
    <t>Riboviria;Orthornavirae;Lenarviricota;Leviviricetes;Timlovirales;Steitzviridae;Giliycovirus;Giliycovirus tellurivivens</t>
  </si>
  <si>
    <t>Riboviria;Orthornavirae;Lenarviricota;Leviviricetes;Timlovirales;Steitzviridae;Weheuvirus;Weheuvirus terradaptatum</t>
  </si>
  <si>
    <t>Riboviria;Orthornavirae;Lenarviricota;Leviviricetes;Timlovirales;Steitzviridae;Giliycovirus;Giliycovirus terradaptatum</t>
  </si>
  <si>
    <t>Riboviria;Orthornavirae;Lenarviricota;Leviviricetes;Timlovirales;Steitzviridae;Weheuvirus;Weheuvirus terrenecus</t>
  </si>
  <si>
    <t>Riboviria;Orthornavirae;Lenarviricota;Leviviricetes;Timlovirales;Steitzviridae;Giliycovirus;Giliycovirus terrenecus</t>
  </si>
  <si>
    <t>Riboviria;Orthornavirae;Lenarviricota;Leviviricetes;Timlovirales;Steitzviridae;Weheuvirus;Weheuvirus terricola</t>
  </si>
  <si>
    <t>Riboviria;Orthornavirae;Lenarviricota;Leviviricetes;Timlovirales;Steitzviridae;Giliycovirus;Giliycovirus terricola</t>
  </si>
  <si>
    <t>Riboviria;Orthornavirae;Lenarviricota;Leviviricetes;Timlovirales;Steitzviridae;Weheuvirus;Weheuvirus terrihabitans</t>
  </si>
  <si>
    <t>Riboviria;Orthornavirae;Lenarviricota;Leviviricetes;Timlovirales;Steitzviridae;Giliycovirus;Giliycovirus terrihabitans</t>
  </si>
  <si>
    <t>Riboviria;Orthornavirae;Lenarviricota;Leviviricetes;Timlovirales;Steitzviridae;Weheuvirus;Weheuvirus terrivicinum</t>
  </si>
  <si>
    <t>Riboviria;Orthornavirae;Lenarviricota;Leviviricetes;Timlovirales;Steitzviridae;Giliycovirus;Giliycovirus terrivicinum</t>
  </si>
  <si>
    <t>Riboviria;Orthornavirae;Lenarviricota;Leviviricetes;Timlovirales;Steitzviridae;Gredihovirus;Gredihovirus agradaptatum</t>
  </si>
  <si>
    <t>Riboviria;Orthornavirae;Lenarviricota;Leviviricetes;Timlovirales;Steitzviridae;Hodnevirus;Hodnevirus agradaptatum</t>
  </si>
  <si>
    <t>Riboviria;Orthornavirae;Lenarviricota;Leviviricetes;Timlovirales;Steitzviridae;Gredihovirus;Gredihovirus agrenecus</t>
  </si>
  <si>
    <t>Riboviria;Orthornavirae;Lenarviricota;Leviviricetes;Timlovirales;Steitzviridae;Hodnevirus;Hodnevirus agrenecus</t>
  </si>
  <si>
    <t>Riboviria;Orthornavirae;Lenarviricota;Leviviricetes;Timlovirales;Steitzviridae;Catindovirus;Catindovirus agricola</t>
  </si>
  <si>
    <t>Riboviria;Orthornavirae;Lenarviricota;Leviviricetes;Timlovirales;Steitzviridae;Hodnevirus;Hodnevirus agricola</t>
  </si>
  <si>
    <t>Riboviria;Orthornavirae;Lenarviricota;Leviviricetes;Timlovirales;Steitzviridae;Gredihovirus;Gredihovirus agrihabitans</t>
  </si>
  <si>
    <t>Riboviria;Orthornavirae;Lenarviricota;Leviviricetes;Timlovirales;Steitzviridae;Hodnevirus;Hodnevirus agrihabitans</t>
  </si>
  <si>
    <t>Riboviria;Orthornavirae;Lenarviricota;Leviviricetes;Timlovirales;Steitzviridae;Gredihovirus;Gredihovirus agrivicinum</t>
  </si>
  <si>
    <t>Riboviria;Orthornavirae;Lenarviricota;Leviviricetes;Timlovirales;Steitzviridae;Hodnevirus;Hodnevirus agrivicinum</t>
  </si>
  <si>
    <t>Riboviria;Orthornavirae;Lenarviricota;Leviviricetes;Timlovirales;Steitzviridae;Gredihovirus;Gredihovirus agrivivens</t>
  </si>
  <si>
    <t>Riboviria;Orthornavirae;Lenarviricota;Leviviricetes;Timlovirales;Steitzviridae;Hodnevirus;Hodnevirus agrivivens</t>
  </si>
  <si>
    <t>Riboviria;Orthornavirae;Lenarviricota;Leviviricetes;Timlovirales;Steitzviridae;Cohrdavirus;Cohrdavirus arvadaptatum</t>
  </si>
  <si>
    <t>Riboviria;Orthornavirae;Lenarviricota;Leviviricetes;Timlovirales;Steitzviridae;Hodnevirus;Hodnevirus arvadaptatum</t>
  </si>
  <si>
    <t>Riboviria;Orthornavirae;Lenarviricota;Leviviricetes;Timlovirales;Steitzviridae;Gredihovirus;Gredihovirus arvenecus</t>
  </si>
  <si>
    <t>Riboviria;Orthornavirae;Lenarviricota;Leviviricetes;Timlovirales;Steitzviridae;Hodnevirus;Hodnevirus arvenecus</t>
  </si>
  <si>
    <t>Riboviria;Orthornavirae;Lenarviricota;Leviviricetes;Timlovirales;Steitzviridae;Gredihovirus;Gredihovirus arvicola</t>
  </si>
  <si>
    <t>Riboviria;Orthornavirae;Lenarviricota;Leviviricetes;Timlovirales;Steitzviridae;Hodnevirus;Hodnevirus arvicola</t>
  </si>
  <si>
    <t>Riboviria;Orthornavirae;Lenarviricota;Leviviricetes;Timlovirales;Steitzviridae;Gredihovirus;Gredihovirus arvihabitans</t>
  </si>
  <si>
    <t>Riboviria;Orthornavirae;Lenarviricota;Leviviricetes;Timlovirales;Steitzviridae;Hodnevirus;Hodnevirus arvihabitans</t>
  </si>
  <si>
    <t>Riboviria;Orthornavirae;Lenarviricota;Leviviricetes;Timlovirales;Steitzviridae;Gredihovirus;Gredihovirus arvivicinum</t>
  </si>
  <si>
    <t>Riboviria;Orthornavirae;Lenarviricota;Leviviricetes;Timlovirales;Steitzviridae;Hodnevirus;Hodnevirus arvivicinum</t>
  </si>
  <si>
    <t>Riboviria;Orthornavirae;Lenarviricota;Leviviricetes;Timlovirales;Steitzviridae;Arctuvirus;Arctuvirus arvivivens</t>
  </si>
  <si>
    <t>Riboviria;Orthornavirae;Lenarviricota;Leviviricetes;Timlovirales;Steitzviridae;Hodnevirus;Hodnevirus arvivivens</t>
  </si>
  <si>
    <t>Riboviria;Orthornavirae;Lenarviricota;Leviviricetes;Timlovirales;Steitzviridae;Jiforsuvirus;Jiforsuvirus asiadaptatum</t>
  </si>
  <si>
    <t>Riboviria;Orthornavirae;Lenarviricota;Leviviricetes;Timlovirales;Steitzviridae;Hodnevirus;Hodnevirus asiadaptatum</t>
  </si>
  <si>
    <t>Riboviria;Orthornavirae;Lenarviricota;Leviviricetes;Timlovirales;Steitzviridae;Gredihovirus;Gredihovirus asienecus</t>
  </si>
  <si>
    <t>Riboviria;Orthornavirae;Lenarviricota;Leviviricetes;Timlovirales;Steitzviridae;Hodnevirus;Hodnevirus asienecus</t>
  </si>
  <si>
    <t>Riboviria;Orthornavirae;Lenarviricota;Leviviricetes;Timlovirales;Steitzviridae;Setohruvirus;Setohruvirus borborocola</t>
  </si>
  <si>
    <t>Riboviria;Orthornavirae;Lenarviricota;Leviviricetes;Timlovirales;Steitzviridae;Hodnevirus;Hodnevirus borborocola</t>
  </si>
  <si>
    <t>Riboviria;Orthornavirae;Lenarviricota;Leviviricetes;Timlovirales;Steitzviridae;Lyndovirus;Lyndovirus caenivicinum</t>
  </si>
  <si>
    <t>Riboviria;Orthornavirae;Lenarviricota;Leviviricetes;Timlovirales;Steitzviridae;Hodnevirus;Hodnevirus caenivicinum</t>
  </si>
  <si>
    <t>Riboviria;Orthornavirae;Lenarviricota;Leviviricetes;Timlovirales;Steitzviridae;Gredihovirus;Gredihovirus choradaptatum</t>
  </si>
  <si>
    <t>Riboviria;Orthornavirae;Lenarviricota;Leviviricetes;Timlovirales;Steitzviridae;Hodnevirus;Hodnevirus choradaptatum</t>
  </si>
  <si>
    <t>Riboviria;Orthornavirae;Lenarviricota;Leviviricetes;Timlovirales;Steitzviridae;Gredihovirus;Gredihovirus chorenecus</t>
  </si>
  <si>
    <t>Riboviria;Orthornavirae;Lenarviricota;Leviviricetes;Timlovirales;Steitzviridae;Hodnevirus;Hodnevirus chorenecus</t>
  </si>
  <si>
    <t>Riboviria;Orthornavirae;Lenarviricota;Leviviricetes;Timlovirales;Steitzviridae;Gredihovirus;Gredihovirus chorocola</t>
  </si>
  <si>
    <t>Riboviria;Orthornavirae;Lenarviricota;Leviviricetes;Timlovirales;Steitzviridae;Hodnevirus;Hodnevirus chorocola</t>
  </si>
  <si>
    <t>Riboviria;Orthornavirae;Lenarviricota;Leviviricetes;Timlovirales;Steitzviridae;Clitovirus;Clitovirus chorohabitans</t>
  </si>
  <si>
    <t>Riboviria;Orthornavirae;Lenarviricota;Leviviricetes;Timlovirales;Steitzviridae;Hodnevirus;Hodnevirus chorohabitans</t>
  </si>
  <si>
    <t>Riboviria;Orthornavirae;Lenarviricota;Leviviricetes;Timlovirales;Steitzviridae;Cohrdavirus;Cohrdavirus chorovicinum</t>
  </si>
  <si>
    <t>Riboviria;Orthornavirae;Lenarviricota;Leviviricetes;Timlovirales;Steitzviridae;Hodnevirus;Hodnevirus chorovicinum</t>
  </si>
  <si>
    <t>Riboviria;Orthornavirae;Lenarviricota;Leviviricetes;Timlovirales;Steitzviridae;Cohrdavirus;Cohrdavirus chorovivens</t>
  </si>
  <si>
    <t>Riboviria;Orthornavirae;Lenarviricota;Leviviricetes;Timlovirales;Steitzviridae;Hodnevirus;Hodnevirus chorovivens</t>
  </si>
  <si>
    <t>Riboviria;Orthornavirae;Lenarviricota;Leviviricetes;Timlovirales;Steitzviridae;Bahnicevirus;Bahnicevirus chthonadaptatum</t>
  </si>
  <si>
    <t>Riboviria;Orthornavirae;Lenarviricota;Leviviricetes;Timlovirales;Steitzviridae;Hodnevirus;Hodnevirus chthonadaptatum</t>
  </si>
  <si>
    <t>Riboviria;Orthornavirae;Lenarviricota;Leviviricetes;Timlovirales;Steitzviridae;Bahnicevirus;Bahnicevirus chthonenecus</t>
  </si>
  <si>
    <t>Riboviria;Orthornavirae;Lenarviricota;Leviviricetes;Timlovirales;Steitzviridae;Hodnevirus;Hodnevirus chthonenecus</t>
  </si>
  <si>
    <t>Riboviria;Orthornavirae;Lenarviricota;Leviviricetes;Timlovirales;Steitzviridae;Bahnicevirus;Bahnicevirus chthonocola</t>
  </si>
  <si>
    <t>Riboviria;Orthornavirae;Lenarviricota;Leviviricetes;Timlovirales;Steitzviridae;Hodnevirus;Hodnevirus chthonocola</t>
  </si>
  <si>
    <t>Riboviria;Orthornavirae;Lenarviricota;Leviviricetes;Timlovirales;Steitzviridae;Bahnicevirus;Bahnicevirus chthonohabitans</t>
  </si>
  <si>
    <t>Riboviria;Orthornavirae;Lenarviricota;Leviviricetes;Timlovirales;Steitzviridae;Hodnevirus;Hodnevirus chthonohabitans</t>
  </si>
  <si>
    <t>Riboviria;Orthornavirae;Lenarviricota;Leviviricetes;Timlovirales;Steitzviridae;Bahnicevirus;Bahnicevirus chthonovicinum</t>
  </si>
  <si>
    <t>Riboviria;Orthornavirae;Lenarviricota;Leviviricetes;Timlovirales;Steitzviridae;Hodnevirus;Hodnevirus chthonovicinum</t>
  </si>
  <si>
    <t>Riboviria;Orthornavirae;Lenarviricota;Leviviricetes;Timlovirales;Steitzviridae;Bahnicevirus;Bahnicevirus chthonovivens</t>
  </si>
  <si>
    <t>Riboviria;Orthornavirae;Lenarviricota;Leviviricetes;Timlovirales;Steitzviridae;Hodnevirus;Hodnevirus chthonovivens</t>
  </si>
  <si>
    <t>Riboviria;Orthornavirae;Lenarviricota;Leviviricetes;Timlovirales;Steitzviridae;Bahnicevirus;Bahnicevirus defluviicola</t>
  </si>
  <si>
    <t>Riboviria;Orthornavirae;Lenarviricota;Leviviricetes;Timlovirales;Steitzviridae;Hodnevirus;Hodnevirus defluviicola</t>
  </si>
  <si>
    <t>Riboviria;Orthornavirae;Lenarviricota;Leviviricetes;Timlovirales;Steitzviridae;Gredihovirus;Gredihovirus edaphadaptatum</t>
  </si>
  <si>
    <t>Riboviria;Orthornavirae;Lenarviricota;Leviviricetes;Timlovirales;Steitzviridae;Hodnevirus;Hodnevirus edaphadaptatum</t>
  </si>
  <si>
    <t>Riboviria;Orthornavirae;Lenarviricota;Leviviricetes;Timlovirales;Steitzviridae;Gredihovirus;Gredihovirus edaphenecus</t>
  </si>
  <si>
    <t>Riboviria;Orthornavirae;Lenarviricota;Leviviricetes;Timlovirales;Steitzviridae;Hodnevirus;Hodnevirus edaphenecus</t>
  </si>
  <si>
    <t>Riboviria;Orthornavirae;Lenarviricota;Leviviricetes;Timlovirales;Steitzviridae;Gredihovirus;Gredihovirus edaphocola</t>
  </si>
  <si>
    <t>Riboviria;Orthornavirae;Lenarviricota;Leviviricetes;Timlovirales;Steitzviridae;Hodnevirus;Hodnevirus edaphocola</t>
  </si>
  <si>
    <t>Riboviria;Orthornavirae;Lenarviricota;Leviviricetes;Timlovirales;Steitzviridae;Gredihovirus;Gredihovirus edaphohabitans</t>
  </si>
  <si>
    <t>Riboviria;Orthornavirae;Lenarviricota;Leviviricetes;Timlovirales;Steitzviridae;Hodnevirus;Hodnevirus edaphohabitans</t>
  </si>
  <si>
    <t>Riboviria;Orthornavirae;Lenarviricota;Leviviricetes;Timlovirales;Steitzviridae;Gredihovirus;Gredihovirus edaphovicinum</t>
  </si>
  <si>
    <t>Riboviria;Orthornavirae;Lenarviricota;Leviviricetes;Timlovirales;Steitzviridae;Hodnevirus;Hodnevirus edaphovicinum</t>
  </si>
  <si>
    <t>Riboviria;Orthornavirae;Lenarviricota;Leviviricetes;Timlovirales;Steitzviridae;Gredihovirus;Gredihovirus edaphovivens</t>
  </si>
  <si>
    <t>Riboviria;Orthornavirae;Lenarviricota;Leviviricetes;Timlovirales;Steitzviridae;Hodnevirus;Hodnevirus edaphovivens</t>
  </si>
  <si>
    <t>Riboviria;Orthornavirae;Lenarviricota;Leviviricetes;Timlovirales;Steitzviridae;Bahnicevirus;Bahnicevirus geoadaptatum</t>
  </si>
  <si>
    <t>Riboviria;Orthornavirae;Lenarviricota;Leviviricetes;Timlovirales;Steitzviridae;Hodnevirus;Hodnevirus geoadaptatum</t>
  </si>
  <si>
    <t>Riboviria;Orthornavirae;Lenarviricota;Leviviricetes;Timlovirales;Steitzviridae;Bahnicevirus;Bahnicevirus geocola</t>
  </si>
  <si>
    <t>Riboviria;Orthornavirae;Lenarviricota;Leviviricetes;Timlovirales;Steitzviridae;Hodnevirus;Hodnevirus geocola</t>
  </si>
  <si>
    <t>Riboviria;Orthornavirae;Lenarviricota;Leviviricetes;Timlovirales;Steitzviridae;Bahnicevirus;Bahnicevirus geoenecus</t>
  </si>
  <si>
    <t>Riboviria;Orthornavirae;Lenarviricota;Leviviricetes;Timlovirales;Steitzviridae;Hodnevirus;Hodnevirus geoenecus</t>
  </si>
  <si>
    <t>Riboviria;Orthornavirae;Lenarviricota;Leviviricetes;Timlovirales;Steitzviridae;Bahnicevirus;Bahnicevirus geohabitans</t>
  </si>
  <si>
    <t>Riboviria;Orthornavirae;Lenarviricota;Leviviricetes;Timlovirales;Steitzviridae;Hodnevirus;Hodnevirus geohabitans</t>
  </si>
  <si>
    <t>Riboviria;Orthornavirae;Lenarviricota;Leviviricetes;Timlovirales;Steitzviridae;Bahnicevirus;Bahnicevirus geovicinum</t>
  </si>
  <si>
    <t>Riboviria;Orthornavirae;Lenarviricota;Leviviricetes;Timlovirales;Steitzviridae;Hodnevirus;Hodnevirus geovicinum</t>
  </si>
  <si>
    <t>Riboviria;Orthornavirae;Lenarviricota;Leviviricetes;Timlovirales;Steitzviridae;Bahnicevirus;Bahnicevirus geovivens</t>
  </si>
  <si>
    <t>Riboviria;Orthornavirae;Lenarviricota;Leviviricetes;Timlovirales;Steitzviridae;Hodnevirus;Hodnevirus geovivens</t>
  </si>
  <si>
    <t>Riboviria;Orthornavirae;Lenarviricota;Leviviricetes;Timlovirales;Steitzviridae;Rohsdrivirus;Rohsdrivirus humadaptatum</t>
  </si>
  <si>
    <t>Riboviria;Orthornavirae;Lenarviricota;Leviviricetes;Timlovirales;Steitzviridae;Hodnevirus;Hodnevirus heterohumadaptatum</t>
  </si>
  <si>
    <t>Riboviria;Orthornavirae;Lenarviricota;Leviviricetes;Timlovirales;Steitzviridae;Abakapovirus;Abakapovirus humadaptatum</t>
  </si>
  <si>
    <t>Riboviria;Orthornavirae;Lenarviricota;Leviviricetes;Timlovirales;Steitzviridae;Hodnevirus;Hodnevirus humadaptatum</t>
  </si>
  <si>
    <t>Riboviria;Orthornavirae;Lenarviricota;Leviviricetes;Timlovirales;Steitzviridae;Abakapovirus;Abakapovirus humenecus</t>
  </si>
  <si>
    <t>Riboviria;Orthornavirae;Lenarviricota;Leviviricetes;Timlovirales;Steitzviridae;Hodnevirus;Hodnevirus humenecus</t>
  </si>
  <si>
    <t>Riboviria;Orthornavirae;Lenarviricota;Leviviricetes;Timlovirales;Steitzviridae;Abakapovirus;Abakapovirus humicola</t>
  </si>
  <si>
    <t>Riboviria;Orthornavirae;Lenarviricota;Leviviricetes;Timlovirales;Steitzviridae;Hodnevirus;Hodnevirus humicola</t>
  </si>
  <si>
    <t>Riboviria;Orthornavirae;Lenarviricota;Leviviricetes;Timlovirales;Steitzviridae;Gredihovirus;Gredihovirus humihabitans</t>
  </si>
  <si>
    <t>Riboviria;Orthornavirae;Lenarviricota;Leviviricetes;Timlovirales;Steitzviridae;Hodnevirus;Hodnevirus humihabitans</t>
  </si>
  <si>
    <t>Riboviria;Orthornavirae;Lenarviricota;Leviviricetes;Timlovirales;Steitzviridae;Gredihovirus;Gredihovirus humivicinum</t>
  </si>
  <si>
    <t>Riboviria;Orthornavirae;Lenarviricota;Leviviricetes;Timlovirales;Steitzviridae;Hodnevirus;Hodnevirus humivicinum</t>
  </si>
  <si>
    <t>Riboviria;Orthornavirae;Lenarviricota;Leviviricetes;Timlovirales;Steitzviridae;Gredihovirus;Gredihovirus humivivens</t>
  </si>
  <si>
    <t>Riboviria;Orthornavirae;Lenarviricota;Leviviricetes;Timlovirales;Steitzviridae;Hodnevirus;Hodnevirus humivivens</t>
  </si>
  <si>
    <t>Riboviria;Orthornavirae;Lenarviricota;Leviviricetes;Timlovirales;Steitzviridae;Setohruvirus;Setohruvirus agradaptatum</t>
  </si>
  <si>
    <t>Riboviria;Orthornavirae;Lenarviricota;Leviviricetes;Timlovirales;Steitzviridae;Hodnevirus;Hodnevirus isoagradaptatum</t>
  </si>
  <si>
    <t>Riboviria;Orthornavirae;Lenarviricota;Leviviricetes;Timlovirales;Steitzviridae;Kehruavirus;Kehruavirus agricola</t>
  </si>
  <si>
    <t>Riboviria;Orthornavirae;Lenarviricota;Leviviricetes;Timlovirales;Steitzviridae;Hodnevirus;Hodnevirus isoagricola</t>
  </si>
  <si>
    <t>Riboviria;Orthornavirae;Lenarviricota;Leviviricetes;Timlovirales;Steitzviridae;Snuwdevirus;Snuwdevirus agrivicinum</t>
  </si>
  <si>
    <t>Riboviria;Orthornavirae;Lenarviricota;Leviviricetes;Timlovirales;Steitzviridae;Hodnevirus;Hodnevirus isoagrivicinum</t>
  </si>
  <si>
    <t>Riboviria;Orthornavirae;Lenarviricota;Leviviricetes;Timlovirales;Steitzviridae;Gredihovirus;Gredihovirus chthonohabitans</t>
  </si>
  <si>
    <t>Riboviria;Orthornavirae;Lenarviricota;Leviviricetes;Timlovirales;Steitzviridae;Hodnevirus;Hodnevirus isochthonohabitans</t>
  </si>
  <si>
    <t>Riboviria;Orthornavirae;Lenarviricota;Leviviricetes;Timlovirales;Steitzviridae;Luloavirus;Luloavirus edaphenecus</t>
  </si>
  <si>
    <t>Riboviria;Orthornavirae;Lenarviricota;Leviviricetes;Timlovirales;Steitzviridae;Hodnevirus;Hodnevirus isoedaphenecus</t>
  </si>
  <si>
    <t>Riboviria;Orthornavirae;Lenarviricota;Leviviricetes;Timlovirales;Steitzviridae;Luloavirus;Luloavirus edaphocola</t>
  </si>
  <si>
    <t>Riboviria;Orthornavirae;Lenarviricota;Leviviricetes;Timlovirales;Steitzviridae;Hodnevirus;Hodnevirus isoedaphocola</t>
  </si>
  <si>
    <t>Riboviria;Orthornavirae;Lenarviricota;Leviviricetes;Timlovirales;Steitzviridae;Gredihovirus;Gredihovirus geoenecus</t>
  </si>
  <si>
    <t>Riboviria;Orthornavirae;Lenarviricota;Leviviricetes;Timlovirales;Steitzviridae;Hodnevirus;Hodnevirus isogeoenecus</t>
  </si>
  <si>
    <t>Riboviria;Orthornavirae;Lenarviricota;Leviviricetes;Timlovirales;Steitzviridae;Hylipavirus;Hylipavirus geovicinum</t>
  </si>
  <si>
    <t>Riboviria;Orthornavirae;Lenarviricota;Leviviricetes;Timlovirales;Steitzviridae;Hodnevirus;Hodnevirus isogeovicinum</t>
  </si>
  <si>
    <t>Riboviria;Orthornavirae;Lenarviricota;Leviviricetes;Timlovirales;Steitzviridae;Kehruavirus;Kehruavirus humadaptatum</t>
  </si>
  <si>
    <t>Riboviria;Orthornavirae;Lenarviricota;Leviviricetes;Timlovirales;Steitzviridae;Hodnevirus;Hodnevirus isohumadaptatum</t>
  </si>
  <si>
    <t>Riboviria;Orthornavirae;Lenarviricota;Leviviricetes;Timlovirales;Steitzviridae;Kehruavirus;Kehruavirus humenecus</t>
  </si>
  <si>
    <t>Riboviria;Orthornavirae;Lenarviricota;Leviviricetes;Timlovirales;Steitzviridae;Hodnevirus;Hodnevirus isohumenecus</t>
  </si>
  <si>
    <t>Riboviria;Orthornavirae;Lenarviricota;Leviviricetes;Timlovirales;Steitzviridae;Kehruavirus;Kehruavirus humicola</t>
  </si>
  <si>
    <t>Riboviria;Orthornavirae;Lenarviricota;Leviviricetes;Timlovirales;Steitzviridae;Hodnevirus;Hodnevirus isohumicola</t>
  </si>
  <si>
    <t>Riboviria;Orthornavirae;Lenarviricota;Leviviricetes;Timlovirales;Steitzviridae;Milihnovirus;Milihnovirus solihabitans</t>
  </si>
  <si>
    <t>Riboviria;Orthornavirae;Lenarviricota;Leviviricetes;Timlovirales;Steitzviridae;Hodnevirus;Hodnevirus isosolihabitans</t>
  </si>
  <si>
    <t>Riboviria;Orthornavirae;Lenarviricota;Leviviricetes;Timlovirales;Steitzviridae;Rohsdrivirus;Rohsdrivirus terrivivens</t>
  </si>
  <si>
    <t>Riboviria;Orthornavirae;Lenarviricota;Leviviricetes;Timlovirales;Steitzviridae;Hodnevirus;Hodnevirus isoterrivivens</t>
  </si>
  <si>
    <t>Riboviria;Orthornavirae;Lenarviricota;Leviviricetes;Timlovirales;Steitzviridae;Bahnicevirus;Bahnicevirus limenecus</t>
  </si>
  <si>
    <t>Riboviria;Orthornavirae;Lenarviricota;Leviviricetes;Timlovirales;Steitzviridae;Hodnevirus;Hodnevirus limenecus</t>
  </si>
  <si>
    <t>Riboviria;Orthornavirae;Lenarviricota;Leviviricetes;Timlovirales;Steitzviridae;Bahnicevirus;Bahnicevirus limicola</t>
  </si>
  <si>
    <t>Riboviria;Orthornavirae;Lenarviricota;Leviviricetes;Timlovirales;Steitzviridae;Hodnevirus;Hodnevirus limicola</t>
  </si>
  <si>
    <t>Riboviria;Orthornavirae;Lenarviricota;Leviviricetes;Timlovirales;Steitzviridae;Bahnicevirus;Bahnicevirus limihabitans</t>
  </si>
  <si>
    <t>Riboviria;Orthornavirae;Lenarviricota;Leviviricetes;Timlovirales;Steitzviridae;Hodnevirus;Hodnevirus limihabitans</t>
  </si>
  <si>
    <t>Riboviria;Orthornavirae;Lenarviricota;Leviviricetes;Timlovirales;Steitzviridae;Lehptavirus;Lehptavirus agrihabitans</t>
  </si>
  <si>
    <t>Riboviria;Orthornavirae;Lenarviricota;Leviviricetes;Timlovirales;Steitzviridae;Hodnevirus;Hodnevirus monoagrihabitans</t>
  </si>
  <si>
    <t>Riboviria;Orthornavirae;Lenarviricota;Leviviricetes;Timlovirales;Steitzviridae;Lehptavirus;Lehptavirus agrivicinum</t>
  </si>
  <si>
    <t>Riboviria;Orthornavirae;Lenarviricota;Leviviricetes;Timlovirales;Steitzviridae;Hodnevirus;Hodnevirus monoagrivicinum</t>
  </si>
  <si>
    <t>Riboviria;Orthornavirae;Lenarviricota;Leviviricetes;Timlovirales;Steitzviridae;Lehptavirus;Lehptavirus agrivivens</t>
  </si>
  <si>
    <t>Riboviria;Orthornavirae;Lenarviricota;Leviviricetes;Timlovirales;Steitzviridae;Hodnevirus;Hodnevirus monoagrivivens</t>
  </si>
  <si>
    <t>Riboviria;Orthornavirae;Lenarviricota;Leviviricetes;Timlovirales;Steitzviridae;Lehptavirus;Lehptavirus choradaptatum</t>
  </si>
  <si>
    <t>Riboviria;Orthornavirae;Lenarviricota;Leviviricetes;Timlovirales;Steitzviridae;Hodnevirus;Hodnevirus monochoradaptatum</t>
  </si>
  <si>
    <t>Riboviria;Orthornavirae;Lenarviricota;Leviviricetes;Timlovirales;Steitzviridae;Lehptavirus;Lehptavirus chorenecus</t>
  </si>
  <si>
    <t>Riboviria;Orthornavirae;Lenarviricota;Leviviricetes;Timlovirales;Steitzviridae;Hodnevirus;Hodnevirus monochorenecus</t>
  </si>
  <si>
    <t>Riboviria;Orthornavirae;Lenarviricota;Leviviricetes;Timlovirales;Steitzviridae;Lehptavirus;Lehptavirus chorocola</t>
  </si>
  <si>
    <t>Riboviria;Orthornavirae;Lenarviricota;Leviviricetes;Timlovirales;Steitzviridae;Hodnevirus;Hodnevirus monochorocola</t>
  </si>
  <si>
    <t>Riboviria;Orthornavirae;Lenarviricota;Leviviricetes;Timlovirales;Steitzviridae;Kehruavirus;Kehruavirus humihabitans</t>
  </si>
  <si>
    <t>Riboviria;Orthornavirae;Lenarviricota;Leviviricetes;Timlovirales;Steitzviridae;Hodnevirus;Hodnevirus monohumihabitans</t>
  </si>
  <si>
    <t>Riboviria;Orthornavirae;Lenarviricota;Leviviricetes;Timlovirales;Steitzviridae;Kehruavirus;Kehruavirus humivicinum</t>
  </si>
  <si>
    <t>Riboviria;Orthornavirae;Lenarviricota;Leviviricetes;Timlovirales;Steitzviridae;Hodnevirus;Hodnevirus monohumivicinum</t>
  </si>
  <si>
    <t>Riboviria;Orthornavirae;Lenarviricota;Leviviricetes;Timlovirales;Steitzviridae;Kehruavirus;Kehruavirus humivivens</t>
  </si>
  <si>
    <t>Riboviria;Orthornavirae;Lenarviricota;Leviviricetes;Timlovirales;Steitzviridae;Hodnevirus;Hodnevirus monohumivivens</t>
  </si>
  <si>
    <t>Riboviria;Orthornavirae;Lenarviricota;Leviviricetes;Timlovirales;Steitzviridae;Gredihovirus;Gredihovirus neoagricola</t>
  </si>
  <si>
    <t>Riboviria;Orthornavirae;Lenarviricota;Leviviricetes;Timlovirales;Steitzviridae;Hodnevirus;Hodnevirus mononeoagricola</t>
  </si>
  <si>
    <t>Riboviria;Orthornavirae;Lenarviricota;Leviviricetes;Timlovirales;Steitzviridae;Gredihovirus;Gredihovirus neochorohabitans</t>
  </si>
  <si>
    <t>Riboviria;Orthornavirae;Lenarviricota;Leviviricetes;Timlovirales;Steitzviridae;Hodnevirus;Hodnevirus mononeochorohabitans</t>
  </si>
  <si>
    <t>Riboviria;Orthornavirae;Lenarviricota;Leviviricetes;Timlovirales;Steitzviridae;Gredihovirus;Gredihovirus neochorovicinum</t>
  </si>
  <si>
    <t>Riboviria;Orthornavirae;Lenarviricota;Leviviricetes;Timlovirales;Steitzviridae;Hodnevirus;Hodnevirus mononeochorovicinum</t>
  </si>
  <si>
    <t>Riboviria;Orthornavirae;Lenarviricota;Leviviricetes;Timlovirales;Steitzviridae;Gredihovirus;Gredihovirus neochorovivens</t>
  </si>
  <si>
    <t>Riboviria;Orthornavirae;Lenarviricota;Leviviricetes;Timlovirales;Steitzviridae;Hodnevirus;Hodnevirus mononeochorovivens</t>
  </si>
  <si>
    <t>Riboviria;Orthornavirae;Lenarviricota;Leviviricetes;Timlovirales;Steitzviridae;Gredihovirus;Gredihovirus neohumadaptatum</t>
  </si>
  <si>
    <t>Riboviria;Orthornavirae;Lenarviricota;Leviviricetes;Timlovirales;Steitzviridae;Hodnevirus;Hodnevirus mononeohumadaptatum</t>
  </si>
  <si>
    <t>Riboviria;Orthornavirae;Lenarviricota;Leviviricetes;Timlovirales;Steitzviridae;Gredihovirus;Gredihovirus neohumenecus</t>
  </si>
  <si>
    <t>Riboviria;Orthornavirae;Lenarviricota;Leviviricetes;Timlovirales;Steitzviridae;Hodnevirus;Hodnevirus mononeohumenecus</t>
  </si>
  <si>
    <t>Riboviria;Orthornavirae;Lenarviricota;Leviviricetes;Timlovirales;Steitzviridae;Gredihovirus;Gredihovirus neohumicola</t>
  </si>
  <si>
    <t>Riboviria;Orthornavirae;Lenarviricota;Leviviricetes;Timlovirales;Steitzviridae;Hodnevirus;Hodnevirus mononeohumicola</t>
  </si>
  <si>
    <t>Riboviria;Orthornavirae;Lenarviricota;Leviviricetes;Timlovirales;Steitzviridae;Gredihovirus;Gredihovirus telluricola</t>
  </si>
  <si>
    <t>Riboviria;Orthornavirae;Lenarviricota;Leviviricetes;Timlovirales;Steitzviridae;Hodnevirus;Hodnevirus monotelluricola</t>
  </si>
  <si>
    <t>Riboviria;Orthornavirae;Lenarviricota;Leviviricetes;Timlovirales;Steitzviridae;Gredihovirus;Gredihovirus tellurihabitans</t>
  </si>
  <si>
    <t>Riboviria;Orthornavirae;Lenarviricota;Leviviricetes;Timlovirales;Steitzviridae;Hodnevirus;Hodnevirus monotellurihabitans</t>
  </si>
  <si>
    <t>Riboviria;Orthornavirae;Lenarviricota;Leviviricetes;Timlovirales;Steitzviridae;Gredihovirus;Gredihovirus tellurivicinum</t>
  </si>
  <si>
    <t>Riboviria;Orthornavirae;Lenarviricota;Leviviricetes;Timlovirales;Steitzviridae;Hodnevirus;Hodnevirus monotellurivicinum</t>
  </si>
  <si>
    <t>Riboviria;Orthornavirae;Lenarviricota;Leviviricetes;Timlovirales;Steitzviridae;Gredihovirus;Gredihovirus tellurivivens</t>
  </si>
  <si>
    <t>Riboviria;Orthornavirae;Lenarviricota;Leviviricetes;Timlovirales;Steitzviridae;Hodnevirus;Hodnevirus monotellurivivens</t>
  </si>
  <si>
    <t>Riboviria;Orthornavirae;Lenarviricota;Leviviricetes;Timlovirales;Steitzviridae;Gredihovirus;Gredihovirus terradaptatum</t>
  </si>
  <si>
    <t>Riboviria;Orthornavirae;Lenarviricota;Leviviricetes;Timlovirales;Steitzviridae;Hodnevirus;Hodnevirus monoterradaptatum</t>
  </si>
  <si>
    <t>Riboviria;Orthornavirae;Lenarviricota;Leviviricetes;Timlovirales;Steitzviridae;Gredihovirus;Gredihovirus terricola</t>
  </si>
  <si>
    <t>Riboviria;Orthornavirae;Lenarviricota;Leviviricetes;Timlovirales;Steitzviridae;Hodnevirus;Hodnevirus monoterricola</t>
  </si>
  <si>
    <t>Riboviria;Orthornavirae;Lenarviricota;Leviviricetes;Timlovirales;Steitzviridae;Kehruavirus;Kehruavirus terrivivens</t>
  </si>
  <si>
    <t>Riboviria;Orthornavirae;Lenarviricota;Leviviricetes;Timlovirales;Steitzviridae;Hodnevirus;Hodnevirus monoterrivivens</t>
  </si>
  <si>
    <t>Riboviria;Orthornavirae;Lenarviricota;Leviviricetes;Timlovirales;Steitzviridae;Kehruavirus;Kehruavirus agradaptatum</t>
  </si>
  <si>
    <t>Riboviria;Orthornavirae;Lenarviricota;Leviviricetes;Timlovirales;Steitzviridae;Hodnevirus;Hodnevirus neoagradaptatum</t>
  </si>
  <si>
    <t>Riboviria;Orthornavirae;Lenarviricota;Leviviricetes;Timlovirales;Steitzviridae;Gredihovirus;Gredihovirus neoagrenecus</t>
  </si>
  <si>
    <t>Riboviria;Orthornavirae;Lenarviricota;Leviviricetes;Timlovirales;Steitzviridae;Hodnevirus;Hodnevirus neoagrenecus</t>
  </si>
  <si>
    <t>Riboviria;Orthornavirae;Lenarviricota;Leviviricetes;Timlovirales;Steitzviridae;Gredihovirus;Gredihovirus agricola</t>
  </si>
  <si>
    <t>Riboviria;Orthornavirae;Lenarviricota;Leviviricetes;Timlovirales;Steitzviridae;Hodnevirus;Hodnevirus neoagricola</t>
  </si>
  <si>
    <t>Riboviria;Orthornavirae;Lenarviricota;Leviviricetes;Timlovirales;Steitzviridae;Gredihovirus;Gredihovirus neoagrihabitans</t>
  </si>
  <si>
    <t>Riboviria;Orthornavirae;Lenarviricota;Leviviricetes;Timlovirales;Steitzviridae;Hodnevirus;Hodnevirus neoagrihabitans</t>
  </si>
  <si>
    <t>Riboviria;Orthornavirae;Lenarviricota;Leviviricetes;Timlovirales;Steitzviridae;Gredihovirus;Gredihovirus neoagrivicinum</t>
  </si>
  <si>
    <t>Riboviria;Orthornavirae;Lenarviricota;Leviviricetes;Timlovirales;Steitzviridae;Hodnevirus;Hodnevirus neoagrivicinum</t>
  </si>
  <si>
    <t>Riboviria;Orthornavirae;Lenarviricota;Leviviricetes;Timlovirales;Steitzviridae;Gredihovirus;Gredihovirus neoagrivivens</t>
  </si>
  <si>
    <t>Riboviria;Orthornavirae;Lenarviricota;Leviviricetes;Timlovirales;Steitzviridae;Hodnevirus;Hodnevirus neoagrivivens</t>
  </si>
  <si>
    <t>Riboviria;Orthornavirae;Lenarviricota;Leviviricetes;Timlovirales;Steitzviridae;Gredihovirus;Gredihovirus arvadaptatum</t>
  </si>
  <si>
    <t>Riboviria;Orthornavirae;Lenarviricota;Leviviricetes;Timlovirales;Steitzviridae;Hodnevirus;Hodnevirus neoarvadaptatum</t>
  </si>
  <si>
    <t>Riboviria;Orthornavirae;Lenarviricota;Leviviricetes;Timlovirales;Steitzviridae;Gredihovirus;Gredihovirus arvivivens</t>
  </si>
  <si>
    <t>Riboviria;Orthornavirae;Lenarviricota;Leviviricetes;Timlovirales;Steitzviridae;Hodnevirus;Hodnevirus neoarvivivens</t>
  </si>
  <si>
    <t>Riboviria;Orthornavirae;Lenarviricota;Leviviricetes;Timlovirales;Steitzviridae;Gredihovirus;Gredihovirus neochoradaptatum</t>
  </si>
  <si>
    <t>Riboviria;Orthornavirae;Lenarviricota;Leviviricetes;Timlovirales;Steitzviridae;Hodnevirus;Hodnevirus neochoradaptatum</t>
  </si>
  <si>
    <t>Riboviria;Orthornavirae;Lenarviricota;Leviviricetes;Timlovirales;Steitzviridae;Gredihovirus;Gredihovirus neochorenecus</t>
  </si>
  <si>
    <t>Riboviria;Orthornavirae;Lenarviricota;Leviviricetes;Timlovirales;Steitzviridae;Hodnevirus;Hodnevirus neochorenecus</t>
  </si>
  <si>
    <t>Riboviria;Orthornavirae;Lenarviricota;Leviviricetes;Timlovirales;Steitzviridae;Gredihovirus;Gredihovirus neochorocola</t>
  </si>
  <si>
    <t>Riboviria;Orthornavirae;Lenarviricota;Leviviricetes;Timlovirales;Steitzviridae;Hodnevirus;Hodnevirus neochorocola</t>
  </si>
  <si>
    <t>Riboviria;Orthornavirae;Lenarviricota;Leviviricetes;Timlovirales;Steitzviridae;Gredihovirus;Gredihovirus chorohabitans</t>
  </si>
  <si>
    <t>Riboviria;Orthornavirae;Lenarviricota;Leviviricetes;Timlovirales;Steitzviridae;Hodnevirus;Hodnevirus neochorohabitans</t>
  </si>
  <si>
    <t>Riboviria;Orthornavirae;Lenarviricota;Leviviricetes;Timlovirales;Steitzviridae;Gredihovirus;Gredihovirus chorovicinum</t>
  </si>
  <si>
    <t>Riboviria;Orthornavirae;Lenarviricota;Leviviricetes;Timlovirales;Steitzviridae;Hodnevirus;Hodnevirus neochorovicinum</t>
  </si>
  <si>
    <t>Riboviria;Orthornavirae;Lenarviricota;Leviviricetes;Timlovirales;Steitzviridae;Gredihovirus;Gredihovirus chorovivens</t>
  </si>
  <si>
    <t>Riboviria;Orthornavirae;Lenarviricota;Leviviricetes;Timlovirales;Steitzviridae;Hodnevirus;Hodnevirus neochorovivens</t>
  </si>
  <si>
    <t>Riboviria;Orthornavirae;Lenarviricota;Leviviricetes;Timlovirales;Steitzviridae;Gredihovirus;Gredihovirus chthonadaptatum</t>
  </si>
  <si>
    <t>Riboviria;Orthornavirae;Lenarviricota;Leviviricetes;Timlovirales;Steitzviridae;Hodnevirus;Hodnevirus neochthonadaptatum</t>
  </si>
  <si>
    <t>Riboviria;Orthornavirae;Lenarviricota;Leviviricetes;Timlovirales;Steitzviridae;Gredihovirus;Gredihovirus chthonenecus</t>
  </si>
  <si>
    <t>Riboviria;Orthornavirae;Lenarviricota;Leviviricetes;Timlovirales;Steitzviridae;Hodnevirus;Hodnevirus neochthonenecus</t>
  </si>
  <si>
    <t>Riboviria;Orthornavirae;Lenarviricota;Leviviricetes;Timlovirales;Steitzviridae;Gredihovirus;Gredihovirus chthonocola</t>
  </si>
  <si>
    <t>Riboviria;Orthornavirae;Lenarviricota;Leviviricetes;Timlovirales;Steitzviridae;Hodnevirus;Hodnevirus neochthonocola</t>
  </si>
  <si>
    <t>Riboviria;Orthornavirae;Lenarviricota;Leviviricetes;Timlovirales;Steitzviridae;Eregrovirus;Eregrovirus chthonohabitans</t>
  </si>
  <si>
    <t>Riboviria;Orthornavirae;Lenarviricota;Leviviricetes;Timlovirales;Steitzviridae;Hodnevirus;Hodnevirus neochthonohabitans</t>
  </si>
  <si>
    <t>Riboviria;Orthornavirae;Lenarviricota;Leviviricetes;Timlovirales;Steitzviridae;Gredihovirus;Gredihovirus chthonovicinum</t>
  </si>
  <si>
    <t>Riboviria;Orthornavirae;Lenarviricota;Leviviricetes;Timlovirales;Steitzviridae;Hodnevirus;Hodnevirus neochthonovicinum</t>
  </si>
  <si>
    <t>Riboviria;Orthornavirae;Lenarviricota;Leviviricetes;Timlovirales;Steitzviridae;Gredihovirus;Gredihovirus chthonovivens</t>
  </si>
  <si>
    <t>Riboviria;Orthornavirae;Lenarviricota;Leviviricetes;Timlovirales;Steitzviridae;Hodnevirus;Hodnevirus neochthonovivens</t>
  </si>
  <si>
    <t>Riboviria;Orthornavirae;Lenarviricota;Leviviricetes;Timlovirales;Steitzviridae;Luloavirus;Luloavirus edaphadaptatum</t>
  </si>
  <si>
    <t>Riboviria;Orthornavirae;Lenarviricota;Leviviricetes;Timlovirales;Steitzviridae;Hodnevirus;Hodnevirus neoedaphadaptatum</t>
  </si>
  <si>
    <t>Riboviria;Orthornavirae;Lenarviricota;Leviviricetes;Timlovirales;Steitzviridae;Hohltdevirus;Hohltdevirus edaphenecus</t>
  </si>
  <si>
    <t>Riboviria;Orthornavirae;Lenarviricota;Leviviricetes;Timlovirales;Steitzviridae;Hodnevirus;Hodnevirus neoedaphenecus</t>
  </si>
  <si>
    <t>Riboviria;Orthornavirae;Lenarviricota;Leviviricetes;Timlovirales;Steitzviridae;Hohltdevirus;Hohltdevirus edaphocola</t>
  </si>
  <si>
    <t>Riboviria;Orthornavirae;Lenarviricota;Leviviricetes;Timlovirales;Steitzviridae;Hodnevirus;Hodnevirus neoedaphocola</t>
  </si>
  <si>
    <t>Riboviria;Orthornavirae;Lenarviricota;Leviviricetes;Timlovirales;Steitzviridae;Gredihovirus;Gredihovirus geocola</t>
  </si>
  <si>
    <t>Riboviria;Orthornavirae;Lenarviricota;Leviviricetes;Timlovirales;Steitzviridae;Hodnevirus;Hodnevirus neogeocola</t>
  </si>
  <si>
    <t>Riboviria;Orthornavirae;Lenarviricota;Leviviricetes;Timlovirales;Steitzviridae;Gernuduvirus;Gernuduvirus geoenecus</t>
  </si>
  <si>
    <t>Riboviria;Orthornavirae;Lenarviricota;Leviviricetes;Timlovirales;Steitzviridae;Hodnevirus;Hodnevirus neogeoenecus</t>
  </si>
  <si>
    <t>Riboviria;Orthornavirae;Lenarviricota;Leviviricetes;Timlovirales;Steitzviridae;Gredihovirus;Gredihovirus geohabitans</t>
  </si>
  <si>
    <t>Riboviria;Orthornavirae;Lenarviricota;Leviviricetes;Timlovirales;Steitzviridae;Hodnevirus;Hodnevirus neogeohabitans</t>
  </si>
  <si>
    <t>Riboviria;Orthornavirae;Lenarviricota;Leviviricetes;Timlovirales;Steitzviridae;Gredihovirus;Gredihovirus geovicinum</t>
  </si>
  <si>
    <t>Riboviria;Orthornavirae;Lenarviricota;Leviviricetes;Timlovirales;Steitzviridae;Hodnevirus;Hodnevirus neogeovicinum</t>
  </si>
  <si>
    <t>Riboviria;Orthornavirae;Lenarviricota;Leviviricetes;Timlovirales;Steitzviridae;Gredihovirus;Gredihovirus geovivens</t>
  </si>
  <si>
    <t>Riboviria;Orthornavirae;Lenarviricota;Leviviricetes;Timlovirales;Steitzviridae;Hodnevirus;Hodnevirus neogeovivens</t>
  </si>
  <si>
    <t>Riboviria;Orthornavirae;Lenarviricota;Leviviricetes;Timlovirales;Steitzviridae;Gredihovirus;Gredihovirus humadaptatum</t>
  </si>
  <si>
    <t>Riboviria;Orthornavirae;Lenarviricota;Leviviricetes;Timlovirales;Steitzviridae;Hodnevirus;Hodnevirus neohumadaptatum</t>
  </si>
  <si>
    <t>Riboviria;Orthornavirae;Lenarviricota;Leviviricetes;Timlovirales;Steitzviridae;Gredihovirus;Gredihovirus humenecus</t>
  </si>
  <si>
    <t>Riboviria;Orthornavirae;Lenarviricota;Leviviricetes;Timlovirales;Steitzviridae;Hodnevirus;Hodnevirus neohumenecus</t>
  </si>
  <si>
    <t>Riboviria;Orthornavirae;Lenarviricota;Leviviricetes;Timlovirales;Steitzviridae;Gredihovirus;Gredihovirus humicola</t>
  </si>
  <si>
    <t>Riboviria;Orthornavirae;Lenarviricota;Leviviricetes;Timlovirales;Steitzviridae;Hodnevirus;Hodnevirus neohumicola</t>
  </si>
  <si>
    <t>Riboviria;Orthornavirae;Lenarviricota;Leviviricetes;Timlovirales;Steitzviridae;Gredihovirus;Gredihovirus neohumihabitans</t>
  </si>
  <si>
    <t>Riboviria;Orthornavirae;Lenarviricota;Leviviricetes;Timlovirales;Steitzviridae;Hodnevirus;Hodnevirus neohumihabitans</t>
  </si>
  <si>
    <t>Riboviria;Orthornavirae;Lenarviricota;Leviviricetes;Timlovirales;Steitzviridae;Gredihovirus;Gredihovirus neohumivicinum</t>
  </si>
  <si>
    <t>Riboviria;Orthornavirae;Lenarviricota;Leviviricetes;Timlovirales;Steitzviridae;Hodnevirus;Hodnevirus neohumivicinum</t>
  </si>
  <si>
    <t>Riboviria;Orthornavirae;Lenarviricota;Leviviricetes;Timlovirales;Steitzviridae;Gredihovirus;Gredihovirus neohumivivens</t>
  </si>
  <si>
    <t>Riboviria;Orthornavirae;Lenarviricota;Leviviricetes;Timlovirales;Steitzviridae;Hodnevirus;Hodnevirus neohumivivens</t>
  </si>
  <si>
    <t>Riboviria;Orthornavirae;Lenarviricota;Leviviricetes;Timlovirales;Steitzviridae;Mahjnavirus;Mahjnavirus limenecus</t>
  </si>
  <si>
    <t>Riboviria;Orthornavirae;Lenarviricota;Leviviricetes;Timlovirales;Steitzviridae;Hodnevirus;Hodnevirus neolimenecus</t>
  </si>
  <si>
    <t>Riboviria;Orthornavirae;Lenarviricota;Leviviricetes;Timlovirales;Steitzviridae;Vesehyavirus;Vesehyavirus pedohabitans</t>
  </si>
  <si>
    <t>Riboviria;Orthornavirae;Lenarviricota;Leviviricetes;Timlovirales;Steitzviridae;Hodnevirus;Hodnevirus neopedohabitans</t>
  </si>
  <si>
    <t>Riboviria;Orthornavirae;Lenarviricota;Leviviricetes;Timlovirales;Steitzviridae;Gredihovirus;Gredihovirus pedovicinum</t>
  </si>
  <si>
    <t>Riboviria;Orthornavirae;Lenarviricota;Leviviricetes;Timlovirales;Steitzviridae;Hodnevirus;Hodnevirus neopedovicinum</t>
  </si>
  <si>
    <t>Riboviria;Orthornavirae;Lenarviricota;Leviviricetes;Timlovirales;Steitzviridae;Gredihovirus;Gredihovirus pedovivens</t>
  </si>
  <si>
    <t>Riboviria;Orthornavirae;Lenarviricota;Leviviricetes;Timlovirales;Steitzviridae;Hodnevirus;Hodnevirus neopedovivens</t>
  </si>
  <si>
    <t>Riboviria;Orthornavirae;Lenarviricota;Leviviricetes;Timlovirales;Steitzviridae;Gredihovirus;Gredihovirus soladaptatum</t>
  </si>
  <si>
    <t>Riboviria;Orthornavirae;Lenarviricota;Leviviricetes;Timlovirales;Steitzviridae;Hodnevirus;Hodnevirus neosoladaptatum</t>
  </si>
  <si>
    <t>Riboviria;Orthornavirae;Lenarviricota;Leviviricetes;Timlovirales;Steitzviridae;Gredihovirus;Gredihovirus solenecus</t>
  </si>
  <si>
    <t>Riboviria;Orthornavirae;Lenarviricota;Leviviricetes;Timlovirales;Steitzviridae;Hodnevirus;Hodnevirus neosolenecus</t>
  </si>
  <si>
    <t>Riboviria;Orthornavirae;Lenarviricota;Leviviricetes;Timlovirales;Steitzviridae;Gredihovirus;Gredihovirus solicola</t>
  </si>
  <si>
    <t>Riboviria;Orthornavirae;Lenarviricota;Leviviricetes;Timlovirales;Steitzviridae;Hodnevirus;Hodnevirus neosolicola</t>
  </si>
  <si>
    <t>Riboviria;Orthornavirae;Lenarviricota;Leviviricetes;Timlovirales;Steitzviridae;Gredihovirus;Gredihovirus solihabitans</t>
  </si>
  <si>
    <t>Riboviria;Orthornavirae;Lenarviricota;Leviviricetes;Timlovirales;Steitzviridae;Hodnevirus;Hodnevirus neosolihabitans</t>
  </si>
  <si>
    <t>Riboviria;Orthornavirae;Lenarviricota;Leviviricetes;Timlovirales;Steitzviridae;Gredihovirus;Gredihovirus solivicinum</t>
  </si>
  <si>
    <t>Riboviria;Orthornavirae;Lenarviricota;Leviviricetes;Timlovirales;Steitzviridae;Hodnevirus;Hodnevirus neosolivicinum</t>
  </si>
  <si>
    <t>Riboviria;Orthornavirae;Lenarviricota;Leviviricetes;Timlovirales;Steitzviridae;Gredihovirus;Gredihovirus solivivens</t>
  </si>
  <si>
    <t>Riboviria;Orthornavirae;Lenarviricota;Leviviricetes;Timlovirales;Steitzviridae;Hodnevirus;Hodnevirus neosolivivens</t>
  </si>
  <si>
    <t>Riboviria;Orthornavirae;Lenarviricota;Leviviricetes;Timlovirales;Steitzviridae;Gredihovirus;Gredihovirus telluradaptatum</t>
  </si>
  <si>
    <t>Riboviria;Orthornavirae;Lenarviricota;Leviviricetes;Timlovirales;Steitzviridae;Hodnevirus;Hodnevirus neotelluradaptatum</t>
  </si>
  <si>
    <t>Riboviria;Orthornavirae;Lenarviricota;Leviviricetes;Timlovirales;Steitzviridae;Gredihovirus;Gredihovirus neotellurenecus</t>
  </si>
  <si>
    <t>Riboviria;Orthornavirae;Lenarviricota;Leviviricetes;Timlovirales;Steitzviridae;Hodnevirus;Hodnevirus neotellurenecus</t>
  </si>
  <si>
    <t>Riboviria;Orthornavirae;Lenarviricota;Leviviricetes;Timlovirales;Steitzviridae;Gredihovirus;Gredihovirus neotelluricola</t>
  </si>
  <si>
    <t>Riboviria;Orthornavirae;Lenarviricota;Leviviricetes;Timlovirales;Steitzviridae;Hodnevirus;Hodnevirus neotelluricola</t>
  </si>
  <si>
    <t>Riboviria;Orthornavirae;Lenarviricota;Leviviricetes;Timlovirales;Steitzviridae;Gredihovirus;Gredihovirus neotellurihabitans</t>
  </si>
  <si>
    <t>Riboviria;Orthornavirae;Lenarviricota;Leviviricetes;Timlovirales;Steitzviridae;Hodnevirus;Hodnevirus neotellurihabitans</t>
  </si>
  <si>
    <t>Riboviria;Orthornavirae;Lenarviricota;Leviviricetes;Timlovirales;Steitzviridae;Gredihovirus;Gredihovirus neotellurivicinum</t>
  </si>
  <si>
    <t>Riboviria;Orthornavirae;Lenarviricota;Leviviricetes;Timlovirales;Steitzviridae;Hodnevirus;Hodnevirus neotellurivicinum</t>
  </si>
  <si>
    <t>Riboviria;Orthornavirae;Lenarviricota;Leviviricetes;Timlovirales;Steitzviridae;Gredihovirus;Gredihovirus neotellurivivens</t>
  </si>
  <si>
    <t>Riboviria;Orthornavirae;Lenarviricota;Leviviricetes;Timlovirales;Steitzviridae;Hodnevirus;Hodnevirus neotellurivivens</t>
  </si>
  <si>
    <t>Riboviria;Orthornavirae;Lenarviricota;Leviviricetes;Timlovirales;Steitzviridae;Gredihovirus;Gredihovirus neoterradaptatum</t>
  </si>
  <si>
    <t>Riboviria;Orthornavirae;Lenarviricota;Leviviricetes;Timlovirales;Steitzviridae;Hodnevirus;Hodnevirus neoterradaptatum</t>
  </si>
  <si>
    <t>Riboviria;Orthornavirae;Lenarviricota;Leviviricetes;Timlovirales;Steitzviridae;Gredihovirus;Gredihovirus neoterrenecus</t>
  </si>
  <si>
    <t>Riboviria;Orthornavirae;Lenarviricota;Leviviricetes;Timlovirales;Steitzviridae;Hodnevirus;Hodnevirus neoterrenecus</t>
  </si>
  <si>
    <t>Riboviria;Orthornavirae;Lenarviricota;Leviviricetes;Timlovirales;Steitzviridae;Gredihovirus;Gredihovirus neoterricola</t>
  </si>
  <si>
    <t>Riboviria;Orthornavirae;Lenarviricota;Leviviricetes;Timlovirales;Steitzviridae;Hodnevirus;Hodnevirus neoterricola</t>
  </si>
  <si>
    <t>Riboviria;Orthornavirae;Lenarviricota;Leviviricetes;Timlovirales;Steitzviridae;Gredihovirus;Gredihovirus neoterrihabitans</t>
  </si>
  <si>
    <t>Riboviria;Orthornavirae;Lenarviricota;Leviviricetes;Timlovirales;Steitzviridae;Hodnevirus;Hodnevirus neoterrihabitans</t>
  </si>
  <si>
    <t>Riboviria;Orthornavirae;Lenarviricota;Leviviricetes;Timlovirales;Steitzviridae;Gredihovirus;Gredihovirus neoterrivicinum</t>
  </si>
  <si>
    <t>Riboviria;Orthornavirae;Lenarviricota;Leviviricetes;Timlovirales;Steitzviridae;Hodnevirus;Hodnevirus neoterrivicinum</t>
  </si>
  <si>
    <t>Riboviria;Orthornavirae;Lenarviricota;Leviviricetes;Timlovirales;Steitzviridae;Gredihovirus;Gredihovirus neoterrivivens</t>
  </si>
  <si>
    <t>Riboviria;Orthornavirae;Lenarviricota;Leviviricetes;Timlovirales;Steitzviridae;Hodnevirus;Hodnevirus neoterrivivens</t>
  </si>
  <si>
    <t>Riboviria;Orthornavirae;Lenarviricota;Leviviricetes;Timlovirales;Steitzviridae;Gredihovirus;Gredihovirus paludicola</t>
  </si>
  <si>
    <t>Riboviria;Orthornavirae;Lenarviricota;Leviviricetes;Timlovirales;Steitzviridae;Hodnevirus;Hodnevirus paludicola</t>
  </si>
  <si>
    <t>Riboviria;Orthornavirae;Lenarviricota;Leviviricetes;Timlovirales;Steitzviridae;Gredihovirus;Gredihovirus pedadaptatum</t>
  </si>
  <si>
    <t>Riboviria;Orthornavirae;Lenarviricota;Leviviricetes;Timlovirales;Steitzviridae;Hodnevirus;Hodnevirus pedadaptatum</t>
  </si>
  <si>
    <t>Riboviria;Orthornavirae;Lenarviricota;Leviviricetes;Timlovirales;Steitzviridae;Gredihovirus;Gredihovirus pedenecus</t>
  </si>
  <si>
    <t>Riboviria;Orthornavirae;Lenarviricota;Leviviricetes;Timlovirales;Steitzviridae;Hodnevirus;Hodnevirus pedenecus</t>
  </si>
  <si>
    <t>Riboviria;Orthornavirae;Lenarviricota;Leviviricetes;Timlovirales;Steitzviridae;Gredihovirus;Gredihovirus pedocola</t>
  </si>
  <si>
    <t>Riboviria;Orthornavirae;Lenarviricota;Leviviricetes;Timlovirales;Steitzviridae;Hodnevirus;Hodnevirus pedocola</t>
  </si>
  <si>
    <t>Riboviria;Orthornavirae;Lenarviricota;Leviviricetes;Timlovirales;Steitzviridae;Gredihovirus;Gredihovirus pedohabitans</t>
  </si>
  <si>
    <t>Riboviria;Orthornavirae;Lenarviricota;Leviviricetes;Timlovirales;Steitzviridae;Hodnevirus;Hodnevirus pedohabitans</t>
  </si>
  <si>
    <t>Riboviria;Orthornavirae;Lenarviricota;Leviviricetes;Timlovirales;Steitzviridae;Bahnicevirus;Bahnicevirus pedovicinum</t>
  </si>
  <si>
    <t>Riboviria;Orthornavirae;Lenarviricota;Leviviricetes;Timlovirales;Steitzviridae;Hodnevirus;Hodnevirus pedovicinum</t>
  </si>
  <si>
    <t>Riboviria;Orthornavirae;Lenarviricota;Leviviricetes;Timlovirales;Steitzviridae;Bahnicevirus;Bahnicevirus pedovivens</t>
  </si>
  <si>
    <t>Riboviria;Orthornavirae;Lenarviricota;Leviviricetes;Timlovirales;Steitzviridae;Hodnevirus;Hodnevirus pedovivens</t>
  </si>
  <si>
    <t>Riboviria;Orthornavirae;Lenarviricota;Leviviricetes;Timlovirales;Steitzviridae;Bahnicevirus;Bahnicevirus soladaptatum</t>
  </si>
  <si>
    <t>Riboviria;Orthornavirae;Lenarviricota;Leviviricetes;Timlovirales;Steitzviridae;Hodnevirus;Hodnevirus soladaptatum</t>
  </si>
  <si>
    <t>Riboviria;Orthornavirae;Lenarviricota;Leviviricetes;Timlovirales;Steitzviridae;Bahnicevirus;Bahnicevirus solenecus</t>
  </si>
  <si>
    <t>Riboviria;Orthornavirae;Lenarviricota;Leviviricetes;Timlovirales;Steitzviridae;Hodnevirus;Hodnevirus solenecus</t>
  </si>
  <si>
    <t>Riboviria;Orthornavirae;Lenarviricota;Leviviricetes;Timlovirales;Steitzviridae;Bahnicevirus;Bahnicevirus solicola</t>
  </si>
  <si>
    <t>Riboviria;Orthornavirae;Lenarviricota;Leviviricetes;Timlovirales;Steitzviridae;Hodnevirus;Hodnevirus solicola</t>
  </si>
  <si>
    <t>Riboviria;Orthornavirae;Lenarviricota;Leviviricetes;Timlovirales;Steitzviridae;Bahnicevirus;Bahnicevirus solihabitans</t>
  </si>
  <si>
    <t>Riboviria;Orthornavirae;Lenarviricota;Leviviricetes;Timlovirales;Steitzviridae;Hodnevirus;Hodnevirus solihabitans</t>
  </si>
  <si>
    <t>Riboviria;Orthornavirae;Lenarviricota;Leviviricetes;Timlovirales;Steitzviridae;Bahnicevirus;Bahnicevirus solivicinum</t>
  </si>
  <si>
    <t>Riboviria;Orthornavirae;Lenarviricota;Leviviricetes;Timlovirales;Steitzviridae;Hodnevirus;Hodnevirus solivicinum</t>
  </si>
  <si>
    <t>Riboviria;Orthornavirae;Lenarviricota;Leviviricetes;Timlovirales;Steitzviridae;Bahnicevirus;Bahnicevirus solivivens</t>
  </si>
  <si>
    <t>Riboviria;Orthornavirae;Lenarviricota;Leviviricetes;Timlovirales;Steitzviridae;Hodnevirus;Hodnevirus solivivens</t>
  </si>
  <si>
    <t>Riboviria;Orthornavirae;Lenarviricota;Leviviricetes;Timlovirales;Steitzviridae;Bahnicevirus;Bahnicevirus telluradaptatum</t>
  </si>
  <si>
    <t>Riboviria;Orthornavirae;Lenarviricota;Leviviricetes;Timlovirales;Steitzviridae;Hodnevirus;Hodnevirus telluradaptatum</t>
  </si>
  <si>
    <t>Riboviria;Orthornavirae;Lenarviricota;Leviviricetes;Timlovirales;Steitzviridae;Bahnicevirus;Bahnicevirus tellurenecus</t>
  </si>
  <si>
    <t>Riboviria;Orthornavirae;Lenarviricota;Leviviricetes;Timlovirales;Steitzviridae;Hodnevirus;Hodnevirus tellurenecus</t>
  </si>
  <si>
    <t>Riboviria;Orthornavirae;Lenarviricota;Leviviricetes;Timlovirales;Steitzviridae;Bahnicevirus;Bahnicevirus telluricola</t>
  </si>
  <si>
    <t>Riboviria;Orthornavirae;Lenarviricota;Leviviricetes;Timlovirales;Steitzviridae;Hodnevirus;Hodnevirus telluricola</t>
  </si>
  <si>
    <t>Riboviria;Orthornavirae;Lenarviricota;Leviviricetes;Timlovirales;Steitzviridae;Bahnicevirus;Bahnicevirus tellurihabitans</t>
  </si>
  <si>
    <t>Riboviria;Orthornavirae;Lenarviricota;Leviviricetes;Timlovirales;Steitzviridae;Hodnevirus;Hodnevirus tellurihabitans</t>
  </si>
  <si>
    <t>Riboviria;Orthornavirae;Lenarviricota;Leviviricetes;Timlovirales;Steitzviridae;Bahnicevirus;Bahnicevirus tellurivicinum</t>
  </si>
  <si>
    <t>Riboviria;Orthornavirae;Lenarviricota;Leviviricetes;Timlovirales;Steitzviridae;Hodnevirus;Hodnevirus tellurivicinum</t>
  </si>
  <si>
    <t>Riboviria;Orthornavirae;Lenarviricota;Leviviricetes;Timlovirales;Steitzviridae;Bahnicevirus;Bahnicevirus tellurivivens</t>
  </si>
  <si>
    <t>Riboviria;Orthornavirae;Lenarviricota;Leviviricetes;Timlovirales;Steitzviridae;Hodnevirus;Hodnevirus tellurivivens</t>
  </si>
  <si>
    <t>Riboviria;Orthornavirae;Lenarviricota;Leviviricetes;Timlovirales;Steitzviridae;Bahnicevirus;Bahnicevirus terradaptatum</t>
  </si>
  <si>
    <t>Riboviria;Orthornavirae;Lenarviricota;Leviviricetes;Timlovirales;Steitzviridae;Hodnevirus;Hodnevirus terradaptatum</t>
  </si>
  <si>
    <t>Riboviria;Orthornavirae;Lenarviricota;Leviviricetes;Timlovirales;Steitzviridae;Gredihovirus;Gredihovirus terrenecus</t>
  </si>
  <si>
    <t>Riboviria;Orthornavirae;Lenarviricota;Leviviricetes;Timlovirales;Steitzviridae;Hodnevirus;Hodnevirus terrenecus</t>
  </si>
  <si>
    <t>Riboviria;Orthornavirae;Lenarviricota;Leviviricetes;Timlovirales;Steitzviridae;Bahnicevirus;Bahnicevirus terricola</t>
  </si>
  <si>
    <t>Riboviria;Orthornavirae;Lenarviricota;Leviviricetes;Timlovirales;Steitzviridae;Hodnevirus;Hodnevirus terricola</t>
  </si>
  <si>
    <t>Riboviria;Orthornavirae;Lenarviricota;Leviviricetes;Timlovirales;Steitzviridae;Gredihovirus;Gredihovirus terrihabitans</t>
  </si>
  <si>
    <t>Riboviria;Orthornavirae;Lenarviricota;Leviviricetes;Timlovirales;Steitzviridae;Hodnevirus;Hodnevirus terrihabitans</t>
  </si>
  <si>
    <t>Riboviria;Orthornavirae;Lenarviricota;Leviviricetes;Timlovirales;Steitzviridae;Gredihovirus;Gredihovirus terrivicinum</t>
  </si>
  <si>
    <t>Riboviria;Orthornavirae;Lenarviricota;Leviviricetes;Timlovirales;Steitzviridae;Hodnevirus;Hodnevirus terrivicinum</t>
  </si>
  <si>
    <t>Riboviria;Orthornavirae;Lenarviricota;Leviviricetes;Timlovirales;Steitzviridae;Gredihovirus;Gredihovirus terrivivens</t>
  </si>
  <si>
    <t>Riboviria;Orthornavirae;Lenarviricota;Leviviricetes;Timlovirales;Steitzviridae;Hodnevirus;Hodnevirus terrivivens</t>
  </si>
  <si>
    <t>Riboviria;Orthornavirae;Lenarviricota;Leviviricetes;Timlovirales;Steitzviridae;Dohnjavirus;Dohnjavirus caenadaptatum</t>
  </si>
  <si>
    <t>Riboviria;Orthornavirae;Lenarviricota;Leviviricetes;Timlovirales;Steitzviridae;Hohrdovirus;Hohrdovirus caenadaptatum</t>
  </si>
  <si>
    <t>Riboviria;Orthornavirae;Lenarviricota;Leviviricetes;Timlovirales;Steitzviridae;Arctuvirus;Arctuvirus edaphenecus</t>
  </si>
  <si>
    <t>Riboviria;Orthornavirae;Lenarviricota;Leviviricetes;Timlovirales;Steitzviridae;Lidtloavirus;Lidtloavirus edaphenecus</t>
  </si>
  <si>
    <t>Riboviria;Orthornavirae;Lenarviricota;Leviviricetes;Timlovirales;Steitzviridae;Arctuvirus;Arctuvirus edaphocola</t>
  </si>
  <si>
    <t>Riboviria;Orthornavirae;Lenarviricota;Leviviricetes;Timlovirales;Steitzviridae;Lidtloavirus;Lidtloavirus edaphocola</t>
  </si>
  <si>
    <t>Riboviria;Orthornavirae;Lenarviricota;Leviviricetes;Timlovirales;Steitzviridae;Arctuvirus;Arctuvirus edaphohabitans</t>
  </si>
  <si>
    <t>Riboviria;Orthornavirae;Lenarviricota;Leviviricetes;Timlovirales;Steitzviridae;Lidtloavirus;Lidtloavirus edaphohabitans</t>
  </si>
  <si>
    <t>Riboviria;Orthornavirae;Lenarviricota;Leviviricetes;Timlovirales;Steitzviridae;Arctuvirus;Arctuvirus edaphovivens</t>
  </si>
  <si>
    <t>Riboviria;Orthornavirae;Lenarviricota;Leviviricetes;Timlovirales;Steitzviridae;Lidtloavirus;Lidtloavirus edaphovivens</t>
  </si>
  <si>
    <t>Riboviria;Orthornavirae;Lenarviricota;Leviviricetes;Timlovirales;Steitzviridae;Cahtavirus;Cahtavirus humihabitans</t>
  </si>
  <si>
    <t>Riboviria;Orthornavirae;Lenarviricota;Leviviricetes;Timlovirales;Steitzviridae;Lidtloavirus;Lidtloavirus humihabitans</t>
  </si>
  <si>
    <t>Riboviria;Orthornavirae;Lenarviricota;Leviviricetes;Timlovirales;Steitzviridae;Zuysuivirus;Zuysuivirus humivicinum</t>
  </si>
  <si>
    <t>Riboviria;Orthornavirae;Lenarviricota;Leviviricetes;Timlovirales;Steitzviridae;Lidtloavirus;Lidtloavirus humivicinum</t>
  </si>
  <si>
    <t>Riboviria;Orthornavirae;Lenarviricota;Leviviricetes;Timlovirales;Steitzviridae;Zuysuivirus;Zuysuivirus humivivens</t>
  </si>
  <si>
    <t>Riboviria;Orthornavirae;Lenarviricota;Leviviricetes;Timlovirales;Steitzviridae;Lidtloavirus;Lidtloavirus humivivens</t>
  </si>
  <si>
    <t>Riboviria;Orthornavirae;Lenarviricota;Leviviricetes;Timlovirales;Steitzviridae;Zuysuivirus;Zuysuivirus humihabitans</t>
  </si>
  <si>
    <t>Riboviria;Orthornavirae;Lenarviricota;Leviviricetes;Timlovirales;Steitzviridae;Lidtloavirus;Lidtloavirus neohumihabitans</t>
  </si>
  <si>
    <t>Riboviria;Orthornavirae;Lenarviricota;Leviviricetes;Timlovirales;Steitzviridae;Arctuvirus;Arctuvirus pedocola</t>
  </si>
  <si>
    <t>Riboviria;Orthornavirae;Lenarviricota;Leviviricetes;Timlovirales;Steitzviridae;Lidtloavirus;Lidtloavirus pedocola</t>
  </si>
  <si>
    <t>Riboviria;Orthornavirae;Lenarviricota;Leviviricetes;Timlovirales;Steitzviridae;Cunarovirus;Cunarovirus edaphovivens</t>
  </si>
  <si>
    <t>Riboviria;Orthornavirae;Lenarviricota;Leviviricetes;Timlovirales;Steitzviridae;Lughthovirus;Lughthovirus edaphovivens</t>
  </si>
  <si>
    <t>Riboviria;Orthornavirae;Lenarviricota;Leviviricetes;Timlovirales;Steitzviridae;Cunarovirus;Cunarovirus pedadaptatum</t>
  </si>
  <si>
    <t>Riboviria;Orthornavirae;Lenarviricota;Leviviricetes;Timlovirales;Steitzviridae;Lughthovirus;Lughthovirus pedadaptatum</t>
  </si>
  <si>
    <t>Riboviria;Orthornavirae;Lenarviricota;Leviviricetes;Timlovirales;Steitzviridae;Cunarovirus;Cunarovirus pedenecus</t>
  </si>
  <si>
    <t>Riboviria;Orthornavirae;Lenarviricota;Leviviricetes;Timlovirales;Steitzviridae;Lughthovirus;Lughthovirus pedenecus</t>
  </si>
  <si>
    <t>Riboviria;Orthornavirae;Lenarviricota;Leviviricetes;Timlovirales;Steitzviridae;Cunarovirus;Cunarovirus pedocola</t>
  </si>
  <si>
    <t>Riboviria;Orthornavirae;Lenarviricota;Leviviricetes;Timlovirales;Steitzviridae;Lughthovirus;Lughthovirus pedocola</t>
  </si>
  <si>
    <t>Riboviria;Orthornavirae;Lenarviricota;Leviviricetes;Timlovirales;Steitzviridae;Cunarovirus;Cunavirus pedohabitans</t>
  </si>
  <si>
    <t>Riboviria;Orthornavirae;Lenarviricota;Leviviricetes;Timlovirales;Steitzviridae;Lughthovirus;Lughthovirus pedohabitans</t>
  </si>
  <si>
    <t>Riboviria;Orthornavirae;Lenarviricota;Leviviricetes;Timlovirales;Steitzviridae;Cunarovirus;Cunarovirus pedovicinum</t>
  </si>
  <si>
    <t>Riboviria;Orthornavirae;Lenarviricota;Leviviricetes;Timlovirales;Steitzviridae;Lughthovirus;Lughthovirus pedovicinum</t>
  </si>
  <si>
    <t>Riboviria;Orthornavirae;Lenarviricota;Leviviricetes;Timlovirales;Steitzviridae;Cunarovirus;Cunarovirus pedovivens</t>
  </si>
  <si>
    <t>Riboviria;Orthornavirae;Lenarviricota;Leviviricetes;Timlovirales;Steitzviridae;Lughthovirus;Lughthovirus pedovivens</t>
  </si>
  <si>
    <t>Riboviria;Orthornavirae;Lenarviricota;Leviviricetes;Timlovirales;Steitzviridae;Luloavirus;Luloavirus caenihabitans</t>
  </si>
  <si>
    <t>Riboviria;Orthornavirae;Lenarviricota;Leviviricetes;Timlovirales;Steitzviridae;Luhtdivirus;Luhtdivirus caenihabitans</t>
  </si>
  <si>
    <t>Riboviria;Orthornavirae;Lenarviricota;Leviviricetes;Timlovirales;Steitzviridae;Arctuvirus;Arctuvirus edaphovicinum</t>
  </si>
  <si>
    <t>Riboviria;Orthornavirae;Lenarviricota;Leviviricetes;Timlovirales;Steitzviridae;Oldborovirus;Oldborovirus edaphovicinum</t>
  </si>
  <si>
    <t>Riboviria;Orthornavirae;Lenarviricota;Leviviricetes;Timlovirales;Steitzviridae;Weheuvirus;Weheuvirus chthonocola</t>
  </si>
  <si>
    <t>Riboviria;Orthornavirae;Lenarviricota;Leviviricetes;Timlovirales;Steitzviridae;Strehtovirus;Strehtovirus chthonocola</t>
  </si>
  <si>
    <t>Riboviria;Orthornavirae;Lenarviricota;Leviviricetes;Timlovirales;Steitzviridae;Weheuvirus;Weheuvirus geoenecus</t>
  </si>
  <si>
    <t>Riboviria;Orthornavirae;Lenarviricota;Leviviricetes;Timlovirales;Steitzviridae;Strehtovirus;Strehtovirus geoenecus</t>
  </si>
  <si>
    <t>Riboviria;Orthornavirae;Lenarviricota;Leviviricetes;Timlovirales;Steitzviridae;Weheuvirus;Weheuvirus solivicinum</t>
  </si>
  <si>
    <t>Riboviria;Orthornavirae;Lenarviricota;Leviviricetes;Timlovirales;Steitzviridae;Strehtovirus;Strehtovirus solivicinum</t>
  </si>
  <si>
    <t>Riboviria;Orthornavirae;Lenarviricota;Leviviricetes;Timlovirales;Steitzviridae;Pujohnavirus;Pujohnavirus chthonadaptatum</t>
  </si>
  <si>
    <t>Riboviria;Orthornavirae;Lenarviricota;Leviviricetes;Timlovirales;Steitzviridae;Tikiyavirus;Tikiyavirus chthonadaptatum</t>
  </si>
  <si>
    <t>Riboviria;Orthornavirae;Lenarviricota;Leviviricetes;Timlovirales;Steitzviridae;Pujohnavirus;Pujohnavirus chthonenecus</t>
  </si>
  <si>
    <t>Riboviria;Orthornavirae;Lenarviricota;Leviviricetes;Timlovirales;Steitzviridae;Tikiyavirus;Tikiyavirus chthonenecus</t>
  </si>
  <si>
    <t>Riboviria;Orthornavirae;Lenarviricota;Leviviricetes;Timlovirales;Steitzviridae;Pujohnavirus;Pujohnavirus chthonocola</t>
  </si>
  <si>
    <t>Riboviria;Orthornavirae;Lenarviricota;Leviviricetes;Timlovirales;Steitzviridae;Tikiyavirus;Tikiyavirus chthonocola</t>
  </si>
  <si>
    <t>Riboviria;Orthornavirae;Lenarviricota;Leviviricetes;Timlovirales;Steitzviridae;Pujohnavirus;Pujohnavirus chthonohabitans</t>
  </si>
  <si>
    <t>Riboviria;Orthornavirae;Lenarviricota;Leviviricetes;Timlovirales;Steitzviridae;Tikiyavirus;Tikiyavirus chthonohabitans</t>
  </si>
  <si>
    <t>Riboviria;Orthornavirae;Lenarviricota;Leviviricetes;Timlovirales;Steitzviridae;Pujohnavirus;Pujohnavirus chthonovicinum</t>
  </si>
  <si>
    <t>Riboviria;Orthornavirae;Lenarviricota;Leviviricetes;Timlovirales;Steitzviridae;Tikiyavirus;Tikiyavirus chthonovicinum</t>
  </si>
  <si>
    <t>Riboviria;Orthornavirae;Lenarviricota;Leviviricetes;Timlovirales;Steitzviridae;Pujohnavirus;Pujohnavirus chthonovivens</t>
  </si>
  <si>
    <t>Riboviria;Orthornavirae;Lenarviricota;Leviviricetes;Timlovirales;Steitzviridae;Tikiyavirus;Tikiyavirus chthonovivens</t>
  </si>
  <si>
    <t>Riboviria;Orthornavirae;Lenarviricota;Leviviricetes;Timlovirales;Steitzviridae;Pujohnavirus;Pujohnavirus geoadaptatum</t>
  </si>
  <si>
    <t>Riboviria;Orthornavirae;Lenarviricota;Leviviricetes;Timlovirales;Steitzviridae;Tikiyavirus;Tikiyavirus geoadaptatum</t>
  </si>
  <si>
    <t>Riboviria;Orthornavirae;Lenarviricota;Leviviricetes;Timlovirales;Steitzviridae;Pujohnavirus;Pujohnavirus geocola</t>
  </si>
  <si>
    <t>Riboviria;Orthornavirae;Lenarviricota;Leviviricetes;Timlovirales;Steitzviridae;Tikiyavirus;Tikiyavirus geocola</t>
  </si>
  <si>
    <t>Riboviria;Orthornavirae;Lenarviricota;Leviviricetes;Timlovirales;Steitzviridae;Pujohnavirus;Pujohnavirus geoenecus</t>
  </si>
  <si>
    <t>Riboviria;Orthornavirae;Lenarviricota;Leviviricetes;Timlovirales;Steitzviridae;Tikiyavirus;Tikiyavirus geoenecus</t>
  </si>
  <si>
    <t>Riboviria;Orthornavirae;Lenarviricota;Leviviricetes;Timlovirales;Steitzviridae;Pujohnavirus;Pujohnavirus geohabitans</t>
  </si>
  <si>
    <t>Riboviria;Orthornavirae;Lenarviricota;Leviviricetes;Timlovirales;Steitzviridae;Tikiyavirus;Tikiyavirus geohabitans</t>
  </si>
  <si>
    <t>Riboviria;Orthornavirae;Lenarviricota;Leviviricetes;Timlovirales;Steitzviridae;Pujohnavirus;Pujohnavirus geovicinum</t>
  </si>
  <si>
    <t>Riboviria;Orthornavirae;Lenarviricota;Leviviricetes;Timlovirales;Steitzviridae;Tikiyavirus;Tikiyavirus geovicinum</t>
  </si>
  <si>
    <t>Riboviria;Orthornavirae;Lenarviricota;Leviviricetes;Timlovirales;Steitzviridae;Pujohnavirus;Pujohnavirus geovivens</t>
  </si>
  <si>
    <t>Riboviria;Orthornavirae;Lenarviricota;Leviviricetes;Timlovirales;Steitzviridae;Tikiyavirus;Tikiyavirus geovivens</t>
  </si>
  <si>
    <t>Riboviria;Orthornavirae;Lenarviricota;Leviviricetes;Timlovirales;Steitzviridae;Pujohnavirus;Pujohnavirus soladaptatum</t>
  </si>
  <si>
    <t>Riboviria;Orthornavirae;Lenarviricota;Leviviricetes;Timlovirales;Steitzviridae;Tikiyavirus;Tikiyavirus soladaptatum</t>
  </si>
  <si>
    <t>Riboviria;Orthornavirae;Lenarviricota;Leviviricetes;Timlovirales;Steitzviridae;Pujohnavirus;Pujohnavirus solenecus</t>
  </si>
  <si>
    <t>Riboviria;Orthornavirae;Lenarviricota;Leviviricetes;Timlovirales;Steitzviridae;Tikiyavirus;Tikiyavirus solenecus</t>
  </si>
  <si>
    <t>Riboviria;Orthornavirae;Lenarviricota;Leviviricetes;Timlovirales;Steitzviridae;Pujohnavirus;Pujohnavirus solicola</t>
  </si>
  <si>
    <t>Riboviria;Orthornavirae;Lenarviricota;Leviviricetes;Timlovirales;Steitzviridae;Tikiyavirus;Tikiyavirus solicola</t>
  </si>
  <si>
    <t>Riboviria;Orthornavirae;Lenarviricota;Leviviricetes;Timlovirales;Steitzviridae;Pujohnavirus;Pujohnavirus solihabitans</t>
  </si>
  <si>
    <t>Riboviria;Orthornavirae;Lenarviricota;Leviviricetes;Timlovirales;Steitzviridae;Tikiyavirus;Tikiyavirus solihabitans</t>
  </si>
  <si>
    <t>Riboviria;Orthornavirae;Lenarviricota;Leviviricetes;Timlovirales;Steitzviridae;Pujohnavirus;Pujohnavirus solivicinum</t>
  </si>
  <si>
    <t>Riboviria;Orthornavirae;Lenarviricota;Leviviricetes;Timlovirales;Steitzviridae;Tikiyavirus;Tikiyavirus solivicinum</t>
  </si>
  <si>
    <t>Riboviria;Orthornavirae;Lenarviricota;Leviviricetes;Timlovirales;Steitzviridae;Pujohnavirus;Pujohnavirus solivivens</t>
  </si>
  <si>
    <t>Riboviria;Orthornavirae;Lenarviricota;Leviviricetes;Timlovirales;Steitzviridae;Tikiyavirus;Tikiyavirus solivivens</t>
  </si>
  <si>
    <t>Riboviria;Orthornavirae;Lenarviricota;Leviviricetes;Timlovirales;Steitzviridae;Pujohnavirus;Pujohnavirus telluradaptatum</t>
  </si>
  <si>
    <t>Riboviria;Orthornavirae;Lenarviricota;Leviviricetes;Timlovirales;Steitzviridae;Tikiyavirus;Tikiyavirus telluradaptatum</t>
  </si>
  <si>
    <t>Riboviria;Orthornavirae;Lenarviricota;Leviviricetes;Timlovirales;Steitzviridae;Belbovirus;Belbovirus lutenecus</t>
  </si>
  <si>
    <t>Riboviria;Orthornavirae;Lenarviricota;Leviviricetes;Timlovirales;Steitzviridae;Yeziwivirus;Yeziwivirus lutenecus</t>
  </si>
  <si>
    <t>Riboviria;Orthornavirae;Lenarviricota;Miaviricetes;Ourlivirales;Botourmiaviridae;Betarhizoulivirus;Betarhizoulivirus alphamellea</t>
  </si>
  <si>
    <t>Riboviria;Orthornavirae;Lenarviricota;Miaviricetes;Ourlivirales;Botourmiaviridae;Rhizoulivirus;Rhizoulivirus alphamellea</t>
  </si>
  <si>
    <t>Riboviria;Orthornavirae;Negarnaviricota;Haploviricotina;Milneviricetes;Serpentovirales</t>
  </si>
  <si>
    <t>Riboviria;Orthornavirae;Negarnaviricota;Haploviricotina;Milneviricetes;Naedrevirales</t>
  </si>
  <si>
    <t>Riboviria;Orthornavirae;Negarnaviricota;Haploviricotina;Monjiviricetes;Mononegavirales;Paramyxoviridae;Orthoparamyxovirinae;Parahenipavirus;Parahenipavirus mojiangense</t>
  </si>
  <si>
    <t>Riboviria;Orthornavirae;Negarnaviricota;Haploviricotina;Monjiviricetes;Mononegavirales;Paramyxoviridae;Orthoparamyxovirinae;Jeilongvirus;Jeilongvirus comorosense</t>
  </si>
  <si>
    <t>Riboviria;Orthornavirae;Negarnaviricota;Haploviricotina;Monjiviricetes;Mononegavirales;Paramyxoviridae;Orthoparamyxovirinae;Parajeilongvirus;Parajeilongvirus comorosense</t>
  </si>
  <si>
    <t>Riboviria;Orthornavirae;Negarnaviricota;Haploviricotina;Monjiviricetes;Mononegavirales;Paramyxoviridae;Orthoparamyxovirinae;Jeilongvirus;Jeilongvirus erinacei</t>
  </si>
  <si>
    <t>Riboviria;Orthornavirae;Negarnaviricota;Haploviricotina;Monjiviricetes;Mononegavirales;Paramyxoviridae;Orthoparamyxovirinae;Parajeilongvirus;Parajeilongvirus erinacei</t>
  </si>
  <si>
    <t>Riboviria;Orthornavirae;Negarnaviricota;Haploviricotina;Monjiviricetes;Mononegavirales;Paramyxoviridae;Orthoparamyxovirinae;Jeilongvirus;Jeilongvirus madagascarense</t>
  </si>
  <si>
    <t>Riboviria;Orthornavirae;Negarnaviricota;Haploviricotina;Monjiviricetes;Mononegavirales;Paramyxoviridae;Orthoparamyxovirinae;Parajeilongvirus;Parajeilongvirus madagascarense</t>
  </si>
  <si>
    <t>Riboviria;Orthornavirae;Negarnaviricota;Haploviricotina;Monjiviricetes;Mononegavirales;Paramyxoviridae;Orthoparamyxovirinae;Parajeilongvirus;Parajeilongvirus miniopteri</t>
  </si>
  <si>
    <t>Riboviria;Orthornavirae;Negarnaviricota;Haploviricotina;Monjiviricetes;Mononegavirales;Paramyxoviridae;Orthoparamyxovirinae;Tupaivirus;Tupaivirus tupaiae</t>
  </si>
  <si>
    <t>Riboviria;Orthornavirae;Negarnaviricota;Haploviricotina;Monjiviricetes;Mononegavirales;Rhabdoviridae;Alpharhabdovirinae;Almendravirus;Almendravirus xianshan</t>
  </si>
  <si>
    <t>Riboviria;Orthornavirae;Negarnaviricota;Haploviricotina;Monjiviricetes;Mononegavirales;Rhabdoviridae;Alpharhabdovirinae;Almendravirus;Almendravirus xiangshan</t>
  </si>
  <si>
    <t>Riboviria;Orthornavirae;Negarnaviricota;Haploviricotina;Monjiviricetes;Mononegavirales;Rhabdoviridae;Betarhabdovirinae;Varicosavirus;Varicosavirus pini</t>
  </si>
  <si>
    <t>Riboviria;Orthornavirae;Negarnaviricota;Haploviricotina;Monjiviricetes;Mononegavirales;Rhabdoviridae;Betarhabdovirinae;Alphagymnorhavirus;Alphagymnorhavirus piniflexilis</t>
  </si>
  <si>
    <t>Riboviria;Orthornavirae;Negarnaviricota;Haploviricotina;Monjiviricetes;Mononegavirales;Rhabdoviridae;Betarhabdovirinae;Varicosavirus;Varicosavirus brassicae</t>
  </si>
  <si>
    <t>Riboviria;Orthornavirae;Negarnaviricota;Haploviricotina;Monjiviricetes;Mononegavirales;Rhabdoviridae;Betarhabdovirinae;Varicosavirus;Varicosavirus alphabrassicae</t>
  </si>
  <si>
    <t>Riboviria;Orthornavirae;Negarnaviricota;Polyploviricotina;Ellioviricetes</t>
  </si>
  <si>
    <t>Riboviria;Orthornavirae;Negarnaviricota;Polyploviricotina;Bunyaviricetes</t>
  </si>
  <si>
    <t>Riboviria;Orthornavirae;Negarnaviricota;Polyploviricotina;Ellioviricetes;Bunyavirales</t>
  </si>
  <si>
    <t>Riboviria;Orthornavirae;Negarnaviricota;Polyploviricotina;Bunyaviricetes;Elliovirales</t>
  </si>
  <si>
    <t>Riboviria;Orthornavirae;Negarnaviricota;Polyploviricotina;Bunyaviricetes;Elliovirales;Hantaviridae;Actantavirinae;Percilovirus;Percilovirus lophii</t>
  </si>
  <si>
    <t>Riboviria;Orthornavirae;Negarnaviricota;Polyploviricotina;Bunyaviricetes;Elliovirales;Hantaviridae;Mammantavirinae;Mobatvirus;Mobatvirus robinaense</t>
  </si>
  <si>
    <t>Riboviria;Orthornavirae;Negarnaviricota;Polyploviricotina;Bunyaviricetes;Elliovirales;Hantaviridae;Mammantavirinae;Orthohantavirus;Orthohantavirus carrizalense</t>
  </si>
  <si>
    <t>Riboviria;Orthornavirae;Negarnaviricota;Polyploviricotina;Bunyaviricetes;Elliovirales;Hantaviridae;Mammantavirinae;Orthohantavirus;Orthohantavirus mamorense</t>
  </si>
  <si>
    <t>Riboviria;Orthornavirae;Negarnaviricota;Polyploviricotina;Bunyaviricetes;Hareavirales;Phenuiviridae;Bocivirus;Bocivirus viticulum</t>
  </si>
  <si>
    <t>Riboviria;Orthornavirae;Negarnaviricota;Polyploviricotina;Ellioviricetes;Bunyavirales;Phenuiviridae;Phlebovirus;Frijoles phlebovirus</t>
  </si>
  <si>
    <t>Riboviria;Orthornavirae;Negarnaviricota;Polyploviricotina;Bunyaviricetes;Hareavirales;Phenuiviridae;Phlebovirus;Phlebovirus limboense</t>
  </si>
  <si>
    <t>Riboviria;Orthornavirae;Pisuviricota;Duplopiviricetes;Durnavirales;Curvulaviridae;Orthocurvulavirus;Heterobasidion orthocurvulavirus</t>
  </si>
  <si>
    <t>Riboviria;Orthornavirae;Pisuviricota;Duplopiviricetes;Durnavirales;Curvulaviridae;Orthocurvulavirus;Orthocurvulavirus annosi</t>
  </si>
  <si>
    <t>Riboviria;Orthornavirae;Pisuviricota;Duplopiviricetes;Durnavirales;Curvulaviridae;Orthocurvulavirus;Curvularia orthocurvulavirus 1</t>
  </si>
  <si>
    <t>Riboviria;Orthornavirae;Pisuviricota;Duplopiviricetes;Durnavirales;Curvulaviridae;Orthocurvulavirus;Orthocurvulavirus curvulariae</t>
  </si>
  <si>
    <t>Riboviria;Orthornavirae;Pisuviricota;Duplopiviricetes;Durnavirales;Curvulaviridae;Orthocurvulavirus;Fusarium graminearum orthocurvulavirus</t>
  </si>
  <si>
    <t>Riboviria;Orthornavirae;Pisuviricota;Duplopiviricetes;Durnavirales;Curvulaviridae;Orthocurvulavirus;Orthocurvulavirus fusarii</t>
  </si>
  <si>
    <t>Riboviria;Orthornavirae;Pisuviricota;Duplopiviricetes;Durnavirales;Curvulaviridae;Orthocurvulavirus;Rhizoctonia solani orthocurvulavirus 1</t>
  </si>
  <si>
    <t>Riboviria;Orthornavirae;Pisuviricota;Duplopiviricetes;Durnavirales;Curvulaviridae;Orthocurvulavirus;Orthocurvulavirus rhizoctoniae</t>
  </si>
  <si>
    <t>Riboviria;Orthornavirae;Pisuviricota;Duplopiviricetes;Durnavirales;Curvulaviridae;Orthocurvulavirus;Lactarius rufus orthocurvulavirus 1</t>
  </si>
  <si>
    <t>Riboviria;Orthornavirae;Pisuviricota;Duplopiviricetes;Durnavirales;Curvulaviridae;Orthocurvulavirus;Orthocurvulavirus rufi</t>
  </si>
  <si>
    <t>Riboviria;Orthornavirae;Pisuviricota;Duplopiviricetes;Durnavirales;Curvulaviridae;Orthocurvulavirus;Sclerotium hydrophilum orthocurvulavirus 1</t>
  </si>
  <si>
    <t>Riboviria;Orthornavirae;Pisuviricota;Duplopiviricetes;Durnavirales;Curvulaviridae;Orthocurvulavirus;Orthocurvulavirus sclerotiniae</t>
  </si>
  <si>
    <t>Riboviria;Orthornavirae;Pisuviricota;Duplopiviricetes;Durnavirales;Curvulaviridae;Orthocurvulavirus;Lactarius tabidus orthocurvulavirus 1</t>
  </si>
  <si>
    <t>Riboviria;Orthornavirae;Pisuviricota;Duplopiviricetes;Durnavirales;Curvulaviridae;Orthocurvulavirus;Orthocurvulavirus tabidi</t>
  </si>
  <si>
    <t>Riboviria;Orthornavirae;Pisuviricota;Duplopiviricetes;Durnavirales;Curvulaviridae;Orthocurvulavirus;Trichoderma harzianum orthocurvulavirus 1</t>
  </si>
  <si>
    <t>Riboviria;Orthornavirae;Pisuviricota;Duplopiviricetes;Durnavirales;Curvulaviridae;Orthocurvulavirus;Orthocurvulavirus trichodermae</t>
  </si>
  <si>
    <t>Riboviria;Orthornavirae;Pisuviricota;Duplopiviricetes;Durnavirales;Partitiviridae;Alphapartitivirus;Beet cryptic virus 1</t>
  </si>
  <si>
    <t>Riboviria;Orthornavirae;Pisuviricota;Duplopiviricetes;Durnavirales;Partitiviridae;Alphapartitivirus;Alphapartitivirus betae</t>
  </si>
  <si>
    <t>Riboviria;Orthornavirae;Pisuviricota;Duplopiviricetes;Durnavirales;Partitiviridae;Alphapartitivirus;Carrot cryptic virus</t>
  </si>
  <si>
    <t>Riboviria;Orthornavirae;Pisuviricota;Duplopiviricetes;Durnavirales;Partitiviridae;Alphapartitivirus;Alphapartitivirus carotae</t>
  </si>
  <si>
    <t>Riboviria;Orthornavirae;Pisuviricota;Duplopiviricetes;Durnavirales;Partitiviridae;Alphapartitivirus;Cherry chlorotic rusty spot associated partitivirus</t>
  </si>
  <si>
    <t>Riboviria;Orthornavirae;Pisuviricota;Duplopiviricetes;Durnavirales;Partitiviridae;Alphapartitivirus;Alphapartitivirus cerasi</t>
  </si>
  <si>
    <t>Riboviria;Orthornavirae;Pisuviricota;Duplopiviricetes;Durnavirales;Partitiviridae;Alphapartitivirus;Chondrostereum purpureum cryptic virus 1</t>
  </si>
  <si>
    <t>Riboviria;Orthornavirae;Pisuviricota;Duplopiviricetes;Durnavirales;Partitiviridae;Alphapartitivirus;Alphapartitivirus chondrosteri</t>
  </si>
  <si>
    <t>Riboviria;Orthornavirae;Pisuviricota;Duplopiviricetes;Durnavirales;Partitiviridae;Alphapartitivirus;Heterobasidion partitivirus 12</t>
  </si>
  <si>
    <t>Riboviria;Orthornavirae;Pisuviricota;Duplopiviricetes;Durnavirales;Partitiviridae;Alphapartitivirus;Alphapartitivirus duodecimheterobasidion</t>
  </si>
  <si>
    <t>Riboviria;Orthornavirae;Pisuviricota;Duplopiviricetes;Durnavirales;Partitiviridae;Alphapartitivirus;Flammulina velutipes browning virus</t>
  </si>
  <si>
    <t>Riboviria;Orthornavirae;Pisuviricota;Duplopiviricetes;Durnavirales;Partitiviridae;Alphapartitivirus;Alphapartitivirus flammulinae</t>
  </si>
  <si>
    <t>Riboviria;Orthornavirae;Pisuviricota;Duplopiviricetes;Durnavirales;Partitiviridae;Alphapartitivirus;Helicobasidium mompa partitivirus V70</t>
  </si>
  <si>
    <t>Riboviria;Orthornavirae;Pisuviricota;Duplopiviricetes;Durnavirales;Partitiviridae;Alphapartitivirus;Alphapartitivirus helicobasidii</t>
  </si>
  <si>
    <t>Riboviria;Orthornavirae;Pisuviricota;Duplopiviricetes;Durnavirales;Partitiviridae;Alphapartitivirus;Heterobasidion partitivirus 15</t>
  </si>
  <si>
    <t>Riboviria;Orthornavirae;Pisuviricota;Duplopiviricetes;Durnavirales;Partitiviridae;Alphapartitivirus;Alphapartitivirus quindecimheterobasidion</t>
  </si>
  <si>
    <t>Riboviria;Orthornavirae;Pisuviricota;Duplopiviricetes;Durnavirales;Partitiviridae;Alphapartitivirus;Rosellinia necatrix partitivirus 2</t>
  </si>
  <si>
    <t>Riboviria;Orthornavirae;Pisuviricota;Duplopiviricetes;Durnavirales;Partitiviridae;Alphapartitivirus;Alphapartitivirus roselliniae</t>
  </si>
  <si>
    <t>Riboviria;Orthornavirae;Pisuviricota;Duplopiviricetes;Durnavirales;Partitiviridae;Alphapartitivirus;Heterobasidion partitivirus 13</t>
  </si>
  <si>
    <t>Riboviria;Orthornavirae;Pisuviricota;Duplopiviricetes;Durnavirales;Partitiviridae;Alphapartitivirus;Alphapartitivirus tredecimheterobasidion</t>
  </si>
  <si>
    <t>Riboviria;Orthornavirae;Pisuviricota;Duplopiviricetes;Durnavirales;Partitiviridae;Alphapartitivirus;White clover cryptic virus 1</t>
  </si>
  <si>
    <t>Riboviria;Orthornavirae;Pisuviricota;Duplopiviricetes;Durnavirales;Partitiviridae;Alphapartitivirus;Alphapartitivirus trifolii</t>
  </si>
  <si>
    <t>Riboviria;Orthornavirae;Pisuviricota;Duplopiviricetes;Durnavirales;Partitiviridae;Alphapartitivirus;Heterobasidion partitivirus 3</t>
  </si>
  <si>
    <t>Riboviria;Orthornavirae;Pisuviricota;Duplopiviricetes;Durnavirales;Partitiviridae;Alphapartitivirus;Alphapartitivirus triheterobasidion</t>
  </si>
  <si>
    <t>Riboviria;Orthornavirae;Pisuviricota;Duplopiviricetes;Durnavirales;Partitiviridae;Alphapartitivirus;Heterobasidion partitivirus 1</t>
  </si>
  <si>
    <t>Riboviria;Orthornavirae;Pisuviricota;Duplopiviricetes;Durnavirales;Partitiviridae;Alphapartitivirus;Alphapartitivirus uniheterobasidion</t>
  </si>
  <si>
    <t>Riboviria;Orthornavirae;Pisuviricota;Duplopiviricetes;Durnavirales;Partitiviridae;Alphapartitivirus;Vicia cryptic virus</t>
  </si>
  <si>
    <t>Riboviria;Orthornavirae;Pisuviricota;Duplopiviricetes;Durnavirales;Partitiviridae;Alphapartitivirus;Alphapartitivirus viciae</t>
  </si>
  <si>
    <t>Riboviria;Orthornavirae;Pisuviricota;Duplopiviricetes;Durnavirales;Partitiviridae;Betapartitivirus;Dill cryptic virus 2</t>
  </si>
  <si>
    <t>Riboviria;Orthornavirae;Pisuviricota;Duplopiviricetes;Durnavirales;Partitiviridae;Betapartitivirus;Betapartitivirus anethi</t>
  </si>
  <si>
    <t>Riboviria;Orthornavirae;Pisuviricota;Duplopiviricetes;Durnavirales;Partitiviridae;Betapartitivirus;Atkinsonella hypoxylon virus</t>
  </si>
  <si>
    <t>Riboviria;Orthornavirae;Pisuviricota;Duplopiviricetes;Durnavirales;Partitiviridae;Betapartitivirus;Betapartitivirus atkinsonellae</t>
  </si>
  <si>
    <t>Riboviria;Orthornavirae;Pisuviricota;Duplopiviricetes;Durnavirales;Partitiviridae;Betapartitivirus;Cannabis cryptic virus</t>
  </si>
  <si>
    <t>Riboviria;Orthornavirae;Pisuviricota;Duplopiviricetes;Durnavirales;Partitiviridae;Betapartitivirus;Betapartitivirus cannabis</t>
  </si>
  <si>
    <t>Riboviria;Orthornavirae;Pisuviricota;Duplopiviricetes;Durnavirales;Partitiviridae;Betapartitivirus;Ceratocystis resinifera virus 1</t>
  </si>
  <si>
    <t>Riboviria;Orthornavirae;Pisuviricota;Duplopiviricetes;Durnavirales;Partitiviridae;Betapartitivirus;Betapartitivirus ceratocystis</t>
  </si>
  <si>
    <t>Riboviria;Orthornavirae;Pisuviricota;Duplopiviricetes;Durnavirales;Partitiviridae;Betapartitivirus;Heterobasidion partitivirus 2</t>
  </si>
  <si>
    <t>Riboviria;Orthornavirae;Pisuviricota;Duplopiviricetes;Durnavirales;Partitiviridae;Betapartitivirus;Betapartitivirus duoheterobasidion</t>
  </si>
  <si>
    <t>Riboviria;Orthornavirae;Pisuviricota;Duplopiviricetes;Durnavirales;Partitiviridae;Betapartitivirus;Fusarium poae virus 1</t>
  </si>
  <si>
    <t>Riboviria;Orthornavirae;Pisuviricota;Duplopiviricetes;Durnavirales;Partitiviridae;Betapartitivirus;Betapartitivirus fusarii</t>
  </si>
  <si>
    <t>Riboviria;Orthornavirae;Pisuviricota;Duplopiviricetes;Durnavirales;Partitiviridae;Betapartitivirus;Hop trefoil cryptic virus 2</t>
  </si>
  <si>
    <t>Riboviria;Orthornavirae;Pisuviricota;Duplopiviricetes;Durnavirales;Partitiviridae;Betapartitivirus;Betapartitivirus humuli</t>
  </si>
  <si>
    <t>Riboviria;Orthornavirae;Pisuviricota;Duplopiviricetes;Durnavirales;Partitiviridae;Betapartitivirus;Heterobasidion partitivirus 8</t>
  </si>
  <si>
    <t>Riboviria;Orthornavirae;Pisuviricota;Duplopiviricetes;Durnavirales;Partitiviridae;Betapartitivirus;Betapartitivirus octiheterobasidion</t>
  </si>
  <si>
    <t>Riboviria;Orthornavirae;Pisuviricota;Duplopiviricetes;Durnavirales;Partitiviridae;Betapartitivirus;Heterobasidion partitivirus P</t>
  </si>
  <si>
    <t>Riboviria;Orthornavirae;Pisuviricota;Duplopiviricetes;Durnavirales;Partitiviridae;Betapartitivirus;Betapartitivirus piheterobasidion</t>
  </si>
  <si>
    <t>Riboviria;Orthornavirae;Pisuviricota;Duplopiviricetes;Durnavirales;Partitiviridae;Betapartitivirus;Pleurotus ostreatus virus 1</t>
  </si>
  <si>
    <t>Riboviria;Orthornavirae;Pisuviricota;Duplopiviricetes;Durnavirales;Partitiviridae;Betapartitivirus;Betapartitivirus pleuroti</t>
  </si>
  <si>
    <t>Riboviria;Orthornavirae;Pisuviricota;Duplopiviricetes;Durnavirales;Partitiviridae;Betapartitivirus;Red clover cryptic virus 2</t>
  </si>
  <si>
    <t>Riboviria;Orthornavirae;Pisuviricota;Duplopiviricetes;Durnavirales;Partitiviridae;Betapartitivirus;Betapartitivirus pratense</t>
  </si>
  <si>
    <t>Riboviria;Orthornavirae;Pisuviricota;Duplopiviricetes;Durnavirales;Partitiviridae;Betapartitivirus;Primula malacoides virus 1</t>
  </si>
  <si>
    <t>Riboviria;Orthornavirae;Pisuviricota;Duplopiviricetes;Durnavirales;Partitiviridae;Betapartitivirus;Betapartitivirus primulae</t>
  </si>
  <si>
    <t>Riboviria;Orthornavirae;Pisuviricota;Duplopiviricetes;Durnavirales;Partitiviridae;Betapartitivirus;Crimson clover cryptic virus 2</t>
  </si>
  <si>
    <t>Riboviria;Orthornavirae;Pisuviricota;Duplopiviricetes;Durnavirales;Partitiviridae;Betapartitivirus;Betapartitivirus purpurae</t>
  </si>
  <si>
    <t>Riboviria;Orthornavirae;Pisuviricota;Duplopiviricetes;Durnavirales;Partitiviridae;Betapartitivirus;Rhizoctonia solani virus 717</t>
  </si>
  <si>
    <t>Riboviria;Orthornavirae;Pisuviricota;Duplopiviricetes;Durnavirales;Partitiviridae;Betapartitivirus;Betapartitivirus rhiso</t>
  </si>
  <si>
    <t>Riboviria;Orthornavirae;Pisuviricota;Duplopiviricetes;Durnavirales;Partitiviridae;Betapartitivirus;Rosellinia necatrix virus 1</t>
  </si>
  <si>
    <t>Riboviria;Orthornavirae;Pisuviricota;Duplopiviricetes;Durnavirales;Partitiviridae;Betapartitivirus;Betapartitivirus roselliniae</t>
  </si>
  <si>
    <t>Riboviria;Orthornavirae;Pisuviricota;Duplopiviricetes;Durnavirales;Partitiviridae;Betapartitivirus;Heterobasidion partitivirus 7</t>
  </si>
  <si>
    <t>Riboviria;Orthornavirae;Pisuviricota;Duplopiviricetes;Durnavirales;Partitiviridae;Betapartitivirus;Betapartitivirus septemheterobasidion</t>
  </si>
  <si>
    <t>Riboviria;Orthornavirae;Pisuviricota;Duplopiviricetes;Durnavirales;Partitiviridae;Betapartitivirus;White clover cryptic virus 2</t>
  </si>
  <si>
    <t>Riboviria;Orthornavirae;Pisuviricota;Duplopiviricetes;Durnavirales;Partitiviridae;Betapartitivirus;Betapartitivirus trifolii</t>
  </si>
  <si>
    <t>Riboviria;Orthornavirae;Pisuviricota;Duplopiviricetes;Durnavirales;Partitiviridae;Cryspovirus;Cryptosporidium parvum virus 1</t>
  </si>
  <si>
    <t>Riboviria;Orthornavirae;Pisuviricota;Duplopiviricetes;Durnavirales;Partitiviridae;Cryspovirus;Cryspovirus cryptosporidii</t>
  </si>
  <si>
    <t>Riboviria;Orthornavirae;Pisuviricota;Duplopiviricetes;Durnavirales;Partitiviridae;Deltapartitivirus;Beet cryptic virus 2</t>
  </si>
  <si>
    <t>Riboviria;Orthornavirae;Pisuviricota;Duplopiviricetes;Durnavirales;Partitiviridae;Deltapartitivirus;Deltapartitivirus duobetae</t>
  </si>
  <si>
    <t>Riboviria;Orthornavirae;Pisuviricota;Duplopiviricetes;Durnavirales;Partitiviridae;Deltapartitivirus;Pepper cryptic virus 2</t>
  </si>
  <si>
    <t>Riboviria;Orthornavirae;Pisuviricota;Duplopiviricetes;Durnavirales;Partitiviridae;Deltapartitivirus;Deltapartitivirus duocapsici</t>
  </si>
  <si>
    <t>Riboviria;Orthornavirae;Pisuviricota;Duplopiviricetes;Durnavirales;Partitiviridae;Deltapartitivirus;Fig cryptic virus</t>
  </si>
  <si>
    <t>Riboviria;Orthornavirae;Pisuviricota;Duplopiviricetes;Durnavirales;Partitiviridae;Deltapartitivirus;Deltapartitivirus fici</t>
  </si>
  <si>
    <t>Riboviria;Orthornavirae;Pisuviricota;Duplopiviricetes;Durnavirales;Partitiviridae;Deltapartitivirus;Beet cryptic virus 3</t>
  </si>
  <si>
    <t>Riboviria;Orthornavirae;Pisuviricota;Duplopiviricetes;Durnavirales;Partitiviridae;Deltapartitivirus;Deltapartitivirus trebetae</t>
  </si>
  <si>
    <t>Riboviria;Orthornavirae;Pisuviricota;Duplopiviricetes;Durnavirales;Partitiviridae;Deltapartitivirus;Pepper cryptic virus 1</t>
  </si>
  <si>
    <t>Riboviria;Orthornavirae;Pisuviricota;Duplopiviricetes;Durnavirales;Partitiviridae;Deltapartitivirus;Deltapartitivirus unocapsici</t>
  </si>
  <si>
    <t>Riboviria;Orthornavirae;Pisuviricota;Duplopiviricetes;Durnavirales;Partitiviridae;Gammapartitivirus;Aspergillus ochraceous virus</t>
  </si>
  <si>
    <t>Riboviria;Orthornavirae;Pisuviricota;Duplopiviricetes;Durnavirales;Partitiviridae;Gammapartitivirus;Gammapartitivirus aspergilli</t>
  </si>
  <si>
    <t>Riboviria;Orthornavirae;Pisuviricota;Duplopiviricetes;Durnavirales;Partitiviridae;Gammapartitivirus;Discula destructiva virus 2</t>
  </si>
  <si>
    <t>Riboviria;Orthornavirae;Pisuviricota;Duplopiviricetes;Durnavirales;Partitiviridae;Gammapartitivirus;Gammapartitivirus duodisculae</t>
  </si>
  <si>
    <t>Riboviria;Orthornavirae;Pisuviricota;Duplopiviricetes;Durnavirales;Partitiviridae;Gammapartitivirus;Penicillium stoloniferum virus F</t>
  </si>
  <si>
    <t>Riboviria;Orthornavirae;Pisuviricota;Duplopiviricetes;Durnavirales;Partitiviridae;Gammapartitivirus;Gammapartitivirus effepenicillii</t>
  </si>
  <si>
    <t>Riboviria;Orthornavirae;Pisuviricota;Duplopiviricetes;Durnavirales;Partitiviridae;Gammapartitivirus;Penicillium stoloniferum virus S</t>
  </si>
  <si>
    <t>Riboviria;Orthornavirae;Pisuviricota;Duplopiviricetes;Durnavirales;Partitiviridae;Gammapartitivirus;Gammapartitivirus essepenicillii</t>
  </si>
  <si>
    <t>Riboviria;Orthornavirae;Pisuviricota;Duplopiviricetes;Durnavirales;Partitiviridae;Gammapartitivirus;Fusarium solani virus 1</t>
  </si>
  <si>
    <t>Riboviria;Orthornavirae;Pisuviricota;Duplopiviricetes;Durnavirales;Partitiviridae;Gammapartitivirus;Gammapartitivirus fusarii</t>
  </si>
  <si>
    <t>Riboviria;Orthornavirae;Pisuviricota;Duplopiviricetes;Durnavirales;Partitiviridae;Gammapartitivirus;Gremmeniella abietina RNA virus MS1</t>
  </si>
  <si>
    <t>Riboviria;Orthornavirae;Pisuviricota;Duplopiviricetes;Durnavirales;Partitiviridae;Gammapartitivirus;Gammapartitivirus gremmeniellae</t>
  </si>
  <si>
    <t>Riboviria;Orthornavirae;Pisuviricota;Duplopiviricetes;Durnavirales;Partitiviridae;Gammapartitivirus;Ophiostoma partitivirus 1</t>
  </si>
  <si>
    <t>Riboviria;Orthornavirae;Pisuviricota;Duplopiviricetes;Durnavirales;Partitiviridae;Gammapartitivirus;Gammapartitivirus ophiostomae</t>
  </si>
  <si>
    <t>Riboviria;Orthornavirae;Pisuviricota;Duplopiviricetes;Durnavirales;Partitiviridae;Gammapartitivirus;Discula destructiva virus 1</t>
  </si>
  <si>
    <t>Riboviria;Orthornavirae;Pisuviricota;Duplopiviricetes;Durnavirales;Partitiviridae;Gammapartitivirus;Gammapartitivirus unodisculae</t>
  </si>
  <si>
    <t>Riboviria;Orthornavirae;Pisuviricota;Pisoniviricetes;Nidovirales;Abnidovirineae;Abyssoviridae;Tiamatvirinae;Alphaabyssovirus;Aplyccavirus;Aplysia abyssovirus 1</t>
  </si>
  <si>
    <t>Riboviria;Orthornavirae;Pisuviricota;Pisoniviricetes;Nidovirales;Abnidovirineae;Abyssoviridae;Tiamatvirinae;Alphaabyssovirus;Aplyccavirus;Alphaabyssovirus aplysiae</t>
  </si>
  <si>
    <t>Riboviria;Orthornavirae;Pisuviricota;Pisoniviricetes;Nidovirales;Arnidovirineae;Arteriviridae;Simarterivirinae;Etaarterivirus;Etaarterivirus ugarco 1</t>
  </si>
  <si>
    <t>Riboviria;Orthornavirae;Pisuviricota;Pisoniviricetes;Nidovirales;Arnidovirineae;Arteriviridae;Simarterivirinae;Etaarterivirus;Etaarterivirus ugarco</t>
  </si>
  <si>
    <t>Riboviria;Orthornavirae;Pisuviricota;Pisoniviricetes;Nidovirales;Arnidovirineae;Arteriviridae;Simarterivirinae;Iotaarterivirus;Kigiartevirus;Iotaarterivirus kibreg 1</t>
  </si>
  <si>
    <t>Riboviria;Orthornavirae;Pisuviricota;Pisoniviricetes;Nidovirales;Arnidovirineae;Arteriviridae;Simarterivirinae;Iotaarterivirus;Kigiartevirus;Iotaarterivirus kibreg</t>
  </si>
  <si>
    <t>Riboviria;Orthornavirae;Pisuviricota;Pisoniviricetes;Nidovirales;Arnidovirineae;Arteriviridae;Simarterivirinae;Thetaarterivirus;Mitartevirus;Thetaarterivirus mikelba 1</t>
  </si>
  <si>
    <t>Riboviria;Orthornavirae;Pisuviricota;Pisoniviricetes;Nidovirales;Arnidovirineae;Arteriviridae;Simarterivirinae;Thetaarterivirus;Mitartevirus;Thetaarterivirus mikelba</t>
  </si>
  <si>
    <t>Riboviria;Orthornavirae;Pisuviricota;Pisoniviricetes;Nidovirales;Arnidovirineae;Arteriviridae;Simarterivirinae;Zetaarterivirus;Zetaarterivirus ugarco 1</t>
  </si>
  <si>
    <t>Riboviria;Orthornavirae;Pisuviricota;Pisoniviricetes;Nidovirales;Arnidovirineae;Arteriviridae;Simarterivirinae;Zetaarterivirus;Zetaarterivirus ugarco</t>
  </si>
  <si>
    <t>Riboviria;Orthornavirae;Pisuviricota;Pisoniviricetes;Nidovirales;Arnidovirineae;Arteriviridae;Variarterivirinae;Betaarterivirus;Ampobartevirus;Betaarterivirus suid 2</t>
  </si>
  <si>
    <t>Riboviria;Orthornavirae;Pisuviricota;Pisoniviricetes;Nidovirales;Arnidovirineae;Arteriviridae;Variarterivirinae;Betaarterivirus;Ampobartevirus;Betaarterivirus americense</t>
  </si>
  <si>
    <t>Riboviria;Orthornavirae;Pisuviricota;Pisoniviricetes;Nidovirales;Arnidovirineae;Arteriviridae;Variarterivirinae;Betaarterivirus;Chibartevirus;Betaarterivirus chinrav 1</t>
  </si>
  <si>
    <t>Riboviria;Orthornavirae;Pisuviricota;Pisoniviricetes;Nidovirales;Arnidovirineae;Arteriviridae;Variarterivirinae;Betaarterivirus;Chibartevirus;Betaarterivirus chinrav</t>
  </si>
  <si>
    <t>Riboviria;Orthornavirae;Pisuviricota;Pisoniviricetes;Nidovirales;Arnidovirineae;Arteriviridae;Variarterivirinae;Betaarterivirus;Eurpobartevirus;Betaarterivirus suid 1</t>
  </si>
  <si>
    <t>Riboviria;Orthornavirae;Pisuviricota;Pisoniviricetes;Nidovirales;Arnidovirineae;Arteriviridae;Variarterivirinae;Betaarterivirus;Eurpobartevirus;Betaarterivirus europensis</t>
  </si>
  <si>
    <t>Riboviria;Orthornavirae;Pisuviricota;Pisoniviricetes;Nidovirales;Arnidovirineae;Cremegaviridae;Rodepovirinae;Pontunivirus;Chinturpovirus 1</t>
  </si>
  <si>
    <t>Riboviria;Orthornavirae;Pisuviricota;Pisoniviricetes;Nidovirales;Arnidovirineae;Cremegaviridae;Rodepovirinae;Pontunivirus;Pontunivirus mauremydis</t>
  </si>
  <si>
    <t>Riboviria;Orthornavirae;Pisuviricota;Pisoniviricetes;Nidovirales;Arnidovirineae;Gresnaviridae;Reternivirinae;Cyclophivirus;Ptyasnivirus 1</t>
  </si>
  <si>
    <t>Riboviria;Orthornavirae;Pisuviricota;Pisoniviricetes;Nidovirales;Arnidovirineae;Gresnaviridae;Reternivirinae;Cyclophivirus;Cyclophivirus ptyadis</t>
  </si>
  <si>
    <t>Riboviria;Orthornavirae;Pisuviricota;Pisoniviricetes;Nidovirales;Arnidovirineae;Olifoviridae;Gofosavirinae;Kukrinivirus;Oligodon snake nidovirus 1</t>
  </si>
  <si>
    <t>Riboviria;Orthornavirae;Pisuviricota;Pisoniviricetes;Nidovirales;Arnidovirineae;Olifoviridae;Gofosavirinae;Kukrinivirus;Kukrinivirus oligodontis</t>
  </si>
  <si>
    <t>Riboviria;Orthornavirae;Pisuviricota;Pisoniviricetes;Nidovirales;Cornidovirineae;Coronaviridae;Letovirinae;Alphaletovirus;Milecovirus;Microhyla letovirus 1</t>
  </si>
  <si>
    <t>Riboviria;Orthornavirae;Pisuviricota;Pisoniviricetes;Nidovirales;Cornidovirineae;Coronaviridae;Letovirinae;Alphaletovirus;Milecovirus;Alphaletovirus microhylae</t>
  </si>
  <si>
    <t>Riboviria;Orthornavirae;Pisuviricota;Pisoniviricetes;Nidovirales;Cornidovirineae;Coronaviridae;Orthocoronavirinae;Alphacoronavirus;Amalacovirus;Alphacoronavirus AMALF</t>
  </si>
  <si>
    <t>Riboviria;Orthornavirae;Pisuviricota;Pisoniviricetes;Nidovirales;Cornidovirineae;Coronaviridae;Orthocoronavirinae;Alphacoronavirus;Amalacovirus;Alphacoronavirus almalfi</t>
  </si>
  <si>
    <t>Riboviria;Orthornavirae;Pisuviricota;Pisoniviricetes;Nidovirales;Cornidovirineae;Coronaviridae;Orthocoronavirinae;Alphacoronavirus;Colacovirus;Bat coronavirus CDPHE15</t>
  </si>
  <si>
    <t>Riboviria;Orthornavirae;Pisuviricota;Pisoniviricetes;Nidovirales;Cornidovirineae;Coronaviridae;Orthocoronavirinae;Alphacoronavirus;Colacovirus;Alphacoronavirus myotis</t>
  </si>
  <si>
    <t>Riboviria;Orthornavirae;Pisuviricota;Pisoniviricetes;Nidovirales;Cornidovirineae;Coronaviridae;Orthocoronavirinae;Alphacoronavirus;Decacovirus;Alphacoronavirus WA3607</t>
  </si>
  <si>
    <t>Riboviria;Orthornavirae;Pisuviricota;Pisoniviricetes;Nidovirales;Cornidovirineae;Coronaviridae;Orthocoronavirinae;Alphacoronavirus;Decacovirus;Alphacoronavirus australiense</t>
  </si>
  <si>
    <t>Riboviria;Orthornavirae;Pisuviricota;Pisoniviricetes;Nidovirales;Cornidovirineae;Coronaviridae;Orthocoronavirinae;Alphacoronavirus;Decacovirus;Rhinolophus ferrumequinum alphacoronavirus HuB-2013</t>
  </si>
  <si>
    <t>Riboviria;Orthornavirae;Pisuviricota;Pisoniviricetes;Nidovirales;Cornidovirineae;Coronaviridae;Orthocoronavirinae;Alphacoronavirus;Decacovirus;Alphacoronavirus ferrumequini</t>
  </si>
  <si>
    <t>Riboviria;Orthornavirae;Pisuviricota;Pisoniviricetes;Nidovirales;Cornidovirineae;Coronaviridae;Orthocoronavirinae;Alphacoronavirus;Decacovirus;Alphacoronavirus CHB25</t>
  </si>
  <si>
    <t>Riboviria;Orthornavirae;Pisuviricota;Pisoniviricetes;Nidovirales;Cornidovirineae;Coronaviridae;Orthocoronavirinae;Alphacoronavirus;Decacovirus;Alphacoronavirus hipposideri</t>
  </si>
  <si>
    <t>Riboviria;Orthornavirae;Pisuviricota;Pisoniviricetes;Nidovirales;Cornidovirineae;Coronaviridae;Orthocoronavirinae;Alphacoronavirus;Decacovirus;Bat coronavirus HKU10</t>
  </si>
  <si>
    <t>Riboviria;Orthornavirae;Pisuviricota;Pisoniviricetes;Nidovirales;Cornidovirineae;Coronaviridae;Orthocoronavirinae;Alphacoronavirus;Decacovirus;Alphacoronavirus rousetti</t>
  </si>
  <si>
    <t>Riboviria;Orthornavirae;Pisuviricota;Pisoniviricetes;Nidovirales;Cornidovirineae;Coronaviridae;Orthocoronavirinae;Alphacoronavirus;Duvinacovirus;Human coronavirus 229E</t>
  </si>
  <si>
    <t>Riboviria;Orthornavirae;Pisuviricota;Pisoniviricetes;Nidovirales;Cornidovirineae;Coronaviridae;Orthocoronavirinae;Alphacoronavirus;Duvinacovirus;Alphacoronavirus chicagoense</t>
  </si>
  <si>
    <t>Riboviria;Orthornavirae;Pisuviricota;Pisoniviricetes;Nidovirales;Cornidovirineae;Coronaviridae;Orthocoronavirinae;Alphacoronavirus;Luchacovirus;Lucheng Rn rat coronavirus</t>
  </si>
  <si>
    <t>Riboviria;Orthornavirae;Pisuviricota;Pisoniviricetes;Nidovirales;Cornidovirineae;Coronaviridae;Orthocoronavirinae;Alphacoronavirus;Luchacovirus;Alphacoronavirus ratti</t>
  </si>
  <si>
    <t>Riboviria;Orthornavirae;Pisuviricota;Pisoniviricetes;Nidovirales;Cornidovirineae;Coronaviridae;Orthocoronavirinae;Alphacoronavirus;Minacovirus;Mink coronavirus 1</t>
  </si>
  <si>
    <t>Riboviria;Orthornavirae;Pisuviricota;Pisoniviricetes;Nidovirales;Cornidovirineae;Coronaviridae;Orthocoronavirinae;Alphacoronavirus;Minacovirus;Alphacoronavirus neovisontis</t>
  </si>
  <si>
    <t>Riboviria;Orthornavirae;Pisuviricota;Pisoniviricetes;Nidovirales;Cornidovirineae;Coronaviridae;Orthocoronavirinae;Alphacoronavirus;Minunacovirus;Miniopterus bat coronavirus HKU8</t>
  </si>
  <si>
    <t>Riboviria;Orthornavirae;Pisuviricota;Pisoniviricetes;Nidovirales;Cornidovirineae;Coronaviridae;Orthocoronavirinae;Alphacoronavirus;Minunacovirus;Alphacoronavirus miniopteri</t>
  </si>
  <si>
    <t>Riboviria;Orthornavirae;Pisuviricota;Pisoniviricetes;Nidovirales;Cornidovirineae;Coronaviridae;Orthocoronavirinae;Alphacoronavirus;Minunacovirus;Miniopterus bat coronavirus 1</t>
  </si>
  <si>
    <t>Riboviria;Orthornavirae;Pisuviricota;Pisoniviricetes;Nidovirales;Cornidovirineae;Coronaviridae;Orthocoronavirinae;Alphacoronavirus;Minunacovirus;Alphacoronavirus pusilli</t>
  </si>
  <si>
    <t>Riboviria;Orthornavirae;Pisuviricota;Pisoniviricetes;Nidovirales;Cornidovirineae;Coronaviridae;Orthocoronavirinae;Alphacoronavirus;Myotacovirus;Myotis ricketti alphacoronavirus Sax-2011</t>
  </si>
  <si>
    <t>Riboviria;Orthornavirae;Pisuviricota;Pisoniviricetes;Nidovirales;Cornidovirineae;Coronaviridae;Orthocoronavirinae;Alphacoronavirus;Myotacovirus;Alphacoronavirus ricketti</t>
  </si>
  <si>
    <t>Riboviria;Orthornavirae;Pisuviricota;Pisoniviricetes;Nidovirales;Cornidovirineae;Coronaviridae;Orthocoronavirinae;Alphacoronavirus;Nyctacovirus;Alphacoronavirus WA2028</t>
  </si>
  <si>
    <t>Riboviria;Orthornavirae;Pisuviricota;Pisoniviricetes;Nidovirales;Cornidovirineae;Coronaviridae;Orthocoronavirinae;Alphacoronavirus;Nyctacovirus;Alphacoronavirus chalinolobi</t>
  </si>
  <si>
    <t>Riboviria;Orthornavirae;Pisuviricota;Pisoniviricetes;Nidovirales;Cornidovirineae;Coronaviridae;Orthocoronavirinae;Alphacoronavirus;Nyctacovirus;Nyctalus velutinus alphacoronavirus SC-2013</t>
  </si>
  <si>
    <t>Riboviria;Orthornavirae;Pisuviricota;Pisoniviricetes;Nidovirales;Cornidovirineae;Coronaviridae;Orthocoronavirinae;Alphacoronavirus;Nyctacovirus;Alphacoronavirus nyctali</t>
  </si>
  <si>
    <t>Riboviria;Orthornavirae;Pisuviricota;Pisoniviricetes;Nidovirales;Cornidovirineae;Coronaviridae;Orthocoronavirinae;Alphacoronavirus;Nyctacovirus;Pipistrellus kuhlii coronavirus 3398</t>
  </si>
  <si>
    <t>Riboviria;Orthornavirae;Pisuviricota;Pisoniviricetes;Nidovirales;Cornidovirineae;Coronaviridae;Orthocoronavirinae;Alphacoronavirus;Nyctacovirus;Alphacoronavirus pipistrelli</t>
  </si>
  <si>
    <t>Riboviria;Orthornavirae;Pisuviricota;Pisoniviricetes;Nidovirales;Cornidovirineae;Coronaviridae;Orthocoronavirinae;Alphacoronavirus;Nyctacovirus;Alphacoronavirus HKU33</t>
  </si>
  <si>
    <t>Riboviria;Orthornavirae;Pisuviricota;Pisoniviricetes;Nidovirales;Cornidovirineae;Coronaviridae;Orthocoronavirinae;Alphacoronavirus;Nyctacovirus;Alphacoronavirus tylonycteridis</t>
  </si>
  <si>
    <t>Riboviria;Orthornavirae;Pisuviricota;Pisoniviricetes;Nidovirales;Cornidovirineae;Coronaviridae;Orthocoronavirinae;Alphacoronavirus;Pedacovirus;Alphacoronavirus BT020</t>
  </si>
  <si>
    <t>Riboviria;Orthornavirae;Pisuviricota;Pisoniviricetes;Nidovirales;Cornidovirineae;Coronaviridae;Orthocoronavirinae;Alphacoronavirus;Pedacovirus;Alphacoronavirus finnoniense</t>
  </si>
  <si>
    <t>Riboviria;Orthornavirae;Pisuviricota;Pisoniviricetes;Nidovirales;Cornidovirineae;Coronaviridae;Orthocoronavirinae;Alphacoronavirus;Pedacovirus;Alphacoronavirus WA1087</t>
  </si>
  <si>
    <t>Riboviria;Orthornavirae;Pisuviricota;Pisoniviricetes;Nidovirales;Cornidovirineae;Coronaviridae;Orthocoronavirinae;Alphacoronavirus;Pedacovirus;Alphacoronavirus gouldii</t>
  </si>
  <si>
    <t>Riboviria;Orthornavirae;Pisuviricota;Pisoniviricetes;Nidovirales;Cornidovirineae;Coronaviridae;Orthocoronavirinae;Alphacoronavirus;Pedacovirus;Porcine epidemic diarrhea virus</t>
  </si>
  <si>
    <t>Riboviria;Orthornavirae;Pisuviricota;Pisoniviricetes;Nidovirales;Cornidovirineae;Coronaviridae;Orthocoronavirinae;Alphacoronavirus;Pedacovirus;Alphacoronavirus porci</t>
  </si>
  <si>
    <t>Riboviria;Orthornavirae;Pisuviricota;Pisoniviricetes;Nidovirales;Cornidovirineae;Coronaviridae;Orthocoronavirinae;Alphacoronavirus;Pedacovirus;Scotophilus bat coronavirus 512</t>
  </si>
  <si>
    <t>Riboviria;Orthornavirae;Pisuviricota;Pisoniviricetes;Nidovirales;Cornidovirineae;Coronaviridae;Orthocoronavirinae;Alphacoronavirus;Pedacovirus;Alphacoronavirus scotophili</t>
  </si>
  <si>
    <t>Riboviria;Orthornavirae;Pisuviricota;Pisoniviricetes;Nidovirales;Cornidovirineae;Coronaviridae;Orthocoronavirinae;Alphacoronavirus;Rhinacovirus;Rhinolophus bat coronavirus HKU2</t>
  </si>
  <si>
    <t>Riboviria;Orthornavirae;Pisuviricota;Pisoniviricetes;Nidovirales;Cornidovirineae;Coronaviridae;Orthocoronavirinae;Alphacoronavirus;Rhinacovirus;Alphacoronavirus rhinolophi</t>
  </si>
  <si>
    <t>Riboviria;Orthornavirae;Pisuviricota;Pisoniviricetes;Nidovirales;Cornidovirineae;Coronaviridae;Orthocoronavirinae;Alphacoronavirus;Setracovirus;Human coronavirus NL63</t>
  </si>
  <si>
    <t>Riboviria;Orthornavirae;Pisuviricota;Pisoniviricetes;Nidovirales;Cornidovirineae;Coronaviridae;Orthocoronavirinae;Alphacoronavirus;Setracovirus;Alphacoronavirus amsterdamense</t>
  </si>
  <si>
    <t>Riboviria;Orthornavirae;Pisuviricota;Pisoniviricetes;Nidovirales;Cornidovirineae;Coronaviridae;Orthocoronavirinae;Alphacoronavirus;Setracovirus;NL63-related bat coronavirus strain BtKYNL63-9b</t>
  </si>
  <si>
    <t>Riboviria;Orthornavirae;Pisuviricota;Pisoniviricetes;Nidovirales;Cornidovirineae;Coronaviridae;Orthocoronavirinae;Alphacoronavirus;Setracovirus;Alphacoronavirus triaenopis</t>
  </si>
  <si>
    <t>Riboviria;Orthornavirae;Pisuviricota;Pisoniviricetes;Nidovirales;Cornidovirineae;Coronaviridae;Orthocoronavirinae;Alphacoronavirus;Soracovirus;Sorex araneus coronavirus T14</t>
  </si>
  <si>
    <t>Riboviria;Orthornavirae;Pisuviricota;Pisoniviricetes;Nidovirales;Cornidovirineae;Coronaviridae;Orthocoronavirinae;Alphacoronavirus;Soracovirus;Alphacoronavirus soricis</t>
  </si>
  <si>
    <t>Riboviria;Orthornavirae;Pisuviricota;Pisoniviricetes;Nidovirales;Cornidovirineae;Coronaviridae;Orthocoronavirinae;Alphacoronavirus;Sunacovirus;Suncus murinus coronavirus X74</t>
  </si>
  <si>
    <t>Riboviria;Orthornavirae;Pisuviricota;Pisoniviricetes;Nidovirales;Cornidovirineae;Coronaviridae;Orthocoronavirinae;Alphacoronavirus;Sunacovirus;Alphacoronavirus sunci</t>
  </si>
  <si>
    <t>Riboviria;Orthornavirae;Pisuviricota;Pisoniviricetes;Nidovirales;Cornidovirineae;Coronaviridae;Orthocoronavirinae;Alphacoronavirus;Tegacovirus;Alphacoronavirus 1</t>
  </si>
  <si>
    <t>Riboviria;Orthornavirae;Pisuviricota;Pisoniviricetes;Nidovirales;Cornidovirineae;Coronaviridae;Orthocoronavirinae;Alphacoronavirus;Tegacovirus;Alphacoronavirus suis</t>
  </si>
  <si>
    <t>Riboviria;Orthornavirae;Pisuviricota;Pisoniviricetes;Nidovirales;Cornidovirineae;Coronaviridae;Orthocoronavirinae;Betacoronavirus;Embecovirus;Betacoronavirus 1</t>
  </si>
  <si>
    <t>Riboviria;Orthornavirae;Pisuviricota;Pisoniviricetes;Nidovirales;Cornidovirineae;Coronaviridae;Orthocoronavirinae;Betacoronavirus;Embecovirus;Betacoronavirus gravedinis</t>
  </si>
  <si>
    <t>Riboviria;Orthornavirae;Pisuviricota;Pisoniviricetes;Nidovirales;Cornidovirineae;Coronaviridae;Orthocoronavirinae;Betacoronavirus;Embecovirus;Human coronavirus HKU1</t>
  </si>
  <si>
    <t>Riboviria;Orthornavirae;Pisuviricota;Pisoniviricetes;Nidovirales;Cornidovirineae;Coronaviridae;Orthocoronavirinae;Betacoronavirus;Embecovirus;Betacoronavirus hongkongense</t>
  </si>
  <si>
    <t>Riboviria;Orthornavirae;Pisuviricota;Pisoniviricetes;Nidovirales;Cornidovirineae;Coronaviridae;Orthocoronavirinae;Betacoronavirus;Embecovirus;Murine coronavirus</t>
  </si>
  <si>
    <t>Riboviria;Orthornavirae;Pisuviricota;Pisoniviricetes;Nidovirales;Cornidovirineae;Coronaviridae;Orthocoronavirinae;Betacoronavirus;Embecovirus;Betacoronavirus muris</t>
  </si>
  <si>
    <t>Riboviria;Orthornavirae;Pisuviricota;Pisoniviricetes;Nidovirales;Cornidovirineae;Coronaviridae;Orthocoronavirinae;Betacoronavirus;Embecovirus;Myodes coronavirus 2JL14</t>
  </si>
  <si>
    <t>Riboviria;Orthornavirae;Pisuviricota;Pisoniviricetes;Nidovirales;Cornidovirineae;Coronaviridae;Orthocoronavirinae;Betacoronavirus;Embecovirus;Betacoronavirus myodae</t>
  </si>
  <si>
    <t>Riboviria;Orthornavirae;Pisuviricota;Pisoniviricetes;Nidovirales;Cornidovirineae;Coronaviridae;Orthocoronavirinae;Betacoronavirus;Embecovirus;China Rattus coronavirus HKU24</t>
  </si>
  <si>
    <t>Riboviria;Orthornavirae;Pisuviricota;Pisoniviricetes;Nidovirales;Cornidovirineae;Coronaviridae;Orthocoronavirinae;Betacoronavirus;Embecovirus;Betacoronavirus ratti</t>
  </si>
  <si>
    <t>Riboviria;Orthornavirae;Pisuviricota;Pisoniviricetes;Nidovirales;Cornidovirineae;Coronaviridae;Orthocoronavirinae;Betacoronavirus;Hibecovirus;Bat Hp-betacoronavirus Zhejiang2013</t>
  </si>
  <si>
    <t>Riboviria;Orthornavirae;Pisuviricota;Pisoniviricetes;Nidovirales;Cornidovirineae;Coronaviridae;Orthocoronavirinae;Betacoronavirus;Hibecovirus;Betacoronavirus hipposideri</t>
  </si>
  <si>
    <t>Riboviria;Orthornavirae;Pisuviricota;Pisoniviricetes;Nidovirales;Cornidovirineae;Coronaviridae;Orthocoronavirinae;Betacoronavirus;Merbecovirus;Middle East respiratory syndrome-related coronavirus</t>
  </si>
  <si>
    <t>Riboviria;Orthornavirae;Pisuviricota;Pisoniviricetes;Nidovirales;Cornidovirineae;Coronaviridae;Orthocoronavirinae;Betacoronavirus;Merbecovirus;Betacoronavirus cameli</t>
  </si>
  <si>
    <t>Riboviria;Orthornavirae;Pisuviricota;Pisoniviricetes;Nidovirales;Cornidovirineae;Coronaviridae;Orthocoronavirinae;Betacoronavirus;Merbecovirus;Hedgehog coronavirus 1</t>
  </si>
  <si>
    <t>Riboviria;Orthornavirae;Pisuviricota;Pisoniviricetes;Nidovirales;Cornidovirineae;Coronaviridae;Orthocoronavirinae;Betacoronavirus;Merbecovirus;Betacoronavirus erinacei</t>
  </si>
  <si>
    <t>Riboviria;Orthornavirae;Pisuviricota;Pisoniviricetes;Nidovirales;Cornidovirineae;Coronaviridae;Orthocoronavirinae;Betacoronavirus;Merbecovirus;Pipistrellus bat coronavirus HKU5</t>
  </si>
  <si>
    <t>Riboviria;Orthornavirae;Pisuviricota;Pisoniviricetes;Nidovirales;Cornidovirineae;Coronaviridae;Orthocoronavirinae;Betacoronavirus;Merbecovirus;Betacoronavirus pipistrelli</t>
  </si>
  <si>
    <t>Riboviria;Orthornavirae;Pisuviricota;Pisoniviricetes;Nidovirales;Cornidovirineae;Coronaviridae;Orthocoronavirinae;Betacoronavirus;Merbecovirus;Tylonycteris bat coronavirus HKU4</t>
  </si>
  <si>
    <t>Riboviria;Orthornavirae;Pisuviricota;Pisoniviricetes;Nidovirales;Cornidovirineae;Coronaviridae;Orthocoronavirinae;Betacoronavirus;Merbecovirus;Betacoronavirus tylonycteridis</t>
  </si>
  <si>
    <t>Riboviria;Orthornavirae;Pisuviricota;Pisoniviricetes;Nidovirales;Cornidovirineae;Coronaviridae;Orthocoronavirinae;Betacoronavirus;Nobecovirus;Rousettus bat coronavirus GCCDC1</t>
  </si>
  <si>
    <t>Riboviria;Orthornavirae;Pisuviricota;Pisoniviricetes;Nidovirales;Cornidovirineae;Coronaviridae;Orthocoronavirinae;Betacoronavirus;Nobecovirus;Betacoronavirus cororeum</t>
  </si>
  <si>
    <t>Riboviria;Orthornavirae;Pisuviricota;Pisoniviricetes;Nidovirales;Cornidovirineae;Coronaviridae;Orthocoronavirinae;Betacoronavirus;Nobecovirus;Eidolon bat coronavirus C704</t>
  </si>
  <si>
    <t>Riboviria;Orthornavirae;Pisuviricota;Pisoniviricetes;Nidovirales;Cornidovirineae;Coronaviridae;Orthocoronavirinae;Betacoronavirus;Nobecovirus;Betacoronavirus eidoli</t>
  </si>
  <si>
    <t>Riboviria;Orthornavirae;Pisuviricota;Pisoniviricetes;Nidovirales;Cornidovirineae;Coronaviridae;Orthocoronavirinae;Betacoronavirus;Nobecovirus;Rousettus bat coronavirus HKU9</t>
  </si>
  <si>
    <t>Riboviria;Orthornavirae;Pisuviricota;Pisoniviricetes;Nidovirales;Cornidovirineae;Coronaviridae;Orthocoronavirinae;Betacoronavirus;Nobecovirus;Betacoronavirus rousetti</t>
  </si>
  <si>
    <t>Riboviria;Orthornavirae;Pisuviricota;Pisoniviricetes;Nidovirales;Cornidovirineae;Coronaviridae;Orthocoronavirinae;Betacoronavirus;Sarbecovirus;Severe acute respiratory syndrome-related coronavirus</t>
  </si>
  <si>
    <t>Riboviria;Orthornavirae;Pisuviricota;Pisoniviricetes;Nidovirales;Cornidovirineae;Coronaviridae;Orthocoronavirinae;Betacoronavirus;Sarbecovirus;Betacoronavirus pandemicum</t>
  </si>
  <si>
    <t>Riboviria;Orthornavirae;Pisuviricota;Pisoniviricetes;Nidovirales;Cornidovirineae;Coronaviridae;Orthocoronavirinae;Deltacoronavirus;Andecovirus;Wigeon coronavirus HKU20</t>
  </si>
  <si>
    <t>Riboviria;Orthornavirae;Pisuviricota;Pisoniviricetes;Nidovirales;Cornidovirineae;Coronaviridae;Orthocoronavirinae;Deltacoronavirus;Andecovirus;Deltacoronavirus marecae</t>
  </si>
  <si>
    <t>Riboviria;Orthornavirae;Pisuviricota;Pisoniviricetes;Nidovirales;Cornidovirineae;Coronaviridae;Orthocoronavirinae;Deltacoronavirus;Buldecovirus;Common moorhen coronavirus HKU21</t>
  </si>
  <si>
    <t>Riboviria;Orthornavirae;Pisuviricota;Pisoniviricetes;Nidovirales;Cornidovirineae;Coronaviridae;Orthocoronavirinae;Deltacoronavirus;Buldecovirus;Deltacoronavirus gallinulae</t>
  </si>
  <si>
    <t>Riboviria;Orthornavirae;Pisuviricota;Pisoniviricetes;Nidovirales;Cornidovirineae;Coronaviridae;Orthocoronavirinae;Deltacoronavirus;Buldecovirus;Munia coronavirus HKU13</t>
  </si>
  <si>
    <t>Riboviria;Orthornavirae;Pisuviricota;Pisoniviricetes;Nidovirales;Cornidovirineae;Coronaviridae;Orthocoronavirinae;Deltacoronavirus;Buldecovirus;Deltacoronavirus lonchurae</t>
  </si>
  <si>
    <t>Riboviria;Orthornavirae;Pisuviricota;Pisoniviricetes;Nidovirales;Cornidovirineae;Coronaviridae;Orthocoronavirinae;Deltacoronavirus;Buldecovirus;Bulbul coronavirus HKU11</t>
  </si>
  <si>
    <t>Riboviria;Orthornavirae;Pisuviricota;Pisoniviricetes;Nidovirales;Cornidovirineae;Coronaviridae;Orthocoronavirinae;Deltacoronavirus;Buldecovirus;Deltacoronavirus pycnonoti</t>
  </si>
  <si>
    <t>Riboviria;Orthornavirae;Pisuviricota;Pisoniviricetes;Nidovirales;Cornidovirineae;Coronaviridae;Orthocoronavirinae;Deltacoronavirus;Buldecovirus;Coronavirus HKU15</t>
  </si>
  <si>
    <t>Riboviria;Orthornavirae;Pisuviricota;Pisoniviricetes;Nidovirales;Cornidovirineae;Coronaviridae;Orthocoronavirinae;Deltacoronavirus;Buldecovirus;Deltacoronavirus suis</t>
  </si>
  <si>
    <t>Riboviria;Orthornavirae;Pisuviricota;Pisoniviricetes;Nidovirales;Cornidovirineae;Coronaviridae;Orthocoronavirinae;Deltacoronavirus;Buldecovirus;White-eye coronavirus HKU16</t>
  </si>
  <si>
    <t>Riboviria;Orthornavirae;Pisuviricota;Pisoniviricetes;Nidovirales;Cornidovirineae;Coronaviridae;Orthocoronavirinae;Deltacoronavirus;Buldecovirus;Deltacoronavirus zosteropis</t>
  </si>
  <si>
    <t>Riboviria;Orthornavirae;Pisuviricota;Pisoniviricetes;Nidovirales;Cornidovirineae;Coronaviridae;Orthocoronavirinae;Deltacoronavirus;Herdecovirus;Night heron coronavirus HKU19</t>
  </si>
  <si>
    <t>Riboviria;Orthornavirae;Pisuviricota;Pisoniviricetes;Nidovirales;Cornidovirineae;Coronaviridae;Orthocoronavirinae;Deltacoronavirus;Herdecovirus;Deltacoronavirus nycticoracis</t>
  </si>
  <si>
    <t>Riboviria;Orthornavirae;Pisuviricota;Pisoniviricetes;Nidovirales;Cornidovirineae;Coronaviridae;Orthocoronavirinae;Gammacoronavirus;Brangacovirus;Goose coronavirus CB17</t>
  </si>
  <si>
    <t>Riboviria;Orthornavirae;Pisuviricota;Pisoniviricetes;Nidovirales;Cornidovirineae;Coronaviridae;Orthocoronavirinae;Gammacoronavirus;Brangacovirus;Gammacoronavirus brantae</t>
  </si>
  <si>
    <t>Riboviria;Orthornavirae;Pisuviricota;Pisoniviricetes;Nidovirales;Cornidovirineae;Coronaviridae;Orthocoronavirinae;Gammacoronavirus;Cegacovirus;Beluga whale coronavirus SW1</t>
  </si>
  <si>
    <t>Riboviria;Orthornavirae;Pisuviricota;Pisoniviricetes;Nidovirales;Cornidovirineae;Coronaviridae;Orthocoronavirinae;Gammacoronavirus;Cegacovirus;Gammacoronavirus delphinapteri</t>
  </si>
  <si>
    <t>Riboviria;Orthornavirae;Pisuviricota;Pisoniviricetes;Nidovirales;Cornidovirineae;Coronaviridae;Orthocoronavirinae;Gammacoronavirus;Igacovirus;Duck coronavirus 2714</t>
  </si>
  <si>
    <t>Riboviria;Orthornavirae;Pisuviricota;Pisoniviricetes;Nidovirales;Cornidovirineae;Coronaviridae;Orthocoronavirinae;Gammacoronavirus;Igacovirus;Gammacoronavirus anatis</t>
  </si>
  <si>
    <t>Riboviria;Orthornavirae;Pisuviricota;Pisoniviricetes;Nidovirales;Cornidovirineae;Coronaviridae;Orthocoronavirinae;Gammacoronavirus;Igacovirus;Avian coronavirus</t>
  </si>
  <si>
    <t>Riboviria;Orthornavirae;Pisuviricota;Pisoniviricetes;Nidovirales;Cornidovirineae;Coronaviridae;Orthocoronavirinae;Gammacoronavirus;Igacovirus;Gammacoronavirus galli</t>
  </si>
  <si>
    <t>Riboviria;Orthornavirae;Pisuviricota;Pisoniviricetes;Nidovirales;Cornidovirineae;Coronaviridae;Orthocoronavirinae;Gammacoronavirus;Igacovirus;Avian coronavirus 9203</t>
  </si>
  <si>
    <t>Riboviria;Orthornavirae;Pisuviricota;Pisoniviricetes;Nidovirales;Cornidovirineae;Coronaviridae;Orthocoronavirinae;Gammacoronavirus;Igacovirus;Gammacoronavirus pulli</t>
  </si>
  <si>
    <t>Riboviria;Orthornavirae;Pisuviricota;Pisoniviricetes;Nidovirales;Cornidovirineae;Coronaviridae;Pitovirinae;Alphapironavirus;Samovirus;Alphapironavirus bona</t>
  </si>
  <si>
    <t>Riboviria;Orthornavirae;Pisuviricota;Pisoniviricetes;Nidovirales;Cornidovirineae;Coronaviridae;Pitovirinae;Alphapironavirus;Samovirus;Alphapironavirus salmonis</t>
  </si>
  <si>
    <t>Riboviria;Orthornavirae;Pisuviricota;Pisoniviricetes;Nidovirales;Mesnidovirineae;Medioniviridae;Medionivirinae;Bolenivirus;Balbicanovirus;Botrylloides leachii nidovirus</t>
  </si>
  <si>
    <t>Riboviria;Orthornavirae;Pisuviricota;Pisoniviricetes;Nidovirales;Mesnidovirineae;Medioniviridae;Medionivirinae;Bolenivirus;Balbicanovirus;Bolenivirus botrylloidis</t>
  </si>
  <si>
    <t>Riboviria;Orthornavirae;Pisuviricota;Pisoniviricetes;Nidovirales;Mesnidovirineae;Medioniviridae;Medionivirinae;Turrinivirus;Beturrivirus;Turrinivirus 1</t>
  </si>
  <si>
    <t>Riboviria;Orthornavirae;Pisuviricota;Pisoniviricetes;Nidovirales;Mesnidovirineae;Medioniviridae;Medionivirinae;Turrinivirus;Beturrivirus;Turrinivirus turritellae</t>
  </si>
  <si>
    <t>Riboviria;Orthornavirae;Pisuviricota;Pisoniviricetes;Nidovirales;Mesnidovirineae;Mesoniviridae;Hexponivirinae;Alphamesonivirus;Casualivirus;Alphamesonivirus 4</t>
  </si>
  <si>
    <t>Riboviria;Orthornavirae;Pisuviricota;Pisoniviricetes;Nidovirales;Mesnidovirineae;Mesoniviridae;Hexponivirinae;Alphamesonivirus;Casualivirus;Alphamesonivirus casuarinaense</t>
  </si>
  <si>
    <t>Riboviria;Orthornavirae;Pisuviricota;Pisoniviricetes;Nidovirales;Mesnidovirineae;Mesoniviridae;Hexponivirinae;Alphamesonivirus;Enselivirus;Alphamesonivirus 8</t>
  </si>
  <si>
    <t>Riboviria;Orthornavirae;Pisuviricota;Pisoniviricetes;Nidovirales;Mesnidovirineae;Mesoniviridae;Hexponivirinae;Alphamesonivirus;Enselivirus;Alphamesonivirus nseense</t>
  </si>
  <si>
    <t>Riboviria;Orthornavirae;Pisuviricota;Pisoniviricetes;Nidovirales;Mesnidovirineae;Mesoniviridae;Hexponivirinae;Alphamesonivirus;Hanalivirus;Alphamesonivirus 5</t>
  </si>
  <si>
    <t>Riboviria;Orthornavirae;Pisuviricota;Pisoniviricetes;Nidovirales;Mesnidovirineae;Mesoniviridae;Hexponivirinae;Alphamesonivirus;Hanalivirus;Alphamesonivirus hanaense</t>
  </si>
  <si>
    <t>Riboviria;Orthornavirae;Pisuviricota;Pisoniviricetes;Nidovirales;Mesnidovirineae;Mesoniviridae;Hexponivirinae;Alphamesonivirus;Kadilivirus;Alphamesonivirus 7</t>
  </si>
  <si>
    <t>Riboviria;Orthornavirae;Pisuviricota;Pisoniviricetes;Nidovirales;Mesnidovirineae;Mesoniviridae;Hexponivirinae;Alphamesonivirus;Kadilivirus;Alphamesonivirus kadiweuorum</t>
  </si>
  <si>
    <t>Riboviria;Orthornavirae;Pisuviricota;Pisoniviricetes;Nidovirales;Mesnidovirineae;Mesoniviridae;Hexponivirinae;Alphamesonivirus;Karsalivirus;Alphamesonivirus 3</t>
  </si>
  <si>
    <t>Riboviria;Orthornavirae;Pisuviricota;Pisoniviricetes;Nidovirales;Mesnidovirineae;Mesoniviridae;Hexponivirinae;Alphamesonivirus;Karsalivirus;Alphamesonivirus daknongense</t>
  </si>
  <si>
    <t>Riboviria;Orthornavirae;Pisuviricota;Pisoniviricetes;Nidovirales;Mesnidovirineae;Mesoniviridae;Hexponivirinae;Alphamesonivirus;Karsalivirus;Alphamesonivirus 2</t>
  </si>
  <si>
    <t>Riboviria;Orthornavirae;Pisuviricota;Pisoniviricetes;Nidovirales;Mesnidovirineae;Mesoniviridae;Hexponivirinae;Alphamesonivirus;Karsalivirus;Alphamesonivirus karangense</t>
  </si>
  <si>
    <t>Riboviria;Orthornavirae;Pisuviricota;Pisoniviricetes;Nidovirales;Mesnidovirineae;Mesoniviridae;Hexponivirinae;Alphamesonivirus;Menolivirus;Alphamesonivirus 9</t>
  </si>
  <si>
    <t>Riboviria;Orthornavirae;Pisuviricota;Pisoniviricetes;Nidovirales;Mesnidovirineae;Mesoniviridae;Hexponivirinae;Alphamesonivirus;Menolivirus;Alphamesonivirus menoense</t>
  </si>
  <si>
    <t>Riboviria;Orthornavirae;Pisuviricota;Pisoniviricetes;Nidovirales;Mesnidovirineae;Mesoniviridae;Hexponivirinae;Alphamesonivirus;Namcalivirus;Alphamesonivirus 1</t>
  </si>
  <si>
    <t>Riboviria;Orthornavirae;Pisuviricota;Pisoniviricetes;Nidovirales;Mesnidovirineae;Mesoniviridae;Hexponivirinae;Alphamesonivirus;Namcalivirus;Alphamesonivirus cavallyense</t>
  </si>
  <si>
    <t>Riboviria;Orthornavirae;Pisuviricota;Pisoniviricetes;Nidovirales;Mesnidovirineae;Mesoniviridae;Hexponivirinae;Alphamesonivirus;Namcalivirus;Alphamesonivirus 10</t>
  </si>
  <si>
    <t>Riboviria;Orthornavirae;Pisuviricota;Pisoniviricetes;Nidovirales;Mesnidovirineae;Mesoniviridae;Hexponivirinae;Alphamesonivirus;Namcalivirus;Alphamesonivirus diankeense</t>
  </si>
  <si>
    <t>Riboviria;Orthornavirae;Pisuviricota;Pisoniviricetes;Nidovirales;Mesnidovirineae;Mesoniviridae;Hexponivirinae;Alphamesonivirus;Ofalivirus;Alphamesonivirus 6</t>
  </si>
  <si>
    <t>Riboviria;Orthornavirae;Pisuviricota;Pisoniviricetes;Nidovirales;Mesnidovirineae;Mesoniviridae;Hexponivirinae;Alphamesonivirus;Ofalivirus;Alphamesonivirus ofaieorum</t>
  </si>
  <si>
    <t>Riboviria;Orthornavirae;Pisuviricota;Pisoniviricetes;Nidovirales;Mesnidovirineae;Mesoniviridae;Hexponivirinae;Alphamesonivirus;Yilivirus;Alphamesonivirus 11</t>
  </si>
  <si>
    <t>Riboviria;Orthornavirae;Pisuviricota;Pisoniviricetes;Nidovirales;Mesnidovirineae;Mesoniviridae;Hexponivirinae;Alphamesonivirus;Yilivirus;Alphamesonivirus yichangense</t>
  </si>
  <si>
    <t>Riboviria;Orthornavirae;Pisuviricota;Pisoniviricetes;Nidovirales;Mesnidovirineae;Mesoniviridae;Menanivirinae;Nasenivirus;Insemevirus;Insemevirus tami</t>
  </si>
  <si>
    <t>Riboviria;Orthornavirae;Pisuviricota;Pisoniviricetes;Nidovirales;Mesnidovirineae;Mesoniviridae;Menanivirinae;Nasenivirus;Insemevirus;Nasenivirus tami</t>
  </si>
  <si>
    <t>Riboviria;Orthornavirae;Pisuviricota;Pisoniviricetes;Nidovirales;Monidovirineae;Mononiviridae;Mononivirinae;Alphamononivirus;Dumedivirus;Planidovirus 1</t>
  </si>
  <si>
    <t>Riboviria;Orthornavirae;Pisuviricota;Pisoniviricetes;Nidovirales;Monidovirineae;Mononiviridae;Mononivirinae;Alphamononivirus;Dumedivirus;Alphamononivirus schmidteae</t>
  </si>
  <si>
    <t>Riboviria;Orthornavirae;Pisuviricota;Pisoniviricetes;Nidovirales;Nanidovirineae;Nanghoshaviridae;Chimanivirinae;Chimshavirus;Nangarvirus 1</t>
  </si>
  <si>
    <t>Riboviria;Orthornavirae;Pisuviricota;Pisoniviricetes;Nidovirales;Nanidovirineae;Nanghoshaviridae;Chimanivirinae;Chimshavirus;Chimshavirus chimaerae</t>
  </si>
  <si>
    <t>Riboviria;Orthornavirae;Pisuviricota;Pisoniviricetes;Nidovirales;Nanidovirineae;Nanhypoviridae;Hyporhamsavirinae;Sajorinivirus;Halfbeak nidovirus 1</t>
  </si>
  <si>
    <t>Riboviria;Orthornavirae;Pisuviricota;Pisoniviricetes;Nidovirales;Nanidovirineae;Nanhypoviridae;Hyporhamsavirinae;Sajorinivirus;Sajorinivirus hyporhamphi</t>
  </si>
  <si>
    <t>Riboviria;Orthornavirae;Pisuviricota;Pisoniviricetes;Nidovirales;Ronidovirineae;Euroniviridae;Ceronivirinae;Charybnivirus;Cradenivirus;Charybnivirus 1</t>
  </si>
  <si>
    <t>Riboviria;Orthornavirae;Pisuviricota;Pisoniviricetes;Nidovirales;Ronidovirineae;Euroniviridae;Ceronivirinae;Charybnivirus;Cradenivirus;Charybnivirus charybdis</t>
  </si>
  <si>
    <t>Riboviria;Orthornavirae;Pisuviricota;Pisoniviricetes;Nidovirales;Ronidovirineae;Euroniviridae;Ceronivirinae;Charybnivirus;Wenilivirus;Decronivirus 1</t>
  </si>
  <si>
    <t>Riboviria;Orthornavirae;Pisuviricota;Pisoniviricetes;Nidovirales;Ronidovirineae;Euroniviridae;Ceronivirinae;Charybnivirus;Wenilivirus;Charybnivirus wenlingense</t>
  </si>
  <si>
    <t>Riboviria;Orthornavirae;Pisuviricota;Pisoniviricetes;Nidovirales;Ronidovirineae;Euroniviridae;Ceronivirinae;Paguronivirus;Behecravirus;Paguronivirus 1</t>
  </si>
  <si>
    <t>Riboviria;Orthornavirae;Pisuviricota;Pisoniviricetes;Nidovirales;Ronidovirineae;Euroniviridae;Ceronivirinae;Paguronivirus;Behecravirus;Paguronivirus eremitae</t>
  </si>
  <si>
    <t>Riboviria;Orthornavirae;Pisuviricota;Pisoniviricetes;Nidovirales;Tornidovirineae;Tobaniviridae;Piscanivirinae;Bafinivirus;Blicbavirus;White bream virus</t>
  </si>
  <si>
    <t>Riboviria;Orthornavirae;Pisuviricota;Pisoniviricetes;Nidovirales;Tornidovirineae;Tobaniviridae;Piscanivirinae;Bafinivirus;Blicbavirus;Bafinivirus bliccae</t>
  </si>
  <si>
    <t>Riboviria;Orthornavirae;Pisuviricota;Pisoniviricetes;Nidovirales;Tornidovirineae;Tobaniviridae;Piscanivirinae;Bafinivirus;Pimfabavirus;Fathead minnow nidovirus 1</t>
  </si>
  <si>
    <t>Riboviria;Orthornavirae;Pisuviricota;Pisoniviricetes;Nidovirales;Tornidovirineae;Tobaniviridae;Piscanivirinae;Bafinivirus;Pimfabavirus;Bafinivirus pimephalae</t>
  </si>
  <si>
    <t>Riboviria;Orthornavirae;Pisuviricota;Pisoniviricetes;Nidovirales;Tornidovirineae;Tobaniviridae;Piscanivirinae;Oncotshavirus;Salnivirus;Chinook salmon nidovirus 1</t>
  </si>
  <si>
    <t>Riboviria;Orthornavirae;Pisuviricota;Pisoniviricetes;Nidovirales;Tornidovirineae;Tobaniviridae;Piscanivirinae;Oncotshavirus;Salnivirus;Oncotshavirus oncorhynchi</t>
  </si>
  <si>
    <t>Riboviria;Orthornavirae;Pisuviricota;Pisoniviricetes;Nidovirales;Tornidovirineae;Tobaniviridae;Remotovirinae;Bostovirus;Bosnitovirus;Bovine nidovirus 1</t>
  </si>
  <si>
    <t>Riboviria;Orthornavirae;Pisuviricota;Pisoniviricetes;Nidovirales;Tornidovirineae;Tobaniviridae;Remotovirinae;Bostovirus;Bosnitovirus;Bostovirus bovis</t>
  </si>
  <si>
    <t>Riboviria;Orthornavirae;Pisuviricota;Pisoniviricetes;Nidovirales;Tornidovirineae;Tobaniviridae;Serpentovirinae;Infratovirus;Hepoptovirus;Hebius tobanivirus 1</t>
  </si>
  <si>
    <t>Riboviria;Orthornavirae;Pisuviricota;Pisoniviricetes;Nidovirales;Tornidovirineae;Tobaniviridae;Serpentovirinae;Infratovirus;Hepoptovirus;Infratovirus hebii</t>
  </si>
  <si>
    <t>Riboviria;Orthornavirae;Pisuviricota;Pisoniviricetes;Nidovirales;Tornidovirineae;Tobaniviridae;Serpentovirinae;Infratovirus;Xintolivirus;Infratovirus 1</t>
  </si>
  <si>
    <t>Riboviria;Orthornavirae;Pisuviricota;Pisoniviricetes;Nidovirales;Tornidovirineae;Tobaniviridae;Serpentovirinae;Infratovirus;Xintolivirus;Infratovirus hubeiense</t>
  </si>
  <si>
    <t>Riboviria;Orthornavirae;Pisuviricota;Pisoniviricetes;Nidovirales;Tornidovirineae;Tobaniviridae;Serpentovirinae;Lyctovirus;Rebatovirus;Lycodon tobanivirus 1</t>
  </si>
  <si>
    <t>Riboviria;Orthornavirae;Pisuviricota;Pisoniviricetes;Nidovirales;Tornidovirineae;Tobaniviridae;Serpentovirinae;Lyctovirus;Rebatovirus;Lyctovirus lycodontis</t>
  </si>
  <si>
    <t>Riboviria;Orthornavirae;Pisuviricota;Pisoniviricetes;Nidovirales;Tornidovirineae;Tobaniviridae;Serpentovirinae;Pregotovirus;Roypretovirus;Morelia tobanivirus 1</t>
  </si>
  <si>
    <t>Riboviria;Orthornavirae;Pisuviricota;Pisoniviricetes;Nidovirales;Tornidovirineae;Tobaniviridae;Serpentovirinae;Pregotovirus;Roypretovirus;Pregotovirus moreliae</t>
  </si>
  <si>
    <t>Riboviria;Orthornavirae;Pisuviricota;Pisoniviricetes;Nidovirales;Tornidovirineae;Tobaniviridae;Serpentovirinae;Pregotovirus;Roypretovirus;Ball python nidovirus 1</t>
  </si>
  <si>
    <t>Riboviria;Orthornavirae;Pisuviricota;Pisoniviricetes;Nidovirales;Tornidovirineae;Tobaniviridae;Serpentovirinae;Pregotovirus;Roypretovirus;Pregotovirus pythonis</t>
  </si>
  <si>
    <t>Riboviria;Orthornavirae;Pisuviricota;Pisoniviricetes;Nidovirales;Tornidovirineae;Tobaniviridae;Serpentovirinae;Pregotovirus;Snaturtovirus;Berisnavirus 1</t>
  </si>
  <si>
    <t>Riboviria;Orthornavirae;Pisuviricota;Pisoniviricetes;Nidovirales;Tornidovirineae;Tobaniviridae;Serpentovirinae;Pregotovirus;Snaturtovirus;Pregotovirus myuchelyis</t>
  </si>
  <si>
    <t>Riboviria;Orthornavirae;Pisuviricota;Pisoniviricetes;Nidovirales;Tornidovirineae;Tobaniviridae;Serpentovirinae;Pregotovirus;Tilitovirus;Shingleback nidovirus 1</t>
  </si>
  <si>
    <t>Riboviria;Orthornavirae;Pisuviricota;Pisoniviricetes;Nidovirales;Tornidovirineae;Tobaniviridae;Serpentovirinae;Pregotovirus;Tilitovirus;Pregotovirus tiliquae</t>
  </si>
  <si>
    <t>Riboviria;Orthornavirae;Pisuviricota;Pisoniviricetes;Nidovirales;Tornidovirineae;Tobaniviridae;Serpentovirinae;Sectovirus;Sanematovirus;Sectovirus 1</t>
  </si>
  <si>
    <t>Riboviria;Orthornavirae;Pisuviricota;Pisoniviricetes;Nidovirales;Tornidovirineae;Tobaniviridae;Serpentovirinae;Sectovirus;Sanematovirus;Sectovirus xinzhouense</t>
  </si>
  <si>
    <t>Riboviria;Orthornavirae;Pisuviricota;Pisoniviricetes;Nidovirales;Tornidovirineae;Tobaniviridae;Torovirinae;Torovirus;Renitovirus;Bovine torovirus</t>
  </si>
  <si>
    <t>Riboviria;Orthornavirae;Pisuviricota;Pisoniviricetes;Nidovirales;Tornidovirineae;Tobaniviridae;Torovirinae;Torovirus;Renitovirus;Torovirus bovis</t>
  </si>
  <si>
    <t>Riboviria;Orthornavirae;Pisuviricota;Pisoniviricetes;Nidovirales;Tornidovirineae;Tobaniviridae;Torovirinae;Torovirus;Renitovirus;Equine torovirus</t>
  </si>
  <si>
    <t>Riboviria;Orthornavirae;Pisuviricota;Pisoniviricetes;Nidovirales;Tornidovirineae;Tobaniviridae;Torovirinae;Torovirus;Renitovirus;Torovirus equi</t>
  </si>
  <si>
    <t>Riboviria;Orthornavirae;Pisuviricota;Pisoniviricetes;Nidovirales;Tornidovirineae;Tobaniviridae;Torovirinae;Torovirus;Renitovirus;Porcine torovirus</t>
  </si>
  <si>
    <t>Riboviria;Orthornavirae;Pisuviricota;Pisoniviricetes;Nidovirales;Tornidovirineae;Tobaniviridae;Torovirinae;Torovirus;Renitovirus;Torovirus suis</t>
  </si>
  <si>
    <t>Riboviria;Orthornavirae;Pisuviricota;Pisoniviricetes;Picornavirales;Caliciviridae;Bavovirus;Bavaria virus</t>
  </si>
  <si>
    <t>Riboviria;Orthornavirae;Pisuviricota;Pisoniviricetes;Picornavirales;Caliciviridae;Bavovirus;Bavovirus bavariaense</t>
  </si>
  <si>
    <t>Riboviria;Orthornavirae;Pisuviricota;Pisoniviricetes;Picornavirales;Caliciviridae;Minovirus;Minovirus A</t>
  </si>
  <si>
    <t>Riboviria;Orthornavirae;Pisuviricota;Pisoniviricetes;Picornavirales;Caliciviridae;Minovirus;Minovirus pimephalis</t>
  </si>
  <si>
    <t>Riboviria;Orthornavirae;Pisuviricota;Pisoniviricetes;Picornavirales;Caliciviridae;Nacovirus;Nacovirus A</t>
  </si>
  <si>
    <t>Riboviria;Orthornavirae;Pisuviricota;Pisoniviricetes;Picornavirales;Caliciviridae;Nacovirus;Nacovirus meleagridis</t>
  </si>
  <si>
    <t>Riboviria;Orthornavirae;Pisuviricota;Pisoniviricetes;Picornavirales;Caliciviridae;Nebovirus;Newbury 1 virus</t>
  </si>
  <si>
    <t>Riboviria;Orthornavirae;Pisuviricota;Pisoniviricetes;Picornavirales;Caliciviridae;Nebovirus;Nebovirus newburyense</t>
  </si>
  <si>
    <t>Riboviria;Orthornavirae;Pisuviricota;Pisoniviricetes;Picornavirales;Caliciviridae;Norovirus;Norwalk virus</t>
  </si>
  <si>
    <t>Riboviria;Orthornavirae;Pisuviricota;Pisoniviricetes;Picornavirales;Caliciviridae;Norovirus;Norovirus norwalkense</t>
  </si>
  <si>
    <t>Riboviria;Orthornavirae;Pisuviricota;Pisoniviricetes;Picornavirales;Caliciviridae;Recovirus;Recovirus A</t>
  </si>
  <si>
    <t>Riboviria;Orthornavirae;Pisuviricota;Pisoniviricetes;Picornavirales;Caliciviridae;Recovirus;Recovirus tulani</t>
  </si>
  <si>
    <t>Riboviria;Orthornavirae;Pisuviricota;Pisoniviricetes;Picornavirales;Caliciviridae;Salovirus;Nordland virus</t>
  </si>
  <si>
    <t>Riboviria;Orthornavirae;Pisuviricota;Pisoniviricetes;Picornavirales;Caliciviridae;Salovirus;Salovirus nordlandense</t>
  </si>
  <si>
    <t>Riboviria;Orthornavirae;Pisuviricota;Pisoniviricetes;Picornavirales;Caliciviridae;Sapovirus;Sapporo virus</t>
  </si>
  <si>
    <t>Riboviria;Orthornavirae;Pisuviricota;Pisoniviricetes;Picornavirales;Caliciviridae;Sapovirus;Sapovirus sapporoense</t>
  </si>
  <si>
    <t>Riboviria;Orthornavirae;Pisuviricota;Pisoniviricetes;Picornavirales;Caliciviridae;Valovirus;Saint Valerien virus</t>
  </si>
  <si>
    <t>Riboviria;Orthornavirae;Pisuviricota;Pisoniviricetes;Picornavirales;Caliciviridae;Valovirus;Valovirus valerienense</t>
  </si>
  <si>
    <t>Riboviria;Orthornavirae;Pisuviricota;Pisoniviricetes;Picornavirales;Caliciviridae;Vesivirus;Vesicular exanthema of swine virus</t>
  </si>
  <si>
    <t>Riboviria;Orthornavirae;Pisuviricota;Pisoniviricetes;Picornavirales;Caliciviridae;Vesivirus;Vesivirus exanthema</t>
  </si>
  <si>
    <t>Riboviria;Orthornavirae;Pisuviricota;Pisoniviricetes;Picornavirales;Caliciviridae;Vesivirus;Feline calicivirus</t>
  </si>
  <si>
    <t>Riboviria;Orthornavirae;Pisuviricota;Pisoniviricetes;Picornavirales;Caliciviridae;Vesivirus;Vesivirus felis</t>
  </si>
  <si>
    <t>Riboviria;Orthornavirae;Pisuviricota;Pisoniviricetes;Picornavirales;Picornaviridae;Caphthovirinae;Ailurivirus;Ailurivirus A</t>
  </si>
  <si>
    <t>Riboviria;Orthornavirae;Pisuviricota;Pisoniviricetes;Picornavirales;Picornaviridae;Caphthovirinae;Ailurivirus;Ailurivirus agiapa</t>
  </si>
  <si>
    <t>Riboviria;Orthornavirae;Pisuviricota;Pisoniviricetes;Picornavirales;Picornaviridae;Caphthovirinae;Aphthovirus;Bovine rhinitis A virus</t>
  </si>
  <si>
    <t>Riboviria;Orthornavirae;Pisuviricota;Pisoniviricetes;Picornavirales;Picornaviridae;Caphthovirinae;Aphthovirus;Aphthovirus bogeli</t>
  </si>
  <si>
    <t>Riboviria;Orthornavirae;Pisuviricota;Pisoniviricetes;Picornavirales;Picornaviridae;Caphthovirinae;Aphthovirus;Equine rhinitis A virus</t>
  </si>
  <si>
    <t>Riboviria;Orthornavirae;Pisuviricota;Pisoniviricetes;Picornavirales;Picornaviridae;Caphthovirinae;Aphthovirus;Aphthovirus burrowsi</t>
  </si>
  <si>
    <t>Riboviria;Orthornavirae;Pisuviricota;Pisoniviricetes;Picornavirales;Picornaviridae;Caphthovirinae;Aphthovirus;Bovine rhinitis B virus</t>
  </si>
  <si>
    <t>Riboviria;Orthornavirae;Pisuviricota;Pisoniviricetes;Picornavirales;Picornaviridae;Caphthovirinae;Aphthovirus;Aphthovirus reedi</t>
  </si>
  <si>
    <t>Riboviria;Orthornavirae;Pisuviricota;Pisoniviricetes;Picornavirales;Picornaviridae;Caphthovirinae;Aphthovirus;Foot-and-mouth disease virus</t>
  </si>
  <si>
    <t>Riboviria;Orthornavirae;Pisuviricota;Pisoniviricetes;Picornavirales;Picornaviridae;Caphthovirinae;Aphthovirus;Aphthovirus vesiculae</t>
  </si>
  <si>
    <t>Riboviria;Orthornavirae;Pisuviricota;Pisoniviricetes;Picornavirales;Picornaviridae;Caphthovirinae;Bopivirus;Bopivirus A</t>
  </si>
  <si>
    <t>Riboviria;Orthornavirae;Pisuviricota;Pisoniviricetes;Picornavirales;Picornaviridae;Caphthovirinae;Bopivirus;Bopivirus abovi</t>
  </si>
  <si>
    <t>Riboviria;Orthornavirae;Pisuviricota;Pisoniviricetes;Picornavirales;Picornaviridae;Caphthovirinae;Cardiovirus;Cardiovirus F</t>
  </si>
  <si>
    <t>Riboviria;Orthornavirae;Pisuviricota;Pisoniviricetes;Picornavirales;Picornaviridae;Caphthovirinae;Cardiovirus;Cardiovirus dhusarah</t>
  </si>
  <si>
    <t>Riboviria;Orthornavirae;Pisuviricota;Pisoniviricetes;Picornavirales;Picornaviridae;Caphthovirinae;Cardiovirus;Cardiovirus C</t>
  </si>
  <si>
    <t>Riboviria;Orthornavirae;Pisuviricota;Pisoniviricetes;Picornavirales;Picornaviridae;Caphthovirinae;Cardiovirus;Cardiovirus ranori</t>
  </si>
  <si>
    <t>Riboviria;Orthornavirae;Pisuviricota;Pisoniviricetes;Picornavirales;Picornaviridae;Caphthovirinae;Cardiovirus;Cardiovirus E</t>
  </si>
  <si>
    <t>Riboviria;Orthornavirae;Pisuviricota;Pisoniviricetes;Picornavirales;Picornaviridae;Caphthovirinae;Cardiovirus;Cardiovirus rudhira</t>
  </si>
  <si>
    <t>Riboviria;Orthornavirae;Pisuviricota;Pisoniviricetes;Picornavirales;Picornaviridae;Caphthovirinae;Cardiovirus;Cardiovirus A</t>
  </si>
  <si>
    <t>Riboviria;Orthornavirae;Pisuviricota;Pisoniviricetes;Picornavirales;Picornaviridae;Caphthovirinae;Cardiovirus;Cardiovirus rueckerti</t>
  </si>
  <si>
    <t>Riboviria;Orthornavirae;Pisuviricota;Pisoniviricetes;Picornavirales;Picornaviridae;Caphthovirinae;Cardiovirus;Cardiovirus D</t>
  </si>
  <si>
    <t>Riboviria;Orthornavirae;Pisuviricota;Pisoniviricetes;Picornavirales;Picornaviridae;Caphthovirinae;Cardiovirus;Cardiovirus saffoldi</t>
  </si>
  <si>
    <t>Riboviria;Orthornavirae;Pisuviricota;Pisoniviricetes;Picornavirales;Picornaviridae;Caphthovirinae;Cardiovirus;Cardiovirus B</t>
  </si>
  <si>
    <t>Riboviria;Orthornavirae;Pisuviricota;Pisoniviricetes;Picornavirales;Picornaviridae;Caphthovirinae;Cardiovirus;Cardiovirus theileri</t>
  </si>
  <si>
    <t>Riboviria;Orthornavirae;Pisuviricota;Pisoniviricetes;Picornavirales;Picornaviridae;Caphthovirinae;Cosavirus;Cosavirus A</t>
  </si>
  <si>
    <t>Riboviria;Orthornavirae;Pisuviricota;Pisoniviricetes;Picornavirales;Picornaviridae;Caphthovirinae;Cosavirus;Cosavirus asiani</t>
  </si>
  <si>
    <t>Riboviria;Orthornavirae;Pisuviricota;Pisoniviricetes;Picornavirales;Picornaviridae;Caphthovirinae;Cosavirus;Cosavirus B</t>
  </si>
  <si>
    <t>Riboviria;Orthornavirae;Pisuviricota;Pisoniviricetes;Picornavirales;Picornaviridae;Caphthovirinae;Cosavirus;Cosavirus bepakis</t>
  </si>
  <si>
    <t>Riboviria;Orthornavirae;Pisuviricota;Pisoniviricetes;Picornavirales;Picornaviridae;Caphthovirinae;Cosavirus;Cosavirus D</t>
  </si>
  <si>
    <t>Riboviria;Orthornavirae;Pisuviricota;Pisoniviricetes;Picornavirales;Picornaviridae;Caphthovirinae;Cosavirus;Cosavirus depakis</t>
  </si>
  <si>
    <t>Riboviria;Orthornavirae;Pisuviricota;Pisoniviricetes;Picornavirales;Picornaviridae;Caphthovirinae;Cosavirus;Cosavirus E</t>
  </si>
  <si>
    <t>Riboviria;Orthornavirae;Pisuviricota;Pisoniviricetes;Picornavirales;Picornaviridae;Caphthovirinae;Cosavirus;Cosavirus eaustrali</t>
  </si>
  <si>
    <t>Riboviria;Orthornavirae;Pisuviricota;Pisoniviricetes;Picornavirales;Picornaviridae;Caphthovirinae;Cosavirus;Cosavirus F</t>
  </si>
  <si>
    <t>Riboviria;Orthornavirae;Pisuviricota;Pisoniviricetes;Picornavirales;Picornaviridae;Caphthovirinae;Cosavirus;Cosavirus fepakis</t>
  </si>
  <si>
    <t>Riboviria;Orthornavirae;Pisuviricota;Pisoniviricetes;Picornavirales;Picornaviridae;Caphthovirinae;Erbovirus;Erbovirus A</t>
  </si>
  <si>
    <t>Riboviria;Orthornavirae;Pisuviricota;Pisoniviricetes;Picornavirales;Picornaviridae;Caphthovirinae;Erbovirus;Erbovirus aequirhi</t>
  </si>
  <si>
    <t>Riboviria;Orthornavirae;Pisuviricota;Pisoniviricetes;Picornavirales;Picornaviridae;Caphthovirinae;Hunnivirus;Hunnivirus A</t>
  </si>
  <si>
    <t>Riboviria;Orthornavirae;Pisuviricota;Pisoniviricetes;Picornavirales;Picornaviridae;Caphthovirinae;Hunnivirus;Hunnivirus amagyari</t>
  </si>
  <si>
    <t>Riboviria;Orthornavirae;Pisuviricota;Pisoniviricetes;Picornavirales;Picornaviridae;Caphthovirinae;Malagasivirus;Malagasivirus A</t>
  </si>
  <si>
    <t>Riboviria;Orthornavirae;Pisuviricota;Pisoniviricetes;Picornavirales;Picornaviridae;Caphthovirinae;Malagasivirus;Malagasivirus alphalesa</t>
  </si>
  <si>
    <t>Riboviria;Orthornavirae;Pisuviricota;Pisoniviricetes;Picornavirales;Picornaviridae;Caphthovirinae;Malagasivirus;Malagasivirus B</t>
  </si>
  <si>
    <t>Riboviria;Orthornavirae;Pisuviricota;Pisoniviricetes;Picornavirales;Picornaviridae;Caphthovirinae;Malagasivirus;Malagasivirus betalesa</t>
  </si>
  <si>
    <t>Riboviria;Orthornavirae;Pisuviricota;Pisoniviricetes;Picornavirales;Picornaviridae;Caphthovirinae;Marsupivirus;Marsupivirus A</t>
  </si>
  <si>
    <t>Riboviria;Orthornavirae;Pisuviricota;Pisoniviricetes;Picornavirales;Picornaviridae;Caphthovirinae;Marsupivirus;Marsupivirus aburpengari</t>
  </si>
  <si>
    <t>Riboviria;Orthornavirae;Pisuviricota;Pisoniviricetes;Picornavirales;Picornaviridae;Caphthovirinae;Mischivirus;Mischivirus A</t>
  </si>
  <si>
    <t>Riboviria;Orthornavirae;Pisuviricota;Pisoniviricetes;Picornavirales;Picornaviridae;Caphthovirinae;Mischivirus;Mischivirus acombewi</t>
  </si>
  <si>
    <t>Riboviria;Orthornavirae;Pisuviricota;Pisoniviricetes;Picornavirales;Picornaviridae;Caphthovirinae;Mischivirus;Mischivirus B</t>
  </si>
  <si>
    <t>Riboviria;Orthornavirae;Pisuviricota;Pisoniviricetes;Picornavirales;Picornaviridae;Caphthovirinae;Mischivirus;Mischivirus beminio</t>
  </si>
  <si>
    <t>Riboviria;Orthornavirae;Pisuviricota;Pisoniviricetes;Picornavirales;Picornaviridae;Caphthovirinae;Mischivirus;Mischivirus C</t>
  </si>
  <si>
    <t>Riboviria;Orthornavirae;Pisuviricota;Pisoniviricetes;Picornavirales;Picornaviridae;Caphthovirinae;Mischivirus;Mischivirus cica</t>
  </si>
  <si>
    <t>Riboviria;Orthornavirae;Pisuviricota;Pisoniviricetes;Picornavirales;Picornaviridae;Caphthovirinae;Mischivirus;Mischivirus D</t>
  </si>
  <si>
    <t>Riboviria;Orthornavirae;Pisuviricota;Pisoniviricetes;Picornavirales;Picornaviridae;Caphthovirinae;Mischivirus;Mischivirus defoxi</t>
  </si>
  <si>
    <t>Riboviria;Orthornavirae;Pisuviricota;Pisoniviricetes;Picornavirales;Picornaviridae;Caphthovirinae;Mischivirus;Mischivirus E</t>
  </si>
  <si>
    <t>Riboviria;Orthornavirae;Pisuviricota;Pisoniviricetes;Picornavirales;Picornaviridae;Caphthovirinae;Mischivirus;Mischivirus ehoushre</t>
  </si>
  <si>
    <t>Riboviria;Orthornavirae;Pisuviricota;Pisoniviricetes;Picornavirales;Picornaviridae;Caphthovirinae;Mosavirus;Mosavirus A</t>
  </si>
  <si>
    <t>Riboviria;Orthornavirae;Pisuviricota;Pisoniviricetes;Picornavirales;Picornaviridae;Caphthovirinae;Mosavirus;Mosavirus acanmo</t>
  </si>
  <si>
    <t>Riboviria;Orthornavirae;Pisuviricota;Pisoniviricetes;Picornavirales;Picornaviridae;Caphthovirinae;Mosavirus;Mosavirus B</t>
  </si>
  <si>
    <t>Riboviria;Orthornavirae;Pisuviricota;Pisoniviricetes;Picornavirales;Picornaviridae;Caphthovirinae;Mosavirus;Mosavirus betibeti</t>
  </si>
  <si>
    <t>Riboviria;Orthornavirae;Pisuviricota;Pisoniviricetes;Picornavirales;Picornaviridae;Caphthovirinae;Mupivirus;Mupivirus A</t>
  </si>
  <si>
    <t>Riboviria;Orthornavirae;Pisuviricota;Pisoniviricetes;Picornavirales;Picornaviridae;Caphthovirinae;Mupivirus;Mupivirus arati</t>
  </si>
  <si>
    <t>Riboviria;Orthornavirae;Pisuviricota;Pisoniviricetes;Picornavirales;Picornaviridae;Caphthovirinae;Senecavirus;Senecavirus A</t>
  </si>
  <si>
    <t>Riboviria;Orthornavirae;Pisuviricota;Pisoniviricetes;Picornavirales;Picornaviridae;Caphthovirinae;Senecavirus;Senecavirus valles</t>
  </si>
  <si>
    <t>Riboviria;Orthornavirae;Pisuviricota;Pisoniviricetes;Picornavirales;Picornaviridae;Caphthovirinae;Teschovirus;Teschovirus A</t>
  </si>
  <si>
    <t>Riboviria;Orthornavirae;Pisuviricota;Pisoniviricetes;Picornavirales;Picornaviridae;Caphthovirinae;Teschovirus;Teschovirus asilesi</t>
  </si>
  <si>
    <t>Riboviria;Orthornavirae;Pisuviricota;Pisoniviricetes;Picornavirales;Picornaviridae;Caphthovirinae;Teschovirus;Teschovirus B</t>
  </si>
  <si>
    <t>Riboviria;Orthornavirae;Pisuviricota;Pisoniviricetes;Picornavirales;Picornaviridae;Caphthovirinae;Teschovirus;Teschovirus bishikawa</t>
  </si>
  <si>
    <t>Riboviria;Orthornavirae;Pisuviricota;Pisoniviricetes;Picornavirales;Picornaviridae;Caphthovirinae;Torchivirus;Torchivirus A</t>
  </si>
  <si>
    <t>Riboviria;Orthornavirae;Pisuviricota;Pisoniviricetes;Picornavirales;Picornaviridae;Caphthovirinae;Torchivirus;Torchivirus atorpi</t>
  </si>
  <si>
    <t>Riboviria;Orthornavirae;Pisuviricota;Pisoniviricetes;Picornavirales;Picornaviridae;Caphthovirinae;Tottorivirus;Tottorivirus A</t>
  </si>
  <si>
    <t>Riboviria;Orthornavirae;Pisuviricota;Pisoniviricetes;Picornavirales;Picornaviridae;Caphthovirinae;Tottorivirus;Tottorivirus asuscro</t>
  </si>
  <si>
    <t>Riboviria;Orthornavirae;Pisuviricota;Pisoniviricetes;Picornavirales;Picornaviridae;Ensavirinae;Anativirus;Anativirus A</t>
  </si>
  <si>
    <t>Riboviria;Orthornavirae;Pisuviricota;Pisoniviricetes;Picornavirales;Picornaviridae;Ensavirinae;Anativirus;Anativirus aductai</t>
  </si>
  <si>
    <t>Riboviria;Orthornavirae;Pisuviricota;Pisoniviricetes;Picornavirales;Picornaviridae;Ensavirinae;Anativirus;Anativirus B</t>
  </si>
  <si>
    <t>Riboviria;Orthornavirae;Pisuviricota;Pisoniviricetes;Picornavirales;Picornaviridae;Ensavirinae;Anativirus;Anativirus biphaco</t>
  </si>
  <si>
    <t>Riboviria;Orthornavirae;Pisuviricota;Pisoniviricetes;Picornavirales;Picornaviridae;Ensavirinae;Boosepivirus;Boosepivirus A</t>
  </si>
  <si>
    <t>Riboviria;Orthornavirae;Pisuviricota;Pisoniviricetes;Picornavirales;Picornaviridae;Ensavirinae;Boosepivirus;Boosepivirus atauri</t>
  </si>
  <si>
    <t>Riboviria;Orthornavirae;Pisuviricota;Pisoniviricetes;Picornavirales;Picornaviridae;Ensavirinae;Boosepivirus;Boosepivirus B</t>
  </si>
  <si>
    <t>Riboviria;Orthornavirae;Pisuviricota;Pisoniviricetes;Picornavirales;Picornaviridae;Ensavirinae;Boosepivirus;Boosepivirus bebovi</t>
  </si>
  <si>
    <t>Riboviria;Orthornavirae;Pisuviricota;Pisoniviricetes;Picornavirales;Picornaviridae;Ensavirinae;Boosepivirus;Boosepivirus C</t>
  </si>
  <si>
    <t>Riboviria;Orthornavirae;Pisuviricota;Pisoniviricetes;Picornavirales;Picornaviridae;Ensavirinae;Boosepivirus;Boosepivirus ceovis</t>
  </si>
  <si>
    <t>Riboviria;Orthornavirae;Pisuviricota;Pisoniviricetes;Picornavirales;Picornaviridae;Ensavirinae;Diresapivirus;Diresapivirus A</t>
  </si>
  <si>
    <t>Riboviria;Orthornavirae;Pisuviricota;Pisoniviricetes;Picornavirales;Picornaviridae;Ensavirinae;Diresapivirus;Diresapivirus arhiferi</t>
  </si>
  <si>
    <t>Riboviria;Orthornavirae;Pisuviricota;Pisoniviricetes;Picornavirales;Picornaviridae;Ensavirinae;Diresapivirus;Diresapivirus B</t>
  </si>
  <si>
    <t>Riboviria;Orthornavirae;Pisuviricota;Pisoniviricetes;Picornavirales;Picornaviridae;Ensavirinae;Diresapivirus;Diresapivirus benyvelu</t>
  </si>
  <si>
    <t>Riboviria;Orthornavirae;Pisuviricota;Pisoniviricetes;Picornavirales;Picornaviridae;Ensavirinae;Enterovirus;Enterovirus A</t>
  </si>
  <si>
    <t>Riboviria;Orthornavirae;Pisuviricota;Pisoniviricetes;Picornavirales;Picornaviridae;Ensavirinae;Enterovirus;Enterovirus alphacoxsackie</t>
  </si>
  <si>
    <t>Riboviria;Orthornavirae;Pisuviricota;Pisoniviricetes;Picornavirales;Picornaviridae;Ensavirinae;Enterovirus;Rhinovirus A</t>
  </si>
  <si>
    <t>Riboviria;Orthornavirae;Pisuviricota;Pisoniviricetes;Picornavirales;Picornaviridae;Ensavirinae;Enterovirus;Enterovirus alpharhino</t>
  </si>
  <si>
    <t>Riboviria;Orthornavirae;Pisuviricota;Pisoniviricetes;Picornavirales;Picornaviridae;Ensavirinae;Enterovirus;Enterovirus B</t>
  </si>
  <si>
    <t>Riboviria;Orthornavirae;Pisuviricota;Pisoniviricetes;Picornavirales;Picornaviridae;Ensavirinae;Enterovirus;Enterovirus betacoxsackie</t>
  </si>
  <si>
    <t>Riboviria;Orthornavirae;Pisuviricota;Pisoniviricetes;Picornavirales;Picornaviridae;Ensavirinae;Enterovirus;Rhinovirus B</t>
  </si>
  <si>
    <t>Riboviria;Orthornavirae;Pisuviricota;Pisoniviricetes;Picornavirales;Picornaviridae;Ensavirinae;Enterovirus;Enterovirus betarhino</t>
  </si>
  <si>
    <t>Riboviria;Orthornavirae;Pisuviricota;Pisoniviricetes;Picornavirales;Picornaviridae;Ensavirinae;Enterovirus;Rhinovirus C</t>
  </si>
  <si>
    <t>Riboviria;Orthornavirae;Pisuviricota;Pisoniviricetes;Picornavirales;Picornaviridae;Ensavirinae;Enterovirus;Enterovirus cerhino</t>
  </si>
  <si>
    <t>Riboviria;Orthornavirae;Pisuviricota;Pisoniviricetes;Picornavirales;Picornaviridae;Ensavirinae;Enterovirus;Enterovirus C</t>
  </si>
  <si>
    <t>Riboviria;Orthornavirae;Pisuviricota;Pisoniviricetes;Picornavirales;Picornaviridae;Ensavirinae;Enterovirus;Enterovirus coxsackiepol</t>
  </si>
  <si>
    <t>Riboviria;Orthornavirae;Pisuviricota;Pisoniviricetes;Picornavirales;Picornaviridae;Ensavirinae;Enterovirus;Enterovirus D</t>
  </si>
  <si>
    <t>Riboviria;Orthornavirae;Pisuviricota;Pisoniviricetes;Picornavirales;Picornaviridae;Ensavirinae;Enterovirus;Enterovirus deconjuncti</t>
  </si>
  <si>
    <t>Riboviria;Orthornavirae;Pisuviricota;Pisoniviricetes;Picornavirales;Picornaviridae;Ensavirinae;Enterovirus;Enterovirus E</t>
  </si>
  <si>
    <t>Riboviria;Orthornavirae;Pisuviricota;Pisoniviricetes;Picornavirales;Picornaviridae;Ensavirinae;Enterovirus;Enterovirus eibovi</t>
  </si>
  <si>
    <t>Riboviria;Orthornavirae;Pisuviricota;Pisoniviricetes;Picornavirales;Picornaviridae;Ensavirinae;Enterovirus;Enterovirus F</t>
  </si>
  <si>
    <t>Riboviria;Orthornavirae;Pisuviricota;Pisoniviricetes;Picornavirales;Picornaviridae;Ensavirinae;Enterovirus;Enterovirus fitauri</t>
  </si>
  <si>
    <t>Riboviria;Orthornavirae;Pisuviricota;Pisoniviricetes;Picornavirales;Picornaviridae;Ensavirinae;Enterovirus;Enterovirus G</t>
  </si>
  <si>
    <t>Riboviria;Orthornavirae;Pisuviricota;Pisoniviricetes;Picornavirales;Picornaviridae;Ensavirinae;Enterovirus;Enterovirus geswini</t>
  </si>
  <si>
    <t>Riboviria;Orthornavirae;Pisuviricota;Pisoniviricetes;Picornavirales;Picornaviridae;Ensavirinae;Enterovirus;Enterovirus H</t>
  </si>
  <si>
    <t>Riboviria;Orthornavirae;Pisuviricota;Pisoniviricetes;Picornavirales;Picornaviridae;Ensavirinae;Enterovirus;Enterovirus hesimi</t>
  </si>
  <si>
    <t>Riboviria;Orthornavirae;Pisuviricota;Pisoniviricetes;Picornavirales;Picornaviridae;Ensavirinae;Enterovirus;Enterovirus I</t>
  </si>
  <si>
    <t>Riboviria;Orthornavirae;Pisuviricota;Pisoniviricetes;Picornavirales;Picornaviridae;Ensavirinae;Enterovirus;Enterovirus idromi</t>
  </si>
  <si>
    <t>Riboviria;Orthornavirae;Pisuviricota;Pisoniviricetes;Picornavirales;Picornaviridae;Ensavirinae;Enterovirus;Enterovirus J</t>
  </si>
  <si>
    <t>Riboviria;Orthornavirae;Pisuviricota;Pisoniviricetes;Picornavirales;Picornaviridae;Ensavirinae;Enterovirus;Enterovirus jesimi</t>
  </si>
  <si>
    <t>Riboviria;Orthornavirae;Pisuviricota;Pisoniviricetes;Picornavirales;Picornaviridae;Ensavirinae;Enterovirus;Enterovirus K</t>
  </si>
  <si>
    <t>Riboviria;Orthornavirae;Pisuviricota;Pisoniviricetes;Picornavirales;Picornaviridae;Ensavirinae;Enterovirus;Enterovirus krodeni</t>
  </si>
  <si>
    <t>Riboviria;Orthornavirae;Pisuviricota;Pisoniviricetes;Picornavirales;Picornaviridae;Ensavirinae;Enterovirus;Enterovirus L</t>
  </si>
  <si>
    <t>Riboviria;Orthornavirae;Pisuviricota;Pisoniviricetes;Picornavirales;Picornaviridae;Ensavirinae;Enterovirus;Enterovirus lesimi</t>
  </si>
  <si>
    <t>Riboviria;Orthornavirae;Pisuviricota;Pisoniviricetes;Picornavirales;Picornaviridae;Ensavirinae;Felipivirus;Felipivirus A</t>
  </si>
  <si>
    <t>Riboviria;Orthornavirae;Pisuviricota;Pisoniviricetes;Picornavirales;Picornaviridae;Ensavirinae;Felipivirus;Felipivirus acati</t>
  </si>
  <si>
    <t>Riboviria;Orthornavirae;Pisuviricota;Pisoniviricetes;Picornavirales;Picornaviridae;Ensavirinae;Parabovirus;Parabovirus A</t>
  </si>
  <si>
    <t>Riboviria;Orthornavirae;Pisuviricota;Pisoniviricetes;Picornavirales;Picornaviridae;Ensavirinae;Parabovirus;Parabovirus anorrati</t>
  </si>
  <si>
    <t>Riboviria;Orthornavirae;Pisuviricota;Pisoniviricetes;Picornavirales;Picornaviridae;Ensavirinae;Parabovirus;Parabovirus B</t>
  </si>
  <si>
    <t>Riboviria;Orthornavirae;Pisuviricota;Pisoniviricetes;Picornavirales;Picornaviridae;Ensavirinae;Parabovirus;Parabovirus bechstihams</t>
  </si>
  <si>
    <t>Riboviria;Orthornavirae;Pisuviricota;Pisoniviricetes;Picornavirales;Picornaviridae;Ensavirinae;Parabovirus;Parabovirus C</t>
  </si>
  <si>
    <t>Riboviria;Orthornavirae;Pisuviricota;Pisoniviricetes;Picornavirales;Picornaviridae;Ensavirinae;Parabovirus;Parabovirus chiwhibe</t>
  </si>
  <si>
    <t>Riboviria;Orthornavirae;Pisuviricota;Pisoniviricetes;Picornavirales;Picornaviridae;Ensavirinae;Rabovirus;Rabovirus A</t>
  </si>
  <si>
    <t>Riboviria;Orthornavirae;Pisuviricota;Pisoniviricetes;Picornavirales;Picornaviridae;Ensavirinae;Rabovirus;Rabovirus aneyoci</t>
  </si>
  <si>
    <t>Riboviria;Orthornavirae;Pisuviricota;Pisoniviricetes;Picornavirales;Picornaviridae;Ensavirinae;Rabovirus;Rabovirus B</t>
  </si>
  <si>
    <t>Riboviria;Orthornavirae;Pisuviricota;Pisoniviricetes;Picornavirales;Picornaviridae;Ensavirinae;Rabovirus;Rabovirus begaschmo</t>
  </si>
  <si>
    <t>Riboviria;Orthornavirae;Pisuviricota;Pisoniviricetes;Picornavirales;Picornaviridae;Ensavirinae;Rabovirus;Rabovirus C</t>
  </si>
  <si>
    <t>Riboviria;Orthornavirae;Pisuviricota;Pisoniviricetes;Picornavirales;Picornaviridae;Ensavirinae;Rabovirus;Rabovirus cemarmo</t>
  </si>
  <si>
    <t>Riboviria;Orthornavirae;Pisuviricota;Pisoniviricetes;Picornavirales;Picornaviridae;Ensavirinae;Rabovirus;Rabovirus D</t>
  </si>
  <si>
    <t>Riboviria;Orthornavirae;Pisuviricota;Pisoniviricetes;Picornavirales;Picornaviridae;Ensavirinae;Rabovirus;Rabovirus dehomo</t>
  </si>
  <si>
    <t>Riboviria;Orthornavirae;Pisuviricota;Pisoniviricetes;Picornavirales;Picornaviridae;Ensavirinae;Sapelovirus;Sapelovirus A</t>
  </si>
  <si>
    <t>Riboviria;Orthornavirae;Pisuviricota;Pisoniviricetes;Picornavirales;Picornaviridae;Ensavirinae;Sapelovirus;Sapelovirus anglia</t>
  </si>
  <si>
    <t>Riboviria;Orthornavirae;Pisuviricota;Pisoniviricetes;Picornavirales;Picornaviridae;Ensavirinae;Sapelovirus;Sapelovirus B</t>
  </si>
  <si>
    <t>Riboviria;Orthornavirae;Pisuviricota;Pisoniviricetes;Picornavirales;Picornaviridae;Ensavirinae;Sapelovirus;Sapelovirus besimi</t>
  </si>
  <si>
    <t>Riboviria;Orthornavirae;Pisuviricota;Pisoniviricetes;Picornavirales;Picornaviridae;Heptrevirinae;Caecilivirus;Caecilivirus A</t>
  </si>
  <si>
    <t>Riboviria;Orthornavirae;Pisuviricota;Pisoniviricetes;Picornavirales;Picornaviridae;Heptrevirinae;Caecilivirus;Caecilivirus banna</t>
  </si>
  <si>
    <t>Riboviria;Orthornavirae;Pisuviricota;Pisoniviricetes;Picornavirales;Picornaviridae;Heptrevirinae;Crahelivirus;Crahelivirus A</t>
  </si>
  <si>
    <t>Riboviria;Orthornavirae;Pisuviricota;Pisoniviricetes;Picornavirales;Picornaviridae;Heptrevirinae;Crahelivirus;Crahelivirus agapo</t>
  </si>
  <si>
    <t>Riboviria;Orthornavirae;Pisuviricota;Pisoniviricetes;Picornavirales;Picornaviridae;Heptrevirinae;Fipivirus;Fipivirus A</t>
  </si>
  <si>
    <t>Riboviria;Orthornavirae;Pisuviricota;Pisoniviricetes;Picornavirales;Picornaviridae;Heptrevirinae;Fipivirus;Fipivirus acarpi</t>
  </si>
  <si>
    <t>Riboviria;Orthornavirae;Pisuviricota;Pisoniviricetes;Picornavirales;Picornaviridae;Heptrevirinae;Fipivirus;Fipivirus B</t>
  </si>
  <si>
    <t>Riboviria;Orthornavirae;Pisuviricota;Pisoniviricetes;Picornavirales;Picornaviridae;Heptrevirinae;Fipivirus;Fipivirus besharpi</t>
  </si>
  <si>
    <t>Riboviria;Orthornavirae;Pisuviricota;Pisoniviricetes;Picornavirales;Picornaviridae;Heptrevirinae;Fipivirus;Fipivirus C</t>
  </si>
  <si>
    <t>Riboviria;Orthornavirae;Pisuviricota;Pisoniviricetes;Picornavirales;Picornaviridae;Heptrevirinae;Fipivirus;Fipivirus crosso</t>
  </si>
  <si>
    <t>Riboviria;Orthornavirae;Pisuviricota;Pisoniviricetes;Picornavirales;Picornaviridae;Heptrevirinae;Fipivirus;Fipivirus D</t>
  </si>
  <si>
    <t>Riboviria;Orthornavirae;Pisuviricota;Pisoniviricetes;Picornavirales;Picornaviridae;Heptrevirinae;Fipivirus;Fipivirus demackeri</t>
  </si>
  <si>
    <t>Riboviria;Orthornavirae;Pisuviricota;Pisoniviricetes;Picornavirales;Picornaviridae;Heptrevirinae;Fipivirus;Fipivirus E</t>
  </si>
  <si>
    <t>Riboviria;Orthornavirae;Pisuviricota;Pisoniviricetes;Picornavirales;Picornaviridae;Heptrevirinae;Fipivirus;Fipivirus ebanjoi</t>
  </si>
  <si>
    <t>Riboviria;Orthornavirae;Pisuviricota;Pisoniviricetes;Picornavirales;Picornaviridae;Heptrevirinae;Fipivirus;Fipivirus F</t>
  </si>
  <si>
    <t>Riboviria;Orthornavirae;Pisuviricota;Pisoniviricetes;Picornavirales;Picornaviridae;Heptrevirinae;Fipivirus;Fipivirus fiperchi</t>
  </si>
  <si>
    <t>Riboviria;Orthornavirae;Pisuviricota;Pisoniviricetes;Picornavirales;Picornaviridae;Heptrevirinae;Gruhelivirus;Gruhelivirus A</t>
  </si>
  <si>
    <t>Riboviria;Orthornavirae;Pisuviricota;Pisoniviricetes;Picornavirales;Picornaviridae;Heptrevirinae;Gruhelivirus;Gruhelivirus agrusa</t>
  </si>
  <si>
    <t>Riboviria;Orthornavirae;Pisuviricota;Pisoniviricetes;Picornavirales;Picornaviridae;Heptrevirinae;Hepatovirus;Hepatovirus A</t>
  </si>
  <si>
    <t>Riboviria;Orthornavirae;Pisuviricota;Pisoniviricetes;Picornavirales;Picornaviridae;Heptrevirinae;Hepatovirus;Hepatovirus ahepa</t>
  </si>
  <si>
    <t>Riboviria;Orthornavirae;Pisuviricota;Pisoniviricetes;Picornavirales;Picornaviridae;Heptrevirinae;Hepatovirus;Hepatovirus B</t>
  </si>
  <si>
    <t>Riboviria;Orthornavirae;Pisuviricota;Pisoniviricetes;Picornavirales;Picornaviridae;Heptrevirinae;Hepatovirus;Hepatovirus bephopi</t>
  </si>
  <si>
    <t>Riboviria;Orthornavirae;Pisuviricota;Pisoniviricetes;Picornavirales;Picornaviridae;Heptrevirinae;Hepatovirus;Hepatovirus C</t>
  </si>
  <si>
    <t>Riboviria;Orthornavirae;Pisuviricota;Pisoniviricetes;Picornavirales;Picornaviridae;Heptrevirinae;Hepatovirus;Hepatovirus cemanavi</t>
  </si>
  <si>
    <t>Riboviria;Orthornavirae;Pisuviricota;Pisoniviricetes;Picornavirales;Picornaviridae;Heptrevirinae;Hepatovirus;Hepatovirus D</t>
  </si>
  <si>
    <t>Riboviria;Orthornavirae;Pisuviricota;Pisoniviricetes;Picornavirales;Picornaviridae;Heptrevirinae;Hepatovirus;Hepatovirus devoli</t>
  </si>
  <si>
    <t>Riboviria;Orthornavirae;Pisuviricota;Pisoniviricetes;Picornavirales;Picornaviridae;Heptrevirinae;Hepatovirus;Hepatovirus E</t>
  </si>
  <si>
    <t>Riboviria;Orthornavirae;Pisuviricota;Pisoniviricetes;Picornavirales;Picornaviridae;Heptrevirinae;Hepatovirus;Hepatovirus erubebrufu</t>
  </si>
  <si>
    <t>Riboviria;Orthornavirae;Pisuviricota;Pisoniviricetes;Picornavirales;Picornaviridae;Heptrevirinae;Hepatovirus;Hepatovirus F</t>
  </si>
  <si>
    <t>Riboviria;Orthornavirae;Pisuviricota;Pisoniviricetes;Picornavirales;Picornaviridae;Heptrevirinae;Hepatovirus;Hepatovirus fejalco</t>
  </si>
  <si>
    <t>Riboviria;Orthornavirae;Pisuviricota;Pisoniviricetes;Picornavirales;Picornaviridae;Heptrevirinae;Hepatovirus;Hepatovirus G</t>
  </si>
  <si>
    <t>Riboviria;Orthornavirae;Pisuviricota;Pisoniviricetes;Picornavirales;Picornaviridae;Heptrevirinae;Hepatovirus;Hepatovirus gafrisheta</t>
  </si>
  <si>
    <t>Riboviria;Orthornavirae;Pisuviricota;Pisoniviricetes;Picornavirales;Picornaviridae;Heptrevirinae;Hepatovirus;Hepatovirus H</t>
  </si>
  <si>
    <t>Riboviria;Orthornavirae;Pisuviricota;Pisoniviricetes;Picornavirales;Picornaviridae;Heptrevirinae;Hepatovirus;Hepatovirus hedgi</t>
  </si>
  <si>
    <t>Riboviria;Orthornavirae;Pisuviricota;Pisoniviricetes;Picornavirales;Picornaviridae;Heptrevirinae;Hepatovirus;Hepatovirus I</t>
  </si>
  <si>
    <t>Riboviria;Orthornavirae;Pisuviricota;Pisoniviricetes;Picornavirales;Picornaviridae;Heptrevirinae;Hepatovirus;Hepatovirus ishrewi</t>
  </si>
  <si>
    <t>Riboviria;Orthornavirae;Pisuviricota;Pisoniviricetes;Picornavirales;Picornaviridae;Heptrevirinae;Rohelivirus;Rohelivirus A</t>
  </si>
  <si>
    <t>Riboviria;Orthornavirae;Pisuviricota;Pisoniviricetes;Picornavirales;Picornaviridae;Heptrevirinae;Rohelivirus;Rohelivirus arodenti</t>
  </si>
  <si>
    <t>Riboviria;Orthornavirae;Pisuviricota;Pisoniviricetes;Picornavirales;Picornaviridae;Heptrevirinae;Tremovirus;Tremovirus A</t>
  </si>
  <si>
    <t>Riboviria;Orthornavirae;Pisuviricota;Pisoniviricetes;Picornavirales;Picornaviridae;Heptrevirinae;Tremovirus;Tremovirus aetremori</t>
  </si>
  <si>
    <t>Riboviria;Orthornavirae;Pisuviricota;Pisoniviricetes;Picornavirales;Picornaviridae;Heptrevirinae;Tremovirus;Tremovirus B</t>
  </si>
  <si>
    <t>Riboviria;Orthornavirae;Pisuviricota;Pisoniviricetes;Picornavirales;Picornaviridae;Heptrevirinae;Tremovirus;Tremovirus beturtli</t>
  </si>
  <si>
    <t>Riboviria;Orthornavirae;Pisuviricota;Pisoniviricetes;Picornavirales;Picornaviridae;Kodimesavirinae;Danipivirus;Danipivirus A</t>
  </si>
  <si>
    <t>Riboviria;Orthornavirae;Pisuviricota;Pisoniviricetes;Picornavirales;Picornaviridae;Kodimesavirinae;Danipivirus;Danipivirus abrafi</t>
  </si>
  <si>
    <t>Riboviria;Orthornavirae;Pisuviricota;Pisoniviricetes;Picornavirales;Picornaviridae;Kodimesavirinae;Dicipivirus;Cadicivirus A</t>
  </si>
  <si>
    <t>Riboviria;Orthornavirae;Pisuviricota;Pisoniviricetes;Picornavirales;Picornaviridae;Kodimesavirinae;Dicipivirus;Dicipivirus acadici</t>
  </si>
  <si>
    <t>Riboviria;Orthornavirae;Pisuviricota;Pisoniviricetes;Picornavirales;Picornaviridae;Kodimesavirinae;Dicipivirus;Cadicivirus B</t>
  </si>
  <si>
    <t>Riboviria;Orthornavirae;Pisuviricota;Pisoniviricetes;Picornavirales;Picornaviridae;Kodimesavirinae;Dicipivirus;Dicipivirus berinro</t>
  </si>
  <si>
    <t>Riboviria;Orthornavirae;Pisuviricota;Pisoniviricetes;Picornavirales;Picornaviridae;Kodimesavirinae;Gallivirus;Gallivirus A</t>
  </si>
  <si>
    <t>Riboviria;Orthornavirae;Pisuviricota;Pisoniviricetes;Picornavirales;Picornaviridae;Kodimesavirinae;Gallivirus;Gallivirus afowli</t>
  </si>
  <si>
    <t>Riboviria;Orthornavirae;Pisuviricota;Pisoniviricetes;Picornavirales;Picornaviridae;Kodimesavirinae;Hemipivirus;Hemipivirus A</t>
  </si>
  <si>
    <t>Riboviria;Orthornavirae;Pisuviricota;Pisoniviricetes;Picornavirales;Picornaviridae;Kodimesavirinae;Hemipivirus;Hemipivirus aholtge</t>
  </si>
  <si>
    <t>Riboviria;Orthornavirae;Pisuviricota;Pisoniviricetes;Picornavirales;Picornaviridae;Kodimesavirinae;Kobuvirus;Aichivirus A</t>
  </si>
  <si>
    <t>Riboviria;Orthornavirae;Pisuviricota;Pisoniviricetes;Picornavirales;Picornaviridae;Kodimesavirinae;Kobuvirus;Kobuvirus aichi</t>
  </si>
  <si>
    <t>Riboviria;Orthornavirae;Pisuviricota;Pisoniviricetes;Picornavirales;Picornaviridae;Kodimesavirinae;Kobuvirus;Aichivirus B</t>
  </si>
  <si>
    <t>Riboviria;Orthornavirae;Pisuviricota;Pisoniviricetes;Picornavirales;Picornaviridae;Kodimesavirinae;Kobuvirus;Kobuvirus bejaponia</t>
  </si>
  <si>
    <t>Riboviria;Orthornavirae;Pisuviricota;Pisoniviricetes;Picornavirales;Picornaviridae;Kodimesavirinae;Kobuvirus;Aichivirus C</t>
  </si>
  <si>
    <t>Riboviria;Orthornavirae;Pisuviricota;Pisoniviricetes;Picornavirales;Picornaviridae;Kodimesavirinae;Kobuvirus;Kobuvirus cebes</t>
  </si>
  <si>
    <t>Riboviria;Orthornavirae;Pisuviricota;Pisoniviricetes;Picornavirales;Picornaviridae;Kodimesavirinae;Kobuvirus;Aichivirus D</t>
  </si>
  <si>
    <t>Riboviria;Orthornavirae;Pisuviricota;Pisoniviricetes;Picornavirales;Picornaviridae;Kodimesavirinae;Kobuvirus;Kobuvirus dekago</t>
  </si>
  <si>
    <t>Riboviria;Orthornavirae;Pisuviricota;Pisoniviricetes;Picornavirales;Picornaviridae;Kodimesavirinae;Kobuvirus;Aichivirus E</t>
  </si>
  <si>
    <t>Riboviria;Orthornavirae;Pisuviricota;Pisoniviricetes;Picornavirales;Picornaviridae;Kodimesavirinae;Kobuvirus;Kobuvirus ecuni</t>
  </si>
  <si>
    <t>Riboviria;Orthornavirae;Pisuviricota;Pisoniviricetes;Picornavirales;Picornaviridae;Kodimesavirinae;Kobuvirus;Aichivirus F</t>
  </si>
  <si>
    <t>Riboviria;Orthornavirae;Pisuviricota;Pisoniviricetes;Picornavirales;Picornaviridae;Kodimesavirinae;Kobuvirus;Kobuvirus femyomini</t>
  </si>
  <si>
    <t>Riboviria;Orthornavirae;Pisuviricota;Pisoniviricetes;Picornavirales;Picornaviridae;Kodimesavirinae;Livupivirus;Livupivirus A</t>
  </si>
  <si>
    <t>Riboviria;Orthornavirae;Pisuviricota;Pisoniviricetes;Picornavirales;Picornaviridae;Kodimesavirinae;Livupivirus;Livupivirus asmonewi</t>
  </si>
  <si>
    <t>Riboviria;Orthornavirae;Pisuviricota;Pisoniviricetes;Picornavirales;Picornaviridae;Kodimesavirinae;Ludopivirus;Ludopivirus A</t>
  </si>
  <si>
    <t>Riboviria;Orthornavirae;Pisuviricota;Pisoniviricetes;Picornavirales;Picornaviridae;Kodimesavirinae;Ludopivirus;Ludopivirus agrewhifrogo</t>
  </si>
  <si>
    <t>Riboviria;Orthornavirae;Pisuviricota;Pisoniviricetes;Picornavirales;Picornaviridae;Kodimesavirinae;Megrivirus;Megrivirus A</t>
  </si>
  <si>
    <t>Riboviria;Orthornavirae;Pisuviricota;Pisoniviricetes;Picornavirales;Picornaviridae;Kodimesavirinae;Megrivirus;Megrivirus aturhepa</t>
  </si>
  <si>
    <t>Riboviria;Orthornavirae;Pisuviricota;Pisoniviricetes;Picornavirales;Picornaviridae;Kodimesavirinae;Megrivirus;Megrivirus B</t>
  </si>
  <si>
    <t>Riboviria;Orthornavirae;Pisuviricota;Pisoniviricetes;Picornavirales;Picornaviridae;Kodimesavirinae;Megrivirus;Megrivirus berockdo</t>
  </si>
  <si>
    <t>Riboviria;Orthornavirae;Pisuviricota;Pisoniviricetes;Picornavirales;Picornaviridae;Kodimesavirinae;Megrivirus;Megrivirus C</t>
  </si>
  <si>
    <t>Riboviria;Orthornavirae;Pisuviricota;Pisoniviricetes;Picornavirales;Picornaviridae;Kodimesavirinae;Megrivirus;Megrivirus chigalli</t>
  </si>
  <si>
    <t>Riboviria;Orthornavirae;Pisuviricota;Pisoniviricetes;Picornavirales;Picornaviridae;Kodimesavirinae;Megrivirus;Megrivirus D</t>
  </si>
  <si>
    <t>Riboviria;Orthornavirae;Pisuviricota;Pisoniviricetes;Picornavirales;Picornaviridae;Kodimesavirinae;Megrivirus;Megrivirus deharri</t>
  </si>
  <si>
    <t>Riboviria;Orthornavirae;Pisuviricota;Pisoniviricetes;Picornavirales;Picornaviridae;Kodimesavirinae;Megrivirus;Megrivirus E</t>
  </si>
  <si>
    <t>Riboviria;Orthornavirae;Pisuviricota;Pisoniviricetes;Picornavirales;Picornaviridae;Kodimesavirinae;Megrivirus;Megrivirus epengu</t>
  </si>
  <si>
    <t>Riboviria;Orthornavirae;Pisuviricota;Pisoniviricetes;Picornavirales;Picornaviridae;Kodimesavirinae;Myrropivirus;Myrropivirus A</t>
  </si>
  <si>
    <t>Riboviria;Orthornavirae;Pisuviricota;Pisoniviricetes;Picornavirales;Picornaviridae;Kodimesavirinae;Myrropivirus;Myrropivirus achiwas</t>
  </si>
  <si>
    <t>Riboviria;Orthornavirae;Pisuviricota;Pisoniviricetes;Picornavirales;Picornaviridae;Kodimesavirinae;Oscivirus;Oscivirus A</t>
  </si>
  <si>
    <t>Riboviria;Orthornavirae;Pisuviricota;Pisoniviricetes;Picornavirales;Picornaviridae;Kodimesavirinae;Oscivirus;Oscivirus ahokorobi</t>
  </si>
  <si>
    <t>Riboviria;Orthornavirae;Pisuviricota;Pisoniviricetes;Picornavirales;Picornaviridae;Kodimesavirinae;Passerivirus;Passerivirus A</t>
  </si>
  <si>
    <t>Riboviria;Orthornavirae;Pisuviricota;Pisoniviricetes;Picornavirales;Picornaviridae;Kodimesavirinae;Passerivirus;Passerivirus ahokothi</t>
  </si>
  <si>
    <t>Riboviria;Orthornavirae;Pisuviricota;Pisoniviricetes;Picornavirales;Picornaviridae;Kodimesavirinae;Passerivirus;Passerivirus B</t>
  </si>
  <si>
    <t>Riboviria;Orthornavirae;Pisuviricota;Pisoniviricetes;Picornavirales;Picornaviridae;Kodimesavirinae;Passerivirus;Passerivirus bewaxi</t>
  </si>
  <si>
    <t>Riboviria;Orthornavirae;Pisuviricota;Pisoniviricetes;Picornavirales;Picornaviridae;Kodimesavirinae;Pemapivirus;Pemapivirus A</t>
  </si>
  <si>
    <t>Riboviria;Orthornavirae;Pisuviricota;Pisoniviricetes;Picornavirales;Picornaviridae;Kodimesavirinae;Pemapivirus;Pemapivirus achisotu</t>
  </si>
  <si>
    <t>Riboviria;Orthornavirae;Pisuviricota;Pisoniviricetes;Picornavirales;Picornaviridae;Kodimesavirinae;Pemapivirus;Pemapivirus B</t>
  </si>
  <si>
    <t>Riboviria;Orthornavirae;Pisuviricota;Pisoniviricetes;Picornavirales;Picornaviridae;Kodimesavirinae;Pemapivirus;Pemapivirus brohepotu</t>
  </si>
  <si>
    <t>Riboviria;Orthornavirae;Pisuviricota;Pisoniviricetes;Picornavirales;Picornaviridae;Kodimesavirinae;Poecivirus;Poecivirus A</t>
  </si>
  <si>
    <t>Riboviria;Orthornavirae;Pisuviricota;Pisoniviricetes;Picornavirales;Picornaviridae;Kodimesavirinae;Poecivirus;Poecivirus ablacachi</t>
  </si>
  <si>
    <t>Riboviria;Orthornavirae;Pisuviricota;Pisoniviricetes;Picornavirales;Picornaviridae;Kodimesavirinae;Pygoscepivirus;Pygoscepivirus A</t>
  </si>
  <si>
    <t>Riboviria;Orthornavirae;Pisuviricota;Pisoniviricetes;Picornavirales;Picornaviridae;Kodimesavirinae;Pygoscepivirus;Pygoscepivirus apingu</t>
  </si>
  <si>
    <t>Riboviria;Orthornavirae;Pisuviricota;Pisoniviricetes;Picornavirales;Picornaviridae;Kodimesavirinae;Rafivirus;Rafivirus A</t>
  </si>
  <si>
    <t>Riboviria;Orthornavirae;Pisuviricota;Pisoniviricetes;Picornavirales;Picornaviridae;Kodimesavirinae;Rafivirus;Rafivirus atorti</t>
  </si>
  <si>
    <t>Riboviria;Orthornavirae;Pisuviricota;Pisoniviricetes;Picornavirales;Picornaviridae;Kodimesavirinae;Rafivirus;Rafivirus B</t>
  </si>
  <si>
    <t>Riboviria;Orthornavirae;Pisuviricota;Pisoniviricetes;Picornavirales;Picornaviridae;Kodimesavirinae;Rafivirus;Rafivirus begecki</t>
  </si>
  <si>
    <t>Riboviria;Orthornavirae;Pisuviricota;Pisoniviricetes;Picornavirales;Picornaviridae;Kodimesavirinae;Rafivirus;Rafivirus C</t>
  </si>
  <si>
    <t>Riboviria;Orthornavirae;Pisuviricota;Pisoniviricetes;Picornavirales;Picornaviridae;Kodimesavirinae;Rafivirus;Rafivirus crhima</t>
  </si>
  <si>
    <t>Riboviria;Orthornavirae;Pisuviricota;Pisoniviricetes;Picornavirales;Picornaviridae;Kodimesavirinae;Rajidapivirus;Rajidapivirus A</t>
  </si>
  <si>
    <t>Riboviria;Orthornavirae;Pisuviricota;Pisoniviricetes;Picornavirales;Picornaviridae;Kodimesavirinae;Rajidapivirus;Rajidapivirus ashaska</t>
  </si>
  <si>
    <t>Riboviria;Orthornavirae;Pisuviricota;Pisoniviricetes;Picornavirales;Picornaviridae;Kodimesavirinae;Rosavirus;Rosavirus A</t>
  </si>
  <si>
    <t>Riboviria;Orthornavirae;Pisuviricota;Pisoniviricetes;Picornavirales;Picornaviridae;Kodimesavirinae;Rosavirus;Rosavirus acaliforni</t>
  </si>
  <si>
    <t>Riboviria;Orthornavirae;Pisuviricota;Pisoniviricetes;Picornavirales;Picornaviridae;Kodimesavirinae;Rosavirus;Rosavirus B</t>
  </si>
  <si>
    <t>Riboviria;Orthornavirae;Pisuviricota;Pisoniviricetes;Picornavirales;Picornaviridae;Kodimesavirinae;Rosavirus;Rosavirus brorati</t>
  </si>
  <si>
    <t>Riboviria;Orthornavirae;Pisuviricota;Pisoniviricetes;Picornavirales;Picornaviridae;Kodimesavirinae;Rosavirus;Rosavirus C</t>
  </si>
  <si>
    <t>Riboviria;Orthornavirae;Pisuviricota;Pisoniviricetes;Picornavirales;Picornaviridae;Kodimesavirinae;Rosavirus;Rosavirus chewhibe</t>
  </si>
  <si>
    <t>Riboviria;Orthornavirae;Pisuviricota;Pisoniviricetes;Picornavirales;Picornaviridae;Kodimesavirinae;Sakobuvirus;Sakobuvirus A</t>
  </si>
  <si>
    <t>Riboviria;Orthornavirae;Pisuviricota;Pisoniviricetes;Picornavirales;Picornaviridae;Kodimesavirinae;Sakobuvirus;Sakobuvirus aportufeli</t>
  </si>
  <si>
    <t>Riboviria;Orthornavirae;Pisuviricota;Pisoniviricetes;Picornavirales;Picornaviridae;Kodimesavirinae;Salivirus;Salivirus A</t>
  </si>
  <si>
    <t>Riboviria;Orthornavirae;Pisuviricota;Pisoniviricetes;Picornavirales;Picornaviridae;Kodimesavirinae;Salivirus;Salivirus aklasse</t>
  </si>
  <si>
    <t>Riboviria;Orthornavirae;Pisuviricota;Pisoniviricetes;Picornavirales;Picornaviridae;Kodimesavirinae;Sicinivirus;Sicinivirus A</t>
  </si>
  <si>
    <t>Riboviria;Orthornavirae;Pisuviricota;Pisoniviricetes;Picornavirales;Picornaviridae;Kodimesavirinae;Sicinivirus;Sicinivirus ahiberni</t>
  </si>
  <si>
    <t>Riboviria;Orthornavirae;Pisuviricota;Pisoniviricetes;Picornavirales;Picornaviridae;Kodimesavirinae;Symapivirus;Symapivirus A</t>
  </si>
  <si>
    <t>Riboviria;Orthornavirae;Pisuviricota;Pisoniviricetes;Picornavirales;Picornaviridae;Kodimesavirinae;Symapivirus;Symapivirus atriliza</t>
  </si>
  <si>
    <t>Riboviria;Orthornavirae;Pisuviricota;Pisoniviricetes;Picornavirales;Picornaviridae;Kodimesavirinae;Tropivirus;Tropivirus A</t>
  </si>
  <si>
    <t>Riboviria;Orthornavirae;Pisuviricota;Pisoniviricetes;Picornavirales;Picornaviridae;Kodimesavirinae;Tropivirus;Tropivirus awaski</t>
  </si>
  <si>
    <t>Riboviria;Orthornavirae;Pisuviricota;Pisoniviricetes;Picornavirales;Picornaviridae;Kodimesavirinae;Tropivirus;Tropivirus B</t>
  </si>
  <si>
    <t>Riboviria;Orthornavirae;Pisuviricota;Pisoniviricetes;Picornavirales;Picornaviridae;Kodimesavirinae;Tropivirus;Tropivirus betero</t>
  </si>
  <si>
    <t>Riboviria;Orthornavirae;Pisuviricota;Pisoniviricetes;Picornavirales;Picornaviridae;Paavivirinae;Aalivirus;Aalivirus A</t>
  </si>
  <si>
    <t>Riboviria;Orthornavirae;Pisuviricota;Pisoniviricetes;Picornavirales;Picornaviridae;Paavivirinae;Aalivirus;Aalivirus apekidu</t>
  </si>
  <si>
    <t>Riboviria;Orthornavirae;Pisuviricota;Pisoniviricetes;Picornavirales;Picornaviridae;Paavivirinae;Aquamavirus;Aquamavirus A</t>
  </si>
  <si>
    <t>Riboviria;Orthornavirae;Pisuviricota;Pisoniviricetes;Picornavirales;Picornaviridae;Paavivirinae;Aquamavirus;Aquamavirus apinni</t>
  </si>
  <si>
    <t>Riboviria;Orthornavirae;Pisuviricota;Pisoniviricetes;Picornavirales;Picornaviridae;Paavivirinae;Avihepatovirus;Avihepatovirus A</t>
  </si>
  <si>
    <t>Riboviria;Orthornavirae;Pisuviricota;Pisoniviricetes;Picornavirales;Picornaviridae;Paavivirinae;Avihepatovirus;Avihepatovirus ahepati</t>
  </si>
  <si>
    <t>Riboviria;Orthornavirae;Pisuviricota;Pisoniviricetes;Picornavirales;Picornaviridae;Paavivirinae;Avisivirus;Avisivirus A</t>
  </si>
  <si>
    <t>Riboviria;Orthornavirae;Pisuviricota;Pisoniviricetes;Picornavirales;Picornaviridae;Paavivirinae;Avisivirus;Avisivirus aturki</t>
  </si>
  <si>
    <t>Riboviria;Orthornavirae;Pisuviricota;Pisoniviricetes;Picornavirales;Picornaviridae;Paavivirinae;Avisivirus;Avisivirus B</t>
  </si>
  <si>
    <t>Riboviria;Orthornavirae;Pisuviricota;Pisoniviricetes;Picornavirales;Picornaviridae;Paavivirinae;Avisivirus;Avisivirus begallu</t>
  </si>
  <si>
    <t>Riboviria;Orthornavirae;Pisuviricota;Pisoniviricetes;Picornavirales;Picornaviridae;Paavivirinae;Avisivirus;Avisivirus C</t>
  </si>
  <si>
    <t>Riboviria;Orthornavirae;Pisuviricota;Pisoniviricetes;Picornavirales;Picornaviridae;Paavivirinae;Avisivirus;Avisivirus cechici</t>
  </si>
  <si>
    <t>Riboviria;Orthornavirae;Pisuviricota;Pisoniviricetes;Picornavirales;Picornaviridae;Paavivirinae;Crohivirus;Crohivirus A</t>
  </si>
  <si>
    <t>Riboviria;Orthornavirae;Pisuviricota;Pisoniviricetes;Picornavirales;Picornaviridae;Paavivirinae;Crohivirus;Crohivirus alermus</t>
  </si>
  <si>
    <t>Riboviria;Orthornavirae;Pisuviricota;Pisoniviricetes;Picornavirales;Picornaviridae;Paavivirinae;Crohivirus;Crohivirus B</t>
  </si>
  <si>
    <t>Riboviria;Orthornavirae;Pisuviricota;Pisoniviricetes;Picornavirales;Picornaviridae;Paavivirinae;Crohivirus;Crohivirus beidoli</t>
  </si>
  <si>
    <t>Riboviria;Orthornavirae;Pisuviricota;Pisoniviricetes;Picornavirales;Picornaviridae;Paavivirinae;Grusopivirus;Grusopivirus A</t>
  </si>
  <si>
    <t>Riboviria;Orthornavirae;Pisuviricota;Pisoniviricetes;Picornavirales;Picornaviridae;Paavivirinae;Grusopivirus;Grusopivirus arecrocra</t>
  </si>
  <si>
    <t>Riboviria;Orthornavirae;Pisuviricota;Pisoniviricetes;Picornavirales;Picornaviridae;Paavivirinae;Grusopivirus;Grusopivirus B</t>
  </si>
  <si>
    <t>Riboviria;Orthornavirae;Pisuviricota;Pisoniviricetes;Picornavirales;Picornaviridae;Paavivirinae;Grusopivirus;Grusopivirus bechini</t>
  </si>
  <si>
    <t>Riboviria;Orthornavirae;Pisuviricota;Pisoniviricetes;Picornavirales;Picornaviridae;Paavivirinae;Grusopivirus;Grusopivirus C</t>
  </si>
  <si>
    <t>Riboviria;Orthornavirae;Pisuviricota;Pisoniviricetes;Picornavirales;Picornaviridae;Paavivirinae;Grusopivirus;Grusopivirus celori</t>
  </si>
  <si>
    <t>Riboviria;Orthornavirae;Pisuviricota;Pisoniviricetes;Picornavirales;Picornaviridae;Paavivirinae;Kunsagivirus;Kunsagivirus A</t>
  </si>
  <si>
    <t>Riboviria;Orthornavirae;Pisuviricota;Pisoniviricetes;Picornavirales;Picornaviridae;Paavivirinae;Kunsagivirus;Kunsagivirus agrepla</t>
  </si>
  <si>
    <t>Riboviria;Orthornavirae;Pisuviricota;Pisoniviricetes;Picornavirales;Picornaviridae;Paavivirinae;Kunsagivirus;Kunsagivirus B</t>
  </si>
  <si>
    <t>Riboviria;Orthornavirae;Pisuviricota;Pisoniviricetes;Picornavirales;Picornaviridae;Paavivirinae;Kunsagivirus;Kunsagivirus bacameba</t>
  </si>
  <si>
    <t>Riboviria;Orthornavirae;Pisuviricota;Pisoniviricetes;Picornavirales;Picornaviridae;Paavivirinae;Kunsagivirus;Kunsagivirus C</t>
  </si>
  <si>
    <t>Riboviria;Orthornavirae;Pisuviricota;Pisoniviricetes;Picornavirales;Picornaviridae;Paavivirinae;Kunsagivirus;Kunsagivirus cetanba</t>
  </si>
  <si>
    <t>Riboviria;Orthornavirae;Pisuviricota;Pisoniviricetes;Picornavirales;Picornaviridae;Paavivirinae;Limnipivirus;Limnipivirus A</t>
  </si>
  <si>
    <t>Riboviria;Orthornavirae;Pisuviricota;Pisoniviricetes;Picornavirales;Picornaviridae;Paavivirinae;Limnipivirus;Limnipivirus ablugi</t>
  </si>
  <si>
    <t>Riboviria;Orthornavirae;Pisuviricota;Pisoniviricetes;Picornavirales;Picornaviridae;Paavivirinae;Limnipivirus;Limnipivirus B</t>
  </si>
  <si>
    <t>Riboviria;Orthornavirae;Pisuviricota;Pisoniviricetes;Picornavirales;Picornaviridae;Paavivirinae;Limnipivirus;Limnipivirus becarpi</t>
  </si>
  <si>
    <t>Riboviria;Orthornavirae;Pisuviricota;Pisoniviricetes;Picornavirales;Picornaviridae;Paavivirinae;Limnipivirus;Limnipivirus C</t>
  </si>
  <si>
    <t>Riboviria;Orthornavirae;Pisuviricota;Pisoniviricetes;Picornavirales;Picornaviridae;Paavivirinae;Limnipivirus;Limnipivirus cefahemi</t>
  </si>
  <si>
    <t>Riboviria;Orthornavirae;Pisuviricota;Pisoniviricetes;Picornavirales;Picornaviridae;Paavivirinae;Limnipivirus;Limnipivirus D</t>
  </si>
  <si>
    <t>Riboviria;Orthornavirae;Pisuviricota;Pisoniviricetes;Picornavirales;Picornaviridae;Paavivirinae;Limnipivirus;Limnipivirus disploca</t>
  </si>
  <si>
    <t>Riboviria;Orthornavirae;Pisuviricota;Pisoniviricetes;Picornavirales;Picornaviridae;Paavivirinae;Orivirus;Orivirus A</t>
  </si>
  <si>
    <t>Riboviria;Orthornavirae;Pisuviricota;Pisoniviricetes;Picornavirales;Picornaviridae;Paavivirinae;Orivirus;Orivirus aoroshaza</t>
  </si>
  <si>
    <t>Riboviria;Orthornavirae;Pisuviricota;Pisoniviricetes;Picornavirales;Picornaviridae;Paavivirinae;Parechovirus;Parechovirus A</t>
  </si>
  <si>
    <t>Riboviria;Orthornavirae;Pisuviricota;Pisoniviricetes;Picornavirales;Picornaviridae;Paavivirinae;Parechovirus;Parechovirus ahumpari</t>
  </si>
  <si>
    <t>Riboviria;Orthornavirae;Pisuviricota;Pisoniviricetes;Picornavirales;Picornaviridae;Paavivirinae;Parechovirus;Parechovirus B</t>
  </si>
  <si>
    <t>Riboviria;Orthornavirae;Pisuviricota;Pisoniviricetes;Picornavirales;Picornaviridae;Paavivirinae;Parechovirus;Parechovirus beljungani</t>
  </si>
  <si>
    <t>Riboviria;Orthornavirae;Pisuviricota;Pisoniviricetes;Picornavirales;Picornaviridae;Paavivirinae;Parechovirus;Parechovirus C</t>
  </si>
  <si>
    <t>Riboviria;Orthornavirae;Pisuviricota;Pisoniviricetes;Picornavirales;Picornaviridae;Paavivirinae;Parechovirus;Parechovirus cebokele</t>
  </si>
  <si>
    <t>Riboviria;Orthornavirae;Pisuviricota;Pisoniviricetes;Picornavirales;Picornaviridae;Paavivirinae;Parechovirus;Parechovirus D</t>
  </si>
  <si>
    <t>Riboviria;Orthornavirae;Pisuviricota;Pisoniviricetes;Picornavirales;Picornaviridae;Paavivirinae;Parechovirus;Parechovirus deferreti</t>
  </si>
  <si>
    <t>Riboviria;Orthornavirae;Pisuviricota;Pisoniviricetes;Picornavirales;Picornaviridae;Paavivirinae;Parechovirus;Parechovirus E</t>
  </si>
  <si>
    <t>Riboviria;Orthornavirae;Pisuviricota;Pisoniviricetes;Picornavirales;Picornaviridae;Paavivirinae;Parechovirus;Parechovirus efalco</t>
  </si>
  <si>
    <t>Riboviria;Orthornavirae;Pisuviricota;Pisoniviricetes;Picornavirales;Picornaviridae;Paavivirinae;Parechovirus;Parechovirus F</t>
  </si>
  <si>
    <t>Riboviria;Orthornavirae;Pisuviricota;Pisoniviricetes;Picornavirales;Picornaviridae;Paavivirinae;Parechovirus;Parechovirus feterobo</t>
  </si>
  <si>
    <t>Riboviria;Orthornavirae;Pisuviricota;Pisoniviricetes;Picornavirales;Picornaviridae;Paavivirinae;Pasivirus;Pasivirus A</t>
  </si>
  <si>
    <t>Riboviria;Orthornavirae;Pisuviricota;Pisoniviricetes;Picornavirales;Picornaviridae;Paavivirinae;Pasivirus;Pasivirus agallia</t>
  </si>
  <si>
    <t>Riboviria;Orthornavirae;Pisuviricota;Pisoniviricetes;Picornavirales;Picornaviridae;Paavivirinae;Potamipivirus;Potamipivirus A</t>
  </si>
  <si>
    <t>Riboviria;Orthornavirae;Pisuviricota;Pisoniviricetes;Picornavirales;Picornaviridae;Paavivirinae;Potamipivirus;Potamipivirus aconstanci</t>
  </si>
  <si>
    <t>Riboviria;Orthornavirae;Pisuviricota;Pisoniviricetes;Picornavirales;Picornaviridae;Paavivirinae;Potamipivirus;Potamipivirus B</t>
  </si>
  <si>
    <t>Riboviria;Orthornavirae;Pisuviricota;Pisoniviricetes;Picornavirales;Picornaviridae;Paavivirinae;Potamipivirus;Potamipivirus balaski</t>
  </si>
  <si>
    <t>Riboviria;Orthornavirae;Pisuviricota;Pisoniviricetes;Picornavirales;Picornaviridae;Paavivirinae;Shanbavirus;Shanbavirus A</t>
  </si>
  <si>
    <t>Riboviria;Orthornavirae;Pisuviricota;Pisoniviricetes;Picornavirales;Picornaviridae;Paavivirinae;Shanbavirus;Shanbavirus aminfuli</t>
  </si>
  <si>
    <t>Riboviria;Orthornavirae;Pisuviricota;Pisoniviricetes;Picornavirales;Picornaviridae;Ampivirus;Ampivirus A</t>
  </si>
  <si>
    <t>Riboviria;Orthornavirae;Pisuviricota;Pisoniviricetes;Picornavirales;Picornaviridae;Ampivirus;Ampivirus apilisi</t>
  </si>
  <si>
    <t>Riboviria;Orthornavirae;Pisuviricota;Pisoniviricetes;Picornavirales;Picornaviridae;Harkavirus;Harkavirus A</t>
  </si>
  <si>
    <t>Riboviria;Orthornavirae;Pisuviricota;Pisoniviricetes;Picornavirales;Picornaviridae;Harkavirus;Harkavirus alfoldi</t>
  </si>
  <si>
    <t>Riboviria;Orthornavirae;Pisuviricota;Pisoniviricetes;Picornavirales;Polycipiviridae;Chipolycivirus;Chironomus riparius virus 1</t>
  </si>
  <si>
    <t>Riboviria;Orthornavirae;Pisuviricota;Pisoniviricetes;Picornavirales;Polycipiviridae;Chipolycivirus;Chipolycivirus chironomi</t>
  </si>
  <si>
    <t>Riboviria;Orthornavirae;Pisuviricota;Pisoniviricetes;Picornavirales;Polycipiviridae;Chipolycivirus;Hubei chipolycivirus</t>
  </si>
  <si>
    <t>Riboviria;Orthornavirae;Pisuviricota;Pisoniviricetes;Picornavirales;Polycipiviridae;Chipolycivirus;Chipolycivirus hubeiense</t>
  </si>
  <si>
    <t>Riboviria;Orthornavirae;Pisuviricota;Pisoniviricetes;Picornavirales;Polycipiviridae;Hupolycivirus;Hubei hupolycivirus</t>
  </si>
  <si>
    <t>Riboviria;Orthornavirae;Pisuviricota;Pisoniviricetes;Picornavirales;Polycipiviridae;Hupolycivirus;Hupolycivirus hubeiense</t>
  </si>
  <si>
    <t>Riboviria;Orthornavirae;Pisuviricota;Pisoniviricetes;Picornavirales;Polycipiviridae;Sopolycivirus;Shuangao insect virus 8</t>
  </si>
  <si>
    <t>Riboviria;Orthornavirae;Pisuviricota;Pisoniviricetes;Picornavirales;Polycipiviridae;Sopolycivirus;Sopolycivirus bestiolae</t>
  </si>
  <si>
    <t>Riboviria;Orthornavirae;Pisuviricota;Pisoniviricetes;Picornavirales;Polycipiviridae;Sopolycivirus;Lasius neglectus virus 2</t>
  </si>
  <si>
    <t>Riboviria;Orthornavirae;Pisuviricota;Pisoniviricetes;Picornavirales;Polycipiviridae;Sopolycivirus;Sopolycivirus betalasii</t>
  </si>
  <si>
    <t>Riboviria;Orthornavirae;Pisuviricota;Pisoniviricetes;Picornavirales;Polycipiviridae;Sopolycivirus;Monomorium pharaonis virus 2</t>
  </si>
  <si>
    <t>Riboviria;Orthornavirae;Pisuviricota;Pisoniviricetes;Picornavirales;Polycipiviridae;Sopolycivirus;Sopolycivirus betamonomorii</t>
  </si>
  <si>
    <t>Riboviria;Orthornavirae;Pisuviricota;Pisoniviricetes;Picornavirales;Polycipiviridae;Sopolycivirus;Solenopsis invicta virus 4</t>
  </si>
  <si>
    <t>Riboviria;Orthornavirae;Pisuviricota;Pisoniviricetes;Picornavirales;Polycipiviridae;Sopolycivirus;Sopolycivirus betasolenopsis</t>
  </si>
  <si>
    <t>Riboviria;Orthornavirae;Pisuviricota;Pisoniviricetes;Picornavirales;Polycipiviridae;Sopolycivirus;Formica exsecta virus 3</t>
  </si>
  <si>
    <t>Riboviria;Orthornavirae;Pisuviricota;Pisoniviricetes;Picornavirales;Polycipiviridae;Sopolycivirus;Sopolycivirus formicae</t>
  </si>
  <si>
    <t>Riboviria;Orthornavirae;Pisuviricota;Pisoniviricetes;Picornavirales;Polycipiviridae;Sopolycivirus;Lasius niger virus 1</t>
  </si>
  <si>
    <t>Riboviria;Orthornavirae;Pisuviricota;Pisoniviricetes;Picornavirales;Polycipiviridae;Sopolycivirus;Sopolycivirus gammalasii</t>
  </si>
  <si>
    <t>Riboviria;Orthornavirae;Pisuviricota;Pisoniviricetes;Picornavirales;Polycipiviridae;Sopolycivirus;Lasius neglectus virus 1</t>
  </si>
  <si>
    <t>Riboviria;Orthornavirae;Pisuviricota;Pisoniviricetes;Picornavirales;Polycipiviridae;Sopolycivirus;Sopolycivirus lasii</t>
  </si>
  <si>
    <t>Riboviria;Orthornavirae;Pisuviricota;Pisoniviricetes;Picornavirales;Polycipiviridae;Sopolycivirus;Linepithema humile virus 2</t>
  </si>
  <si>
    <t>Riboviria;Orthornavirae;Pisuviricota;Pisoniviricetes;Picornavirales;Polycipiviridae;Sopolycivirus;Sopolycivirus linepithematis</t>
  </si>
  <si>
    <t>Riboviria;Orthornavirae;Pisuviricota;Pisoniviricetes;Picornavirales;Polycipiviridae;Sopolycivirus;Monomorium pharaonis virus 1</t>
  </si>
  <si>
    <t>Riboviria;Orthornavirae;Pisuviricota;Pisoniviricetes;Picornavirales;Polycipiviridae;Sopolycivirus;Sopolycivirus monomorii</t>
  </si>
  <si>
    <t>Riboviria;Orthornavirae;Pisuviricota;Pisoniviricetes;Picornavirales;Polycipiviridae;Sopolycivirus;Myrmica scabrinodis virus 1</t>
  </si>
  <si>
    <t>Riboviria;Orthornavirae;Pisuviricota;Pisoniviricetes;Picornavirales;Polycipiviridae;Sopolycivirus;Sopolycivirus myrmicae</t>
  </si>
  <si>
    <t>Riboviria;Orthornavirae;Pisuviricota;Pisoniviricetes;Picornavirales;Polycipiviridae;Sopolycivirus;Solenopsis invicta virus 2</t>
  </si>
  <si>
    <t>Riboviria;Orthornavirae;Pisuviricota;Pisoniviricetes;Picornavirales;Polycipiviridae;Sopolycivirus;Sopolycivirus solenopsis</t>
  </si>
  <si>
    <t>Riboviria;Orthornavirae;Pisuviricota;Pisoniviricetes;Picornavirales;Solinviviridae;Invictavirus;Solenopsis invicta virus 3</t>
  </si>
  <si>
    <t>Riboviria;Orthornavirae;Pisuviricota;Pisoniviricetes;Picornavirales;Solinviviridae;Invictavirus;Invictavirus solenopsis</t>
  </si>
  <si>
    <t>Riboviria;Orthornavirae;Pisuviricota;Pisoniviricetes;Picornavirales;Solinviviridae;Nyfulvavirus;Nylanderia fulva virus 1</t>
  </si>
  <si>
    <t>Riboviria;Orthornavirae;Pisuviricota;Pisoniviricetes;Picornavirales;Solinviviridae;Nyfulvavirus;Nyfulvavirus nylanderiae</t>
  </si>
  <si>
    <t>Riboviria;Orthornavirae;Pisuviricota;Pisoniviricetes;Sobelivirales;Solemoviridae;Enamovirus;Alfalfa enamovirus 1</t>
  </si>
  <si>
    <t>Riboviria;Orthornavirae;Pisuviricota;Pisoniviricetes;Sobelivirales;Solemoviridae;Enamovirus;Enamovirus AEV</t>
  </si>
  <si>
    <t>Riboviria;Orthornavirae;Pisuviricota;Pisoniviricetes;Sobelivirales;Solemoviridae;Enamovirus;Birdsfoot trefoil enamovirus 1</t>
  </si>
  <si>
    <t>Riboviria;Orthornavirae;Pisuviricota;Pisoniviricetes;Sobelivirales;Solemoviridae;Enamovirus;Enamovirus BFTEV</t>
  </si>
  <si>
    <t>Riboviria;Orthornavirae;Pisuviricota;Pisoniviricetes;Sobelivirales;Solemoviridae;Enamovirus;Citrus vein enation virus</t>
  </si>
  <si>
    <t>Riboviria;Orthornavirae;Pisuviricota;Pisoniviricetes;Sobelivirales;Solemoviridae;Enamovirus;Enamovirus CVEV</t>
  </si>
  <si>
    <t>Riboviria;Orthornavirae;Pisuviricota;Pisoniviricetes;Sobelivirales;Solemoviridae;Enamovirus;Grapevine enamovirus 1</t>
  </si>
  <si>
    <t>Riboviria;Orthornavirae;Pisuviricota;Pisoniviricetes;Sobelivirales;Solemoviridae;Enamovirus;Enamovirus GEV</t>
  </si>
  <si>
    <t>Riboviria;Orthornavirae;Pisuviricota;Pisoniviricetes;Sobelivirales;Solemoviridae;Enamovirus;Pea enation mosaic virus 1</t>
  </si>
  <si>
    <t>Riboviria;Orthornavirae;Pisuviricota;Pisoniviricetes;Sobelivirales;Solemoviridae;Enamovirus;Enamovirus PEMV</t>
  </si>
  <si>
    <t>Riboviria;Orthornavirae;Pisuviricota;Pisoniviricetes;Sobelivirales;Solemoviridae;Polemovirus;Poinsettia latent virus</t>
  </si>
  <si>
    <t>Riboviria;Orthornavirae;Pisuviricota;Pisoniviricetes;Sobelivirales;Solemoviridae;Polemovirus;Polemovirus PNLV</t>
  </si>
  <si>
    <t>Riboviria;Orthornavirae;Pisuviricota;Pisoniviricetes;Sobelivirales;Solemoviridae;Polerovirus;Beet chlorosis virus</t>
  </si>
  <si>
    <t>Riboviria;Orthornavirae;Pisuviricota;Pisoniviricetes;Sobelivirales;Solemoviridae;Polerovirus;Polerovirus BCHV</t>
  </si>
  <si>
    <t>Riboviria;Orthornavirae;Pisuviricota;Pisoniviricetes;Sobelivirales;Solemoviridae;Polerovirus;Beet mild yellowing virus</t>
  </si>
  <si>
    <t>Riboviria;Orthornavirae;Pisuviricota;Pisoniviricetes;Sobelivirales;Solemoviridae;Polerovirus;Polerovirus BMYV</t>
  </si>
  <si>
    <t>Riboviria;Orthornavirae;Pisuviricota;Pisoniviricetes;Sobelivirales;Solemoviridae;Polerovirus;Beet western yellows virus</t>
  </si>
  <si>
    <t>Riboviria;Orthornavirae;Pisuviricota;Pisoniviricetes;Sobelivirales;Solemoviridae;Polerovirus;Polerovirus BWYV</t>
  </si>
  <si>
    <t>Riboviria;Orthornavirae;Pisuviricota;Pisoniviricetes;Sobelivirales;Solemoviridae;Polerovirus;Cucurbit aphid-borne yellows virus</t>
  </si>
  <si>
    <t>Riboviria;Orthornavirae;Pisuviricota;Pisoniviricetes;Sobelivirales;Solemoviridae;Polerovirus;Polerovirus CABYV</t>
  </si>
  <si>
    <t>Riboviria;Orthornavirae;Pisuviricota;Pisoniviricetes;Sobelivirales;Solemoviridae;Polerovirus;Chickpea chlorotic stunt virus</t>
  </si>
  <si>
    <t>Riboviria;Orthornavirae;Pisuviricota;Pisoniviricetes;Sobelivirales;Solemoviridae;Polerovirus;Polerovirus CPCSV</t>
  </si>
  <si>
    <t>Riboviria;Orthornavirae;Pisuviricota;Pisoniviricetes;Sobelivirales;Solemoviridae;Polerovirus;Carrot red leaf virus</t>
  </si>
  <si>
    <t>Riboviria;Orthornavirae;Pisuviricota;Pisoniviricetes;Sobelivirales;Solemoviridae;Polerovirus;Polerovirus CTRLV</t>
  </si>
  <si>
    <t>Riboviria;Orthornavirae;Pisuviricota;Pisoniviricetes;Sobelivirales;Solemoviridae;Polerovirus;Cereal yellow dwarf virus RPS</t>
  </si>
  <si>
    <t>Riboviria;Orthornavirae;Pisuviricota;Pisoniviricetes;Sobelivirales;Solemoviridae;Polerovirus;Polerovirus CYDVRPS</t>
  </si>
  <si>
    <t>Riboviria;Orthornavirae;Pisuviricota;Pisoniviricetes;Sobelivirales;Solemoviridae;Polerovirus;Cereal yellow dwarf virus RPV</t>
  </si>
  <si>
    <t>Riboviria;Orthornavirae;Pisuviricota;Pisoniviricetes;Sobelivirales;Solemoviridae;Polerovirus;Polerovirus CYDVRPV</t>
  </si>
  <si>
    <t>Riboviria;Orthornavirae;Pisuviricota;Pisoniviricetes;Sobelivirales;Solemoviridae;Polerovirus;Faba bean polerovirus 1</t>
  </si>
  <si>
    <t>Riboviria;Orthornavirae;Pisuviricota;Pisoniviricetes;Sobelivirales;Solemoviridae;Polerovirus;Polerovirus FBPV</t>
  </si>
  <si>
    <t>Riboviria;Orthornavirae;Pisuviricota;Pisoniviricetes;Sobelivirales;Solemoviridae;Groundnut rosette assistor virus</t>
  </si>
  <si>
    <t>Riboviria;Orthornavirae;Pisuviricota;Pisoniviricetes;Sobelivirales;Solemoviridae;Polerovirus;Polerovirus GRAV</t>
  </si>
  <si>
    <t>Riboviria;Orthornavirae;Pisuviricota;Pisoniviricetes;Sobelivirales;Solemoviridae;Polerovirus;Melon aphid-borne yellows virus</t>
  </si>
  <si>
    <t>Riboviria;Orthornavirae;Pisuviricota;Pisoniviricetes;Sobelivirales;Solemoviridae;Polerovirus;Polerovirus MABYV</t>
  </si>
  <si>
    <t>Riboviria;Orthornavirae;Pisuviricota;Pisoniviricetes;Sobelivirales;Solemoviridae;Polerovirus;Maize yellow mosaic virus</t>
  </si>
  <si>
    <t>Riboviria;Orthornavirae;Pisuviricota;Pisoniviricetes;Sobelivirales;Solemoviridae;Polerovirus;Polerovirus MAYMV</t>
  </si>
  <si>
    <t>Riboviria;Orthornavirae;Pisuviricota;Pisoniviricetes;Sobelivirales;Solemoviridae;Polerovirus;Maize yellow dwarf virus RMV</t>
  </si>
  <si>
    <t>Riboviria;Orthornavirae;Pisuviricota;Pisoniviricetes;Sobelivirales;Solemoviridae;Polerovirus;Polerovirus MYDVRMV</t>
  </si>
  <si>
    <t>Riboviria;Orthornavirae;Pisuviricota;Pisoniviricetes;Sobelivirales;Solemoviridae;Polerovirus;Pepo aphid-borne yellows virus</t>
  </si>
  <si>
    <t>Riboviria;Orthornavirae;Pisuviricota;Pisoniviricetes;Sobelivirales;Solemoviridae;Polerovirus;Polerovirus PABYV</t>
  </si>
  <si>
    <t>Riboviria;Orthornavirae;Pisuviricota;Pisoniviricetes;Sobelivirales;Solemoviridae;Polerovirus;Pepper vein yellows virus 1</t>
  </si>
  <si>
    <t>Riboviria;Orthornavirae;Pisuviricota;Pisoniviricetes;Sobelivirales;Solemoviridae;Polerovirus;Polerovirus PEVYV1</t>
  </si>
  <si>
    <t>Riboviria;Orthornavirae;Pisuviricota;Pisoniviricetes;Sobelivirales;Solemoviridae;Polerovirus;Pepper vein yellows virus 2</t>
  </si>
  <si>
    <t>Riboviria;Orthornavirae;Pisuviricota;Pisoniviricetes;Sobelivirales;Solemoviridae;Polerovirus;Polerovirus PEVYV2</t>
  </si>
  <si>
    <t>Riboviria;Orthornavirae;Pisuviricota;Pisoniviricetes;Sobelivirales;Solemoviridae;Polerovirus;Pepper vein yellows virus 3</t>
  </si>
  <si>
    <t>Riboviria;Orthornavirae;Pisuviricota;Pisoniviricetes;Sobelivirales;Solemoviridae;Polerovirus;Polerovirus PEVYV3</t>
  </si>
  <si>
    <t>Riboviria;Orthornavirae;Pisuviricota;Pisoniviricetes;Sobelivirales;Solemoviridae;Polerovirus;Pepper vein yellows virus 4</t>
  </si>
  <si>
    <t>Riboviria;Orthornavirae;Pisuviricota;Pisoniviricetes;Sobelivirales;Solemoviridae;Polerovirus;Polerovirus PEVYV4</t>
  </si>
  <si>
    <t>Riboviria;Orthornavirae;Pisuviricota;Pisoniviricetes;Sobelivirales;Solemoviridae;Polerovirus;Pepper vein yellows virus 5</t>
  </si>
  <si>
    <t>Riboviria;Orthornavirae;Pisuviricota;Pisoniviricetes;Sobelivirales;Solemoviridae;Polerovirus;Polerovirus PEVYV5</t>
  </si>
  <si>
    <t>Riboviria;Orthornavirae;Pisuviricota;Pisoniviricetes;Sobelivirales;Solemoviridae;Polerovirus;Pepper vein yellows virus 6</t>
  </si>
  <si>
    <t>Riboviria;Orthornavirae;Pisuviricota;Pisoniviricetes;Sobelivirales;Solemoviridae;Polerovirus;Polerovirus PEVYV6</t>
  </si>
  <si>
    <t>Riboviria;Orthornavirae;Pisuviricota;Pisoniviricetes;Sobelivirales;Solemoviridae;Polerovirus;Potato leafroll virus</t>
  </si>
  <si>
    <t>Riboviria;Orthornavirae;Pisuviricota;Pisoniviricetes;Sobelivirales;Solemoviridae;Polerovirus;Polerovirus PLRV</t>
  </si>
  <si>
    <t>Riboviria;Orthornavirae;Pisuviricota;Pisoniviricetes;Sobelivirales;Solemoviridae;Polerovirus;Pumpkin polerovirus</t>
  </si>
  <si>
    <t>Riboviria;Orthornavirae;Pisuviricota;Pisoniviricetes;Sobelivirales;Solemoviridae;Polerovirus;Polerovirus PUPV</t>
  </si>
  <si>
    <t>Riboviria;Orthornavirae;Pisuviricota;Pisoniviricetes;Sobelivirales;Solemoviridae;Polerovirus;Suakwa aphid-borne yellows virus</t>
  </si>
  <si>
    <t>Riboviria;Orthornavirae;Pisuviricota;Pisoniviricetes;Sobelivirales;Solemoviridae;Polerovirus;Polerovirus SABYV</t>
  </si>
  <si>
    <t>Riboviria;Orthornavirae;Pisuviricota;Pisoniviricetes;Sobelivirales;Solemoviridae;Polerovirus;Sugarcane yellow leaf virus</t>
  </si>
  <si>
    <t>Riboviria;Orthornavirae;Pisuviricota;Pisoniviricetes;Sobelivirales;Solemoviridae;Polerovirus;Polerovirus SCYLV</t>
  </si>
  <si>
    <t>Riboviria;Orthornavirae;Pisuviricota;Pisoniviricetes;Sobelivirales;Solemoviridae;Sweet potato leaf speckling virus</t>
  </si>
  <si>
    <t>Riboviria;Orthornavirae;Pisuviricota;Pisoniviricetes;Sobelivirales;Solemoviridae;Polerovirus;Polerovirus SPLSV</t>
  </si>
  <si>
    <t>Riboviria;Orthornavirae;Pisuviricota;Pisoniviricetes;Sobelivirales;Solemoviridae;Tobacco necrotic dwarf virus</t>
  </si>
  <si>
    <t>Riboviria;Orthornavirae;Pisuviricota;Pisoniviricetes;Sobelivirales;Solemoviridae;Polerovirus;Polerovirus TNDV</t>
  </si>
  <si>
    <t>Riboviria;Orthornavirae;Pisuviricota;Pisoniviricetes;Sobelivirales;Solemoviridae;Polerovirus;Turnip yellows virus</t>
  </si>
  <si>
    <t>Riboviria;Orthornavirae;Pisuviricota;Pisoniviricetes;Sobelivirales;Solemoviridae;Polerovirus;Polerovirus TUYV</t>
  </si>
  <si>
    <t>Riboviria;Orthornavirae;Pisuviricota;Pisoniviricetes;Sobelivirales;Solemoviridae;Polerovirus;Tobacco vein distorting virus</t>
  </si>
  <si>
    <t>Riboviria;Orthornavirae;Pisuviricota;Pisoniviricetes;Sobelivirales;Solemoviridae;Polerovirus;Polerovirus TVDV</t>
  </si>
  <si>
    <t>Riboviria;Orthornavirae;Pisuviricota;Pisoniviricetes;Sobelivirales;Solemoviridae;Barley yellow dwarf virus GPV</t>
  </si>
  <si>
    <t>Riboviria;Orthornavirae;Pisuviricota;Pisoniviricetes;Sobelivirales;Solemoviridae;Polerovirus;Polerovirus WYDVGPV</t>
  </si>
  <si>
    <t>Riboviria;Orthornavirae;Pisuviricota;Pisoniviricetes;Sobelivirales;Solemoviridae;Sobemovirus;Artemisia virus A</t>
  </si>
  <si>
    <t>Riboviria;Orthornavirae;Pisuviricota;Pisoniviricetes;Sobelivirales;Solemoviridae;Sobemovirus;Sobemovirus ARTVA</t>
  </si>
  <si>
    <t>Riboviria;Orthornavirae;Pisuviricota;Pisoniviricetes;Sobelivirales;Solemoviridae;Sobemovirus;Blueberry shoestring virus</t>
  </si>
  <si>
    <t>Riboviria;Orthornavirae;Pisuviricota;Pisoniviricetes;Sobelivirales;Solemoviridae;Sobemovirus;Sobemovirus BSSV</t>
  </si>
  <si>
    <t>Riboviria;Orthornavirae;Pisuviricota;Pisoniviricetes;Sobelivirales;Solemoviridae;Sobemovirus;Cymbidium chlorotic mosaic virus</t>
  </si>
  <si>
    <t>Riboviria;Orthornavirae;Pisuviricota;Pisoniviricetes;Sobelivirales;Solemoviridae;Sobemovirus;Sobemovirus CYCMV</t>
  </si>
  <si>
    <t>Riboviria;Orthornavirae;Pisuviricota;Pisoniviricetes;Sobelivirales;Solemoviridae;Sobemovirus;Imperata yellow mottle virus</t>
  </si>
  <si>
    <t>Riboviria;Orthornavirae;Pisuviricota;Pisoniviricetes;Sobelivirales;Solemoviridae;Sobemovirus;Sobemovirus IYMV</t>
  </si>
  <si>
    <t>Riboviria;Orthornavirae;Pisuviricota;Pisoniviricetes;Sobelivirales;Solemoviridae;Sobemovirus;Lucerne transient streak virus</t>
  </si>
  <si>
    <t>Riboviria;Orthornavirae;Pisuviricota;Pisoniviricetes;Sobelivirales;Solemoviridae;Sobemovirus;Sobemovirus LTSV</t>
  </si>
  <si>
    <t>Riboviria;Orthornavirae;Pisuviricota;Pisoniviricetes;Sobelivirales;Solemoviridae;Sobemovirus;Physalis rugose mosaic virus</t>
  </si>
  <si>
    <t>Riboviria;Orthornavirae;Pisuviricota;Pisoniviricetes;Sobelivirales;Solemoviridae;Sobemovirus;Sobemovirus PHYRMV</t>
  </si>
  <si>
    <t>Riboviria;Orthornavirae;Pisuviricota;Pisoniviricetes;Sobelivirales;Solemoviridae;Sobemovirus;Papaya lethal yellowing virus</t>
  </si>
  <si>
    <t>Riboviria;Orthornavirae;Pisuviricota;Pisoniviricetes;Sobelivirales;Solemoviridae;Sobemovirus;Sobemovirus PLYV</t>
  </si>
  <si>
    <t>Riboviria;Orthornavirae;Pisuviricota;Pisoniviricetes;Sobelivirales;Solemoviridae;Sobemovirus;Ryegrass mottle virus</t>
  </si>
  <si>
    <t>Riboviria;Orthornavirae;Pisuviricota;Pisoniviricetes;Sobelivirales;Solemoviridae;Sobemovirus;Sobemovirus RGMOV</t>
  </si>
  <si>
    <t>Riboviria;Orthornavirae;Pisuviricota;Pisoniviricetes;Sobelivirales;Solemoviridae;Sobemovirus;Rottboellia yellow mottle virus</t>
  </si>
  <si>
    <t>Riboviria;Orthornavirae;Pisuviricota;Pisoniviricetes;Sobelivirales;Solemoviridae;Sobemovirus;Sobemovirus ROMOV</t>
  </si>
  <si>
    <t>Riboviria;Orthornavirae;Pisuviricota;Pisoniviricetes;Sobelivirales;Solemoviridae;Sobemovirus;Rice yellow mottle virus</t>
  </si>
  <si>
    <t>Riboviria;Orthornavirae;Pisuviricota;Pisoniviricetes;Sobelivirales;Solemoviridae;Sobemovirus;Sobemovirus RYMV</t>
  </si>
  <si>
    <t>Riboviria;Orthornavirae;Pisuviricota;Pisoniviricetes;Sobelivirales;Solemoviridae;Sobemovirus;Southern bean mosaic virus</t>
  </si>
  <si>
    <t>Riboviria;Orthornavirae;Pisuviricota;Pisoniviricetes;Sobelivirales;Solemoviridae;Sobemovirus;Sobemovirus SBMV</t>
  </si>
  <si>
    <t>Riboviria;Orthornavirae;Pisuviricota;Pisoniviricetes;Sobelivirales;Solemoviridae;Sobemovirus;Subterranean clover mottle virus</t>
  </si>
  <si>
    <t>Riboviria;Orthornavirae;Pisuviricota;Pisoniviricetes;Sobelivirales;Solemoviridae;Sobemovirus;Sobemovirus SCMOV</t>
  </si>
  <si>
    <t>Riboviria;Orthornavirae;Pisuviricota;Pisoniviricetes;Sobelivirales;Solemoviridae;Sobemovirus;Southern cowpea mosaic virus</t>
  </si>
  <si>
    <t>Riboviria;Orthornavirae;Pisuviricota;Pisoniviricetes;Sobelivirales;Solemoviridae;Sobemovirus;Sobemovirus SCPMV</t>
  </si>
  <si>
    <t>Riboviria;Orthornavirae;Pisuviricota;Pisoniviricetes;Sobelivirales;Solemoviridae;Sobemovirus;Sesbania mosaic virus</t>
  </si>
  <si>
    <t>Riboviria;Orthornavirae;Pisuviricota;Pisoniviricetes;Sobelivirales;Solemoviridae;Sobemovirus;Sobemovirus SEMV</t>
  </si>
  <si>
    <t>Riboviria;Orthornavirae;Pisuviricota;Pisoniviricetes;Sobelivirales;Solemoviridae;Sobemovirus;Solanum nodiflorum mottle virus</t>
  </si>
  <si>
    <t>Riboviria;Orthornavirae;Pisuviricota;Pisoniviricetes;Sobelivirales;Solemoviridae;Sobemovirus;Sobemovirus SNMOV</t>
  </si>
  <si>
    <t>Riboviria;Orthornavirae;Pisuviricota;Pisoniviricetes;Sobelivirales;Solemoviridae;Sobemovirus;Sowbane mosaic virus</t>
  </si>
  <si>
    <t>Riboviria;Orthornavirae;Pisuviricota;Pisoniviricetes;Sobelivirales;Solemoviridae;Sobemovirus;Sobemovirus SOMV</t>
  </si>
  <si>
    <t>Riboviria;Orthornavirae;Pisuviricota;Pisoniviricetes;Sobelivirales;Solemoviridae;Sobemovirus;Soybean yellow common mosaic virus</t>
  </si>
  <si>
    <t>Riboviria;Orthornavirae;Pisuviricota;Pisoniviricetes;Sobelivirales;Solemoviridae;Sobemovirus;Sobemovirus SYCMV</t>
  </si>
  <si>
    <t>Riboviria;Orthornavirae;Pisuviricota;Pisoniviricetes;Sobelivirales;Solemoviridae;Sobemovirus;Turnip rosette virus</t>
  </si>
  <si>
    <t>Riboviria;Orthornavirae;Pisuviricota;Pisoniviricetes;Sobelivirales;Solemoviridae;Sobemovirus;Sobemovirus TROV</t>
  </si>
  <si>
    <t>Riboviria;Orthornavirae;Pisuviricota;Pisoniviricetes;Sobelivirales;Solemoviridae;Sobemovirus;Velvet tobacco mottle virus</t>
  </si>
  <si>
    <t>Riboviria;Orthornavirae;Pisuviricota;Pisoniviricetes;Sobelivirales;Solemoviridae;Sobemovirus;Sobemovirus VTMOV</t>
  </si>
  <si>
    <t>Riboviria;Orthornavirae;Pisuviricota;Stelpaviricetes;Patatavirales;Potyviridae;Arepavirus;Areca palm necrotic ringspot virus</t>
  </si>
  <si>
    <t>Riboviria;Orthornavirae;Pisuviricota;Stelpaviricetes;Patatavirales;Potyviridae;Arepavirus;Arepavirus arecae</t>
  </si>
  <si>
    <t>Riboviria;Orthornavirae;Pisuviricota;Stelpaviricetes;Patatavirales;Potyviridae;Arepavirus;Areca palm necrotic spindle-spot virus</t>
  </si>
  <si>
    <t>Riboviria;Orthornavirae;Pisuviricota;Stelpaviricetes;Patatavirales;Potyviridae;Arepavirus;Arepavirus arecamaculatum</t>
  </si>
  <si>
    <t>Riboviria;Orthornavirae;Pisuviricota;Stelpaviricetes;Patatavirales;Potyviridae;Bevemovirus;Bellflower veinal mottle virus</t>
  </si>
  <si>
    <t>Riboviria;Orthornavirae;Pisuviricota;Stelpaviricetes;Patatavirales;Potyviridae;Bevemovirus;Bevemovirus campanulae</t>
  </si>
  <si>
    <t>Riboviria;Orthornavirae;Pisuviricota;Stelpaviricetes;Patatavirales;Potyviridae;Brambyvirus;Blackberry virus Y</t>
  </si>
  <si>
    <t>Riboviria;Orthornavirae;Pisuviricota;Stelpaviricetes;Patatavirales;Potyviridae;Brambyvirus;Brambyvirus rubi</t>
  </si>
  <si>
    <t>Riboviria;Orthornavirae;Pisuviricota;Stelpaviricetes;Patatavirales;Potyviridae;Bymovirus;Oat mosaic virus</t>
  </si>
  <si>
    <t>Riboviria;Orthornavirae;Pisuviricota;Stelpaviricetes;Patatavirales;Potyviridae;Bymovirus;Bymovirus avenae</t>
  </si>
  <si>
    <t>Riboviria;Orthornavirae;Pisuviricota;Stelpaviricetes;Patatavirales;Potyviridae;Bymovirus;Barley mild mosaic virus</t>
  </si>
  <si>
    <t>Riboviria;Orthornavirae;Pisuviricota;Stelpaviricetes;Patatavirales;Potyviridae;Bymovirus;Bymovirus hordei</t>
  </si>
  <si>
    <t>Riboviria;Orthornavirae;Pisuviricota;Stelpaviricetes;Patatavirales;Potyviridae;Bymovirus;Barley yellow mosaic virus</t>
  </si>
  <si>
    <t>Riboviria;Orthornavirae;Pisuviricota;Stelpaviricetes;Patatavirales;Potyviridae;Bymovirus;Bymovirus hordeiluteum</t>
  </si>
  <si>
    <t>Riboviria;Orthornavirae;Pisuviricota;Stelpaviricetes;Patatavirales;Potyviridae;Bymovirus;Rice necrosis mosaic virus</t>
  </si>
  <si>
    <t>Riboviria;Orthornavirae;Pisuviricota;Stelpaviricetes;Patatavirales;Potyviridae;Bymovirus;Bymovirus oryzae</t>
  </si>
  <si>
    <t>Riboviria;Orthornavirae;Pisuviricota;Stelpaviricetes;Patatavirales;Potyviridae;Bymovirus;Wheat spindle streak mosaic virus</t>
  </si>
  <si>
    <t>Riboviria;Orthornavirae;Pisuviricota;Stelpaviricetes;Patatavirales;Potyviridae;Bymovirus;Bymovirus tritici</t>
  </si>
  <si>
    <t>Riboviria;Orthornavirae;Pisuviricota;Stelpaviricetes;Patatavirales;Potyviridae;Bymovirus;Wheat yellow mosaic virus</t>
  </si>
  <si>
    <t>Riboviria;Orthornavirae;Pisuviricota;Stelpaviricetes;Patatavirales;Potyviridae;Bymovirus;Bymovirus triticitessellati</t>
  </si>
  <si>
    <t>Riboviria;Orthornavirae;Pisuviricota;Stelpaviricetes;Patatavirales;Potyviridae;Celavirus;Celery latent virus</t>
  </si>
  <si>
    <t>Riboviria;Orthornavirae;Pisuviricota;Stelpaviricetes;Patatavirales;Potyviridae;Celavirus;Celavirus apii</t>
  </si>
  <si>
    <t>Riboviria;Orthornavirae;Pisuviricota;Stelpaviricetes;Patatavirales;Potyviridae;Ipomovirus;Cassava brown streak virus</t>
  </si>
  <si>
    <t>Riboviria;Orthornavirae;Pisuviricota;Stelpaviricetes;Patatavirales;Potyviridae;Ipomovirus;Ipomovirus brunusmanihotis</t>
  </si>
  <si>
    <t>Riboviria;Orthornavirae;Pisuviricota;Stelpaviricetes;Patatavirales;Potyviridae;Ipomovirus;Coccinia mottle virus</t>
  </si>
  <si>
    <t>Riboviria;Orthornavirae;Pisuviricota;Stelpaviricetes;Patatavirales;Potyviridae;Ipomovirus;Ipomovirus cocciniae</t>
  </si>
  <si>
    <t>Riboviria;Orthornavirae;Pisuviricota;Stelpaviricetes;Patatavirales;Potyviridae;Ipomovirus;Cucumber vein yellowing virus</t>
  </si>
  <si>
    <t>Riboviria;Orthornavirae;Pisuviricota;Stelpaviricetes;Patatavirales;Potyviridae;Ipomovirus;Ipomovirus cucumisvenaflavi</t>
  </si>
  <si>
    <t>Riboviria;Orthornavirae;Pisuviricota;Stelpaviricetes;Patatavirales;Potyviridae;Ipomovirus;Squash vein yellowing virus</t>
  </si>
  <si>
    <t>Riboviria;Orthornavirae;Pisuviricota;Stelpaviricetes;Patatavirales;Potyviridae;Ipomovirus;Ipomovirus cucurbitavenaflavi</t>
  </si>
  <si>
    <t>Riboviria;Orthornavirae;Pisuviricota;Stelpaviricetes;Patatavirales;Potyviridae;Ipomovirus;Sweet potato mild mottle virus</t>
  </si>
  <si>
    <t>Riboviria;Orthornavirae;Pisuviricota;Stelpaviricetes;Patatavirales;Potyviridae;Ipomovirus;Ipomovirus lenisbatatae</t>
  </si>
  <si>
    <t>Riboviria;Orthornavirae;Pisuviricota;Stelpaviricetes;Patatavirales;Potyviridae;Ipomovirus;Tomato mild mottle virus</t>
  </si>
  <si>
    <t>Riboviria;Orthornavirae;Pisuviricota;Stelpaviricetes;Patatavirales;Potyviridae;Ipomovirus;Ipomovirus lycopersici</t>
  </si>
  <si>
    <t>Riboviria;Orthornavirae;Pisuviricota;Stelpaviricetes;Patatavirales;Potyviridae;Ipomovirus;Ugandan cassava brown streak virus</t>
  </si>
  <si>
    <t>Riboviria;Orthornavirae;Pisuviricota;Stelpaviricetes;Patatavirales;Potyviridae;Ipomovirus;Ipomovirus manihotis</t>
  </si>
  <si>
    <t>Riboviria;Orthornavirae;Pisuviricota;Stelpaviricetes;Patatavirales;Potyviridae;Macluravirus;Alpinia oxyphylla mosaic virus</t>
  </si>
  <si>
    <t>Riboviria;Orthornavirae;Pisuviricota;Stelpaviricetes;Patatavirales;Potyviridae;Macluravirus;Macluravirus alipiniatessallati</t>
  </si>
  <si>
    <t>Riboviria;Orthornavirae;Pisuviricota;Stelpaviricetes;Patatavirales;Potyviridae;Macluravirus;Alpinia mosaic virus</t>
  </si>
  <si>
    <t>Riboviria;Orthornavirae;Pisuviricota;Stelpaviricetes;Patatavirales;Potyviridae;Macluravirus;Macluravirus alpiniae</t>
  </si>
  <si>
    <t>Riboviria;Orthornavirae;Pisuviricota;Stelpaviricetes;Patatavirales;Potyviridae;Macluravirus;Cardamom mosaic virus</t>
  </si>
  <si>
    <t>Riboviria;Orthornavirae;Pisuviricota;Stelpaviricetes;Patatavirales;Potyviridae;Macluravirus;Macluravirus cardamomi</t>
  </si>
  <si>
    <t>Riboviria;Orthornavirae;Pisuviricota;Stelpaviricetes;Patatavirales;Potyviridae;Macluravirus;Chinese yam necrotic mosaic virus</t>
  </si>
  <si>
    <t>Riboviria;Orthornavirae;Pisuviricota;Stelpaviricetes;Patatavirales;Potyviridae;Macluravirus;Macluravirus dioscoreachinense</t>
  </si>
  <si>
    <t>Riboviria;Orthornavirae;Pisuviricota;Stelpaviricetes;Patatavirales;Potyviridae;Macluravirus;Yam chlorotic necrosis virus</t>
  </si>
  <si>
    <t>Riboviria;Orthornavirae;Pisuviricota;Stelpaviricetes;Patatavirales;Potyviridae;Macluravirus;Macluravirus dioscoreaflavinecrosis</t>
  </si>
  <si>
    <t>Riboviria;Orthornavirae;Pisuviricota;Stelpaviricetes;Patatavirales;Potyviridae;Macluravirus;Yam chlorotic mosaic virus</t>
  </si>
  <si>
    <t>Riboviria;Orthornavirae;Pisuviricota;Stelpaviricetes;Patatavirales;Potyviridae;Macluravirus;Macluravirus dioscoreaflavitessellati</t>
  </si>
  <si>
    <t>Riboviria;Orthornavirae;Pisuviricota;Stelpaviricetes;Patatavirales;Potyviridae;Macluravirus;Maclura mosaic virus</t>
  </si>
  <si>
    <t>Riboviria;Orthornavirae;Pisuviricota;Stelpaviricetes;Patatavirales;Potyviridae;Macluravirus;Macluravirus maclurae</t>
  </si>
  <si>
    <t>Riboviria;Orthornavirae;Pisuviricota;Stelpaviricetes;Patatavirales;Potyviridae;Macluravirus;Narcissus latent virus</t>
  </si>
  <si>
    <t>Riboviria;Orthornavirae;Pisuviricota;Stelpaviricetes;Patatavirales;Potyviridae;Macluravirus;Macluravirus narcissi</t>
  </si>
  <si>
    <t>Riboviria;Orthornavirae;Pisuviricota;Stelpaviricetes;Patatavirales;Potyviridae;Macluravirus;Broad-leafed dock virus A</t>
  </si>
  <si>
    <t>Riboviria;Orthornavirae;Pisuviricota;Stelpaviricetes;Patatavirales;Potyviridae;Macluravirus;Macluravirus rumicis</t>
  </si>
  <si>
    <t>Riboviria;Orthornavirae;Pisuviricota;Stelpaviricetes;Patatavirales;Potyviridae;Macluravirus;Artichoke latent virus</t>
  </si>
  <si>
    <t>Riboviria;Orthornavirae;Pisuviricota;Stelpaviricetes;Patatavirales;Potyviridae;Macluravirus;Macluravirus scolymus</t>
  </si>
  <si>
    <t>Riboviria;Orthornavirae;Pisuviricota;Stelpaviricetes;Patatavirales;Potyviridae;Poacevirus;Caladenia virus A</t>
  </si>
  <si>
    <t>Riboviria;Orthornavirae;Pisuviricota;Stelpaviricetes;Patatavirales;Potyviridae;Poacevirus;Poacevirus caladeniae</t>
  </si>
  <si>
    <t>Riboviria;Orthornavirae;Pisuviricota;Stelpaviricetes;Patatavirales;Potyviridae;Poacevirus;Sugarcane streak mosaic virus</t>
  </si>
  <si>
    <t>Riboviria;Orthornavirae;Pisuviricota;Stelpaviricetes;Patatavirales;Potyviridae;Poacevirus;Poacevirus sacchari</t>
  </si>
  <si>
    <t>Riboviria;Orthornavirae;Pisuviricota;Stelpaviricetes;Patatavirales;Potyviridae;Poacevirus;Triticum mosaic virus</t>
  </si>
  <si>
    <t>Riboviria;Orthornavirae;Pisuviricota;Stelpaviricetes;Patatavirales;Potyviridae;Poacevirus;Poacevirus tritici</t>
  </si>
  <si>
    <t>Riboviria;Orthornavirae;Pisuviricota;Stelpaviricetes;Patatavirales;Potyviridae;Potyvirus;Donkey orchid virus A</t>
  </si>
  <si>
    <t>Riboviria;Orthornavirae;Pisuviricota;Stelpaviricetes;Patatavirales;Potyviridae;Potyvirus;Potyvirus adiuris</t>
  </si>
  <si>
    <t>Riboviria;Orthornavirae;Pisuviricota;Stelpaviricetes;Patatavirales;Potyviridae;Potyvirus;Algerian watermelon mosaic virus</t>
  </si>
  <si>
    <t>Riboviria;Orthornavirae;Pisuviricota;Stelpaviricetes;Patatavirales;Potyviridae;Potyvirus;Potyvirus algeriaense</t>
  </si>
  <si>
    <t>Riboviria;Orthornavirae;Pisuviricota;Stelpaviricetes;Patatavirales;Potyviridae;Potyvirus;Wild onion symptomless virus</t>
  </si>
  <si>
    <t>Riboviria;Orthornavirae;Pisuviricota;Stelpaviricetes;Patatavirales;Potyviridae;Potyvirus;Potyvirus alliumagrestis</t>
  </si>
  <si>
    <t>Riboviria;Orthornavirae;Pisuviricota;Stelpaviricetes;Patatavirales;Potyviridae;Potyvirus;Alternanthera mild mosaic virus</t>
  </si>
  <si>
    <t>Riboviria;Orthornavirae;Pisuviricota;Stelpaviricetes;Patatavirales;Potyviridae;Potyvirus;Potyvirus almeidi</t>
  </si>
  <si>
    <t>Riboviria;Orthornavirae;Pisuviricota;Stelpaviricetes;Patatavirales;Potyviridae;Potyvirus;Alstroemeria mosaic virus</t>
  </si>
  <si>
    <t>Riboviria;Orthornavirae;Pisuviricota;Stelpaviricetes;Patatavirales;Potyviridae;Potyvirus;Potyvirus alstromeriae</t>
  </si>
  <si>
    <t>Riboviria;Orthornavirae;Pisuviricota;Stelpaviricetes;Patatavirales;Potyviridae;Potyvirus;Amaranthus leaf mottle virus</t>
  </si>
  <si>
    <t>Riboviria;Orthornavirae;Pisuviricota;Stelpaviricetes;Patatavirales;Potyviridae;Potyvirus;Potyvirus amaranthi</t>
  </si>
  <si>
    <t>Riboviria;Orthornavirae;Pisuviricota;Stelpaviricetes;Patatavirales;Potyviridae;Potyvirus;Leek yellow stripe virus</t>
  </si>
  <si>
    <t>Riboviria;Orthornavirae;Pisuviricota;Stelpaviricetes;Patatavirales;Potyviridae;Potyvirus;Potyvirus ampeloprasi</t>
  </si>
  <si>
    <t>Riboviria;Orthornavirae;Pisuviricota;Stelpaviricetes;Patatavirales;Potyviridae;Potyvirus;Angelica virus Y</t>
  </si>
  <si>
    <t>Riboviria;Orthornavirae;Pisuviricota;Stelpaviricetes;Patatavirales;Potyviridae;Potyvirus;Potyvirus angelicae</t>
  </si>
  <si>
    <t>Riboviria;Orthornavirae;Pisuviricota;Stelpaviricetes;Patatavirales;Potyviridae;Potyvirus;Apium virus Y</t>
  </si>
  <si>
    <t>Riboviria;Orthornavirae;Pisuviricota;Stelpaviricetes;Patatavirales;Potyviridae;Potyvirus;Potyvirus apii</t>
  </si>
  <si>
    <t>Riboviria;Orthornavirae;Pisuviricota;Stelpaviricetes;Patatavirales;Potyviridae;Potyvirus;Celery mosaic virus</t>
  </si>
  <si>
    <t>Riboviria;Orthornavirae;Pisuviricota;Stelpaviricetes;Patatavirales;Potyviridae;Potyvirus;Potyvirus apiumtessellati</t>
  </si>
  <si>
    <t>Riboviria;Orthornavirae;Pisuviricota;Stelpaviricetes;Patatavirales;Potyviridae;Potyvirus;Peanut mottle virus</t>
  </si>
  <si>
    <t>Riboviria;Orthornavirae;Pisuviricota;Stelpaviricetes;Patatavirales;Potyviridae;Potyvirus;Potyvirus arachidis</t>
  </si>
  <si>
    <t>Riboviria;Orthornavirae;Pisuviricota;Stelpaviricetes;Patatavirales;Potyviridae;Potyvirus;Araujia mosaic virus</t>
  </si>
  <si>
    <t>Riboviria;Orthornavirae;Pisuviricota;Stelpaviricetes;Patatavirales;Potyviridae;Potyvirus;Potyvirus araujiae</t>
  </si>
  <si>
    <t>Riboviria;Orthornavirae;Pisuviricota;Stelpaviricetes;Patatavirales;Potyviridae;Potyvirus;Arracacha mottle virus</t>
  </si>
  <si>
    <t>Riboviria;Orthornavirae;Pisuviricota;Stelpaviricetes;Patatavirales;Potyviridae;Potyvirus;Potyvirus arracachae</t>
  </si>
  <si>
    <t>Riboviria;Orthornavirae;Pisuviricota;Stelpaviricetes;Patatavirales;Potyviridae;Potyvirus;Chinese artichoke mosaic virus</t>
  </si>
  <si>
    <t>Riboviria;Orthornavirae;Pisuviricota;Stelpaviricetes;Patatavirales;Potyviridae;Potyvirus;Potyvirus artichokis</t>
  </si>
  <si>
    <t>Riboviria;Orthornavirae;Pisuviricota;Stelpaviricetes;Patatavirales;Potyviridae;Potyvirus;Shallot yellow stripe virus</t>
  </si>
  <si>
    <t>Riboviria;Orthornavirae;Pisuviricota;Stelpaviricetes;Patatavirales;Potyviridae;Potyvirus;Potyvirus ascaloniae</t>
  </si>
  <si>
    <t>Riboviria;Orthornavirae;Pisuviricota;Stelpaviricetes;Patatavirales;Potyviridae;Potyvirus;Scallion mosaic virus</t>
  </si>
  <si>
    <t>Riboviria;Orthornavirae;Pisuviricota;Stelpaviricetes;Patatavirales;Potyviridae;Potyvirus;Potyvirus ascaloniavirgae</t>
  </si>
  <si>
    <t>Riboviria;Orthornavirae;Pisuviricota;Stelpaviricetes;Patatavirales;Potyviridae;Potyvirus;Asparagus virus 1</t>
  </si>
  <si>
    <t>Riboviria;Orthornavirae;Pisuviricota;Stelpaviricetes;Patatavirales;Potyviridae;Potyvirus;Potyvirus asparagi</t>
  </si>
  <si>
    <t>Riboviria;Orthornavirae;Pisuviricota;Stelpaviricetes;Patatavirales;Potyviridae;Potyvirus;Potato virus A</t>
  </si>
  <si>
    <t>Riboviria;Orthornavirae;Pisuviricota;Stelpaviricetes;Patatavirales;Potyviridae;Potyvirus;Potyvirus atuberosi</t>
  </si>
  <si>
    <t>Riboviria;Orthornavirae;Pisuviricota;Stelpaviricetes;Patatavirales;Potyviridae;Potyvirus;Barbacena virus Y</t>
  </si>
  <si>
    <t>Riboviria;Orthornavirae;Pisuviricota;Stelpaviricetes;Patatavirales;Potyviridae;Potyvirus;Potyvirus barbacenense</t>
  </si>
  <si>
    <t>Riboviria;Orthornavirae;Pisuviricota;Stelpaviricetes;Patatavirales;Potyviridae;Potyvirus;Basella rugose mosaic virus</t>
  </si>
  <si>
    <t>Riboviria;Orthornavirae;Pisuviricota;Stelpaviricetes;Patatavirales;Potyviridae;Potyvirus;Potyvirus basellae</t>
  </si>
  <si>
    <t>Riboviria;Orthornavirae;Pisuviricota;Stelpaviricetes;Patatavirales;Potyviridae;Potyvirus;Sweet potato latent virus</t>
  </si>
  <si>
    <t>Riboviria;Orthornavirae;Pisuviricota;Stelpaviricetes;Patatavirales;Potyviridae;Potyvirus;Potyvirus batatalatentis</t>
  </si>
  <si>
    <t>Riboviria;Orthornavirae;Pisuviricota;Stelpaviricetes;Patatavirales;Potyviridae;Potyvirus;Sweet potato mild speckling virus</t>
  </si>
  <si>
    <t>Riboviria;Orthornavirae;Pisuviricota;Stelpaviricetes;Patatavirales;Potyviridae;Potyvirus;Potyvirus batatamaculae</t>
  </si>
  <si>
    <t>Riboviria;Orthornavirae;Pisuviricota;Stelpaviricetes;Patatavirales;Potyviridae;Potyvirus;Sweet potato feathery mottle virus</t>
  </si>
  <si>
    <t>Riboviria;Orthornavirae;Pisuviricota;Stelpaviricetes;Patatavirales;Potyviridae;Potyvirus;Potyvirus batataplumei</t>
  </si>
  <si>
    <t>Riboviria;Orthornavirae;Pisuviricota;Stelpaviricetes;Patatavirales;Potyviridae;Potyvirus;Begonia flower breaking virus</t>
  </si>
  <si>
    <t>Riboviria;Orthornavirae;Pisuviricota;Stelpaviricetes;Patatavirales;Potyviridae;Potyvirus;Potyvirus begoniae</t>
  </si>
  <si>
    <t>Riboviria;Orthornavirae;Pisuviricota;Stelpaviricetes;Patatavirales;Potyviridae;Potyvirus;Beet mosaic virus</t>
  </si>
  <si>
    <t>Riboviria;Orthornavirae;Pisuviricota;Stelpaviricetes;Patatavirales;Potyviridae;Potyvirus;Potyvirus betaceum</t>
  </si>
  <si>
    <t>Riboviria;Orthornavirae;Pisuviricota;Stelpaviricetes;Patatavirales;Potyviridae;Potyvirus;Tamarillo leaf malformation virus</t>
  </si>
  <si>
    <t>Riboviria;Orthornavirae;Pisuviricota;Stelpaviricetes;Patatavirales;Potyviridae;Potyvirus;Potyvirus betaci</t>
  </si>
  <si>
    <t>Riboviria;Orthornavirae;Pisuviricota;Stelpaviricetes;Patatavirales;Potyviridae;Potyvirus;Bidens mosaic virus</t>
  </si>
  <si>
    <t>Riboviria;Orthornavirae;Pisuviricota;Stelpaviricetes;Patatavirales;Potyviridae;Potyvirus;Potyvirus bidensia</t>
  </si>
  <si>
    <t>Riboviria;Orthornavirae;Pisuviricota;Stelpaviricetes;Patatavirales;Potyviridae;Potyvirus;Bidens mottle virus</t>
  </si>
  <si>
    <t>Riboviria;Orthornavirae;Pisuviricota;Stelpaviricetes;Patatavirales;Potyviridae;Potyvirus;Potyvirus bidenstessellati</t>
  </si>
  <si>
    <t>Riboviria;Orthornavirae;Pisuviricota;Stelpaviricetes;Patatavirales;Potyviridae;Potyvirus;Brugmansia mosaic virus</t>
  </si>
  <si>
    <t>Riboviria;Orthornavirae;Pisuviricota;Stelpaviricetes;Patatavirales;Potyviridae;Potyvirus;Potyvirus brugmansiae</t>
  </si>
  <si>
    <t>Riboviria;Orthornavirae;Pisuviricota;Stelpaviricetes;Patatavirales;Potyviridae;Potyvirus;Callistephus mottle virus</t>
  </si>
  <si>
    <t>Riboviria;Orthornavirae;Pisuviricota;Stelpaviricetes;Patatavirales;Potyviridae;Potyvirus;Potyvirus calistephi</t>
  </si>
  <si>
    <t>Riboviria;Orthornavirae;Pisuviricota;Stelpaviricetes;Patatavirales;Potyviridae;Potyvirus;Calanthe mild mosaic virus</t>
  </si>
  <si>
    <t>Riboviria;Orthornavirae;Pisuviricota;Stelpaviricetes;Patatavirales;Potyviridae;Potyvirus;Potyvirus callanthis</t>
  </si>
  <si>
    <t>Riboviria;Orthornavirae;Pisuviricota;Stelpaviricetes;Patatavirales;Potyviridae;Potyvirus;Canna yellow streak virus</t>
  </si>
  <si>
    <t>Riboviria;Orthornavirae;Pisuviricota;Stelpaviricetes;Patatavirales;Potyviridae;Potyvirus;Potyvirus cannae</t>
  </si>
  <si>
    <t>Riboviria;Orthornavirae;Pisuviricota;Stelpaviricetes;Patatavirales;Potyviridae;Potyvirus;Chilli ringspot virus</t>
  </si>
  <si>
    <t>Riboviria;Orthornavirae;Pisuviricota;Stelpaviricetes;Patatavirales;Potyviridae;Potyvirus;Potyvirus capsianuli</t>
  </si>
  <si>
    <t>Riboviria;Orthornavirae;Pisuviricota;Stelpaviricetes;Patatavirales;Potyviridae;Potyvirus;Pepper yellow mosaic virus</t>
  </si>
  <si>
    <t>Riboviria;Orthornavirae;Pisuviricota;Stelpaviricetes;Patatavirales;Potyviridae;Potyvirus;Potyvirus capsiflavi</t>
  </si>
  <si>
    <t>Riboviria;Orthornavirae;Pisuviricota;Stelpaviricetes;Patatavirales;Potyviridae;Potyvirus;Pepper mottle virus</t>
  </si>
  <si>
    <t>Riboviria;Orthornavirae;Pisuviricota;Stelpaviricetes;Patatavirales;Potyviridae;Potyvirus;Potyvirus capsimaculae</t>
  </si>
  <si>
    <t>Riboviria;Orthornavirae;Pisuviricota;Stelpaviricetes;Patatavirales;Potyviridae;Potyvirus;Pepper severe mosaic virus</t>
  </si>
  <si>
    <t>Riboviria;Orthornavirae;Pisuviricota;Stelpaviricetes;Patatavirales;Potyviridae;Potyvirus;Potyvirus capsiseverum</t>
  </si>
  <si>
    <t>Riboviria;Orthornavirae;Pisuviricota;Stelpaviricetes;Patatavirales;Potyviridae;Potyvirus;Pepper veinal mottle virus</t>
  </si>
  <si>
    <t>Riboviria;Orthornavirae;Pisuviricota;Stelpaviricetes;Patatavirales;Potyviridae;Potyvirus;Potyvirus capsivenae</t>
  </si>
  <si>
    <t>Riboviria;Orthornavirae;Pisuviricota;Stelpaviricetes;Patatavirales;Potyviridae;Potyvirus;Chilli veinal mottle virus</t>
  </si>
  <si>
    <t>Riboviria;Orthornavirae;Pisuviricota;Stelpaviricetes;Patatavirales;Potyviridae;Potyvirus;Potyvirus capsivenamaculae</t>
  </si>
  <si>
    <t>Riboviria;Orthornavirae;Pisuviricota;Stelpaviricetes;Patatavirales;Potyviridae;Potyvirus;Papaya leaf distortion mosaic virus</t>
  </si>
  <si>
    <t>Riboviria;Orthornavirae;Pisuviricota;Stelpaviricetes;Patatavirales;Potyviridae;Potyvirus;Potyvirus caricae</t>
  </si>
  <si>
    <t>Riboviria;Orthornavirae;Pisuviricota;Stelpaviricetes;Patatavirales;Potyviridae;Potyvirus;Carrot virus Y</t>
  </si>
  <si>
    <t>Riboviria;Orthornavirae;Pisuviricota;Stelpaviricetes;Patatavirales;Potyviridae;Potyvirus;Potyvirus carotae</t>
  </si>
  <si>
    <t>Riboviria;Orthornavirae;Pisuviricota;Stelpaviricetes;Patatavirales;Potyviridae;Potyvirus;Carrot thin leaf virus</t>
  </si>
  <si>
    <t>Riboviria;Orthornavirae;Pisuviricota;Stelpaviricetes;Patatavirales;Potyviridae;Potyvirus;Potyvirus carotatenuifoli</t>
  </si>
  <si>
    <t>Riboviria;Orthornavirae;Pisuviricota;Stelpaviricetes;Patatavirales;Potyviridae;Potyvirus;Pecan mosaic-associated virus</t>
  </si>
  <si>
    <t>Riboviria;Orthornavirae;Pisuviricota;Stelpaviricetes;Patatavirales;Potyviridae;Potyvirus;Potyvirus caryae</t>
  </si>
  <si>
    <t>Riboviria;Orthornavirae;Pisuviricota;Stelpaviricetes;Patatavirales;Potyviridae;Potyvirus;Catharanthus mosaic virus</t>
  </si>
  <si>
    <t>Riboviria;Orthornavirae;Pisuviricota;Stelpaviricetes;Patatavirales;Potyviridae;Potyvirus;Potyvirus catharantessellati</t>
  </si>
  <si>
    <t>Riboviria;Orthornavirae;Pisuviricota;Stelpaviricetes;Patatavirales;Potyviridae;Potyvirus;Sweet potato virus C</t>
  </si>
  <si>
    <t>Riboviria;Orthornavirae;Pisuviricota;Stelpaviricetes;Patatavirales;Potyviridae;Potyvirus;Potyvirus cebatatae</t>
  </si>
  <si>
    <t>Riboviria;Orthornavirae;Pisuviricota;Stelpaviricetes;Patatavirales;Potyviridae;Potyvirus;Onion yellow dwarf virus</t>
  </si>
  <si>
    <t>Riboviria;Orthornavirae;Pisuviricota;Stelpaviricetes;Patatavirales;Potyviridae;Potyvirus;Potyvirus cepae</t>
  </si>
  <si>
    <t>Riboviria;Orthornavirae;Pisuviricota;Stelpaviricetes;Patatavirales;Potyviridae;Potyvirus;Ceratobium mosaic virus</t>
  </si>
  <si>
    <t>Riboviria;Orthornavirae;Pisuviricota;Stelpaviricetes;Patatavirales;Potyviridae;Potyvirus;Potyvirus ceratobii</t>
  </si>
  <si>
    <t>Riboviria;Orthornavirae;Pisuviricota;Stelpaviricetes;Patatavirales;Potyviridae;Potyvirus;Blue squill virus A</t>
  </si>
  <si>
    <t>Riboviria;Orthornavirae;Pisuviricota;Stelpaviricetes;Patatavirales;Potyviridae;Potyvirus;Potyvirus chamaescillae</t>
  </si>
  <si>
    <t>Riboviria;Orthornavirae;Pisuviricota;Stelpaviricetes;Patatavirales;Potyviridae;Potyvirus;Endive necrotic mosaic virus</t>
  </si>
  <si>
    <t>Riboviria;Orthornavirae;Pisuviricota;Stelpaviricetes;Patatavirales;Potyviridae;Potyvirus;Potyvirus chichorii</t>
  </si>
  <si>
    <t>Riboviria;Orthornavirae;Pisuviricota;Stelpaviricetes;Patatavirales;Potyviridae;Potyvirus;Watermelon mosaic virus</t>
  </si>
  <si>
    <t>Riboviria;Orthornavirae;Pisuviricota;Stelpaviricetes;Patatavirales;Potyviridae;Potyvirus;Potyvirus citrulli</t>
  </si>
  <si>
    <t>Riboviria;Orthornavirae;Pisuviricota;Stelpaviricetes;Patatavirales;Potyviridae;Potyvirus;Moroccan watermelon mosaic virus</t>
  </si>
  <si>
    <t>Riboviria;Orthornavirae;Pisuviricota;Stelpaviricetes;Patatavirales;Potyviridae;Potyvirus;Potyvirus citrullimoroccense</t>
  </si>
  <si>
    <t>Riboviria;Orthornavirae;Pisuviricota;Stelpaviricetes;Patatavirales;Potyviridae;Potyvirus;Watermelon leaf mottle virus</t>
  </si>
  <si>
    <t>Riboviria;Orthornavirae;Pisuviricota;Stelpaviricetes;Patatavirales;Potyviridae;Potyvirus;Potyvirus citrullufolimaculae</t>
  </si>
  <si>
    <t>Riboviria;Orthornavirae;Pisuviricota;Stelpaviricetes;Patatavirales;Potyviridae;Potyvirus;Clitoria virus Y</t>
  </si>
  <si>
    <t>Riboviria;Orthornavirae;Pisuviricota;Stelpaviricetes;Patatavirales;Potyviridae;Potyvirus;Potyvirus clitoriae</t>
  </si>
  <si>
    <t>Riboviria;Orthornavirae;Pisuviricota;Stelpaviricetes;Patatavirales;Potyviridae;Potyvirus;Meadow saffron breaking virus</t>
  </si>
  <si>
    <t>Riboviria;Orthornavirae;Pisuviricota;Stelpaviricetes;Patatavirales;Potyviridae;Potyvirus;Potyvirus colchici</t>
  </si>
  <si>
    <t>Riboviria;Orthornavirae;Pisuviricota;Stelpaviricetes;Patatavirales;Potyviridae;Potyvirus;Commelina mosaic virus</t>
  </si>
  <si>
    <t>Riboviria;Orthornavirae;Pisuviricota;Stelpaviricetes;Patatavirales;Potyviridae;Potyvirus;Potyvirus commelinae</t>
  </si>
  <si>
    <t>Riboviria;Orthornavirae;Pisuviricota;Stelpaviricetes;Patatavirales;Potyviridae;Potyvirus;Sudan watermelon mosaic virus</t>
  </si>
  <si>
    <t>Riboviria;Orthornavirae;Pisuviricota;Stelpaviricetes;Patatavirales;Potyviridae;Potyvirus;Potyvirus cordophani</t>
  </si>
  <si>
    <t>Riboviria;Orthornavirae;Pisuviricota;Stelpaviricetes;Patatavirales;Potyviridae;Potyvirus;Costus stripe mosaic virus</t>
  </si>
  <si>
    <t>Riboviria;Orthornavirae;Pisuviricota;Stelpaviricetes;Patatavirales;Potyviridae;Potyvirus;Potyvirus costus</t>
  </si>
  <si>
    <t>Riboviria;Orthornavirae;Pisuviricota;Stelpaviricetes;Patatavirales;Potyviridae;Potyvirus;Saffron latent virus</t>
  </si>
  <si>
    <t>Riboviria;Orthornavirae;Pisuviricota;Stelpaviricetes;Patatavirales;Potyviridae;Potyvirus;Potyvirus croci</t>
  </si>
  <si>
    <t>Riboviria;Orthornavirae;Pisuviricota;Stelpaviricetes;Patatavirales;Potyviridae;Potyvirus;Cucurbit vein banding virus</t>
  </si>
  <si>
    <t>Riboviria;Orthornavirae;Pisuviricota;Stelpaviricetes;Patatavirales;Potyviridae;Potyvirus;Potyvirus cucurbitae</t>
  </si>
  <si>
    <t>Riboviria;Orthornavirae;Pisuviricota;Stelpaviricetes;Patatavirales;Potyviridae;Potyvirus;Zucchini yellow mosaic virus</t>
  </si>
  <si>
    <t>Riboviria;Orthornavirae;Pisuviricota;Stelpaviricetes;Patatavirales;Potyviridae;Potyvirus;Potyvirus cucurbitaflavitesselati</t>
  </si>
  <si>
    <t>Riboviria;Orthornavirae;Pisuviricota;Stelpaviricetes;Patatavirales;Potyviridae;Potyvirus;Keunjorong mosaic virus</t>
  </si>
  <si>
    <t>Riboviria;Orthornavirae;Pisuviricota;Stelpaviricetes;Patatavirales;Potyviridae;Potyvirus;Potyvirus cynanchi</t>
  </si>
  <si>
    <t>Riboviria;Orthornavirae;Pisuviricota;Stelpaviricetes;Patatavirales;Potyviridae;Potyvirus;Cypripedium virus Y</t>
  </si>
  <si>
    <t>Riboviria;Orthornavirae;Pisuviricota;Stelpaviricetes;Patatavirales;Potyviridae;Potyvirus;Potyvirus cypripedii</t>
  </si>
  <si>
    <t>Riboviria;Orthornavirae;Pisuviricota;Stelpaviricetes;Patatavirales;Potyviridae;Potyvirus;Cyrtanthus elatus virus A</t>
  </si>
  <si>
    <t>Riboviria;Orthornavirae;Pisuviricota;Stelpaviricetes;Patatavirales;Potyviridae;Potyvirus;Potyvirus cyrtanthi</t>
  </si>
  <si>
    <t>Riboviria;Orthornavirae;Pisuviricota;Stelpaviricetes;Patatavirales;Potyviridae;Potyvirus;Cocksfoot streak virus</t>
  </si>
  <si>
    <t>Riboviria;Orthornavirae;Pisuviricota;Stelpaviricetes;Patatavirales;Potyviridae;Potyvirus;Potyvirus dactylis</t>
  </si>
  <si>
    <t>Riboviria;Orthornavirae;Pisuviricota;Stelpaviricetes;Patatavirales;Potyviridae;Potyvirus;Daphne mosaic virus</t>
  </si>
  <si>
    <t>Riboviria;Orthornavirae;Pisuviricota;Stelpaviricetes;Patatavirales;Potyviridae;Potyvirus;Potyvirus daphnis</t>
  </si>
  <si>
    <t>Riboviria;Orthornavirae;Pisuviricota;Stelpaviricetes;Patatavirales;Potyviridae;Potyvirus;Dasheen mosaic virus</t>
  </si>
  <si>
    <t>Riboviria;Orthornavirae;Pisuviricota;Stelpaviricetes;Patatavirales;Potyviridae;Potyvirus;Potyvirus dasheenis</t>
  </si>
  <si>
    <t>Riboviria;Orthornavirae;Pisuviricota;Stelpaviricetes;Patatavirales;Potyviridae;Potyvirus;Datura shoestring virus</t>
  </si>
  <si>
    <t>Riboviria;Orthornavirae;Pisuviricota;Stelpaviricetes;Patatavirales;Potyviridae;Potyvirus;Potyvirus daturae</t>
  </si>
  <si>
    <t>Riboviria;Orthornavirae;Pisuviricota;Stelpaviricetes;Patatavirales;Potyviridae;Potyvirus;Dendrobium chlorotic mosaic virus</t>
  </si>
  <si>
    <t>Riboviria;Orthornavirae;Pisuviricota;Stelpaviricetes;Patatavirales;Potyviridae;Potyvirus;Potyvirus dendrobii</t>
  </si>
  <si>
    <t>Riboviria;Orthornavirae;Pisuviricota;Stelpaviricetes;Patatavirales;Potyviridae;Potyvirus;Carnation vein mottle virus</t>
  </si>
  <si>
    <t>Riboviria;Orthornavirae;Pisuviricota;Stelpaviricetes;Patatavirales;Potyviridae;Potyvirus;Potyvirus dianthi</t>
  </si>
  <si>
    <t>Riboviria;Orthornavirae;Pisuviricota;Stelpaviricetes;Patatavirales;Potyviridae;Potyvirus;Dioscorea mosaic virus</t>
  </si>
  <si>
    <t>Riboviria;Orthornavirae;Pisuviricota;Stelpaviricetes;Patatavirales;Potyviridae;Potyvirus;Potyvirus dioscoreae</t>
  </si>
  <si>
    <t>Riboviria;Orthornavirae;Pisuviricota;Stelpaviricetes;Patatavirales;Potyviridae;Potyvirus;Sweet potato virus 2</t>
  </si>
  <si>
    <t>Riboviria;Orthornavirae;Pisuviricota;Stelpaviricetes;Patatavirales;Potyviridae;Potyvirus;Potyvirus duobatatae</t>
  </si>
  <si>
    <t>Riboviria;Orthornavirae;Pisuviricota;Stelpaviricetes;Patatavirales;Potyviridae;Potyvirus;Tomato necrotic stunt virus</t>
  </si>
  <si>
    <t>Riboviria;Orthornavirae;Pisuviricota;Stelpaviricetes;Patatavirales;Potyviridae;Potyvirus;Potyvirus esculentinecrosis</t>
  </si>
  <si>
    <t>Riboviria;Orthornavirae;Pisuviricota;Stelpaviricetes;Patatavirales;Potyviridae;Potyvirus;Amazon lily mosaic virus</t>
  </si>
  <si>
    <t>Riboviria;Orthornavirae;Pisuviricota;Stelpaviricetes;Patatavirales;Potyviridae;Potyvirus;Potyvirus eucharae</t>
  </si>
  <si>
    <t>Riboviria;Orthornavirae;Pisuviricota;Stelpaviricetes;Patatavirales;Potyviridae;Potyvirus;Euphorbia ringspot virus</t>
  </si>
  <si>
    <t>Riboviria;Orthornavirae;Pisuviricota;Stelpaviricetes;Patatavirales;Potyviridae;Potyvirus;Potyvirus euphorbiae</t>
  </si>
  <si>
    <t>Riboviria;Orthornavirae;Pisuviricota;Stelpaviricetes;Patatavirales;Potyviridae;Potyvirus;Freesia mosaic virus</t>
  </si>
  <si>
    <t>Riboviria;Orthornavirae;Pisuviricota;Stelpaviricetes;Patatavirales;Potyviridae;Potyvirus;Potyvirus freesiae</t>
  </si>
  <si>
    <t>Riboviria;Orthornavirae;Pisuviricota;Stelpaviricetes;Patatavirales;Potyviridae;Potyvirus;Fritillary virus Y</t>
  </si>
  <si>
    <t>Riboviria;Orthornavirae;Pisuviricota;Stelpaviricetes;Patatavirales;Potyviridae;Potyvirus;Potyvirus fritillariae</t>
  </si>
  <si>
    <t>Riboviria;Orthornavirae;Pisuviricota;Stelpaviricetes;Patatavirales;Potyviridae;Potyvirus;Sweet potato virus G</t>
  </si>
  <si>
    <t>Riboviria;Orthornavirae;Pisuviricota;Stelpaviricetes;Patatavirales;Potyviridae;Potyvirus;Potyvirus gebatatae</t>
  </si>
  <si>
    <t>Riboviria;Orthornavirae;Pisuviricota;Stelpaviricetes;Patatavirales;Potyviridae;Potyvirus;Gloriosa stripe mosaic virus</t>
  </si>
  <si>
    <t>Riboviria;Orthornavirae;Pisuviricota;Stelpaviricetes;Patatavirales;Potyviridae;Potyvirus;Potyvirus gloriosae</t>
  </si>
  <si>
    <t>Riboviria;Orthornavirae;Pisuviricota;Stelpaviricetes;Patatavirales;Potyviridae;Potyvirus;Soybean mosaic virus</t>
  </si>
  <si>
    <t>Riboviria;Orthornavirae;Pisuviricota;Stelpaviricetes;Patatavirales;Potyviridae;Potyvirus;Potyvirus glycitessellati</t>
  </si>
  <si>
    <t>Riboviria;Orthornavirae;Pisuviricota;Stelpaviricetes;Patatavirales;Potyviridae;Potyvirus;Gomphocarpus mosaic virus</t>
  </si>
  <si>
    <t>Riboviria;Orthornavirae;Pisuviricota;Stelpaviricetes;Patatavirales;Potyviridae;Potyvirus;Potyvirus gomphocarphi</t>
  </si>
  <si>
    <t>Riboviria;Orthornavirae;Pisuviricota;Stelpaviricetes;Patatavirales;Potyviridae;Potyvirus;Habenaria mosaic virus</t>
  </si>
  <si>
    <t>Riboviria;Orthornavirae;Pisuviricota;Stelpaviricetes;Patatavirales;Potyviridae;Potyvirus;Potyvirus habenariae</t>
  </si>
  <si>
    <t>Riboviria;Orthornavirae;Pisuviricota;Stelpaviricetes;Patatavirales;Potyviridae;Potyvirus;Johnsongrass mosaic virus</t>
  </si>
  <si>
    <t>Riboviria;Orthornavirae;Pisuviricota;Stelpaviricetes;Patatavirales;Potyviridae;Potyvirus;Potyvirus halapensis</t>
  </si>
  <si>
    <t>Riboviria;Orthornavirae;Pisuviricota;Stelpaviricetes;Patatavirales;Potyviridae;Potyvirus;Hardenbergia mosaic virus</t>
  </si>
  <si>
    <t>Riboviria;Orthornavirae;Pisuviricota;Stelpaviricetes;Patatavirales;Potyviridae;Potyvirus;Potyvirus hardenbergiae</t>
  </si>
  <si>
    <t>Riboviria;Orthornavirae;Pisuviricota;Stelpaviricetes;Patatavirales;Potyviridae;Potyvirus;Sunflower ring blotch virus</t>
  </si>
  <si>
    <t>Riboviria;Orthornavirae;Pisuviricota;Stelpaviricetes;Patatavirales;Potyviridae;Potyvirus;Potyvirus heliannulabis</t>
  </si>
  <si>
    <t>Riboviria;Orthornavirae;Pisuviricota;Stelpaviricetes;Patatavirales;Potyviridae;Potyvirus;Sunflower chlorotic mottle virus</t>
  </si>
  <si>
    <t>Riboviria;Orthornavirae;Pisuviricota;Stelpaviricetes;Patatavirales;Potyviridae;Potyvirus;Potyvirus helichloromaculae</t>
  </si>
  <si>
    <t>Riboviria;Orthornavirae;Pisuviricota;Stelpaviricetes;Patatavirales;Potyviridae;Potyvirus;Sunflower mild mosaic virus</t>
  </si>
  <si>
    <t>Riboviria;Orthornavirae;Pisuviricota;Stelpaviricetes;Patatavirales;Potyviridae;Potyvirus;Potyvirus helitenuitessellati</t>
  </si>
  <si>
    <t>Riboviria;Orthornavirae;Pisuviricota;Stelpaviricetes;Patatavirales;Potyviridae;Potyvirus;Sunflower mosaic virus</t>
  </si>
  <si>
    <t>Riboviria;Orthornavirae;Pisuviricota;Stelpaviricetes;Patatavirales;Potyviridae;Potyvirus;Potyvirus helitessellati</t>
  </si>
  <si>
    <t>Riboviria;Orthornavirae;Pisuviricota;Stelpaviricetes;Patatavirales;Potyviridae;Potyvirus;Henbane mosaic virus</t>
  </si>
  <si>
    <t>Riboviria;Orthornavirae;Pisuviricota;Stelpaviricetes;Patatavirales;Potyviridae;Potyvirus;Potyvirus henbanis</t>
  </si>
  <si>
    <t>Riboviria;Orthornavirae;Pisuviricota;Stelpaviricetes;Patatavirales;Potyviridae;Potyvirus;Hibbertia virus Y</t>
  </si>
  <si>
    <t>Riboviria;Orthornavirae;Pisuviricota;Stelpaviricetes;Patatavirales;Potyviridae;Potyvirus;Potyvirus hibbertiae</t>
  </si>
  <si>
    <t>Riboviria;Orthornavirae;Pisuviricota;Stelpaviricetes;Patatavirales;Potyviridae;Potyvirus;Daphne virus Y</t>
  </si>
  <si>
    <t>Riboviria;Orthornavirae;Pisuviricota;Stelpaviricetes;Patatavirales;Potyviridae;Potyvirus;Potyvirus hiemalisdaphnis</t>
  </si>
  <si>
    <t>Riboviria;Orthornavirae;Pisuviricota;Stelpaviricetes;Patatavirales;Potyviridae;Potyvirus;Hippeastrum mosaic virus</t>
  </si>
  <si>
    <t>Riboviria;Orthornavirae;Pisuviricota;Stelpaviricetes;Patatavirales;Potyviridae;Potyvirus;Potyvirus hippeastri</t>
  </si>
  <si>
    <t>Riboviria;Orthornavirae;Pisuviricota;Stelpaviricetes;Patatavirales;Potyviridae;Potyvirus;Hyacinth mosaic virus</t>
  </si>
  <si>
    <t>Riboviria;Orthornavirae;Pisuviricota;Stelpaviricetes;Patatavirales;Potyviridae;Potyvirus;Potyvirus hyacinthi</t>
  </si>
  <si>
    <t>Riboviria;Orthornavirae;Pisuviricota;Stelpaviricetes;Patatavirales;Potyviridae;Potyvirus;Impatiens flower break virus</t>
  </si>
  <si>
    <t>Riboviria;Orthornavirae;Pisuviricota;Stelpaviricetes;Patatavirales;Potyviridae;Potyvirus;Potyvirus impatiensis</t>
  </si>
  <si>
    <t>Riboviria;Orthornavirae;Pisuviricota;Stelpaviricetes;Patatavirales;Potyviridae;Potyvirus;Iris fulva mosaic virus</t>
  </si>
  <si>
    <t>Riboviria;Orthornavirae;Pisuviricota;Stelpaviricetes;Patatavirales;Potyviridae;Potyvirus;Potyvirus iris</t>
  </si>
  <si>
    <t>Riboviria;Orthornavirae;Pisuviricota;Stelpaviricetes;Patatavirales;Potyviridae;Potyvirus;Iris severe mosaic virus</t>
  </si>
  <si>
    <t>Riboviria;Orthornavirae;Pisuviricota;Stelpaviricetes;Patatavirales;Potyviridae;Potyvirus;Potyvirus iriseverum</t>
  </si>
  <si>
    <t>Riboviria;Orthornavirae;Pisuviricota;Stelpaviricetes;Patatavirales;Potyviridae;Potyvirus;Iris mild mosaic virus</t>
  </si>
  <si>
    <t>Riboviria;Orthornavirae;Pisuviricota;Stelpaviricetes;Patatavirales;Potyviridae;Potyvirus;Potyvirus iristenuis</t>
  </si>
  <si>
    <t>Riboviria;Orthornavirae;Pisuviricota;Stelpaviricetes;Patatavirales;Potyviridae;Potyvirus;Jasmine virus T</t>
  </si>
  <si>
    <t>Riboviria;Orthornavirae;Pisuviricota;Stelpaviricetes;Patatavirales;Potyviridae;Potyvirus;Potyvirus jasmini</t>
  </si>
  <si>
    <t>Riboviria;Orthornavirae;Pisuviricota;Stelpaviricetes;Patatavirales;Potyviridae;Potyvirus;Kalanchoe mosaic virus</t>
  </si>
  <si>
    <t>Riboviria;Orthornavirae;Pisuviricota;Stelpaviricetes;Patatavirales;Potyviridae;Potyvirus;Potyvirus kalanchoes</t>
  </si>
  <si>
    <t>Riboviria;Orthornavirae;Pisuviricota;Stelpaviricetes;Patatavirales;Potyviridae;Potyvirus;Konjac mosaic virus</t>
  </si>
  <si>
    <t>Riboviria;Orthornavirae;Pisuviricota;Stelpaviricetes;Patatavirales;Potyviridae;Potyvirus;Potyvirus konjac</t>
  </si>
  <si>
    <t>Riboviria;Orthornavirae;Pisuviricota;Stelpaviricetes;Patatavirales;Potyviridae;Potyvirus;Lettuce mosaic virus</t>
  </si>
  <si>
    <t>Riboviria;Orthornavirae;Pisuviricota;Stelpaviricetes;Patatavirales;Potyviridae;Potyvirus;Potyvirus lactucae</t>
  </si>
  <si>
    <t>Riboviria;Orthornavirae;Pisuviricota;Stelpaviricetes;Patatavirales;Potyviridae;Potyvirus;Lettuce Italian necrotic virus</t>
  </si>
  <si>
    <t>Riboviria;Orthornavirae;Pisuviricota;Stelpaviricetes;Patatavirales;Potyviridae;Potyvirus;Potyvirus lactucaitalicense</t>
  </si>
  <si>
    <t>Riboviria;Orthornavirae;Pisuviricota;Stelpaviricetes;Patatavirales;Potyviridae;Potyvirus;Lily mottle virus</t>
  </si>
  <si>
    <t>Riboviria;Orthornavirae;Pisuviricota;Stelpaviricetes;Patatavirales;Potyviridae;Potyvirus;Potyvirus lilimaculae</t>
  </si>
  <si>
    <t>Riboviria;Orthornavirae;Pisuviricota;Stelpaviricetes;Patatavirales;Potyviridae;Potyvirus;Lupinus mosaic virus</t>
  </si>
  <si>
    <t>Riboviria;Orthornavirae;Pisuviricota;Stelpaviricetes;Patatavirales;Potyviridae;Potyvirus;Potyvirus lupinus</t>
  </si>
  <si>
    <t>Riboviria;Orthornavirae;Pisuviricota;Stelpaviricetes;Patatavirales;Potyviridae;Potyvirus;Lycoris mild mottle virus</t>
  </si>
  <si>
    <t>Riboviria;Orthornavirae;Pisuviricota;Stelpaviricetes;Patatavirales;Potyviridae;Potyvirus;Potyvirus lycorsis</t>
  </si>
  <si>
    <t>Riboviria;Orthornavirae;Pisuviricota;Stelpaviricetes;Patatavirales;Potyviridae;Potyvirus;Malva vein clearing virus</t>
  </si>
  <si>
    <t>Riboviria;Orthornavirae;Pisuviricota;Stelpaviricetes;Patatavirales;Potyviridae;Potyvirus;Potyvirus malvae</t>
  </si>
  <si>
    <t>Riboviria;Orthornavirae;Pisuviricota;Stelpaviricetes;Patatavirales;Potyviridae;Potyvirus;African eggplant mosaic virus</t>
  </si>
  <si>
    <t>Riboviria;Orthornavirae;Pisuviricota;Stelpaviricetes;Patatavirales;Potyviridae;Potyvirus;Potyvirus melongenae</t>
  </si>
  <si>
    <t>Riboviria;Orthornavirae;Pisuviricota;Stelpaviricetes;Patatavirales;Potyviridae;Potyvirus;Wild melon banding virus</t>
  </si>
  <si>
    <t>Riboviria;Orthornavirae;Pisuviricota;Stelpaviricetes;Patatavirales;Potyviridae;Potyvirus;Potyvirus melozonati</t>
  </si>
  <si>
    <t>Riboviria;Orthornavirae;Pisuviricota;Stelpaviricetes;Patatavirales;Potyviridae;Potyvirus;Noni mosaic virus</t>
  </si>
  <si>
    <t>Riboviria;Orthornavirae;Pisuviricota;Stelpaviricetes;Patatavirales;Potyviridae;Potyvirus;Potyvirus morindatessellati</t>
  </si>
  <si>
    <t>Riboviria;Orthornavirae;Pisuviricota;Stelpaviricetes;Patatavirales;Potyviridae;Potyvirus;Wild potato mosaic virus</t>
  </si>
  <si>
    <t>Riboviria;Orthornavirae;Pisuviricota;Stelpaviricetes;Patatavirales;Potyviridae;Potyvirus;Potyvirus muricati</t>
  </si>
  <si>
    <t>Riboviria;Orthornavirae;Pisuviricota;Stelpaviricetes;Patatavirales;Potyviridae;Potyvirus;Banana bract mosaic virus</t>
  </si>
  <si>
    <t>Riboviria;Orthornavirae;Pisuviricota;Stelpaviricetes;Patatavirales;Potyviridae;Potyvirus;Potyvirus musae</t>
  </si>
  <si>
    <t>Riboviria;Orthornavirae;Pisuviricota;Stelpaviricetes;Patatavirales;Potyviridae;Potyvirus;Narcissus yellow stripe virus</t>
  </si>
  <si>
    <t>Riboviria;Orthornavirae;Pisuviricota;Stelpaviricetes;Patatavirales;Potyviridae;Potyvirus;Potyvirus narcissus</t>
  </si>
  <si>
    <t>Riboviria;Orthornavirae;Pisuviricota;Stelpaviricetes;Patatavirales;Potyviridae;Potyvirus;Narcissus degeneration virus</t>
  </si>
  <si>
    <t>Riboviria;Orthornavirae;Pisuviricota;Stelpaviricetes;Patatavirales;Potyviridae;Potyvirus;Potyvirus narcissusdegeneris</t>
  </si>
  <si>
    <t>Riboviria;Orthornavirae;Pisuviricota;Stelpaviricetes;Patatavirales;Potyviridae;Potyvirus;Narcissus late season yellows virus</t>
  </si>
  <si>
    <t>Riboviria;Orthornavirae;Pisuviricota;Stelpaviricetes;Patatavirales;Potyviridae;Potyvirus;Potyvirus narcissuslineae</t>
  </si>
  <si>
    <t>Riboviria;Orthornavirae;Pisuviricota;Stelpaviricetes;Patatavirales;Potyviridae;Potyvirus;Nerine yellow stripe virus</t>
  </si>
  <si>
    <t>Riboviria;Orthornavirae;Pisuviricota;Stelpaviricetes;Patatavirales;Potyviridae;Potyvirus;Potyvirus nerinis</t>
  </si>
  <si>
    <t>Riboviria;Orthornavirae;Pisuviricota;Stelpaviricetes;Patatavirales;Potyviridae;Potyvirus;Tobacco etch virus</t>
  </si>
  <si>
    <t>Riboviria;Orthornavirae;Pisuviricota;Stelpaviricetes;Patatavirales;Potyviridae;Potyvirus;Potyvirus nicotianainsculpentis</t>
  </si>
  <si>
    <t>Riboviria;Orthornavirae;Pisuviricota;Stelpaviricetes;Patatavirales;Potyviridae;Potyvirus;Tobacco mosqueado virus</t>
  </si>
  <si>
    <t>Riboviria;Orthornavirae;Pisuviricota;Stelpaviricetes;Patatavirales;Potyviridae;Potyvirus;Potyvirus nicotianamaculae</t>
  </si>
  <si>
    <t>Riboviria;Orthornavirae;Pisuviricota;Stelpaviricetes;Patatavirales;Potyviridae;Potyvirus;Tobacco vein mottling virus</t>
  </si>
  <si>
    <t>Riboviria;Orthornavirae;Pisuviricota;Stelpaviricetes;Patatavirales;Potyviridae;Potyvirus;Potyvirus nicotianavenamaculae</t>
  </si>
  <si>
    <t>Riboviria;Orthornavirae;Pisuviricota;Stelpaviricetes;Patatavirales;Potyviridae;Potyvirus;Tobacco vein banding mosaic virus</t>
  </si>
  <si>
    <t>Riboviria;Orthornavirae;Pisuviricota;Stelpaviricetes;Patatavirales;Potyviridae;Potyvirus;Potyvirus nicotianavenaobscurum</t>
  </si>
  <si>
    <t>Riboviria;Orthornavirae;Pisuviricota;Stelpaviricetes;Patatavirales;Potyviridae;Potyvirus;Japanese yam mosaic virus</t>
  </si>
  <si>
    <t>Riboviria;Orthornavirae;Pisuviricota;Stelpaviricetes;Patatavirales;Potyviridae;Potyvirus;Potyvirus nippodioscoreae</t>
  </si>
  <si>
    <t>Riboviria;Orthornavirae;Pisuviricota;Stelpaviricetes;Patatavirales;Potyviridae;Potyvirus;Nothoscordum mosaic virus</t>
  </si>
  <si>
    <t>Riboviria;Orthornavirae;Pisuviricota;Stelpaviricetes;Patatavirales;Potyviridae;Potyvirus;Potyvirus nothoscordi</t>
  </si>
  <si>
    <t>Riboviria;Orthornavirae;Pisuviricota;Stelpaviricetes;Patatavirales;Potyviridae;Potyvirus;East Asian Passiflora virus</t>
  </si>
  <si>
    <t>Riboviria;Orthornavirae;Pisuviricota;Stelpaviricetes;Patatavirales;Potyviridae;Potyvirus;Potyvirus orionspassiflorae</t>
  </si>
  <si>
    <t>Riboviria;Orthornavirae;Pisuviricota;Stelpaviricetes;Patatavirales;Potyviridae;Potyvirus;Ornithogalum virus 2</t>
  </si>
  <si>
    <t>Riboviria;Orthornavirae;Pisuviricota;Stelpaviricetes;Patatavirales;Potyviridae;Potyvirus;Potyvirus ornithogali</t>
  </si>
  <si>
    <t>Riboviria;Orthornavirae;Pisuviricota;Stelpaviricetes;Patatavirales;Potyviridae;Potyvirus;Ornithogalum mosaic virus</t>
  </si>
  <si>
    <t>Riboviria;Orthornavirae;Pisuviricota;Stelpaviricetes;Patatavirales;Potyviridae;Potyvirus;Potyvirus ornithogalitessellati</t>
  </si>
  <si>
    <t>Riboviria;Orthornavirae;Pisuviricota;Stelpaviricetes;Patatavirales;Potyviridae;Potyvirus;Yambean mosaic virus</t>
  </si>
  <si>
    <t>Riboviria;Orthornavirae;Pisuviricota;Stelpaviricetes;Patatavirales;Potyviridae;Potyvirus;Potyvirus pachyrhizus</t>
  </si>
  <si>
    <t>Riboviria;Orthornavirae;Pisuviricota;Stelpaviricetes;Patatavirales;Potyviridae;Potyvirus;Panax virus Y</t>
  </si>
  <si>
    <t>Riboviria;Orthornavirae;Pisuviricota;Stelpaviricetes;Patatavirales;Potyviridae;Potyvirus;Potyvirus panax</t>
  </si>
  <si>
    <t>Riboviria;Orthornavirae;Pisuviricota;Stelpaviricetes;Patatavirales;Potyviridae;Potyvirus;Papaya ringspot virus</t>
  </si>
  <si>
    <t>Riboviria;Orthornavirae;Pisuviricota;Stelpaviricetes;Patatavirales;Potyviridae;Potyvirus;Potyvirus papayanuli</t>
  </si>
  <si>
    <t>Riboviria;Orthornavirae;Pisuviricota;Stelpaviricetes;Patatavirales;Potyviridae;Potyvirus;Paris virus 1</t>
  </si>
  <si>
    <t>Riboviria;Orthornavirae;Pisuviricota;Stelpaviricetes;Patatavirales;Potyviridae;Potyvirus;Potyvirus paris</t>
  </si>
  <si>
    <t>Riboviria;Orthornavirae;Pisuviricota;Stelpaviricetes;Patatavirales;Potyviridae;Potyvirus;Paris mosaic necrosis virus</t>
  </si>
  <si>
    <t>Riboviria;Orthornavirae;Pisuviricota;Stelpaviricetes;Patatavirales;Potyviridae;Potyvirus;Potyvirus parisnecrosis</t>
  </si>
  <si>
    <t>Riboviria;Orthornavirae;Pisuviricota;Stelpaviricetes;Patatavirales;Potyviridae;Potyvirus;East Asian Passiflora distortion virus</t>
  </si>
  <si>
    <t>Riboviria;Orthornavirae;Pisuviricota;Stelpaviricetes;Patatavirales;Potyviridae;Potyvirus;Potyvirus passifloradistorti</t>
  </si>
  <si>
    <t>Riboviria;Orthornavirae;Pisuviricota;Stelpaviricetes;Patatavirales;Potyviridae;Potyvirus;Passion fruit woodiness virus</t>
  </si>
  <si>
    <t>Riboviria;Orthornavirae;Pisuviricota;Stelpaviricetes;Patatavirales;Potyviridae;Potyvirus;Potyvirus passiflorae</t>
  </si>
  <si>
    <t>Riboviria;Orthornavirae;Pisuviricota;Stelpaviricetes;Patatavirales;Potyviridae;Potyvirus;Passiflora chlorosis virus</t>
  </si>
  <si>
    <t>Riboviria;Orthornavirae;Pisuviricota;Stelpaviricetes;Patatavirales;Potyviridae;Potyvirus;Potyvirus passifloraflavi</t>
  </si>
  <si>
    <t>Riboviria;Orthornavirae;Pisuviricota;Stelpaviricetes;Patatavirales;Potyviridae;Potyvirus;Ugandan passiflora virus</t>
  </si>
  <si>
    <t>Riboviria;Orthornavirae;Pisuviricota;Stelpaviricetes;Patatavirales;Potyviridae;Potyvirus;Potyvirus passiflorafricanse</t>
  </si>
  <si>
    <t>Riboviria;Orthornavirae;Pisuviricota;Stelpaviricetes;Patatavirales;Potyviridae;Potyvirus;Passiflora mottle virus</t>
  </si>
  <si>
    <t>Riboviria;Orthornavirae;Pisuviricota;Stelpaviricetes;Patatavirales;Potyviridae;Potyvirus;Potyvirus passifloramaculae</t>
  </si>
  <si>
    <t>Riboviria;Orthornavirae;Pisuviricota;Stelpaviricetes;Patatavirales;Potyviridae;Potyvirus;Parsnip mosaic virus</t>
  </si>
  <si>
    <t>Riboviria;Orthornavirae;Pisuviricota;Stelpaviricetes;Patatavirales;Potyviridae;Potyvirus;Potyvirus pastinacae</t>
  </si>
  <si>
    <t>Riboviria;Orthornavirae;Pisuviricota;Stelpaviricetes;Patatavirales;Potyviridae;Potyvirus;Pennisetum mosaic virus</t>
  </si>
  <si>
    <t>Riboviria;Orthornavirae;Pisuviricota;Stelpaviricetes;Patatavirales;Potyviridae;Potyvirus;Potyvirus pennisseti</t>
  </si>
  <si>
    <t>Riboviria;Orthornavirae;Pisuviricota;Stelpaviricetes;Patatavirales;Potyviridae;Potyvirus;Zucchini yellow fleck virus</t>
  </si>
  <si>
    <t>Riboviria;Orthornavirae;Pisuviricota;Stelpaviricetes;Patatavirales;Potyviridae;Potyvirus;Potyvirus pepo</t>
  </si>
  <si>
    <t>Riboviria;Orthornavirae;Pisuviricota;Stelpaviricetes;Patatavirales;Potyviridae;Potyvirus;Zucchini shoestring virus</t>
  </si>
  <si>
    <t>Riboviria;Orthornavirae;Pisuviricota;Stelpaviricetes;Patatavirales;Potyviridae;Potyvirus;Potyvirus peporesticulae</t>
  </si>
  <si>
    <t>Riboviria;Orthornavirae;Pisuviricota;Stelpaviricetes;Patatavirales;Potyviridae;Potyvirus;Zucchini tigre mosaic virus</t>
  </si>
  <si>
    <t>Riboviria;Orthornavirae;Pisuviricota;Stelpaviricetes;Patatavirales;Potyviridae;Potyvirus;Potyvirus pepotigris</t>
  </si>
  <si>
    <t>Riboviria;Orthornavirae;Pisuviricota;Stelpaviricetes;Patatavirales;Potyviridae;Potyvirus;Peru tomato mosaic virus</t>
  </si>
  <si>
    <t>Riboviria;Orthornavirae;Pisuviricota;Stelpaviricetes;Patatavirales;Potyviridae;Potyvirus;Potyvirus perulycopersici</t>
  </si>
  <si>
    <t>Riboviria;Orthornavirae;Pisuviricota;Stelpaviricetes;Patatavirales;Potyviridae;Potyvirus;Pfaffia mosaic virus</t>
  </si>
  <si>
    <t>Riboviria;Orthornavirae;Pisuviricota;Stelpaviricetes;Patatavirales;Potyviridae;Potyvirus;Potyvirus pfaffiae</t>
  </si>
  <si>
    <t>Riboviria;Orthornavirae;Pisuviricota;Stelpaviricetes;Patatavirales;Potyviridae;Potyvirus;Bean common mosaic necrosis virus</t>
  </si>
  <si>
    <t>Riboviria;Orthornavirae;Pisuviricota;Stelpaviricetes;Patatavirales;Potyviridae;Potyvirus;Potyvirus phaseoli</t>
  </si>
  <si>
    <t>Riboviria;Orthornavirae;Pisuviricota;Stelpaviricetes;Patatavirales;Potyviridae;Potyvirus;Bean yellow mosaic virus</t>
  </si>
  <si>
    <t>Riboviria;Orthornavirae;Pisuviricota;Stelpaviricetes;Patatavirales;Potyviridae;Potyvirus;Potyvirus phaseoluteum</t>
  </si>
  <si>
    <t>Riboviria;Orthornavirae;Pisuviricota;Stelpaviricetes;Patatavirales;Potyviridae;Potyvirus;Bean common mosaic virus</t>
  </si>
  <si>
    <t>Riboviria;Orthornavirae;Pisuviricota;Stelpaviricetes;Patatavirales;Potyviridae;Potyvirus;Potyvirus phaseovulgaris</t>
  </si>
  <si>
    <t>Riboviria;Orthornavirae;Pisuviricota;Stelpaviricetes;Patatavirales;Potyviridae;Potyvirus;Pokeweed mosaic virus</t>
  </si>
  <si>
    <t>Riboviria;Orthornavirae;Pisuviricota;Stelpaviricetes;Patatavirales;Potyviridae;Potyvirus;Potyvirus phytolaccae</t>
  </si>
  <si>
    <t>Riboviria;Orthornavirae;Pisuviricota;Stelpaviricetes;Patatavirales;Potyviridae;Potyvirus;Pea seed-borne mosaic virus</t>
  </si>
  <si>
    <t>Riboviria;Orthornavirae;Pisuviricota;Stelpaviricetes;Patatavirales;Potyviridae;Potyvirus;Potyvirus pisumsemenportati</t>
  </si>
  <si>
    <t>Riboviria;Orthornavirae;Pisuviricota;Stelpaviricetes;Patatavirales;Potyviridae;Potyvirus;Platycodon mild mottle virus</t>
  </si>
  <si>
    <t>Riboviria;Orthornavirae;Pisuviricota;Stelpaviricetes;Patatavirales;Potyviridae;Potyvirus;Potyvirus platycodonis</t>
  </si>
  <si>
    <t>Riboviria;Orthornavirae;Pisuviricota;Stelpaviricetes;Patatavirales;Potyviridae;Potyvirus;Pleione flower breaking virus</t>
  </si>
  <si>
    <t>Riboviria;Orthornavirae;Pisuviricota;Stelpaviricetes;Patatavirales;Potyviridae;Potyvirus;Potyvirus pleionis</t>
  </si>
  <si>
    <t>Riboviria;Orthornavirae;Pisuviricota;Stelpaviricetes;Patatavirales;Potyviridae;Potyvirus;Plum pox virus</t>
  </si>
  <si>
    <t>Riboviria;Orthornavirae;Pisuviricota;Stelpaviricetes;Patatavirales;Potyviridae;Potyvirus;Potyvirus plumpoxi</t>
  </si>
  <si>
    <t>Riboviria;Orthornavirae;Pisuviricota;Stelpaviricetes;Patatavirales;Potyviridae;Potyvirus;Tuberose mild mosaic virus</t>
  </si>
  <si>
    <t>Riboviria;Orthornavirae;Pisuviricota;Stelpaviricetes;Patatavirales;Potyviridae;Potyvirus;Potyvirus polianthis</t>
  </si>
  <si>
    <t>Riboviria;Orthornavirae;Pisuviricota;Stelpaviricetes;Patatavirales;Potyviridae;Potyvirus;Tuberose mild mottle virus</t>
  </si>
  <si>
    <t>Riboviria;Orthornavirae;Pisuviricota;Stelpaviricetes;Patatavirales;Potyviridae;Potyvirus;Potyvirus polianthismaculae</t>
  </si>
  <si>
    <t>Riboviria;Orthornavirae;Pisuviricota;Stelpaviricetes;Patatavirales;Potyviridae;Potyvirus;Ranunculus mosaic virus</t>
  </si>
  <si>
    <t>Riboviria;Orthornavirae;Pisuviricota;Stelpaviricetes;Patatavirales;Potyviridae;Potyvirus;Potyvirus ranunculi</t>
  </si>
  <si>
    <t>Riboviria;Orthornavirae;Pisuviricota;Stelpaviricetes;Patatavirales;Potyviridae;Potyvirus;Ranunculus leaf distortion virus</t>
  </si>
  <si>
    <t>Riboviria;Orthornavirae;Pisuviricota;Stelpaviricetes;Patatavirales;Potyviridae;Potyvirus;Potyvirus ranunculideformationis</t>
  </si>
  <si>
    <t>Riboviria;Orthornavirae;Pisuviricota;Stelpaviricetes;Patatavirales;Potyviridae;Potyvirus;Ranunculus mild mosaic virus</t>
  </si>
  <si>
    <t>Riboviria;Orthornavirae;Pisuviricota;Stelpaviricetes;Patatavirales;Potyviridae;Potyvirus;Potyvirus ranunculitenuis</t>
  </si>
  <si>
    <t>Riboviria;Orthornavirae;Pisuviricota;Stelpaviricetes;Patatavirales;Potyviridae;Potyvirus;Turnip mosaic virus</t>
  </si>
  <si>
    <t>Riboviria;Orthornavirae;Pisuviricota;Stelpaviricetes;Patatavirales;Potyviridae;Potyvirus;Potyvirus rapae</t>
  </si>
  <si>
    <t>Riboviria;Orthornavirae;Pisuviricota;Stelpaviricetes;Patatavirales;Potyviridae;Potyvirus;Rhopalanthe virus Y</t>
  </si>
  <si>
    <t>Riboviria;Orthornavirae;Pisuviricota;Stelpaviricetes;Patatavirales;Potyviridae;Potyvirus;Potyvirus rhopalanthi</t>
  </si>
  <si>
    <t>Riboviria;Orthornavirae;Pisuviricota;Stelpaviricetes;Patatavirales;Potyviridae;Potyvirus;Mediterranean ruda virus</t>
  </si>
  <si>
    <t>Riboviria;Orthornavirae;Pisuviricota;Stelpaviricetes;Patatavirales;Potyviridae;Potyvirus;Potyvirus rutae</t>
  </si>
  <si>
    <t>Riboviria;Orthornavirae;Pisuviricota;Stelpaviricetes;Patatavirales;Potyviridae;Potyvirus;Sugarcane mosaic virus</t>
  </si>
  <si>
    <t>Riboviria;Orthornavirae;Pisuviricota;Stelpaviricetes;Patatavirales;Potyviridae;Potyvirus;Potyvirus sacchari</t>
  </si>
  <si>
    <t>Riboviria;Orthornavirae;Pisuviricota;Stelpaviricetes;Patatavirales;Potyviridae;Potyvirus;Sarcochilus virus Y</t>
  </si>
  <si>
    <t>Riboviria;Orthornavirae;Pisuviricota;Stelpaviricetes;Patatavirales;Potyviridae;Potyvirus;Potyvirus sarcochili</t>
  </si>
  <si>
    <t>Riboviria;Orthornavirae;Pisuviricota;Stelpaviricetes;Patatavirales;Potyviridae;Potyvirus;Butterfly flower mosaic virus</t>
  </si>
  <si>
    <t>Riboviria;Orthornavirae;Pisuviricota;Stelpaviricetes;Patatavirales;Potyviridae;Potyvirus;Potyvirus schizanthi</t>
  </si>
  <si>
    <t>Riboviria;Orthornavirae;Pisuviricota;Stelpaviricetes;Patatavirales;Potyviridae;Potyvirus;Sorghum mosaic virus</t>
  </si>
  <si>
    <t>Riboviria;Orthornavirae;Pisuviricota;Stelpaviricetes;Patatavirales;Potyviridae;Potyvirus;Potyvirus sorghitessellati</t>
  </si>
  <si>
    <t>Riboviria;Orthornavirae;Pisuviricota;Stelpaviricetes;Patatavirales;Potyviridae;Potyvirus;Spiranthes mosaic virus 3</t>
  </si>
  <si>
    <t>Riboviria;Orthornavirae;Pisuviricota;Stelpaviricetes;Patatavirales;Potyviridae;Potyvirus;Potyvirus spiranthesis</t>
  </si>
  <si>
    <t>Riboviria;Orthornavirae;Pisuviricota;Stelpaviricetes;Patatavirales;Potyviridae;Potyvirus;Twisted-stalk chlorotic streak virus</t>
  </si>
  <si>
    <t>Riboviria;Orthornavirae;Pisuviricota;Stelpaviricetes;Patatavirales;Potyviridae;Potyvirus;Potyvirus streptopi</t>
  </si>
  <si>
    <t>Riboviria;Orthornavirae;Pisuviricota;Stelpaviricetes;Patatavirales;Potyviridae;Potyvirus;Brugmansia suaveolens mottle virus</t>
  </si>
  <si>
    <t>Riboviria;Orthornavirae;Pisuviricota;Stelpaviricetes;Patatavirales;Potyviridae;Potyvirus;Potyvirus suaveolens</t>
  </si>
  <si>
    <t>Riboviria;Orthornavirae;Pisuviricota;Stelpaviricetes;Patatavirales;Potyviridae;Potyvirus;Telfairia mosaic virus</t>
  </si>
  <si>
    <t>Riboviria;Orthornavirae;Pisuviricota;Stelpaviricetes;Patatavirales;Potyviridae;Potyvirus;Potyvirus telfairiae</t>
  </si>
  <si>
    <t>Riboviria;Orthornavirae;Pisuviricota;Stelpaviricetes;Patatavirales;Potyviridae;Potyvirus;Telosma mosaic virus</t>
  </si>
  <si>
    <t>Riboviria;Orthornavirae;Pisuviricota;Stelpaviricetes;Patatavirales;Potyviridae;Potyvirus;Potyvirus telosmae</t>
  </si>
  <si>
    <t>Riboviria;Orthornavirae;Pisuviricota;Stelpaviricetes;Patatavirales;Potyviridae;Potyvirus;Thunberg fritillary mosaic virus</t>
  </si>
  <si>
    <t>Riboviria;Orthornavirae;Pisuviricota;Stelpaviricetes;Patatavirales;Potyviridae;Potyvirus;Potyvirus thurnbergii</t>
  </si>
  <si>
    <t>Riboviria;Orthornavirae;Pisuviricota;Stelpaviricetes;Patatavirales;Potyviridae;Potyvirus;Wild tomato mosaic virus</t>
  </si>
  <si>
    <t>Riboviria;Orthornavirae;Pisuviricota;Stelpaviricetes;Patatavirales;Potyviridae;Potyvirus;Potyvirus torvi</t>
  </si>
  <si>
    <t>Riboviria;Orthornavirae;Pisuviricota;Stelpaviricetes;Patatavirales;Potyviridae;Potyvirus;Tradescantia mild mosaic virus</t>
  </si>
  <si>
    <t>Riboviria;Orthornavirae;Pisuviricota;Stelpaviricetes;Patatavirales;Potyviridae;Potyvirus;Potyvirus tradescantiae</t>
  </si>
  <si>
    <t>Riboviria;Orthornavirae;Pisuviricota;Stelpaviricetes;Patatavirales;Potyviridae;Potyvirus;Clover yellow vein virus</t>
  </si>
  <si>
    <t>Riboviria;Orthornavirae;Pisuviricota;Stelpaviricetes;Patatavirales;Potyviridae;Potyvirus;Potyvirus trifolii</t>
  </si>
  <si>
    <t>Riboviria;Orthornavirae;Pisuviricota;Stelpaviricetes;Patatavirales;Potyviridae;Potyvirus;Colombian datura virus</t>
  </si>
  <si>
    <t>Riboviria;Orthornavirae;Pisuviricota;Stelpaviricetes;Patatavirales;Potyviridae;Potyvirus;Potyvirus trompetae</t>
  </si>
  <si>
    <t>Riboviria;Orthornavirae;Pisuviricota;Stelpaviricetes;Patatavirales;Potyviridae;Potyvirus;Mashua virus Y</t>
  </si>
  <si>
    <t>Riboviria;Orthornavirae;Pisuviricota;Stelpaviricetes;Patatavirales;Potyviridae;Potyvirus;Potyvirus tropaeoli</t>
  </si>
  <si>
    <t>Riboviria;Orthornavirae;Pisuviricota;Stelpaviricetes;Patatavirales;Potyviridae;Potyvirus;Potato yellow blotch virus</t>
  </si>
  <si>
    <t>Riboviria;Orthornavirae;Pisuviricota;Stelpaviricetes;Patatavirales;Potyviridae;Potyvirus;Potyvirus tuberosiflavi</t>
  </si>
  <si>
    <t>Riboviria;Orthornavirae;Pisuviricota;Stelpaviricetes;Patatavirales;Potyviridae;Potyvirus;Tulip breaking virus</t>
  </si>
  <si>
    <t>Riboviria;Orthornavirae;Pisuviricota;Stelpaviricetes;Patatavirales;Potyviridae;Potyvirus;Potyvirus tulipadefractum</t>
  </si>
  <si>
    <t>Riboviria;Orthornavirae;Pisuviricota;Stelpaviricetes;Patatavirales;Potyviridae;Potyvirus;Tulip mosaic virus</t>
  </si>
  <si>
    <t>Riboviria;Orthornavirae;Pisuviricota;Stelpaviricetes;Patatavirales;Potyviridae;Potyvirus;Potyvirus tulipatessellati</t>
  </si>
  <si>
    <t>Riboviria;Orthornavirae;Pisuviricota;Stelpaviricetes;Patatavirales;Potyviridae;Potyvirus;Vallota mosaic virus</t>
  </si>
  <si>
    <t>Riboviria;Orthornavirae;Pisuviricota;Stelpaviricetes;Patatavirales;Potyviridae;Potyvirus;Potyvirus vallotae</t>
  </si>
  <si>
    <t>Riboviria;Orthornavirae;Pisuviricota;Stelpaviricetes;Patatavirales;Potyviridae;Potyvirus;Vanilla distortion mosaic virus</t>
  </si>
  <si>
    <t>Riboviria;Orthornavirae;Pisuviricota;Stelpaviricetes;Patatavirales;Potyviridae;Potyvirus;Potyvirus vanillae</t>
  </si>
  <si>
    <t>Riboviria;Orthornavirae;Pisuviricota;Stelpaviricetes;Patatavirales;Potyviridae;Potyvirus;Verbena virus Y</t>
  </si>
  <si>
    <t>Riboviria;Orthornavirae;Pisuviricota;Stelpaviricetes;Patatavirales;Potyviridae;Potyvirus;Potyvirus verbenae</t>
  </si>
  <si>
    <t>Riboviria;Orthornavirae;Pisuviricota;Stelpaviricetes;Patatavirales;Potyviridae;Potyvirus;Potato virus V</t>
  </si>
  <si>
    <t>Riboviria;Orthornavirae;Pisuviricota;Stelpaviricetes;Patatavirales;Potyviridae;Potyvirus;Potyvirus vetuberosi</t>
  </si>
  <si>
    <t>Riboviria;Orthornavirae;Pisuviricota;Stelpaviricetes;Patatavirales;Potyviridae;Potyvirus;Cowpea aphid-borne mosaic virus</t>
  </si>
  <si>
    <t>Riboviria;Orthornavirae;Pisuviricota;Stelpaviricetes;Patatavirales;Potyviridae;Potyvirus;Potyvirus vignae</t>
  </si>
  <si>
    <t>Riboviria;Orthornavirae;Pisuviricota;Stelpaviricetes;Patatavirales;Potyviridae;Potyvirus;Wisteria vein mosaic virus</t>
  </si>
  <si>
    <t>Riboviria;Orthornavirae;Pisuviricota;Stelpaviricetes;Patatavirales;Potyviridae;Potyvirus;Potyvirus wisteriae</t>
  </si>
  <si>
    <t>Riboviria;Orthornavirae;Pisuviricota;Stelpaviricetes;Patatavirales;Potyviridae;Potyvirus;Yam mild mosaic virus</t>
  </si>
  <si>
    <t>Riboviria;Orthornavirae;Pisuviricota;Stelpaviricetes;Patatavirales;Potyviridae;Potyvirus;Potyvirus yamplacidum</t>
  </si>
  <si>
    <t>Riboviria;Orthornavirae;Pisuviricota;Stelpaviricetes;Patatavirales;Potyviridae;Potyvirus;Yam mosaic virus</t>
  </si>
  <si>
    <t>Riboviria;Orthornavirae;Pisuviricota;Stelpaviricetes;Patatavirales;Potyviridae;Potyvirus;Potyvirus yamtesselati</t>
  </si>
  <si>
    <t>Riboviria;Orthornavirae;Pisuviricota;Stelpaviricetes;Patatavirales;Potyviridae;Potyvirus;Diuris virus Y</t>
  </si>
  <si>
    <t>Riboviria;Orthornavirae;Pisuviricota;Stelpaviricetes;Patatavirales;Potyviridae;Potyvirus;Potyvirus yidiuris</t>
  </si>
  <si>
    <t>Riboviria;Orthornavirae;Pisuviricota;Stelpaviricetes;Patatavirales;Potyviridae;Potyvirus;Lily virus Y</t>
  </si>
  <si>
    <t>Riboviria;Orthornavirae;Pisuviricota;Stelpaviricetes;Patatavirales;Potyviridae;Potyvirus;Potyvirus yililii</t>
  </si>
  <si>
    <t>Riboviria;Orthornavirae;Pisuviricota;Stelpaviricetes;Patatavirales;Potyviridae;Potyvirus;Ornithogalum virus 3</t>
  </si>
  <si>
    <t>Riboviria;Orthornavirae;Pisuviricota;Stelpaviricetes;Patatavirales;Potyviridae;Potyvirus;Potyvirus yiornithogali</t>
  </si>
  <si>
    <t>Riboviria;Orthornavirae;Pisuviricota;Stelpaviricetes;Patatavirales;Potyviridae;Potyvirus;Pleione virus Y</t>
  </si>
  <si>
    <t>Riboviria;Orthornavirae;Pisuviricota;Stelpaviricetes;Patatavirales;Potyviridae;Potyvirus;Potyvirus yipleionis</t>
  </si>
  <si>
    <t>Riboviria;Orthornavirae;Pisuviricota;Stelpaviricetes;Patatavirales;Potyviridae;Potyvirus;Potato virus Y</t>
  </si>
  <si>
    <t>Riboviria;Orthornavirae;Pisuviricota;Stelpaviricetes;Patatavirales;Potyviridae;Potyvirus;Potyvirus yituberosi</t>
  </si>
  <si>
    <t>Riboviria;Orthornavirae;Pisuviricota;Stelpaviricetes;Patatavirales;Potyviridae;Potyvirus;Calla lily latent virus</t>
  </si>
  <si>
    <t>Riboviria;Orthornavirae;Pisuviricota;Stelpaviricetes;Patatavirales;Potyviridae;Potyvirus;Potyvirus zantedeschiae</t>
  </si>
  <si>
    <t>Riboviria;Orthornavirae;Pisuviricota;Stelpaviricetes;Patatavirales;Potyviridae;Potyvirus;Zantedeschia mild mosaic virus</t>
  </si>
  <si>
    <t>Riboviria;Orthornavirae;Pisuviricota;Stelpaviricetes;Patatavirales;Potyviridae;Potyvirus;Potyvirus zantedeschiatenuis</t>
  </si>
  <si>
    <t>Riboviria;Orthornavirae;Pisuviricota;Stelpaviricetes;Patatavirales;Potyviridae;Potyvirus;Maize dwarf mosaic virus</t>
  </si>
  <si>
    <t>Riboviria;Orthornavirae;Pisuviricota;Stelpaviricetes;Patatavirales;Potyviridae;Potyvirus;Potyvirus zeananus</t>
  </si>
  <si>
    <t>Riboviria;Orthornavirae;Pisuviricota;Stelpaviricetes;Patatavirales;Potyviridae;Potyvirus;Zea mosaic virus</t>
  </si>
  <si>
    <t>Riboviria;Orthornavirae;Pisuviricota;Stelpaviricetes;Patatavirales;Potyviridae;Potyvirus;Potyvirus zeatessellati</t>
  </si>
  <si>
    <t>Riboviria;Orthornavirae;Pisuviricota;Stelpaviricetes;Patatavirales;Potyviridae;Roymovirus;Passiflora edulis symptomless virus</t>
  </si>
  <si>
    <t>Riboviria;Orthornavirae;Pisuviricota;Stelpaviricetes;Patatavirales;Potyviridae;Roymovirus;Roymovirus passifloralatentis</t>
  </si>
  <si>
    <t>Riboviria;Orthornavirae;Pisuviricota;Stelpaviricetes;Patatavirales;Potyviridae;Roymovirus;Rose yellow mosaic virus</t>
  </si>
  <si>
    <t>Riboviria;Orthornavirae;Pisuviricota;Stelpaviricetes;Patatavirales;Potyviridae;Roymovirus;Roymovirus rosae</t>
  </si>
  <si>
    <t>Riboviria;Orthornavirae;Pisuviricota;Stelpaviricetes;Patatavirales;Potyviridae;Rymovirus;Agropyron mosaic virus</t>
  </si>
  <si>
    <t>Riboviria;Orthornavirae;Pisuviricota;Stelpaviricetes;Patatavirales;Potyviridae;Rymovirus;Rymovirus agropyronis</t>
  </si>
  <si>
    <t>Riboviria;Orthornavirae;Pisuviricota;Stelpaviricetes;Patatavirales;Potyviridae;Rymovirus;Hordeum mosaic virus</t>
  </si>
  <si>
    <t>Riboviria;Orthornavirae;Pisuviricota;Stelpaviricetes;Patatavirales;Potyviridae;Rymovirus;Rymovirus hordei</t>
  </si>
  <si>
    <t>Riboviria;Orthornavirae;Pisuviricota;Stelpaviricetes;Patatavirales;Potyviridae;Rymovirus;Ryegrass mosaic virus</t>
  </si>
  <si>
    <t>Riboviria;Orthornavirae;Pisuviricota;Stelpaviricetes;Patatavirales;Potyviridae;Rymovirus;Rymovirus lolii</t>
  </si>
  <si>
    <t>Riboviria;Orthornavirae;Pisuviricota;Stelpaviricetes;Patatavirales;Potyviridae;Tritimovirus;Tall oatgrass mosaic virus</t>
  </si>
  <si>
    <t>Riboviria;Orthornavirae;Pisuviricota;Stelpaviricetes;Patatavirales;Potyviridae;Tritimovirus;Tritimovirus arrhenatheri</t>
  </si>
  <si>
    <t>Riboviria;Orthornavirae;Pisuviricota;Stelpaviricetes;Patatavirales;Potyviridae;Tritimovirus;Oat necrotic mottle virus</t>
  </si>
  <si>
    <t>Riboviria;Orthornavirae;Pisuviricota;Stelpaviricetes;Patatavirales;Potyviridae;Tritimovirus;Tritimovirus avenae</t>
  </si>
  <si>
    <t>Riboviria;Orthornavirae;Pisuviricota;Stelpaviricetes;Patatavirales;Potyviridae;Tritimovirus;Brome streak mosaic virus</t>
  </si>
  <si>
    <t>Riboviria;Orthornavirae;Pisuviricota;Stelpaviricetes;Patatavirales;Potyviridae;Tritimovirus;Tritimovirus bromi</t>
  </si>
  <si>
    <t>Riboviria;Orthornavirae;Pisuviricota;Stelpaviricetes;Patatavirales;Potyviridae;Tritimovirus;Wheat eqlid mosaic virus</t>
  </si>
  <si>
    <t>Riboviria;Orthornavirae;Pisuviricota;Stelpaviricetes;Patatavirales;Potyviridae;Tritimovirus;Tritimovirus eqlidense</t>
  </si>
  <si>
    <t>Riboviria;Orthornavirae;Pisuviricota;Stelpaviricetes;Patatavirales;Potyviridae;Tritimovirus;Yellow oat grass mosaic virus</t>
  </si>
  <si>
    <t>Riboviria;Orthornavirae;Pisuviricota;Stelpaviricetes;Patatavirales;Potyviridae;Tritimovirus;Tritimovirus triseti</t>
  </si>
  <si>
    <t>Riboviria;Orthornavirae;Pisuviricota;Stelpaviricetes;Patatavirales;Potyviridae;Tritimovirus;Wheat streak mosaic virus</t>
  </si>
  <si>
    <t>Riboviria;Orthornavirae;Pisuviricota;Stelpaviricetes;Patatavirales;Potyviridae;Tritimovirus;Tritimovirus tritici</t>
  </si>
  <si>
    <t>Riboviria;Orthornavirae;Pisuviricota;Stelpaviricetes;Stellavirales;Astroviridae;Avastrovirus;Avastrovirus 2</t>
  </si>
  <si>
    <t>Riboviria;Orthornavirae;Pisuviricota;Stelpaviricetes;Stellavirales;Astroviridae;Avastrovirus;Avastrovirus galli</t>
  </si>
  <si>
    <t>Riboviria;Orthornavirae;Pisuviricota;Stelpaviricetes;Stellavirales;Astroviridae;Avastrovirus;Avastrovirus 3</t>
  </si>
  <si>
    <t>Riboviria;Orthornavirae;Pisuviricota;Stelpaviricetes;Stellavirales;Astroviridae;Avastrovirus;Avastrovirus intestini</t>
  </si>
  <si>
    <t>Riboviria;Orthornavirae;Pisuviricota;Stelpaviricetes;Stellavirales;Astroviridae;Avastrovirus;Avastrovirus 1</t>
  </si>
  <si>
    <t>Riboviria;Orthornavirae;Pisuviricota;Stelpaviricetes;Stellavirales;Astroviridae;Avastrovirus;Avastrovirus meleagridis</t>
  </si>
  <si>
    <t>Riboviria;Orthornavirae;Pisuviricota;Stelpaviricetes;Stellavirales;Astroviridae;Mamastrovirus;Mamastrovirus 11</t>
  </si>
  <si>
    <t>Riboviria;Orthornavirae;Pisuviricota;Stelpaviricetes;Stellavirales;Astroviridae;Mamastrovirus;Mamastrovirus californiani</t>
  </si>
  <si>
    <t>Riboviria;Orthornavirae;Pisuviricota;Stelpaviricetes;Stellavirales;Astroviridae;Mamastrovirus;Mamastrovirus 5</t>
  </si>
  <si>
    <t>Riboviria;Orthornavirae;Pisuviricota;Stelpaviricetes;Stellavirales;Astroviridae;Mamastrovirus;Mamastrovirus canis</t>
  </si>
  <si>
    <t>Riboviria;Orthornavirae;Pisuviricota;Stelpaviricetes;Stellavirales;Astroviridae;Mamastrovirus;Mamastrovirus 2</t>
  </si>
  <si>
    <t>Riboviria;Orthornavirae;Pisuviricota;Stelpaviricetes;Stellavirales;Astroviridae;Mamastrovirus;Mamastrovirus felis</t>
  </si>
  <si>
    <t>Riboviria;Orthornavirae;Pisuviricota;Stelpaviricetes;Stellavirales;Astroviridae;Mamastrovirus;Mamastrovirus 19</t>
  </si>
  <si>
    <t>Riboviria;Orthornavirae;Pisuviricota;Stelpaviricetes;Stellavirales;Astroviridae;Mamastrovirus;Mamastrovirus guangxiense</t>
  </si>
  <si>
    <t>Riboviria;Orthornavirae;Pisuviricota;Stelpaviricetes;Stellavirales;Astroviridae;Mamastrovirus;Mamastrovirus 17</t>
  </si>
  <si>
    <t>Riboviria;Orthornavirae;Pisuviricota;Stelpaviricetes;Stellavirales;Astroviridae;Mamastrovirus;Mamastrovirus hipposideri</t>
  </si>
  <si>
    <t>Riboviria;Orthornavirae;Pisuviricota;Stelpaviricetes;Stellavirales;Astroviridae;Mamastrovirus;Mamastrovirus 1</t>
  </si>
  <si>
    <t>Riboviria;Orthornavirae;Pisuviricota;Stelpaviricetes;Stellavirales;Astroviridae;Mamastrovirus;Mamastrovirus hominis</t>
  </si>
  <si>
    <t>Riboviria;Orthornavirae;Pisuviricota;Stelpaviricetes;Stellavirales;Astroviridae;Mamastrovirus;Mamastrovirus 8</t>
  </si>
  <si>
    <t>Riboviria;Orthornavirae;Pisuviricota;Stelpaviricetes;Stellavirales;Astroviridae;Mamastrovirus;Mamastrovirus homustovis</t>
  </si>
  <si>
    <t>Riboviria;Orthornavirae;Pisuviricota;Stelpaviricetes;Stellavirales;Astroviridae;Mamastrovirus;Mamastrovirus 6</t>
  </si>
  <si>
    <t>Riboviria;Orthornavirae;Pisuviricota;Stelpaviricetes;Stellavirales;Astroviridae;Mamastrovirus;Mamastrovirus melbournense</t>
  </si>
  <si>
    <t>Riboviria;Orthornavirae;Pisuviricota;Stelpaviricetes;Stellavirales;Astroviridae;Mamastrovirus;Mamastrovirus 14</t>
  </si>
  <si>
    <t>Riboviria;Orthornavirae;Pisuviricota;Stelpaviricetes;Stellavirales;Astroviridae;Mamastrovirus;Mamastrovirus miniopteri</t>
  </si>
  <si>
    <t>Riboviria;Orthornavirae;Pisuviricota;Stelpaviricetes;Stellavirales;Astroviridae;Mamastrovirus;Mamastrovirus 10</t>
  </si>
  <si>
    <t>Riboviria;Orthornavirae;Pisuviricota;Stelpaviricetes;Stellavirales;Astroviridae;Mamastrovirus;Mamastrovirus mustelae</t>
  </si>
  <si>
    <t>Riboviria;Orthornavirae;Pisuviricota;Stelpaviricetes;Stellavirales;Astroviridae;Mamastrovirus;Mamastrovirus 13</t>
  </si>
  <si>
    <t>Riboviria;Orthornavirae;Pisuviricota;Stelpaviricetes;Stellavirales;Astroviridae;Mamastrovirus;Mamastrovirus ovis</t>
  </si>
  <si>
    <t>Riboviria;Orthornavirae;Pisuviricota;Stelpaviricetes;Stellavirales;Astroviridae;Mamastrovirus;Mamastrovirus 16</t>
  </si>
  <si>
    <t>Riboviria;Orthornavirae;Pisuviricota;Stelpaviricetes;Stellavirales;Astroviridae;Mamastrovirus;Mamastrovirus pipistrelli</t>
  </si>
  <si>
    <t>Riboviria;Orthornavirae;Pisuviricota;Stelpaviricetes;Stellavirales;Astroviridae;Mamastrovirus;Mamastrovirus 18</t>
  </si>
  <si>
    <t>Riboviria;Orthornavirae;Pisuviricota;Stelpaviricetes;Stellavirales;Astroviridae;Mamastrovirus;Mamastrovirus pusilli</t>
  </si>
  <si>
    <t>Riboviria;Orthornavirae;Pisuviricota;Stelpaviricetes;Stellavirales;Astroviridae;Mamastrovirus;Mamastrovirus 3</t>
  </si>
  <si>
    <t>Riboviria;Orthornavirae;Pisuviricota;Stelpaviricetes;Stellavirales;Astroviridae;Mamastrovirus;Mamastrovirus suis</t>
  </si>
  <si>
    <t>Riboviria;Orthornavirae;Pisuviricota;Stelpaviricetes;Stellavirales;Astroviridae;Mamastrovirus;Mamastrovirus 15</t>
  </si>
  <si>
    <t>Riboviria;Orthornavirae;Pisuviricota;Stelpaviricetes;Stellavirales;Astroviridae;Mamastrovirus;Mamastrovirus taphozoi</t>
  </si>
  <si>
    <t>Riboviria;Orthornavirae;Pisuviricota;Stelpaviricetes;Stellavirales;Astroviridae;Mamastrovirus;Mamastrovirus 7</t>
  </si>
  <si>
    <t>Riboviria;Orthornavirae;Pisuviricota;Stelpaviricetes;Stellavirales;Astroviridae;Mamastrovirus;Mamastrovirus tursiopis</t>
  </si>
  <si>
    <t>Riboviria;Orthornavirae;Pisuviricota;Stelpaviricetes;Stellavirales;Astroviridae;Mamastrovirus;Mamastrovirus 12</t>
  </si>
  <si>
    <t>Riboviria;Orthornavirae;Pisuviricota;Stelpaviricetes;Stellavirales;Astroviridae;Mamastrovirus;Mamastrovirus vespertilionis</t>
  </si>
  <si>
    <t>Riboviria;Orthornavirae;Pisuviricota;Stelpaviricetes;Stellavirales;Astroviridae;Mamastrovirus;Mamastrovirus 9</t>
  </si>
  <si>
    <t>Riboviria;Orthornavirae;Pisuviricota;Stelpaviricetes;Stellavirales;Astroviridae;Mamastrovirus;Mamastrovirus virginiaense</t>
  </si>
  <si>
    <t>Riboviria;Orthornavirae;Pisuviricota;Stelpaviricetes;Stellavirales;Astroviridae;Mamastrovirus;Mamastrovirus 4</t>
  </si>
  <si>
    <t>Riboviria;Orthornavirae;Pisuviricota;Stelpaviricetes;Stellavirales;Astroviridae;Mamastrovirus;Mamastrovirus zalophi</t>
  </si>
  <si>
    <t>Riboviria;Orthornavirae;Permutotetraviridae;Alphapermutotetravirus;Euprosterna elaeasa virus</t>
  </si>
  <si>
    <t>Riboviria;Orthornavirae;Permutotetraviridae;Alphapermutotetravirus;Alphapermutotetravirus euprosternae</t>
  </si>
  <si>
    <t>Riboviria;Orthornavirae;Permutotetraviridae;Alphapermutotetravirus;Thosea asigna virus</t>
  </si>
  <si>
    <t>Riboviria;Orthornavirae;Permutotetraviridae;Alphapermutotetravirus;Alphapermutotetravirus thoseae</t>
  </si>
  <si>
    <t>Riboviria;Pararnavirae;Artverviricota;Revtraviricetes;Blubervirales;Hepadnaviridae;Avihepadnavirus;Duck hepatitis B virus</t>
  </si>
  <si>
    <t>Riboviria;Pararnavirae;Artverviricota;Revtraviricetes;Blubervirales;Hepadnaviridae;Avihepadnavirus;Avihepadnavirus anatigruidae</t>
  </si>
  <si>
    <t>Riboviria;Pararnavirae;Artverviricota;Revtraviricetes;Blubervirales;Hepadnaviridae;Avihepadnavirus;Heron hepatitis B virus</t>
  </si>
  <si>
    <t>Riboviria;Pararnavirae;Artverviricota;Revtraviricetes;Blubervirales;Hepadnaviridae;Avihepadnavirus;Avihepadnavirus ciconiardeae</t>
  </si>
  <si>
    <t>Riboviria;Pararnavirae;Artverviricota;Revtraviricetes;Blubervirales;Hepadnaviridae;Avihepadnavirus;Parrot hepatitis B virus</t>
  </si>
  <si>
    <t>Riboviria;Pararnavirae;Artverviricota;Revtraviricetes;Blubervirales;Hepadnaviridae;Avihepadnavirus;Avihepadnavirus psittaunius</t>
  </si>
  <si>
    <t>Riboviria;Pararnavirae;Artverviricota;Revtraviricetes;Blubervirales;Hepadnaviridae;Herpetohepadnavirus;Tibetan frog hepatitis B virus</t>
  </si>
  <si>
    <t>Riboviria;Pararnavirae;Artverviricota;Revtraviricetes;Blubervirales;Hepadnaviridae;Herpetohepadnavirus;Herpetohepadnavirus nanoranae</t>
  </si>
  <si>
    <t>Riboviria;Pararnavirae;Artverviricota;Revtraviricetes;Blubervirales;Hepadnaviridae;Metahepadnavirus;Bluegill hepatitis B virus</t>
  </si>
  <si>
    <t>Riboviria;Pararnavirae;Artverviricota;Revtraviricetes;Blubervirales;Hepadnaviridae;Metahepadnavirus;Metahepadnavirus lepomi</t>
  </si>
  <si>
    <t>Riboviria;Pararnavirae;Artverviricota;Revtraviricetes;Blubervirales;Hepadnaviridae;Orthohepadnavirus;Domestic cat hepatitis B virus</t>
  </si>
  <si>
    <t>Riboviria;Pararnavirae;Artverviricota;Revtraviricetes;Blubervirales;Hepadnaviridae;Orthohepadnavirus;Orthohepadnavirus felisdomestici</t>
  </si>
  <si>
    <t>Riboviria;Pararnavirae;Artverviricota;Revtraviricetes;Blubervirales;Hepadnaviridae;Orthohepadnavirus;Hepatitis B virus</t>
  </si>
  <si>
    <t>Riboviria;Pararnavirae;Artverviricota;Revtraviricetes;Blubervirales;Hepadnaviridae;Orthohepadnavirus;Orthohepadnavirus hominoidei</t>
  </si>
  <si>
    <t>Riboviria;Pararnavirae;Artverviricota;Revtraviricetes;Blubervirales;Hepadnaviridae;Orthohepadnavirus;Woolly monkey hepatitis B virus</t>
  </si>
  <si>
    <t>Riboviria;Pararnavirae;Artverviricota;Revtraviricetes;Blubervirales;Hepadnaviridae;Orthohepadnavirus;Orthohepadnavirus lagothricis</t>
  </si>
  <si>
    <t>Riboviria;Pararnavirae;Artverviricota;Revtraviricetes;Blubervirales;Hepadnaviridae;Orthohepadnavirus;Long-fingered bat hepatitis B virus</t>
  </si>
  <si>
    <t>Riboviria;Pararnavirae;Artverviricota;Revtraviricetes;Blubervirales;Hepadnaviridae;Orthohepadnavirus;Orthohepadnavirus longidigiti</t>
  </si>
  <si>
    <t>Riboviria;Pararnavirae;Artverviricota;Revtraviricetes;Blubervirales;Hepadnaviridae;Orthohepadnavirus;Woodchuck hepatitis virus</t>
  </si>
  <si>
    <t>Riboviria;Pararnavirae;Artverviricota;Revtraviricetes;Blubervirales;Hepadnaviridae;Orthohepadnavirus;Orthohepadnavirus marmotae</t>
  </si>
  <si>
    <t>Riboviria;Pararnavirae;Artverviricota;Revtraviricetes;Blubervirales;Hepadnaviridae;Orthohepadnavirus;Tai Forest hepatitis B virus</t>
  </si>
  <si>
    <t>Riboviria;Pararnavirae;Artverviricota;Revtraviricetes;Blubervirales;Hepadnaviridae;Orthohepadnavirus;Orthohepadnavirus philantombae</t>
  </si>
  <si>
    <t>Riboviria;Pararnavirae;Artverviricota;Revtraviricetes;Blubervirales;Hepadnaviridae;Orthohepadnavirus;Pomona bat hepatitis B virus</t>
  </si>
  <si>
    <t>Riboviria;Pararnavirae;Artverviricota;Revtraviricetes;Blubervirales;Hepadnaviridae;Orthohepadnavirus;Orthohepadnavirus pomi</t>
  </si>
  <si>
    <t>Riboviria;Pararnavirae;Artverviricota;Revtraviricetes;Blubervirales;Hepadnaviridae;Orthohepadnavirus;Roundleaf bat hepatitis B virus</t>
  </si>
  <si>
    <t>Riboviria;Pararnavirae;Artverviricota;Revtraviricetes;Blubervirales;Hepadnaviridae;Orthohepadnavirus;Orthohepadnavirus rotundifolii</t>
  </si>
  <si>
    <t>Riboviria;Pararnavirae;Artverviricota;Revtraviricetes;Blubervirales;Hepadnaviridae;Orthohepadnavirus;Capuchin monkey hepatitis B virus</t>
  </si>
  <si>
    <t>Riboviria;Pararnavirae;Artverviricota;Revtraviricetes;Blubervirales;Hepadnaviridae;Orthohepadnavirus;Orthohepadnavirus sapaji</t>
  </si>
  <si>
    <t>Riboviria;Pararnavirae;Artverviricota;Revtraviricetes;Blubervirales;Hepadnaviridae;Orthohepadnavirus;Ground squirrel hepatitis virus</t>
  </si>
  <si>
    <t>Riboviria;Pararnavirae;Artverviricota;Revtraviricetes;Blubervirales;Hepadnaviridae;Orthohepadnavirus;Orthohepadnavirus sciuri</t>
  </si>
  <si>
    <t>Riboviria;Pararnavirae;Artverviricota;Revtraviricetes;Blubervirales;Hepadnaviridae;Orthohepadnavirus;Chinese shrew hepatitis B virus</t>
  </si>
  <si>
    <t>Riboviria;Pararnavirae;Artverviricota;Revtraviricetes;Blubervirales;Hepadnaviridae;Orthohepadnavirus;Orthohepadnavirus soricisinensis</t>
  </si>
  <si>
    <t>Riboviria;Pararnavirae;Artverviricota;Revtraviricetes;Blubervirales;Hepadnaviridae;Orthohepadnavirus;Tent-making bat hepatitis B virus</t>
  </si>
  <si>
    <t>Riboviria;Pararnavirae;Artverviricota;Revtraviricetes;Blubervirales;Hepadnaviridae;Orthohepadnavirus;Orthohepadnavirus tabernarii</t>
  </si>
  <si>
    <t>Riboviria;Pararnavirae;Artverviricota;Revtraviricetes;Blubervirales;Hepadnaviridae;Parahepadnavirus;White sucker hepatitis B virus</t>
  </si>
  <si>
    <t>Riboviria;Pararnavirae;Artverviricota;Revtraviricetes;Blubervirales;Hepadnaviridae;Parahepadnavirus;Parahepadnavirus osdeorsi</t>
  </si>
  <si>
    <t>Riboviria;Pararnavirae;Artverviricota;Revtraviricetes;Ortervirales;Metaviridae;Errantivirus;Ceratitis capitata Yoyo virus</t>
  </si>
  <si>
    <t>Riboviria;Pararnavirae;Artverviricota;Revtraviricetes;Ortervirales;Metaviridae;Errantivirus;Errantivirus ceratitidis</t>
  </si>
  <si>
    <t>Riboviria;Pararnavirae;Artverviricota;Revtraviricetes;Ortervirales;Metaviridae;Errantivirus;Drosophila melanogaster 297 virus</t>
  </si>
  <si>
    <t>Riboviria;Pararnavirae;Artverviricota;Revtraviricetes;Ortervirales;Metaviridae;Errantivirus;Errantivirus drosophilae</t>
  </si>
  <si>
    <t>Riboviria;Pararnavirae;Artverviricota;Revtraviricetes;Ortervirales;Metaviridae;Errantivirus;Drosophila melanogaster 17-6 virus</t>
  </si>
  <si>
    <t>Riboviria;Pararnavirae;Artverviricota;Revtraviricetes;Ortervirales;Metaviridae;Errantivirus;Errantivirus drososeptemdecimum</t>
  </si>
  <si>
    <t>Riboviria;Pararnavirae;Artverviricota;Revtraviricetes;Ortervirales;Metaviridae;Errantivirus;Drosophila melanogaster Gypsy virus</t>
  </si>
  <si>
    <t>Riboviria;Pararnavirae;Artverviricota;Revtraviricetes;Ortervirales;Metaviridae;Errantivirus;Errantivirus errante</t>
  </si>
  <si>
    <t>Riboviria;Pararnavirae;Artverviricota;Revtraviricetes;Ortervirales;Metaviridae;Errantivirus;Drosophila melanogaster Idefix virus</t>
  </si>
  <si>
    <t>Riboviria;Pararnavirae;Artverviricota;Revtraviricetes;Ortervirales;Metaviridae;Errantivirus;Errantivirus idefixi</t>
  </si>
  <si>
    <t>Riboviria;Pararnavirae;Artverviricota;Revtraviricetes;Ortervirales;Metaviridae;Errantivirus;Drosophila melanogaster Tirant virus</t>
  </si>
  <si>
    <t>Riboviria;Pararnavirae;Artverviricota;Revtraviricetes;Ortervirales;Metaviridae;Errantivirus;Errantivirus tiranti</t>
  </si>
  <si>
    <t>Riboviria;Pararnavirae;Artverviricota;Revtraviricetes;Ortervirales;Metaviridae;Errantivirus;Drosophila ananassae Tom virus</t>
  </si>
  <si>
    <t>Riboviria;Pararnavirae;Artverviricota;Revtraviricetes;Ortervirales;Metaviridae;Errantivirus;Errantivirus tomi</t>
  </si>
  <si>
    <t>Riboviria;Pararnavirae;Artverviricota;Revtraviricetes;Ortervirales;Metaviridae;Errantivirus;Trichoplusia ni TED virus</t>
  </si>
  <si>
    <t>Riboviria;Pararnavirae;Artverviricota;Revtraviricetes;Ortervirales;Metaviridae;Errantivirus;Errantivirus trichoplusiae</t>
  </si>
  <si>
    <t>Riboviria;Pararnavirae;Artverviricota;Revtraviricetes;Ortervirales;Metaviridae;Errantivirus;Drosophila virilis Tv1 virus</t>
  </si>
  <si>
    <t>Riboviria;Pararnavirae;Artverviricota;Revtraviricetes;Ortervirales;Metaviridae;Errantivirus;Errantivirus unitivi</t>
  </si>
  <si>
    <t>Riboviria;Pararnavirae;Artverviricota;Revtraviricetes;Ortervirales;Metaviridae;Errantivirus;Drosophila melanogaster Zam virus</t>
  </si>
  <si>
    <t>Riboviria;Pararnavirae;Artverviricota;Revtraviricetes;Ortervirales;Metaviridae;Errantivirus;Errantivirus zami</t>
  </si>
  <si>
    <t>Riboviria;Pararnavirae;Artverviricota;Revtraviricetes;Ortervirales;Metaviridae;Metavirus;Arabidopsis thaliana Athila virus</t>
  </si>
  <si>
    <t>Riboviria;Pararnavirae;Artverviricota;Revtraviricetes;Ortervirales;Metaviridae;Metavirus;Metavirus athilai</t>
  </si>
  <si>
    <t>Riboviria;Pararnavirae;Artverviricota;Revtraviricetes;Ortervirales;Metaviridae;Metavirus;Drosophila melanogaster Blastopia virus</t>
  </si>
  <si>
    <t>Riboviria;Pararnavirae;Artverviricota;Revtraviricetes;Ortervirales;Metaviridae;Metavirus;Metavirus blastopiae</t>
  </si>
  <si>
    <t>Riboviria;Pararnavirae;Artverviricota;Revtraviricetes;Ortervirales;Metaviridae;Metavirus;Bombyx mori Mag virus</t>
  </si>
  <si>
    <t>Riboviria;Pararnavirae;Artverviricota;Revtraviricetes;Ortervirales;Metaviridae;Metavirus;Metavirus bombycis</t>
  </si>
  <si>
    <t>Riboviria;Pararnavirae;Artverviricota;Revtraviricetes;Ortervirales;Metaviridae;Metavirus;Caenorhabditis elegans Cer1 virus</t>
  </si>
  <si>
    <t>Riboviria;Pararnavirae;Artverviricota;Revtraviricetes;Ortervirales;Metaviridae;Metavirus;Metavirus caenorhabditis</t>
  </si>
  <si>
    <t>Riboviria;Pararnavirae;Artverviricota;Revtraviricetes;Ortervirales;Metaviridae;Metavirus;Cladosporium fulvum T-1 virus</t>
  </si>
  <si>
    <t>Riboviria;Pararnavirae;Artverviricota;Revtraviricetes;Ortervirales;Metaviridae;Metavirus;Metavirus cladosporii</t>
  </si>
  <si>
    <t>Riboviria;Pararnavirae;Artverviricota;Revtraviricetes;Ortervirales;Metaviridae;Metavirus;Dictyostelium discoideum Skipper virus</t>
  </si>
  <si>
    <t>Riboviria;Pararnavirae;Artverviricota;Revtraviricetes;Ortervirales;Metaviridae;Metavirus;Metavirus dictyostelii</t>
  </si>
  <si>
    <t>Riboviria;Pararnavirae;Artverviricota;Revtraviricetes;Ortervirales;Metaviridae;Metavirus;Drosophila melanogaster 412 virus</t>
  </si>
  <si>
    <t>Riboviria;Pararnavirae;Artverviricota;Revtraviricetes;Ortervirales;Metaviridae;Metavirus;Metavirus drosophilae</t>
  </si>
  <si>
    <t>Riboviria;Pararnavirae;Artverviricota;Revtraviricetes;Ortervirales;Metaviridae;Metavirus;Schizosaccharomyces pombe Tf2 virus</t>
  </si>
  <si>
    <t>Riboviria;Pararnavirae;Artverviricota;Revtraviricetes;Ortervirales;Metaviridae;Metavirus;Metavirus duoschizosaccharomycetis</t>
  </si>
  <si>
    <t>Riboviria;Pararnavirae;Artverviricota;Revtraviricetes;Ortervirales;Metaviridae;Metavirus;Fusarium oxysporum Skippy virus</t>
  </si>
  <si>
    <t>Riboviria;Pararnavirae;Artverviricota;Revtraviricetes;Ortervirales;Metaviridae;Metavirus;Metavirus fusarii</t>
  </si>
  <si>
    <t>Riboviria;Pararnavirae;Artverviricota;Revtraviricetes;Ortervirales;Metaviridae;Metavirus;Lilium henryi Del1 virus</t>
  </si>
  <si>
    <t>Riboviria;Pararnavirae;Artverviricota;Revtraviricetes;Ortervirales;Metaviridae;Metavirus;Metavirus lilii</t>
  </si>
  <si>
    <t>Riboviria;Pararnavirae;Artverviricota;Revtraviricetes;Ortervirales;Metaviridae;Metavirus;Drosophila melanogaster Micropia virus</t>
  </si>
  <si>
    <t>Riboviria;Pararnavirae;Artverviricota;Revtraviricetes;Ortervirales;Metaviridae;Metavirus;Metavirus micropiae</t>
  </si>
  <si>
    <t>Riboviria;Pararnavirae;Artverviricota;Revtraviricetes;Ortervirales;Metaviridae;Metavirus;Drosophila buzzatii Osvaldo virus</t>
  </si>
  <si>
    <t>Riboviria;Pararnavirae;Artverviricota;Revtraviricetes;Ortervirales;Metaviridae;Metavirus;Metavirus osvaldi</t>
  </si>
  <si>
    <t>Riboviria;Pararnavirae;Artverviricota;Revtraviricetes;Ortervirales;Metaviridae;Metavirus;Saccharomyces cerevisiae Ty3 virus</t>
  </si>
  <si>
    <t>Riboviria;Pararnavirae;Artverviricota;Revtraviricetes;Ortervirales;Metaviridae;Metavirus;Metavirus saccharomycetis</t>
  </si>
  <si>
    <t>Riboviria;Pararnavirae;Artverviricota;Revtraviricetes;Ortervirales;Metaviridae;Metavirus;Takifugu rubripes Sushi virus</t>
  </si>
  <si>
    <t>Riboviria;Pararnavirae;Artverviricota;Revtraviricetes;Ortervirales;Metaviridae;Metavirus;Metavirus sushii</t>
  </si>
  <si>
    <t>Riboviria;Pararnavirae;Artverviricota;Revtraviricetes;Ortervirales;Metaviridae;Metavirus;Arabidopsis thaliana Tat4 virus</t>
  </si>
  <si>
    <t>Riboviria;Pararnavirae;Artverviricota;Revtraviricetes;Ortervirales;Metaviridae;Metavirus;Metavirus tatarabidopsis</t>
  </si>
  <si>
    <t>Riboviria;Pararnavirae;Artverviricota;Revtraviricetes;Ortervirales;Metaviridae;Metavirus;Tribolium castaneum Woot virus</t>
  </si>
  <si>
    <t>Riboviria;Pararnavirae;Artverviricota;Revtraviricetes;Ortervirales;Metaviridae;Metavirus;Metavirus tribolii</t>
  </si>
  <si>
    <t>Riboviria;Pararnavirae;Artverviricota;Revtraviricetes;Ortervirales;Metaviridae;Metavirus;Drosophila melanogaster Mdg3 virus</t>
  </si>
  <si>
    <t>Riboviria;Pararnavirae;Artverviricota;Revtraviricetes;Ortervirales;Metaviridae;Metavirus;Metavirus tridrosophilae</t>
  </si>
  <si>
    <t>Riboviria;Pararnavirae;Artverviricota;Revtraviricetes;Ortervirales;Metaviridae;Metavirus;Tripneustis gratilla SURL virus</t>
  </si>
  <si>
    <t>Riboviria;Pararnavirae;Artverviricota;Revtraviricetes;Ortervirales;Metaviridae;Metavirus;Metavirus tripneustis</t>
  </si>
  <si>
    <t>Riboviria;Pararnavirae;Artverviricota;Revtraviricetes;Ortervirales;Metaviridae;Metavirus;Drosophila virilis Ulysses virus</t>
  </si>
  <si>
    <t>Riboviria;Pararnavirae;Artverviricota;Revtraviricetes;Ortervirales;Metaviridae;Metavirus;Metavirus ulyssis</t>
  </si>
  <si>
    <t>Riboviria;Pararnavirae;Artverviricota;Revtraviricetes;Ortervirales;Metaviridae;Metavirus;Drosophila melanogaster Mdg1 virus</t>
  </si>
  <si>
    <t>Riboviria;Pararnavirae;Artverviricota;Revtraviricetes;Ortervirales;Metaviridae;Metavirus;Metavirus unidrosophilae</t>
  </si>
  <si>
    <t>Riboviria;Pararnavirae;Artverviricota;Revtraviricetes;Ortervirales;Metaviridae;Metavirus;Schizosaccharomyces pombe Tf1 virus</t>
  </si>
  <si>
    <t>Riboviria;Pararnavirae;Artverviricota;Revtraviricetes;Ortervirales;Metaviridae;Metavirus;Metavirus unischizosaccharomycetis</t>
  </si>
  <si>
    <t>Riboviria;Pararnavirae;Artverviricota;Revtraviricetes;Ortervirales;Pseudoviridae;Hemivirus;Aedes aegypti Mosqcopia virus</t>
  </si>
  <si>
    <t>Riboviria;Pararnavirae;Artverviricota;Revtraviricetes;Ortervirales;Pseudoviridae;Hemivirus;Hemivirus aedis</t>
  </si>
  <si>
    <t>Riboviria;Pararnavirae;Artverviricota;Revtraviricetes;Ortervirales;Pseudoviridae;Hemivirus;Drosophila melanogaster copia virus</t>
  </si>
  <si>
    <t>Riboviria;Pararnavirae;Artverviricota;Revtraviricetes;Ortervirales;Pseudoviridae;Hemivirus;Hemivirus copiae</t>
  </si>
  <si>
    <t>Riboviria;Pararnavirae;Artverviricota;Revtraviricetes;Ortervirales;Pseudoviridae;Hemivirus;Drosophila melanogaster 1731 virus</t>
  </si>
  <si>
    <t>Riboviria;Pararnavirae;Artverviricota;Revtraviricetes;Ortervirales;Pseudoviridae;Hemivirus;Hemivirus drosophilae</t>
  </si>
  <si>
    <t>Riboviria;Pararnavirae;Artverviricota;Revtraviricetes;Ortervirales;Pseudoviridae;Hemivirus;Candida albicans Tca2 virus</t>
  </si>
  <si>
    <t>Riboviria;Pararnavirae;Artverviricota;Revtraviricetes;Ortervirales;Pseudoviridae;Hemivirus;Hemivirus duocandidae</t>
  </si>
  <si>
    <t>Riboviria;Pararnavirae;Artverviricota;Revtraviricetes;Ortervirales;Pseudoviridae;Hemivirus;Volvox carteri Osser virus</t>
  </si>
  <si>
    <t>Riboviria;Pararnavirae;Artverviricota;Revtraviricetes;Ortervirales;Pseudoviridae;Hemivirus;Hemivirus osseri</t>
  </si>
  <si>
    <t>Riboviria;Pararnavirae;Artverviricota;Revtraviricetes;Ortervirales;Pseudoviridae;Hemivirus;Candida albicans Tca5 virus</t>
  </si>
  <si>
    <t>Riboviria;Pararnavirae;Artverviricota;Revtraviricetes;Ortervirales;Pseudoviridae;Hemivirus;Hemivirus pentacandidae</t>
  </si>
  <si>
    <t>Riboviria;Pararnavirae;Artverviricota;Revtraviricetes;Ortervirales;Pseudoviridae;Hemivirus;Saccharomyces cerevisiae Ty5 virus</t>
  </si>
  <si>
    <t>Riboviria;Pararnavirae;Artverviricota;Revtraviricetes;Ortervirales;Pseudoviridae;Hemivirus;Hemivirus saccharomycetis</t>
  </si>
  <si>
    <t>Riboviria;Pararnavirae;Artverviricota;Revtraviricetes;Ortervirales;Pseudoviridae;Hemivirus;Volvox carteri Lueckenbuesser virus</t>
  </si>
  <si>
    <t>Riboviria;Pararnavirae;Artverviricota;Revtraviricetes;Ortervirales;Pseudoviridae;Hemivirus;Hemivirus volvocis</t>
  </si>
  <si>
    <t>Riboviria;Pararnavirae;Artverviricota;Revtraviricetes;Ortervirales;Pseudoviridae;Pseudovirus;Arabidopsis thaliana Ta1 virus</t>
  </si>
  <si>
    <t>Riboviria;Pararnavirae;Artverviricota;Revtraviricetes;Ortervirales;Pseudoviridae;Pseudovirus;Pseudovirus arabidopsis</t>
  </si>
  <si>
    <t>Riboviria;Pararnavirae;Artverviricota;Revtraviricetes;Ortervirales;Pseudoviridae;Pseudovirus;Arabidopsis thaliana Art1 virus</t>
  </si>
  <si>
    <t>Riboviria;Pararnavirae;Artverviricota;Revtraviricetes;Ortervirales;Pseudoviridae;Pseudovirus;Pseudovirus artarabidopsis</t>
  </si>
  <si>
    <t>Riboviria;Pararnavirae;Artverviricota;Revtraviricetes;Ortervirales;Pseudoviridae;Pseudovirus;Arabidopsis thaliana AtRE1 virus</t>
  </si>
  <si>
    <t>Riboviria;Pararnavirae;Artverviricota;Revtraviricetes;Ortervirales;Pseudoviridae;Pseudovirus;Pseudovirus atrearabidopsis</t>
  </si>
  <si>
    <t>Riboviria;Pararnavirae;Artverviricota;Revtraviricetes;Ortervirales;Pseudoviridae;Pseudovirus;Oryza australiensis RIRE1 virus</t>
  </si>
  <si>
    <t>Riboviria;Pararnavirae;Artverviricota;Revtraviricetes;Ortervirales;Pseudoviridae;Pseudovirus;Pseudovirus australiense</t>
  </si>
  <si>
    <t>Riboviria;Pararnavirae;Artverviricota;Revtraviricetes;Ortervirales;Pseudoviridae;Pseudovirus;Brassica oleracea Melmoth virus</t>
  </si>
  <si>
    <t>Riboviria;Pararnavirae;Artverviricota;Revtraviricetes;Ortervirales;Pseudoviridae;Pseudovirus;Pseudovirus brassicae</t>
  </si>
  <si>
    <t>Riboviria;Pararnavirae;Artverviricota;Revtraviricetes;Ortervirales;Pseudoviridae;Pseudovirus;Cajanus cajan Panzee virus</t>
  </si>
  <si>
    <t>Riboviria;Pararnavirae;Artverviricota;Revtraviricetes;Ortervirales;Pseudoviridae;Pseudovirus;Pseudovirus cajani</t>
  </si>
  <si>
    <t>Riboviria;Pararnavirae;Artverviricota;Revtraviricetes;Ortervirales;Pseudoviridae;Pseudovirus;Saccharomyces cerevisiae Ty2 virus</t>
  </si>
  <si>
    <t>Riboviria;Pararnavirae;Artverviricota;Revtraviricetes;Ortervirales;Pseudoviridae;Pseudovirus;Pseudovirus duosaccharomycetis</t>
  </si>
  <si>
    <t>Riboviria;Pararnavirae;Artverviricota;Revtraviricetes;Ortervirales;Pseudoviridae;Pseudovirus;Arabidopsis thaliana evelknievel virus</t>
  </si>
  <si>
    <t>Riboviria;Pararnavirae;Artverviricota;Revtraviricetes;Ortervirales;Pseudoviridae;Pseudovirus;Pseudovirus evelknieveli</t>
  </si>
  <si>
    <t>Riboviria;Pararnavirae;Artverviricota;Revtraviricetes;Ortervirales;Pseudoviridae;Pseudovirus;Glycine max Tgmr virus</t>
  </si>
  <si>
    <t>Riboviria;Pararnavirae;Artverviricota;Revtraviricetes;Ortervirales;Pseudoviridae;Pseudovirus;Pseudovirus glycinis</t>
  </si>
  <si>
    <t>Riboviria;Pararnavirae;Artverviricota;Revtraviricetes;Ortervirales;Pseudoviridae;Pseudovirus;Hordeum vulgare BARE-1 virus</t>
  </si>
  <si>
    <t>Riboviria;Pararnavirae;Artverviricota;Revtraviricetes;Ortervirales;Pseudoviridae;Pseudovirus;Pseudovirus hordei</t>
  </si>
  <si>
    <t>Riboviria;Pararnavirae;Artverviricota;Revtraviricetes;Ortervirales;Pseudoviridae;Pseudovirus;Zea mays Sto4 virus</t>
  </si>
  <si>
    <t>Riboviria;Pararnavirae;Artverviricota;Revtraviricetes;Ortervirales;Pseudoviridae;Pseudovirus;Pseudovirus maydis</t>
  </si>
  <si>
    <t>Riboviria;Pararnavirae;Artverviricota;Revtraviricetes;Ortervirales;Pseudoviridae;Pseudovirus;Nicotiana tabacum Tnt1 virus</t>
  </si>
  <si>
    <t>Riboviria;Pararnavirae;Artverviricota;Revtraviricetes;Ortervirales;Pseudoviridae;Pseudovirus;Pseudovirus nicotianae</t>
  </si>
  <si>
    <t>Riboviria;Pararnavirae;Artverviricota;Revtraviricetes;Ortervirales;Pseudoviridae;Pseudovirus;Oryza longistaminata Retrofit virus</t>
  </si>
  <si>
    <t>Riboviria;Pararnavirae;Artverviricota;Revtraviricetes;Ortervirales;Pseudoviridae;Pseudovirus;Pseudovirus oryzae</t>
  </si>
  <si>
    <t>Riboviria;Pararnavirae;Artverviricota;Revtraviricetes;Ortervirales;Pseudoviridae;Pseudovirus;Physarum polycephalum Tp1 virus</t>
  </si>
  <si>
    <t>Riboviria;Pararnavirae;Artverviricota;Revtraviricetes;Ortervirales;Pseudoviridae;Pseudovirus;Pseudovirus physari</t>
  </si>
  <si>
    <t>Riboviria;Pararnavirae;Artverviricota;Revtraviricetes;Ortervirales;Pseudoviridae;Pseudovirus;Solanum tuberosum Tst1 virus</t>
  </si>
  <si>
    <t>Riboviria;Pararnavirae;Artverviricota;Revtraviricetes;Ortervirales;Pseudoviridae;Pseudovirus;Pseudovirus solani</t>
  </si>
  <si>
    <t>Riboviria;Pararnavirae;Artverviricota;Revtraviricetes;Ortervirales;Pseudoviridae;Pseudovirus;Nicotiana tabacum Tto1 virus</t>
  </si>
  <si>
    <t>Riboviria;Pararnavirae;Artverviricota;Revtraviricetes;Ortervirales;Pseudoviridae;Pseudovirus;Pseudovirus tabaci</t>
  </si>
  <si>
    <t>Riboviria;Pararnavirae;Artverviricota;Revtraviricetes;Ortervirales;Pseudoviridae;Pseudovirus;Saccharomyces cerevisiae Ty4 virus</t>
  </si>
  <si>
    <t>Riboviria;Pararnavirae;Artverviricota;Revtraviricetes;Ortervirales;Pseudoviridae;Pseudovirus;Pseudovirus tetrasaccharomycetis</t>
  </si>
  <si>
    <t>Riboviria;Pararnavirae;Artverviricota;Revtraviricetes;Ortervirales;Pseudoviridae;Pseudovirus;Triticum aestivum WIS2 virus</t>
  </si>
  <si>
    <t>Riboviria;Pararnavirae;Artverviricota;Revtraviricetes;Ortervirales;Pseudoviridae;Pseudovirus;Pseudovirus tritici</t>
  </si>
  <si>
    <t>Riboviria;Pararnavirae;Artverviricota;Revtraviricetes;Ortervirales;Pseudoviridae;Pseudovirus;Saccharomyces cerevisiae Ty1 virus</t>
  </si>
  <si>
    <t>Riboviria;Pararnavirae;Artverviricota;Revtraviricetes;Ortervirales;Pseudoviridae;Pseudovirus;Pseudovirus unisaccharomycetis</t>
  </si>
  <si>
    <t>Riboviria;Pararnavirae;Artverviricota;Revtraviricetes;Ortervirales;Pseudoviridae;Pseudovirus;Zea mays Hopscotch virus</t>
  </si>
  <si>
    <t>Riboviria;Pararnavirae;Artverviricota;Revtraviricetes;Ortervirales;Pseudoviridae;Pseudovirus;Pseudovirus zeae</t>
  </si>
  <si>
    <t>Riboviria;Pararnavirae;Artverviricota;Revtraviricetes;Ortervirales;Pseudoviridae;Sirevirus;Arabidopsis thaliana Endovir virus</t>
  </si>
  <si>
    <t>Riboviria;Pararnavirae;Artverviricota;Revtraviricetes;Ortervirales;Pseudoviridae;Sirevirus;Sirevirus arabidopsis</t>
  </si>
  <si>
    <t>Riboviria;Pararnavirae;Artverviricota;Revtraviricetes;Ortervirales;Pseudoviridae;Sirevirus;Glycine max SIRE1 virus</t>
  </si>
  <si>
    <t>Riboviria;Pararnavirae;Artverviricota;Revtraviricetes;Ortervirales;Pseudoviridae;Sirevirus;Sirevirus glycinis</t>
  </si>
  <si>
    <t>Riboviria;Pararnavirae;Artverviricota;Revtraviricetes;Ortervirales;Pseudoviridae;Sirevirus;Lycopersicon esculentum ToRTL1 virus</t>
  </si>
  <si>
    <t>Riboviria;Pararnavirae;Artverviricota;Revtraviricetes;Ortervirales;Pseudoviridae;Sirevirus;Sirevirus lycopersici</t>
  </si>
  <si>
    <t>Riboviria;Pararnavirae;Artverviricota;Revtraviricetes;Ortervirales;Pseudoviridae;Sirevirus;Zea mays Prem2 virus</t>
  </si>
  <si>
    <t>Riboviria;Pararnavirae;Artverviricota;Revtraviricetes;Ortervirales;Pseudoviridae;Sirevirus;Sirevirus maydis</t>
  </si>
  <si>
    <t>Riboviria;Pararnavirae;Artverviricota;Revtraviricetes;Ortervirales;Pseudoviridae;Sirevirus;Zea mays Opie2 virus</t>
  </si>
  <si>
    <t>Riboviria;Pararnavirae;Artverviricota;Revtraviricetes;Ortervirales;Pseudoviridae;Sirevirus;Sirevirus zeae</t>
  </si>
  <si>
    <t>Riboviria;Pararnavirae;Artverviricota;Revtraviricetes;Ortervirales;Retroviridae;Orthoretrovirinae;Alpharetrovirus;Avian carcinoma Mill Hill virus 2</t>
  </si>
  <si>
    <t>Riboviria;Pararnavirae;Artverviricota;Revtraviricetes;Ortervirales;Retroviridae;Orthoretrovirinae;Alpharetrovirus;Alpharetrovirus avicarmilhil2</t>
  </si>
  <si>
    <t>Riboviria;Pararnavirae;Artverviricota;Revtraviricetes;Ortervirales;Retroviridae;Orthoretrovirinae;Alpharetrovirus;Fujinami sarcoma virus</t>
  </si>
  <si>
    <t>Riboviria;Pararnavirae;Artverviricota;Revtraviricetes;Ortervirales;Retroviridae;Orthoretrovirinae;Alpharetrovirus;Alpharetrovirus avifujsar</t>
  </si>
  <si>
    <t>Riboviria;Pararnavirae;Artverviricota;Revtraviricetes;Ortervirales;Retroviridae;Orthoretrovirinae;Alpharetrovirus;Avian leukosis virus</t>
  </si>
  <si>
    <t>Riboviria;Pararnavirae;Artverviricota;Revtraviricetes;Ortervirales;Retroviridae;Orthoretrovirinae;Alpharetrovirus;Alpharetrovirus avileu</t>
  </si>
  <si>
    <t>Riboviria;Pararnavirae;Artverviricota;Revtraviricetes;Ortervirales;Retroviridae;Orthoretrovirinae;Alpharetrovirus;Avian myeloblastosis virus</t>
  </si>
  <si>
    <t>Riboviria;Pararnavirae;Artverviricota;Revtraviricetes;Ortervirales;Retroviridae;Orthoretrovirinae;Alpharetrovirus;Alpharetrovirus avimyebla</t>
  </si>
  <si>
    <t>Riboviria;Pararnavirae;Artverviricota;Revtraviricetes;Ortervirales;Retroviridae;Orthoretrovirinae;Alpharetrovirus;Avian myelocytomatosis virus 29</t>
  </si>
  <si>
    <t>Riboviria;Pararnavirae;Artverviricota;Revtraviricetes;Ortervirales;Retroviridae;Orthoretrovirinae;Alpharetrovirus;Alpharetrovirus avimyecyt29</t>
  </si>
  <si>
    <t>Riboviria;Pararnavirae;Artverviricota;Revtraviricetes;Ortervirales;Retroviridae;Orthoretrovirinae;Alpharetrovirus;Rous sarcoma virus</t>
  </si>
  <si>
    <t>Riboviria;Pararnavirae;Artverviricota;Revtraviricetes;Ortervirales;Retroviridae;Orthoretrovirinae;Alpharetrovirus;Alpharetrovirus avirousar</t>
  </si>
  <si>
    <t>Riboviria;Pararnavirae;Artverviricota;Revtraviricetes;Ortervirales;Retroviridae;Orthoretrovirinae;Alpharetrovirus;Avian sarcoma virus CT10</t>
  </si>
  <si>
    <t>Riboviria;Pararnavirae;Artverviricota;Revtraviricetes;Ortervirales;Retroviridae;Orthoretrovirinae;Alpharetrovirus;Alpharetrovirus avisar10</t>
  </si>
  <si>
    <t>Riboviria;Pararnavirae;Artverviricota;Revtraviricetes;Ortervirales;Retroviridae;Orthoretrovirinae;Alpharetrovirus;UR2 sarcoma virus</t>
  </si>
  <si>
    <t>Riboviria;Pararnavirae;Artverviricota;Revtraviricetes;Ortervirales;Retroviridae;Orthoretrovirinae;Alpharetrovirus;Alpharetrovirus aviUR2sar</t>
  </si>
  <si>
    <t>Riboviria;Pararnavirae;Artverviricota;Revtraviricetes;Ortervirales;Retroviridae;Orthoretrovirinae;Alpharetrovirus;Y73 sarcoma virus</t>
  </si>
  <si>
    <t>Riboviria;Pararnavirae;Artverviricota;Revtraviricetes;Ortervirales;Retroviridae;Orthoretrovirinae;Alpharetrovirus;Alpharetrovirus aviY73sar</t>
  </si>
  <si>
    <t>Riboviria;Pararnavirae;Artverviricota;Revtraviricetes;Ortervirales;Retroviridae;Orthoretrovirinae;Betaretrovirus;Langur virus</t>
  </si>
  <si>
    <t>Riboviria;Pararnavirae;Artverviricota;Revtraviricetes;Ortervirales;Retroviridae;Orthoretrovirinae;Betaretrovirus;Betaretrovirus lan</t>
  </si>
  <si>
    <t>Riboviria;Pararnavirae;Artverviricota;Revtraviricetes;Ortervirales;Retroviridae;Orthoretrovirinae;Betaretrovirus;Mason-Pfizer monkey virus</t>
  </si>
  <si>
    <t>Riboviria;Pararnavirae;Artverviricota;Revtraviricetes;Ortervirales;Retroviridae;Orthoretrovirinae;Betaretrovirus;Betaretrovirus maspfimon</t>
  </si>
  <si>
    <t>Riboviria;Pararnavirae;Artverviricota;Revtraviricetes;Ortervirales;Retroviridae;Orthoretrovirinae;Betaretrovirus;Mouse mammary tumor virus</t>
  </si>
  <si>
    <t>Riboviria;Pararnavirae;Artverviricota;Revtraviricetes;Ortervirales;Retroviridae;Orthoretrovirinae;Betaretrovirus;Betaretrovirus murmamtum</t>
  </si>
  <si>
    <t>Riboviria;Pararnavirae;Artverviricota;Revtraviricetes;Ortervirales;Retroviridae;Orthoretrovirinae;Betaretrovirus;Jaagsiekte sheep retrovirus</t>
  </si>
  <si>
    <t>Riboviria;Pararnavirae;Artverviricota;Revtraviricetes;Ortervirales;Retroviridae;Orthoretrovirinae;Betaretrovirus;Betaretrovirus ovijaa</t>
  </si>
  <si>
    <t>Riboviria;Pararnavirae;Artverviricota;Revtraviricetes;Ortervirales;Retroviridae;Orthoretrovirinae;Betaretrovirus;Squirrel monkey retrovirus</t>
  </si>
  <si>
    <t>Riboviria;Pararnavirae;Artverviricota;Revtraviricetes;Ortervirales;Retroviridae;Orthoretrovirinae;Betaretrovirus;Betaretrovirus squmon</t>
  </si>
  <si>
    <t>Riboviria;Pararnavirae;Artverviricota;Revtraviricetes;Ortervirales;Retroviridae;Orthoretrovirinae;Deltaretrovirus;Bovine leukemia virus</t>
  </si>
  <si>
    <t>Riboviria;Pararnavirae;Artverviricota;Revtraviricetes;Ortervirales;Retroviridae;Orthoretrovirinae;Deltaretrovirus;Deltaretrovirus bovleu</t>
  </si>
  <si>
    <t>Riboviria;Pararnavirae;Artverviricota;Revtraviricetes;Ortervirales;Retroviridae;Orthoretrovirinae;Deltaretrovirus;Primate T-lymphotropic virus 1</t>
  </si>
  <si>
    <t>Riboviria;Pararnavirae;Artverviricota;Revtraviricetes;Ortervirales;Retroviridae;Orthoretrovirinae;Deltaretrovirus;Deltaretrovirus priTlym1</t>
  </si>
  <si>
    <t>Riboviria;Pararnavirae;Artverviricota;Revtraviricetes;Ortervirales;Retroviridae;Orthoretrovirinae;Deltaretrovirus;Primate T-lymphotropic virus 2</t>
  </si>
  <si>
    <t>Riboviria;Pararnavirae;Artverviricota;Revtraviricetes;Ortervirales;Retroviridae;Orthoretrovirinae;Deltaretrovirus;Deltaretrovirus priTlym2</t>
  </si>
  <si>
    <t>Riboviria;Pararnavirae;Artverviricota;Revtraviricetes;Ortervirales;Retroviridae;Orthoretrovirinae;Deltaretrovirus;Primate T-lymphotropic virus 3</t>
  </si>
  <si>
    <t>Riboviria;Pararnavirae;Artverviricota;Revtraviricetes;Ortervirales;Retroviridae;Orthoretrovirinae;Deltaretrovirus;Deltaretrovirus priTlym3</t>
  </si>
  <si>
    <t>Riboviria;Pararnavirae;Artverviricota;Revtraviricetes;Ortervirales;Retroviridae;Orthoretrovirinae;Epsilonretrovirus;Walleye dermal sarcoma virus</t>
  </si>
  <si>
    <t>Riboviria;Pararnavirae;Artverviricota;Revtraviricetes;Ortervirales;Retroviridae;Orthoretrovirinae;Epsilonretrovirus;Epsilonretrovirus waldersar</t>
  </si>
  <si>
    <t>Riboviria;Pararnavirae;Artverviricota;Revtraviricetes;Ortervirales;Retroviridae;Orthoretrovirinae;Epsilonretrovirus;Walleye epidermal hyperplasia virus 1</t>
  </si>
  <si>
    <t>Riboviria;Pararnavirae;Artverviricota;Revtraviricetes;Ortervirales;Retroviridae;Orthoretrovirinae;Epsilonretrovirus;Epsilonretrovirus walepihyp1</t>
  </si>
  <si>
    <t>Riboviria;Pararnavirae;Artverviricota;Revtraviricetes;Ortervirales;Retroviridae;Orthoretrovirinae;Epsilonretrovirus;Walleye epidermal hyperplasia virus 2</t>
  </si>
  <si>
    <t>Riboviria;Pararnavirae;Artverviricota;Revtraviricetes;Ortervirales;Retroviridae;Orthoretrovirinae;Epsilonretrovirus;Epsilonretrovirus walepihyp2</t>
  </si>
  <si>
    <t>Riboviria;Pararnavirae;Artverviricota;Revtraviricetes;Ortervirales;Retroviridae;Orthoretrovirinae;Gammaretrovirus;Reticuloendotheliosis virus</t>
  </si>
  <si>
    <t>Riboviria;Pararnavirae;Artverviricota;Revtraviricetes;Ortervirales;Retroviridae;Orthoretrovirinae;Gammaretrovirus;Gammaretrovirus aviretend</t>
  </si>
  <si>
    <t>Riboviria;Pararnavirae;Artverviricota;Revtraviricetes;Ortervirales;Retroviridae;Orthoretrovirinae;Gammaretrovirus;Trager duck spleen necrosis virus</t>
  </si>
  <si>
    <t>Riboviria;Pararnavirae;Artverviricota;Revtraviricetes;Ortervirales;Retroviridae;Orthoretrovirinae;Gammaretrovirus;Gammaretrovirus avisplnec</t>
  </si>
  <si>
    <t>Riboviria;Pararnavirae;Artverviricota;Revtraviricetes;Ortervirales;Retroviridae;Orthoretrovirinae;Gammaretrovirus;Chick syncytial virus</t>
  </si>
  <si>
    <t>Riboviria;Pararnavirae;Artverviricota;Revtraviricetes;Ortervirales;Retroviridae;Orthoretrovirinae;Gammaretrovirus;Gammaretrovirus chisyn</t>
  </si>
  <si>
    <t>Riboviria;Pararnavirae;Artverviricota;Revtraviricetes;Ortervirales;Retroviridae;Orthoretrovirinae;Gammaretrovirus;Feline leukemia virus</t>
  </si>
  <si>
    <t>Riboviria;Pararnavirae;Artverviricota;Revtraviricetes;Ortervirales;Retroviridae;Orthoretrovirinae;Gammaretrovirus;Gammaretrovirus felleu</t>
  </si>
  <si>
    <t>Riboviria;Pararnavirae;Artverviricota;Revtraviricetes;Ortervirales;Retroviridae;Orthoretrovirinae;Gammaretrovirus;Finkel-Biskis-Jinkins murine sarcoma virus</t>
  </si>
  <si>
    <t>Riboviria;Pararnavirae;Artverviricota;Revtraviricetes;Ortervirales;Retroviridae;Orthoretrovirinae;Gammaretrovirus;Gammaretrovirus fibijimursar</t>
  </si>
  <si>
    <t>Riboviria;Pararnavirae;Artverviricota;Revtraviricetes;Ortervirales;Retroviridae;Orthoretrovirinae;Gammaretrovirus;Gibbon ape leukemia virus</t>
  </si>
  <si>
    <t>Riboviria;Pararnavirae;Artverviricota;Revtraviricetes;Ortervirales;Retroviridae;Orthoretrovirinae;Gammaretrovirus;Gammaretrovirus gibleu</t>
  </si>
  <si>
    <t>Riboviria;Pararnavirae;Artverviricota;Revtraviricetes;Ortervirales;Retroviridae;Orthoretrovirinae;Gammaretrovirus;Harvey murine sarcoma virus</t>
  </si>
  <si>
    <t>Riboviria;Pararnavirae;Artverviricota;Revtraviricetes;Ortervirales;Retroviridae;Orthoretrovirinae;Gammaretrovirus;Gammaretrovirus Hamursar</t>
  </si>
  <si>
    <t>Riboviria;Pararnavirae;Artverviricota;Revtraviricetes;Ortervirales;Retroviridae;Orthoretrovirinae;Gammaretrovirus;Hardy-Zuckerman feline sarcoma virus</t>
  </si>
  <si>
    <t>Riboviria;Pararnavirae;Artverviricota;Revtraviricetes;Ortervirales;Retroviridae;Orthoretrovirinae;Gammaretrovirus;Gammaretrovirus hazufelsar</t>
  </si>
  <si>
    <t>Riboviria;Pararnavirae;Artverviricota;Revtraviricetes;Ortervirales;Retroviridae;Orthoretrovirinae;Gammaretrovirus;Kirsten murine sarcoma virus</t>
  </si>
  <si>
    <t>Riboviria;Pararnavirae;Artverviricota;Revtraviricetes;Ortervirales;Retroviridae;Orthoretrovirinae;Gammaretrovirus;Gammaretrovirus Kimursar</t>
  </si>
  <si>
    <t>Riboviria;Pararnavirae;Artverviricota;Revtraviricetes;Ortervirales;Retroviridae;Orthoretrovirinae;Gammaretrovirus;Koala retrovirus</t>
  </si>
  <si>
    <t>Riboviria;Pararnavirae;Artverviricota;Revtraviricetes;Ortervirales;Retroviridae;Orthoretrovirinae;Gammaretrovirus;Gammaretrovirus koa</t>
  </si>
  <si>
    <t>Riboviria;Pararnavirae;Artverviricota;Revtraviricetes;Ortervirales;Retroviridae;Orthoretrovirinae;Gammaretrovirus;Moloney murine sarcoma virus</t>
  </si>
  <si>
    <t>Riboviria;Pararnavirae;Artverviricota;Revtraviricetes;Ortervirales;Retroviridae;Orthoretrovirinae;Gammaretrovirus;Gammaretrovirus momursar</t>
  </si>
  <si>
    <t>Riboviria;Pararnavirae;Artverviricota;Revtraviricetes;Ortervirales;Retroviridae;Orthoretrovirinae;Gammaretrovirus;Murine leukemia virus</t>
  </si>
  <si>
    <t>Riboviria;Pararnavirae;Artverviricota;Revtraviricetes;Ortervirales;Retroviridae;Orthoretrovirinae;Gammaretrovirus;Gammaretrovirus murleu</t>
  </si>
  <si>
    <t>Riboviria;Pararnavirae;Artverviricota;Revtraviricetes;Ortervirales;Retroviridae;Orthoretrovirinae;Gammaretrovirus;Porcine type-C oncovirus</t>
  </si>
  <si>
    <t>Riboviria;Pararnavirae;Artverviricota;Revtraviricetes;Ortervirales;Retroviridae;Orthoretrovirinae;Gammaretrovirus;Gammaretrovirus porConc</t>
  </si>
  <si>
    <t>Riboviria;Pararnavirae;Artverviricota;Revtraviricetes;Ortervirales;Retroviridae;Orthoretrovirinae;Gammaretrovirus;Snyder-Theilen feline sarcoma virus</t>
  </si>
  <si>
    <t>Riboviria;Pararnavirae;Artverviricota;Revtraviricetes;Ortervirales;Retroviridae;Orthoretrovirinae;Gammaretrovirus;Gammaretrovirus snythefelsar</t>
  </si>
  <si>
    <t>Riboviria;Pararnavirae;Artverviricota;Revtraviricetes;Ortervirales;Retroviridae;Orthoretrovirinae;Gammaretrovirus;Woolly monkey sarcoma virus</t>
  </si>
  <si>
    <t>Riboviria;Pararnavirae;Artverviricota;Revtraviricetes;Ortervirales;Retroviridae;Orthoretrovirinae;Gammaretrovirus;Gammaretrovirus woomonsar</t>
  </si>
  <si>
    <t>Riboviria;Pararnavirae;Artverviricota;Revtraviricetes;Ortervirales;Retroviridae;Orthoretrovirinae;Lentivirus;Bovine immunodeficiency virus</t>
  </si>
  <si>
    <t>Riboviria;Pararnavirae;Artverviricota;Revtraviricetes;Ortervirales;Retroviridae;Orthoretrovirinae;Lentivirus;Lentivirus bovimdef</t>
  </si>
  <si>
    <t>Riboviria;Pararnavirae;Artverviricota;Revtraviricetes;Ortervirales;Retroviridae;Orthoretrovirinae;Lentivirus;Jembrana disease virus</t>
  </si>
  <si>
    <t>Riboviria;Pararnavirae;Artverviricota;Revtraviricetes;Ortervirales;Retroviridae;Orthoretrovirinae;Lentivirus;Lentivirus bovjem</t>
  </si>
  <si>
    <t>Riboviria;Pararnavirae;Artverviricota;Revtraviricetes;Ortervirales;Retroviridae;Orthoretrovirinae;Lentivirus;Caprine arthritis encephalitis virus</t>
  </si>
  <si>
    <t>Riboviria;Pararnavirae;Artverviricota;Revtraviricetes;Ortervirales;Retroviridae;Orthoretrovirinae;Lentivirus;Lentivirus capartenc</t>
  </si>
  <si>
    <t>Riboviria;Pararnavirae;Artverviricota;Revtraviricetes;Ortervirales;Retroviridae;Orthoretrovirinae;Lentivirus;Equine infectious anemia virus</t>
  </si>
  <si>
    <t>Riboviria;Pararnavirae;Artverviricota;Revtraviricetes;Ortervirales;Retroviridae;Orthoretrovirinae;Lentivirus;Lentivirus equinfane</t>
  </si>
  <si>
    <t>Riboviria;Pararnavirae;Artverviricota;Revtraviricetes;Ortervirales;Retroviridae;Orthoretrovirinae;Lentivirus;Feline immunodeficiency virus</t>
  </si>
  <si>
    <t>Riboviria;Pararnavirae;Artverviricota;Revtraviricetes;Ortervirales;Retroviridae;Orthoretrovirinae;Lentivirus;Lentivirus felimdef</t>
  </si>
  <si>
    <t>Riboviria;Pararnavirae;Artverviricota;Revtraviricetes;Ortervirales;Retroviridae;Orthoretrovirinae;Lentivirus;Human immunodeficiency virus 1</t>
  </si>
  <si>
    <t>Riboviria;Pararnavirae;Artverviricota;Revtraviricetes;Ortervirales;Retroviridae;Orthoretrovirinae;Lentivirus;Lentivirus humimdef1</t>
  </si>
  <si>
    <t>Riboviria;Pararnavirae;Artverviricota;Revtraviricetes;Ortervirales;Retroviridae;Orthoretrovirinae;Lentivirus;Human immunodeficiency virus 2</t>
  </si>
  <si>
    <t>Riboviria;Pararnavirae;Artverviricota;Revtraviricetes;Ortervirales;Retroviridae;Orthoretrovirinae;Lentivirus;Lentivirus humimdef2</t>
  </si>
  <si>
    <t>Riboviria;Pararnavirae;Artverviricota;Revtraviricetes;Ortervirales;Retroviridae;Orthoretrovirinae;Lentivirus;Visna-maedi virus</t>
  </si>
  <si>
    <t>Riboviria;Pararnavirae;Artverviricota;Revtraviricetes;Ortervirales;Retroviridae;Orthoretrovirinae;Lentivirus;Lentivirus ovivismae</t>
  </si>
  <si>
    <t>Riboviria;Pararnavirae;Artverviricota;Revtraviricetes;Ortervirales;Retroviridae;Orthoretrovirinae;Lentivirus;Puma lentivirus</t>
  </si>
  <si>
    <t>Riboviria;Pararnavirae;Artverviricota;Revtraviricetes;Ortervirales;Retroviridae;Orthoretrovirinae;Lentivirus;Lentivirus pum</t>
  </si>
  <si>
    <t>Riboviria;Pararnavirae;Artverviricota;Revtraviricetes;Ortervirales;Retroviridae;Orthoretrovirinae;Lentivirus;Simian immunodeficiency virus</t>
  </si>
  <si>
    <t>Riboviria;Pararnavirae;Artverviricota;Revtraviricetes;Ortervirales;Retroviridae;Orthoretrovirinae;Lentivirus;Lentivirus simimdef</t>
  </si>
  <si>
    <t>Riboviria;Pararnavirae;Artverviricota;Revtraviricetes;Ortervirales;Retroviridae;Spumaretrovirinae;Bovispumavirus;Bovine foamy virus</t>
  </si>
  <si>
    <t>Riboviria;Pararnavirae;Artverviricota;Revtraviricetes;Ortervirales;Retroviridae;Spumaretrovirinae;Bovispumavirus;Bovispumavirus bostaufo</t>
  </si>
  <si>
    <t>Riboviria;Pararnavirae;Artverviricota;Revtraviricetes;Ortervirales;Retroviridae;Spumaretrovirinae;Equispumavirus;Equine foamy virus</t>
  </si>
  <si>
    <t>Riboviria;Pararnavirae;Artverviricota;Revtraviricetes;Ortervirales;Retroviridae;Spumaretrovirinae;Equispumavirus;Equispumavirus equcabfo</t>
  </si>
  <si>
    <t>Riboviria;Pararnavirae;Artverviricota;Revtraviricetes;Ortervirales;Retroviridae;Spumaretrovirinae;Felispumavirus;Feline foamy virus</t>
  </si>
  <si>
    <t>Riboviria;Pararnavirae;Artverviricota;Revtraviricetes;Ortervirales;Retroviridae;Spumaretrovirinae;Felispumavirus;Felispumavirus felcatfo</t>
  </si>
  <si>
    <t>Riboviria;Pararnavirae;Artverviricota;Revtraviricetes;Ortervirales;Retroviridae;Spumaretrovirinae;Prosimiispumavirus;Brown greater galago prosimian foamy virus</t>
  </si>
  <si>
    <t>Riboviria;Pararnavirae;Artverviricota;Revtraviricetes;Ortervirales;Retroviridae;Spumaretrovirinae;Prosimiispumavirus;Prosimiispumavirus otocrafo</t>
  </si>
  <si>
    <t>Riboviria;Pararnavirae;Artverviricota;Revtraviricetes;Ortervirales;Retroviridae;Spumaretrovirinae;Simiispumavirus;Spider monkey simian foamy virus</t>
  </si>
  <si>
    <t>Riboviria;Pararnavirae;Artverviricota;Revtraviricetes;Ortervirales;Retroviridae;Spumaretrovirinae;Simiispumavirus;Simiispumavirus atesppfo</t>
  </si>
  <si>
    <t>Riboviria;Pararnavirae;Artverviricota;Revtraviricetes;Ortervirales;Retroviridae;Spumaretrovirinae;Simiispumavirus;White-tufted-ear marmoset simian foamy virus</t>
  </si>
  <si>
    <t>Riboviria;Pararnavirae;Artverviricota;Revtraviricetes;Ortervirales;Retroviridae;Spumaretrovirinae;Simiispumavirus;Simiispumavirus caljacfo</t>
  </si>
  <si>
    <t>Riboviria;Pararnavirae;Artverviricota;Revtraviricetes;Ortervirales;Retroviridae;Spumaretrovirinae;Simiispumavirus;Guenon simian foamy virus</t>
  </si>
  <si>
    <t>Riboviria;Pararnavirae;Artverviricota;Revtraviricetes;Ortervirales;Retroviridae;Spumaretrovirinae;Simiispumavirus;Simiispumavirus cernicfo</t>
  </si>
  <si>
    <t>Riboviria;Pararnavirae;Artverviricota;Revtraviricetes;Ortervirales;Retroviridae;Spumaretrovirinae;Simiispumavirus;Grivet simian foamy virus</t>
  </si>
  <si>
    <t>Riboviria;Pararnavirae;Artverviricota;Revtraviricetes;Ortervirales;Retroviridae;Spumaretrovirinae;Simiispumavirus;Simiispumavirus chlaetfo</t>
  </si>
  <si>
    <t>Riboviria;Pararnavirae;Artverviricota;Revtraviricetes;Ortervirales;Retroviridae;Spumaretrovirinae;Simiispumavirus;Western lowland gorilla simian foamy virus</t>
  </si>
  <si>
    <t>Riboviria;Pararnavirae;Artverviricota;Revtraviricetes;Ortervirales;Retroviridae;Spumaretrovirinae;Simiispumavirus;Simiispumavirus gorgorgorfo</t>
  </si>
  <si>
    <t>Riboviria;Pararnavirae;Artverviricota;Revtraviricetes;Ortervirales;Retroviridae;Spumaretrovirinae;Simiispumavirus;Taiwanese macaque simian foamy virus</t>
  </si>
  <si>
    <t>Riboviria;Pararnavirae;Artverviricota;Revtraviricetes;Ortervirales;Retroviridae;Spumaretrovirinae;Simiispumavirus;Simiispumavirus maccycfo</t>
  </si>
  <si>
    <t>Riboviria;Pararnavirae;Artverviricota;Revtraviricetes;Ortervirales;Retroviridae;Spumaretrovirinae;Simiispumavirus;Cynomolgus macaque simian foamy virus</t>
  </si>
  <si>
    <t>Riboviria;Pararnavirae;Artverviricota;Revtraviricetes;Ortervirales;Retroviridae;Spumaretrovirinae;Simiispumavirus;Simiispumavirus macfasfo</t>
  </si>
  <si>
    <t>Riboviria;Pararnavirae;Artverviricota;Revtraviricetes;Ortervirales;Retroviridae;Spumaretrovirinae;Simiispumavirus;Japanese macaque simian foamy virus</t>
  </si>
  <si>
    <t>Riboviria;Pararnavirae;Artverviricota;Revtraviricetes;Ortervirales;Retroviridae;Spumaretrovirinae;Simiispumavirus;Simiispumavirus macfusfo</t>
  </si>
  <si>
    <t>Riboviria;Pararnavirae;Artverviricota;Revtraviricetes;Ortervirales;Retroviridae;Spumaretrovirinae;Simiispumavirus;Rhesus macaque simian foamy virus</t>
  </si>
  <si>
    <t>Riboviria;Pararnavirae;Artverviricota;Revtraviricetes;Ortervirales;Retroviridae;Spumaretrovirinae;Simiispumavirus;Simiispumavirus macmulfo</t>
  </si>
  <si>
    <t>Riboviria;Pararnavirae;Artverviricota;Revtraviricetes;Ortervirales;Retroviridae;Spumaretrovirinae;Simiispumavirus;Eastern chimpanzee simian foamy virus</t>
  </si>
  <si>
    <t>Riboviria;Pararnavirae;Artverviricota;Revtraviricetes;Ortervirales;Retroviridae;Spumaretrovirinae;Simiispumavirus;Simiispumavirus pantroschfo</t>
  </si>
  <si>
    <t>Riboviria;Pararnavirae;Artverviricota;Revtraviricetes;Ortervirales;Retroviridae;Spumaretrovirinae;Simiispumavirus;Central chimpanzee simian foamy virus</t>
  </si>
  <si>
    <t>Riboviria;Pararnavirae;Artverviricota;Revtraviricetes;Ortervirales;Retroviridae;Spumaretrovirinae;Simiispumavirus;Simiispumavirus pantrotrofo</t>
  </si>
  <si>
    <t>Riboviria;Pararnavirae;Artverviricota;Revtraviricetes;Ortervirales;Retroviridae;Spumaretrovirinae;Simiispumavirus;Western chimpanzee simian foamy virus</t>
  </si>
  <si>
    <t>Riboviria;Pararnavirae;Artverviricota;Revtraviricetes;Ortervirales;Retroviridae;Spumaretrovirinae;Simiispumavirus;Simiispumavirus pantroverfo</t>
  </si>
  <si>
    <t>Riboviria;Pararnavirae;Artverviricota;Revtraviricetes;Ortervirales;Retroviridae;Spumaretrovirinae;Simiispumavirus;Bornean orangutan simian foamy virus</t>
  </si>
  <si>
    <t>Riboviria;Pararnavirae;Artverviricota;Revtraviricetes;Ortervirales;Retroviridae;Spumaretrovirinae;Simiispumavirus;Simiispumavirus ponpygpygfo</t>
  </si>
  <si>
    <t>Riboviria;Pararnavirae;Artverviricota;Revtraviricetes;Ortervirales;Retroviridae;Spumaretrovirinae;Simiispumavirus;Squirrel monkey simian foamy virus</t>
  </si>
  <si>
    <t>Riboviria;Pararnavirae;Artverviricota;Revtraviricetes;Ortervirales;Retroviridae;Spumaretrovirinae;Simiispumavirus;Simiispumavirus saiscifo</t>
  </si>
  <si>
    <t>Riboviria;Pararnavirae;Artverviricota;Revtraviricetes;Ortervirales;Retroviridae;Spumaretrovirinae;Simiispumavirus;Yellow-breasted capuchin simian foamy virus</t>
  </si>
  <si>
    <t>Riboviria;Pararnavirae;Artverviricota;Revtraviricetes;Ortervirales;Retroviridae;Spumaretrovirinae;Simiispumavirus;Simiispumavirus sapxanfo</t>
  </si>
  <si>
    <t>Riboviria;Polymycoviridae;Polymycovirus;Aspergillus spelaeus polymycovirus 1</t>
  </si>
  <si>
    <t>Riboviria;Polymycoviridae;Polymycovirus;Polymycovirus aspelaei</t>
  </si>
  <si>
    <t>Riboviria;Polymycoviridae;Polymycovirus;Aspergillus fumigatus polymycovirus 1</t>
  </si>
  <si>
    <t>Riboviria;Polymycoviridae;Polymycovirus;Polymycovirus aspergilli</t>
  </si>
  <si>
    <t>Riboviria;Polymycoviridae;Polymycovirus;Beauveria bassiana polymycovirus 1</t>
  </si>
  <si>
    <t>Riboviria;Polymycoviridae;Polymycovirus;Polymycovirus beauveriae</t>
  </si>
  <si>
    <t>Riboviria;Polymycoviridae;Polymycovirus;Botryoshaeria dothidea polymycovirus 1</t>
  </si>
  <si>
    <t>Riboviria;Polymycoviridae;Polymycovirus;Polymycovirus botryosphaeriae</t>
  </si>
  <si>
    <t>Riboviria;Polymycoviridae;Polymycovirus;Cladosporium cladosporioides polymycovirus 1</t>
  </si>
  <si>
    <t>Riboviria;Polymycoviridae;Polymycovirus;Polymycovirus cladosporii</t>
  </si>
  <si>
    <t>Riboviria;Polymycoviridae;Polymycovirus;Colletotrichum camelliae polymycovirus 1</t>
  </si>
  <si>
    <t>Riboviria;Polymycoviridae;Polymycovirus;Polymycovirus colletotrichi</t>
  </si>
  <si>
    <t>Riboviria;Polymycoviridae;Polymycovirus;Fusarium redolens polymycovirus 1</t>
  </si>
  <si>
    <t>Riboviria;Polymycoviridae;Polymycovirus;Polymycovirus fusarii</t>
  </si>
  <si>
    <t>Riboviria;Polymycoviridae;Polymycovirus;Magnaporthe oryzae polymycovirus 1</t>
  </si>
  <si>
    <t>Riboviria;Polymycoviridae;Polymycovirus;Polymycovirus magnaporthis</t>
  </si>
  <si>
    <t>Riboviria;Polymycoviridae;Polymycovirus;Penicillum brevicompactum polymycovirus 1</t>
  </si>
  <si>
    <t>Riboviria;Polymycoviridae;Polymycovirus;Polymycovirus penicompactii</t>
  </si>
  <si>
    <t>Riboviria;Polymycoviridae;Polymycovirus;Penicillium digitatum polymycovirus 1</t>
  </si>
  <si>
    <t>Riboviria;Polymycoviridae;Polymycovirus;Polymycovirus penidigitati</t>
  </si>
  <si>
    <t>Riboviria;Sarthroviridae;Macronovirus;Macrobrachium satellite virus 1</t>
  </si>
  <si>
    <t>Riboviria;Sarthroviridae;Macronovirus;Macronovirus macrobrachii</t>
  </si>
  <si>
    <t>Varidnaviria;Bamfordvirae;Nucleocytoviricota;Megaviricetes;Algavirales;Phycodnaviridae;Chlorovirus;Paramecium bursaria Chlorella virus NY2A</t>
  </si>
  <si>
    <t>Varidnaviria;Bamfordvirae;Nucleocytoviricota;Megaviricetes;Algavirales;Phycodnaviridae;Chlorovirus;Chlorovirus americanus</t>
  </si>
  <si>
    <t>Varidnaviria;Bamfordvirae;Nucleocytoviricota;Megaviricetes;Algavirales;Phycodnaviridae;Chlorovirus;Paramecium bursaria Chlorella virus A1</t>
  </si>
  <si>
    <t>Varidnaviria;Bamfordvirae;Nucleocytoviricota;Megaviricetes;Algavirales;Phycodnaviridae;Chlorovirus;Chlorovirus conductrix</t>
  </si>
  <si>
    <t>Varidnaviria;Bamfordvirae;Nucleocytoviricota;Megaviricetes;Algavirales;Phycodnaviridae;Chlorovirus;Acanthocystis turfacea chlorella virus 1</t>
  </si>
  <si>
    <t>Varidnaviria;Bamfordvirae;Nucleocytoviricota;Megaviricetes;Algavirales;Phycodnaviridae;Chlorovirus;Chlorovirus heliozoae</t>
  </si>
  <si>
    <t>Varidnaviria;Bamfordvirae;Nucleocytoviricota;Megaviricetes;Algavirales;Phycodnaviridae;Chlorovirus;Paramecium bursaria Chlorella virus IL3A</t>
  </si>
  <si>
    <t>Varidnaviria;Bamfordvirae;Nucleocytoviricota;Megaviricetes;Algavirales;Phycodnaviridae;Chlorovirus;Chlorovirus illinoense</t>
  </si>
  <si>
    <t>Varidnaviria;Bamfordvirae;Nucleocytoviricota;Megaviricetes;Algavirales;Phycodnaviridae;Chlorovirus;Paramecium bursaria Chlorella virus NYs1</t>
  </si>
  <si>
    <t>Varidnaviria;Bamfordvirae;Nucleocytoviricota;Megaviricetes;Algavirales;Phycodnaviridae;Chlorovirus;Chlorovirus newyorkense</t>
  </si>
  <si>
    <t>Varidnaviria;Bamfordvirae;Nucleocytoviricota;Megaviricetes;Algavirales;Phycodnaviridae;Chlorovirus;Paramecium bursaria Chlorella virus 1</t>
  </si>
  <si>
    <t>Varidnaviria;Bamfordvirae;Nucleocytoviricota;Megaviricetes;Algavirales;Phycodnaviridae;Chlorovirus;Chlorovirus vanettense</t>
  </si>
  <si>
    <t>Varidnaviria;Bamfordvirae;Nucleocytoviricota;Megaviricetes;Algavirales;Phycodnaviridae;Coccolithovirus;Emiliania huxleyi virus 86</t>
  </si>
  <si>
    <t>Varidnaviria;Bamfordvirae;Nucleocytoviricota;Megaviricetes;Algavirales;Phycodnaviridae;Coccolithovirus;Coccolithovirus huxleyi</t>
  </si>
  <si>
    <t>Varidnaviria;Bamfordvirae;Nucleocytoviricota;Megaviricetes;Algavirales;Phycodnaviridae;Phaeovirus;Feldmannia species virus</t>
  </si>
  <si>
    <t>Varidnaviria;Bamfordvirae;Nucleocytoviricota;Megaviricetes;Algavirales;Phycodnaviridae;Phaeovirus;Phaeovirus feldmanniae</t>
  </si>
  <si>
    <t>Varidnaviria;Bamfordvirae;Nucleocytoviricota;Megaviricetes;Algavirales;Phycodnaviridae;Phaeovirus;Feldmannia irregularis virus a</t>
  </si>
  <si>
    <t>Varidnaviria;Bamfordvirae;Nucleocytoviricota;Megaviricetes;Algavirales;Phycodnaviridae;Phaeovirus;Phaeovirus irregularis</t>
  </si>
  <si>
    <t>Varidnaviria;Bamfordvirae;Nucleocytoviricota;Megaviricetes;Algavirales;Phycodnaviridae;Phaeovirus;Ectocarpus siliculosus virus 1</t>
  </si>
  <si>
    <t>Varidnaviria;Bamfordvirae;Nucleocytoviricota;Megaviricetes;Algavirales;Phycodnaviridae;Phaeovirus;Phaeovirus unasiliculosus</t>
  </si>
  <si>
    <t>Varidnaviria;Bamfordvirae;Nucleocytoviricota;Megaviricetes;Algavirales;Phycodnaviridae;Prasinovirus;Micromonas pusilla virus SP1</t>
  </si>
  <si>
    <t>Varidnaviria;Bamfordvirae;Nucleocytoviricota;Megaviricetes;Algavirales;Phycodnaviridae;Prasinovirus;Prasinovirus micromonas</t>
  </si>
  <si>
    <t>Varidnaviria;Bamfordvirae;Nucleocytoviricota;Megaviricetes;Algavirales;Phycodnaviridae;Prasinovirus;Ostreococcus tauri virus OtV5</t>
  </si>
  <si>
    <t>Varidnaviria;Bamfordvirae;Nucleocytoviricota;Megaviricetes;Algavirales;Phycodnaviridae;Prasinovirus;Prasinovirus ostreotauri</t>
  </si>
  <si>
    <t>Varidnaviria;Bamfordvirae;Nucleocytoviricota;Megaviricetes;Algavirales;Phycodnaviridae;Prymnesiovirus;Chrysochromulina brevifilum virus PW1</t>
  </si>
  <si>
    <t>Varidnaviria;Bamfordvirae;Nucleocytoviricota;Megaviricetes;Algavirales;Phycodnaviridae;Prymnesiovirus;Prymnesiovirus brevifilum</t>
  </si>
  <si>
    <t>Varidnaviria;Bamfordvirae;Nucleocytoviricota;Megaviricetes;Algavirales;Phycodnaviridae;Raphidovirus;Heterosigma akashiwo virus 01</t>
  </si>
  <si>
    <t>Varidnaviria;Bamfordvirae;Nucleocytoviricota;Megaviricetes;Algavirales;Phycodnaviridae;Raphidovirus;Raphidovirus japonicum</t>
  </si>
  <si>
    <t>Varidnaviria;Bamfordvirae;Nucleocytoviricota;Megaviricetes;Pimascovirales;Iridoviridae;Alphairidovirinae;Lymphocystivirus;Lymphocystis disease virus 4</t>
  </si>
  <si>
    <t>Varidnaviria;Bamfordvirae;Nucleocytoviricota;Megaviricetes;Pimascovirales;Iridoviridae;Alphairidovirinae;Lymphocystivirus;Lymphocystivirus micropogonias1</t>
  </si>
  <si>
    <t>Varidnaviria;Bamfordvirae;Nucleocytoviricota;Megaviricetes;Pimascovirales;Iridoviridae;Alphairidovirinae;Lymphocystivirus;Lymphocystis disease virus 2</t>
  </si>
  <si>
    <t>Varidnaviria;Bamfordvirae;Nucleocytoviricota;Megaviricetes;Pimascovirales;Iridoviridae;Alphairidovirinae;Lymphocystivirus;Lymphocystivirus paralichthys1</t>
  </si>
  <si>
    <t>Varidnaviria;Bamfordvirae;Nucleocytoviricota;Megaviricetes;Pimascovirales;Iridoviridae;Alphairidovirinae;Lymphocystivirus;Lymphocystis disease virus 1</t>
  </si>
  <si>
    <t>Varidnaviria;Bamfordvirae;Nucleocytoviricota;Megaviricetes;Pimascovirales;Iridoviridae;Alphairidovirinae;Lymphocystivirus;Lymphocystivirus platichthys1</t>
  </si>
  <si>
    <t>Varidnaviria;Bamfordvirae;Nucleocytoviricota;Megaviricetes;Pimascovirales;Iridoviridae;Alphairidovirinae;Lymphocystivirus;Lymphocystis disease virus 3</t>
  </si>
  <si>
    <t>Varidnaviria;Bamfordvirae;Nucleocytoviricota;Megaviricetes;Pimascovirales;Iridoviridae;Alphairidovirinae;Lymphocystivirus;Lymphocystivirus sparus1</t>
  </si>
  <si>
    <t>Varidnaviria;Bamfordvirae;Nucleocytoviricota;Megaviricetes;Pimascovirales;Iridoviridae;Alphairidovirinae;Megalocytivirus;Scale drop disease virus</t>
  </si>
  <si>
    <t>Varidnaviria;Bamfordvirae;Nucleocytoviricota;Megaviricetes;Pimascovirales;Iridoviridae;Alphairidovirinae;Megalocytivirus;Megalocytivirus lates1</t>
  </si>
  <si>
    <t>Varidnaviria;Bamfordvirae;Nucleocytoviricota;Megaviricetes;Pimascovirales;Iridoviridae;Alphairidovirinae;Megalocytivirus;Infectious spleen and kidney necrosis virus</t>
  </si>
  <si>
    <t>Varidnaviria;Bamfordvirae;Nucleocytoviricota;Megaviricetes;Pimascovirales;Iridoviridae;Alphairidovirinae;Megalocytivirus;Megalocytivirus spagrus1</t>
  </si>
  <si>
    <t>Varidnaviria;Bamfordvirae;Nucleocytoviricota;Megaviricetes;Pimascovirales;Iridoviridae;Alphairidovirinae;Ranavirus;Common midwife toad virus</t>
  </si>
  <si>
    <t>Varidnaviria;Bamfordvirae;Nucleocytoviricota;Megaviricetes;Pimascovirales;Iridoviridae;Alphairidovirinae;Ranavirus;Ranavirus alytes1</t>
  </si>
  <si>
    <t>Varidnaviria;Bamfordvirae;Nucleocytoviricota;Megaviricetes;Pimascovirales;Iridoviridae;Alphairidovirinae;Ranavirus;Ambystoma tigrinum virus</t>
  </si>
  <si>
    <t>Varidnaviria;Bamfordvirae;Nucleocytoviricota;Megaviricetes;Pimascovirales;Iridoviridae;Alphairidovirinae;Ranavirus;Ranavirus ambystoma1</t>
  </si>
  <si>
    <t>Varidnaviria;Bamfordvirae;Nucleocytoviricota;Megaviricetes;Pimascovirales;Iridoviridae;Alphairidovirinae;Ranavirus;Singapore grouper iridovirus</t>
  </si>
  <si>
    <t>Varidnaviria;Bamfordvirae;Nucleocytoviricota;Megaviricetes;Pimascovirales;Iridoviridae;Alphairidovirinae;Ranavirus;Ranavirus epinephelus1</t>
  </si>
  <si>
    <t>Varidnaviria;Bamfordvirae;Nucleocytoviricota;Megaviricetes;Pimascovirales;Iridoviridae;Alphairidovirinae;Ranavirus;European North Atlantic ranavirus</t>
  </si>
  <si>
    <t>Varidnaviria;Bamfordvirae;Nucleocytoviricota;Megaviricetes;Pimascovirales;Iridoviridae;Alphairidovirinae;Ranavirus;Ranavirus gadus1</t>
  </si>
  <si>
    <t>Varidnaviria;Bamfordvirae;Nucleocytoviricota;Megaviricetes;Pimascovirales;Iridoviridae;Alphairidovirinae;Ranavirus;Santee-Cooper ranavirus</t>
  </si>
  <si>
    <t>Varidnaviria;Bamfordvirae;Nucleocytoviricota;Megaviricetes;Pimascovirales;Iridoviridae;Alphairidovirinae;Ranavirus;Ranavirus micropterus1</t>
  </si>
  <si>
    <t>Varidnaviria;Bamfordvirae;Nucleocytoviricota;Megaviricetes;Pimascovirales;Iridoviridae;Alphairidovirinae;Ranavirus;Epizootic haematopoietic necrosis virus</t>
  </si>
  <si>
    <t>Varidnaviria;Bamfordvirae;Nucleocytoviricota;Megaviricetes;Pimascovirales;Iridoviridae;Alphairidovirinae;Ranavirus;Ranavirus perca1</t>
  </si>
  <si>
    <t>Varidnaviria;Bamfordvirae;Nucleocytoviricota;Megaviricetes;Pimascovirales;Iridoviridae;Alphairidovirinae;Ranavirus;Frog virus 3</t>
  </si>
  <si>
    <t>Varidnaviria;Bamfordvirae;Nucleocytoviricota;Megaviricetes;Pimascovirales;Iridoviridae;Alphairidovirinae;Ranavirus;Ranavirus rana1</t>
  </si>
  <si>
    <t>Varidnaviria;Bamfordvirae;Nucleocytoviricota;Megaviricetes;Pimascovirales;Iridoviridae;Betairidovirinae;Chloriridovirus;Invertebrate iridescent virus 3</t>
  </si>
  <si>
    <t>Varidnaviria;Bamfordvirae;Nucleocytoviricota;Megaviricetes;Pimascovirales;Iridoviridae;Betairidovirinae;Chloriridovirus;Chloriridovirus aedes1</t>
  </si>
  <si>
    <t>Varidnaviria;Bamfordvirae;Nucleocytoviricota;Megaviricetes;Pimascovirales;Iridoviridae;Betairidovirinae;Chloriridovirus;Anopheles minimus iridovirus</t>
  </si>
  <si>
    <t>Varidnaviria;Bamfordvirae;Nucleocytoviricota;Megaviricetes;Pimascovirales;Iridoviridae;Betairidovirinae;Chloriridovirus;Chloriridovirus anopheles1</t>
  </si>
  <si>
    <t>Varidnaviria;Bamfordvirae;Nucleocytoviricota;Megaviricetes;Pimascovirales;Iridoviridae;Betairidovirinae;Chloriridovirus;Invertebrate iridescent virus 22</t>
  </si>
  <si>
    <t>Varidnaviria;Bamfordvirae;Nucleocytoviricota;Megaviricetes;Pimascovirales;Iridoviridae;Betairidovirinae;Chloriridovirus;Chloriridovirus simulium1</t>
  </si>
  <si>
    <t>Varidnaviria;Bamfordvirae;Nucleocytoviricota;Megaviricetes;Pimascovirales;Iridoviridae;Betairidovirinae;Chloriridovirus;Invertebrate iridescent virus 25</t>
  </si>
  <si>
    <t>Varidnaviria;Bamfordvirae;Nucleocytoviricota;Megaviricetes;Pimascovirales;Iridoviridae;Betairidovirinae;Chloriridovirus;Chloriridovirus simulium2</t>
  </si>
  <si>
    <t>Varidnaviria;Bamfordvirae;Nucleocytoviricota;Megaviricetes;Pimascovirales;Iridoviridae;Betairidovirinae;Chloriridovirus;Invertebrate iridescent virus 9</t>
  </si>
  <si>
    <t>Varidnaviria;Bamfordvirae;Nucleocytoviricota;Megaviricetes;Pimascovirales;Iridoviridae;Betairidovirinae;Chloriridovirus;Chloriridovirus wiseana1</t>
  </si>
  <si>
    <t>Varidnaviria;Bamfordvirae;Nucleocytoviricota;Megaviricetes;Pimascovirales;Iridoviridae;Betairidovirinae;Daphniairidovirus;Daphniairidovirus tvaerminne</t>
  </si>
  <si>
    <t>Varidnaviria;Bamfordvirae;Nucleocytoviricota;Megaviricetes;Pimascovirales;Iridoviridae;Betairidovirinae;Daphniairidovirus;Daphniairidovirus daphnia1</t>
  </si>
  <si>
    <t>Varidnaviria;Bamfordvirae;Nucleocytoviricota;Megaviricetes;Pimascovirales;Iridoviridae;Betairidovirinae;Decapodiridovirus;Decapod iridescent virus 1</t>
  </si>
  <si>
    <t>Varidnaviria;Bamfordvirae;Nucleocytoviricota;Megaviricetes;Pimascovirales;Iridoviridae;Betairidovirinae;Decapodiridovirus;Decapodiridovirus litopenaeus1</t>
  </si>
  <si>
    <t>Varidnaviria;Bamfordvirae;Nucleocytoviricota;Megaviricetes;Pimascovirales;Iridoviridae;Betairidovirinae;Iridovirus;Invertebrate iridescent virus 31</t>
  </si>
  <si>
    <t>Varidnaviria;Bamfordvirae;Nucleocytoviricota;Megaviricetes;Pimascovirales;Iridoviridae;Betairidovirinae;Iridovirus;Iridovirus armadillidium1</t>
  </si>
  <si>
    <t>Varidnaviria;Bamfordvirae;Nucleocytoviricota;Megaviricetes;Pimascovirales;Iridoviridae;Betairidovirinae;Iridovirus;Invertebrate iridescent virus 6</t>
  </si>
  <si>
    <t>Varidnaviria;Bamfordvirae;Nucleocytoviricota;Megaviricetes;Pimascovirales;Iridoviridae;Betairidovirinae;Iridovirus;Iridovirus chilo1</t>
  </si>
  <si>
    <t>Varidnaviria;Bamfordvirae;Nucleocytoviricota;Megaviricetes;Pimascovirales;Marseilleviridae;Lausannevirus</t>
  </si>
  <si>
    <t>Varidnaviria;Bamfordvirae;Nucleocytoviricota;Megaviricetes;Pimascovirales;Marseilleviridae;Losannavirus;Losannavirus lausannense</t>
  </si>
  <si>
    <t>Varidnaviria;Bamfordvirae;Nucleocytoviricota;Megaviricetes;Pimascovirales;Marseilleviridae;Tunisvirus</t>
  </si>
  <si>
    <t>Varidnaviria;Bamfordvirae;Nucleocytoviricota;Megaviricetes;Pimascovirales;Marseilleviridae;Losannavirus;Losannavirus tunisense</t>
  </si>
  <si>
    <t>Varidnaviria;Bamfordvirae;Nucleocytoviricota;Megaviricetes;Pimascovirales;Marseilleviridae;Marseillevirus;Marseillevirus marseillevirus</t>
  </si>
  <si>
    <t>Varidnaviria;Bamfordvirae;Nucleocytoviricota;Megaviricetes;Pimascovirales;Marseilleviridae;Marseillevirus;Marseillevirus massiliense</t>
  </si>
  <si>
    <t>Varidnaviria;Bamfordvirae;Nucleocytoviricota;Megaviricetes;Pimascovirales;Marseilleviridae;Marseillevirus;Senegalvirus marseillevirus</t>
  </si>
  <si>
    <t>Varidnaviria;Bamfordvirae;Nucleocytoviricota;Megaviricetes;Pimascovirales;Marseilleviridae;Marseillevirus;Marseillevirus senegalense</t>
  </si>
  <si>
    <t>Varidnaviria;Bamfordvirae;Nucleocytoviricota;Pokkesviricetes;Chitovirales;Poxviridae;Chordopoxvirinae;Avipoxvirus;Canarypox virus</t>
  </si>
  <si>
    <t>Varidnaviria;Bamfordvirae;Nucleocytoviricota;Pokkesviricetes;Chitovirales;Poxviridae;Chordopoxvirinae;Avipoxvirus;Avipoxvirus canarypox</t>
  </si>
  <si>
    <t>Varidnaviria;Bamfordvirae;Nucleocytoviricota;Pokkesviricetes;Chitovirales;Poxviridae;Chordopoxvirinae;Avipoxvirus;Flamingopox virus</t>
  </si>
  <si>
    <t>Varidnaviria;Bamfordvirae;Nucleocytoviricota;Pokkesviricetes;Chitovirales;Poxviridae;Chordopoxvirinae;Avipoxvirus;Avipoxvirus flamingopox</t>
  </si>
  <si>
    <t>Varidnaviria;Bamfordvirae;Nucleocytoviricota;Pokkesviricetes;Chitovirales;Poxviridae;Chordopoxvirinae;Avipoxvirus;Fowlpox virus</t>
  </si>
  <si>
    <t>Varidnaviria;Bamfordvirae;Nucleocytoviricota;Pokkesviricetes;Chitovirales;Poxviridae;Chordopoxvirinae;Avipoxvirus;Avipoxvirus fowlpox</t>
  </si>
  <si>
    <t>Varidnaviria;Bamfordvirae;Nucleocytoviricota;Pokkesviricetes;Chitovirales;Poxviridae;Chordopoxvirinae;Avipoxvirus;Penguinpox virus</t>
  </si>
  <si>
    <t>Varidnaviria;Bamfordvirae;Nucleocytoviricota;Pokkesviricetes;Chitovirales;Poxviridae;Chordopoxvirinae;Avipoxvirus;Avipoxvirus penguinpox</t>
  </si>
  <si>
    <t>Varidnaviria;Bamfordvirae;Nucleocytoviricota;Pokkesviricetes;Chitovirales;Poxviridae;Chordopoxvirinae;Avipoxvirus;Pigeonpox virus</t>
  </si>
  <si>
    <t>Varidnaviria;Bamfordvirae;Nucleocytoviricota;Pokkesviricetes;Chitovirales;Poxviridae;Chordopoxvirinae;Avipoxvirus;Avipoxvirus pigeonpox</t>
  </si>
  <si>
    <t>Varidnaviria;Bamfordvirae;Nucleocytoviricota;Pokkesviricetes;Chitovirales;Poxviridae;Chordopoxvirinae;Avipoxvirus;Quailpox virus</t>
  </si>
  <si>
    <t>Varidnaviria;Bamfordvirae;Nucleocytoviricota;Pokkesviricetes;Chitovirales;Poxviridae;Chordopoxvirinae;Avipoxvirus;Avipoxvirus quailpox</t>
  </si>
  <si>
    <t>Varidnaviria;Bamfordvirae;Nucleocytoviricota;Pokkesviricetes;Chitovirales;Poxviridae;Chordopoxvirinae;Avipoxvirus;Turkeypox virus</t>
  </si>
  <si>
    <t>Varidnaviria;Bamfordvirae;Nucleocytoviricota;Pokkesviricetes;Chitovirales;Poxviridae;Chordopoxvirinae;Avipoxvirus;Avipoxvirus turkeypox</t>
  </si>
  <si>
    <t>Varidnaviria;Bamfordvirae;Nucleocytoviricota;Pokkesviricetes;Chitovirales;Poxviridae;Chordopoxvirinae;Capripoxvirus;Goatpox virus</t>
  </si>
  <si>
    <t>Varidnaviria;Bamfordvirae;Nucleocytoviricota;Pokkesviricetes;Chitovirales;Poxviridae;Chordopoxvirinae;Capripoxvirus;Capripoxvirus goatpox</t>
  </si>
  <si>
    <t>Varidnaviria;Bamfordvirae;Nucleocytoviricota;Pokkesviricetes;Chitovirales;Poxviridae;Chordopoxvirinae;Capripoxvirus;Lumpy skin disease virus</t>
  </si>
  <si>
    <t>Varidnaviria;Bamfordvirae;Nucleocytoviricota;Pokkesviricetes;Chitovirales;Poxviridae;Chordopoxvirinae;Capripoxvirus;Capripoxvirus lumpyskinpox</t>
  </si>
  <si>
    <t>Varidnaviria;Bamfordvirae;Nucleocytoviricota;Pokkesviricetes;Chitovirales;Poxviridae;Chordopoxvirinae;Capripoxvirus;Sheeppox virus</t>
  </si>
  <si>
    <t>Varidnaviria;Bamfordvirae;Nucleocytoviricota;Pokkesviricetes;Chitovirales;Poxviridae;Chordopoxvirinae;Capripoxvirus;Capripoxvirus sheeppox</t>
  </si>
  <si>
    <t>Varidnaviria;Bamfordvirae;Nucleocytoviricota;Pokkesviricetes;Chitovirales;Poxviridae;Chordopoxvirinae;Centapoxvirus;Murmansk microtuspox virus</t>
  </si>
  <si>
    <t>Varidnaviria;Bamfordvirae;Nucleocytoviricota;Pokkesviricetes;Chitovirales;Poxviridae;Chordopoxvirinae;Centapoxvirus;Centapoxvirus microtuspox</t>
  </si>
  <si>
    <t>Varidnaviria;Bamfordvirae;Nucleocytoviricota;Pokkesviricetes;Chitovirales;Poxviridae;Chordopoxvirinae;Centapoxvirus;Yokapox virus</t>
  </si>
  <si>
    <t>Varidnaviria;Bamfordvirae;Nucleocytoviricota;Pokkesviricetes;Chitovirales;Poxviridae;Chordopoxvirinae;Centapoxvirus;Centapoxvirus yokapox</t>
  </si>
  <si>
    <t>Varidnaviria;Bamfordvirae;Nucleocytoviricota;Pokkesviricetes;Chitovirales;Poxviridae;Chordopoxvirinae;Cervidpoxvirus;Mule deerpox virus</t>
  </si>
  <si>
    <t>Varidnaviria;Bamfordvirae;Nucleocytoviricota;Pokkesviricetes;Chitovirales;Poxviridae;Chordopoxvirinae;Cervidpoxvirus;Cervidpoxvirus muledeerpox</t>
  </si>
  <si>
    <t>Varidnaviria;Bamfordvirae;Nucleocytoviricota;Pokkesviricetes;Chitovirales;Poxviridae;Chordopoxvirinae;Crocodylidpoxvirus;Nile crocodilepox virus</t>
  </si>
  <si>
    <t>Varidnaviria;Bamfordvirae;Nucleocytoviricota;Pokkesviricetes;Chitovirales;Poxviridae;Chordopoxvirinae;Crocodylidpoxvirus;Crocodylidpoxvirus nilecrocodilepox</t>
  </si>
  <si>
    <t>Varidnaviria;Bamfordvirae;Nucleocytoviricota;Pokkesviricetes;Chitovirales;Poxviridae;Chordopoxvirinae;Leporipoxvirus;Myxoma virus</t>
  </si>
  <si>
    <t>Varidnaviria;Bamfordvirae;Nucleocytoviricota;Pokkesviricetes;Chitovirales;Poxviridae;Chordopoxvirinae;Leporipoxvirus;Leporipoxvirus myxoma</t>
  </si>
  <si>
    <t>Varidnaviria;Bamfordvirae;Nucleocytoviricota;Pokkesviricetes;Chitovirales;Poxviridae;Chordopoxvirinae;Leporipoxvirus;Rabbit fibroma virus</t>
  </si>
  <si>
    <t>Varidnaviria;Bamfordvirae;Nucleocytoviricota;Pokkesviricetes;Chitovirales;Poxviridae;Chordopoxvirinae;Leporipoxvirus;Leporipoxvirus shope</t>
  </si>
  <si>
    <t>Varidnaviria;Bamfordvirae;Nucleocytoviricota;Pokkesviricetes;Chitovirales;Poxviridae;Chordopoxvirinae;Leporipoxvirus;Squirrel fibroma virus</t>
  </si>
  <si>
    <t>Varidnaviria;Bamfordvirae;Nucleocytoviricota;Pokkesviricetes;Chitovirales;Poxviridae;Chordopoxvirinae;Leporipoxvirus;Leporipoxvirus squirrelfibroma</t>
  </si>
  <si>
    <t>Varidnaviria;Bamfordvirae;Nucleocytoviricota;Pokkesviricetes;Chitovirales;Poxviridae;Chordopoxvirinae;Macropopoxvirus;Western kangaroopox virus</t>
  </si>
  <si>
    <t>Varidnaviria;Bamfordvirae;Nucleocytoviricota;Pokkesviricetes;Chitovirales;Poxviridae;Chordopoxvirinae;Macropopoxvirus;Macropopoxvirus mfuliginosuspox</t>
  </si>
  <si>
    <t>Varidnaviria;Bamfordvirae;Nucleocytoviricota;Pokkesviricetes;Chitovirales;Poxviridae;Chordopoxvirinae;Macropopoxvirus;Eastern kangaroopox virus</t>
  </si>
  <si>
    <t>Varidnaviria;Bamfordvirae;Nucleocytoviricota;Pokkesviricetes;Chitovirales;Poxviridae;Chordopoxvirinae;Macropopoxvirus;Macropopoxvirus mgiganteuspox</t>
  </si>
  <si>
    <t>Varidnaviria;Bamfordvirae;Nucleocytoviricota;Pokkesviricetes;Chitovirales;Poxviridae;Chordopoxvirinae;Molluscipoxvirus;Molluscum contagiosum virus</t>
  </si>
  <si>
    <t>Varidnaviria;Bamfordvirae;Nucleocytoviricota;Pokkesviricetes;Chitovirales;Poxviridae;Chordopoxvirinae;Molluscipoxvirus;Molluscipoxvirus molluscum</t>
  </si>
  <si>
    <t>Varidnaviria;Bamfordvirae;Nucleocytoviricota;Pokkesviricetes;Chitovirales;Poxviridae;Chordopoxvirinae;Mustelpoxvirus;Sea otterpox virus</t>
  </si>
  <si>
    <t>Varidnaviria;Bamfordvirae;Nucleocytoviricota;Pokkesviricetes;Chitovirales;Poxviridae;Chordopoxvirinae;Mustelpoxvirus;Mustelpoxvirus seaotterpox</t>
  </si>
  <si>
    <t>Varidnaviria;Bamfordvirae;Nucleocytoviricota;Pokkesviricetes;Chitovirales;Poxviridae;Chordopoxvirinae;Orthopoxvirus;Abatino macacapox virus</t>
  </si>
  <si>
    <t>Varidnaviria;Bamfordvirae;Nucleocytoviricota;Pokkesviricetes;Chitovirales;Poxviridae;Chordopoxvirinae;Orthopoxvirus;Orthopoxvirus abatinomacacapox</t>
  </si>
  <si>
    <t>Varidnaviria;Bamfordvirae;Nucleocytoviricota;Pokkesviricetes;Chitovirales;Poxviridae;Chordopoxvirinae;Orthopoxvirus;Akhmeta virus</t>
  </si>
  <si>
    <t>Varidnaviria;Bamfordvirae;Nucleocytoviricota;Pokkesviricetes;Chitovirales;Poxviridae;Chordopoxvirinae;Orthopoxvirus;Orthopoxvirus akhmetapox</t>
  </si>
  <si>
    <t>Varidnaviria;Bamfordvirae;Nucleocytoviricota;Pokkesviricetes;Chitovirales;Poxviridae;Chordopoxvirinae;Orthopoxvirus;Camelpox virus</t>
  </si>
  <si>
    <t>Varidnaviria;Bamfordvirae;Nucleocytoviricota;Pokkesviricetes;Chitovirales;Poxviridae;Chordopoxvirinae;Orthopoxvirus;Orthopoxvirus camelpox</t>
  </si>
  <si>
    <t>Varidnaviria;Bamfordvirae;Nucleocytoviricota;Pokkesviricetes;Chitovirales;Poxviridae;Chordopoxvirinae;Orthopoxvirus;Cowpox virus</t>
  </si>
  <si>
    <t>Varidnaviria;Bamfordvirae;Nucleocytoviricota;Pokkesviricetes;Chitovirales;Poxviridae;Chordopoxvirinae;Orthopoxvirus;Orthopoxvirus cowpox</t>
  </si>
  <si>
    <t>Varidnaviria;Bamfordvirae;Nucleocytoviricota;Pokkesviricetes;Chitovirales;Poxviridae;Chordopoxvirinae;Orthopoxvirus;Ectromelia virus</t>
  </si>
  <si>
    <t>Varidnaviria;Bamfordvirae;Nucleocytoviricota;Pokkesviricetes;Chitovirales;Poxviridae;Chordopoxvirinae;Orthopoxvirus;Orthopoxvirus ectromelia</t>
  </si>
  <si>
    <t>Varidnaviria;Bamfordvirae;Nucleocytoviricota;Pokkesviricetes;Chitovirales;Poxviridae;Chordopoxvirinae;Orthopoxvirus;Monkeypox virus</t>
  </si>
  <si>
    <t>Varidnaviria;Bamfordvirae;Nucleocytoviricota;Pokkesviricetes;Chitovirales;Poxviridae;Chordopoxvirinae;Orthopoxvirus;Orthopoxvirus monkeypox</t>
  </si>
  <si>
    <t>Varidnaviria;Bamfordvirae;Nucleocytoviricota;Pokkesviricetes;Chitovirales;Poxviridae;Chordopoxvirinae;Orthopoxvirus;Raccoonpox virus</t>
  </si>
  <si>
    <t>Varidnaviria;Bamfordvirae;Nucleocytoviricota;Pokkesviricetes;Chitovirales;Poxviridae;Chordopoxvirinae;Orthopoxvirus;Orthopoxvirus raccoonpox</t>
  </si>
  <si>
    <t>Varidnaviria;Bamfordvirae;Nucleocytoviricota;Pokkesviricetes;Chitovirales;Poxviridae;Chordopoxvirinae;Orthopoxvirus;Skunkpox virus</t>
  </si>
  <si>
    <t>Varidnaviria;Bamfordvirae;Nucleocytoviricota;Pokkesviricetes;Chitovirales;Poxviridae;Chordopoxvirinae;Orthopoxvirus;Orthopoxvirus skunkpox</t>
  </si>
  <si>
    <t>Varidnaviria;Bamfordvirae;Nucleocytoviricota;Pokkesviricetes;Chitovirales;Poxviridae;Chordopoxvirinae;Orthopoxvirus;Taterapox virus</t>
  </si>
  <si>
    <t>Varidnaviria;Bamfordvirae;Nucleocytoviricota;Pokkesviricetes;Chitovirales;Poxviridae;Chordopoxvirinae;Orthopoxvirus;Orthopoxvirus taterapox</t>
  </si>
  <si>
    <t>Varidnaviria;Bamfordvirae;Nucleocytoviricota;Pokkesviricetes;Chitovirales;Poxviridae;Chordopoxvirinae;Orthopoxvirus;Vaccinia virus</t>
  </si>
  <si>
    <t>Varidnaviria;Bamfordvirae;Nucleocytoviricota;Pokkesviricetes;Chitovirales;Poxviridae;Chordopoxvirinae;Orthopoxvirus;Orthopoxvirus vaccinia</t>
  </si>
  <si>
    <t>Varidnaviria;Bamfordvirae;Nucleocytoviricota;Pokkesviricetes;Chitovirales;Poxviridae;Chordopoxvirinae;Orthopoxvirus;Variola virus</t>
  </si>
  <si>
    <t>Varidnaviria;Bamfordvirae;Nucleocytoviricota;Pokkesviricetes;Chitovirales;Poxviridae;Chordopoxvirinae;Orthopoxvirus;Orthopoxvirus variola</t>
  </si>
  <si>
    <t>Varidnaviria;Bamfordvirae;Nucleocytoviricota;Pokkesviricetes;Chitovirales;Poxviridae;Chordopoxvirinae;Orthopoxvirus;Volepox virus</t>
  </si>
  <si>
    <t>Varidnaviria;Bamfordvirae;Nucleocytoviricota;Pokkesviricetes;Chitovirales;Poxviridae;Chordopoxvirinae;Orthopoxvirus;Orthopoxvirus volepox</t>
  </si>
  <si>
    <t>Varidnaviria;Bamfordvirae;Nucleocytoviricota;Pokkesviricetes;Chitovirales;Poxviridae;Chordopoxvirinae;Oryzopoxvirus;Cotia virus</t>
  </si>
  <si>
    <t>Varidnaviria;Bamfordvirae;Nucleocytoviricota;Pokkesviricetes;Chitovirales;Poxviridae;Chordopoxvirinae;Oryzopoxvirus;Oryzopoxvirus cotia</t>
  </si>
  <si>
    <t>Varidnaviria;Bamfordvirae;Nucleocytoviricota;Pokkesviricetes;Chitovirales;Poxviridae;Chordopoxvirinae;Parapoxvirus;Bovine papular stomatitis virus</t>
  </si>
  <si>
    <t>Varidnaviria;Bamfordvirae;Nucleocytoviricota;Pokkesviricetes;Chitovirales;Poxviridae;Chordopoxvirinae;Parapoxvirus;Parapoxvirus bovinestomatitis</t>
  </si>
  <si>
    <t>Varidnaviria;Bamfordvirae;Nucleocytoviricota;Pokkesviricetes;Chitovirales;Poxviridae;Chordopoxvirinae;Parapoxvirus;Orf virus</t>
  </si>
  <si>
    <t>Varidnaviria;Bamfordvirae;Nucleocytoviricota;Pokkesviricetes;Chitovirales;Poxviridae;Chordopoxvirinae;Parapoxvirus;Parapoxvirus orf</t>
  </si>
  <si>
    <t>Varidnaviria;Bamfordvirae;Nucleocytoviricota;Pokkesviricetes;Chitovirales;Poxviridae;Chordopoxvirinae;Parapoxvirus;Pseudocowpox virus</t>
  </si>
  <si>
    <t>Varidnaviria;Bamfordvirae;Nucleocytoviricota;Pokkesviricetes;Chitovirales;Poxviridae;Chordopoxvirinae;Parapoxvirus;Parapoxvirus pseudocowpox</t>
  </si>
  <si>
    <t>Varidnaviria;Bamfordvirae;Nucleocytoviricota;Pokkesviricetes;Chitovirales;Poxviridae;Chordopoxvirinae;Parapoxvirus;Red deerpox virus</t>
  </si>
  <si>
    <t>Varidnaviria;Bamfordvirae;Nucleocytoviricota;Pokkesviricetes;Chitovirales;Poxviridae;Chordopoxvirinae;Parapoxvirus;Parapoxvirus reddeerpox</t>
  </si>
  <si>
    <t>Varidnaviria;Bamfordvirae;Nucleocytoviricota;Pokkesviricetes;Chitovirales;Poxviridae;Chordopoxvirinae;Parapoxvirus;Grey sealpox virus</t>
  </si>
  <si>
    <t>Varidnaviria;Bamfordvirae;Nucleocytoviricota;Pokkesviricetes;Chitovirales;Poxviridae;Chordopoxvirinae;Parapoxvirus;Parapoxvirus sealpox</t>
  </si>
  <si>
    <t>Varidnaviria;Bamfordvirae;Nucleocytoviricota;Pokkesviricetes;Chitovirales;Poxviridae;Chordopoxvirinae;Pteropopoxvirus;Pteropox virus</t>
  </si>
  <si>
    <t>Varidnaviria;Bamfordvirae;Nucleocytoviricota;Pokkesviricetes;Chitovirales;Poxviridae;Chordopoxvirinae;Pteropopoxvirus;Pteropopoxvirus pteropox</t>
  </si>
  <si>
    <t>Varidnaviria;Bamfordvirae;Nucleocytoviricota;Pokkesviricetes;Chitovirales;Poxviridae;Chordopoxvirinae;Salmonpoxvirus;Salmon gillpox virus</t>
  </si>
  <si>
    <t>Varidnaviria;Bamfordvirae;Nucleocytoviricota;Pokkesviricetes;Chitovirales;Poxviridae;Chordopoxvirinae;Salmonpoxvirus;Salmonpoxvirus gillpox</t>
  </si>
  <si>
    <t>Varidnaviria;Bamfordvirae;Nucleocytoviricota;Pokkesviricetes;Chitovirales;Poxviridae;Chordopoxvirinae;Sciuripoxvirus;Squirrelpox virus</t>
  </si>
  <si>
    <t>Varidnaviria;Bamfordvirae;Nucleocytoviricota;Pokkesviricetes;Chitovirales;Poxviridae;Chordopoxvirinae;Sciuripoxvirus;Sciuripoxvirus squirrelpox</t>
  </si>
  <si>
    <t>Varidnaviria;Bamfordvirae;Nucleocytoviricota;Pokkesviricetes;Chitovirales;Poxviridae;Chordopoxvirinae;Suipoxvirus;Swinepox virus</t>
  </si>
  <si>
    <t>Varidnaviria;Bamfordvirae;Nucleocytoviricota;Pokkesviricetes;Chitovirales;Poxviridae;Chordopoxvirinae;Suipoxvirus;Suipoxvirus swinepox</t>
  </si>
  <si>
    <t>Varidnaviria;Bamfordvirae;Nucleocytoviricota;Pokkesviricetes;Chitovirales;Poxviridae;Chordopoxvirinae;Vespertilionpoxvirus;Eptesipox virus</t>
  </si>
  <si>
    <t>Varidnaviria;Bamfordvirae;Nucleocytoviricota;Pokkesviricetes;Chitovirales;Poxviridae;Chordopoxvirinae;Vespertilionpoxvirus;Vespertilionpoxvirus eptesipox</t>
  </si>
  <si>
    <t>Varidnaviria;Bamfordvirae;Nucleocytoviricota;Pokkesviricetes;Chitovirales;Poxviridae;Chordopoxvirinae;Yatapoxvirus;Tanapox virus</t>
  </si>
  <si>
    <t>Varidnaviria;Bamfordvirae;Nucleocytoviricota;Pokkesviricetes;Chitovirales;Poxviridae;Chordopoxvirinae;Yatapoxvirus;Yatapoxvirus tanapox</t>
  </si>
  <si>
    <t>Varidnaviria;Bamfordvirae;Nucleocytoviricota;Pokkesviricetes;Chitovirales;Poxviridae;Chordopoxvirinae;Yatapoxvirus;Yaba monkey tumor virus</t>
  </si>
  <si>
    <t>Varidnaviria;Bamfordvirae;Nucleocytoviricota;Pokkesviricetes;Chitovirales;Poxviridae;Chordopoxvirinae;Yatapoxvirus;Yatapoxvirus yabapox</t>
  </si>
  <si>
    <t>Varidnaviria;Bamfordvirae;Nucleocytoviricota;Pokkesviricetes;Chitovirales;Poxviridae;Entomopoxvirinae;Alphaentomopoxvirus;Anomala cuprea entomopoxvirus</t>
  </si>
  <si>
    <t>Varidnaviria;Bamfordvirae;Nucleocytoviricota;Pokkesviricetes;Chitovirales;Poxviridae;Entomopoxvirinae;Alphaentomopoxvirus;Alphaentomopoxvirus acuprea</t>
  </si>
  <si>
    <t>Varidnaviria;Bamfordvirae;Nucleocytoviricota;Pokkesviricetes;Chitovirales;Poxviridae;Entomopoxvirinae;Alphaentomopoxvirus;Melolontha melolontha entomopoxvirus</t>
  </si>
  <si>
    <t>Varidnaviria;Bamfordvirae;Nucleocytoviricota;Pokkesviricetes;Chitovirales;Poxviridae;Entomopoxvirinae;Alphaentomopoxvirus;Alphaentomopoxvirus mmelolontha</t>
  </si>
  <si>
    <t>Varidnaviria;Bamfordvirae;Nucleocytoviricota;Pokkesviricetes;Chitovirales;Poxviridae;Entomopoxvirinae;Betaentomopoxvirus;Adoxophyes honmai entomopoxvirus</t>
  </si>
  <si>
    <t>Varidnaviria;Bamfordvirae;Nucleocytoviricota;Pokkesviricetes;Chitovirales;Poxviridae;Entomopoxvirinae;Betaentomopoxvirus;Betaentomopoxvirus ahonmai</t>
  </si>
  <si>
    <t>Varidnaviria;Bamfordvirae;Nucleocytoviricota;Pokkesviricetes;Chitovirales;Poxviridae;Entomopoxvirinae;Betaentomopoxvirus;Amsacta moorei entomopoxvirus</t>
  </si>
  <si>
    <t>Varidnaviria;Bamfordvirae;Nucleocytoviricota;Pokkesviricetes;Chitovirales;Poxviridae;Entomopoxvirinae;Betaentomopoxvirus;Betaentomopoxvirus amoorei</t>
  </si>
  <si>
    <t>Varidnaviria;Bamfordvirae;Nucleocytoviricota;Pokkesviricetes;Chitovirales;Poxviridae;Entomopoxvirinae;Betaentomopoxvirus;Choristoneura biennis entomopoxvirus</t>
  </si>
  <si>
    <t>Varidnaviria;Bamfordvirae;Nucleocytoviricota;Pokkesviricetes;Chitovirales;Poxviridae;Entomopoxvirinae;Betaentomopoxvirus;Betaentomopoxvirus cbiennis</t>
  </si>
  <si>
    <t>Varidnaviria;Bamfordvirae;Nucleocytoviricota;Pokkesviricetes;Chitovirales;Poxviridae;Entomopoxvirinae;Betaentomopoxvirus;Choristoneura fumiferana entomopoxvirus</t>
  </si>
  <si>
    <t>Varidnaviria;Bamfordvirae;Nucleocytoviricota;Pokkesviricetes;Chitovirales;Poxviridae;Entomopoxvirinae;Betaentomopoxvirus;Betaentomopoxvirus cfumiferana</t>
  </si>
  <si>
    <t>Varidnaviria;Bamfordvirae;Nucleocytoviricota;Pokkesviricetes;Chitovirales;Poxviridae;Entomopoxvirinae;Betaentomopoxvirus;Choristoneura rosaceana entomopoxvirus</t>
  </si>
  <si>
    <t>Varidnaviria;Bamfordvirae;Nucleocytoviricota;Pokkesviricetes;Chitovirales;Poxviridae;Entomopoxvirinae;Betaentomopoxvirus;Betaentomopoxvirus crosaceana</t>
  </si>
  <si>
    <t>Varidnaviria;Bamfordvirae;Nucleocytoviricota;Pokkesviricetes;Chitovirales;Poxviridae;Entomopoxvirinae;Betaentomopoxvirus;Mythimna separata entomopoxvirus</t>
  </si>
  <si>
    <t>Varidnaviria;Bamfordvirae;Nucleocytoviricota;Pokkesviricetes;Chitovirales;Poxviridae;Entomopoxvirinae;Betaentomopoxvirus;Betaentomopoxvirus mseparata</t>
  </si>
  <si>
    <t>Varidnaviria;Bamfordvirae;Nucleocytoviricota;Pokkesviricetes;Chitovirales;Poxviridae;Entomopoxvirinae;Deltaentomopoxvirus;Melanoplus sanguinipes entomopoxvirus</t>
  </si>
  <si>
    <t>Varidnaviria;Bamfordvirae;Nucleocytoviricota;Pokkesviricetes;Chitovirales;Poxviridae;Entomopoxvirinae;Deltaentomopoxvirus;Deltaentomopoxvirus msanguinipes</t>
  </si>
  <si>
    <t>Varidnaviria;Bamfordvirae;Nucleocytoviricota;Pokkesviricetes;Chitovirales;Poxviridae;Entomopoxvirinae;Diachasmimorpha entomopoxvirus</t>
  </si>
  <si>
    <t>Varidnaviria;Bamfordvirae;Nucleocytoviricota;Pokkesviricetes;Chitovirales;Poxviridae;Entomopoxvirinae;Epsilonentomopoxvirus;Epsilonentomopoxvirus dlongicaudata</t>
  </si>
  <si>
    <t>Varidnaviria;Bamfordvirae;Preplasmiviricota;Maveriviricetes;Priklausovirales;Lavidaviridae</t>
  </si>
  <si>
    <t>Varidnaviria;Bamfordvirae;Preplasmiviricota;Maveriviricetes;Lavidavirales</t>
  </si>
  <si>
    <t>Varidnaviria;Bamfordvirae;Preplasmiviricota;Maveriviricetes;Priklausovirales;Lavidaviridae;Mavirus;Cafeteriavirus-dependent mavirus</t>
  </si>
  <si>
    <t>Varidnaviria;Bamfordvirae;Preplasmiviricota;Maveriviricetes;Lavidavirales;Maviroviridae;Mavirus;Mavirus cafeteriae</t>
  </si>
  <si>
    <t>Varidnaviria;Bamfordvirae;Preplasmiviricota;Maveriviricetes;Priklausovirales;Lavidaviridae;Sputnikvirus;Mimivirus-dependent virus Sputnik</t>
  </si>
  <si>
    <t>Varidnaviria;Bamfordvirae;Preplasmiviricota;Maveriviricetes;Mividavirales;Sputniviroviridae;Sputnikvirus;Sputnikvirus mimiviri</t>
  </si>
  <si>
    <t>Varidnaviria;Bamfordvirae;Preplasmiviricota;Maveriviricetes;Priklausovirales;Lavidaviridae;Sputnikvirus;Mimivirus-dependent virus Zamilon</t>
  </si>
  <si>
    <t>Varidnaviria;Bamfordvirae;Preplasmiviricota;Maveriviricetes;Mividavirales;Sputniviroviridae;Sputnikvirus;Sputnikvirus zamilonense</t>
  </si>
  <si>
    <t>Varidnaviria;Bamfordvirae;Preplasmiviricota;Tectiliviricetes;Belfryvirales;Turriviridae;Alphaturrivirus;Sulfolobus turreted icosahedral virus 2</t>
  </si>
  <si>
    <t>Varidnaviria;Bamfordvirae;Preplasmiviricota;Tectiliviricetes;Belfryvirales;Turriviridae;Alphaturrivirus;Alphaturrivirus hveragerdiense</t>
  </si>
  <si>
    <t>Varidnaviria;Bamfordvirae;Preplasmiviricota;Tectiliviricetes;Belfryvirales;Turriviridae;Alphaturrivirus;Sulfolobus turreted icosahedral virus 1</t>
  </si>
  <si>
    <t>Varidnaviria;Bamfordvirae;Preplasmiviricota;Tectiliviricetes;Belfryvirales;Turriviridae;Alphaturrivirus;Alphaturrivirus yellowstonense</t>
  </si>
  <si>
    <t>Varidnaviria;Bamfordvirae;Preplasmiviricota;Tectiliviricetes;Rowavirales;Adenoviridae;Aviadenovirus;Duck aviadenovirus B</t>
  </si>
  <si>
    <t>Varidnaviria;Bamfordvirae;Preplasmiviricota;Tectiliviricetes;Rowavirales;Adenoviridae;Aviadenovirus;Aviadenovirus anatis</t>
  </si>
  <si>
    <t>Varidnaviria;Bamfordvirae;Preplasmiviricota;Tectiliviricetes;Rowavirales;Adenoviridae;Aviadenovirus;Goose aviadenovirus A</t>
  </si>
  <si>
    <t>Varidnaviria;Bamfordvirae;Preplasmiviricota;Tectiliviricetes;Rowavirales;Adenoviridae;Aviadenovirus;Aviadenovirus anseris</t>
  </si>
  <si>
    <t>Varidnaviria;Bamfordvirae;Preplasmiviricota;Tectiliviricetes;Rowavirales;Adenoviridae;Aviadenovirus;Pigeon aviadenovirus A</t>
  </si>
  <si>
    <t>Varidnaviria;Bamfordvirae;Preplasmiviricota;Tectiliviricetes;Rowavirales;Adenoviridae;Aviadenovirus;Aviadenovirus columbae</t>
  </si>
  <si>
    <t>Varidnaviria;Bamfordvirae;Preplasmiviricota;Tectiliviricetes;Rowavirales;Adenoviridae;Aviadenovirus;Pigeon aviadenovirus B</t>
  </si>
  <si>
    <t>Varidnaviria;Bamfordvirae;Preplasmiviricota;Tectiliviricetes;Rowavirales;Adenoviridae;Aviadenovirus;Aviadenovirus columbidae</t>
  </si>
  <si>
    <t>Varidnaviria;Bamfordvirae;Preplasmiviricota;Tectiliviricetes;Rowavirales;Adenoviridae;Aviadenovirus;Falcon aviadenovirus A</t>
  </si>
  <si>
    <t>Varidnaviria;Bamfordvirae;Preplasmiviricota;Tectiliviricetes;Rowavirales;Adenoviridae;Aviadenovirus;Aviadenovirus falconis</t>
  </si>
  <si>
    <t>Varidnaviria;Bamfordvirae;Preplasmiviricota;Tectiliviricetes;Rowavirales;Adenoviridae;Aviadenovirus;Fowl aviadenovirus D</t>
  </si>
  <si>
    <t>Varidnaviria;Bamfordvirae;Preplasmiviricota;Tectiliviricetes;Rowavirales;Adenoviridae;Aviadenovirus;Aviadenovirus gallinae</t>
  </si>
  <si>
    <t>Varidnaviria;Bamfordvirae;Preplasmiviricota;Tectiliviricetes;Rowavirales;Adenoviridae;Aviadenovirus;Turkey aviadenovirus B</t>
  </si>
  <si>
    <t>Varidnaviria;Bamfordvirae;Preplasmiviricota;Tectiliviricetes;Rowavirales;Adenoviridae;Aviadenovirus;Aviadenovirus gallopavoprimum</t>
  </si>
  <si>
    <t>Varidnaviria;Bamfordvirae;Preplasmiviricota;Tectiliviricetes;Rowavirales;Adenoviridae;Aviadenovirus;Turkey aviadenovirus C</t>
  </si>
  <si>
    <t>Varidnaviria;Bamfordvirae;Preplasmiviricota;Tectiliviricetes;Rowavirales;Adenoviridae;Aviadenovirus;Aviadenovirus gallopavoquartum</t>
  </si>
  <si>
    <t>Varidnaviria;Bamfordvirae;Preplasmiviricota;Tectiliviricetes;Rowavirales;Adenoviridae;Aviadenovirus;Turkey aviadenovirus D</t>
  </si>
  <si>
    <t>Varidnaviria;Bamfordvirae;Preplasmiviricota;Tectiliviricetes;Rowavirales;Adenoviridae;Aviadenovirus;Aviadenovirus gallopavoquintum</t>
  </si>
  <si>
    <t>Varidnaviria;Bamfordvirae;Preplasmiviricota;Tectiliviricetes;Rowavirales;Adenoviridae;Aviadenovirus;Fowl aviadenovirus E</t>
  </si>
  <si>
    <t>Varidnaviria;Bamfordvirae;Preplasmiviricota;Tectiliviricetes;Rowavirales;Adenoviridae;Aviadenovirus;Aviadenovirus hepatitidis</t>
  </si>
  <si>
    <t>Varidnaviria;Bamfordvirae;Preplasmiviricota;Tectiliviricetes;Rowavirales;Adenoviridae;Aviadenovirus;Fowl aviadenovirus C</t>
  </si>
  <si>
    <t>Varidnaviria;Bamfordvirae;Preplasmiviricota;Tectiliviricetes;Rowavirales;Adenoviridae;Aviadenovirus;Aviadenovirus hydropericardii</t>
  </si>
  <si>
    <t>Varidnaviria;Bamfordvirae;Preplasmiviricota;Tectiliviricetes;Rowavirales;Adenoviridae;Aviadenovirus;Fowl aviadenovirus B</t>
  </si>
  <si>
    <t>Varidnaviria;Bamfordvirae;Preplasmiviricota;Tectiliviricetes;Rowavirales;Adenoviridae;Aviadenovirus;Aviadenovirus quintum</t>
  </si>
  <si>
    <t>Varidnaviria;Bamfordvirae;Preplasmiviricota;Tectiliviricetes;Rowavirales;Adenoviridae;Aviadenovirus;Psittacine aviadenovirus B</t>
  </si>
  <si>
    <t>Varidnaviria;Bamfordvirae;Preplasmiviricota;Tectiliviricetes;Rowavirales;Adenoviridae;Aviadenovirus;Aviadenovirus rubri</t>
  </si>
  <si>
    <t>Varidnaviria;Bamfordvirae;Preplasmiviricota;Tectiliviricetes;Rowavirales;Adenoviridae;Aviadenovirus;Psittacine aviadenovirus C</t>
  </si>
  <si>
    <t>Varidnaviria;Bamfordvirae;Preplasmiviricota;Tectiliviricetes;Rowavirales;Adenoviridae;Aviadenovirus;Aviadenovirus senegalense</t>
  </si>
  <si>
    <t>Varidnaviria;Bamfordvirae;Preplasmiviricota;Tectiliviricetes;Rowavirales;Adenoviridae;Aviadenovirus;Fowl aviadenovirus A</t>
  </si>
  <si>
    <t>Varidnaviria;Bamfordvirae;Preplasmiviricota;Tectiliviricetes;Rowavirales;Adenoviridae;Aviadenovirus;Aviadenovirus ventriculi</t>
  </si>
  <si>
    <t>Varidnaviria;Bamfordvirae;Preplasmiviricota;Tectiliviricetes;Rowavirales;Adenoviridae;Atadenovirus</t>
  </si>
  <si>
    <t>Varidnaviria;Bamfordvirae;Preplasmiviricota;Tectiliviricetes;Rowavirales;Adenoviridae;Barthadenovirus</t>
  </si>
  <si>
    <t>Varidnaviria;Bamfordvirae;Preplasmiviricota;Tectiliviricetes;Rowavirales;Adenoviridae;Atadenovirus;Psittacine atadenovirus A</t>
  </si>
  <si>
    <t>Varidnaviria;Bamfordvirae;Preplasmiviricota;Tectiliviricetes;Rowavirales;Adenoviridae;Barthadenovirus;Barthadenovirus amazonae</t>
  </si>
  <si>
    <t>Varidnaviria;Bamfordvirae;Preplasmiviricota;Tectiliviricetes;Rowavirales;Adenoviridae;Atadenovirus;Bovine atadenovirus D</t>
  </si>
  <si>
    <t>Varidnaviria;Bamfordvirae;Preplasmiviricota;Tectiliviricetes;Rowavirales;Adenoviridae;Barthadenovirus;Barthadenovirus bosquartum</t>
  </si>
  <si>
    <t>Varidnaviria;Bamfordvirae;Preplasmiviricota;Tectiliviricetes;Rowavirales;Adenoviridae;Atadenovirus;Bovine atadenovirus E</t>
  </si>
  <si>
    <t>Varidnaviria;Bamfordvirae;Preplasmiviricota;Tectiliviricetes;Rowavirales;Adenoviridae;Barthadenovirus;Barthadenovirus bossextum</t>
  </si>
  <si>
    <t>Varidnaviria;Bamfordvirae;Preplasmiviricota;Tectiliviricetes;Rowavirales;Adenoviridae;Atadenovirus;Deer atadenovirus A</t>
  </si>
  <si>
    <t>Varidnaviria;Bamfordvirae;Preplasmiviricota;Tectiliviricetes;Rowavirales;Adenoviridae;Barthadenovirus;Barthadenovirus cervi</t>
  </si>
  <si>
    <t>Varidnaviria;Bamfordvirae;Preplasmiviricota;Tectiliviricetes;Rowavirales;Adenoviridae;Atadenovirus;Lizard atadenovirus B</t>
  </si>
  <si>
    <t>Varidnaviria;Bamfordvirae;Preplasmiviricota;Tectiliviricetes;Rowavirales;Adenoviridae;Barthadenovirus;Barthadenovirus draconis</t>
  </si>
  <si>
    <t>Varidnaviria;Bamfordvirae;Preplasmiviricota;Tectiliviricetes;Rowavirales;Adenoviridae;Atadenovirus;Duck atadenovirus A</t>
  </si>
  <si>
    <t>Varidnaviria;Bamfordvirae;Preplasmiviricota;Tectiliviricetes;Rowavirales;Adenoviridae;Barthadenovirus;Barthadenovirus galloanserae</t>
  </si>
  <si>
    <t>Varidnaviria;Bamfordvirae;Preplasmiviricota;Tectiliviricetes;Rowavirales;Adenoviridae;Atadenovirus;Lizard atadenovirus A</t>
  </si>
  <si>
    <t>Varidnaviria;Bamfordvirae;Preplasmiviricota;Tectiliviricetes;Rowavirales;Adenoviridae;Barthadenovirus;Barthadenovirus lacertae</t>
  </si>
  <si>
    <t>Varidnaviria;Bamfordvirae;Preplasmiviricota;Tectiliviricetes;Rowavirales;Adenoviridae;Atadenovirus;Ovine atadenovirus D</t>
  </si>
  <si>
    <t>Varidnaviria;Bamfordvirae;Preplasmiviricota;Tectiliviricetes;Rowavirales;Adenoviridae;Barthadenovirus;Barthadenovirus ovis</t>
  </si>
  <si>
    <t>Varidnaviria;Bamfordvirae;Preplasmiviricota;Tectiliviricetes;Rowavirales;Adenoviridae;Atadenovirus;Snake atadenovirus A</t>
  </si>
  <si>
    <t>Varidnaviria;Bamfordvirae;Preplasmiviricota;Tectiliviricetes;Rowavirales;Adenoviridae;Barthadenovirus;Barthadenovirus serpentis</t>
  </si>
  <si>
    <t>Varidnaviria;Bamfordvirae;Preplasmiviricota;Tectiliviricetes;Rowavirales;Adenoviridae;Atadenovirus;Possum atadenovirus A</t>
  </si>
  <si>
    <t>Varidnaviria;Bamfordvirae;Preplasmiviricota;Tectiliviricetes;Rowavirales;Adenoviridae;Barthadenovirus;Barthadenovirus vulpeculae</t>
  </si>
  <si>
    <t>Varidnaviria;Bamfordvirae;Preplasmiviricota;Tectiliviricetes;Rowavirales;Adenoviridae;Ichtadenovirus;Sturgeon ichtadenovirus A</t>
  </si>
  <si>
    <t>Varidnaviria;Bamfordvirae;Preplasmiviricota;Tectiliviricetes;Rowavirales;Adenoviridae;Ichtadenovirus;Ichtadenovirus acipenseris</t>
  </si>
  <si>
    <t>Varidnaviria;Bamfordvirae;Preplasmiviricota;Tectiliviricetes;Rowavirales;Adenoviridae;Mastadenovirus;Human mastadenovirus A</t>
  </si>
  <si>
    <t>Varidnaviria;Bamfordvirae;Preplasmiviricota;Tectiliviricetes;Rowavirales;Adenoviridae;Mastadenovirus;Mastadenovirus adami</t>
  </si>
  <si>
    <t>Varidnaviria;Bamfordvirae;Preplasmiviricota;Tectiliviricetes;Rowavirales;Adenoviridae;Mastadenovirus;Bat mastadenovirus I</t>
  </si>
  <si>
    <t>Varidnaviria;Bamfordvirae;Preplasmiviricota;Tectiliviricetes;Rowavirales;Adenoviridae;Mastadenovirus;Mastadenovirus aegyptiaci</t>
  </si>
  <si>
    <t>Varidnaviria;Bamfordvirae;Preplasmiviricota;Tectiliviricetes;Rowavirales;Adenoviridae;Mastadenovirus;Simian mastadenovirus E</t>
  </si>
  <si>
    <t>Varidnaviria;Bamfordvirae;Preplasmiviricota;Tectiliviricetes;Rowavirales;Adenoviridae;Mastadenovirus;Mastadenovirus alienum</t>
  </si>
  <si>
    <t>Varidnaviria;Bamfordvirae;Preplasmiviricota;Tectiliviricetes;Rowavirales;Adenoviridae;Mastadenovirus;Bat mastadenovirus J</t>
  </si>
  <si>
    <t>Varidnaviria;Bamfordvirae;Preplasmiviricota;Tectiliviricetes;Rowavirales;Adenoviridae;Mastadenovirus;Mastadenovirus asiensse</t>
  </si>
  <si>
    <t>Varidnaviria;Bamfordvirae;Preplasmiviricota;Tectiliviricetes;Rowavirales;Adenoviridae;Mastadenovirus;Human mastadenovirus B</t>
  </si>
  <si>
    <t>Varidnaviria;Bamfordvirae;Preplasmiviricota;Tectiliviricetes;Rowavirales;Adenoviridae;Mastadenovirus;Mastadenovirus blackbeardi</t>
  </si>
  <si>
    <t>Varidnaviria;Bamfordvirae;Preplasmiviricota;Tectiliviricetes;Rowavirales;Adenoviridae;Mastadenovirus;Bovine mastadenovirus C</t>
  </si>
  <si>
    <t>Varidnaviria;Bamfordvirae;Preplasmiviricota;Tectiliviricetes;Rowavirales;Adenoviridae;Mastadenovirus;Mastadenovirus bosdecimum</t>
  </si>
  <si>
    <t>Varidnaviria;Bamfordvirae;Preplasmiviricota;Tectiliviricetes;Rowavirales;Adenoviridae;Mastadenovirus;Bovine mastadenovirus A</t>
  </si>
  <si>
    <t>Varidnaviria;Bamfordvirae;Preplasmiviricota;Tectiliviricetes;Rowavirales;Adenoviridae;Mastadenovirus;Mastadenovirus bosprimum</t>
  </si>
  <si>
    <t>Varidnaviria;Bamfordvirae;Preplasmiviricota;Tectiliviricetes;Rowavirales;Adenoviridae;Mastadenovirus;Bovine mastadenovirus B</t>
  </si>
  <si>
    <t>Varidnaviria;Bamfordvirae;Preplasmiviricota;Tectiliviricetes;Rowavirales;Adenoviridae;Mastadenovirus;Mastadenovirus bostertium</t>
  </si>
  <si>
    <t>Varidnaviria;Bamfordvirae;Preplasmiviricota;Tectiliviricetes;Rowavirales;Adenoviridae;Mastadenovirus;Ovine mastadenovirus A</t>
  </si>
  <si>
    <t>Varidnaviria;Bamfordvirae;Preplasmiviricota;Tectiliviricetes;Rowavirales;Adenoviridae;Mastadenovirus;Mastadenovirus bovidae</t>
  </si>
  <si>
    <t>Varidnaviria;Bamfordvirae;Preplasmiviricota;Tectiliviricetes;Rowavirales;Adenoviridae;Mastadenovirus;Human mastadenovirus C</t>
  </si>
  <si>
    <t>Varidnaviria;Bamfordvirae;Preplasmiviricota;Tectiliviricetes;Rowavirales;Adenoviridae;Mastadenovirus;Mastadenovirus caesari</t>
  </si>
  <si>
    <t>Varidnaviria;Bamfordvirae;Preplasmiviricota;Tectiliviricetes;Rowavirales;Adenoviridae;Mastadenovirus;Canine mastadenovirus A</t>
  </si>
  <si>
    <t>Varidnaviria;Bamfordvirae;Preplasmiviricota;Tectiliviricetes;Rowavirales;Adenoviridae;Mastadenovirus;Mastadenovirus canidae</t>
  </si>
  <si>
    <t>Varidnaviria;Bamfordvirae;Preplasmiviricota;Tectiliviricetes;Rowavirales;Adenoviridae;Mastadenovirus;Guinea pig mastadenovirus A</t>
  </si>
  <si>
    <t>Varidnaviria;Bamfordvirae;Preplasmiviricota;Tectiliviricetes;Rowavirales;Adenoviridae;Mastadenovirus;Mastadenovirus caviae</t>
  </si>
  <si>
    <t>Varidnaviria;Bamfordvirae;Preplasmiviricota;Tectiliviricetes;Rowavirales;Adenoviridae;Mastadenovirus;Deer mastadenovirus B</t>
  </si>
  <si>
    <t>Varidnaviria;Bamfordvirae;Preplasmiviricota;Tectiliviricetes;Rowavirales;Adenoviridae;Mastadenovirus;Mastadenovirus cervi</t>
  </si>
  <si>
    <t>Varidnaviria;Bamfordvirae;Preplasmiviricota;Tectiliviricetes;Rowavirales;Adenoviridae;Mastadenovirus;Simian mastadenovirus F</t>
  </si>
  <si>
    <t>Varidnaviria;Bamfordvirae;Preplasmiviricota;Tectiliviricetes;Rowavirales;Adenoviridae;Mastadenovirus;Mastadenovirus chlorocebi</t>
  </si>
  <si>
    <t>Varidnaviria;Bamfordvirae;Preplasmiviricota;Tectiliviricetes;Rowavirales;Adenoviridae;Mastadenovirus;Murine mastadenovirus C</t>
  </si>
  <si>
    <t>Varidnaviria;Bamfordvirae;Preplasmiviricota;Tectiliviricetes;Rowavirales;Adenoviridae;Mastadenovirus;Mastadenovirus cordis</t>
  </si>
  <si>
    <t>Varidnaviria;Bamfordvirae;Preplasmiviricota;Tectiliviricetes;Rowavirales;Adenoviridae;Mastadenovirus;Simian mastadenovirus C</t>
  </si>
  <si>
    <t>Varidnaviria;Bamfordvirae;Preplasmiviricota;Tectiliviricetes;Rowavirales;Adenoviridae;Mastadenovirus;Mastadenovirus cynocephali</t>
  </si>
  <si>
    <t>Varidnaviria;Bamfordvirae;Preplasmiviricota;Tectiliviricetes;Rowavirales;Adenoviridae;Mastadenovirus;Dolphin mastadenovirus B</t>
  </si>
  <si>
    <t>Varidnaviria;Bamfordvirae;Preplasmiviricota;Tectiliviricetes;Rowavirales;Adenoviridae;Mastadenovirus;Mastadenovirus delphini</t>
  </si>
  <si>
    <t>Varidnaviria;Bamfordvirae;Preplasmiviricota;Tectiliviricetes;Rowavirales;Adenoviridae;Mastadenovirus;Dolphin mastadenovirus A</t>
  </si>
  <si>
    <t>Varidnaviria;Bamfordvirae;Preplasmiviricota;Tectiliviricetes;Rowavirales;Adenoviridae;Mastadenovirus;Mastadenovirus delphinidae</t>
  </si>
  <si>
    <t>Varidnaviria;Bamfordvirae;Preplasmiviricota;Tectiliviricetes;Rowavirales;Adenoviridae;Mastadenovirus;Human mastadenovirus D</t>
  </si>
  <si>
    <t>Varidnaviria;Bamfordvirae;Preplasmiviricota;Tectiliviricetes;Rowavirales;Adenoviridae;Mastadenovirus;Mastadenovirus dominans</t>
  </si>
  <si>
    <t>Varidnaviria;Bamfordvirae;Preplasmiviricota;Tectiliviricetes;Rowavirales;Adenoviridae;Mastadenovirus;Bat mastadenovirus H</t>
  </si>
  <si>
    <t>Varidnaviria;Bamfordvirae;Preplasmiviricota;Tectiliviricetes;Rowavirales;Adenoviridae;Mastadenovirus;Mastadenovirus eidoli</t>
  </si>
  <si>
    <t>Varidnaviria;Bamfordvirae;Preplasmiviricota;Tectiliviricetes;Rowavirales;Adenoviridae;Mastadenovirus;Murine mastadenovirus A</t>
  </si>
  <si>
    <t>Varidnaviria;Bamfordvirae;Preplasmiviricota;Tectiliviricetes;Rowavirales;Adenoviridae;Mastadenovirus;Mastadenovirus encephalomyelitidis</t>
  </si>
  <si>
    <t>Varidnaviria;Bamfordvirae;Preplasmiviricota;Tectiliviricetes;Rowavirales;Adenoviridae;Mastadenovirus;Equine mastadenovirus A</t>
  </si>
  <si>
    <t>Varidnaviria;Bamfordvirae;Preplasmiviricota;Tectiliviricetes;Rowavirales;Adenoviridae;Mastadenovirus;Mastadenovirus equi</t>
  </si>
  <si>
    <t>Varidnaviria;Bamfordvirae;Preplasmiviricota;Tectiliviricetes;Rowavirales;Adenoviridae;Mastadenovirus;Equine mastadenovirus B</t>
  </si>
  <si>
    <t>Varidnaviria;Bamfordvirae;Preplasmiviricota;Tectiliviricetes;Rowavirales;Adenoviridae;Mastadenovirus;Mastadenovirus equidae</t>
  </si>
  <si>
    <t>Varidnaviria;Bamfordvirae;Preplasmiviricota;Tectiliviricetes;Rowavirales;Adenoviridae;Mastadenovirus;Human mastadenovirus E</t>
  </si>
  <si>
    <t>Varidnaviria;Bamfordvirae;Preplasmiviricota;Tectiliviricetes;Rowavirales;Adenoviridae;Mastadenovirus;Mastadenovirus exoticum</t>
  </si>
  <si>
    <t>Varidnaviria;Bamfordvirae;Preplasmiviricota;Tectiliviricetes;Rowavirales;Adenoviridae;Mastadenovirus;Human mastadenovirus F</t>
  </si>
  <si>
    <t>Varidnaviria;Bamfordvirae;Preplasmiviricota;Tectiliviricetes;Rowavirales;Adenoviridae;Mastadenovirus;Mastadenovirus faecale</t>
  </si>
  <si>
    <t>Varidnaviria;Bamfordvirae;Preplasmiviricota;Tectiliviricetes;Rowavirales;Adenoviridae;Mastadenovirus;Simian mastadenovirus I</t>
  </si>
  <si>
    <t>Varidnaviria;Bamfordvirae;Preplasmiviricota;Tectiliviricetes;Rowavirales;Adenoviridae;Mastadenovirus;Mastadenovirus flavi</t>
  </si>
  <si>
    <t>Varidnaviria;Bamfordvirae;Preplasmiviricota;Tectiliviricetes;Rowavirales;Adenoviridae;Mastadenovirus;Bat mastadenovirus E</t>
  </si>
  <si>
    <t>Varidnaviria;Bamfordvirae;Preplasmiviricota;Tectiliviricetes;Rowavirales;Adenoviridae;Mastadenovirus;Mastadenovirus humile</t>
  </si>
  <si>
    <t>Varidnaviria;Bamfordvirae;Preplasmiviricota;Tectiliviricetes;Rowavirales;Adenoviridae;Mastadenovirus;Simian mastadenovirus B</t>
  </si>
  <si>
    <t>Varidnaviria;Bamfordvirae;Preplasmiviricota;Tectiliviricetes;Rowavirales;Adenoviridae;Mastadenovirus;Mastadenovirus longumcaudae</t>
  </si>
  <si>
    <t>Varidnaviria;Bamfordvirae;Preplasmiviricota;Tectiliviricetes;Rowavirales;Adenoviridae;Mastadenovirus;Simian mastadenovirus D</t>
  </si>
  <si>
    <t>Varidnaviria;Bamfordvirae;Preplasmiviricota;Tectiliviricetes;Rowavirales;Adenoviridae;Mastadenovirus;Mastadenovirus macacae</t>
  </si>
  <si>
    <t>Varidnaviria;Bamfordvirae;Preplasmiviricota;Tectiliviricetes;Rowavirales;Adenoviridae;Mastadenovirus;Bat mastadenovirus G</t>
  </si>
  <si>
    <t>Varidnaviria;Bamfordvirae;Preplasmiviricota;Tectiliviricetes;Rowavirales;Adenoviridae;Mastadenovirus;Mastadenovirus magnauris</t>
  </si>
  <si>
    <t>Varidnaviria;Bamfordvirae;Preplasmiviricota;Tectiliviricetes;Rowavirales;Adenoviridae;Mastadenovirus;Bat mastadenovirus D</t>
  </si>
  <si>
    <t>Varidnaviria;Bamfordvirae;Preplasmiviricota;Tectiliviricetes;Rowavirales;Adenoviridae;Mastadenovirus;Mastadenovirus miniopteridae</t>
  </si>
  <si>
    <t>Varidnaviria;Bamfordvirae;Preplasmiviricota;Tectiliviricetes;Rowavirales;Adenoviridae;Mastadenovirus;Murine mastadenovirus B</t>
  </si>
  <si>
    <t>Varidnaviria;Bamfordvirae;Preplasmiviricota;Tectiliviricetes;Rowavirales;Adenoviridae;Mastadenovirus;Mastadenovirus muris</t>
  </si>
  <si>
    <t>Varidnaviria;Bamfordvirae;Preplasmiviricota;Tectiliviricetes;Rowavirales;Adenoviridae;Mastadenovirus;Bat mastadenovirus A</t>
  </si>
  <si>
    <t>Varidnaviria;Bamfordvirae;Preplasmiviricota;Tectiliviricetes;Rowavirales;Adenoviridae;Mastadenovirus;Mastadenovirus musauriti</t>
  </si>
  <si>
    <t>Varidnaviria;Bamfordvirae;Preplasmiviricota;Tectiliviricetes;Rowavirales;Adenoviridae;Mastadenovirus;Sea lion mastadenovirus A</t>
  </si>
  <si>
    <t>Varidnaviria;Bamfordvirae;Preplasmiviricota;Tectiliviricetes;Rowavirales;Adenoviridae;Mastadenovirus;Mastadenovirus otariidae</t>
  </si>
  <si>
    <t>Varidnaviria;Bamfordvirae;Preplasmiviricota;Tectiliviricetes;Rowavirales;Adenoviridae;Mastadenovirus;Ovine mastadenovirus C</t>
  </si>
  <si>
    <t>Varidnaviria;Bamfordvirae;Preplasmiviricota;Tectiliviricetes;Rowavirales;Adenoviridae;Mastadenovirus;Mastadenovirus ovisoctavum</t>
  </si>
  <si>
    <t>Varidnaviria;Bamfordvirae;Preplasmiviricota;Tectiliviricetes;Rowavirales;Adenoviridae;Mastadenovirus;Ovine mastadenovirus B</t>
  </si>
  <si>
    <t>Varidnaviria;Bamfordvirae;Preplasmiviricota;Tectiliviricetes;Rowavirales;Adenoviridae;Mastadenovirus;Mastadenovirus ovisprimum</t>
  </si>
  <si>
    <t>Varidnaviria;Bamfordvirae;Preplasmiviricota;Tectiliviricetes;Rowavirales;Adenoviridae;Mastadenovirus;Bat mastadenovirus B</t>
  </si>
  <si>
    <t>Varidnaviria;Bamfordvirae;Preplasmiviricota;Tectiliviricetes;Rowavirales;Adenoviridae;Mastadenovirus;Mastadenovirus pipistrelli</t>
  </si>
  <si>
    <t>Varidnaviria;Bamfordvirae;Preplasmiviricota;Tectiliviricetes;Rowavirales;Adenoviridae;Mastadenovirus;Porcine mastadenovirus B</t>
  </si>
  <si>
    <t>Varidnaviria;Bamfordvirae;Preplasmiviricota;Tectiliviricetes;Rowavirales;Adenoviridae;Mastadenovirus;Mastadenovirus porcusquartum</t>
  </si>
  <si>
    <t>Varidnaviria;Bamfordvirae;Preplasmiviricota;Tectiliviricetes;Rowavirales;Adenoviridae;Mastadenovirus;Porcine mastadenovirus C</t>
  </si>
  <si>
    <t>Varidnaviria;Bamfordvirae;Preplasmiviricota;Tectiliviricetes;Rowavirales;Adenoviridae;Mastadenovirus;Mastadenovirus porcusquintum</t>
  </si>
  <si>
    <t>Varidnaviria;Bamfordvirae;Preplasmiviricota;Tectiliviricetes;Rowavirales;Adenoviridae;Mastadenovirus;Porcine mastadenovirus A</t>
  </si>
  <si>
    <t>Varidnaviria;Bamfordvirae;Preplasmiviricota;Tectiliviricetes;Rowavirales;Adenoviridae;Mastadenovirus;Mastadenovirus porcustertium</t>
  </si>
  <si>
    <t>Varidnaviria;Bamfordvirae;Preplasmiviricota;Tectiliviricetes;Rowavirales;Adenoviridae;Mastadenovirus;Bat mastadenovirus F</t>
  </si>
  <si>
    <t>Varidnaviria;Bamfordvirae;Preplasmiviricota;Tectiliviricetes;Rowavirales;Adenoviridae;Mastadenovirus;Mastadenovirus pteropodidae</t>
  </si>
  <si>
    <t>Varidnaviria;Bamfordvirae;Preplasmiviricota;Tectiliviricetes;Rowavirales;Adenoviridae;Mastadenovirus;Simian mastadenovirus H</t>
  </si>
  <si>
    <t>Varidnaviria;Bamfordvirae;Preplasmiviricota;Tectiliviricetes;Rowavirales;Adenoviridae;Mastadenovirus;Mastadenovirus rhesi</t>
  </si>
  <si>
    <t>Varidnaviria;Bamfordvirae;Preplasmiviricota;Tectiliviricetes;Rowavirales;Adenoviridae;Mastadenovirus;Bat mastadenovirus C</t>
  </si>
  <si>
    <t>Varidnaviria;Bamfordvirae;Preplasmiviricota;Tectiliviricetes;Rowavirales;Adenoviridae;Mastadenovirus;Mastadenovirus rhinolopidae</t>
  </si>
  <si>
    <t>Varidnaviria;Bamfordvirae;Preplasmiviricota;Tectiliviricetes;Rowavirales;Adenoviridae;Mastadenovirus;Human mastadenovirus G</t>
  </si>
  <si>
    <t>Varidnaviria;Bamfordvirae;Preplasmiviricota;Tectiliviricetes;Rowavirales;Adenoviridae;Mastadenovirus;Mastadenovirus russelli</t>
  </si>
  <si>
    <t>Varidnaviria;Bamfordvirae;Preplasmiviricota;Tectiliviricetes;Rowavirales;Adenoviridae;Mastadenovirus;Squirrel mastadenovirus A</t>
  </si>
  <si>
    <t>Varidnaviria;Bamfordvirae;Preplasmiviricota;Tectiliviricetes;Rowavirales;Adenoviridae;Mastadenovirus;Mastadenovirus sciuri</t>
  </si>
  <si>
    <t>Varidnaviria;Bamfordvirae;Preplasmiviricota;Tectiliviricetes;Rowavirales;Adenoviridae;Mastadenovirus;Simian mastadenovirus A</t>
  </si>
  <si>
    <t>Varidnaviria;Bamfordvirae;Preplasmiviricota;Tectiliviricetes;Rowavirales;Adenoviridae;Mastadenovirus;Mastadenovirus simiae</t>
  </si>
  <si>
    <t>Varidnaviria;Bamfordvirae;Preplasmiviricota;Tectiliviricetes;Rowavirales;Adenoviridae;Mastadenovirus;Simian mastadenovirus G</t>
  </si>
  <si>
    <t>Varidnaviria;Bamfordvirae;Preplasmiviricota;Tectiliviricetes;Rowavirales;Adenoviridae;Mastadenovirus;Mastadenovirus simiavigesimum</t>
  </si>
  <si>
    <t>Varidnaviria;Bamfordvirae;Preplasmiviricota;Tectiliviricetes;Rowavirales;Adenoviridae;Mastadenovirus;Platyrrhini mastadenovirus A</t>
  </si>
  <si>
    <t>Varidnaviria;Bamfordvirae;Preplasmiviricota;Tectiliviricetes;Rowavirales;Adenoviridae;Mastadenovirus;Mastadenovirus simuli</t>
  </si>
  <si>
    <t>Varidnaviria;Bamfordvirae;Preplasmiviricota;Tectiliviricetes;Rowavirales;Adenoviridae;Mastadenovirus;Skunk mastadenovirus A</t>
  </si>
  <si>
    <t>Varidnaviria;Bamfordvirae;Preplasmiviricota;Tectiliviricetes;Rowavirales;Adenoviridae;Mastadenovirus;Mastadenovirus trianonense</t>
  </si>
  <si>
    <t>Varidnaviria;Bamfordvirae;Preplasmiviricota;Tectiliviricetes;Rowavirales;Adenoviridae;Mastadenovirus;Tree shrew mastadenovirus A</t>
  </si>
  <si>
    <t>Varidnaviria;Bamfordvirae;Preplasmiviricota;Tectiliviricetes;Rowavirales;Adenoviridae;Mastadenovirus;Mastadenovirus tupaiae</t>
  </si>
  <si>
    <t>Varidnaviria;Bamfordvirae;Preplasmiviricota;Tectiliviricetes;Rowavirales;Adenoviridae;Mastadenovirus;Polar bear mastadenovirus A</t>
  </si>
  <si>
    <t>Varidnaviria;Bamfordvirae;Preplasmiviricota;Tectiliviricetes;Rowavirales;Adenoviridae;Mastadenovirus;Mastadenovirus ursi</t>
  </si>
  <si>
    <t>Varidnaviria;Bamfordvirae;Preplasmiviricota;Tectiliviricetes;Rowavirales;Adenoviridae;Siadenovirus;Turkey siadenovirus A</t>
  </si>
  <si>
    <t>Varidnaviria;Bamfordvirae;Preplasmiviricota;Tectiliviricetes;Rowavirales;Adenoviridae;Siadenovirus;Siadenovirus gallopavotertii</t>
  </si>
  <si>
    <t>Varidnaviria;Bamfordvirae;Preplasmiviricota;Tectiliviricetes;Rowavirales;Adenoviridae;Siadenovirus;Great tit siadenovirus A</t>
  </si>
  <si>
    <t>Varidnaviria;Bamfordvirae;Preplasmiviricota;Tectiliviricetes;Rowavirales;Adenoviridae;Siadenovirus;Siadenovirus paridae</t>
  </si>
  <si>
    <t>Varidnaviria;Bamfordvirae;Preplasmiviricota;Tectiliviricetes;Rowavirales;Adenoviridae;Siadenovirus;Frog siadenovirus A</t>
  </si>
  <si>
    <t>Varidnaviria;Bamfordvirae;Preplasmiviricota;Tectiliviricetes;Rowavirales;Adenoviridae;Siadenovirus;Siadenovirus ranae</t>
  </si>
  <si>
    <t>Varidnaviria;Bamfordvirae;Preplasmiviricota;Tectiliviricetes;Rowavirales;Adenoviridae;Siadenovirus;Raptor siadenovirus A</t>
  </si>
  <si>
    <t>Varidnaviria;Bamfordvirae;Preplasmiviricota;Tectiliviricetes;Rowavirales;Adenoviridae;Siadenovirus;Siadenovirus raptoris</t>
  </si>
  <si>
    <t>Varidnaviria;Bamfordvirae;Preplasmiviricota;Tectiliviricetes;Rowavirales;Adenoviridae;Siadenovirus;Psittacine siadenovirus E</t>
  </si>
  <si>
    <t>Varidnaviria;Bamfordvirae;Preplasmiviricota;Tectiliviricetes;Rowavirales;Adenoviridae;Siadenovirus;Siadenovirus sanguineae</t>
  </si>
  <si>
    <t>Varidnaviria;Bamfordvirae;Preplasmiviricota;Tectiliviricetes;Rowavirales;Adenoviridae;Siadenovirus;Penguin siadenovirus A</t>
  </si>
  <si>
    <t>Varidnaviria;Bamfordvirae;Preplasmiviricota;Tectiliviricetes;Rowavirales;Adenoviridae;Siadenovirus;Siadenovirus spheniscidae</t>
  </si>
  <si>
    <t>Varidnaviria;Bamfordvirae;Preplasmiviricota;Tectiliviricetes;Rowavirales;Adenoviridae;Siadenovirus;Skua siadenovirus A</t>
  </si>
  <si>
    <t>Varidnaviria;Bamfordvirae;Preplasmiviricota;Tectiliviricetes;Rowavirales;Adenoviridae;Siadenovirus;Siadenovirus stercorariidae</t>
  </si>
  <si>
    <t>Varidnaviria;Bamfordvirae;Preplasmiviricota;Tectiliviricetes;Rowavirales;Adenoviridae;Siadenovirus;Psittacine siadenovirus D</t>
  </si>
  <si>
    <t>Varidnaviria;Bamfordvirae;Preplasmiviricota;Tectiliviricetes;Rowavirales;Adenoviridae;Siadenovirus;Siadenovirus viridis</t>
  </si>
  <si>
    <t>Varidnaviria;Bamfordvirae;Preplasmiviricota;Tectiliviricetes;Rowavirales;Adenoviridae;Testadenovirus;Pond slider testadenovirus A</t>
  </si>
  <si>
    <t>Varidnaviria;Bamfordvirae;Preplasmiviricota;Tectiliviricetes;Rowavirales;Adenoviridae;Testadenovirus;Testadenovirus trachemysis</t>
  </si>
  <si>
    <t>Varidnaviria;Helvetiavirae;Dividoviricota;Laserviricetes;Halopanivirales;Matshushitaviridae</t>
  </si>
  <si>
    <t>Varidnaviria;Helvetiavirae;Dividoviricota;Laserviricetes;Halopanivirales;Matsushitaviridae</t>
  </si>
  <si>
    <t>Varidnaviria;Helvetiavirae;Dividoviricota;Laserviricetes;Halopanivirales;Simuloviridae;Yingchengvirus;Yingchengvirus NVIV1</t>
  </si>
  <si>
    <t>Varidnaviria;Helvetiavirae;Dividoviricota;Laserviricetes;Halopanivirales;Simuloviridae;Yingchengvirus;Yingchengvirus boliviaense</t>
  </si>
  <si>
    <t>Varidnaviria;Helvetiavirae;Dividoviricota;Laserviricetes;Halopanivirales;Simuloviridae;Yingchengvirus;Yingchengvirus HJIV1</t>
  </si>
  <si>
    <t>Varidnaviria;Helvetiavirae;Dividoviricota;Laserviricetes;Halopanivirales;Simuloviridae;Yingchengvirus;Yingchengvirus koreaense</t>
  </si>
  <si>
    <t>Varidnaviria;Helvetiavirae;Dividoviricota;Laserviricetes;Halopanivirales;Simuloviridae;Yingchengvirus;Yingchengvirus SNJ1</t>
  </si>
  <si>
    <t>Varidnaviria;Helvetiavirae;Dividoviricota;Laserviricetes;Halopanivirales;Simuloviridae;Yingchengvirus;Yingchengvirus sinense</t>
  </si>
  <si>
    <t>Varidnaviria;Helvetiavirae;Dividoviricota;Laserviricetes;Halopanivirales;Sphaerolipoviridae;Alphasphaerolipovirus;Alphasphaerolipovirus HHIV2</t>
  </si>
  <si>
    <t>Varidnaviria;Helvetiavirae;Dividoviricota;Laserviricetes;Halopanivirales;Sphaerolipoviridae;Alphasphaerolipovirus;Alphasphaerolipovirus helsinkii</t>
  </si>
  <si>
    <t>Varidnaviria;Helvetiavirae;Dividoviricota;Laserviricetes;Halopanivirales;Sphaerolipoviridae;Alphasphaerolipovirus;Alphasphaerolipovirus PH1</t>
  </si>
  <si>
    <t>Varidnaviria;Helvetiavirae;Dividoviricota;Laserviricetes;Halopanivirales;Sphaerolipoviridae;Alphasphaerolipovirus;Alphasphaerolipovirus pinkense</t>
  </si>
  <si>
    <t>Varidnaviria;Helvetiavirae;Dividoviricota;Laserviricetes;Halopanivirales;Sphaerolipoviridae;Alphasphaerolipovirus;Alphasphaerolipovirus SH1</t>
  </si>
  <si>
    <t>Varidnaviria;Helvetiavirae;Dividoviricota;Laserviricetes;Halopanivirales;Sphaerolipoviridae;Alphasphaerolipovirus;Alphasphaerolipovirus serpentinense</t>
  </si>
  <si>
    <t>Varidnaviria;Helvetiavirae;Dividoviricota;Laserviricetes;Halopanivirales;Sphaerolipoviridae;Alphasphaerolipovirus;Alphasphaerolipovirus HCIV1</t>
  </si>
  <si>
    <t>Varidnaviria;Helvetiavirae;Dividoviricota;Laserviricetes;Halopanivirales;Sphaerolipoviridae;Alphasphaerolipovirus;Alphasphaerolipovirus viikkii</t>
  </si>
  <si>
    <t>Alphasatellitidae;Geminialphasatellitinae;Ageyesisatellite;Ageratum yellow vein Singapore alphasatellite</t>
  </si>
  <si>
    <t>Alphasatellitidae;Geminialphasatellitinae;Ageyesisatellite;Ageyesisatellite agerasingaporense</t>
  </si>
  <si>
    <t>Alphasatellitidae;Geminialphasatellitinae;Ageyesisatellite;Cotton leaf curl Saudi Arabia alphasatellite</t>
  </si>
  <si>
    <t>Alphasatellitidae;Geminialphasatellitinae;Ageyesisatellite;Ageyesisatellite gossypiarabiaense</t>
  </si>
  <si>
    <t>Alphasatellitidae;Geminialphasatellitinae;Clecrusatellite;Ash gourd yellow vein mosaic alphasatellite</t>
  </si>
  <si>
    <t>Alphasatellitidae;Geminialphasatellitinae;Clecrusatellite;Clecrusatellite benincasae</t>
  </si>
  <si>
    <t>Alphasatellitidae;Geminialphasatellitinae;Clecrusatellite;Capsicum India alphasatellite</t>
  </si>
  <si>
    <t>Alphasatellitidae;Geminialphasatellitinae;Clecrusatellite;Clecrusatellite capsici</t>
  </si>
  <si>
    <t>Alphasatellitidae;Geminialphasatellitinae;Clecrusatellite;Chiapas weed alphasatellite</t>
  </si>
  <si>
    <t>Alphasatellitidae;Geminialphasatellitinae;Clecrusatellite;Clecrusatellite chiapasense</t>
  </si>
  <si>
    <t>Alphasatellitidae;Geminialphasatellitinae;Clecrusatellite;Cleome leaf crumple alphasatellite</t>
  </si>
  <si>
    <t>Alphasatellitidae;Geminialphasatellitinae;Clecrusatellite;Clecrusatellite cleomis</t>
  </si>
  <si>
    <t>Alphasatellitidae;Geminialphasatellitinae;Clecrusatellite;Croton yellow vein mosaic alphasatellite</t>
  </si>
  <si>
    <t>Alphasatellitidae;Geminialphasatellitinae;Clecrusatellite;Clecrusatellite crotonis</t>
  </si>
  <si>
    <t>Alphasatellitidae;Geminialphasatellitinae;Clecrusatellite;Melon chlorotic mosaic alphasatellite</t>
  </si>
  <si>
    <t>Alphasatellitidae;Geminialphasatellitinae;Clecrusatellite;Clecrusatellite cucumeris</t>
  </si>
  <si>
    <t>Alphasatellitidae;Geminialphasatellitinae;Clecrusatellite;Euphorbia yellow mosaic alphasatellite</t>
  </si>
  <si>
    <t>Alphasatellitidae;Geminialphasatellitinae;Clecrusatellite;Clecrusatellite euphorbiae</t>
  </si>
  <si>
    <t>Alphasatellitidae;Geminialphasatellitinae;Clecrusatellite;Whitefly associated Guatemala alphasatellite 2</t>
  </si>
  <si>
    <t>Alphasatellitidae;Geminialphasatellitinae;Clecrusatellite;Clecrusatellite guatemalaense</t>
  </si>
  <si>
    <t>Alphasatellitidae;Geminialphasatellitinae;Clecrusatellite;Whitefly associated Puerto Rico alphasatellite 1</t>
  </si>
  <si>
    <t>Alphasatellitidae;Geminialphasatellitinae;Clecrusatellite;Clecrusatellite puertoricoense</t>
  </si>
  <si>
    <t>Alphasatellitidae;Geminialphasatellitinae;Clecrusatellite;Sida Cuba alphasatellite</t>
  </si>
  <si>
    <t>Alphasatellitidae;Geminialphasatellitinae;Clecrusatellite;Clecrusatellite sidacubaense</t>
  </si>
  <si>
    <t>Alphasatellitidae;Geminialphasatellitinae;Clecrusatellite;Tomato leaf curl Anand alphasatellite</t>
  </si>
  <si>
    <t>Alphasatellitidae;Geminialphasatellitinae;Clecrusatellite;Clecrusatellite solanumanandense</t>
  </si>
  <si>
    <t>Alphasatellitidae;Geminialphasatellitinae;Clecrusatellite;Tomato leaf curl New Delhi alphasatellite</t>
  </si>
  <si>
    <t>Alphasatellitidae;Geminialphasatellitinae;Clecrusatellite;Clecrusatellite solanumdelhiense</t>
  </si>
  <si>
    <t>Alphasatellitidae;Geminialphasatellitinae;Clecrusatellite;Tomato yellow spot alphasatellite 2</t>
  </si>
  <si>
    <t>Alphasatellitidae;Geminialphasatellitinae;Clecrusatellite;Clecrusatellite solanumflavusamaculasecundi</t>
  </si>
  <si>
    <t>Alphasatellitidae;Geminialphasatellitinae;Clecrusatellite;Tomato yellow spot alphasatellite</t>
  </si>
  <si>
    <t>Alphasatellitidae;Geminialphasatellitinae;Clecrusatellite;Clecrusatellite solanumflavusmaculaprimi</t>
  </si>
  <si>
    <t>Alphasatellitidae;Geminialphasatellitinae;Clecrusatellite;Tomato leaf curl Virudhunagar alphasatellite</t>
  </si>
  <si>
    <t>Alphasatellitidae;Geminialphasatellitinae;Clecrusatellite;Clecrusatellite solanumvirudhunagarense</t>
  </si>
  <si>
    <t>Alphasatellitidae;Geminialphasatellitinae;Colecusatellite;Bhendi yellow vein alphasatellite</t>
  </si>
  <si>
    <t>Alphasatellitidae;Geminialphasatellitinae;Colecusatellite;Colecusatellite abelmoschusvenae</t>
  </si>
  <si>
    <t>Alphasatellitidae;Geminialphasatellitinae;Colecusatellite;Ageratum enation alphasatellite</t>
  </si>
  <si>
    <t>Alphasatellitidae;Geminialphasatellitinae;Colecusatellite;Colecusatellite agerati</t>
  </si>
  <si>
    <t>Alphasatellitidae;Geminialphasatellitinae;Colecusatellite;Ageratum yellow vein China alphasatellite</t>
  </si>
  <si>
    <t>Alphasatellitidae;Geminialphasatellitinae;Colecusatellite;Colecusatellite ageravenachinaense</t>
  </si>
  <si>
    <t>Alphasatellitidae;Geminialphasatellitinae;Colecusatellite;Ageratum yellow vein alphasatellite</t>
  </si>
  <si>
    <t>Alphasatellitidae;Geminialphasatellitinae;Colecusatellite;Colecusatellite ageravenae</t>
  </si>
  <si>
    <t>Alphasatellitidae;Geminialphasatellitinae;Colecusatellite;Ageratum yellow vein India alphasatellite</t>
  </si>
  <si>
    <t>Alphasatellitidae;Geminialphasatellitinae;Colecusatellite;Colecusatellite ageravenaindiaense</t>
  </si>
  <si>
    <t>Alphasatellitidae;Geminialphasatellitinae;Colecusatellite;Chilli leaf curl alphasatellite</t>
  </si>
  <si>
    <t>Alphasatellitidae;Geminialphasatellitinae;Colecusatellite;Colecusatellite capsici</t>
  </si>
  <si>
    <t>Alphasatellitidae;Geminialphasatellitinae;Colecusatellite;Cotton leaf curl Egypt alphasatellite</t>
  </si>
  <si>
    <t>Alphasatellitidae;Geminialphasatellitinae;Colecusatellite;Colecusatellite gossypiaegyptense</t>
  </si>
  <si>
    <t>Alphasatellitidae;Geminialphasatellitinae;Colecusatellite;Cotton leaf curl Gezira alphasatellite</t>
  </si>
  <si>
    <t>Alphasatellitidae;Geminialphasatellitinae;Colecusatellite;Colecusatellite gossypigeziraense</t>
  </si>
  <si>
    <t>Alphasatellitidae;Geminialphasatellitinae;Colecusatellite;Cotton leaf curl Lucknow alphasatellite</t>
  </si>
  <si>
    <t>Alphasatellitidae;Geminialphasatellitinae;Colecusatellite;Colecusatellite gossypilucknowense</t>
  </si>
  <si>
    <t>Alphasatellitidae;Geminialphasatellitinae;Colecusatellite;Cotton leaf curl Multan alphasatellite</t>
  </si>
  <si>
    <t>Alphasatellitidae;Geminialphasatellitinae;Colecusatellite;Colecusatellite gossypimultanense</t>
  </si>
  <si>
    <t>Alphasatellitidae;Geminialphasatellitinae;Colecusatellite;Gossypium darwinii symptomless alphasatellite</t>
  </si>
  <si>
    <t>Alphasatellitidae;Geminialphasatellitinae;Colecusatellite;Colecusatellite gossypiumdarwinii</t>
  </si>
  <si>
    <t>Alphasatellitidae;Geminialphasatellitinae;Colecusatellite;Sunflower leaf curl Karnataka alphasatellite</t>
  </si>
  <si>
    <t>Alphasatellitidae;Geminialphasatellitinae;Colecusatellite;Colecusatellite helianthuskarnatakaense</t>
  </si>
  <si>
    <t>Alphasatellitidae;Geminialphasatellitinae;Colecusatellite;Malvastrum yellow mosaic alphasatellite</t>
  </si>
  <si>
    <t>Alphasatellitidae;Geminialphasatellitinae;Colecusatellite;Colecusatellite malvastri</t>
  </si>
  <si>
    <t>Alphasatellitidae;Geminialphasatellitinae;Colecusatellite;Malvastrum yellow mosaic Cameroon alphasatellite</t>
  </si>
  <si>
    <t>Alphasatellitidae;Geminialphasatellitinae;Colecusatellite;Colecusatellite malvastrumcameroonense</t>
  </si>
  <si>
    <t>Alphasatellitidae;Geminialphasatellitinae;Colecusatellite;Cassava mosaic Madagascar alphasatellite</t>
  </si>
  <si>
    <t>Alphasatellitidae;Geminialphasatellitinae;Colecusatellite;Colecusatellite manihotismadagascarense</t>
  </si>
  <si>
    <t>Alphasatellitidae;Geminialphasatellitinae;Colecusatellite;Tobacco curly shoot alphasatellite</t>
  </si>
  <si>
    <t>Alphasatellitidae;Geminialphasatellitinae;Colecusatellite;Colecusatellite nicotianae</t>
  </si>
  <si>
    <t>Alphasatellitidae;Geminialphasatellitinae;Colecusatellite;Pedilanthus leaf curl alphasatellite</t>
  </si>
  <si>
    <t>Alphasatellitidae;Geminialphasatellitinae;Colecusatellite;Colecusatellite pedilanthi</t>
  </si>
  <si>
    <t>Alphasatellitidae;Geminialphasatellitinae;Colecusatellite;Sida leaf curl alphasatellite</t>
  </si>
  <si>
    <t>Alphasatellitidae;Geminialphasatellitinae;Colecusatellite;Colecusatellite sidaprimi</t>
  </si>
  <si>
    <t>Alphasatellitidae;Geminialphasatellitinae;Colecusatellite;Sida leaf curl alphasatellite 2</t>
  </si>
  <si>
    <t>Alphasatellitidae;Geminialphasatellitinae;Colecusatellite;Colecusatellite sidasecundi</t>
  </si>
  <si>
    <t>Alphasatellitidae;Geminialphasatellitinae;Colecusatellite;Sida yellow vein Vietnam alphasatellite</t>
  </si>
  <si>
    <t>Alphasatellitidae;Geminialphasatellitinae;Colecusatellite;Colecusatellite sidavietnamense</t>
  </si>
  <si>
    <t>Alphasatellitidae;Geminialphasatellitinae;Colecusatellite;Tomato leaf curl Buea alphasatellite</t>
  </si>
  <si>
    <t>Alphasatellitidae;Geminialphasatellitinae;Colecusatellite;Colecusatellite solanumbueaense</t>
  </si>
  <si>
    <t>Alphasatellitidae;Geminialphasatellitinae;Colecusatellite;Tomato leaf curl Cameroon alphasatellite</t>
  </si>
  <si>
    <t>Alphasatellitidae;Geminialphasatellitinae;Colecusatellite;Colecusatellite solanumcameroonense</t>
  </si>
  <si>
    <t>Alphasatellitidae;Geminialphasatellitinae;Colecusatellite;Tomato yellow leaf curl China alphasatellite</t>
  </si>
  <si>
    <t>Alphasatellitidae;Geminialphasatellitinae;Colecusatellite;Colecusatellite solanumflavuschinaense</t>
  </si>
  <si>
    <t>Alphasatellitidae;Geminialphasatellitinae;Colecusatellite;Tomato yellow leaf curl Thailand alphasatellite</t>
  </si>
  <si>
    <t>Alphasatellitidae;Geminialphasatellitinae;Colecusatellite;Colecusatellite solanumflavusthailandense</t>
  </si>
  <si>
    <t>Alphasatellitidae;Geminialphasatellitinae;Colecusatellite;Tomato yellow leaf curl Yunnan alphasatellite</t>
  </si>
  <si>
    <t>Alphasatellitidae;Geminialphasatellitinae;Colecusatellite;Colecusatellite solanumflavusyunnanense</t>
  </si>
  <si>
    <t>Alphasatellitidae;Geminialphasatellitinae;Colecusatellite;Tomato leaf curl Pakistan alphasatellite</t>
  </si>
  <si>
    <t>Alphasatellitidae;Geminialphasatellitinae;Colecusatellite;Colecusatellite solanumpakistanense</t>
  </si>
  <si>
    <t>Alphasatellitidae;Geminialphasatellitinae;Colecusatellite;Synedrella leaf curl alphasatellite</t>
  </si>
  <si>
    <t>Alphasatellitidae;Geminialphasatellitinae;Colecusatellite;Colecusatellite synedrellae</t>
  </si>
  <si>
    <t>Alphasatellitidae;Geminialphasatellitinae;Draflysatellite;Dragonfly associated alphasatellite</t>
  </si>
  <si>
    <t>Alphasatellitidae;Geminialphasatellitinae;Draflysatellite;Draflysatellite libellulae</t>
  </si>
  <si>
    <t>Alphasatellitidae;Geminialphasatellitinae;Gosmusatellite;Okra enation leaf curl alphasatellite</t>
  </si>
  <si>
    <t>Alphasatellitidae;Geminialphasatellitinae;Gosmusatellite;Gosmusatellite abelmoschi</t>
  </si>
  <si>
    <t>Alphasatellitidae;Geminialphasatellitinae;Gosmusatellite;Okra yellow crinkle Cameroon alphasatellite</t>
  </si>
  <si>
    <t>Alphasatellitidae;Geminialphasatellitinae;Gosmusatellite;Gosmusatellite abelmoschuscameroonense</t>
  </si>
  <si>
    <t>Alphasatellitidae;Geminialphasatellitinae;Gosmusatellite;Hollyhock yellow vein alphasatellite</t>
  </si>
  <si>
    <t>Alphasatellitidae;Geminialphasatellitinae;Gosmusatellite;Gosmusatellite alceae</t>
  </si>
  <si>
    <t>Alphasatellitidae;Geminialphasatellitinae;Gosmusatellite;Eclipta yellow vein alphasatellite</t>
  </si>
  <si>
    <t>Alphasatellitidae;Geminialphasatellitinae;Gosmusatellite;Gosmusatellite ecliptae</t>
  </si>
  <si>
    <t>Alphasatellitidae;Geminialphasatellitinae;Gosmusatellite;Cotton leaf curl Cameroon alphasatellite</t>
  </si>
  <si>
    <t>Alphasatellitidae;Geminialphasatellitinae;Gosmusatellite;Gosmusatellite gossypicameroonense</t>
  </si>
  <si>
    <t>Alphasatellitidae;Geminialphasatellitinae;Gosmusatellite;Gossypium mustelinum symptomless alphasatellite</t>
  </si>
  <si>
    <t>Alphasatellitidae;Geminialphasatellitinae;Gosmusatellite;Gosmusatellite gossypiummustelini</t>
  </si>
  <si>
    <t>Alphasatellitidae;Geminialphasatellitinae;Gosmusatellite;Mesta yellow vein mosaic alphasatellite</t>
  </si>
  <si>
    <t>Alphasatellitidae;Geminialphasatellitinae;Gosmusatellite;Gosmusatellite mestae</t>
  </si>
  <si>
    <t>Alphasatellitidae;Geminialphasatellitinae;Gosmusatellite;Vernonia yellow vein Fujian alphasatellite</t>
  </si>
  <si>
    <t>Alphasatellitidae;Geminialphasatellitinae;Gosmusatellite;Gosmusatellite vernoniafujianense</t>
  </si>
  <si>
    <t>Alphasatellitidae;Geminialphasatellitinae;Somasatellite;Sorghum mastrevirus associated alphasatellite</t>
  </si>
  <si>
    <t>Alphasatellitidae;Geminialphasatellitinae;Somasatellite;Somasatellite sorghi</t>
  </si>
  <si>
    <t>Alphasatellitidae;Geminialphasatellitinae;Whiflysatellite;Whitefly associated Guatemala alphasatellite 1</t>
  </si>
  <si>
    <t>Alphasatellitidae;Geminialphasatellitinae;Whiflysatellite;Whiflysatellite guatemalaense</t>
  </si>
  <si>
    <t>Alphasatellitidae;Nanoalphasatellitinae;Clostunsatellite;Milk vetch dwarf alphasatellite 2</t>
  </si>
  <si>
    <t>Alphasatellitidae;Nanoalphasatellitinae;Clostunsatellite;Clostunsatellite astragali</t>
  </si>
  <si>
    <t>Alphasatellitidae;Nanoalphasatellitinae;Clostunsatellite;Pea necrotic yellow dwarf alphasatellite 2</t>
  </si>
  <si>
    <t>Alphasatellitidae;Nanoalphasatellitinae;Clostunsatellite;Clostunsatellite pisi</t>
  </si>
  <si>
    <t>Alphasatellitidae;Nanoalphasatellitinae;Clostunsatellite;Sophora yellow stunt alphasatellite 5</t>
  </si>
  <si>
    <t>Alphasatellitidae;Nanoalphasatellitinae;Clostunsatellite;Clostunsatellite sophokerman</t>
  </si>
  <si>
    <t>Alphasatellitidae;Nanoalphasatellitinae;Clostunsatellite;Sophora yellow stunt alphasatellite 4</t>
  </si>
  <si>
    <t>Alphasatellitidae;Nanoalphasatellitinae;Clostunsatellite;Clostunsatellite sophorae</t>
  </si>
  <si>
    <t>Alphasatellitidae;Nanoalphasatellitinae;Clostunsatellite;Subterranean clover stunt alphasatellite 2</t>
  </si>
  <si>
    <t>Alphasatellitidae;Nanoalphasatellitinae;Clostunsatellite;Clostunsatellite trifolii</t>
  </si>
  <si>
    <t>Alphasatellitidae;Nanoalphasatellitinae;Fabenesatellite;Faba bean necrotic yellows alphasatellite 2</t>
  </si>
  <si>
    <t>Alphasatellitidae;Nanoalphasatellitinae;Fabenesatellite;Fabenesatellite fabae</t>
  </si>
  <si>
    <t>Alphasatellitidae;Nanoalphasatellitinae;Milvetsatellite;Milk vetch dwarf alphasatellite 3</t>
  </si>
  <si>
    <t>Alphasatellitidae;Nanoalphasatellitinae;Milvetsatellite;Milvetsatellite japastra</t>
  </si>
  <si>
    <t>Alphasatellitidae;Nanoalphasatellitinae;Mivedwarsatellite;Milk vetch dwarf alphasatellite 1</t>
  </si>
  <si>
    <t>Alphasatellitidae;Nanoalphasatellitinae;Mivedwarsatellite;Mivedwarsatellite astragali</t>
  </si>
  <si>
    <t>Alphasatellitidae;Nanoalphasatellitinae;Mivedwarsatellite;Pea necrotic yellow dwarf alphasatellite 1</t>
  </si>
  <si>
    <t>Alphasatellitidae;Nanoalphasatellitinae;Mivedwarsatellite;Mivedwarsatellite erbse</t>
  </si>
  <si>
    <t>Alphasatellitidae;Nanoalphasatellitinae;Mivedwarsatellite;Faba bean necrotic stunt alphasatellite</t>
  </si>
  <si>
    <t>Alphasatellitidae;Nanoalphasatellitinae;Mivedwarsatellite;Mivedwarsatellite fabazerbai</t>
  </si>
  <si>
    <t>Alphasatellitidae;Nanoalphasatellitinae;Mivedwarsatellite;Parsley severe stunt alphasatellite 4</t>
  </si>
  <si>
    <t>Alphasatellitidae;Nanoalphasatellitinae;Mivedwarsatellite;Mivedwarsatellite petrocremlingense</t>
  </si>
  <si>
    <t>Alphasatellitidae;Nanoalphasatellitinae;Mivedwarsatellite;Parsley severe stunt alphasatellite 3</t>
  </si>
  <si>
    <t>Alphasatellitidae;Nanoalphasatellitinae;Mivedwarsatellite;Mivedwarsatellite petroselini</t>
  </si>
  <si>
    <t>Alphasatellitidae;Nanoalphasatellitinae;Mivedwarsatellite;Milk vetch dwarf China alphasatellite</t>
  </si>
  <si>
    <t>Alphasatellitidae;Nanoalphasatellitinae;Mivedwarsatellite;Mivedwarsatellite sinastra</t>
  </si>
  <si>
    <t>Alphasatellitidae;Nanoalphasatellitinae;Mivedwarsatellite;Sophora yellow stunt alphasatellite 2</t>
  </si>
  <si>
    <t>Alphasatellitidae;Nanoalphasatellitinae;Mivedwarsatellite;Mivedwarsatellite sophalope</t>
  </si>
  <si>
    <t>Alphasatellitidae;Nanoalphasatellitinae;Sophoyesatellite;Sophora yellow stunt alphasatellite 3</t>
  </si>
  <si>
    <t>Alphasatellitidae;Nanoalphasatellitinae;Sophoyesatellite;Sophoyesatellite sophira</t>
  </si>
  <si>
    <t>Alphasatellitidae;Nanoalphasatellitinae;Sophoyesatellite;Cow vetch latent alphasatellite</t>
  </si>
  <si>
    <t>Alphasatellitidae;Nanoalphasatellitinae;Sophoyesatellite;Sophoyesatellite vicraccae</t>
  </si>
  <si>
    <t>Alphasatellitidae;Nanoalphasatellitinae;Subclovsatellite;Sophora yellow stunt alphasatellite 1</t>
  </si>
  <si>
    <t>Alphasatellitidae;Nanoalphasatellitinae;Subclovsatellite;Subclovsatellite bitbea</t>
  </si>
  <si>
    <t>Alphasatellitidae;Nanoalphasatellitinae;Subclovsatellite;Faba bean necrotic yellows alphasatellite 1</t>
  </si>
  <si>
    <t>Alphasatellitidae;Nanoalphasatellitinae;Subclovsatellite;Subclovsatellite fababea</t>
  </si>
  <si>
    <t>Alphasatellitidae;Nanoalphasatellitinae;Subclovsatellite;Subterranean clover stunt alphasatellite 1</t>
  </si>
  <si>
    <t>Alphasatellitidae;Nanoalphasatellitinae;Subclovsatellite;Subclovsatellite trisubterrae</t>
  </si>
  <si>
    <t>Alphasatellitidae;Nanoalphasatellitinae;Subclovsatellite;Faba bean necrotic yellows alphasatellite 3</t>
  </si>
  <si>
    <t>Alphasatellitidae;Nanoalphasatellitinae;Subclovsatellite;Subclovsatellite tunisifabae</t>
  </si>
  <si>
    <t>Alphasatellitidae;Petromoalphasatellitinae;Babusatellite;Banana bunchy top alphasatellite 1</t>
  </si>
  <si>
    <t>Alphasatellitidae;Petromoalphasatellitinae;Babusatellite;Babusatellite musae</t>
  </si>
  <si>
    <t>Alphasatellitidae;Petromoalphasatellitinae;Cocosatellite;Coconut foliar decay alphasatellite 1</t>
  </si>
  <si>
    <t>Alphasatellitidae;Petromoalphasatellitinae;Cocosatellite;Cocosatellite cocos</t>
  </si>
  <si>
    <t>Alphasatellitidae;Petromoalphasatellitinae;Cocosatellite;Coconut foliar decay alphasatellite 4</t>
  </si>
  <si>
    <t>Alphasatellitidae;Petromoalphasatellitinae;Cocosatellite;Cocosatellite kelapa</t>
  </si>
  <si>
    <t>Alphasatellitidae;Petromoalphasatellitinae;Cocosatellite;Coconut foliar decay alphasatellite 2</t>
  </si>
  <si>
    <t>Alphasatellitidae;Petromoalphasatellitinae;Cocosatellite;Cocosatellite niadamu</t>
  </si>
  <si>
    <t>Alphasatellitidae;Petromoalphasatellitinae;Cocosatellite;Coconut foliar decay alphasatellite 5</t>
  </si>
  <si>
    <t>Alphasatellitidae;Petromoalphasatellitinae;Cocosatellite;Cocosatellite popo</t>
  </si>
  <si>
    <t>Alphasatellitidae;Petromoalphasatellitinae;Coprasatellite;Coconut foliar decay alphasatellite 7</t>
  </si>
  <si>
    <t>Alphasatellitidae;Petromoalphasatellitinae;Coprasatellite;Coprasatellite niu</t>
  </si>
  <si>
    <t>Alphasatellitidae;Petromoalphasatellitinae;Kobbarisatellite;Coconut foliar decay alphasatellite 3</t>
  </si>
  <si>
    <t>Alphasatellitidae;Petromoalphasatellitinae;Kobbarisatellite;Kobbarisatellite kokonas</t>
  </si>
  <si>
    <t>Alphasatellitidae;Petromoalphasatellitinae;Muscarsatellite;Cardamom bushy dwarf alphasatellite</t>
  </si>
  <si>
    <t>Alphasatellitidae;Petromoalphasatellitinae;Muscarsatellite;Muscarsatellite cardamomi</t>
  </si>
  <si>
    <t>Alphasatellitidae;Petromoalphasatellitinae;Muscarsatellite;Banana bunchy top alphasatellite 3</t>
  </si>
  <si>
    <t>Alphasatellitidae;Petromoalphasatellitinae;Muscarsatellite;Muscarsatellite haikoumusa</t>
  </si>
  <si>
    <t>Alphasatellitidae;Petromoalphasatellitinae;Muscarsatellite;Banana bunchy top alphasatellite 2</t>
  </si>
  <si>
    <t>Alphasatellitidae;Petromoalphasatellitinae;Muscarsatellite;Muscarsatellite vietmusa</t>
  </si>
  <si>
    <t>Ampullaviridae;Bottigliavirus;Bottigliavirus ABV3</t>
  </si>
  <si>
    <t>Ampullaviridae;Bottigliavirus;Bottigliavirus krisuvikense</t>
  </si>
  <si>
    <t>Ampullaviridae;Bottigliavirus;Bottigliavirus ABV</t>
  </si>
  <si>
    <t>Ampullaviridae;Bottigliavirus;Bottigliavirus pozzuoliense</t>
  </si>
  <si>
    <t>Ampullaviridae;Bottigliavirus;Bottigliavirus ABV2</t>
  </si>
  <si>
    <t>Ampullaviridae;Bottigliavirus;Bottigliavirus puteoliense</t>
  </si>
  <si>
    <t>Avsunviroidae;Avsunviroid;Avocado sunblotch viroid</t>
  </si>
  <si>
    <t>Avsunviroidae;Avsunviroid;Avsunviroid albamaculaperseae</t>
  </si>
  <si>
    <t>Avsunviroidae;Elaviroid;Eggplant latent viroid</t>
  </si>
  <si>
    <t>Avsunviroidae;Elaviroid;Elaviroid latensmelongenae</t>
  </si>
  <si>
    <t>Avsunviroidae;Pelamoviroid;Peach latent mosaic viroid</t>
  </si>
  <si>
    <t>Avsunviroidae;Pelamoviroid;Pelamoviroid latenspruni</t>
  </si>
  <si>
    <t>Avsunviroidae;Pelamoviroid;Chrysanthemum chlorotic mottle viroid</t>
  </si>
  <si>
    <t>Avsunviroidae;Pelamoviroid;Pelamoviroid maculachrysanthemi</t>
  </si>
  <si>
    <t>Avsunviroidae;Pelamoviroid;Apple hammerhead viroid</t>
  </si>
  <si>
    <t>Avsunviroidae;Pelamoviroid;Pelamoviroid malleusmali</t>
  </si>
  <si>
    <t>Bicaudaviridae;Bicaudavirus;Acidianus two-tailed virus</t>
  </si>
  <si>
    <t>Bicaudaviridae;Bicaudavirus;Bicaudavirus pozzuoliense</t>
  </si>
  <si>
    <t>Clavaviridae;Clavavirus;Aeropyrum pernix bacilliform virus 1</t>
  </si>
  <si>
    <t>Clavaviridae;Clavavirus;Clavavirus yamagawaense</t>
  </si>
  <si>
    <t>Fuselloviridae;Alphafusellovirus;Sulfolobus spindle-shaped virus 4</t>
  </si>
  <si>
    <t>Fuselloviridae;Alphafusellovirus;Alphafusellovirus arnavatnense</t>
  </si>
  <si>
    <t>Fuselloviridae;Alphafusellovirus;Sulfolobus spindle-shaped virus 1</t>
  </si>
  <si>
    <t>Fuselloviridae;Alphafusellovirus;Alphafusellovirus beppuense</t>
  </si>
  <si>
    <t>Fuselloviridae;Alphafusellovirus;Sulfolobus spindle-shaped virus 7</t>
  </si>
  <si>
    <t>Fuselloviridae;Alphafusellovirus;Alphafusellovirus hengillense</t>
  </si>
  <si>
    <t>Fuselloviridae;Alphafusellovirus;Sulfolobus spindle-shaped virus 5</t>
  </si>
  <si>
    <t>Fuselloviridae;Alphafusellovirus;Alphafusellovirus hveragerdiense</t>
  </si>
  <si>
    <t>Fuselloviridae;Alphafusellovirus;Sulfolobus spindle-shaped virus 9</t>
  </si>
  <si>
    <t>Fuselloviridae;Alphafusellovirus;Alphafusellovirus kamchatkaense</t>
  </si>
  <si>
    <t>Fuselloviridae;Alphafusellovirus;Sulfolobus spindle-shaped virus 2</t>
  </si>
  <si>
    <t>Fuselloviridae;Alphafusellovirus;Alphafusellovirus reykjanesense</t>
  </si>
  <si>
    <t>Fuselloviridae;Alphafusellovirus;Sulfolobus spindle-shaped virus 8</t>
  </si>
  <si>
    <t>Fuselloviridae;Alphafusellovirus;Alphafusellovirus yellowstonense</t>
  </si>
  <si>
    <t>Fuselloviridae;Betafusellovirus;Sulfolobus spindle-shaped virus 6</t>
  </si>
  <si>
    <t>Fuselloviridae;Betafusellovirus;Betafusellovirus hveragerdiense</t>
  </si>
  <si>
    <t>Fuselloviridae;Betafusellovirus;Acidianus spindle-shaped virus 1</t>
  </si>
  <si>
    <t>Fuselloviridae;Betafusellovirus;Betafusellovirus yellowstonense</t>
  </si>
  <si>
    <t>Globuloviridae;Alphaglobulovirus;Alphaglobulovirus TTSV1</t>
  </si>
  <si>
    <t>Globuloviridae;Alphaglobulovirus;Alphaglobulovirus cinderense</t>
  </si>
  <si>
    <t>Globuloviridae;Alphaglobulovirus;Alphaglobulovirus PSV</t>
  </si>
  <si>
    <t>Globuloviridae;Alphaglobulovirus;Alphaglobulovirus obsidianense</t>
  </si>
  <si>
    <t>Globuloviridae;Alphaglobulovirus;Alphaglobulovirus PSV2</t>
  </si>
  <si>
    <t>Globuloviridae;Alphaglobulovirus;Alphaglobulovirus pozzuoliense</t>
  </si>
  <si>
    <t>Globuloviridae;Alphaglobulovirus;Alphaglobulovirus TSPV1</t>
  </si>
  <si>
    <t>Globuloviridae;Alphaglobulovirus;Alphaglobulovirus sileriense</t>
  </si>
  <si>
    <t>Guttaviridae;Betaguttavirus;Aeropyrum pernix ovoid virus 1</t>
  </si>
  <si>
    <t>Guttaviridae;Betaguttavirus;Betaguttavirus kodakarajimaense</t>
  </si>
  <si>
    <t>Halspiviridae;Salterprovirus;Salterprovirus His1</t>
  </si>
  <si>
    <t>Halspiviridae;Salterprovirus;Salterprovirus australiense</t>
  </si>
  <si>
    <t>Ovaliviridae;Alphaovalivirus;Sulfolobus ellipsoid virus 1</t>
  </si>
  <si>
    <t>Ovaliviridae;Alphaovalivirus;Alphaovalivirus fumarolicaense</t>
  </si>
  <si>
    <t>Portogloboviridae;Alphaportoglobovirus;Sulfolobus alphaportoglobovirus 1</t>
  </si>
  <si>
    <t>Portogloboviridae;Alphaportoglobovirus;Alphaportoglobovirus beppuense</t>
  </si>
  <si>
    <t>Portogloboviridae;Alphaportoglobovirus;Alphaportoglobovirus SPV2</t>
  </si>
  <si>
    <t>Portogloboviridae;Alphaportoglobovirus;Alphaportoglobovirus umijigokuense</t>
  </si>
  <si>
    <t>Pospiviroidae;Apscaviroid;Grapevine yellow speckle viroid 1</t>
  </si>
  <si>
    <t>Pospiviroidae;Apscaviroid;Apscaviroid alphaflavivitis</t>
  </si>
  <si>
    <t>Pospiviroidae;Apscaviroid;Australian grapevine viroid</t>
  </si>
  <si>
    <t>Pospiviroidae;Apscaviroid;Apscaviroid austravitis</t>
  </si>
  <si>
    <t>Pospiviroidae;Apscaviroid;Apscaviroid pvd-2</t>
  </si>
  <si>
    <t>Pospiviroidae;Apscaviroid;Apscaviroid betadiospyri</t>
  </si>
  <si>
    <t>Pospiviroidae;Apscaviroid;Grapevine yellow speckle viroid 2</t>
  </si>
  <si>
    <t>Pospiviroidae;Apscaviroid;Apscaviroid betaflavivitis</t>
  </si>
  <si>
    <t>Pospiviroidae;Apscaviroid;Apple scar skin viroid</t>
  </si>
  <si>
    <t>Pospiviroidae;Apscaviroid;Apscaviroid cicatricimali</t>
  </si>
  <si>
    <t>Pospiviroidae;Apscaviroid;Citrus bent leaf viroid</t>
  </si>
  <si>
    <t>Pospiviroidae;Apscaviroid;Apscaviroid curvifoliumcitri</t>
  </si>
  <si>
    <t>Pospiviroidae;Apscaviroid;Apscaviroid dvd</t>
  </si>
  <si>
    <t>Pospiviroidae;Apscaviroid;Apscaviroid dendrobii</t>
  </si>
  <si>
    <t>Pospiviroidae;Apscaviroid;Apscaviroid pvd</t>
  </si>
  <si>
    <t>Pospiviroidae;Apscaviroid;Apscaviroid diospyri</t>
  </si>
  <si>
    <t>Pospiviroidae;Apscaviroid;Citrus viroid V</t>
  </si>
  <si>
    <t>Pospiviroidae;Apscaviroid;Apscaviroid epsiloncitri</t>
  </si>
  <si>
    <t>Pospiviroidae;Apscaviroid;Apscaviroid cvd-VII</t>
  </si>
  <si>
    <t>Pospiviroidae;Apscaviroid;Apscaviroid etacitri</t>
  </si>
  <si>
    <t>Pospiviroidae;Apscaviroid;Apple dimple fruit viroid</t>
  </si>
  <si>
    <t>Pospiviroidae;Apscaviroid;Apscaviroid fossulamali</t>
  </si>
  <si>
    <t>Pospiviroidae;Apscaviroid;Apscaviroid plvd-I</t>
  </si>
  <si>
    <t>Pospiviroidae;Apscaviroid;Apscaviroid latenspruni</t>
  </si>
  <si>
    <t>Pospiviroidae;Apscaviroid;Apscaviroid glvd</t>
  </si>
  <si>
    <t>Pospiviroidae;Apscaviroid;Apscaviroid latensvitis</t>
  </si>
  <si>
    <t>Pospiviroidae;Apscaviroid;Apscaviroid lvd</t>
  </si>
  <si>
    <t>Pospiviroidae;Apscaviroid;Apscaviroid litchis</t>
  </si>
  <si>
    <t>Pospiviroidae;Apscaviroid;Apscaviroid aclsvd</t>
  </si>
  <si>
    <t>Pospiviroidae;Apscaviroid;Apscaviroid maculamali</t>
  </si>
  <si>
    <t>Pospiviroidae;Apscaviroid;Citrus dwarfing viroid</t>
  </si>
  <si>
    <t>Pospiviroidae;Apscaviroid;Apscaviroid nanocitri</t>
  </si>
  <si>
    <t>Pospiviroidae;Apscaviroid;Pear blister canker viroid</t>
  </si>
  <si>
    <t>Pospiviroidae;Apscaviroid;Apscaviroid pustulapyri</t>
  </si>
  <si>
    <t>Pospiviroidae;Apscaviroid;Citrus viroid VI</t>
  </si>
  <si>
    <t>Pospiviroidae;Apscaviroid;Apscaviroid zetacitri</t>
  </si>
  <si>
    <t>Pospiviroidae;Cocadviroid;Coconut cadang-cadang viroid</t>
  </si>
  <si>
    <t>Pospiviroidae;Cocadviroid;Cocadviroid cadangi</t>
  </si>
  <si>
    <t>Pospiviroidae;Cocadviroid;Hop latent viroid</t>
  </si>
  <si>
    <t>Pospiviroidae;Cocadviroid;Cocadviroid latenshumuli</t>
  </si>
  <si>
    <t>Pospiviroidae;Cocadviroid;Citrus bark cracking viroid</t>
  </si>
  <si>
    <t>Pospiviroidae;Cocadviroid;Cocadviroid rimocitri</t>
  </si>
  <si>
    <t>Pospiviroidae;Cocadviroid;Coconut tinangaja viroid</t>
  </si>
  <si>
    <t>Pospiviroidae;Cocadviroid;Cocadviroid tinangajae</t>
  </si>
  <si>
    <t>Pospiviroidae;Coleviroid;Coleus blumei viroid 1</t>
  </si>
  <si>
    <t>Pospiviroidae;Coleviroid;Coleviroid alphacolei</t>
  </si>
  <si>
    <t>Pospiviroidae;Coleviroid;Coleus blumei viroid 2</t>
  </si>
  <si>
    <t>Pospiviroidae;Coleviroid;Coleviroid betacolei</t>
  </si>
  <si>
    <t>Pospiviroidae;Coleviroid;Coleviroid cbvd-5</t>
  </si>
  <si>
    <t>Pospiviroidae;Coleviroid;Coleviroid epsiloncolei</t>
  </si>
  <si>
    <t>Pospiviroidae;Coleviroid;Coleus blumei viroid 3</t>
  </si>
  <si>
    <t>Pospiviroidae;Coleviroid;Coleviroid gammacolei</t>
  </si>
  <si>
    <t>Pospiviroidae;Coleviroid;Coleviroid cbvd-6</t>
  </si>
  <si>
    <t>Pospiviroidae;Coleviroid;Coleviroid zetacolei</t>
  </si>
  <si>
    <t>Pospiviroidae;Hostuviroid;Hop stunt viroid</t>
  </si>
  <si>
    <t>Pospiviroidae;Hostuviroid;Hostuviroid impedihumuli</t>
  </si>
  <si>
    <t>Pospiviroidae;Hostuviroid;Dahlia latent viroid</t>
  </si>
  <si>
    <t>Pospiviroidae;Hostuviroid;Hostuviroid latensdahliae</t>
  </si>
  <si>
    <t>Pospiviroidae;Pospiviroid;Iresine viroid 1</t>
  </si>
  <si>
    <t>Pospiviroidae;Pospiviroid;Pospiviroid alphairesinis</t>
  </si>
  <si>
    <t>Pospiviroidae;Pospiviroid;Tomato apical stunt viroid</t>
  </si>
  <si>
    <t>Pospiviroidae;Pospiviroid;Pospiviroid apicimpeditum</t>
  </si>
  <si>
    <t>Pospiviroidae;Pospiviroid;Tomato chlorotic dwarf viroid</t>
  </si>
  <si>
    <t>Pospiviroidae;Pospiviroid;Pospiviroid chloronani</t>
  </si>
  <si>
    <t>Pospiviroidae;Pospiviroid;Citrus exocortis viroid</t>
  </si>
  <si>
    <t>Pospiviroidae;Pospiviroid;Pospiviroid exocortiscitri</t>
  </si>
  <si>
    <t>Pospiviroidae;Pospiviroid;Potato spindle tuber viroid</t>
  </si>
  <si>
    <t>Pospiviroidae;Pospiviroid;Pospiviroid fusituberis</t>
  </si>
  <si>
    <t>Pospiviroidae;Pospiviroid;Chrysanthemum stunt viroid</t>
  </si>
  <si>
    <t>Pospiviroidae;Pospiviroid;Pospiviroid impedichrysanthemi</t>
  </si>
  <si>
    <t>Pospiviroidae;Pospiviroid;Columnea latent viroid</t>
  </si>
  <si>
    <t>Pospiviroidae;Pospiviroid;Pospiviroid latenscolumneae</t>
  </si>
  <si>
    <t>Pospiviroidae;Pospiviroid;Pospiviroid plvd</t>
  </si>
  <si>
    <t>Pospiviroidae;Pospiviroid;Pospiviroid latensportulacae</t>
  </si>
  <si>
    <t>Pospiviroidae;Pospiviroid;Tomato planta macho viroid</t>
  </si>
  <si>
    <t>Pospiviroidae;Pospiviroid;Pospiviroid machoplantae</t>
  </si>
  <si>
    <t>Pospiviroidae;Pospiviroid;Pepper chat fruit viroid</t>
  </si>
  <si>
    <t>Pospiviroidae;Pospiviroid;Pospiviroid parvicapsici</t>
  </si>
  <si>
    <t>Spiraviridae;Alphaspiravirus;Aeropyrum coil-shaped virus</t>
  </si>
  <si>
    <t>Spiraviridae;Alphaspiravirus;Alphaspiravirus yamagawaense</t>
  </si>
  <si>
    <t>Thaspiviridae;Nitmarvirus;Nitmarvirus NSV1</t>
  </si>
  <si>
    <t>Thaspiviridae;Nitmarvirus;Nitmarvirus maris</t>
  </si>
  <si>
    <t>Tolecusatellitidae;Betasatellite;Okra leaf curl betasatellite</t>
  </si>
  <si>
    <t>Tolecusatellitidae;Betasatellite;Betasatellite abelmoschusinvolutionis</t>
  </si>
  <si>
    <t>Tolecusatellitidae;Betasatellite;Bhendi yellow vein mosaic betasatellite</t>
  </si>
  <si>
    <t>Tolecusatellitidae;Betasatellite;Betasatellite abelmoschusmusiviflavi</t>
  </si>
  <si>
    <t>Tolecusatellitidae;Betasatellite;Okra leaf curl Oman betasatellite</t>
  </si>
  <si>
    <t>Tolecusatellitidae;Betasatellite;Betasatellite abelmoschusomanense</t>
  </si>
  <si>
    <t>Tolecusatellitidae;Betasatellite;Ageratum leaf curl Buea betasatellite</t>
  </si>
  <si>
    <t>Tolecusatellitidae;Betasatellite;Betasatellite agerabueaense</t>
  </si>
  <si>
    <t>Tolecusatellitidae;Betasatellite;Ageratum leaf curl Cameroon betasatellite</t>
  </si>
  <si>
    <t>Tolecusatellitidae;Betasatellite;Betasatellite ageracameroonense</t>
  </si>
  <si>
    <t>Tolecusatellitidae;Betasatellite;Ageratum yellow vein betasatellite</t>
  </si>
  <si>
    <t>Tolecusatellitidae;Betasatellite;Betasatellite ageraflavi</t>
  </si>
  <si>
    <t>Tolecusatellitidae;Betasatellite;Ageratum yellow vein China betasatellite</t>
  </si>
  <si>
    <t>Tolecusatellitidae;Betasatellite;Betasatellite ageraflavichinaense</t>
  </si>
  <si>
    <t>Tolecusatellitidae;Betasatellite;Ageratum yellow leaf curl betasatellite</t>
  </si>
  <si>
    <t>Tolecusatellitidae;Betasatellite;Betasatellite ageraflavinvolutionis</t>
  </si>
  <si>
    <t>Tolecusatellitidae;Betasatellite;Ageratum yellow vein Sri Lanka betasatellite</t>
  </si>
  <si>
    <t>Tolecusatellitidae;Betasatellite;Betasatellite ageraflavisrilankaense</t>
  </si>
  <si>
    <t>Tolecusatellitidae;Betasatellite;Alternanthera yellow vein betasatellite</t>
  </si>
  <si>
    <t>Tolecusatellitidae;Betasatellite;Betasatellite alternantherae</t>
  </si>
  <si>
    <t>Tolecusatellitidae;Betasatellite;Andrographis yellow vein leaf curl betasatellite</t>
  </si>
  <si>
    <t>Tolecusatellitidae;Betasatellite;Betasatellite andrographis</t>
  </si>
  <si>
    <t>Tolecusatellitidae;Betasatellite;Chili leaf curl betasatellite</t>
  </si>
  <si>
    <t>Tolecusatellitidae;Betasatellite;Betasatellite capsi</t>
  </si>
  <si>
    <t>Tolecusatellitidae;Betasatellite;Chili leaf curl Jaunpur betasatellite</t>
  </si>
  <si>
    <t>Tolecusatellitidae;Betasatellite;Betasatellite capsijaunpurense</t>
  </si>
  <si>
    <t>Tolecusatellitidae;Betasatellite;Chili leaf curl Sri Lanka betasatellite</t>
  </si>
  <si>
    <t>Tolecusatellitidae;Betasatellite;Betasatellite capsisrilankaense</t>
  </si>
  <si>
    <t>Tolecusatellitidae;Betasatellite;Cardiospermum yellow leaf curl betasatellite</t>
  </si>
  <si>
    <t>Tolecusatellitidae;Betasatellite;Betasatellite cardiospermi</t>
  </si>
  <si>
    <t>Tolecusatellitidae;Betasatellite;Papaya leaf curl China betasatellite</t>
  </si>
  <si>
    <t>Tolecusatellitidae;Betasatellite;Betasatellite caricachinaense</t>
  </si>
  <si>
    <t>Tolecusatellitidae;Betasatellite;Papaya leaf curl betasatellite</t>
  </si>
  <si>
    <t>Tolecusatellitidae;Betasatellite;Betasatellite caricae</t>
  </si>
  <si>
    <t>Tolecusatellitidae;Betasatellite;Papaya leaf curl Gandhinagar betasatellite</t>
  </si>
  <si>
    <t>Tolecusatellitidae;Betasatellite;Betasatellite caricagandhinagarense</t>
  </si>
  <si>
    <t>Tolecusatellitidae;Betasatellite;Papaya leaf curl India betasatellite</t>
  </si>
  <si>
    <t>Tolecusatellitidae;Betasatellite;Betasatellite caricaindianense</t>
  </si>
  <si>
    <t>Tolecusatellitidae;Betasatellite;Papaya leaf curl India betasatellite 2</t>
  </si>
  <si>
    <t>Tolecusatellitidae;Betasatellite;Betasatellite caricaindianensesecundi</t>
  </si>
  <si>
    <t>Tolecusatellitidae;Betasatellite;Codiaeum leaf curl betasatellite</t>
  </si>
  <si>
    <t>Tolecusatellitidae;Betasatellite;Betasatellite codiaei</t>
  </si>
  <si>
    <t>Tolecusatellitidae;Betasatellite;Croton yellow vein mosaic betasatellite</t>
  </si>
  <si>
    <t>Tolecusatellitidae;Betasatellite;Betasatellite codiaeumflavi</t>
  </si>
  <si>
    <t>Tolecusatellitidae;Betasatellite;Emilia yellow vein betasatellite</t>
  </si>
  <si>
    <t>Tolecusatellitidae;Betasatellite;Betasatellite emiliae</t>
  </si>
  <si>
    <t>Tolecusatellitidae;Betasatellite;Emilia yellow vein Fujian betasatellite</t>
  </si>
  <si>
    <t>Tolecusatellitidae;Betasatellite;Betasatellite emiliafujianense</t>
  </si>
  <si>
    <t>Tolecusatellitidae;Betasatellite;Erectites yellow mosaic betasatellite</t>
  </si>
  <si>
    <t>Tolecusatellitidae;Betasatellite;Betasatellite erectitis</t>
  </si>
  <si>
    <t>Tolecusatellitidae;Betasatellite;Eupatorium yellow vein betasatellite</t>
  </si>
  <si>
    <t>Tolecusatellitidae;Betasatellite;Betasatellite eupatorii</t>
  </si>
  <si>
    <t>Tolecusatellitidae;Betasatellite;Eupatorium yellow vein mosaic betasatellite</t>
  </si>
  <si>
    <t>Tolecusatellitidae;Betasatellite;Betasatellite eupatoriumflavi</t>
  </si>
  <si>
    <t>Tolecusatellitidae;Betasatellite;Cotton leaf curl Bahraich betasatellite</t>
  </si>
  <si>
    <t>Tolecusatellitidae;Betasatellite;Betasatellite gossypibahraichense</t>
  </si>
  <si>
    <t>Tolecusatellitidae;Betasatellite;Cotton leaf curl Bangalore betasatellite 1</t>
  </si>
  <si>
    <t>Tolecusatellitidae;Betasatellite;Betasatellite gossypibangalorenseprimi</t>
  </si>
  <si>
    <t>Tolecusatellitidae;Betasatellite;Cotton leaf curl Bangalore betasatellite 4</t>
  </si>
  <si>
    <t>Tolecusatellitidae;Betasatellite;Betasatellite gossypibangalorensequarti</t>
  </si>
  <si>
    <t>Tolecusatellitidae;Betasatellite;Cotton leaf curl Bangalore betasatellite 2</t>
  </si>
  <si>
    <t>Tolecusatellitidae;Betasatellite;Betasatellite gossypibangalorensesecundi</t>
  </si>
  <si>
    <t>Tolecusatellitidae;Betasatellite;Cotton leaf curl Bangalore betasatellite 3</t>
  </si>
  <si>
    <t>Tolecusatellitidae;Betasatellite;Betasatellite gossypibangalorensetertii</t>
  </si>
  <si>
    <t>Tolecusatellitidae;Betasatellite;Cotton leaf curl Burkina Faso betasatellite</t>
  </si>
  <si>
    <t>Tolecusatellitidae;Betasatellite;Betasatellite gossypiburkinafasoense</t>
  </si>
  <si>
    <t>Tolecusatellitidae;Betasatellite;Cotton leaf curl Gezira betasatellite</t>
  </si>
  <si>
    <t>Tolecusatellitidae;Betasatellite;Betasatellite gossypigeziraense</t>
  </si>
  <si>
    <t>Tolecusatellitidae;Betasatellite;Cotton leaf curl Kashmir betasatellite</t>
  </si>
  <si>
    <t>Tolecusatellitidae;Betasatellite;Betasatellite gossypikashmirense</t>
  </si>
  <si>
    <t>Tolecusatellitidae;Betasatellite;Cotton leaf curl Multan betasatellite</t>
  </si>
  <si>
    <t>Tolecusatellitidae;Betasatellite;Betasatellite gossypimultanense</t>
  </si>
  <si>
    <t>Tolecusatellitidae;Betasatellite;Cotton leaf curl Tandojam betasatellite</t>
  </si>
  <si>
    <t>Tolecusatellitidae;Betasatellite;Betasatellite gossypitandojamense</t>
  </si>
  <si>
    <t>Tolecusatellitidae;Betasatellite;Hedyotis yellow mosaic betasatellite</t>
  </si>
  <si>
    <t>Tolecusatellitidae;Betasatellite;Betasatellite hedyotis</t>
  </si>
  <si>
    <t>Tolecusatellitidae;Betasatellite;Kenaf leaf curl betasatellite</t>
  </si>
  <si>
    <t>Tolecusatellitidae;Betasatellite;Betasatellite hibisci</t>
  </si>
  <si>
    <t>Tolecusatellitidae;Betasatellite;Hibiscus vein enation betasatellite</t>
  </si>
  <si>
    <t>Tolecusatellitidae;Betasatellite;Betasatellite hibiscusvenae</t>
  </si>
  <si>
    <t>Tolecusatellitidae;Betasatellite;Honeysuckle yellow vein betasatellite</t>
  </si>
  <si>
    <t>Tolecusatellitidae;Betasatellite;Betasatellite ioniceravenaflavi</t>
  </si>
  <si>
    <t>Tolecusatellitidae;Betasatellite;Honeysuckle yellow vein mosaic Ibaraki betasatellite</t>
  </si>
  <si>
    <t>Tolecusatellitidae;Betasatellite;Betasatellite ioniceravenaibarakiense</t>
  </si>
  <si>
    <t>Tolecusatellitidae;Betasatellite;Honeysuckle yellow vein mosaic betasatellite</t>
  </si>
  <si>
    <t>Tolecusatellitidae;Betasatellite;Betasatellite ioniceravenamusiviflavi</t>
  </si>
  <si>
    <t>Tolecusatellitidae;Betasatellite;Honeysuckle yellow vein mosaic Nara betasatellite</t>
  </si>
  <si>
    <t>Tolecusatellitidae;Betasatellite;Betasatellite ioniceravenanaraense</t>
  </si>
  <si>
    <t>Tolecusatellitidae;Betasatellite;Leucas zeylanica yellow vein betasatellite</t>
  </si>
  <si>
    <t>Tolecusatellitidae;Betasatellite;Betasatellite leucatis</t>
  </si>
  <si>
    <t>Tolecusatellitidae;Betasatellite;Lindernia anagallis yellow vein betasatellite</t>
  </si>
  <si>
    <t>Tolecusatellitidae;Betasatellite;Betasatellite linderniae</t>
  </si>
  <si>
    <t>Tolecusatellitidae;Betasatellite;Ludwigia yellow vein betasatellite</t>
  </si>
  <si>
    <t>Tolecusatellitidae;Betasatellite;Betasatellite ludwigiae</t>
  </si>
  <si>
    <t>Tolecusatellitidae;Betasatellite;Ludwigia leaf distortion betasatellite 1</t>
  </si>
  <si>
    <t>Tolecusatellitidae;Betasatellite;Betasatellite ludwigiaprimi</t>
  </si>
  <si>
    <t>Tolecusatellitidae;Betasatellite;Ludwigia leaf distortion betasatellite 2</t>
  </si>
  <si>
    <t>Tolecusatellitidae;Betasatellite;Betasatellite ludwigiasecundi</t>
  </si>
  <si>
    <t>Tolecusatellitidae;Betasatellite;Ludwigia leaf distortion betasatellite 3</t>
  </si>
  <si>
    <t>Tolecusatellitidae;Betasatellite;Betasatellite ludwigiatertii</t>
  </si>
  <si>
    <t>Tolecusatellitidae;Betasatellite;Malvastrum leaf curl betasatellite</t>
  </si>
  <si>
    <t>Tolecusatellitidae;Betasatellite;Betasatellite malvastri</t>
  </si>
  <si>
    <t>Tolecusatellitidae;Betasatellite;Malvastrum yellow vein Cambodia betasatellite</t>
  </si>
  <si>
    <t>Tolecusatellitidae;Betasatellite;Betasatellite malvastrumcambodiaense</t>
  </si>
  <si>
    <t>Tolecusatellitidae;Betasatellite;Malvastrum yellow vein betasatellite</t>
  </si>
  <si>
    <t>Tolecusatellitidae;Betasatellite;Betasatellite malvastrumflavi</t>
  </si>
  <si>
    <t>Tolecusatellitidae;Betasatellite;Malvastrum yellow vein Yunnan betasatellite 1</t>
  </si>
  <si>
    <t>Tolecusatellitidae;Betasatellite;Betasatellite malvastrumyunnanenseprimi</t>
  </si>
  <si>
    <t>Tolecusatellitidae;Betasatellite;Malvastrum yellow vein Yunnan betasatellite 2</t>
  </si>
  <si>
    <t>Tolecusatellitidae;Betasatellite;Betasatellite malvastrumyunnanensesecundi</t>
  </si>
  <si>
    <t>Tolecusatellitidae;Betasatellite;Mirabilis leaf curl betasatellite</t>
  </si>
  <si>
    <t>Tolecusatellitidae;Betasatellite;Betasatellite mirabilis</t>
  </si>
  <si>
    <t>Tolecusatellitidae;Betasatellite;Momordica yellow mosaic betasatellite</t>
  </si>
  <si>
    <t>Tolecusatellitidae;Betasatellite;Betasatellite momordicae</t>
  </si>
  <si>
    <t>Tolecusatellitidae;Betasatellite;Tobacco leaf chlorosis betasatellite</t>
  </si>
  <si>
    <t>Tolecusatellitidae;Betasatellite;Betasatellite nicotianachlorosis</t>
  </si>
  <si>
    <t>Tolecusatellitidae;Betasatellite;Tobacco curly shoot betasatellite</t>
  </si>
  <si>
    <t>Tolecusatellitidae;Betasatellite;Betasatellite nicotianae</t>
  </si>
  <si>
    <t>Tolecusatellitidae;Betasatellite;Tobacco leaf curl Japan betasatellite</t>
  </si>
  <si>
    <t>Tolecusatellitidae;Betasatellite;Betasatellite nicotianajapanense</t>
  </si>
  <si>
    <t>Tolecusatellitidae;Betasatellite;Tobacco leaf curl Patna betasatellite</t>
  </si>
  <si>
    <t>Tolecusatellitidae;Betasatellite;Betasatellite nicotianapatnaense</t>
  </si>
  <si>
    <t>Tolecusatellitidae;Betasatellite;Tobacco leaf curl Sheikhupura betasatellite</t>
  </si>
  <si>
    <t>Tolecusatellitidae;Betasatellite;Betasatellite nicotianasheikhupuraense</t>
  </si>
  <si>
    <t>Tolecusatellitidae;Betasatellite;Tobacco leaf curl Yunnan betasatellite</t>
  </si>
  <si>
    <t>Tolecusatellitidae;Betasatellite;Betasatellite nicotianayunnanense</t>
  </si>
  <si>
    <t>Tolecusatellitidae;Betasatellite;Tobacco leaf curl betasatellite</t>
  </si>
  <si>
    <t>Tolecusatellitidae;Betasatellite;Betasatellite nicotianinvolutionis</t>
  </si>
  <si>
    <t>Tolecusatellitidae;Betasatellite;French bean leaf curl betasatellite</t>
  </si>
  <si>
    <t>Tolecusatellitidae;Betasatellite;Betasatellite phaseoli</t>
  </si>
  <si>
    <t>Tolecusatellitidae;Betasatellite;Pea leaf distortion betasatellite</t>
  </si>
  <si>
    <t>Tolecusatellitidae;Betasatellite;Betasatellite pisi</t>
  </si>
  <si>
    <t>Tolecusatellitidae;Betasatellite;Radish leaf curl betasatellite</t>
  </si>
  <si>
    <t>Tolecusatellitidae;Betasatellite;Betasatellite raphani</t>
  </si>
  <si>
    <t>Tolecusatellitidae;Betasatellite;Rhynchosia yellow mosaic betasatellite</t>
  </si>
  <si>
    <t>Tolecusatellitidae;Betasatellite;Betasatellite rhynchosiae</t>
  </si>
  <si>
    <t>Tolecusatellitidae;Betasatellite;Rose leaf curl betasatellite</t>
  </si>
  <si>
    <t>Tolecusatellitidae;Betasatellite;Betasatellite rosae</t>
  </si>
  <si>
    <t>Tolecusatellitidae;Betasatellite;Sida yellow vein Barrackpore betasatellite</t>
  </si>
  <si>
    <t>Tolecusatellitidae;Betasatellite;Betasatellite sidabarrackporense</t>
  </si>
  <si>
    <t>Tolecusatellitidae;Betasatellite;Sida leaf curl betasatellite</t>
  </si>
  <si>
    <t>Tolecusatellitidae;Betasatellite;Betasatellite sidae</t>
  </si>
  <si>
    <t>Tolecusatellitidae;Betasatellite;Sida yellow vein Madurai betasatellite</t>
  </si>
  <si>
    <t>Tolecusatellitidae;Betasatellite;Betasatellite sidamaduraiense</t>
  </si>
  <si>
    <t>Tolecusatellitidae;Betasatellite;Sida yellow mosaic betasatellite</t>
  </si>
  <si>
    <t>Tolecusatellitidae;Betasatellite;Betasatellite sidamusivi</t>
  </si>
  <si>
    <t>Tolecusatellitidae;Betasatellite;Sida yellow vein Vietnam betasatellite 1</t>
  </si>
  <si>
    <t>Tolecusatellitidae;Betasatellite;Betasatellite sidavietnamenseprimo</t>
  </si>
  <si>
    <t>Tolecusatellitidae;Betasatellite;Sida yellow vein Vietnam betasatellite 2</t>
  </si>
  <si>
    <t>Tolecusatellitidae;Betasatellite;Betasatellite sidavietnamensesecundi</t>
  </si>
  <si>
    <t>Tolecusatellitidae;Betasatellite;Siegesbeckia yellow vein betasatellite</t>
  </si>
  <si>
    <t>Tolecusatellitidae;Betasatellite;Betasatellite siegesbeckiae</t>
  </si>
  <si>
    <t>Tolecusatellitidae;Betasatellite;Siegesbeckia yellow vein Guangxi betasatellite</t>
  </si>
  <si>
    <t>Tolecusatellitidae;Betasatellite;Betasatellite siegesbeckiaguangxiense</t>
  </si>
  <si>
    <t>Tolecusatellitidae;Betasatellite;Siegesbeckia yellow vein betasatellite 2</t>
  </si>
  <si>
    <t>Tolecusatellitidae;Betasatellite;Betasatellite siegesbeckiasecundi</t>
  </si>
  <si>
    <t>Tolecusatellitidae;Betasatellite;Tomato leaf curl betasatellite</t>
  </si>
  <si>
    <t>Tolecusatellitidae;Betasatellite;Betasatellite solani</t>
  </si>
  <si>
    <t>Tolecusatellitidae;Betasatellite;Tomato leaf curl Bangalore betasatellite</t>
  </si>
  <si>
    <t>Tolecusatellitidae;Betasatellite;Betasatellite solanibangalorense</t>
  </si>
  <si>
    <t>Tolecusatellitidae;Betasatellite;Tomato leaf curl Bangalore betasatellite 2</t>
  </si>
  <si>
    <t>Tolecusatellitidae;Betasatellite;Betasatellite solanibangalorensesecundi</t>
  </si>
  <si>
    <t>Tolecusatellitidae;Betasatellite;Tomato leaf curl Bangladesh betasatellite</t>
  </si>
  <si>
    <t>Tolecusatellitidae;Betasatellite;Betasatellite solanibangladeshense</t>
  </si>
  <si>
    <t>Tolecusatellitidae;Betasatellite;Tomato leaf curl Bundi betasatellite</t>
  </si>
  <si>
    <t>Tolecusatellitidae;Betasatellite;Betasatellite solanibundiense</t>
  </si>
  <si>
    <t>Tolecusatellitidae;Betasatellite;Tomato leaf curl China betasatellite</t>
  </si>
  <si>
    <t>Tolecusatellitidae;Betasatellite;Betasatellite solanichinaense</t>
  </si>
  <si>
    <t>Tolecusatellitidae;Betasatellite;Tomato yellow leaf curl China betasatellite</t>
  </si>
  <si>
    <t>Tolecusatellitidae;Betasatellite;Betasatellite solaniflavuschinaense</t>
  </si>
  <si>
    <t>Tolecusatellitidae;Betasatellite;Tomato yellow leaf curl Shandong betasatellite</t>
  </si>
  <si>
    <t>Tolecusatellitidae;Betasatellite;Betasatellite solaniflavushandongense</t>
  </si>
  <si>
    <t>Tolecusatellitidae;Betasatellite;Tomato yellow dwarf betasatellite</t>
  </si>
  <si>
    <t>Tolecusatellitidae;Betasatellite;Betasatellite solaniflavusparvi</t>
  </si>
  <si>
    <t>Tolecusatellitidae;Betasatellite;Tomato yellow leaf curl Thailand betasatellite</t>
  </si>
  <si>
    <t>Tolecusatellitidae;Betasatellite;Betasatellite solaniflavusthailandense</t>
  </si>
  <si>
    <t>Tolecusatellitidae;Betasatellite;Tomato yellow leaf curl Vietnam betasatellite</t>
  </si>
  <si>
    <t>Tolecusatellitidae;Betasatellite;Betasatellite solaniflavusvietnamense</t>
  </si>
  <si>
    <t>Tolecusatellitidae;Betasatellite;Tomato yellow leaf curl Yunnan betasatellite</t>
  </si>
  <si>
    <t>Tolecusatellitidae;Betasatellite;Betasatellite solaniflavusyunnanense</t>
  </si>
  <si>
    <t>Tolecusatellitidae;Betasatellite;Tomato leaf curl Ghana betasatellite 1</t>
  </si>
  <si>
    <t>Tolecusatellitidae;Betasatellite;Betasatellite solanighanaenseprimi</t>
  </si>
  <si>
    <t>Tolecusatellitidae;Betasatellite;Tomato leaf curl Ghana betasatellite 2</t>
  </si>
  <si>
    <t>Tolecusatellitidae;Betasatellite;Betasatellite solanighanaensesecundi</t>
  </si>
  <si>
    <t>Tolecusatellitidae;Betasatellite;Tomato leaf curl Gandhinagar betasatellite</t>
  </si>
  <si>
    <t>Tolecusatellitidae;Betasatellite;Betasatellite solanighandinagarense</t>
  </si>
  <si>
    <t>Tolecusatellitidae;Betasatellite;Tomato leaf curl Hajipur betasatellite</t>
  </si>
  <si>
    <t>Tolecusatellitidae;Betasatellite;Betasatellite solanihajipurense</t>
  </si>
  <si>
    <t>Tolecusatellitidae;Betasatellite;Tomato leaf curl Java betasatellite</t>
  </si>
  <si>
    <t>Tolecusatellitidae;Betasatellite;Betasatellite solanijavaense</t>
  </si>
  <si>
    <t>Tolecusatellitidae;Betasatellite;Tomato leaf curl Joydebpur betasatellite</t>
  </si>
  <si>
    <t>Tolecusatellitidae;Betasatellite;Betasatellite solanijoydebpurense</t>
  </si>
  <si>
    <t>Tolecusatellitidae;Betasatellite;Tomato leaf curl Joydebpur betasatellite 2</t>
  </si>
  <si>
    <t>Tolecusatellitidae;Betasatellite;Betasatellite solanijoydebpurensesecundi</t>
  </si>
  <si>
    <t>Tolecusatellitidae;Betasatellite;Tomato leaf curl Karnataka betasatellite</t>
  </si>
  <si>
    <t>Tolecusatellitidae;Betasatellite;Betasatellite solanikarnatakaense</t>
  </si>
  <si>
    <t>Tolecusatellitidae;Betasatellite;Tomato leaf curl Laguna betasatellite</t>
  </si>
  <si>
    <t>Tolecusatellitidae;Betasatellite;Betasatellite solanilagunaense</t>
  </si>
  <si>
    <t>Tolecusatellitidae;Betasatellite;Tomato leaf curl Laos betasatellite</t>
  </si>
  <si>
    <t>Tolecusatellitidae;Betasatellite;Betasatellite solanilaosense</t>
  </si>
  <si>
    <t>Tolecusatellitidae;Betasatellite;Tomato leaf curl Lucknow betasatellite</t>
  </si>
  <si>
    <t>Tolecusatellitidae;Betasatellite;Betasatellite solanilucknowense</t>
  </si>
  <si>
    <t>Tolecusatellitidae;Betasatellite;Tomato leaf curl Malaysia betasatellite</t>
  </si>
  <si>
    <t>Tolecusatellitidae;Betasatellite;Betasatellite solanimalaysiaense</t>
  </si>
  <si>
    <t>Tolecusatellitidae;Betasatellite;Tomato leaf curl India betasatellite</t>
  </si>
  <si>
    <t>Tolecusatellitidae;Betasatellite;Betasatellite solanindianense</t>
  </si>
  <si>
    <t>Tolecusatellitidae;Betasatellite;Tomato leaf curl Nepal betasatellite</t>
  </si>
  <si>
    <t>Tolecusatellitidae;Betasatellite;Betasatellite solaninepalense</t>
  </si>
  <si>
    <t>Tolecusatellitidae;Betasatellite;Tomato leaf curl Pakistan betasatellite</t>
  </si>
  <si>
    <t>Tolecusatellitidae;Betasatellite;Betasatellite solanipakistanense</t>
  </si>
  <si>
    <t>Tolecusatellitidae;Betasatellite;Tomato leaf curl Panipat betasatellite</t>
  </si>
  <si>
    <t>Tolecusatellitidae;Betasatellite;Betasatellite solanipanipatense</t>
  </si>
  <si>
    <t>Tolecusatellitidae;Betasatellite;Tomato leaf curl Patna betasatellite</t>
  </si>
  <si>
    <t>Tolecusatellitidae;Betasatellite;Betasatellite solanipatnaense</t>
  </si>
  <si>
    <t>Tolecusatellitidae;Betasatellite;Tomato leaf curl Philippine betasatellite</t>
  </si>
  <si>
    <t>Tolecusatellitidae;Betasatellite;Betasatellite solaniphilippinense</t>
  </si>
  <si>
    <t>Tolecusatellitidae;Betasatellite;Tomato leaf curl Pune betasatellite</t>
  </si>
  <si>
    <t>Tolecusatellitidae;Betasatellite;Betasatellite solanipunense</t>
  </si>
  <si>
    <t>Tolecusatellitidae;Betasatellite;Tomato leaf curl Ranchi betasatellite</t>
  </si>
  <si>
    <t>Tolecusatellitidae;Betasatellite;Betasatellite solaniranchiense</t>
  </si>
  <si>
    <t>Tolecusatellitidae;Betasatellite;Tomato leaf curl betasatellite 2</t>
  </si>
  <si>
    <t>Tolecusatellitidae;Betasatellite;Betasatellite solanisecundi</t>
  </si>
  <si>
    <t>Tolecusatellitidae;Betasatellite;Tomato leaf curl Sri Lanka betasatellite</t>
  </si>
  <si>
    <t>Tolecusatellitidae;Betasatellite;Betasatellite solanisrilankaense</t>
  </si>
  <si>
    <t>Tolecusatellitidae;Betasatellite;Tomato leaf curl Togo betasatellite</t>
  </si>
  <si>
    <t>Tolecusatellitidae;Betasatellite;Betasatellite solanitogoense</t>
  </si>
  <si>
    <t>Tolecusatellitidae;Betasatellite;Tomato leaf curl Yemen betasatellite</t>
  </si>
  <si>
    <t>Tolecusatellitidae;Betasatellite;Betasatellite solaniyemenense</t>
  </si>
  <si>
    <t>Tolecusatellitidae;Betasatellite;Vernonia crinkle betasatellite</t>
  </si>
  <si>
    <t>Tolecusatellitidae;Betasatellite;Betasatellite vernoniae</t>
  </si>
  <si>
    <t>Tolecusatellitidae;Betasatellite;Vernonia yellow vein betasatellite</t>
  </si>
  <si>
    <t>Tolecusatellitidae;Betasatellite;Betasatellite verrnoniaflavi</t>
  </si>
  <si>
    <t>Tolecusatellitidae;Betasatellite;Vernonia yellow vein Fujian betasatellite</t>
  </si>
  <si>
    <t>Tolecusatellitidae;Betasatellite;Betasatellite verrnoniaflavusfujianense</t>
  </si>
  <si>
    <t>Tolecusatellitidae;Betasatellite;Mungbean yellow mosaic betasatellite</t>
  </si>
  <si>
    <t>Tolecusatellitidae;Betasatellite;Betasatellite vignae</t>
  </si>
  <si>
    <t>Tolecusatellitidae;Betasatellite;Zinnia leaf curl betasatellite</t>
  </si>
  <si>
    <t>Tolecusatellitidae;Betasatellite;Betasatellite zinniae</t>
  </si>
  <si>
    <t>Tolecusatellitidae;Deltasatellite;Croton yellow vein deltasatellite</t>
  </si>
  <si>
    <t>Tolecusatellitidae;Deltasatellite;Deltasatellite codiaeumiflavi</t>
  </si>
  <si>
    <t>Tolecusatellitidae;Deltasatellite;Desmodium leaf distortion deltasatellite</t>
  </si>
  <si>
    <t>Tolecusatellitidae;Deltasatellite;Deltasatellite desmodii</t>
  </si>
  <si>
    <t>Tolecusatellitidae;Deltasatellite;Sweet potato leaf curl deltasatellite 1</t>
  </si>
  <si>
    <t>Tolecusatellitidae;Deltasatellite;Deltasatellite ipomoeaprimi</t>
  </si>
  <si>
    <t>Tolecusatellitidae;Deltasatellite;Sweet potato leaf curl deltasatellite 2</t>
  </si>
  <si>
    <t>Tolecusatellitidae;Deltasatellite;Deltasatellite ipomoeasecundi</t>
  </si>
  <si>
    <t>Tolecusatellitidae;Deltasatellite;Sweet potato leaf curl deltasatellite 3</t>
  </si>
  <si>
    <t>Tolecusatellitidae;Deltasatellite;Deltasatellite ipomoeatertii</t>
  </si>
  <si>
    <t>Tolecusatellitidae;Deltasatellite;Malvastrum leaf curl deltasatellite</t>
  </si>
  <si>
    <t>Tolecusatellitidae;Deltasatellite;Deltasatellite malvastri</t>
  </si>
  <si>
    <t>Tolecusatellitidae;Deltasatellite;Sida golden yellow vein deltasatellite 1</t>
  </si>
  <si>
    <t>Tolecusatellitidae;Deltasatellite;Deltasatellite sidaflavusprimi</t>
  </si>
  <si>
    <t>Tolecusatellitidae;Deltasatellite;Sida golden yellow vein deltasatellite 2</t>
  </si>
  <si>
    <t>Tolecusatellitidae;Deltasatellite;Deltasatellite sidaflavussecundi</t>
  </si>
  <si>
    <t>Tolecusatellitidae;Deltasatellite;Sida golden yellow vein deltasatellite 3</t>
  </si>
  <si>
    <t>Tolecusatellitidae;Deltasatellite;Deltasatellite sidaflavustertii</t>
  </si>
  <si>
    <t>Tolecusatellitidae;Deltasatellite;Tomato leaf curl deltasatellite</t>
  </si>
  <si>
    <t>Tolecusatellitidae;Deltasatellite;Deltasatellite solani</t>
  </si>
  <si>
    <t>Tolecusatellitidae;Deltasatellite;Tomato yellow leaf distortion deltasatellite 1</t>
  </si>
  <si>
    <t>Tolecusatellitidae;Deltasatellite;Deltasatellite solaniflavusprimi</t>
  </si>
  <si>
    <t>Tolecusatellitidae;Deltasatellite;Tomato yellow leaf distortion deltasatellite 2</t>
  </si>
  <si>
    <t>Tolecusatellitidae;Deltasatellite;Deltasatellite solaniflavussecundi</t>
  </si>
  <si>
    <t>Error Correction</t>
  </si>
  <si>
    <r>
      <t xml:space="preserve">1. The genus </t>
    </r>
    <r>
      <rPr>
        <i/>
        <sz val="12"/>
        <rFont val="Arial"/>
        <family val="2"/>
      </rPr>
      <t>Mimivirus</t>
    </r>
    <r>
      <rPr>
        <sz val="12"/>
        <rFont val="Arial"/>
        <family val="2"/>
      </rPr>
      <t xml:space="preserve"> was moved into its correct position within the subfamily, </t>
    </r>
    <r>
      <rPr>
        <i/>
        <sz val="12"/>
        <rFont val="Arial"/>
        <family val="2"/>
      </rPr>
      <t>Megamimivirinae</t>
    </r>
    <r>
      <rPr>
        <sz val="12"/>
        <rFont val="Arial"/>
        <family val="2"/>
      </rPr>
      <t>.</t>
    </r>
  </si>
  <si>
    <t>New MSL, #39 including all taxa updates since the 2022 release</t>
  </si>
  <si>
    <t>Correction of error present in the MSL39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</si>
</sst>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3">
    <font>
      <sz val="10"/>
      <name val="Arial"/>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8"/>
      <name val="Verdana"/>
      <family val="2"/>
    </font>
    <font>
      <sz val="14"/>
      <name val="Arial"/>
      <family val="2"/>
    </font>
    <font>
      <b/>
      <sz val="12"/>
      <name val="Arial"/>
      <family val="2"/>
    </font>
    <font>
      <sz val="12"/>
      <name val="Arial"/>
      <family val="2"/>
    </font>
    <font>
      <b/>
      <sz val="14"/>
      <color theme="1"/>
      <name val="Arial"/>
      <family val="2"/>
    </font>
    <font>
      <sz val="10"/>
      <color theme="1"/>
      <name val="Arial"/>
      <family val="2"/>
    </font>
    <font>
      <sz val="12"/>
      <color theme="1"/>
      <name val="Calibri"/>
      <family val="2"/>
      <scheme val="minor"/>
    </font>
    <font>
      <sz val="14"/>
      <color theme="1"/>
      <name val="Arial"/>
      <family val="2"/>
    </font>
    <font>
      <b/>
      <sz val="12"/>
      <color theme="1"/>
      <name val="Arial"/>
      <family val="2"/>
    </font>
    <font>
      <sz val="12"/>
      <color theme="1"/>
      <name val="Arial"/>
      <family val="2"/>
    </font>
    <font>
      <i/>
      <sz val="12"/>
      <color indexed="8"/>
      <name val="Arial"/>
      <family val="2"/>
    </font>
    <font>
      <sz val="12"/>
      <color indexed="8"/>
      <name val="Arial"/>
      <family val="2"/>
    </font>
    <font>
      <u/>
      <sz val="10"/>
      <color theme="10"/>
      <name val="Arial"/>
      <family val="2"/>
    </font>
    <font>
      <b/>
      <sz val="10"/>
      <color theme="1"/>
      <name val="Verdana Bold"/>
    </font>
    <font>
      <b/>
      <sz val="12"/>
      <color theme="1"/>
      <name val="Calibri"/>
      <family val="2"/>
      <scheme val="minor"/>
    </font>
    <font>
      <i/>
      <sz val="10"/>
      <name val="Arial"/>
      <family val="2"/>
    </font>
    <font>
      <sz val="10"/>
      <name val="Arial"/>
      <family val="2"/>
    </font>
    <font>
      <i/>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s>
  <borders count="17">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1" fillId="0" borderId="0"/>
    <xf numFmtId="0" fontId="17" fillId="0" borderId="0" applyNumberFormat="0" applyFill="0" applyBorder="0" applyAlignment="0" applyProtection="0"/>
    <xf numFmtId="0" fontId="4" fillId="0" borderId="0"/>
    <xf numFmtId="0" fontId="3" fillId="0" borderId="0"/>
  </cellStyleXfs>
  <cellXfs count="50">
    <xf numFmtId="0" fontId="0" fillId="0" borderId="0" xfId="0"/>
    <xf numFmtId="0" fontId="0" fillId="0" borderId="0" xfId="0" applyAlignment="1">
      <alignment horizontal="left"/>
    </xf>
    <xf numFmtId="0" fontId="6" fillId="0" borderId="0" xfId="0" applyFont="1"/>
    <xf numFmtId="0" fontId="8" fillId="0" borderId="0" xfId="0" applyFont="1"/>
    <xf numFmtId="15" fontId="8" fillId="0" borderId="0" xfId="0" applyNumberFormat="1" applyFont="1"/>
    <xf numFmtId="15" fontId="8" fillId="0" borderId="0" xfId="0" applyNumberFormat="1" applyFont="1" applyAlignment="1">
      <alignment horizontal="right"/>
    </xf>
    <xf numFmtId="0" fontId="7" fillId="0" borderId="1" xfId="0" applyFont="1" applyBorder="1" applyAlignment="1">
      <alignment horizontal="right"/>
    </xf>
    <xf numFmtId="0" fontId="7" fillId="0" borderId="2" xfId="0" applyFont="1" applyBorder="1" applyAlignment="1">
      <alignment horizontal="right"/>
    </xf>
    <xf numFmtId="15" fontId="8" fillId="0" borderId="3" xfId="0" applyNumberFormat="1" applyFont="1" applyBorder="1" applyAlignment="1">
      <alignment horizontal="right"/>
    </xf>
    <xf numFmtId="0" fontId="7" fillId="2" borderId="4" xfId="0" applyFont="1" applyFill="1" applyBorder="1" applyAlignment="1">
      <alignment horizontal="right"/>
    </xf>
    <xf numFmtId="0" fontId="8" fillId="2" borderId="5" xfId="0" applyFont="1" applyFill="1" applyBorder="1"/>
    <xf numFmtId="0" fontId="0" fillId="0" borderId="0" xfId="0" applyAlignment="1">
      <alignment horizontal="left" vertical="center"/>
    </xf>
    <xf numFmtId="49" fontId="7" fillId="0" borderId="9" xfId="0" applyNumberFormat="1" applyFont="1" applyBorder="1" applyAlignment="1">
      <alignment horizontal="left" vertical="center"/>
    </xf>
    <xf numFmtId="0" fontId="8" fillId="0" borderId="0" xfId="0" applyFont="1" applyAlignment="1">
      <alignment horizontal="left" vertical="center"/>
    </xf>
    <xf numFmtId="0" fontId="8" fillId="2" borderId="9" xfId="0" applyFont="1" applyFill="1" applyBorder="1" applyAlignment="1">
      <alignment horizontal="left" vertical="center"/>
    </xf>
    <xf numFmtId="0" fontId="8" fillId="0" borderId="11" xfId="0" applyFont="1" applyBorder="1" applyAlignment="1">
      <alignment horizontal="left" vertical="center"/>
    </xf>
    <xf numFmtId="164" fontId="8" fillId="0" borderId="8" xfId="0" applyNumberFormat="1" applyFont="1" applyBorder="1" applyAlignment="1">
      <alignment horizontal="right"/>
    </xf>
    <xf numFmtId="0" fontId="17" fillId="0" borderId="10" xfId="2" applyFill="1" applyBorder="1" applyAlignment="1">
      <alignment horizontal="left" vertical="center"/>
    </xf>
    <xf numFmtId="49" fontId="14" fillId="0" borderId="13" xfId="3" applyNumberFormat="1" applyFont="1" applyBorder="1" applyAlignment="1">
      <alignment vertical="top" wrapText="1"/>
    </xf>
    <xf numFmtId="49" fontId="12" fillId="0" borderId="0" xfId="3" applyNumberFormat="1" applyFont="1" applyAlignment="1">
      <alignment vertical="top" wrapText="1"/>
    </xf>
    <xf numFmtId="49" fontId="14" fillId="0" borderId="0" xfId="3" applyNumberFormat="1" applyFont="1" applyAlignment="1">
      <alignment vertical="top" wrapText="1"/>
    </xf>
    <xf numFmtId="49" fontId="13" fillId="0" borderId="13" xfId="3" applyNumberFormat="1" applyFont="1" applyBorder="1" applyAlignment="1">
      <alignment horizontal="right" vertical="top" wrapText="1"/>
    </xf>
    <xf numFmtId="49" fontId="14" fillId="0" borderId="13" xfId="3" quotePrefix="1" applyNumberFormat="1" applyFont="1" applyBorder="1" applyAlignment="1">
      <alignment vertical="top" wrapText="1"/>
    </xf>
    <xf numFmtId="0" fontId="7" fillId="0" borderId="0" xfId="0" applyFont="1" applyAlignment="1">
      <alignment horizontal="right"/>
    </xf>
    <xf numFmtId="0" fontId="3" fillId="0" borderId="0" xfId="4"/>
    <xf numFmtId="0" fontId="19" fillId="0" borderId="0" xfId="4" applyFont="1"/>
    <xf numFmtId="0" fontId="3" fillId="0" borderId="0" xfId="4" applyAlignment="1">
      <alignment horizontal="left"/>
    </xf>
    <xf numFmtId="0" fontId="2" fillId="0" borderId="13" xfId="4" applyFont="1" applyBorder="1"/>
    <xf numFmtId="0" fontId="2" fillId="0" borderId="15" xfId="4" applyFont="1" applyBorder="1"/>
    <xf numFmtId="0" fontId="17" fillId="0" borderId="0" xfId="2"/>
    <xf numFmtId="0" fontId="20" fillId="0" borderId="0" xfId="0" applyFont="1"/>
    <xf numFmtId="0" fontId="18" fillId="2" borderId="12" xfId="0" applyFont="1" applyFill="1" applyBorder="1"/>
    <xf numFmtId="0" fontId="10" fillId="2" borderId="7" xfId="0" applyFont="1" applyFill="1" applyBorder="1" applyAlignment="1">
      <alignment horizontal="left" vertical="center"/>
    </xf>
    <xf numFmtId="0" fontId="9" fillId="2" borderId="6" xfId="0" applyFont="1" applyFill="1" applyBorder="1" applyAlignment="1">
      <alignment horizontal="left" vertical="center"/>
    </xf>
    <xf numFmtId="0" fontId="19" fillId="2" borderId="0" xfId="4" applyFont="1" applyFill="1"/>
    <xf numFmtId="49" fontId="9" fillId="2" borderId="13" xfId="3" applyNumberFormat="1" applyFont="1" applyFill="1" applyBorder="1" applyAlignment="1">
      <alignment vertical="top" wrapText="1"/>
    </xf>
    <xf numFmtId="0" fontId="19" fillId="2" borderId="4" xfId="4" applyFont="1" applyFill="1" applyBorder="1" applyAlignment="1">
      <alignment horizontal="left"/>
    </xf>
    <xf numFmtId="0" fontId="19" fillId="2" borderId="14" xfId="4" applyFont="1" applyFill="1" applyBorder="1" applyAlignment="1">
      <alignment horizontal="left"/>
    </xf>
    <xf numFmtId="0" fontId="19" fillId="2" borderId="5" xfId="4" applyFont="1" applyFill="1" applyBorder="1" applyAlignment="1">
      <alignment horizontal="left"/>
    </xf>
    <xf numFmtId="0" fontId="19" fillId="3" borderId="8" xfId="4" applyFont="1" applyFill="1" applyBorder="1"/>
    <xf numFmtId="0" fontId="19" fillId="3" borderId="3" xfId="4" applyFont="1" applyFill="1" applyBorder="1"/>
    <xf numFmtId="0" fontId="19" fillId="0" borderId="1" xfId="4" applyFont="1" applyBorder="1"/>
    <xf numFmtId="0" fontId="19" fillId="0" borderId="2" xfId="4" applyFont="1" applyBorder="1"/>
    <xf numFmtId="0" fontId="21" fillId="0" borderId="0" xfId="0" applyFont="1"/>
    <xf numFmtId="0" fontId="1" fillId="0" borderId="0" xfId="4" applyFont="1"/>
    <xf numFmtId="0" fontId="17" fillId="0" borderId="0" xfId="2" applyNumberFormat="1"/>
    <xf numFmtId="0" fontId="17" fillId="0" borderId="0" xfId="2" applyFill="1"/>
    <xf numFmtId="0" fontId="17" fillId="0" borderId="0" xfId="2" applyFill="1" applyBorder="1" applyAlignment="1">
      <alignment horizontal="left" vertical="center"/>
    </xf>
    <xf numFmtId="0" fontId="8" fillId="0" borderId="10" xfId="0" applyFont="1" applyBorder="1" applyAlignment="1">
      <alignment horizontal="left" vertical="center"/>
    </xf>
    <xf numFmtId="0" fontId="10" fillId="2" borderId="16" xfId="0" applyFont="1" applyFill="1" applyBorder="1" applyAlignment="1">
      <alignment horizontal="left" vertical="center"/>
    </xf>
  </cellXfs>
  <cellStyles count="5">
    <cellStyle name="Hyperlink" xfId="2" builtinId="8"/>
    <cellStyle name="Normal" xfId="0" builtinId="0"/>
    <cellStyle name="Normal 2" xfId="1" xr:uid="{00000000-0005-0000-0000-000002000000}"/>
    <cellStyle name="Normal 2 2" xfId="3" xr:uid="{29149BD6-EBA4-8843-95E8-399FDD77D80B}"/>
    <cellStyle name="Normal 3" xfId="4" xr:uid="{CC5835AF-95EF-0A41-B331-D0D471E962F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
  <sheetViews>
    <sheetView showGridLines="0" tabSelected="1" zoomScale="120" zoomScaleNormal="120" workbookViewId="0"/>
  </sheetViews>
  <sheetFormatPr baseColWidth="10" defaultColWidth="11.5" defaultRowHeight="13"/>
  <cols>
    <col min="1" max="1" width="3.33203125" customWidth="1"/>
    <col min="2" max="2" width="11.83203125" customWidth="1"/>
    <col min="3" max="3" width="23.5" customWidth="1"/>
    <col min="4" max="4" width="4.6640625" customWidth="1"/>
    <col min="5" max="5" width="93.83203125" style="11" customWidth="1"/>
    <col min="6" max="6" width="54.6640625" customWidth="1"/>
    <col min="7" max="7" width="10.83203125" customWidth="1"/>
  </cols>
  <sheetData>
    <row r="1" spans="1:6" ht="14" thickBot="1"/>
    <row r="2" spans="1:6" s="2" customFormat="1" ht="19" thickBot="1">
      <c r="B2" s="33" t="s">
        <v>11726</v>
      </c>
      <c r="C2" s="32"/>
      <c r="D2" s="32"/>
      <c r="E2" s="49"/>
      <c r="F2" s="1"/>
    </row>
    <row r="3" spans="1:6" ht="14" thickBot="1">
      <c r="E3"/>
    </row>
    <row r="4" spans="1:6" ht="18">
      <c r="A4" s="2"/>
      <c r="B4" s="9" t="s">
        <v>11722</v>
      </c>
      <c r="C4" s="10">
        <v>1</v>
      </c>
      <c r="D4" s="3"/>
      <c r="E4" s="14" t="str">
        <f>CONCATENATE("Version ",C4)</f>
        <v>Version 1</v>
      </c>
    </row>
    <row r="5" spans="1:6" ht="16">
      <c r="A5" s="3"/>
      <c r="B5" s="6" t="s">
        <v>11723</v>
      </c>
      <c r="C5" s="16">
        <v>45408</v>
      </c>
      <c r="D5" s="4"/>
      <c r="E5" s="12" t="s">
        <v>24857</v>
      </c>
    </row>
    <row r="6" spans="1:6" ht="17" thickBot="1">
      <c r="A6" s="3"/>
      <c r="B6" s="7" t="s">
        <v>11724</v>
      </c>
      <c r="C6" s="8" t="s">
        <v>11725</v>
      </c>
      <c r="D6" s="5"/>
      <c r="E6" s="15" t="s">
        <v>11727</v>
      </c>
    </row>
    <row r="7" spans="1:6" ht="16">
      <c r="A7" s="3"/>
      <c r="B7" s="23"/>
      <c r="C7" s="5"/>
      <c r="D7" s="5"/>
      <c r="E7" s="15" t="s">
        <v>11728</v>
      </c>
    </row>
    <row r="8" spans="1:6" ht="16">
      <c r="A8" s="3"/>
      <c r="B8" s="3"/>
      <c r="C8" s="3"/>
      <c r="D8" s="3"/>
      <c r="E8" s="17" t="str">
        <f>HYPERLINK("https://ictv.global/","For more information see: https://ictv.global/")</f>
        <v>For more information see: https://ictv.global/</v>
      </c>
    </row>
    <row r="9" spans="1:6" ht="17" thickBot="1">
      <c r="B9" s="3"/>
      <c r="C9" s="3"/>
      <c r="D9" s="3"/>
      <c r="E9" s="13"/>
    </row>
    <row r="10" spans="1:6" ht="16">
      <c r="B10" s="9" t="s">
        <v>11722</v>
      </c>
      <c r="C10" s="10">
        <v>2</v>
      </c>
      <c r="D10" s="3"/>
      <c r="E10" s="14" t="str">
        <f>CONCATENATE("Version ",C10)</f>
        <v>Version 2</v>
      </c>
    </row>
    <row r="11" spans="1:6" ht="16">
      <c r="B11" s="6" t="s">
        <v>11723</v>
      </c>
      <c r="C11" s="16">
        <v>45419</v>
      </c>
      <c r="D11" s="4"/>
      <c r="E11" s="12" t="s">
        <v>24858</v>
      </c>
    </row>
    <row r="12" spans="1:6" ht="17" thickBot="1">
      <c r="B12" s="7" t="s">
        <v>11724</v>
      </c>
      <c r="C12" s="8" t="s">
        <v>24855</v>
      </c>
      <c r="D12" s="5"/>
      <c r="E12" s="48" t="s">
        <v>24856</v>
      </c>
    </row>
    <row r="13" spans="1:6" ht="16">
      <c r="B13" s="23"/>
      <c r="C13" s="5"/>
      <c r="D13" s="5"/>
      <c r="E13" s="47"/>
    </row>
    <row r="14" spans="1:6" ht="16">
      <c r="B14" s="3"/>
      <c r="C14" s="3"/>
      <c r="D14" s="3"/>
    </row>
    <row r="15" spans="1:6" ht="16">
      <c r="B15" s="3"/>
      <c r="C15" s="3"/>
      <c r="D15" s="3"/>
      <c r="E15" s="13"/>
    </row>
    <row r="44" spans="3:3">
      <c r="C44" s="43"/>
    </row>
  </sheetData>
  <phoneticPr fontId="5" type="noConversion"/>
  <pageMargins left="0.75" right="0.75" top="1" bottom="1" header="0.5" footer="0.5"/>
  <pageSetup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B1EB1-CFF9-A342-B208-8133A34B5F91}">
  <dimension ref="A1:U14691"/>
  <sheetViews>
    <sheetView zoomScale="130" zoomScaleNormal="130" workbookViewId="0">
      <pane ySplit="1" topLeftCell="A2" activePane="bottomLeft" state="frozen"/>
      <selection activeCell="N1" sqref="N1"/>
      <selection pane="bottomLeft"/>
    </sheetView>
  </sheetViews>
  <sheetFormatPr baseColWidth="10" defaultRowHeight="13"/>
  <cols>
    <col min="1" max="1" width="6.1640625" bestFit="1" customWidth="1"/>
    <col min="2" max="2" width="12" style="30" bestFit="1" customWidth="1"/>
    <col min="3" max="3" width="10.1640625" style="30" bestFit="1" customWidth="1"/>
    <col min="4" max="4" width="14.33203125" style="30" bestFit="1" customWidth="1"/>
    <col min="5" max="5" width="12.83203125" style="30" bestFit="1" customWidth="1"/>
    <col min="6" max="6" width="15.33203125" style="30" bestFit="1" customWidth="1"/>
    <col min="7" max="7" width="13.83203125" style="30" bestFit="1" customWidth="1"/>
    <col min="8" max="8" width="15.83203125" style="30" bestFit="1" customWidth="1"/>
    <col min="9" max="9" width="9.33203125" style="30" bestFit="1" customWidth="1"/>
    <col min="10" max="10" width="15.83203125" style="30" bestFit="1" customWidth="1"/>
    <col min="11" max="11" width="14" style="30" bestFit="1" customWidth="1"/>
    <col min="12" max="12" width="18.1640625" style="30" bestFit="1" customWidth="1"/>
    <col min="13" max="13" width="20.6640625" style="30" bestFit="1" customWidth="1"/>
    <col min="14" max="14" width="22" style="30" bestFit="1" customWidth="1"/>
    <col min="15" max="15" width="13.6640625" style="30" bestFit="1" customWidth="1"/>
    <col min="16" max="16" width="46.1640625" style="30" bestFit="1" customWidth="1"/>
    <col min="17" max="17" width="21.5" bestFit="1" customWidth="1"/>
    <col min="18" max="18" width="21.6640625" customWidth="1"/>
    <col min="19" max="19" width="19.33203125" bestFit="1" customWidth="1"/>
    <col min="20" max="20" width="57.33203125" customWidth="1"/>
    <col min="21" max="21" width="21.33203125" customWidth="1"/>
    <col min="22" max="22" width="12.83203125" customWidth="1"/>
  </cols>
  <sheetData>
    <row r="1" spans="1:21" ht="14" thickBot="1">
      <c r="A1" s="31" t="s">
        <v>1586</v>
      </c>
      <c r="B1" s="31" t="s">
        <v>1030</v>
      </c>
      <c r="C1" s="31" t="s">
        <v>1031</v>
      </c>
      <c r="D1" s="31" t="s">
        <v>1032</v>
      </c>
      <c r="E1" s="31" t="s">
        <v>1033</v>
      </c>
      <c r="F1" s="31" t="s">
        <v>1034</v>
      </c>
      <c r="G1" s="31" t="s">
        <v>1035</v>
      </c>
      <c r="H1" s="31" t="s">
        <v>1036</v>
      </c>
      <c r="I1" s="31" t="s">
        <v>1037</v>
      </c>
      <c r="J1" s="31" t="s">
        <v>269</v>
      </c>
      <c r="K1" s="31" t="s">
        <v>1038</v>
      </c>
      <c r="L1" s="31" t="s">
        <v>436</v>
      </c>
      <c r="M1" s="31" t="s">
        <v>437</v>
      </c>
      <c r="N1" s="31" t="s">
        <v>438</v>
      </c>
      <c r="O1" s="31" t="s">
        <v>1039</v>
      </c>
      <c r="P1" s="31" t="s">
        <v>439</v>
      </c>
      <c r="Q1" s="31" t="s">
        <v>625</v>
      </c>
      <c r="R1" s="31" t="s">
        <v>627</v>
      </c>
      <c r="S1" s="31" t="s">
        <v>808</v>
      </c>
      <c r="T1" s="31" t="s">
        <v>951</v>
      </c>
      <c r="U1" s="31" t="s">
        <v>626</v>
      </c>
    </row>
    <row r="2" spans="1:21">
      <c r="A2">
        <v>1</v>
      </c>
      <c r="B2" s="30" t="s">
        <v>2185</v>
      </c>
      <c r="D2" s="30" t="s">
        <v>2186</v>
      </c>
      <c r="F2" s="30" t="s">
        <v>2187</v>
      </c>
      <c r="H2" s="30" t="s">
        <v>2188</v>
      </c>
      <c r="J2" s="30" t="s">
        <v>506</v>
      </c>
      <c r="L2" s="30" t="s">
        <v>393</v>
      </c>
      <c r="N2" s="30" t="s">
        <v>2175</v>
      </c>
      <c r="P2" s="30" t="s">
        <v>11729</v>
      </c>
      <c r="Q2" t="s">
        <v>619</v>
      </c>
      <c r="R2" t="s">
        <v>920</v>
      </c>
      <c r="S2">
        <v>39</v>
      </c>
      <c r="T2" s="29" t="str">
        <f t="shared" ref="T2:T29" si="0">HYPERLINK("https://ictv.global/ictv/proposals/2023.001A.Archaeal_binomials.zip","2023.001A.Archaeal_binomials.zip")</f>
        <v>2023.001A.Archaeal_binomials.zip</v>
      </c>
      <c r="U2" s="29" t="str">
        <f>HYPERLINK("https://ictv.global/taxonomy/taxondetails?taxnode_id=202308643","ictv.global=202308643")</f>
        <v>ictv.global=202308643</v>
      </c>
    </row>
    <row r="3" spans="1:21">
      <c r="A3">
        <v>2</v>
      </c>
      <c r="B3" s="30" t="s">
        <v>2185</v>
      </c>
      <c r="D3" s="30" t="s">
        <v>2186</v>
      </c>
      <c r="F3" s="30" t="s">
        <v>2187</v>
      </c>
      <c r="H3" s="30" t="s">
        <v>2188</v>
      </c>
      <c r="J3" s="30" t="s">
        <v>506</v>
      </c>
      <c r="L3" s="30" t="s">
        <v>393</v>
      </c>
      <c r="N3" s="30" t="s">
        <v>2175</v>
      </c>
      <c r="P3" s="30" t="s">
        <v>11730</v>
      </c>
      <c r="Q3" t="s">
        <v>619</v>
      </c>
      <c r="R3" t="s">
        <v>920</v>
      </c>
      <c r="S3">
        <v>39</v>
      </c>
      <c r="T3" s="29" t="str">
        <f t="shared" si="0"/>
        <v>2023.001A.Archaeal_binomials.zip</v>
      </c>
      <c r="U3" s="29" t="str">
        <f>HYPERLINK("https://ictv.global/taxonomy/taxondetails?taxnode_id=202308644","ictv.global=202308644")</f>
        <v>ictv.global=202308644</v>
      </c>
    </row>
    <row r="4" spans="1:21">
      <c r="A4">
        <v>3</v>
      </c>
      <c r="B4" s="30" t="s">
        <v>2185</v>
      </c>
      <c r="D4" s="30" t="s">
        <v>2186</v>
      </c>
      <c r="F4" s="30" t="s">
        <v>2187</v>
      </c>
      <c r="H4" s="30" t="s">
        <v>2188</v>
      </c>
      <c r="J4" s="30" t="s">
        <v>506</v>
      </c>
      <c r="L4" s="30" t="s">
        <v>393</v>
      </c>
      <c r="N4" s="30" t="s">
        <v>394</v>
      </c>
      <c r="P4" s="30" t="s">
        <v>11731</v>
      </c>
      <c r="Q4" t="s">
        <v>619</v>
      </c>
      <c r="R4" t="s">
        <v>920</v>
      </c>
      <c r="S4">
        <v>39</v>
      </c>
      <c r="T4" s="29" t="str">
        <f t="shared" si="0"/>
        <v>2023.001A.Archaeal_binomials.zip</v>
      </c>
      <c r="U4" s="29" t="str">
        <f>HYPERLINK("https://ictv.global/taxonomy/taxondetails?taxnode_id=202301532","ictv.global=202301532")</f>
        <v>ictv.global=202301532</v>
      </c>
    </row>
    <row r="5" spans="1:21">
      <c r="A5">
        <v>4</v>
      </c>
      <c r="B5" s="30" t="s">
        <v>2185</v>
      </c>
      <c r="D5" s="30" t="s">
        <v>2186</v>
      </c>
      <c r="F5" s="30" t="s">
        <v>2187</v>
      </c>
      <c r="H5" s="30" t="s">
        <v>2188</v>
      </c>
      <c r="J5" s="30" t="s">
        <v>506</v>
      </c>
      <c r="L5" s="30" t="s">
        <v>393</v>
      </c>
      <c r="N5" s="30" t="s">
        <v>394</v>
      </c>
      <c r="P5" s="30" t="s">
        <v>11732</v>
      </c>
      <c r="Q5" t="s">
        <v>619</v>
      </c>
      <c r="R5" t="s">
        <v>920</v>
      </c>
      <c r="S5">
        <v>39</v>
      </c>
      <c r="T5" s="29" t="str">
        <f t="shared" si="0"/>
        <v>2023.001A.Archaeal_binomials.zip</v>
      </c>
      <c r="U5" s="29" t="str">
        <f>HYPERLINK("https://ictv.global/taxonomy/taxondetails?taxnode_id=202301537","ictv.global=202301537")</f>
        <v>ictv.global=202301537</v>
      </c>
    </row>
    <row r="6" spans="1:21">
      <c r="A6">
        <v>5</v>
      </c>
      <c r="B6" s="30" t="s">
        <v>2185</v>
      </c>
      <c r="D6" s="30" t="s">
        <v>2186</v>
      </c>
      <c r="F6" s="30" t="s">
        <v>2187</v>
      </c>
      <c r="H6" s="30" t="s">
        <v>2188</v>
      </c>
      <c r="J6" s="30" t="s">
        <v>506</v>
      </c>
      <c r="L6" s="30" t="s">
        <v>393</v>
      </c>
      <c r="N6" s="30" t="s">
        <v>394</v>
      </c>
      <c r="P6" s="30" t="s">
        <v>11733</v>
      </c>
      <c r="Q6" t="s">
        <v>619</v>
      </c>
      <c r="R6" t="s">
        <v>920</v>
      </c>
      <c r="S6">
        <v>39</v>
      </c>
      <c r="T6" s="29" t="str">
        <f t="shared" si="0"/>
        <v>2023.001A.Archaeal_binomials.zip</v>
      </c>
      <c r="U6" s="29" t="str">
        <f>HYPERLINK("https://ictv.global/taxonomy/taxondetails?taxnode_id=202301534","ictv.global=202301534")</f>
        <v>ictv.global=202301534</v>
      </c>
    </row>
    <row r="7" spans="1:21">
      <c r="A7">
        <v>6</v>
      </c>
      <c r="B7" s="30" t="s">
        <v>2185</v>
      </c>
      <c r="D7" s="30" t="s">
        <v>2186</v>
      </c>
      <c r="F7" s="30" t="s">
        <v>2187</v>
      </c>
      <c r="H7" s="30" t="s">
        <v>2188</v>
      </c>
      <c r="J7" s="30" t="s">
        <v>506</v>
      </c>
      <c r="L7" s="30" t="s">
        <v>393</v>
      </c>
      <c r="N7" s="30" t="s">
        <v>394</v>
      </c>
      <c r="P7" s="30" t="s">
        <v>11734</v>
      </c>
      <c r="Q7" t="s">
        <v>619</v>
      </c>
      <c r="R7" t="s">
        <v>920</v>
      </c>
      <c r="S7">
        <v>39</v>
      </c>
      <c r="T7" s="29" t="str">
        <f t="shared" si="0"/>
        <v>2023.001A.Archaeal_binomials.zip</v>
      </c>
      <c r="U7" s="29" t="str">
        <f>HYPERLINK("https://ictv.global/taxonomy/taxondetails?taxnode_id=202301533","ictv.global=202301533")</f>
        <v>ictv.global=202301533</v>
      </c>
    </row>
    <row r="8" spans="1:21">
      <c r="A8">
        <v>7</v>
      </c>
      <c r="B8" s="30" t="s">
        <v>2185</v>
      </c>
      <c r="D8" s="30" t="s">
        <v>2186</v>
      </c>
      <c r="F8" s="30" t="s">
        <v>2187</v>
      </c>
      <c r="H8" s="30" t="s">
        <v>2188</v>
      </c>
      <c r="J8" s="30" t="s">
        <v>506</v>
      </c>
      <c r="L8" s="30" t="s">
        <v>393</v>
      </c>
      <c r="N8" s="30" t="s">
        <v>394</v>
      </c>
      <c r="P8" s="30" t="s">
        <v>11735</v>
      </c>
      <c r="Q8" t="s">
        <v>619</v>
      </c>
      <c r="R8" t="s">
        <v>920</v>
      </c>
      <c r="S8">
        <v>39</v>
      </c>
      <c r="T8" s="29" t="str">
        <f t="shared" si="0"/>
        <v>2023.001A.Archaeal_binomials.zip</v>
      </c>
      <c r="U8" s="29" t="str">
        <f>HYPERLINK("https://ictv.global/taxonomy/taxondetails?taxnode_id=202301535","ictv.global=202301535")</f>
        <v>ictv.global=202301535</v>
      </c>
    </row>
    <row r="9" spans="1:21">
      <c r="A9">
        <v>8</v>
      </c>
      <c r="B9" s="30" t="s">
        <v>2185</v>
      </c>
      <c r="D9" s="30" t="s">
        <v>2186</v>
      </c>
      <c r="F9" s="30" t="s">
        <v>2187</v>
      </c>
      <c r="H9" s="30" t="s">
        <v>2188</v>
      </c>
      <c r="J9" s="30" t="s">
        <v>506</v>
      </c>
      <c r="L9" s="30" t="s">
        <v>393</v>
      </c>
      <c r="N9" s="30" t="s">
        <v>394</v>
      </c>
      <c r="P9" s="30" t="s">
        <v>11736</v>
      </c>
      <c r="Q9" t="s">
        <v>619</v>
      </c>
      <c r="R9" t="s">
        <v>920</v>
      </c>
      <c r="S9">
        <v>39</v>
      </c>
      <c r="T9" s="29" t="str">
        <f t="shared" si="0"/>
        <v>2023.001A.Archaeal_binomials.zip</v>
      </c>
      <c r="U9" s="29" t="str">
        <f>HYPERLINK("https://ictv.global/taxonomy/taxondetails?taxnode_id=202301536","ictv.global=202301536")</f>
        <v>ictv.global=202301536</v>
      </c>
    </row>
    <row r="10" spans="1:21">
      <c r="A10">
        <v>9</v>
      </c>
      <c r="B10" s="30" t="s">
        <v>2185</v>
      </c>
      <c r="D10" s="30" t="s">
        <v>2186</v>
      </c>
      <c r="F10" s="30" t="s">
        <v>2187</v>
      </c>
      <c r="H10" s="30" t="s">
        <v>2188</v>
      </c>
      <c r="J10" s="30" t="s">
        <v>506</v>
      </c>
      <c r="L10" s="30" t="s">
        <v>393</v>
      </c>
      <c r="N10" s="30" t="s">
        <v>297</v>
      </c>
      <c r="P10" s="30" t="s">
        <v>11737</v>
      </c>
      <c r="Q10" t="s">
        <v>619</v>
      </c>
      <c r="R10" t="s">
        <v>920</v>
      </c>
      <c r="S10">
        <v>39</v>
      </c>
      <c r="T10" s="29" t="str">
        <f t="shared" si="0"/>
        <v>2023.001A.Archaeal_binomials.zip</v>
      </c>
      <c r="U10" s="29" t="str">
        <f>HYPERLINK("https://ictv.global/taxonomy/taxondetails?taxnode_id=202308645","ictv.global=202308645")</f>
        <v>ictv.global=202308645</v>
      </c>
    </row>
    <row r="11" spans="1:21">
      <c r="A11">
        <v>10</v>
      </c>
      <c r="B11" s="30" t="s">
        <v>2185</v>
      </c>
      <c r="D11" s="30" t="s">
        <v>2186</v>
      </c>
      <c r="F11" s="30" t="s">
        <v>2187</v>
      </c>
      <c r="H11" s="30" t="s">
        <v>2188</v>
      </c>
      <c r="J11" s="30" t="s">
        <v>506</v>
      </c>
      <c r="L11" s="30" t="s">
        <v>393</v>
      </c>
      <c r="N11" s="30" t="s">
        <v>297</v>
      </c>
      <c r="P11" s="30" t="s">
        <v>11738</v>
      </c>
      <c r="Q11" t="s">
        <v>619</v>
      </c>
      <c r="R11" t="s">
        <v>920</v>
      </c>
      <c r="S11">
        <v>39</v>
      </c>
      <c r="T11" s="29" t="str">
        <f t="shared" si="0"/>
        <v>2023.001A.Archaeal_binomials.zip</v>
      </c>
      <c r="U11" s="29" t="str">
        <f>HYPERLINK("https://ictv.global/taxonomy/taxondetails?taxnode_id=202301539","ictv.global=202301539")</f>
        <v>ictv.global=202301539</v>
      </c>
    </row>
    <row r="12" spans="1:21">
      <c r="A12">
        <v>11</v>
      </c>
      <c r="B12" s="30" t="s">
        <v>2185</v>
      </c>
      <c r="D12" s="30" t="s">
        <v>2186</v>
      </c>
      <c r="F12" s="30" t="s">
        <v>2187</v>
      </c>
      <c r="H12" s="30" t="s">
        <v>2188</v>
      </c>
      <c r="J12" s="30" t="s">
        <v>506</v>
      </c>
      <c r="L12" s="30" t="s">
        <v>338</v>
      </c>
      <c r="N12" s="30" t="s">
        <v>2189</v>
      </c>
      <c r="P12" s="30" t="s">
        <v>11739</v>
      </c>
      <c r="Q12" t="s">
        <v>619</v>
      </c>
      <c r="R12" t="s">
        <v>920</v>
      </c>
      <c r="S12">
        <v>39</v>
      </c>
      <c r="T12" s="29" t="str">
        <f t="shared" si="0"/>
        <v>2023.001A.Archaeal_binomials.zip</v>
      </c>
      <c r="U12" s="29" t="str">
        <f>HYPERLINK("https://ictv.global/taxonomy/taxondetails?taxnode_id=202311720","ictv.global=202311720")</f>
        <v>ictv.global=202311720</v>
      </c>
    </row>
    <row r="13" spans="1:21">
      <c r="A13">
        <v>12</v>
      </c>
      <c r="B13" s="30" t="s">
        <v>2185</v>
      </c>
      <c r="D13" s="30" t="s">
        <v>2186</v>
      </c>
      <c r="F13" s="30" t="s">
        <v>2187</v>
      </c>
      <c r="H13" s="30" t="s">
        <v>2188</v>
      </c>
      <c r="J13" s="30" t="s">
        <v>506</v>
      </c>
      <c r="L13" s="30" t="s">
        <v>338</v>
      </c>
      <c r="N13" s="30" t="s">
        <v>2190</v>
      </c>
      <c r="P13" s="30" t="s">
        <v>11740</v>
      </c>
      <c r="Q13" t="s">
        <v>619</v>
      </c>
      <c r="R13" t="s">
        <v>920</v>
      </c>
      <c r="S13">
        <v>39</v>
      </c>
      <c r="T13" s="29" t="str">
        <f t="shared" si="0"/>
        <v>2023.001A.Archaeal_binomials.zip</v>
      </c>
      <c r="U13" s="29" t="str">
        <f>HYPERLINK("https://ictv.global/taxonomy/taxondetails?taxnode_id=202311717","ictv.global=202311717")</f>
        <v>ictv.global=202311717</v>
      </c>
    </row>
    <row r="14" spans="1:21">
      <c r="A14">
        <v>13</v>
      </c>
      <c r="B14" s="30" t="s">
        <v>2185</v>
      </c>
      <c r="D14" s="30" t="s">
        <v>2186</v>
      </c>
      <c r="F14" s="30" t="s">
        <v>2187</v>
      </c>
      <c r="H14" s="30" t="s">
        <v>2188</v>
      </c>
      <c r="J14" s="30" t="s">
        <v>506</v>
      </c>
      <c r="L14" s="30" t="s">
        <v>338</v>
      </c>
      <c r="N14" s="30" t="s">
        <v>2190</v>
      </c>
      <c r="P14" s="30" t="s">
        <v>11741</v>
      </c>
      <c r="Q14" t="s">
        <v>619</v>
      </c>
      <c r="R14" t="s">
        <v>920</v>
      </c>
      <c r="S14">
        <v>39</v>
      </c>
      <c r="T14" s="29" t="str">
        <f t="shared" si="0"/>
        <v>2023.001A.Archaeal_binomials.zip</v>
      </c>
      <c r="U14" s="29" t="str">
        <f>HYPERLINK("https://ictv.global/taxonomy/taxondetails?taxnode_id=202311718","ictv.global=202311718")</f>
        <v>ictv.global=202311718</v>
      </c>
    </row>
    <row r="15" spans="1:21">
      <c r="A15">
        <v>14</v>
      </c>
      <c r="B15" s="30" t="s">
        <v>2185</v>
      </c>
      <c r="D15" s="30" t="s">
        <v>2186</v>
      </c>
      <c r="F15" s="30" t="s">
        <v>2187</v>
      </c>
      <c r="H15" s="30" t="s">
        <v>2188</v>
      </c>
      <c r="J15" s="30" t="s">
        <v>506</v>
      </c>
      <c r="L15" s="30" t="s">
        <v>338</v>
      </c>
      <c r="N15" s="30" t="s">
        <v>2190</v>
      </c>
      <c r="P15" s="30" t="s">
        <v>11742</v>
      </c>
      <c r="Q15" t="s">
        <v>619</v>
      </c>
      <c r="R15" t="s">
        <v>920</v>
      </c>
      <c r="S15">
        <v>39</v>
      </c>
      <c r="T15" s="29" t="str">
        <f t="shared" si="0"/>
        <v>2023.001A.Archaeal_binomials.zip</v>
      </c>
      <c r="U15" s="29" t="str">
        <f>HYPERLINK("https://ictv.global/taxonomy/taxondetails?taxnode_id=202311716","ictv.global=202311716")</f>
        <v>ictv.global=202311716</v>
      </c>
    </row>
    <row r="16" spans="1:21">
      <c r="A16">
        <v>15</v>
      </c>
      <c r="B16" s="30" t="s">
        <v>2185</v>
      </c>
      <c r="D16" s="30" t="s">
        <v>2186</v>
      </c>
      <c r="F16" s="30" t="s">
        <v>2187</v>
      </c>
      <c r="H16" s="30" t="s">
        <v>2188</v>
      </c>
      <c r="J16" s="30" t="s">
        <v>506</v>
      </c>
      <c r="L16" s="30" t="s">
        <v>338</v>
      </c>
      <c r="N16" s="30" t="s">
        <v>2190</v>
      </c>
      <c r="P16" s="30" t="s">
        <v>11743</v>
      </c>
      <c r="Q16" t="s">
        <v>619</v>
      </c>
      <c r="R16" t="s">
        <v>920</v>
      </c>
      <c r="S16">
        <v>39</v>
      </c>
      <c r="T16" s="29" t="str">
        <f t="shared" si="0"/>
        <v>2023.001A.Archaeal_binomials.zip</v>
      </c>
      <c r="U16" s="29" t="str">
        <f>HYPERLINK("https://ictv.global/taxonomy/taxondetails?taxnode_id=202311719","ictv.global=202311719")</f>
        <v>ictv.global=202311719</v>
      </c>
    </row>
    <row r="17" spans="1:21">
      <c r="A17">
        <v>16</v>
      </c>
      <c r="B17" s="30" t="s">
        <v>2185</v>
      </c>
      <c r="D17" s="30" t="s">
        <v>2186</v>
      </c>
      <c r="F17" s="30" t="s">
        <v>2187</v>
      </c>
      <c r="H17" s="30" t="s">
        <v>2188</v>
      </c>
      <c r="J17" s="30" t="s">
        <v>506</v>
      </c>
      <c r="L17" s="30" t="s">
        <v>338</v>
      </c>
      <c r="N17" s="30" t="s">
        <v>2191</v>
      </c>
      <c r="P17" s="30" t="s">
        <v>11744</v>
      </c>
      <c r="Q17" t="s">
        <v>619</v>
      </c>
      <c r="R17" t="s">
        <v>920</v>
      </c>
      <c r="S17">
        <v>39</v>
      </c>
      <c r="T17" s="29" t="str">
        <f t="shared" si="0"/>
        <v>2023.001A.Archaeal_binomials.zip</v>
      </c>
      <c r="U17" s="29" t="str">
        <f>HYPERLINK("https://ictv.global/taxonomy/taxondetails?taxnode_id=202311709","ictv.global=202311709")</f>
        <v>ictv.global=202311709</v>
      </c>
    </row>
    <row r="18" spans="1:21">
      <c r="A18">
        <v>17</v>
      </c>
      <c r="B18" s="30" t="s">
        <v>2185</v>
      </c>
      <c r="D18" s="30" t="s">
        <v>2186</v>
      </c>
      <c r="F18" s="30" t="s">
        <v>2187</v>
      </c>
      <c r="H18" s="30" t="s">
        <v>2188</v>
      </c>
      <c r="J18" s="30" t="s">
        <v>506</v>
      </c>
      <c r="L18" s="30" t="s">
        <v>338</v>
      </c>
      <c r="N18" s="30" t="s">
        <v>2191</v>
      </c>
      <c r="P18" s="30" t="s">
        <v>11745</v>
      </c>
      <c r="Q18" t="s">
        <v>619</v>
      </c>
      <c r="R18" t="s">
        <v>920</v>
      </c>
      <c r="S18">
        <v>39</v>
      </c>
      <c r="T18" s="29" t="str">
        <f t="shared" si="0"/>
        <v>2023.001A.Archaeal_binomials.zip</v>
      </c>
      <c r="U18" s="29" t="str">
        <f>HYPERLINK("https://ictv.global/taxonomy/taxondetails?taxnode_id=202301547","ictv.global=202301547")</f>
        <v>ictv.global=202301547</v>
      </c>
    </row>
    <row r="19" spans="1:21">
      <c r="A19">
        <v>18</v>
      </c>
      <c r="B19" s="30" t="s">
        <v>2185</v>
      </c>
      <c r="D19" s="30" t="s">
        <v>2186</v>
      </c>
      <c r="F19" s="30" t="s">
        <v>2187</v>
      </c>
      <c r="H19" s="30" t="s">
        <v>2188</v>
      </c>
      <c r="J19" s="30" t="s">
        <v>506</v>
      </c>
      <c r="L19" s="30" t="s">
        <v>338</v>
      </c>
      <c r="N19" s="30" t="s">
        <v>2191</v>
      </c>
      <c r="P19" s="30" t="s">
        <v>11746</v>
      </c>
      <c r="Q19" t="s">
        <v>619</v>
      </c>
      <c r="R19" t="s">
        <v>920</v>
      </c>
      <c r="S19">
        <v>39</v>
      </c>
      <c r="T19" s="29" t="str">
        <f t="shared" si="0"/>
        <v>2023.001A.Archaeal_binomials.zip</v>
      </c>
      <c r="U19" s="29" t="str">
        <f>HYPERLINK("https://ictv.global/taxonomy/taxondetails?taxnode_id=202301546","ictv.global=202301546")</f>
        <v>ictv.global=202301546</v>
      </c>
    </row>
    <row r="20" spans="1:21">
      <c r="A20">
        <v>19</v>
      </c>
      <c r="B20" s="30" t="s">
        <v>2185</v>
      </c>
      <c r="D20" s="30" t="s">
        <v>2186</v>
      </c>
      <c r="F20" s="30" t="s">
        <v>2187</v>
      </c>
      <c r="H20" s="30" t="s">
        <v>2188</v>
      </c>
      <c r="J20" s="30" t="s">
        <v>506</v>
      </c>
      <c r="L20" s="30" t="s">
        <v>338</v>
      </c>
      <c r="N20" s="30" t="s">
        <v>2192</v>
      </c>
      <c r="P20" s="30" t="s">
        <v>11747</v>
      </c>
      <c r="Q20" t="s">
        <v>619</v>
      </c>
      <c r="R20" t="s">
        <v>920</v>
      </c>
      <c r="S20">
        <v>39</v>
      </c>
      <c r="T20" s="29" t="str">
        <f t="shared" si="0"/>
        <v>2023.001A.Archaeal_binomials.zip</v>
      </c>
      <c r="U20" s="29" t="str">
        <f>HYPERLINK("https://ictv.global/taxonomy/taxondetails?taxnode_id=202301545","ictv.global=202301545")</f>
        <v>ictv.global=202301545</v>
      </c>
    </row>
    <row r="21" spans="1:21">
      <c r="A21">
        <v>20</v>
      </c>
      <c r="B21" s="30" t="s">
        <v>2185</v>
      </c>
      <c r="D21" s="30" t="s">
        <v>2186</v>
      </c>
      <c r="F21" s="30" t="s">
        <v>2187</v>
      </c>
      <c r="H21" s="30" t="s">
        <v>2188</v>
      </c>
      <c r="J21" s="30" t="s">
        <v>506</v>
      </c>
      <c r="L21" s="30" t="s">
        <v>338</v>
      </c>
      <c r="N21" s="30" t="s">
        <v>2193</v>
      </c>
      <c r="P21" s="30" t="s">
        <v>11748</v>
      </c>
      <c r="Q21" t="s">
        <v>619</v>
      </c>
      <c r="R21" t="s">
        <v>920</v>
      </c>
      <c r="S21">
        <v>39</v>
      </c>
      <c r="T21" s="29" t="str">
        <f t="shared" si="0"/>
        <v>2023.001A.Archaeal_binomials.zip</v>
      </c>
      <c r="U21" s="29" t="str">
        <f>HYPERLINK("https://ictv.global/taxonomy/taxondetails?taxnode_id=202311721","ictv.global=202311721")</f>
        <v>ictv.global=202311721</v>
      </c>
    </row>
    <row r="22" spans="1:21">
      <c r="A22">
        <v>21</v>
      </c>
      <c r="B22" s="30" t="s">
        <v>2185</v>
      </c>
      <c r="D22" s="30" t="s">
        <v>2186</v>
      </c>
      <c r="F22" s="30" t="s">
        <v>2187</v>
      </c>
      <c r="H22" s="30" t="s">
        <v>2188</v>
      </c>
      <c r="J22" s="30" t="s">
        <v>506</v>
      </c>
      <c r="L22" s="30" t="s">
        <v>338</v>
      </c>
      <c r="N22" s="30" t="s">
        <v>2194</v>
      </c>
      <c r="P22" s="30" t="s">
        <v>11749</v>
      </c>
      <c r="Q22" t="s">
        <v>619</v>
      </c>
      <c r="R22" t="s">
        <v>920</v>
      </c>
      <c r="S22">
        <v>39</v>
      </c>
      <c r="T22" s="29" t="str">
        <f t="shared" si="0"/>
        <v>2023.001A.Archaeal_binomials.zip</v>
      </c>
      <c r="U22" s="29" t="str">
        <f>HYPERLINK("https://ictv.global/taxonomy/taxondetails?taxnode_id=202311722","ictv.global=202311722")</f>
        <v>ictv.global=202311722</v>
      </c>
    </row>
    <row r="23" spans="1:21">
      <c r="A23">
        <v>22</v>
      </c>
      <c r="B23" s="30" t="s">
        <v>2185</v>
      </c>
      <c r="D23" s="30" t="s">
        <v>2186</v>
      </c>
      <c r="F23" s="30" t="s">
        <v>2187</v>
      </c>
      <c r="H23" s="30" t="s">
        <v>2188</v>
      </c>
      <c r="J23" s="30" t="s">
        <v>506</v>
      </c>
      <c r="L23" s="30" t="s">
        <v>338</v>
      </c>
      <c r="N23" s="30" t="s">
        <v>2195</v>
      </c>
      <c r="P23" s="30" t="s">
        <v>11750</v>
      </c>
      <c r="Q23" t="s">
        <v>619</v>
      </c>
      <c r="R23" t="s">
        <v>920</v>
      </c>
      <c r="S23">
        <v>39</v>
      </c>
      <c r="T23" s="29" t="str">
        <f t="shared" si="0"/>
        <v>2023.001A.Archaeal_binomials.zip</v>
      </c>
      <c r="U23" s="29" t="str">
        <f>HYPERLINK("https://ictv.global/taxonomy/taxondetails?taxnode_id=202311714","ictv.global=202311714")</f>
        <v>ictv.global=202311714</v>
      </c>
    </row>
    <row r="24" spans="1:21">
      <c r="A24">
        <v>23</v>
      </c>
      <c r="B24" s="30" t="s">
        <v>2185</v>
      </c>
      <c r="D24" s="30" t="s">
        <v>2186</v>
      </c>
      <c r="F24" s="30" t="s">
        <v>2187</v>
      </c>
      <c r="H24" s="30" t="s">
        <v>2188</v>
      </c>
      <c r="J24" s="30" t="s">
        <v>506</v>
      </c>
      <c r="L24" s="30" t="s">
        <v>338</v>
      </c>
      <c r="N24" s="30" t="s">
        <v>2195</v>
      </c>
      <c r="P24" s="30" t="s">
        <v>11751</v>
      </c>
      <c r="Q24" t="s">
        <v>619</v>
      </c>
      <c r="R24" t="s">
        <v>920</v>
      </c>
      <c r="S24">
        <v>39</v>
      </c>
      <c r="T24" s="29" t="str">
        <f t="shared" si="0"/>
        <v>2023.001A.Archaeal_binomials.zip</v>
      </c>
      <c r="U24" s="29" t="str">
        <f>HYPERLINK("https://ictv.global/taxonomy/taxondetails?taxnode_id=202311713","ictv.global=202311713")</f>
        <v>ictv.global=202311713</v>
      </c>
    </row>
    <row r="25" spans="1:21">
      <c r="A25">
        <v>24</v>
      </c>
      <c r="B25" s="30" t="s">
        <v>2185</v>
      </c>
      <c r="D25" s="30" t="s">
        <v>2186</v>
      </c>
      <c r="F25" s="30" t="s">
        <v>2187</v>
      </c>
      <c r="H25" s="30" t="s">
        <v>2188</v>
      </c>
      <c r="J25" s="30" t="s">
        <v>506</v>
      </c>
      <c r="L25" s="30" t="s">
        <v>338</v>
      </c>
      <c r="N25" s="30" t="s">
        <v>2195</v>
      </c>
      <c r="P25" s="30" t="s">
        <v>11752</v>
      </c>
      <c r="Q25" t="s">
        <v>619</v>
      </c>
      <c r="R25" t="s">
        <v>920</v>
      </c>
      <c r="S25">
        <v>39</v>
      </c>
      <c r="T25" s="29" t="str">
        <f t="shared" si="0"/>
        <v>2023.001A.Archaeal_binomials.zip</v>
      </c>
      <c r="U25" s="29" t="str">
        <f>HYPERLINK("https://ictv.global/taxonomy/taxondetails?taxnode_id=202311712","ictv.global=202311712")</f>
        <v>ictv.global=202311712</v>
      </c>
    </row>
    <row r="26" spans="1:21">
      <c r="A26">
        <v>25</v>
      </c>
      <c r="B26" s="30" t="s">
        <v>2185</v>
      </c>
      <c r="D26" s="30" t="s">
        <v>2186</v>
      </c>
      <c r="F26" s="30" t="s">
        <v>2187</v>
      </c>
      <c r="H26" s="30" t="s">
        <v>2188</v>
      </c>
      <c r="J26" s="30" t="s">
        <v>506</v>
      </c>
      <c r="L26" s="30" t="s">
        <v>338</v>
      </c>
      <c r="N26" s="30" t="s">
        <v>2195</v>
      </c>
      <c r="P26" s="30" t="s">
        <v>11753</v>
      </c>
      <c r="Q26" t="s">
        <v>619</v>
      </c>
      <c r="R26" t="s">
        <v>920</v>
      </c>
      <c r="S26">
        <v>39</v>
      </c>
      <c r="T26" s="29" t="str">
        <f t="shared" si="0"/>
        <v>2023.001A.Archaeal_binomials.zip</v>
      </c>
      <c r="U26" s="29" t="str">
        <f>HYPERLINK("https://ictv.global/taxonomy/taxondetails?taxnode_id=202311715","ictv.global=202311715")</f>
        <v>ictv.global=202311715</v>
      </c>
    </row>
    <row r="27" spans="1:21">
      <c r="A27">
        <v>26</v>
      </c>
      <c r="B27" s="30" t="s">
        <v>2185</v>
      </c>
      <c r="D27" s="30" t="s">
        <v>2186</v>
      </c>
      <c r="F27" s="30" t="s">
        <v>2187</v>
      </c>
      <c r="H27" s="30" t="s">
        <v>2188</v>
      </c>
      <c r="J27" s="30" t="s">
        <v>506</v>
      </c>
      <c r="L27" s="30" t="s">
        <v>338</v>
      </c>
      <c r="N27" s="30" t="s">
        <v>2195</v>
      </c>
      <c r="P27" s="30" t="s">
        <v>11754</v>
      </c>
      <c r="Q27" t="s">
        <v>619</v>
      </c>
      <c r="R27" t="s">
        <v>920</v>
      </c>
      <c r="S27">
        <v>39</v>
      </c>
      <c r="T27" s="29" t="str">
        <f t="shared" si="0"/>
        <v>2023.001A.Archaeal_binomials.zip</v>
      </c>
      <c r="U27" s="29" t="str">
        <f>HYPERLINK("https://ictv.global/taxonomy/taxondetails?taxnode_id=202311711","ictv.global=202311711")</f>
        <v>ictv.global=202311711</v>
      </c>
    </row>
    <row r="28" spans="1:21">
      <c r="A28">
        <v>27</v>
      </c>
      <c r="B28" s="30" t="s">
        <v>2185</v>
      </c>
      <c r="D28" s="30" t="s">
        <v>2186</v>
      </c>
      <c r="F28" s="30" t="s">
        <v>2187</v>
      </c>
      <c r="H28" s="30" t="s">
        <v>2188</v>
      </c>
      <c r="J28" s="30" t="s">
        <v>506</v>
      </c>
      <c r="L28" s="30" t="s">
        <v>338</v>
      </c>
      <c r="N28" s="30" t="s">
        <v>2195</v>
      </c>
      <c r="P28" s="30" t="s">
        <v>11755</v>
      </c>
      <c r="Q28" t="s">
        <v>619</v>
      </c>
      <c r="R28" t="s">
        <v>920</v>
      </c>
      <c r="S28">
        <v>39</v>
      </c>
      <c r="T28" s="29" t="str">
        <f t="shared" si="0"/>
        <v>2023.001A.Archaeal_binomials.zip</v>
      </c>
      <c r="U28" s="29" t="str">
        <f>HYPERLINK("https://ictv.global/taxonomy/taxondetails?taxnode_id=202311710","ictv.global=202311710")</f>
        <v>ictv.global=202311710</v>
      </c>
    </row>
    <row r="29" spans="1:21">
      <c r="A29">
        <v>28</v>
      </c>
      <c r="B29" s="30" t="s">
        <v>2185</v>
      </c>
      <c r="D29" s="30" t="s">
        <v>2186</v>
      </c>
      <c r="F29" s="30" t="s">
        <v>2187</v>
      </c>
      <c r="H29" s="30" t="s">
        <v>2188</v>
      </c>
      <c r="J29" s="30" t="s">
        <v>506</v>
      </c>
      <c r="L29" s="30" t="s">
        <v>3899</v>
      </c>
      <c r="N29" s="30" t="s">
        <v>3900</v>
      </c>
      <c r="P29" s="30" t="s">
        <v>11756</v>
      </c>
      <c r="Q29" t="s">
        <v>619</v>
      </c>
      <c r="R29" t="s">
        <v>920</v>
      </c>
      <c r="S29">
        <v>39</v>
      </c>
      <c r="T29" s="29" t="str">
        <f t="shared" si="0"/>
        <v>2023.001A.Archaeal_binomials.zip</v>
      </c>
      <c r="U29" s="29" t="str">
        <f>HYPERLINK("https://ictv.global/taxonomy/taxondetails?taxnode_id=202301541","ictv.global=202301541")</f>
        <v>ictv.global=202301541</v>
      </c>
    </row>
    <row r="30" spans="1:21">
      <c r="A30">
        <v>29</v>
      </c>
      <c r="B30" s="30" t="s">
        <v>2185</v>
      </c>
      <c r="D30" s="30" t="s">
        <v>2186</v>
      </c>
      <c r="F30" s="30" t="s">
        <v>2187</v>
      </c>
      <c r="H30" s="30" t="s">
        <v>2188</v>
      </c>
      <c r="J30" s="30" t="s">
        <v>3901</v>
      </c>
      <c r="L30" s="30" t="s">
        <v>3902</v>
      </c>
      <c r="N30" s="30" t="s">
        <v>3903</v>
      </c>
      <c r="P30" s="30" t="s">
        <v>3904</v>
      </c>
      <c r="Q30" t="s">
        <v>619</v>
      </c>
      <c r="R30" t="s">
        <v>917</v>
      </c>
      <c r="S30">
        <v>38</v>
      </c>
      <c r="T30" s="29" t="str">
        <f>HYPERLINK("https://ictv.global/ictv/proposals/2022.001A.Nakonvirales_Maximonvirales_Coyopavirales_3no.zip","2022.001A.Nakonvirales_Maximonvirales_Coyopavirales_3no.zip")</f>
        <v>2022.001A.Nakonvirales_Maximonvirales_Coyopavirales_3no.zip</v>
      </c>
      <c r="U30" s="29" t="str">
        <f>HYPERLINK("https://ictv.global/taxonomy/taxondetails?taxnode_id=202314297","ictv.global=202314297")</f>
        <v>ictv.global=202314297</v>
      </c>
    </row>
    <row r="31" spans="1:21">
      <c r="A31">
        <v>30</v>
      </c>
      <c r="B31" s="30" t="s">
        <v>2185</v>
      </c>
      <c r="D31" s="30" t="s">
        <v>2186</v>
      </c>
      <c r="F31" s="30" t="s">
        <v>2187</v>
      </c>
      <c r="H31" s="30" t="s">
        <v>2188</v>
      </c>
      <c r="J31" s="30" t="s">
        <v>2196</v>
      </c>
      <c r="L31" s="30" t="s">
        <v>837</v>
      </c>
      <c r="N31" s="30" t="s">
        <v>838</v>
      </c>
      <c r="P31" s="30" t="s">
        <v>11757</v>
      </c>
      <c r="Q31" t="s">
        <v>619</v>
      </c>
      <c r="R31" t="s">
        <v>920</v>
      </c>
      <c r="S31">
        <v>39</v>
      </c>
      <c r="T31" s="29" t="str">
        <f>HYPERLINK("https://ictv.global/ictv/proposals/2023.001A.Archaeal_binomials.zip","2023.001A.Archaeal_binomials.zip")</f>
        <v>2023.001A.Archaeal_binomials.zip</v>
      </c>
      <c r="U31" s="29" t="str">
        <f>HYPERLINK("https://ictv.global/taxonomy/taxondetails?taxnode_id=202305323","ictv.global=202305323")</f>
        <v>ictv.global=202305323</v>
      </c>
    </row>
    <row r="32" spans="1:21">
      <c r="A32">
        <v>31</v>
      </c>
      <c r="B32" s="30" t="s">
        <v>2185</v>
      </c>
      <c r="D32" s="30" t="s">
        <v>2186</v>
      </c>
      <c r="F32" s="30" t="s">
        <v>2187</v>
      </c>
      <c r="H32" s="30" t="s">
        <v>2188</v>
      </c>
      <c r="J32" s="30" t="s">
        <v>2196</v>
      </c>
      <c r="L32" s="30" t="s">
        <v>837</v>
      </c>
      <c r="N32" s="30" t="s">
        <v>838</v>
      </c>
      <c r="P32" s="30" t="s">
        <v>11758</v>
      </c>
      <c r="Q32" t="s">
        <v>619</v>
      </c>
      <c r="R32" t="s">
        <v>920</v>
      </c>
      <c r="S32">
        <v>39</v>
      </c>
      <c r="T32" s="29" t="str">
        <f>HYPERLINK("https://ictv.global/ictv/proposals/2023.001A.Archaeal_binomials.zip","2023.001A.Archaeal_binomials.zip")</f>
        <v>2023.001A.Archaeal_binomials.zip</v>
      </c>
      <c r="U32" s="29" t="str">
        <f>HYPERLINK("https://ictv.global/taxonomy/taxondetails?taxnode_id=202312054","ictv.global=202312054")</f>
        <v>ictv.global=202312054</v>
      </c>
    </row>
    <row r="33" spans="1:21">
      <c r="A33">
        <v>32</v>
      </c>
      <c r="B33" s="30" t="s">
        <v>2185</v>
      </c>
      <c r="D33" s="30" t="s">
        <v>2186</v>
      </c>
      <c r="F33" s="30" t="s">
        <v>2187</v>
      </c>
      <c r="H33" s="30" t="s">
        <v>2188</v>
      </c>
      <c r="J33" s="30" t="s">
        <v>2196</v>
      </c>
      <c r="L33" s="30" t="s">
        <v>837</v>
      </c>
      <c r="N33" s="30" t="s">
        <v>2197</v>
      </c>
      <c r="P33" s="30" t="s">
        <v>11759</v>
      </c>
      <c r="Q33" t="s">
        <v>619</v>
      </c>
      <c r="R33" t="s">
        <v>920</v>
      </c>
      <c r="S33">
        <v>39</v>
      </c>
      <c r="T33" s="29" t="str">
        <f>HYPERLINK("https://ictv.global/ictv/proposals/2023.001A.Archaeal_binomials.zip","2023.001A.Archaeal_binomials.zip")</f>
        <v>2023.001A.Archaeal_binomials.zip</v>
      </c>
      <c r="U33" s="29" t="str">
        <f>HYPERLINK("https://ictv.global/taxonomy/taxondetails?taxnode_id=202305324","ictv.global=202305324")</f>
        <v>ictv.global=202305324</v>
      </c>
    </row>
    <row r="34" spans="1:21">
      <c r="A34">
        <v>33</v>
      </c>
      <c r="B34" s="30" t="s">
        <v>1587</v>
      </c>
      <c r="D34" s="30" t="s">
        <v>1588</v>
      </c>
      <c r="F34" s="30" t="s">
        <v>1589</v>
      </c>
      <c r="H34" s="30" t="s">
        <v>1590</v>
      </c>
      <c r="J34" s="30" t="s">
        <v>236</v>
      </c>
      <c r="L34" s="30" t="s">
        <v>237</v>
      </c>
      <c r="N34" s="30" t="s">
        <v>3905</v>
      </c>
      <c r="P34" s="30" t="s">
        <v>3906</v>
      </c>
      <c r="Q34" t="s">
        <v>619</v>
      </c>
      <c r="R34" t="s">
        <v>920</v>
      </c>
      <c r="S34">
        <v>38</v>
      </c>
      <c r="T34" s="29" t="str">
        <f t="shared" ref="T34:T48" si="1">HYPERLINK("https://ictv.global/ictv/proposals/2022.001D.Herpesvirales_1renfam_4rengen_124rensp_6absp.zip","2022.001D.Herpesvirales_1renfam_4rengen_124rensp_6absp.zip")</f>
        <v>2022.001D.Herpesvirales_1renfam_4rengen_124rensp_6absp.zip</v>
      </c>
      <c r="U34" s="29" t="str">
        <f>HYPERLINK("https://ictv.global/taxonomy/taxondetails?taxnode_id=202301396","ictv.global=202301396")</f>
        <v>ictv.global=202301396</v>
      </c>
    </row>
    <row r="35" spans="1:21">
      <c r="A35">
        <v>34</v>
      </c>
      <c r="B35" s="30" t="s">
        <v>1587</v>
      </c>
      <c r="D35" s="30" t="s">
        <v>1588</v>
      </c>
      <c r="F35" s="30" t="s">
        <v>1589</v>
      </c>
      <c r="H35" s="30" t="s">
        <v>1590</v>
      </c>
      <c r="J35" s="30" t="s">
        <v>236</v>
      </c>
      <c r="L35" s="30" t="s">
        <v>237</v>
      </c>
      <c r="N35" s="30" t="s">
        <v>3905</v>
      </c>
      <c r="P35" s="30" t="s">
        <v>3907</v>
      </c>
      <c r="Q35" t="s">
        <v>619</v>
      </c>
      <c r="R35" t="s">
        <v>920</v>
      </c>
      <c r="S35">
        <v>38</v>
      </c>
      <c r="T35" s="29" t="str">
        <f t="shared" si="1"/>
        <v>2022.001D.Herpesvirales_1renfam_4rengen_124rensp_6absp.zip</v>
      </c>
      <c r="U35" s="29" t="str">
        <f>HYPERLINK("https://ictv.global/taxonomy/taxondetails?taxnode_id=202301397","ictv.global=202301397")</f>
        <v>ictv.global=202301397</v>
      </c>
    </row>
    <row r="36" spans="1:21">
      <c r="A36">
        <v>35</v>
      </c>
      <c r="B36" s="30" t="s">
        <v>1587</v>
      </c>
      <c r="D36" s="30" t="s">
        <v>1588</v>
      </c>
      <c r="F36" s="30" t="s">
        <v>1589</v>
      </c>
      <c r="H36" s="30" t="s">
        <v>1590</v>
      </c>
      <c r="J36" s="30" t="s">
        <v>236</v>
      </c>
      <c r="L36" s="30" t="s">
        <v>237</v>
      </c>
      <c r="N36" s="30" t="s">
        <v>3905</v>
      </c>
      <c r="P36" s="30" t="s">
        <v>3908</v>
      </c>
      <c r="Q36" t="s">
        <v>619</v>
      </c>
      <c r="R36" t="s">
        <v>920</v>
      </c>
      <c r="S36">
        <v>38</v>
      </c>
      <c r="T36" s="29" t="str">
        <f t="shared" si="1"/>
        <v>2022.001D.Herpesvirales_1renfam_4rengen_124rensp_6absp.zip</v>
      </c>
      <c r="U36" s="29" t="str">
        <f>HYPERLINK("https://ictv.global/taxonomy/taxondetails?taxnode_id=202305570","ictv.global=202305570")</f>
        <v>ictv.global=202305570</v>
      </c>
    </row>
    <row r="37" spans="1:21">
      <c r="A37">
        <v>36</v>
      </c>
      <c r="B37" s="30" t="s">
        <v>1587</v>
      </c>
      <c r="D37" s="30" t="s">
        <v>1588</v>
      </c>
      <c r="F37" s="30" t="s">
        <v>1589</v>
      </c>
      <c r="H37" s="30" t="s">
        <v>1590</v>
      </c>
      <c r="J37" s="30" t="s">
        <v>236</v>
      </c>
      <c r="L37" s="30" t="s">
        <v>237</v>
      </c>
      <c r="N37" s="30" t="s">
        <v>3909</v>
      </c>
      <c r="P37" s="30" t="s">
        <v>3910</v>
      </c>
      <c r="Q37" t="s">
        <v>619</v>
      </c>
      <c r="R37" t="s">
        <v>920</v>
      </c>
      <c r="S37">
        <v>38</v>
      </c>
      <c r="T37" s="29" t="str">
        <f t="shared" si="1"/>
        <v>2022.001D.Herpesvirales_1renfam_4rengen_124rensp_6absp.zip</v>
      </c>
      <c r="U37" s="29" t="str">
        <f>HYPERLINK("https://ictv.global/taxonomy/taxondetails?taxnode_id=202301399","ictv.global=202301399")</f>
        <v>ictv.global=202301399</v>
      </c>
    </row>
    <row r="38" spans="1:21">
      <c r="A38">
        <v>37</v>
      </c>
      <c r="B38" s="30" t="s">
        <v>1587</v>
      </c>
      <c r="D38" s="30" t="s">
        <v>1588</v>
      </c>
      <c r="F38" s="30" t="s">
        <v>1589</v>
      </c>
      <c r="H38" s="30" t="s">
        <v>1590</v>
      </c>
      <c r="J38" s="30" t="s">
        <v>236</v>
      </c>
      <c r="L38" s="30" t="s">
        <v>237</v>
      </c>
      <c r="N38" s="30" t="s">
        <v>3909</v>
      </c>
      <c r="P38" s="30" t="s">
        <v>3911</v>
      </c>
      <c r="Q38" t="s">
        <v>619</v>
      </c>
      <c r="R38" t="s">
        <v>920</v>
      </c>
      <c r="S38">
        <v>38</v>
      </c>
      <c r="T38" s="29" t="str">
        <f t="shared" si="1"/>
        <v>2022.001D.Herpesvirales_1renfam_4rengen_124rensp_6absp.zip</v>
      </c>
      <c r="U38" s="29" t="str">
        <f>HYPERLINK("https://ictv.global/taxonomy/taxondetails?taxnode_id=202301400","ictv.global=202301400")</f>
        <v>ictv.global=202301400</v>
      </c>
    </row>
    <row r="39" spans="1:21">
      <c r="A39">
        <v>38</v>
      </c>
      <c r="B39" s="30" t="s">
        <v>1587</v>
      </c>
      <c r="D39" s="30" t="s">
        <v>1588</v>
      </c>
      <c r="F39" s="30" t="s">
        <v>1589</v>
      </c>
      <c r="H39" s="30" t="s">
        <v>1590</v>
      </c>
      <c r="J39" s="30" t="s">
        <v>236</v>
      </c>
      <c r="L39" s="30" t="s">
        <v>237</v>
      </c>
      <c r="N39" s="30" t="s">
        <v>3909</v>
      </c>
      <c r="P39" s="30" t="s">
        <v>3912</v>
      </c>
      <c r="Q39" t="s">
        <v>619</v>
      </c>
      <c r="R39" t="s">
        <v>920</v>
      </c>
      <c r="S39">
        <v>38</v>
      </c>
      <c r="T39" s="29" t="str">
        <f t="shared" si="1"/>
        <v>2022.001D.Herpesvirales_1renfam_4rengen_124rensp_6absp.zip</v>
      </c>
      <c r="U39" s="29" t="str">
        <f>HYPERLINK("https://ictv.global/taxonomy/taxondetails?taxnode_id=202301401","ictv.global=202301401")</f>
        <v>ictv.global=202301401</v>
      </c>
    </row>
    <row r="40" spans="1:21">
      <c r="A40">
        <v>39</v>
      </c>
      <c r="B40" s="30" t="s">
        <v>1587</v>
      </c>
      <c r="D40" s="30" t="s">
        <v>1588</v>
      </c>
      <c r="F40" s="30" t="s">
        <v>1589</v>
      </c>
      <c r="H40" s="30" t="s">
        <v>1590</v>
      </c>
      <c r="J40" s="30" t="s">
        <v>236</v>
      </c>
      <c r="L40" s="30" t="s">
        <v>237</v>
      </c>
      <c r="N40" s="30" t="s">
        <v>3909</v>
      </c>
      <c r="P40" s="30" t="s">
        <v>3913</v>
      </c>
      <c r="Q40" t="s">
        <v>619</v>
      </c>
      <c r="R40" t="s">
        <v>920</v>
      </c>
      <c r="S40">
        <v>38</v>
      </c>
      <c r="T40" s="29" t="str">
        <f t="shared" si="1"/>
        <v>2022.001D.Herpesvirales_1renfam_4rengen_124rensp_6absp.zip</v>
      </c>
      <c r="U40" s="29" t="str">
        <f>HYPERLINK("https://ictv.global/taxonomy/taxondetails?taxnode_id=202301402","ictv.global=202301402")</f>
        <v>ictv.global=202301402</v>
      </c>
    </row>
    <row r="41" spans="1:21">
      <c r="A41">
        <v>40</v>
      </c>
      <c r="B41" s="30" t="s">
        <v>1587</v>
      </c>
      <c r="D41" s="30" t="s">
        <v>1588</v>
      </c>
      <c r="F41" s="30" t="s">
        <v>1589</v>
      </c>
      <c r="H41" s="30" t="s">
        <v>1590</v>
      </c>
      <c r="J41" s="30" t="s">
        <v>236</v>
      </c>
      <c r="L41" s="30" t="s">
        <v>237</v>
      </c>
      <c r="N41" s="30" t="s">
        <v>3914</v>
      </c>
      <c r="P41" s="30" t="s">
        <v>3915</v>
      </c>
      <c r="Q41" t="s">
        <v>619</v>
      </c>
      <c r="R41" t="s">
        <v>920</v>
      </c>
      <c r="S41">
        <v>38</v>
      </c>
      <c r="T41" s="29" t="str">
        <f t="shared" si="1"/>
        <v>2022.001D.Herpesvirales_1renfam_4rengen_124rensp_6absp.zip</v>
      </c>
      <c r="U41" s="29" t="str">
        <f>HYPERLINK("https://ictv.global/taxonomy/taxondetails?taxnode_id=202301404","ictv.global=202301404")</f>
        <v>ictv.global=202301404</v>
      </c>
    </row>
    <row r="42" spans="1:21">
      <c r="A42">
        <v>41</v>
      </c>
      <c r="B42" s="30" t="s">
        <v>1587</v>
      </c>
      <c r="D42" s="30" t="s">
        <v>1588</v>
      </c>
      <c r="F42" s="30" t="s">
        <v>1589</v>
      </c>
      <c r="H42" s="30" t="s">
        <v>1590</v>
      </c>
      <c r="J42" s="30" t="s">
        <v>236</v>
      </c>
      <c r="L42" s="30" t="s">
        <v>237</v>
      </c>
      <c r="N42" s="30" t="s">
        <v>3914</v>
      </c>
      <c r="P42" s="30" t="s">
        <v>3916</v>
      </c>
      <c r="Q42" t="s">
        <v>619</v>
      </c>
      <c r="R42" t="s">
        <v>920</v>
      </c>
      <c r="S42">
        <v>38</v>
      </c>
      <c r="T42" s="29" t="str">
        <f t="shared" si="1"/>
        <v>2022.001D.Herpesvirales_1renfam_4rengen_124rensp_6absp.zip</v>
      </c>
      <c r="U42" s="29" t="str">
        <f>HYPERLINK("https://ictv.global/taxonomy/taxondetails?taxnode_id=202301405","ictv.global=202301405")</f>
        <v>ictv.global=202301405</v>
      </c>
    </row>
    <row r="43" spans="1:21">
      <c r="A43">
        <v>42</v>
      </c>
      <c r="B43" s="30" t="s">
        <v>1587</v>
      </c>
      <c r="D43" s="30" t="s">
        <v>1588</v>
      </c>
      <c r="F43" s="30" t="s">
        <v>1589</v>
      </c>
      <c r="H43" s="30" t="s">
        <v>1590</v>
      </c>
      <c r="J43" s="30" t="s">
        <v>236</v>
      </c>
      <c r="L43" s="30" t="s">
        <v>237</v>
      </c>
      <c r="N43" s="30" t="s">
        <v>3914</v>
      </c>
      <c r="P43" s="30" t="s">
        <v>3917</v>
      </c>
      <c r="Q43" t="s">
        <v>619</v>
      </c>
      <c r="R43" t="s">
        <v>920</v>
      </c>
      <c r="S43">
        <v>38</v>
      </c>
      <c r="T43" s="29" t="str">
        <f t="shared" si="1"/>
        <v>2022.001D.Herpesvirales_1renfam_4rengen_124rensp_6absp.zip</v>
      </c>
      <c r="U43" s="29" t="str">
        <f>HYPERLINK("https://ictv.global/taxonomy/taxondetails?taxnode_id=202301406","ictv.global=202301406")</f>
        <v>ictv.global=202301406</v>
      </c>
    </row>
    <row r="44" spans="1:21">
      <c r="A44">
        <v>43</v>
      </c>
      <c r="B44" s="30" t="s">
        <v>1587</v>
      </c>
      <c r="D44" s="30" t="s">
        <v>1588</v>
      </c>
      <c r="F44" s="30" t="s">
        <v>1589</v>
      </c>
      <c r="H44" s="30" t="s">
        <v>1590</v>
      </c>
      <c r="J44" s="30" t="s">
        <v>236</v>
      </c>
      <c r="L44" s="30" t="s">
        <v>237</v>
      </c>
      <c r="N44" s="30" t="s">
        <v>3918</v>
      </c>
      <c r="P44" s="30" t="s">
        <v>3919</v>
      </c>
      <c r="Q44" t="s">
        <v>619</v>
      </c>
      <c r="R44" t="s">
        <v>920</v>
      </c>
      <c r="S44">
        <v>38</v>
      </c>
      <c r="T44" s="29" t="str">
        <f t="shared" si="1"/>
        <v>2022.001D.Herpesvirales_1renfam_4rengen_124rensp_6absp.zip</v>
      </c>
      <c r="U44" s="29" t="str">
        <f>HYPERLINK("https://ictv.global/taxonomy/taxondetails?taxnode_id=202301408","ictv.global=202301408")</f>
        <v>ictv.global=202301408</v>
      </c>
    </row>
    <row r="45" spans="1:21">
      <c r="A45">
        <v>44</v>
      </c>
      <c r="B45" s="30" t="s">
        <v>1587</v>
      </c>
      <c r="D45" s="30" t="s">
        <v>1588</v>
      </c>
      <c r="F45" s="30" t="s">
        <v>1589</v>
      </c>
      <c r="H45" s="30" t="s">
        <v>1590</v>
      </c>
      <c r="J45" s="30" t="s">
        <v>236</v>
      </c>
      <c r="L45" s="30" t="s">
        <v>237</v>
      </c>
      <c r="N45" s="30" t="s">
        <v>3918</v>
      </c>
      <c r="P45" s="30" t="s">
        <v>3920</v>
      </c>
      <c r="Q45" t="s">
        <v>619</v>
      </c>
      <c r="R45" t="s">
        <v>920</v>
      </c>
      <c r="S45">
        <v>38</v>
      </c>
      <c r="T45" s="29" t="str">
        <f t="shared" si="1"/>
        <v>2022.001D.Herpesvirales_1renfam_4rengen_124rensp_6absp.zip</v>
      </c>
      <c r="U45" s="29" t="str">
        <f>HYPERLINK("https://ictv.global/taxonomy/taxondetails?taxnode_id=202301409","ictv.global=202301409")</f>
        <v>ictv.global=202301409</v>
      </c>
    </row>
    <row r="46" spans="1:21">
      <c r="A46">
        <v>45</v>
      </c>
      <c r="B46" s="30" t="s">
        <v>1587</v>
      </c>
      <c r="D46" s="30" t="s">
        <v>1588</v>
      </c>
      <c r="F46" s="30" t="s">
        <v>1589</v>
      </c>
      <c r="H46" s="30" t="s">
        <v>1590</v>
      </c>
      <c r="J46" s="30" t="s">
        <v>236</v>
      </c>
      <c r="L46" s="30" t="s">
        <v>237</v>
      </c>
      <c r="N46" s="30" t="s">
        <v>3918</v>
      </c>
      <c r="P46" s="30" t="s">
        <v>3921</v>
      </c>
      <c r="Q46" t="s">
        <v>619</v>
      </c>
      <c r="R46" t="s">
        <v>920</v>
      </c>
      <c r="S46">
        <v>38</v>
      </c>
      <c r="T46" s="29" t="str">
        <f t="shared" si="1"/>
        <v>2022.001D.Herpesvirales_1renfam_4rengen_124rensp_6absp.zip</v>
      </c>
      <c r="U46" s="29" t="str">
        <f>HYPERLINK("https://ictv.global/taxonomy/taxondetails?taxnode_id=202301410","ictv.global=202301410")</f>
        <v>ictv.global=202301410</v>
      </c>
    </row>
    <row r="47" spans="1:21">
      <c r="A47">
        <v>46</v>
      </c>
      <c r="B47" s="30" t="s">
        <v>1587</v>
      </c>
      <c r="D47" s="30" t="s">
        <v>1588</v>
      </c>
      <c r="F47" s="30" t="s">
        <v>1589</v>
      </c>
      <c r="H47" s="30" t="s">
        <v>1590</v>
      </c>
      <c r="J47" s="30" t="s">
        <v>236</v>
      </c>
      <c r="L47" s="30" t="s">
        <v>280</v>
      </c>
      <c r="N47" s="30" t="s">
        <v>505</v>
      </c>
      <c r="P47" s="30" t="s">
        <v>3922</v>
      </c>
      <c r="Q47" t="s">
        <v>619</v>
      </c>
      <c r="R47" t="s">
        <v>920</v>
      </c>
      <c r="S47">
        <v>38</v>
      </c>
      <c r="T47" s="29" t="str">
        <f t="shared" si="1"/>
        <v>2022.001D.Herpesvirales_1renfam_4rengen_124rensp_6absp.zip</v>
      </c>
      <c r="U47" s="29" t="str">
        <f>HYPERLINK("https://ictv.global/taxonomy/taxondetails?taxnode_id=202301525","ictv.global=202301525")</f>
        <v>ictv.global=202301525</v>
      </c>
    </row>
    <row r="48" spans="1:21">
      <c r="A48">
        <v>47</v>
      </c>
      <c r="B48" s="30" t="s">
        <v>1587</v>
      </c>
      <c r="D48" s="30" t="s">
        <v>1588</v>
      </c>
      <c r="F48" s="30" t="s">
        <v>1589</v>
      </c>
      <c r="H48" s="30" t="s">
        <v>1590</v>
      </c>
      <c r="J48" s="30" t="s">
        <v>236</v>
      </c>
      <c r="L48" s="30" t="s">
        <v>280</v>
      </c>
      <c r="N48" s="30" t="s">
        <v>254</v>
      </c>
      <c r="P48" s="30" t="s">
        <v>3923</v>
      </c>
      <c r="Q48" t="s">
        <v>619</v>
      </c>
      <c r="R48" t="s">
        <v>920</v>
      </c>
      <c r="S48">
        <v>38</v>
      </c>
      <c r="T48" s="29" t="str">
        <f t="shared" si="1"/>
        <v>2022.001D.Herpesvirales_1renfam_4rengen_124rensp_6absp.zip</v>
      </c>
      <c r="U48" s="29" t="str">
        <f>HYPERLINK("https://ictv.global/taxonomy/taxondetails?taxnode_id=202301527","ictv.global=202301527")</f>
        <v>ictv.global=202301527</v>
      </c>
    </row>
    <row r="49" spans="1:21">
      <c r="A49">
        <v>48</v>
      </c>
      <c r="B49" s="30" t="s">
        <v>1587</v>
      </c>
      <c r="D49" s="30" t="s">
        <v>1588</v>
      </c>
      <c r="F49" s="30" t="s">
        <v>1589</v>
      </c>
      <c r="H49" s="30" t="s">
        <v>1590</v>
      </c>
      <c r="J49" s="30" t="s">
        <v>236</v>
      </c>
      <c r="L49" s="30" t="s">
        <v>3924</v>
      </c>
      <c r="M49" s="30" t="s">
        <v>238</v>
      </c>
      <c r="N49" s="30" t="s">
        <v>239</v>
      </c>
      <c r="P49" s="30" t="s">
        <v>3925</v>
      </c>
      <c r="Q49" t="s">
        <v>619</v>
      </c>
      <c r="R49" t="s">
        <v>917</v>
      </c>
      <c r="S49">
        <v>38</v>
      </c>
      <c r="T49" s="29" t="str">
        <f>HYPERLINK("https://ictv.global/ictv/proposals/2022.002D.Herpesvirales_9nsp.zip","2022.002D.Herpesvirales_9nsp.zip")</f>
        <v>2022.002D.Herpesvirales_9nsp.zip</v>
      </c>
      <c r="U49" s="29" t="str">
        <f>HYPERLINK("https://ictv.global/taxonomy/taxondetails?taxnode_id=202314013","ictv.global=202314013")</f>
        <v>ictv.global=202314013</v>
      </c>
    </row>
    <row r="50" spans="1:21">
      <c r="A50">
        <v>49</v>
      </c>
      <c r="B50" s="30" t="s">
        <v>1587</v>
      </c>
      <c r="D50" s="30" t="s">
        <v>1588</v>
      </c>
      <c r="F50" s="30" t="s">
        <v>1589</v>
      </c>
      <c r="H50" s="30" t="s">
        <v>1590</v>
      </c>
      <c r="J50" s="30" t="s">
        <v>236</v>
      </c>
      <c r="L50" s="30" t="s">
        <v>3924</v>
      </c>
      <c r="M50" s="30" t="s">
        <v>238</v>
      </c>
      <c r="N50" s="30" t="s">
        <v>239</v>
      </c>
      <c r="P50" s="30" t="s">
        <v>3926</v>
      </c>
      <c r="Q50" t="s">
        <v>619</v>
      </c>
      <c r="R50" t="s">
        <v>920</v>
      </c>
      <c r="S50">
        <v>38</v>
      </c>
      <c r="T50" s="29" t="str">
        <f>HYPERLINK("https://ictv.global/ictv/proposals/2022.001D.Herpesvirales_1renfam_4rengen_124rensp_6absp.zip","2022.001D.Herpesvirales_1renfam_4rengen_124rensp_6absp.zip")</f>
        <v>2022.001D.Herpesvirales_1renfam_4rengen_124rensp_6absp.zip</v>
      </c>
      <c r="U50" s="29" t="str">
        <f>HYPERLINK("https://ictv.global/taxonomy/taxondetails?taxnode_id=202301414","ictv.global=202301414")</f>
        <v>ictv.global=202301414</v>
      </c>
    </row>
    <row r="51" spans="1:21">
      <c r="A51">
        <v>50</v>
      </c>
      <c r="B51" s="30" t="s">
        <v>1587</v>
      </c>
      <c r="D51" s="30" t="s">
        <v>1588</v>
      </c>
      <c r="F51" s="30" t="s">
        <v>1589</v>
      </c>
      <c r="H51" s="30" t="s">
        <v>1590</v>
      </c>
      <c r="J51" s="30" t="s">
        <v>236</v>
      </c>
      <c r="L51" s="30" t="s">
        <v>3924</v>
      </c>
      <c r="M51" s="30" t="s">
        <v>238</v>
      </c>
      <c r="N51" s="30" t="s">
        <v>239</v>
      </c>
      <c r="P51" s="30" t="s">
        <v>3927</v>
      </c>
      <c r="Q51" t="s">
        <v>619</v>
      </c>
      <c r="R51" t="s">
        <v>920</v>
      </c>
      <c r="S51">
        <v>38</v>
      </c>
      <c r="T51" s="29" t="str">
        <f>HYPERLINK("https://ictv.global/ictv/proposals/2022.001D.Herpesvirales_1renfam_4rengen_124rensp_6absp.zip","2022.001D.Herpesvirales_1renfam_4rengen_124rensp_6absp.zip")</f>
        <v>2022.001D.Herpesvirales_1renfam_4rengen_124rensp_6absp.zip</v>
      </c>
      <c r="U51" s="29" t="str">
        <f>HYPERLINK("https://ictv.global/taxonomy/taxondetails?taxnode_id=202301415","ictv.global=202301415")</f>
        <v>ictv.global=202301415</v>
      </c>
    </row>
    <row r="52" spans="1:21">
      <c r="A52">
        <v>51</v>
      </c>
      <c r="B52" s="30" t="s">
        <v>1587</v>
      </c>
      <c r="D52" s="30" t="s">
        <v>1588</v>
      </c>
      <c r="F52" s="30" t="s">
        <v>1589</v>
      </c>
      <c r="H52" s="30" t="s">
        <v>1590</v>
      </c>
      <c r="J52" s="30" t="s">
        <v>236</v>
      </c>
      <c r="L52" s="30" t="s">
        <v>3924</v>
      </c>
      <c r="M52" s="30" t="s">
        <v>238</v>
      </c>
      <c r="N52" s="30" t="s">
        <v>239</v>
      </c>
      <c r="P52" s="30" t="s">
        <v>3928</v>
      </c>
      <c r="Q52" t="s">
        <v>619</v>
      </c>
      <c r="R52" t="s">
        <v>917</v>
      </c>
      <c r="S52">
        <v>38</v>
      </c>
      <c r="T52" s="29" t="str">
        <f>HYPERLINK("https://ictv.global/ictv/proposals/2022.002D.Herpesvirales_9nsp.zip","2022.002D.Herpesvirales_9nsp.zip")</f>
        <v>2022.002D.Herpesvirales_9nsp.zip</v>
      </c>
      <c r="U52" s="29" t="str">
        <f>HYPERLINK("https://ictv.global/taxonomy/taxondetails?taxnode_id=202314014","ictv.global=202314014")</f>
        <v>ictv.global=202314014</v>
      </c>
    </row>
    <row r="53" spans="1:21">
      <c r="A53">
        <v>52</v>
      </c>
      <c r="B53" s="30" t="s">
        <v>1587</v>
      </c>
      <c r="D53" s="30" t="s">
        <v>1588</v>
      </c>
      <c r="F53" s="30" t="s">
        <v>1589</v>
      </c>
      <c r="H53" s="30" t="s">
        <v>1590</v>
      </c>
      <c r="J53" s="30" t="s">
        <v>236</v>
      </c>
      <c r="L53" s="30" t="s">
        <v>3924</v>
      </c>
      <c r="M53" s="30" t="s">
        <v>238</v>
      </c>
      <c r="N53" s="30" t="s">
        <v>360</v>
      </c>
      <c r="P53" s="30" t="s">
        <v>3929</v>
      </c>
      <c r="Q53" t="s">
        <v>619</v>
      </c>
      <c r="R53" t="s">
        <v>920</v>
      </c>
      <c r="S53">
        <v>38</v>
      </c>
      <c r="T53" s="29" t="str">
        <f t="shared" ref="T53:T71" si="2">HYPERLINK("https://ictv.global/ictv/proposals/2022.001D.Herpesvirales_1renfam_4rengen_124rensp_6absp.zip","2022.001D.Herpesvirales_1renfam_4rengen_124rensp_6absp.zip")</f>
        <v>2022.001D.Herpesvirales_1renfam_4rengen_124rensp_6absp.zip</v>
      </c>
      <c r="U53" s="29" t="str">
        <f>HYPERLINK("https://ictv.global/taxonomy/taxondetails?taxnode_id=202301417","ictv.global=202301417")</f>
        <v>ictv.global=202301417</v>
      </c>
    </row>
    <row r="54" spans="1:21">
      <c r="A54">
        <v>53</v>
      </c>
      <c r="B54" s="30" t="s">
        <v>1587</v>
      </c>
      <c r="D54" s="30" t="s">
        <v>1588</v>
      </c>
      <c r="F54" s="30" t="s">
        <v>1589</v>
      </c>
      <c r="H54" s="30" t="s">
        <v>1590</v>
      </c>
      <c r="J54" s="30" t="s">
        <v>236</v>
      </c>
      <c r="L54" s="30" t="s">
        <v>3924</v>
      </c>
      <c r="M54" s="30" t="s">
        <v>238</v>
      </c>
      <c r="N54" s="30" t="s">
        <v>360</v>
      </c>
      <c r="P54" s="30" t="s">
        <v>3930</v>
      </c>
      <c r="Q54" t="s">
        <v>619</v>
      </c>
      <c r="R54" t="s">
        <v>920</v>
      </c>
      <c r="S54">
        <v>38</v>
      </c>
      <c r="T54" s="29" t="str">
        <f t="shared" si="2"/>
        <v>2022.001D.Herpesvirales_1renfam_4rengen_124rensp_6absp.zip</v>
      </c>
      <c r="U54" s="29" t="str">
        <f>HYPERLINK("https://ictv.global/taxonomy/taxondetails?taxnode_id=202301418","ictv.global=202301418")</f>
        <v>ictv.global=202301418</v>
      </c>
    </row>
    <row r="55" spans="1:21">
      <c r="A55">
        <v>54</v>
      </c>
      <c r="B55" s="30" t="s">
        <v>1587</v>
      </c>
      <c r="D55" s="30" t="s">
        <v>1588</v>
      </c>
      <c r="F55" s="30" t="s">
        <v>1589</v>
      </c>
      <c r="H55" s="30" t="s">
        <v>1590</v>
      </c>
      <c r="J55" s="30" t="s">
        <v>236</v>
      </c>
      <c r="L55" s="30" t="s">
        <v>3924</v>
      </c>
      <c r="M55" s="30" t="s">
        <v>238</v>
      </c>
      <c r="N55" s="30" t="s">
        <v>360</v>
      </c>
      <c r="P55" s="30" t="s">
        <v>3931</v>
      </c>
      <c r="Q55" t="s">
        <v>619</v>
      </c>
      <c r="R55" t="s">
        <v>920</v>
      </c>
      <c r="S55">
        <v>38</v>
      </c>
      <c r="T55" s="29" t="str">
        <f t="shared" si="2"/>
        <v>2022.001D.Herpesvirales_1renfam_4rengen_124rensp_6absp.zip</v>
      </c>
      <c r="U55" s="29" t="str">
        <f>HYPERLINK("https://ictv.global/taxonomy/taxondetails?taxnode_id=202301419","ictv.global=202301419")</f>
        <v>ictv.global=202301419</v>
      </c>
    </row>
    <row r="56" spans="1:21">
      <c r="A56">
        <v>55</v>
      </c>
      <c r="B56" s="30" t="s">
        <v>1587</v>
      </c>
      <c r="D56" s="30" t="s">
        <v>1588</v>
      </c>
      <c r="F56" s="30" t="s">
        <v>1589</v>
      </c>
      <c r="H56" s="30" t="s">
        <v>1590</v>
      </c>
      <c r="J56" s="30" t="s">
        <v>236</v>
      </c>
      <c r="L56" s="30" t="s">
        <v>3924</v>
      </c>
      <c r="M56" s="30" t="s">
        <v>238</v>
      </c>
      <c r="N56" s="30" t="s">
        <v>360</v>
      </c>
      <c r="P56" s="30" t="s">
        <v>3932</v>
      </c>
      <c r="Q56" t="s">
        <v>619</v>
      </c>
      <c r="R56" t="s">
        <v>920</v>
      </c>
      <c r="S56">
        <v>38</v>
      </c>
      <c r="T56" s="29" t="str">
        <f t="shared" si="2"/>
        <v>2022.001D.Herpesvirales_1renfam_4rengen_124rensp_6absp.zip</v>
      </c>
      <c r="U56" s="29" t="str">
        <f>HYPERLINK("https://ictv.global/taxonomy/taxondetails?taxnode_id=202301420","ictv.global=202301420")</f>
        <v>ictv.global=202301420</v>
      </c>
    </row>
    <row r="57" spans="1:21">
      <c r="A57">
        <v>56</v>
      </c>
      <c r="B57" s="30" t="s">
        <v>1587</v>
      </c>
      <c r="D57" s="30" t="s">
        <v>1588</v>
      </c>
      <c r="F57" s="30" t="s">
        <v>1589</v>
      </c>
      <c r="H57" s="30" t="s">
        <v>1590</v>
      </c>
      <c r="J57" s="30" t="s">
        <v>236</v>
      </c>
      <c r="L57" s="30" t="s">
        <v>3924</v>
      </c>
      <c r="M57" s="30" t="s">
        <v>238</v>
      </c>
      <c r="N57" s="30" t="s">
        <v>360</v>
      </c>
      <c r="P57" s="30" t="s">
        <v>3933</v>
      </c>
      <c r="Q57" t="s">
        <v>619</v>
      </c>
      <c r="R57" t="s">
        <v>920</v>
      </c>
      <c r="S57">
        <v>38</v>
      </c>
      <c r="T57" s="29" t="str">
        <f t="shared" si="2"/>
        <v>2022.001D.Herpesvirales_1renfam_4rengen_124rensp_6absp.zip</v>
      </c>
      <c r="U57" s="29" t="str">
        <f>HYPERLINK("https://ictv.global/taxonomy/taxondetails?taxnode_id=202301421","ictv.global=202301421")</f>
        <v>ictv.global=202301421</v>
      </c>
    </row>
    <row r="58" spans="1:21">
      <c r="A58">
        <v>57</v>
      </c>
      <c r="B58" s="30" t="s">
        <v>1587</v>
      </c>
      <c r="D58" s="30" t="s">
        <v>1588</v>
      </c>
      <c r="F58" s="30" t="s">
        <v>1589</v>
      </c>
      <c r="H58" s="30" t="s">
        <v>1590</v>
      </c>
      <c r="J58" s="30" t="s">
        <v>236</v>
      </c>
      <c r="L58" s="30" t="s">
        <v>3924</v>
      </c>
      <c r="M58" s="30" t="s">
        <v>238</v>
      </c>
      <c r="N58" s="30" t="s">
        <v>360</v>
      </c>
      <c r="P58" s="30" t="s">
        <v>3934</v>
      </c>
      <c r="Q58" t="s">
        <v>619</v>
      </c>
      <c r="R58" t="s">
        <v>920</v>
      </c>
      <c r="S58">
        <v>38</v>
      </c>
      <c r="T58" s="29" t="str">
        <f t="shared" si="2"/>
        <v>2022.001D.Herpesvirales_1renfam_4rengen_124rensp_6absp.zip</v>
      </c>
      <c r="U58" s="29" t="str">
        <f>HYPERLINK("https://ictv.global/taxonomy/taxondetails?taxnode_id=202306397","ictv.global=202306397")</f>
        <v>ictv.global=202306397</v>
      </c>
    </row>
    <row r="59" spans="1:21">
      <c r="A59">
        <v>58</v>
      </c>
      <c r="B59" s="30" t="s">
        <v>1587</v>
      </c>
      <c r="D59" s="30" t="s">
        <v>1588</v>
      </c>
      <c r="F59" s="30" t="s">
        <v>1589</v>
      </c>
      <c r="H59" s="30" t="s">
        <v>1590</v>
      </c>
      <c r="J59" s="30" t="s">
        <v>236</v>
      </c>
      <c r="L59" s="30" t="s">
        <v>3924</v>
      </c>
      <c r="M59" s="30" t="s">
        <v>238</v>
      </c>
      <c r="N59" s="30" t="s">
        <v>352</v>
      </c>
      <c r="P59" s="30" t="s">
        <v>3935</v>
      </c>
      <c r="Q59" t="s">
        <v>619</v>
      </c>
      <c r="R59" t="s">
        <v>920</v>
      </c>
      <c r="S59">
        <v>38</v>
      </c>
      <c r="T59" s="29" t="str">
        <f t="shared" si="2"/>
        <v>2022.001D.Herpesvirales_1renfam_4rengen_124rensp_6absp.zip</v>
      </c>
      <c r="U59" s="29" t="str">
        <f>HYPERLINK("https://ictv.global/taxonomy/taxondetails?taxnode_id=202301423","ictv.global=202301423")</f>
        <v>ictv.global=202301423</v>
      </c>
    </row>
    <row r="60" spans="1:21">
      <c r="A60">
        <v>59</v>
      </c>
      <c r="B60" s="30" t="s">
        <v>1587</v>
      </c>
      <c r="D60" s="30" t="s">
        <v>1588</v>
      </c>
      <c r="F60" s="30" t="s">
        <v>1589</v>
      </c>
      <c r="H60" s="30" t="s">
        <v>1590</v>
      </c>
      <c r="J60" s="30" t="s">
        <v>236</v>
      </c>
      <c r="L60" s="30" t="s">
        <v>3924</v>
      </c>
      <c r="M60" s="30" t="s">
        <v>238</v>
      </c>
      <c r="N60" s="30" t="s">
        <v>352</v>
      </c>
      <c r="P60" s="30" t="s">
        <v>3936</v>
      </c>
      <c r="Q60" t="s">
        <v>619</v>
      </c>
      <c r="R60" t="s">
        <v>920</v>
      </c>
      <c r="S60">
        <v>38</v>
      </c>
      <c r="T60" s="29" t="str">
        <f t="shared" si="2"/>
        <v>2022.001D.Herpesvirales_1renfam_4rengen_124rensp_6absp.zip</v>
      </c>
      <c r="U60" s="29" t="str">
        <f>HYPERLINK("https://ictv.global/taxonomy/taxondetails?taxnode_id=202306398","ictv.global=202306398")</f>
        <v>ictv.global=202306398</v>
      </c>
    </row>
    <row r="61" spans="1:21">
      <c r="A61">
        <v>60</v>
      </c>
      <c r="B61" s="30" t="s">
        <v>1587</v>
      </c>
      <c r="D61" s="30" t="s">
        <v>1588</v>
      </c>
      <c r="F61" s="30" t="s">
        <v>1589</v>
      </c>
      <c r="H61" s="30" t="s">
        <v>1590</v>
      </c>
      <c r="J61" s="30" t="s">
        <v>236</v>
      </c>
      <c r="L61" s="30" t="s">
        <v>3924</v>
      </c>
      <c r="M61" s="30" t="s">
        <v>238</v>
      </c>
      <c r="N61" s="30" t="s">
        <v>336</v>
      </c>
      <c r="P61" s="30" t="s">
        <v>3937</v>
      </c>
      <c r="Q61" t="s">
        <v>619</v>
      </c>
      <c r="R61" t="s">
        <v>920</v>
      </c>
      <c r="S61">
        <v>38</v>
      </c>
      <c r="T61" s="29" t="str">
        <f t="shared" si="2"/>
        <v>2022.001D.Herpesvirales_1renfam_4rengen_124rensp_6absp.zip</v>
      </c>
      <c r="U61" s="29" t="str">
        <f>HYPERLINK("https://ictv.global/taxonomy/taxondetails?taxnode_id=202301425","ictv.global=202301425")</f>
        <v>ictv.global=202301425</v>
      </c>
    </row>
    <row r="62" spans="1:21">
      <c r="A62">
        <v>61</v>
      </c>
      <c r="B62" s="30" t="s">
        <v>1587</v>
      </c>
      <c r="D62" s="30" t="s">
        <v>1588</v>
      </c>
      <c r="F62" s="30" t="s">
        <v>1589</v>
      </c>
      <c r="H62" s="30" t="s">
        <v>1590</v>
      </c>
      <c r="J62" s="30" t="s">
        <v>236</v>
      </c>
      <c r="L62" s="30" t="s">
        <v>3924</v>
      </c>
      <c r="M62" s="30" t="s">
        <v>238</v>
      </c>
      <c r="N62" s="30" t="s">
        <v>336</v>
      </c>
      <c r="P62" s="30" t="s">
        <v>3938</v>
      </c>
      <c r="Q62" t="s">
        <v>619</v>
      </c>
      <c r="R62" t="s">
        <v>920</v>
      </c>
      <c r="S62">
        <v>38</v>
      </c>
      <c r="T62" s="29" t="str">
        <f t="shared" si="2"/>
        <v>2022.001D.Herpesvirales_1renfam_4rengen_124rensp_6absp.zip</v>
      </c>
      <c r="U62" s="29" t="str">
        <f>HYPERLINK("https://ictv.global/taxonomy/taxondetails?taxnode_id=202301426","ictv.global=202301426")</f>
        <v>ictv.global=202301426</v>
      </c>
    </row>
    <row r="63" spans="1:21">
      <c r="A63">
        <v>62</v>
      </c>
      <c r="B63" s="30" t="s">
        <v>1587</v>
      </c>
      <c r="D63" s="30" t="s">
        <v>1588</v>
      </c>
      <c r="F63" s="30" t="s">
        <v>1589</v>
      </c>
      <c r="H63" s="30" t="s">
        <v>1590</v>
      </c>
      <c r="J63" s="30" t="s">
        <v>236</v>
      </c>
      <c r="L63" s="30" t="s">
        <v>3924</v>
      </c>
      <c r="M63" s="30" t="s">
        <v>238</v>
      </c>
      <c r="N63" s="30" t="s">
        <v>336</v>
      </c>
      <c r="P63" s="30" t="s">
        <v>3939</v>
      </c>
      <c r="Q63" t="s">
        <v>619</v>
      </c>
      <c r="R63" t="s">
        <v>920</v>
      </c>
      <c r="S63">
        <v>38</v>
      </c>
      <c r="T63" s="29" t="str">
        <f t="shared" si="2"/>
        <v>2022.001D.Herpesvirales_1renfam_4rengen_124rensp_6absp.zip</v>
      </c>
      <c r="U63" s="29" t="str">
        <f>HYPERLINK("https://ictv.global/taxonomy/taxondetails?taxnode_id=202301427","ictv.global=202301427")</f>
        <v>ictv.global=202301427</v>
      </c>
    </row>
    <row r="64" spans="1:21">
      <c r="A64">
        <v>63</v>
      </c>
      <c r="B64" s="30" t="s">
        <v>1587</v>
      </c>
      <c r="D64" s="30" t="s">
        <v>1588</v>
      </c>
      <c r="F64" s="30" t="s">
        <v>1589</v>
      </c>
      <c r="H64" s="30" t="s">
        <v>1590</v>
      </c>
      <c r="J64" s="30" t="s">
        <v>236</v>
      </c>
      <c r="L64" s="30" t="s">
        <v>3924</v>
      </c>
      <c r="M64" s="30" t="s">
        <v>238</v>
      </c>
      <c r="N64" s="30" t="s">
        <v>336</v>
      </c>
      <c r="P64" s="30" t="s">
        <v>3940</v>
      </c>
      <c r="Q64" t="s">
        <v>619</v>
      </c>
      <c r="R64" t="s">
        <v>920</v>
      </c>
      <c r="S64">
        <v>38</v>
      </c>
      <c r="T64" s="29" t="str">
        <f t="shared" si="2"/>
        <v>2022.001D.Herpesvirales_1renfam_4rengen_124rensp_6absp.zip</v>
      </c>
      <c r="U64" s="29" t="str">
        <f>HYPERLINK("https://ictv.global/taxonomy/taxondetails?taxnode_id=202301428","ictv.global=202301428")</f>
        <v>ictv.global=202301428</v>
      </c>
    </row>
    <row r="65" spans="1:21">
      <c r="A65">
        <v>64</v>
      </c>
      <c r="B65" s="30" t="s">
        <v>1587</v>
      </c>
      <c r="D65" s="30" t="s">
        <v>1588</v>
      </c>
      <c r="F65" s="30" t="s">
        <v>1589</v>
      </c>
      <c r="H65" s="30" t="s">
        <v>1590</v>
      </c>
      <c r="J65" s="30" t="s">
        <v>236</v>
      </c>
      <c r="L65" s="30" t="s">
        <v>3924</v>
      </c>
      <c r="M65" s="30" t="s">
        <v>238</v>
      </c>
      <c r="N65" s="30" t="s">
        <v>336</v>
      </c>
      <c r="P65" s="30" t="s">
        <v>3941</v>
      </c>
      <c r="Q65" t="s">
        <v>619</v>
      </c>
      <c r="R65" t="s">
        <v>920</v>
      </c>
      <c r="S65">
        <v>38</v>
      </c>
      <c r="T65" s="29" t="str">
        <f t="shared" si="2"/>
        <v>2022.001D.Herpesvirales_1renfam_4rengen_124rensp_6absp.zip</v>
      </c>
      <c r="U65" s="29" t="str">
        <f>HYPERLINK("https://ictv.global/taxonomy/taxondetails?taxnode_id=202301429","ictv.global=202301429")</f>
        <v>ictv.global=202301429</v>
      </c>
    </row>
    <row r="66" spans="1:21">
      <c r="A66">
        <v>65</v>
      </c>
      <c r="B66" s="30" t="s">
        <v>1587</v>
      </c>
      <c r="D66" s="30" t="s">
        <v>1588</v>
      </c>
      <c r="F66" s="30" t="s">
        <v>1589</v>
      </c>
      <c r="H66" s="30" t="s">
        <v>1590</v>
      </c>
      <c r="J66" s="30" t="s">
        <v>236</v>
      </c>
      <c r="L66" s="30" t="s">
        <v>3924</v>
      </c>
      <c r="M66" s="30" t="s">
        <v>238</v>
      </c>
      <c r="N66" s="30" t="s">
        <v>336</v>
      </c>
      <c r="P66" s="30" t="s">
        <v>3942</v>
      </c>
      <c r="Q66" t="s">
        <v>619</v>
      </c>
      <c r="R66" t="s">
        <v>920</v>
      </c>
      <c r="S66">
        <v>38</v>
      </c>
      <c r="T66" s="29" t="str">
        <f t="shared" si="2"/>
        <v>2022.001D.Herpesvirales_1renfam_4rengen_124rensp_6absp.zip</v>
      </c>
      <c r="U66" s="29" t="str">
        <f>HYPERLINK("https://ictv.global/taxonomy/taxondetails?taxnode_id=202301430","ictv.global=202301430")</f>
        <v>ictv.global=202301430</v>
      </c>
    </row>
    <row r="67" spans="1:21">
      <c r="A67">
        <v>66</v>
      </c>
      <c r="B67" s="30" t="s">
        <v>1587</v>
      </c>
      <c r="D67" s="30" t="s">
        <v>1588</v>
      </c>
      <c r="F67" s="30" t="s">
        <v>1589</v>
      </c>
      <c r="H67" s="30" t="s">
        <v>1590</v>
      </c>
      <c r="J67" s="30" t="s">
        <v>236</v>
      </c>
      <c r="L67" s="30" t="s">
        <v>3924</v>
      </c>
      <c r="M67" s="30" t="s">
        <v>238</v>
      </c>
      <c r="N67" s="30" t="s">
        <v>336</v>
      </c>
      <c r="P67" s="30" t="s">
        <v>3943</v>
      </c>
      <c r="Q67" t="s">
        <v>619</v>
      </c>
      <c r="R67" t="s">
        <v>920</v>
      </c>
      <c r="S67">
        <v>38</v>
      </c>
      <c r="T67" s="29" t="str">
        <f t="shared" si="2"/>
        <v>2022.001D.Herpesvirales_1renfam_4rengen_124rensp_6absp.zip</v>
      </c>
      <c r="U67" s="29" t="str">
        <f>HYPERLINK("https://ictv.global/taxonomy/taxondetails?taxnode_id=202301431","ictv.global=202301431")</f>
        <v>ictv.global=202301431</v>
      </c>
    </row>
    <row r="68" spans="1:21">
      <c r="A68">
        <v>67</v>
      </c>
      <c r="B68" s="30" t="s">
        <v>1587</v>
      </c>
      <c r="D68" s="30" t="s">
        <v>1588</v>
      </c>
      <c r="F68" s="30" t="s">
        <v>1589</v>
      </c>
      <c r="H68" s="30" t="s">
        <v>1590</v>
      </c>
      <c r="J68" s="30" t="s">
        <v>236</v>
      </c>
      <c r="L68" s="30" t="s">
        <v>3924</v>
      </c>
      <c r="M68" s="30" t="s">
        <v>238</v>
      </c>
      <c r="N68" s="30" t="s">
        <v>336</v>
      </c>
      <c r="P68" s="30" t="s">
        <v>3944</v>
      </c>
      <c r="Q68" t="s">
        <v>619</v>
      </c>
      <c r="R68" t="s">
        <v>920</v>
      </c>
      <c r="S68">
        <v>38</v>
      </c>
      <c r="T68" s="29" t="str">
        <f t="shared" si="2"/>
        <v>2022.001D.Herpesvirales_1renfam_4rengen_124rensp_6absp.zip</v>
      </c>
      <c r="U68" s="29" t="str">
        <f>HYPERLINK("https://ictv.global/taxonomy/taxondetails?taxnode_id=202308779","ictv.global=202308779")</f>
        <v>ictv.global=202308779</v>
      </c>
    </row>
    <row r="69" spans="1:21">
      <c r="A69">
        <v>68</v>
      </c>
      <c r="B69" s="30" t="s">
        <v>1587</v>
      </c>
      <c r="D69" s="30" t="s">
        <v>1588</v>
      </c>
      <c r="F69" s="30" t="s">
        <v>1589</v>
      </c>
      <c r="H69" s="30" t="s">
        <v>1590</v>
      </c>
      <c r="J69" s="30" t="s">
        <v>236</v>
      </c>
      <c r="L69" s="30" t="s">
        <v>3924</v>
      </c>
      <c r="M69" s="30" t="s">
        <v>238</v>
      </c>
      <c r="N69" s="30" t="s">
        <v>336</v>
      </c>
      <c r="P69" s="30" t="s">
        <v>3945</v>
      </c>
      <c r="Q69" t="s">
        <v>619</v>
      </c>
      <c r="R69" t="s">
        <v>920</v>
      </c>
      <c r="S69">
        <v>38</v>
      </c>
      <c r="T69" s="29" t="str">
        <f t="shared" si="2"/>
        <v>2022.001D.Herpesvirales_1renfam_4rengen_124rensp_6absp.zip</v>
      </c>
      <c r="U69" s="29" t="str">
        <f>HYPERLINK("https://ictv.global/taxonomy/taxondetails?taxnode_id=202308780","ictv.global=202308780")</f>
        <v>ictv.global=202308780</v>
      </c>
    </row>
    <row r="70" spans="1:21">
      <c r="A70">
        <v>69</v>
      </c>
      <c r="B70" s="30" t="s">
        <v>1587</v>
      </c>
      <c r="D70" s="30" t="s">
        <v>1588</v>
      </c>
      <c r="F70" s="30" t="s">
        <v>1589</v>
      </c>
      <c r="H70" s="30" t="s">
        <v>1590</v>
      </c>
      <c r="J70" s="30" t="s">
        <v>236</v>
      </c>
      <c r="L70" s="30" t="s">
        <v>3924</v>
      </c>
      <c r="M70" s="30" t="s">
        <v>238</v>
      </c>
      <c r="N70" s="30" t="s">
        <v>336</v>
      </c>
      <c r="P70" s="30" t="s">
        <v>3946</v>
      </c>
      <c r="Q70" t="s">
        <v>619</v>
      </c>
      <c r="R70" t="s">
        <v>920</v>
      </c>
      <c r="S70">
        <v>38</v>
      </c>
      <c r="T70" s="29" t="str">
        <f t="shared" si="2"/>
        <v>2022.001D.Herpesvirales_1renfam_4rengen_124rensp_6absp.zip</v>
      </c>
      <c r="U70" s="29" t="str">
        <f>HYPERLINK("https://ictv.global/taxonomy/taxondetails?taxnode_id=202301432","ictv.global=202301432")</f>
        <v>ictv.global=202301432</v>
      </c>
    </row>
    <row r="71" spans="1:21">
      <c r="A71">
        <v>70</v>
      </c>
      <c r="B71" s="30" t="s">
        <v>1587</v>
      </c>
      <c r="D71" s="30" t="s">
        <v>1588</v>
      </c>
      <c r="F71" s="30" t="s">
        <v>1589</v>
      </c>
      <c r="H71" s="30" t="s">
        <v>1590</v>
      </c>
      <c r="J71" s="30" t="s">
        <v>236</v>
      </c>
      <c r="L71" s="30" t="s">
        <v>3924</v>
      </c>
      <c r="M71" s="30" t="s">
        <v>238</v>
      </c>
      <c r="N71" s="30" t="s">
        <v>336</v>
      </c>
      <c r="P71" s="30" t="s">
        <v>3947</v>
      </c>
      <c r="Q71" t="s">
        <v>619</v>
      </c>
      <c r="R71" t="s">
        <v>920</v>
      </c>
      <c r="S71">
        <v>38</v>
      </c>
      <c r="T71" s="29" t="str">
        <f t="shared" si="2"/>
        <v>2022.001D.Herpesvirales_1renfam_4rengen_124rensp_6absp.zip</v>
      </c>
      <c r="U71" s="29" t="str">
        <f>HYPERLINK("https://ictv.global/taxonomy/taxondetails?taxnode_id=202301433","ictv.global=202301433")</f>
        <v>ictv.global=202301433</v>
      </c>
    </row>
    <row r="72" spans="1:21">
      <c r="A72">
        <v>71</v>
      </c>
      <c r="B72" s="30" t="s">
        <v>1587</v>
      </c>
      <c r="D72" s="30" t="s">
        <v>1588</v>
      </c>
      <c r="F72" s="30" t="s">
        <v>1589</v>
      </c>
      <c r="H72" s="30" t="s">
        <v>1590</v>
      </c>
      <c r="J72" s="30" t="s">
        <v>236</v>
      </c>
      <c r="L72" s="30" t="s">
        <v>3924</v>
      </c>
      <c r="M72" s="30" t="s">
        <v>238</v>
      </c>
      <c r="N72" s="30" t="s">
        <v>336</v>
      </c>
      <c r="P72" s="30" t="s">
        <v>3948</v>
      </c>
      <c r="Q72" t="s">
        <v>619</v>
      </c>
      <c r="R72" t="s">
        <v>917</v>
      </c>
      <c r="S72">
        <v>38</v>
      </c>
      <c r="T72" s="29" t="str">
        <f>HYPERLINK("https://ictv.global/ictv/proposals/2022.002D.Herpesvirales_9nsp.zip","2022.002D.Herpesvirales_9nsp.zip")</f>
        <v>2022.002D.Herpesvirales_9nsp.zip</v>
      </c>
      <c r="U72" s="29" t="str">
        <f>HYPERLINK("https://ictv.global/taxonomy/taxondetails?taxnode_id=202314015","ictv.global=202314015")</f>
        <v>ictv.global=202314015</v>
      </c>
    </row>
    <row r="73" spans="1:21">
      <c r="A73">
        <v>72</v>
      </c>
      <c r="B73" s="30" t="s">
        <v>1587</v>
      </c>
      <c r="D73" s="30" t="s">
        <v>1588</v>
      </c>
      <c r="F73" s="30" t="s">
        <v>1589</v>
      </c>
      <c r="H73" s="30" t="s">
        <v>1590</v>
      </c>
      <c r="J73" s="30" t="s">
        <v>236</v>
      </c>
      <c r="L73" s="30" t="s">
        <v>3924</v>
      </c>
      <c r="M73" s="30" t="s">
        <v>238</v>
      </c>
      <c r="N73" s="30" t="s">
        <v>336</v>
      </c>
      <c r="P73" s="30" t="s">
        <v>3949</v>
      </c>
      <c r="Q73" t="s">
        <v>619</v>
      </c>
      <c r="R73" t="s">
        <v>920</v>
      </c>
      <c r="S73">
        <v>38</v>
      </c>
      <c r="T73" s="29" t="str">
        <f>HYPERLINK("https://ictv.global/ictv/proposals/2022.001D.Herpesvirales_1renfam_4rengen_124rensp_6absp.zip","2022.001D.Herpesvirales_1renfam_4rengen_124rensp_6absp.zip")</f>
        <v>2022.001D.Herpesvirales_1renfam_4rengen_124rensp_6absp.zip</v>
      </c>
      <c r="U73" s="29" t="str">
        <f>HYPERLINK("https://ictv.global/taxonomy/taxondetails?taxnode_id=202301434","ictv.global=202301434")</f>
        <v>ictv.global=202301434</v>
      </c>
    </row>
    <row r="74" spans="1:21">
      <c r="A74">
        <v>73</v>
      </c>
      <c r="B74" s="30" t="s">
        <v>1587</v>
      </c>
      <c r="D74" s="30" t="s">
        <v>1588</v>
      </c>
      <c r="F74" s="30" t="s">
        <v>1589</v>
      </c>
      <c r="H74" s="30" t="s">
        <v>1590</v>
      </c>
      <c r="J74" s="30" t="s">
        <v>236</v>
      </c>
      <c r="L74" s="30" t="s">
        <v>3924</v>
      </c>
      <c r="M74" s="30" t="s">
        <v>238</v>
      </c>
      <c r="N74" s="30" t="s">
        <v>336</v>
      </c>
      <c r="P74" s="30" t="s">
        <v>3950</v>
      </c>
      <c r="Q74" t="s">
        <v>619</v>
      </c>
      <c r="R74" t="s">
        <v>920</v>
      </c>
      <c r="S74">
        <v>38</v>
      </c>
      <c r="T74" s="29" t="str">
        <f>HYPERLINK("https://ictv.global/ictv/proposals/2022.001D.Herpesvirales_1renfam_4rengen_124rensp_6absp.zip","2022.001D.Herpesvirales_1renfam_4rengen_124rensp_6absp.zip")</f>
        <v>2022.001D.Herpesvirales_1renfam_4rengen_124rensp_6absp.zip</v>
      </c>
      <c r="U74" s="29" t="str">
        <f>HYPERLINK("https://ictv.global/taxonomy/taxondetails?taxnode_id=202301435","ictv.global=202301435")</f>
        <v>ictv.global=202301435</v>
      </c>
    </row>
    <row r="75" spans="1:21">
      <c r="A75">
        <v>74</v>
      </c>
      <c r="B75" s="30" t="s">
        <v>1587</v>
      </c>
      <c r="D75" s="30" t="s">
        <v>1588</v>
      </c>
      <c r="F75" s="30" t="s">
        <v>1589</v>
      </c>
      <c r="H75" s="30" t="s">
        <v>1590</v>
      </c>
      <c r="J75" s="30" t="s">
        <v>236</v>
      </c>
      <c r="L75" s="30" t="s">
        <v>3924</v>
      </c>
      <c r="M75" s="30" t="s">
        <v>238</v>
      </c>
      <c r="N75" s="30" t="s">
        <v>336</v>
      </c>
      <c r="P75" s="30" t="s">
        <v>3951</v>
      </c>
      <c r="Q75" t="s">
        <v>619</v>
      </c>
      <c r="R75" t="s">
        <v>920</v>
      </c>
      <c r="S75">
        <v>38</v>
      </c>
      <c r="T75" s="29" t="str">
        <f>HYPERLINK("https://ictv.global/ictv/proposals/2022.001D.Herpesvirales_1renfam_4rengen_124rensp_6absp.zip","2022.001D.Herpesvirales_1renfam_4rengen_124rensp_6absp.zip")</f>
        <v>2022.001D.Herpesvirales_1renfam_4rengen_124rensp_6absp.zip</v>
      </c>
      <c r="U75" s="29" t="str">
        <f>HYPERLINK("https://ictv.global/taxonomy/taxondetails?taxnode_id=202306395","ictv.global=202306395")</f>
        <v>ictv.global=202306395</v>
      </c>
    </row>
    <row r="76" spans="1:21">
      <c r="A76">
        <v>75</v>
      </c>
      <c r="B76" s="30" t="s">
        <v>1587</v>
      </c>
      <c r="D76" s="30" t="s">
        <v>1588</v>
      </c>
      <c r="F76" s="30" t="s">
        <v>1589</v>
      </c>
      <c r="H76" s="30" t="s">
        <v>1590</v>
      </c>
      <c r="J76" s="30" t="s">
        <v>236</v>
      </c>
      <c r="L76" s="30" t="s">
        <v>3924</v>
      </c>
      <c r="M76" s="30" t="s">
        <v>238</v>
      </c>
      <c r="N76" s="30" t="s">
        <v>336</v>
      </c>
      <c r="P76" s="30" t="s">
        <v>3952</v>
      </c>
      <c r="Q76" t="s">
        <v>619</v>
      </c>
      <c r="R76" t="s">
        <v>917</v>
      </c>
      <c r="S76">
        <v>38</v>
      </c>
      <c r="T76" s="29" t="str">
        <f>HYPERLINK("https://ictv.global/ictv/proposals/2022.002D.Herpesvirales_9nsp.zip","2022.002D.Herpesvirales_9nsp.zip")</f>
        <v>2022.002D.Herpesvirales_9nsp.zip</v>
      </c>
      <c r="U76" s="29" t="str">
        <f>HYPERLINK("https://ictv.global/taxonomy/taxondetails?taxnode_id=202314016","ictv.global=202314016")</f>
        <v>ictv.global=202314016</v>
      </c>
    </row>
    <row r="77" spans="1:21">
      <c r="A77">
        <v>76</v>
      </c>
      <c r="B77" s="30" t="s">
        <v>1587</v>
      </c>
      <c r="D77" s="30" t="s">
        <v>1588</v>
      </c>
      <c r="F77" s="30" t="s">
        <v>1589</v>
      </c>
      <c r="H77" s="30" t="s">
        <v>1590</v>
      </c>
      <c r="J77" s="30" t="s">
        <v>236</v>
      </c>
      <c r="L77" s="30" t="s">
        <v>3924</v>
      </c>
      <c r="M77" s="30" t="s">
        <v>238</v>
      </c>
      <c r="N77" s="30" t="s">
        <v>336</v>
      </c>
      <c r="P77" s="30" t="s">
        <v>3953</v>
      </c>
      <c r="Q77" t="s">
        <v>619</v>
      </c>
      <c r="R77" t="s">
        <v>920</v>
      </c>
      <c r="S77">
        <v>38</v>
      </c>
      <c r="T77" s="29" t="str">
        <f t="shared" ref="T77:T89" si="3">HYPERLINK("https://ictv.global/ictv/proposals/2022.001D.Herpesvirales_1renfam_4rengen_124rensp_6absp.zip","2022.001D.Herpesvirales_1renfam_4rengen_124rensp_6absp.zip")</f>
        <v>2022.001D.Herpesvirales_1renfam_4rengen_124rensp_6absp.zip</v>
      </c>
      <c r="U77" s="29" t="str">
        <f>HYPERLINK("https://ictv.global/taxonomy/taxondetails?taxnode_id=202301436","ictv.global=202301436")</f>
        <v>ictv.global=202301436</v>
      </c>
    </row>
    <row r="78" spans="1:21">
      <c r="A78">
        <v>77</v>
      </c>
      <c r="B78" s="30" t="s">
        <v>1587</v>
      </c>
      <c r="D78" s="30" t="s">
        <v>1588</v>
      </c>
      <c r="F78" s="30" t="s">
        <v>1589</v>
      </c>
      <c r="H78" s="30" t="s">
        <v>1590</v>
      </c>
      <c r="J78" s="30" t="s">
        <v>236</v>
      </c>
      <c r="L78" s="30" t="s">
        <v>3924</v>
      </c>
      <c r="M78" s="30" t="s">
        <v>238</v>
      </c>
      <c r="N78" s="30" t="s">
        <v>337</v>
      </c>
      <c r="P78" s="30" t="s">
        <v>3954</v>
      </c>
      <c r="Q78" t="s">
        <v>619</v>
      </c>
      <c r="R78" t="s">
        <v>920</v>
      </c>
      <c r="S78">
        <v>38</v>
      </c>
      <c r="T78" s="29" t="str">
        <f t="shared" si="3"/>
        <v>2022.001D.Herpesvirales_1renfam_4rengen_124rensp_6absp.zip</v>
      </c>
      <c r="U78" s="29" t="str">
        <f>HYPERLINK("https://ictv.global/taxonomy/taxondetails?taxnode_id=202301440","ictv.global=202301440")</f>
        <v>ictv.global=202301440</v>
      </c>
    </row>
    <row r="79" spans="1:21">
      <c r="A79">
        <v>78</v>
      </c>
      <c r="B79" s="30" t="s">
        <v>1587</v>
      </c>
      <c r="D79" s="30" t="s">
        <v>1588</v>
      </c>
      <c r="F79" s="30" t="s">
        <v>1589</v>
      </c>
      <c r="H79" s="30" t="s">
        <v>1590</v>
      </c>
      <c r="J79" s="30" t="s">
        <v>236</v>
      </c>
      <c r="L79" s="30" t="s">
        <v>3924</v>
      </c>
      <c r="M79" s="30" t="s">
        <v>238</v>
      </c>
      <c r="N79" s="30" t="s">
        <v>337</v>
      </c>
      <c r="P79" s="30" t="s">
        <v>3955</v>
      </c>
      <c r="Q79" t="s">
        <v>619</v>
      </c>
      <c r="R79" t="s">
        <v>920</v>
      </c>
      <c r="S79">
        <v>38</v>
      </c>
      <c r="T79" s="29" t="str">
        <f t="shared" si="3"/>
        <v>2022.001D.Herpesvirales_1renfam_4rengen_124rensp_6absp.zip</v>
      </c>
      <c r="U79" s="29" t="str">
        <f>HYPERLINK("https://ictv.global/taxonomy/taxondetails?taxnode_id=202301441","ictv.global=202301441")</f>
        <v>ictv.global=202301441</v>
      </c>
    </row>
    <row r="80" spans="1:21">
      <c r="A80">
        <v>79</v>
      </c>
      <c r="B80" s="30" t="s">
        <v>1587</v>
      </c>
      <c r="D80" s="30" t="s">
        <v>1588</v>
      </c>
      <c r="F80" s="30" t="s">
        <v>1589</v>
      </c>
      <c r="H80" s="30" t="s">
        <v>1590</v>
      </c>
      <c r="J80" s="30" t="s">
        <v>236</v>
      </c>
      <c r="L80" s="30" t="s">
        <v>3924</v>
      </c>
      <c r="M80" s="30" t="s">
        <v>238</v>
      </c>
      <c r="N80" s="30" t="s">
        <v>337</v>
      </c>
      <c r="P80" s="30" t="s">
        <v>3956</v>
      </c>
      <c r="Q80" t="s">
        <v>619</v>
      </c>
      <c r="R80" t="s">
        <v>920</v>
      </c>
      <c r="S80">
        <v>38</v>
      </c>
      <c r="T80" s="29" t="str">
        <f t="shared" si="3"/>
        <v>2022.001D.Herpesvirales_1renfam_4rengen_124rensp_6absp.zip</v>
      </c>
      <c r="U80" s="29" t="str">
        <f>HYPERLINK("https://ictv.global/taxonomy/taxondetails?taxnode_id=202301442","ictv.global=202301442")</f>
        <v>ictv.global=202301442</v>
      </c>
    </row>
    <row r="81" spans="1:21">
      <c r="A81">
        <v>80</v>
      </c>
      <c r="B81" s="30" t="s">
        <v>1587</v>
      </c>
      <c r="D81" s="30" t="s">
        <v>1588</v>
      </c>
      <c r="F81" s="30" t="s">
        <v>1589</v>
      </c>
      <c r="H81" s="30" t="s">
        <v>1590</v>
      </c>
      <c r="J81" s="30" t="s">
        <v>236</v>
      </c>
      <c r="L81" s="30" t="s">
        <v>3924</v>
      </c>
      <c r="M81" s="30" t="s">
        <v>238</v>
      </c>
      <c r="N81" s="30" t="s">
        <v>337</v>
      </c>
      <c r="P81" s="30" t="s">
        <v>3957</v>
      </c>
      <c r="Q81" t="s">
        <v>619</v>
      </c>
      <c r="R81" t="s">
        <v>920</v>
      </c>
      <c r="S81">
        <v>38</v>
      </c>
      <c r="T81" s="29" t="str">
        <f t="shared" si="3"/>
        <v>2022.001D.Herpesvirales_1renfam_4rengen_124rensp_6absp.zip</v>
      </c>
      <c r="U81" s="29" t="str">
        <f>HYPERLINK("https://ictv.global/taxonomy/taxondetails?taxnode_id=202301443","ictv.global=202301443")</f>
        <v>ictv.global=202301443</v>
      </c>
    </row>
    <row r="82" spans="1:21">
      <c r="A82">
        <v>81</v>
      </c>
      <c r="B82" s="30" t="s">
        <v>1587</v>
      </c>
      <c r="D82" s="30" t="s">
        <v>1588</v>
      </c>
      <c r="F82" s="30" t="s">
        <v>1589</v>
      </c>
      <c r="H82" s="30" t="s">
        <v>1590</v>
      </c>
      <c r="J82" s="30" t="s">
        <v>236</v>
      </c>
      <c r="L82" s="30" t="s">
        <v>3924</v>
      </c>
      <c r="M82" s="30" t="s">
        <v>238</v>
      </c>
      <c r="N82" s="30" t="s">
        <v>337</v>
      </c>
      <c r="P82" s="30" t="s">
        <v>3958</v>
      </c>
      <c r="Q82" t="s">
        <v>619</v>
      </c>
      <c r="R82" t="s">
        <v>920</v>
      </c>
      <c r="S82">
        <v>38</v>
      </c>
      <c r="T82" s="29" t="str">
        <f t="shared" si="3"/>
        <v>2022.001D.Herpesvirales_1renfam_4rengen_124rensp_6absp.zip</v>
      </c>
      <c r="U82" s="29" t="str">
        <f>HYPERLINK("https://ictv.global/taxonomy/taxondetails?taxnode_id=202301444","ictv.global=202301444")</f>
        <v>ictv.global=202301444</v>
      </c>
    </row>
    <row r="83" spans="1:21">
      <c r="A83">
        <v>82</v>
      </c>
      <c r="B83" s="30" t="s">
        <v>1587</v>
      </c>
      <c r="D83" s="30" t="s">
        <v>1588</v>
      </c>
      <c r="F83" s="30" t="s">
        <v>1589</v>
      </c>
      <c r="H83" s="30" t="s">
        <v>1590</v>
      </c>
      <c r="J83" s="30" t="s">
        <v>236</v>
      </c>
      <c r="L83" s="30" t="s">
        <v>3924</v>
      </c>
      <c r="M83" s="30" t="s">
        <v>238</v>
      </c>
      <c r="N83" s="30" t="s">
        <v>337</v>
      </c>
      <c r="P83" s="30" t="s">
        <v>3959</v>
      </c>
      <c r="Q83" t="s">
        <v>619</v>
      </c>
      <c r="R83" t="s">
        <v>920</v>
      </c>
      <c r="S83">
        <v>38</v>
      </c>
      <c r="T83" s="29" t="str">
        <f t="shared" si="3"/>
        <v>2022.001D.Herpesvirales_1renfam_4rengen_124rensp_6absp.zip</v>
      </c>
      <c r="U83" s="29" t="str">
        <f>HYPERLINK("https://ictv.global/taxonomy/taxondetails?taxnode_id=202301445","ictv.global=202301445")</f>
        <v>ictv.global=202301445</v>
      </c>
    </row>
    <row r="84" spans="1:21">
      <c r="A84">
        <v>83</v>
      </c>
      <c r="B84" s="30" t="s">
        <v>1587</v>
      </c>
      <c r="D84" s="30" t="s">
        <v>1588</v>
      </c>
      <c r="F84" s="30" t="s">
        <v>1589</v>
      </c>
      <c r="H84" s="30" t="s">
        <v>1590</v>
      </c>
      <c r="J84" s="30" t="s">
        <v>236</v>
      </c>
      <c r="L84" s="30" t="s">
        <v>3924</v>
      </c>
      <c r="M84" s="30" t="s">
        <v>238</v>
      </c>
      <c r="N84" s="30" t="s">
        <v>337</v>
      </c>
      <c r="P84" s="30" t="s">
        <v>3960</v>
      </c>
      <c r="Q84" t="s">
        <v>619</v>
      </c>
      <c r="R84" t="s">
        <v>920</v>
      </c>
      <c r="S84">
        <v>38</v>
      </c>
      <c r="T84" s="29" t="str">
        <f t="shared" si="3"/>
        <v>2022.001D.Herpesvirales_1renfam_4rengen_124rensp_6absp.zip</v>
      </c>
      <c r="U84" s="29" t="str">
        <f>HYPERLINK("https://ictv.global/taxonomy/taxondetails?taxnode_id=202301446","ictv.global=202301446")</f>
        <v>ictv.global=202301446</v>
      </c>
    </row>
    <row r="85" spans="1:21">
      <c r="A85">
        <v>84</v>
      </c>
      <c r="B85" s="30" t="s">
        <v>1587</v>
      </c>
      <c r="D85" s="30" t="s">
        <v>1588</v>
      </c>
      <c r="F85" s="30" t="s">
        <v>1589</v>
      </c>
      <c r="H85" s="30" t="s">
        <v>1590</v>
      </c>
      <c r="J85" s="30" t="s">
        <v>236</v>
      </c>
      <c r="L85" s="30" t="s">
        <v>3924</v>
      </c>
      <c r="M85" s="30" t="s">
        <v>238</v>
      </c>
      <c r="N85" s="30" t="s">
        <v>337</v>
      </c>
      <c r="P85" s="30" t="s">
        <v>3961</v>
      </c>
      <c r="Q85" t="s">
        <v>619</v>
      </c>
      <c r="R85" t="s">
        <v>920</v>
      </c>
      <c r="S85">
        <v>38</v>
      </c>
      <c r="T85" s="29" t="str">
        <f t="shared" si="3"/>
        <v>2022.001D.Herpesvirales_1renfam_4rengen_124rensp_6absp.zip</v>
      </c>
      <c r="U85" s="29" t="str">
        <f>HYPERLINK("https://ictv.global/taxonomy/taxondetails?taxnode_id=202301447","ictv.global=202301447")</f>
        <v>ictv.global=202301447</v>
      </c>
    </row>
    <row r="86" spans="1:21">
      <c r="A86">
        <v>85</v>
      </c>
      <c r="B86" s="30" t="s">
        <v>1587</v>
      </c>
      <c r="D86" s="30" t="s">
        <v>1588</v>
      </c>
      <c r="F86" s="30" t="s">
        <v>1589</v>
      </c>
      <c r="H86" s="30" t="s">
        <v>1590</v>
      </c>
      <c r="J86" s="30" t="s">
        <v>236</v>
      </c>
      <c r="L86" s="30" t="s">
        <v>3924</v>
      </c>
      <c r="M86" s="30" t="s">
        <v>238</v>
      </c>
      <c r="N86" s="30" t="s">
        <v>337</v>
      </c>
      <c r="P86" s="30" t="s">
        <v>3962</v>
      </c>
      <c r="Q86" t="s">
        <v>619</v>
      </c>
      <c r="R86" t="s">
        <v>920</v>
      </c>
      <c r="S86">
        <v>38</v>
      </c>
      <c r="T86" s="29" t="str">
        <f t="shared" si="3"/>
        <v>2022.001D.Herpesvirales_1renfam_4rengen_124rensp_6absp.zip</v>
      </c>
      <c r="U86" s="29" t="str">
        <f>HYPERLINK("https://ictv.global/taxonomy/taxondetails?taxnode_id=202309143","ictv.global=202309143")</f>
        <v>ictv.global=202309143</v>
      </c>
    </row>
    <row r="87" spans="1:21">
      <c r="A87">
        <v>86</v>
      </c>
      <c r="B87" s="30" t="s">
        <v>1587</v>
      </c>
      <c r="D87" s="30" t="s">
        <v>1588</v>
      </c>
      <c r="F87" s="30" t="s">
        <v>1589</v>
      </c>
      <c r="H87" s="30" t="s">
        <v>1590</v>
      </c>
      <c r="J87" s="30" t="s">
        <v>236</v>
      </c>
      <c r="L87" s="30" t="s">
        <v>3924</v>
      </c>
      <c r="M87" s="30" t="s">
        <v>238</v>
      </c>
      <c r="N87" s="30" t="s">
        <v>337</v>
      </c>
      <c r="P87" s="30" t="s">
        <v>3963</v>
      </c>
      <c r="Q87" t="s">
        <v>619</v>
      </c>
      <c r="R87" t="s">
        <v>920</v>
      </c>
      <c r="S87">
        <v>38</v>
      </c>
      <c r="T87" s="29" t="str">
        <f t="shared" si="3"/>
        <v>2022.001D.Herpesvirales_1renfam_4rengen_124rensp_6absp.zip</v>
      </c>
      <c r="U87" s="29" t="str">
        <f>HYPERLINK("https://ictv.global/taxonomy/taxondetails?taxnode_id=202301448","ictv.global=202301448")</f>
        <v>ictv.global=202301448</v>
      </c>
    </row>
    <row r="88" spans="1:21">
      <c r="A88">
        <v>87</v>
      </c>
      <c r="B88" s="30" t="s">
        <v>1587</v>
      </c>
      <c r="D88" s="30" t="s">
        <v>1588</v>
      </c>
      <c r="F88" s="30" t="s">
        <v>1589</v>
      </c>
      <c r="H88" s="30" t="s">
        <v>1590</v>
      </c>
      <c r="J88" s="30" t="s">
        <v>236</v>
      </c>
      <c r="L88" s="30" t="s">
        <v>3924</v>
      </c>
      <c r="M88" s="30" t="s">
        <v>238</v>
      </c>
      <c r="N88" s="30" t="s">
        <v>337</v>
      </c>
      <c r="P88" s="30" t="s">
        <v>3964</v>
      </c>
      <c r="Q88" t="s">
        <v>619</v>
      </c>
      <c r="R88" t="s">
        <v>920</v>
      </c>
      <c r="S88">
        <v>38</v>
      </c>
      <c r="T88" s="29" t="str">
        <f t="shared" si="3"/>
        <v>2022.001D.Herpesvirales_1renfam_4rengen_124rensp_6absp.zip</v>
      </c>
      <c r="U88" s="29" t="str">
        <f>HYPERLINK("https://ictv.global/taxonomy/taxondetails?taxnode_id=202301449","ictv.global=202301449")</f>
        <v>ictv.global=202301449</v>
      </c>
    </row>
    <row r="89" spans="1:21">
      <c r="A89">
        <v>88</v>
      </c>
      <c r="B89" s="30" t="s">
        <v>1587</v>
      </c>
      <c r="D89" s="30" t="s">
        <v>1588</v>
      </c>
      <c r="F89" s="30" t="s">
        <v>1589</v>
      </c>
      <c r="H89" s="30" t="s">
        <v>1590</v>
      </c>
      <c r="J89" s="30" t="s">
        <v>236</v>
      </c>
      <c r="L89" s="30" t="s">
        <v>3924</v>
      </c>
      <c r="M89" s="30" t="s">
        <v>238</v>
      </c>
      <c r="N89" s="30" t="s">
        <v>337</v>
      </c>
      <c r="P89" s="30" t="s">
        <v>3965</v>
      </c>
      <c r="Q89" t="s">
        <v>619</v>
      </c>
      <c r="R89" t="s">
        <v>920</v>
      </c>
      <c r="S89">
        <v>38</v>
      </c>
      <c r="T89" s="29" t="str">
        <f t="shared" si="3"/>
        <v>2022.001D.Herpesvirales_1renfam_4rengen_124rensp_6absp.zip</v>
      </c>
      <c r="U89" s="29" t="str">
        <f>HYPERLINK("https://ictv.global/taxonomy/taxondetails?taxnode_id=202301450","ictv.global=202301450")</f>
        <v>ictv.global=202301450</v>
      </c>
    </row>
    <row r="90" spans="1:21">
      <c r="A90">
        <v>89</v>
      </c>
      <c r="B90" s="30" t="s">
        <v>1587</v>
      </c>
      <c r="D90" s="30" t="s">
        <v>1588</v>
      </c>
      <c r="F90" s="30" t="s">
        <v>1589</v>
      </c>
      <c r="H90" s="30" t="s">
        <v>1590</v>
      </c>
      <c r="J90" s="30" t="s">
        <v>236</v>
      </c>
      <c r="L90" s="30" t="s">
        <v>3924</v>
      </c>
      <c r="M90" s="30" t="s">
        <v>238</v>
      </c>
      <c r="N90" s="30" t="s">
        <v>337</v>
      </c>
      <c r="P90" s="30" t="s">
        <v>3966</v>
      </c>
      <c r="Q90" t="s">
        <v>619</v>
      </c>
      <c r="R90" t="s">
        <v>917</v>
      </c>
      <c r="S90">
        <v>38</v>
      </c>
      <c r="T90" s="29" t="str">
        <f>HYPERLINK("https://ictv.global/ictv/proposals/2022.002D.Herpesvirales_9nsp.zip","2022.002D.Herpesvirales_9nsp.zip")</f>
        <v>2022.002D.Herpesvirales_9nsp.zip</v>
      </c>
      <c r="U90" s="29" t="str">
        <f>HYPERLINK("https://ictv.global/taxonomy/taxondetails?taxnode_id=202314017","ictv.global=202314017")</f>
        <v>ictv.global=202314017</v>
      </c>
    </row>
    <row r="91" spans="1:21">
      <c r="A91">
        <v>90</v>
      </c>
      <c r="B91" s="30" t="s">
        <v>1587</v>
      </c>
      <c r="D91" s="30" t="s">
        <v>1588</v>
      </c>
      <c r="F91" s="30" t="s">
        <v>1589</v>
      </c>
      <c r="H91" s="30" t="s">
        <v>1590</v>
      </c>
      <c r="J91" s="30" t="s">
        <v>236</v>
      </c>
      <c r="L91" s="30" t="s">
        <v>3924</v>
      </c>
      <c r="M91" s="30" t="s">
        <v>238</v>
      </c>
      <c r="N91" s="30" t="s">
        <v>337</v>
      </c>
      <c r="P91" s="30" t="s">
        <v>3967</v>
      </c>
      <c r="Q91" t="s">
        <v>619</v>
      </c>
      <c r="R91" t="s">
        <v>920</v>
      </c>
      <c r="S91">
        <v>38</v>
      </c>
      <c r="T91" s="29" t="str">
        <f t="shared" ref="T91:T112" si="4">HYPERLINK("https://ictv.global/ictv/proposals/2022.001D.Herpesvirales_1renfam_4rengen_124rensp_6absp.zip","2022.001D.Herpesvirales_1renfam_4rengen_124rensp_6absp.zip")</f>
        <v>2022.001D.Herpesvirales_1renfam_4rengen_124rensp_6absp.zip</v>
      </c>
      <c r="U91" s="29" t="str">
        <f>HYPERLINK("https://ictv.global/taxonomy/taxondetails?taxnode_id=202301451","ictv.global=202301451")</f>
        <v>ictv.global=202301451</v>
      </c>
    </row>
    <row r="92" spans="1:21">
      <c r="A92">
        <v>91</v>
      </c>
      <c r="B92" s="30" t="s">
        <v>1587</v>
      </c>
      <c r="D92" s="30" t="s">
        <v>1588</v>
      </c>
      <c r="F92" s="30" t="s">
        <v>1589</v>
      </c>
      <c r="H92" s="30" t="s">
        <v>1590</v>
      </c>
      <c r="J92" s="30" t="s">
        <v>236</v>
      </c>
      <c r="L92" s="30" t="s">
        <v>3924</v>
      </c>
      <c r="M92" s="30" t="s">
        <v>238</v>
      </c>
      <c r="N92" s="30" t="s">
        <v>337</v>
      </c>
      <c r="P92" s="30" t="s">
        <v>3968</v>
      </c>
      <c r="Q92" t="s">
        <v>619</v>
      </c>
      <c r="R92" t="s">
        <v>920</v>
      </c>
      <c r="S92">
        <v>38</v>
      </c>
      <c r="T92" s="29" t="str">
        <f t="shared" si="4"/>
        <v>2022.001D.Herpesvirales_1renfam_4rengen_124rensp_6absp.zip</v>
      </c>
      <c r="U92" s="29" t="str">
        <f>HYPERLINK("https://ictv.global/taxonomy/taxondetails?taxnode_id=202301452","ictv.global=202301452")</f>
        <v>ictv.global=202301452</v>
      </c>
    </row>
    <row r="93" spans="1:21">
      <c r="A93">
        <v>92</v>
      </c>
      <c r="B93" s="30" t="s">
        <v>1587</v>
      </c>
      <c r="D93" s="30" t="s">
        <v>1588</v>
      </c>
      <c r="F93" s="30" t="s">
        <v>1589</v>
      </c>
      <c r="H93" s="30" t="s">
        <v>1590</v>
      </c>
      <c r="J93" s="30" t="s">
        <v>236</v>
      </c>
      <c r="L93" s="30" t="s">
        <v>3924</v>
      </c>
      <c r="M93" s="30" t="s">
        <v>238</v>
      </c>
      <c r="N93" s="30" t="s">
        <v>337</v>
      </c>
      <c r="P93" s="30" t="s">
        <v>3969</v>
      </c>
      <c r="Q93" t="s">
        <v>619</v>
      </c>
      <c r="R93" t="s">
        <v>920</v>
      </c>
      <c r="S93">
        <v>38</v>
      </c>
      <c r="T93" s="29" t="str">
        <f t="shared" si="4"/>
        <v>2022.001D.Herpesvirales_1renfam_4rengen_124rensp_6absp.zip</v>
      </c>
      <c r="U93" s="29" t="str">
        <f>HYPERLINK("https://ictv.global/taxonomy/taxondetails?taxnode_id=202301453","ictv.global=202301453")</f>
        <v>ictv.global=202301453</v>
      </c>
    </row>
    <row r="94" spans="1:21">
      <c r="A94">
        <v>93</v>
      </c>
      <c r="B94" s="30" t="s">
        <v>1587</v>
      </c>
      <c r="D94" s="30" t="s">
        <v>1588</v>
      </c>
      <c r="F94" s="30" t="s">
        <v>1589</v>
      </c>
      <c r="H94" s="30" t="s">
        <v>1590</v>
      </c>
      <c r="J94" s="30" t="s">
        <v>236</v>
      </c>
      <c r="L94" s="30" t="s">
        <v>3924</v>
      </c>
      <c r="M94" s="30" t="s">
        <v>238</v>
      </c>
      <c r="N94" s="30" t="s">
        <v>337</v>
      </c>
      <c r="P94" s="30" t="s">
        <v>3970</v>
      </c>
      <c r="Q94" t="s">
        <v>619</v>
      </c>
      <c r="R94" t="s">
        <v>920</v>
      </c>
      <c r="S94">
        <v>38</v>
      </c>
      <c r="T94" s="29" t="str">
        <f t="shared" si="4"/>
        <v>2022.001D.Herpesvirales_1renfam_4rengen_124rensp_6absp.zip</v>
      </c>
      <c r="U94" s="29" t="str">
        <f>HYPERLINK("https://ictv.global/taxonomy/taxondetails?taxnode_id=202301454","ictv.global=202301454")</f>
        <v>ictv.global=202301454</v>
      </c>
    </row>
    <row r="95" spans="1:21">
      <c r="A95">
        <v>94</v>
      </c>
      <c r="B95" s="30" t="s">
        <v>1587</v>
      </c>
      <c r="D95" s="30" t="s">
        <v>1588</v>
      </c>
      <c r="F95" s="30" t="s">
        <v>1589</v>
      </c>
      <c r="H95" s="30" t="s">
        <v>1590</v>
      </c>
      <c r="J95" s="30" t="s">
        <v>236</v>
      </c>
      <c r="L95" s="30" t="s">
        <v>3924</v>
      </c>
      <c r="M95" s="30" t="s">
        <v>238</v>
      </c>
      <c r="N95" s="30" t="s">
        <v>337</v>
      </c>
      <c r="P95" s="30" t="s">
        <v>3971</v>
      </c>
      <c r="Q95" t="s">
        <v>619</v>
      </c>
      <c r="R95" t="s">
        <v>920</v>
      </c>
      <c r="S95">
        <v>38</v>
      </c>
      <c r="T95" s="29" t="str">
        <f t="shared" si="4"/>
        <v>2022.001D.Herpesvirales_1renfam_4rengen_124rensp_6absp.zip</v>
      </c>
      <c r="U95" s="29" t="str">
        <f>HYPERLINK("https://ictv.global/taxonomy/taxondetails?taxnode_id=202306396","ictv.global=202306396")</f>
        <v>ictv.global=202306396</v>
      </c>
    </row>
    <row r="96" spans="1:21">
      <c r="A96">
        <v>95</v>
      </c>
      <c r="B96" s="30" t="s">
        <v>1587</v>
      </c>
      <c r="D96" s="30" t="s">
        <v>1588</v>
      </c>
      <c r="F96" s="30" t="s">
        <v>1589</v>
      </c>
      <c r="H96" s="30" t="s">
        <v>1590</v>
      </c>
      <c r="J96" s="30" t="s">
        <v>236</v>
      </c>
      <c r="L96" s="30" t="s">
        <v>3924</v>
      </c>
      <c r="M96" s="30" t="s">
        <v>238</v>
      </c>
      <c r="N96" s="30" t="s">
        <v>337</v>
      </c>
      <c r="P96" s="30" t="s">
        <v>3972</v>
      </c>
      <c r="Q96" t="s">
        <v>619</v>
      </c>
      <c r="R96" t="s">
        <v>920</v>
      </c>
      <c r="S96">
        <v>38</v>
      </c>
      <c r="T96" s="29" t="str">
        <f t="shared" si="4"/>
        <v>2022.001D.Herpesvirales_1renfam_4rengen_124rensp_6absp.zip</v>
      </c>
      <c r="U96" s="29" t="str">
        <f>HYPERLINK("https://ictv.global/taxonomy/taxondetails?taxnode_id=202301455","ictv.global=202301455")</f>
        <v>ictv.global=202301455</v>
      </c>
    </row>
    <row r="97" spans="1:21">
      <c r="A97">
        <v>96</v>
      </c>
      <c r="B97" s="30" t="s">
        <v>1587</v>
      </c>
      <c r="D97" s="30" t="s">
        <v>1588</v>
      </c>
      <c r="F97" s="30" t="s">
        <v>1589</v>
      </c>
      <c r="H97" s="30" t="s">
        <v>1590</v>
      </c>
      <c r="J97" s="30" t="s">
        <v>236</v>
      </c>
      <c r="L97" s="30" t="s">
        <v>3924</v>
      </c>
      <c r="M97" s="30" t="s">
        <v>238</v>
      </c>
      <c r="N97" s="30" t="s">
        <v>337</v>
      </c>
      <c r="P97" s="30" t="s">
        <v>3973</v>
      </c>
      <c r="Q97" t="s">
        <v>619</v>
      </c>
      <c r="R97" t="s">
        <v>920</v>
      </c>
      <c r="S97">
        <v>38</v>
      </c>
      <c r="T97" s="29" t="str">
        <f t="shared" si="4"/>
        <v>2022.001D.Herpesvirales_1renfam_4rengen_124rensp_6absp.zip</v>
      </c>
      <c r="U97" s="29" t="str">
        <f>HYPERLINK("https://ictv.global/taxonomy/taxondetails?taxnode_id=202301456","ictv.global=202301456")</f>
        <v>ictv.global=202301456</v>
      </c>
    </row>
    <row r="98" spans="1:21">
      <c r="A98">
        <v>97</v>
      </c>
      <c r="B98" s="30" t="s">
        <v>1587</v>
      </c>
      <c r="D98" s="30" t="s">
        <v>1588</v>
      </c>
      <c r="F98" s="30" t="s">
        <v>1589</v>
      </c>
      <c r="H98" s="30" t="s">
        <v>1590</v>
      </c>
      <c r="J98" s="30" t="s">
        <v>236</v>
      </c>
      <c r="L98" s="30" t="s">
        <v>3924</v>
      </c>
      <c r="M98" s="30" t="s">
        <v>364</v>
      </c>
      <c r="N98" s="30" t="s">
        <v>194</v>
      </c>
      <c r="P98" s="30" t="s">
        <v>3974</v>
      </c>
      <c r="Q98" t="s">
        <v>619</v>
      </c>
      <c r="R98" t="s">
        <v>920</v>
      </c>
      <c r="S98">
        <v>38</v>
      </c>
      <c r="T98" s="29" t="str">
        <f t="shared" si="4"/>
        <v>2022.001D.Herpesvirales_1renfam_4rengen_124rensp_6absp.zip</v>
      </c>
      <c r="U98" s="29" t="str">
        <f>HYPERLINK("https://ictv.global/taxonomy/taxondetails?taxnode_id=202301459","ictv.global=202301459")</f>
        <v>ictv.global=202301459</v>
      </c>
    </row>
    <row r="99" spans="1:21">
      <c r="A99">
        <v>98</v>
      </c>
      <c r="B99" s="30" t="s">
        <v>1587</v>
      </c>
      <c r="D99" s="30" t="s">
        <v>1588</v>
      </c>
      <c r="F99" s="30" t="s">
        <v>1589</v>
      </c>
      <c r="H99" s="30" t="s">
        <v>1590</v>
      </c>
      <c r="J99" s="30" t="s">
        <v>236</v>
      </c>
      <c r="L99" s="30" t="s">
        <v>3924</v>
      </c>
      <c r="M99" s="30" t="s">
        <v>364</v>
      </c>
      <c r="N99" s="30" t="s">
        <v>194</v>
      </c>
      <c r="P99" s="30" t="s">
        <v>3975</v>
      </c>
      <c r="Q99" t="s">
        <v>619</v>
      </c>
      <c r="R99" t="s">
        <v>920</v>
      </c>
      <c r="S99">
        <v>38</v>
      </c>
      <c r="T99" s="29" t="str">
        <f t="shared" si="4"/>
        <v>2022.001D.Herpesvirales_1renfam_4rengen_124rensp_6absp.zip</v>
      </c>
      <c r="U99" s="29" t="str">
        <f>HYPERLINK("https://ictv.global/taxonomy/taxondetails?taxnode_id=202301460","ictv.global=202301460")</f>
        <v>ictv.global=202301460</v>
      </c>
    </row>
    <row r="100" spans="1:21">
      <c r="A100">
        <v>99</v>
      </c>
      <c r="B100" s="30" t="s">
        <v>1587</v>
      </c>
      <c r="D100" s="30" t="s">
        <v>1588</v>
      </c>
      <c r="F100" s="30" t="s">
        <v>1589</v>
      </c>
      <c r="H100" s="30" t="s">
        <v>1590</v>
      </c>
      <c r="J100" s="30" t="s">
        <v>236</v>
      </c>
      <c r="L100" s="30" t="s">
        <v>3924</v>
      </c>
      <c r="M100" s="30" t="s">
        <v>364</v>
      </c>
      <c r="N100" s="30" t="s">
        <v>194</v>
      </c>
      <c r="P100" s="30" t="s">
        <v>3976</v>
      </c>
      <c r="Q100" t="s">
        <v>619</v>
      </c>
      <c r="R100" t="s">
        <v>920</v>
      </c>
      <c r="S100">
        <v>38</v>
      </c>
      <c r="T100" s="29" t="str">
        <f t="shared" si="4"/>
        <v>2022.001D.Herpesvirales_1renfam_4rengen_124rensp_6absp.zip</v>
      </c>
      <c r="U100" s="29" t="str">
        <f>HYPERLINK("https://ictv.global/taxonomy/taxondetails?taxnode_id=202301461","ictv.global=202301461")</f>
        <v>ictv.global=202301461</v>
      </c>
    </row>
    <row r="101" spans="1:21">
      <c r="A101">
        <v>100</v>
      </c>
      <c r="B101" s="30" t="s">
        <v>1587</v>
      </c>
      <c r="D101" s="30" t="s">
        <v>1588</v>
      </c>
      <c r="F101" s="30" t="s">
        <v>1589</v>
      </c>
      <c r="H101" s="30" t="s">
        <v>1590</v>
      </c>
      <c r="J101" s="30" t="s">
        <v>236</v>
      </c>
      <c r="L101" s="30" t="s">
        <v>3924</v>
      </c>
      <c r="M101" s="30" t="s">
        <v>364</v>
      </c>
      <c r="N101" s="30" t="s">
        <v>194</v>
      </c>
      <c r="P101" s="30" t="s">
        <v>3977</v>
      </c>
      <c r="Q101" t="s">
        <v>619</v>
      </c>
      <c r="R101" t="s">
        <v>920</v>
      </c>
      <c r="S101">
        <v>38</v>
      </c>
      <c r="T101" s="29" t="str">
        <f t="shared" si="4"/>
        <v>2022.001D.Herpesvirales_1renfam_4rengen_124rensp_6absp.zip</v>
      </c>
      <c r="U101" s="29" t="str">
        <f>HYPERLINK("https://ictv.global/taxonomy/taxondetails?taxnode_id=202301462","ictv.global=202301462")</f>
        <v>ictv.global=202301462</v>
      </c>
    </row>
    <row r="102" spans="1:21">
      <c r="A102">
        <v>101</v>
      </c>
      <c r="B102" s="30" t="s">
        <v>1587</v>
      </c>
      <c r="D102" s="30" t="s">
        <v>1588</v>
      </c>
      <c r="F102" s="30" t="s">
        <v>1589</v>
      </c>
      <c r="H102" s="30" t="s">
        <v>1590</v>
      </c>
      <c r="J102" s="30" t="s">
        <v>236</v>
      </c>
      <c r="L102" s="30" t="s">
        <v>3924</v>
      </c>
      <c r="M102" s="30" t="s">
        <v>364</v>
      </c>
      <c r="N102" s="30" t="s">
        <v>194</v>
      </c>
      <c r="P102" s="30" t="s">
        <v>3978</v>
      </c>
      <c r="Q102" t="s">
        <v>619</v>
      </c>
      <c r="R102" t="s">
        <v>920</v>
      </c>
      <c r="S102">
        <v>38</v>
      </c>
      <c r="T102" s="29" t="str">
        <f t="shared" si="4"/>
        <v>2022.001D.Herpesvirales_1renfam_4rengen_124rensp_6absp.zip</v>
      </c>
      <c r="U102" s="29" t="str">
        <f>HYPERLINK("https://ictv.global/taxonomy/taxondetails?taxnode_id=202301463","ictv.global=202301463")</f>
        <v>ictv.global=202301463</v>
      </c>
    </row>
    <row r="103" spans="1:21">
      <c r="A103">
        <v>102</v>
      </c>
      <c r="B103" s="30" t="s">
        <v>1587</v>
      </c>
      <c r="D103" s="30" t="s">
        <v>1588</v>
      </c>
      <c r="F103" s="30" t="s">
        <v>1589</v>
      </c>
      <c r="H103" s="30" t="s">
        <v>1590</v>
      </c>
      <c r="J103" s="30" t="s">
        <v>236</v>
      </c>
      <c r="L103" s="30" t="s">
        <v>3924</v>
      </c>
      <c r="M103" s="30" t="s">
        <v>364</v>
      </c>
      <c r="N103" s="30" t="s">
        <v>194</v>
      </c>
      <c r="P103" s="30" t="s">
        <v>3979</v>
      </c>
      <c r="Q103" t="s">
        <v>619</v>
      </c>
      <c r="R103" t="s">
        <v>920</v>
      </c>
      <c r="S103">
        <v>38</v>
      </c>
      <c r="T103" s="29" t="str">
        <f t="shared" si="4"/>
        <v>2022.001D.Herpesvirales_1renfam_4rengen_124rensp_6absp.zip</v>
      </c>
      <c r="U103" s="29" t="str">
        <f>HYPERLINK("https://ictv.global/taxonomy/taxondetails?taxnode_id=202306399","ictv.global=202306399")</f>
        <v>ictv.global=202306399</v>
      </c>
    </row>
    <row r="104" spans="1:21">
      <c r="A104">
        <v>103</v>
      </c>
      <c r="B104" s="30" t="s">
        <v>1587</v>
      </c>
      <c r="D104" s="30" t="s">
        <v>1588</v>
      </c>
      <c r="F104" s="30" t="s">
        <v>1589</v>
      </c>
      <c r="H104" s="30" t="s">
        <v>1590</v>
      </c>
      <c r="J104" s="30" t="s">
        <v>236</v>
      </c>
      <c r="L104" s="30" t="s">
        <v>3924</v>
      </c>
      <c r="M104" s="30" t="s">
        <v>364</v>
      </c>
      <c r="N104" s="30" t="s">
        <v>194</v>
      </c>
      <c r="P104" s="30" t="s">
        <v>3980</v>
      </c>
      <c r="Q104" t="s">
        <v>619</v>
      </c>
      <c r="R104" t="s">
        <v>920</v>
      </c>
      <c r="S104">
        <v>38</v>
      </c>
      <c r="T104" s="29" t="str">
        <f t="shared" si="4"/>
        <v>2022.001D.Herpesvirales_1renfam_4rengen_124rensp_6absp.zip</v>
      </c>
      <c r="U104" s="29" t="str">
        <f>HYPERLINK("https://ictv.global/taxonomy/taxondetails?taxnode_id=202306400","ictv.global=202306400")</f>
        <v>ictv.global=202306400</v>
      </c>
    </row>
    <row r="105" spans="1:21">
      <c r="A105">
        <v>104</v>
      </c>
      <c r="B105" s="30" t="s">
        <v>1587</v>
      </c>
      <c r="D105" s="30" t="s">
        <v>1588</v>
      </c>
      <c r="F105" s="30" t="s">
        <v>1589</v>
      </c>
      <c r="H105" s="30" t="s">
        <v>1590</v>
      </c>
      <c r="J105" s="30" t="s">
        <v>236</v>
      </c>
      <c r="L105" s="30" t="s">
        <v>3924</v>
      </c>
      <c r="M105" s="30" t="s">
        <v>364</v>
      </c>
      <c r="N105" s="30" t="s">
        <v>194</v>
      </c>
      <c r="P105" s="30" t="s">
        <v>3981</v>
      </c>
      <c r="Q105" t="s">
        <v>619</v>
      </c>
      <c r="R105" t="s">
        <v>920</v>
      </c>
      <c r="S105">
        <v>38</v>
      </c>
      <c r="T105" s="29" t="str">
        <f t="shared" si="4"/>
        <v>2022.001D.Herpesvirales_1renfam_4rengen_124rensp_6absp.zip</v>
      </c>
      <c r="U105" s="29" t="str">
        <f>HYPERLINK("https://ictv.global/taxonomy/taxondetails?taxnode_id=202301464","ictv.global=202301464")</f>
        <v>ictv.global=202301464</v>
      </c>
    </row>
    <row r="106" spans="1:21">
      <c r="A106">
        <v>105</v>
      </c>
      <c r="B106" s="30" t="s">
        <v>1587</v>
      </c>
      <c r="D106" s="30" t="s">
        <v>1588</v>
      </c>
      <c r="F106" s="30" t="s">
        <v>1589</v>
      </c>
      <c r="H106" s="30" t="s">
        <v>1590</v>
      </c>
      <c r="J106" s="30" t="s">
        <v>236</v>
      </c>
      <c r="L106" s="30" t="s">
        <v>3924</v>
      </c>
      <c r="M106" s="30" t="s">
        <v>364</v>
      </c>
      <c r="N106" s="30" t="s">
        <v>194</v>
      </c>
      <c r="P106" s="30" t="s">
        <v>3982</v>
      </c>
      <c r="Q106" t="s">
        <v>619</v>
      </c>
      <c r="R106" t="s">
        <v>920</v>
      </c>
      <c r="S106">
        <v>38</v>
      </c>
      <c r="T106" s="29" t="str">
        <f t="shared" si="4"/>
        <v>2022.001D.Herpesvirales_1renfam_4rengen_124rensp_6absp.zip</v>
      </c>
      <c r="U106" s="29" t="str">
        <f>HYPERLINK("https://ictv.global/taxonomy/taxondetails?taxnode_id=202301465","ictv.global=202301465")</f>
        <v>ictv.global=202301465</v>
      </c>
    </row>
    <row r="107" spans="1:21">
      <c r="A107">
        <v>106</v>
      </c>
      <c r="B107" s="30" t="s">
        <v>1587</v>
      </c>
      <c r="D107" s="30" t="s">
        <v>1588</v>
      </c>
      <c r="F107" s="30" t="s">
        <v>1589</v>
      </c>
      <c r="H107" s="30" t="s">
        <v>1590</v>
      </c>
      <c r="J107" s="30" t="s">
        <v>236</v>
      </c>
      <c r="L107" s="30" t="s">
        <v>3924</v>
      </c>
      <c r="M107" s="30" t="s">
        <v>364</v>
      </c>
      <c r="N107" s="30" t="s">
        <v>194</v>
      </c>
      <c r="P107" s="30" t="s">
        <v>3983</v>
      </c>
      <c r="Q107" t="s">
        <v>619</v>
      </c>
      <c r="R107" t="s">
        <v>920</v>
      </c>
      <c r="S107">
        <v>38</v>
      </c>
      <c r="T107" s="29" t="str">
        <f t="shared" si="4"/>
        <v>2022.001D.Herpesvirales_1renfam_4rengen_124rensp_6absp.zip</v>
      </c>
      <c r="U107" s="29" t="str">
        <f>HYPERLINK("https://ictv.global/taxonomy/taxondetails?taxnode_id=202306401","ictv.global=202306401")</f>
        <v>ictv.global=202306401</v>
      </c>
    </row>
    <row r="108" spans="1:21">
      <c r="A108">
        <v>107</v>
      </c>
      <c r="B108" s="30" t="s">
        <v>1587</v>
      </c>
      <c r="D108" s="30" t="s">
        <v>1588</v>
      </c>
      <c r="F108" s="30" t="s">
        <v>1589</v>
      </c>
      <c r="H108" s="30" t="s">
        <v>1590</v>
      </c>
      <c r="J108" s="30" t="s">
        <v>236</v>
      </c>
      <c r="L108" s="30" t="s">
        <v>3924</v>
      </c>
      <c r="M108" s="30" t="s">
        <v>364</v>
      </c>
      <c r="N108" s="30" t="s">
        <v>194</v>
      </c>
      <c r="P108" s="30" t="s">
        <v>3984</v>
      </c>
      <c r="Q108" t="s">
        <v>619</v>
      </c>
      <c r="R108" t="s">
        <v>920</v>
      </c>
      <c r="S108">
        <v>38</v>
      </c>
      <c r="T108" s="29" t="str">
        <f t="shared" si="4"/>
        <v>2022.001D.Herpesvirales_1renfam_4rengen_124rensp_6absp.zip</v>
      </c>
      <c r="U108" s="29" t="str">
        <f>HYPERLINK("https://ictv.global/taxonomy/taxondetails?taxnode_id=202301466","ictv.global=202301466")</f>
        <v>ictv.global=202301466</v>
      </c>
    </row>
    <row r="109" spans="1:21">
      <c r="A109">
        <v>108</v>
      </c>
      <c r="B109" s="30" t="s">
        <v>1587</v>
      </c>
      <c r="D109" s="30" t="s">
        <v>1588</v>
      </c>
      <c r="F109" s="30" t="s">
        <v>1589</v>
      </c>
      <c r="H109" s="30" t="s">
        <v>1590</v>
      </c>
      <c r="J109" s="30" t="s">
        <v>236</v>
      </c>
      <c r="L109" s="30" t="s">
        <v>3924</v>
      </c>
      <c r="M109" s="30" t="s">
        <v>364</v>
      </c>
      <c r="N109" s="30" t="s">
        <v>195</v>
      </c>
      <c r="P109" s="30" t="s">
        <v>3985</v>
      </c>
      <c r="Q109" t="s">
        <v>619</v>
      </c>
      <c r="R109" t="s">
        <v>920</v>
      </c>
      <c r="S109">
        <v>38</v>
      </c>
      <c r="T109" s="29" t="str">
        <f t="shared" si="4"/>
        <v>2022.001D.Herpesvirales_1renfam_4rengen_124rensp_6absp.zip</v>
      </c>
      <c r="U109" s="29" t="str">
        <f>HYPERLINK("https://ictv.global/taxonomy/taxondetails?taxnode_id=202301468","ictv.global=202301468")</f>
        <v>ictv.global=202301468</v>
      </c>
    </row>
    <row r="110" spans="1:21">
      <c r="A110">
        <v>109</v>
      </c>
      <c r="B110" s="30" t="s">
        <v>1587</v>
      </c>
      <c r="D110" s="30" t="s">
        <v>1588</v>
      </c>
      <c r="F110" s="30" t="s">
        <v>1589</v>
      </c>
      <c r="H110" s="30" t="s">
        <v>1590</v>
      </c>
      <c r="J110" s="30" t="s">
        <v>236</v>
      </c>
      <c r="L110" s="30" t="s">
        <v>3924</v>
      </c>
      <c r="M110" s="30" t="s">
        <v>364</v>
      </c>
      <c r="N110" s="30" t="s">
        <v>195</v>
      </c>
      <c r="P110" s="30" t="s">
        <v>3986</v>
      </c>
      <c r="Q110" t="s">
        <v>619</v>
      </c>
      <c r="R110" t="s">
        <v>920</v>
      </c>
      <c r="S110">
        <v>38</v>
      </c>
      <c r="T110" s="29" t="str">
        <f t="shared" si="4"/>
        <v>2022.001D.Herpesvirales_1renfam_4rengen_124rensp_6absp.zip</v>
      </c>
      <c r="U110" s="29" t="str">
        <f>HYPERLINK("https://ictv.global/taxonomy/taxondetails?taxnode_id=202301469","ictv.global=202301469")</f>
        <v>ictv.global=202301469</v>
      </c>
    </row>
    <row r="111" spans="1:21">
      <c r="A111">
        <v>110</v>
      </c>
      <c r="B111" s="30" t="s">
        <v>1587</v>
      </c>
      <c r="D111" s="30" t="s">
        <v>1588</v>
      </c>
      <c r="F111" s="30" t="s">
        <v>1589</v>
      </c>
      <c r="H111" s="30" t="s">
        <v>1590</v>
      </c>
      <c r="J111" s="30" t="s">
        <v>236</v>
      </c>
      <c r="L111" s="30" t="s">
        <v>3924</v>
      </c>
      <c r="M111" s="30" t="s">
        <v>364</v>
      </c>
      <c r="N111" s="30" t="s">
        <v>195</v>
      </c>
      <c r="P111" s="30" t="s">
        <v>3987</v>
      </c>
      <c r="Q111" t="s">
        <v>619</v>
      </c>
      <c r="R111" t="s">
        <v>920</v>
      </c>
      <c r="S111">
        <v>38</v>
      </c>
      <c r="T111" s="29" t="str">
        <f t="shared" si="4"/>
        <v>2022.001D.Herpesvirales_1renfam_4rengen_124rensp_6absp.zip</v>
      </c>
      <c r="U111" s="29" t="str">
        <f>HYPERLINK("https://ictv.global/taxonomy/taxondetails?taxnode_id=202301470","ictv.global=202301470")</f>
        <v>ictv.global=202301470</v>
      </c>
    </row>
    <row r="112" spans="1:21">
      <c r="A112">
        <v>111</v>
      </c>
      <c r="B112" s="30" t="s">
        <v>1587</v>
      </c>
      <c r="D112" s="30" t="s">
        <v>1588</v>
      </c>
      <c r="F112" s="30" t="s">
        <v>1589</v>
      </c>
      <c r="H112" s="30" t="s">
        <v>1590</v>
      </c>
      <c r="J112" s="30" t="s">
        <v>236</v>
      </c>
      <c r="L112" s="30" t="s">
        <v>3924</v>
      </c>
      <c r="M112" s="30" t="s">
        <v>364</v>
      </c>
      <c r="N112" s="30" t="s">
        <v>365</v>
      </c>
      <c r="P112" s="30" t="s">
        <v>3988</v>
      </c>
      <c r="Q112" t="s">
        <v>619</v>
      </c>
      <c r="R112" t="s">
        <v>920</v>
      </c>
      <c r="S112">
        <v>38</v>
      </c>
      <c r="T112" s="29" t="str">
        <f t="shared" si="4"/>
        <v>2022.001D.Herpesvirales_1renfam_4rengen_124rensp_6absp.zip</v>
      </c>
      <c r="U112" s="29" t="str">
        <f>HYPERLINK("https://ictv.global/taxonomy/taxondetails?taxnode_id=202301472","ictv.global=202301472")</f>
        <v>ictv.global=202301472</v>
      </c>
    </row>
    <row r="113" spans="1:21">
      <c r="A113">
        <v>112</v>
      </c>
      <c r="B113" s="30" t="s">
        <v>1587</v>
      </c>
      <c r="D113" s="30" t="s">
        <v>1588</v>
      </c>
      <c r="F113" s="30" t="s">
        <v>1589</v>
      </c>
      <c r="H113" s="30" t="s">
        <v>1590</v>
      </c>
      <c r="J113" s="30" t="s">
        <v>236</v>
      </c>
      <c r="L113" s="30" t="s">
        <v>3924</v>
      </c>
      <c r="M113" s="30" t="s">
        <v>364</v>
      </c>
      <c r="N113" s="30" t="s">
        <v>365</v>
      </c>
      <c r="P113" s="30" t="s">
        <v>3989</v>
      </c>
      <c r="Q113" t="s">
        <v>619</v>
      </c>
      <c r="R113" t="s">
        <v>917</v>
      </c>
      <c r="S113">
        <v>38</v>
      </c>
      <c r="T113" s="29" t="str">
        <f>HYPERLINK("https://ictv.global/ictv/proposals/2022.002D.Herpesvirales_9nsp.zip","2022.002D.Herpesvirales_9nsp.zip")</f>
        <v>2022.002D.Herpesvirales_9nsp.zip</v>
      </c>
      <c r="U113" s="29" t="str">
        <f>HYPERLINK("https://ictv.global/taxonomy/taxondetails?taxnode_id=202314018","ictv.global=202314018")</f>
        <v>ictv.global=202314018</v>
      </c>
    </row>
    <row r="114" spans="1:21">
      <c r="A114">
        <v>113</v>
      </c>
      <c r="B114" s="30" t="s">
        <v>1587</v>
      </c>
      <c r="D114" s="30" t="s">
        <v>1588</v>
      </c>
      <c r="F114" s="30" t="s">
        <v>1589</v>
      </c>
      <c r="H114" s="30" t="s">
        <v>1590</v>
      </c>
      <c r="J114" s="30" t="s">
        <v>236</v>
      </c>
      <c r="L114" s="30" t="s">
        <v>3924</v>
      </c>
      <c r="M114" s="30" t="s">
        <v>364</v>
      </c>
      <c r="N114" s="30" t="s">
        <v>365</v>
      </c>
      <c r="P114" s="30" t="s">
        <v>3990</v>
      </c>
      <c r="Q114" t="s">
        <v>619</v>
      </c>
      <c r="R114" t="s">
        <v>920</v>
      </c>
      <c r="S114">
        <v>38</v>
      </c>
      <c r="T114" s="29" t="str">
        <f t="shared" ref="T114:T130" si="5">HYPERLINK("https://ictv.global/ictv/proposals/2022.001D.Herpesvirales_1renfam_4rengen_124rensp_6absp.zip","2022.001D.Herpesvirales_1renfam_4rengen_124rensp_6absp.zip")</f>
        <v>2022.001D.Herpesvirales_1renfam_4rengen_124rensp_6absp.zip</v>
      </c>
      <c r="U114" s="29" t="str">
        <f>HYPERLINK("https://ictv.global/taxonomy/taxondetails?taxnode_id=202306404","ictv.global=202306404")</f>
        <v>ictv.global=202306404</v>
      </c>
    </row>
    <row r="115" spans="1:21">
      <c r="A115">
        <v>114</v>
      </c>
      <c r="B115" s="30" t="s">
        <v>1587</v>
      </c>
      <c r="D115" s="30" t="s">
        <v>1588</v>
      </c>
      <c r="F115" s="30" t="s">
        <v>1589</v>
      </c>
      <c r="H115" s="30" t="s">
        <v>1590</v>
      </c>
      <c r="J115" s="30" t="s">
        <v>236</v>
      </c>
      <c r="L115" s="30" t="s">
        <v>3924</v>
      </c>
      <c r="M115" s="30" t="s">
        <v>364</v>
      </c>
      <c r="N115" s="30" t="s">
        <v>365</v>
      </c>
      <c r="P115" s="30" t="s">
        <v>3991</v>
      </c>
      <c r="Q115" t="s">
        <v>619</v>
      </c>
      <c r="R115" t="s">
        <v>920</v>
      </c>
      <c r="S115">
        <v>38</v>
      </c>
      <c r="T115" s="29" t="str">
        <f t="shared" si="5"/>
        <v>2022.001D.Herpesvirales_1renfam_4rengen_124rensp_6absp.zip</v>
      </c>
      <c r="U115" s="29" t="str">
        <f>HYPERLINK("https://ictv.global/taxonomy/taxondetails?taxnode_id=202306405","ictv.global=202306405")</f>
        <v>ictv.global=202306405</v>
      </c>
    </row>
    <row r="116" spans="1:21">
      <c r="A116">
        <v>115</v>
      </c>
      <c r="B116" s="30" t="s">
        <v>1587</v>
      </c>
      <c r="D116" s="30" t="s">
        <v>1588</v>
      </c>
      <c r="F116" s="30" t="s">
        <v>1589</v>
      </c>
      <c r="H116" s="30" t="s">
        <v>1590</v>
      </c>
      <c r="J116" s="30" t="s">
        <v>236</v>
      </c>
      <c r="L116" s="30" t="s">
        <v>3924</v>
      </c>
      <c r="M116" s="30" t="s">
        <v>364</v>
      </c>
      <c r="N116" s="30" t="s">
        <v>2198</v>
      </c>
      <c r="P116" s="30" t="s">
        <v>3992</v>
      </c>
      <c r="Q116" t="s">
        <v>619</v>
      </c>
      <c r="R116" t="s">
        <v>920</v>
      </c>
      <c r="S116">
        <v>38</v>
      </c>
      <c r="T116" s="29" t="str">
        <f t="shared" si="5"/>
        <v>2022.001D.Herpesvirales_1renfam_4rengen_124rensp_6absp.zip</v>
      </c>
      <c r="U116" s="29" t="str">
        <f>HYPERLINK("https://ictv.global/taxonomy/taxondetails?taxnode_id=202301478","ictv.global=202301478")</f>
        <v>ictv.global=202301478</v>
      </c>
    </row>
    <row r="117" spans="1:21">
      <c r="A117">
        <v>116</v>
      </c>
      <c r="B117" s="30" t="s">
        <v>1587</v>
      </c>
      <c r="D117" s="30" t="s">
        <v>1588</v>
      </c>
      <c r="F117" s="30" t="s">
        <v>1589</v>
      </c>
      <c r="H117" s="30" t="s">
        <v>1590</v>
      </c>
      <c r="J117" s="30" t="s">
        <v>236</v>
      </c>
      <c r="L117" s="30" t="s">
        <v>3924</v>
      </c>
      <c r="M117" s="30" t="s">
        <v>364</v>
      </c>
      <c r="N117" s="30" t="s">
        <v>2198</v>
      </c>
      <c r="P117" s="30" t="s">
        <v>3993</v>
      </c>
      <c r="Q117" t="s">
        <v>619</v>
      </c>
      <c r="R117" t="s">
        <v>920</v>
      </c>
      <c r="S117">
        <v>38</v>
      </c>
      <c r="T117" s="29" t="str">
        <f t="shared" si="5"/>
        <v>2022.001D.Herpesvirales_1renfam_4rengen_124rensp_6absp.zip</v>
      </c>
      <c r="U117" s="29" t="str">
        <f>HYPERLINK("https://ictv.global/taxonomy/taxondetails?taxnode_id=202309145","ictv.global=202309145")</f>
        <v>ictv.global=202309145</v>
      </c>
    </row>
    <row r="118" spans="1:21">
      <c r="A118">
        <v>117</v>
      </c>
      <c r="B118" s="30" t="s">
        <v>1587</v>
      </c>
      <c r="D118" s="30" t="s">
        <v>1588</v>
      </c>
      <c r="F118" s="30" t="s">
        <v>1589</v>
      </c>
      <c r="H118" s="30" t="s">
        <v>1590</v>
      </c>
      <c r="J118" s="30" t="s">
        <v>236</v>
      </c>
      <c r="L118" s="30" t="s">
        <v>3924</v>
      </c>
      <c r="M118" s="30" t="s">
        <v>364</v>
      </c>
      <c r="N118" s="30" t="s">
        <v>2198</v>
      </c>
      <c r="P118" s="30" t="s">
        <v>3994</v>
      </c>
      <c r="Q118" t="s">
        <v>619</v>
      </c>
      <c r="R118" t="s">
        <v>920</v>
      </c>
      <c r="S118">
        <v>38</v>
      </c>
      <c r="T118" s="29" t="str">
        <f t="shared" si="5"/>
        <v>2022.001D.Herpesvirales_1renfam_4rengen_124rensp_6absp.zip</v>
      </c>
      <c r="U118" s="29" t="str">
        <f>HYPERLINK("https://ictv.global/taxonomy/taxondetails?taxnode_id=202301480","ictv.global=202301480")</f>
        <v>ictv.global=202301480</v>
      </c>
    </row>
    <row r="119" spans="1:21">
      <c r="A119">
        <v>118</v>
      </c>
      <c r="B119" s="30" t="s">
        <v>1587</v>
      </c>
      <c r="D119" s="30" t="s">
        <v>1588</v>
      </c>
      <c r="F119" s="30" t="s">
        <v>1589</v>
      </c>
      <c r="H119" s="30" t="s">
        <v>1590</v>
      </c>
      <c r="J119" s="30" t="s">
        <v>236</v>
      </c>
      <c r="L119" s="30" t="s">
        <v>3924</v>
      </c>
      <c r="M119" s="30" t="s">
        <v>364</v>
      </c>
      <c r="N119" s="30" t="s">
        <v>366</v>
      </c>
      <c r="P119" s="30" t="s">
        <v>3995</v>
      </c>
      <c r="Q119" t="s">
        <v>619</v>
      </c>
      <c r="R119" t="s">
        <v>920</v>
      </c>
      <c r="S119">
        <v>38</v>
      </c>
      <c r="T119" s="29" t="str">
        <f t="shared" si="5"/>
        <v>2022.001D.Herpesvirales_1renfam_4rengen_124rensp_6absp.zip</v>
      </c>
      <c r="U119" s="29" t="str">
        <f>HYPERLINK("https://ictv.global/taxonomy/taxondetails?taxnode_id=202301474","ictv.global=202301474")</f>
        <v>ictv.global=202301474</v>
      </c>
    </row>
    <row r="120" spans="1:21">
      <c r="A120">
        <v>119</v>
      </c>
      <c r="B120" s="30" t="s">
        <v>1587</v>
      </c>
      <c r="D120" s="30" t="s">
        <v>1588</v>
      </c>
      <c r="F120" s="30" t="s">
        <v>1589</v>
      </c>
      <c r="H120" s="30" t="s">
        <v>1590</v>
      </c>
      <c r="J120" s="30" t="s">
        <v>236</v>
      </c>
      <c r="L120" s="30" t="s">
        <v>3924</v>
      </c>
      <c r="M120" s="30" t="s">
        <v>364</v>
      </c>
      <c r="N120" s="30" t="s">
        <v>366</v>
      </c>
      <c r="P120" s="30" t="s">
        <v>3996</v>
      </c>
      <c r="Q120" t="s">
        <v>619</v>
      </c>
      <c r="R120" t="s">
        <v>920</v>
      </c>
      <c r="S120">
        <v>38</v>
      </c>
      <c r="T120" s="29" t="str">
        <f t="shared" si="5"/>
        <v>2022.001D.Herpesvirales_1renfam_4rengen_124rensp_6absp.zip</v>
      </c>
      <c r="U120" s="29" t="str">
        <f>HYPERLINK("https://ictv.global/taxonomy/taxondetails?taxnode_id=202301475","ictv.global=202301475")</f>
        <v>ictv.global=202301475</v>
      </c>
    </row>
    <row r="121" spans="1:21">
      <c r="A121">
        <v>120</v>
      </c>
      <c r="B121" s="30" t="s">
        <v>1587</v>
      </c>
      <c r="D121" s="30" t="s">
        <v>1588</v>
      </c>
      <c r="F121" s="30" t="s">
        <v>1589</v>
      </c>
      <c r="H121" s="30" t="s">
        <v>1590</v>
      </c>
      <c r="J121" s="30" t="s">
        <v>236</v>
      </c>
      <c r="L121" s="30" t="s">
        <v>3924</v>
      </c>
      <c r="M121" s="30" t="s">
        <v>364</v>
      </c>
      <c r="N121" s="30" t="s">
        <v>366</v>
      </c>
      <c r="P121" s="30" t="s">
        <v>3997</v>
      </c>
      <c r="Q121" t="s">
        <v>619</v>
      </c>
      <c r="R121" t="s">
        <v>920</v>
      </c>
      <c r="S121">
        <v>38</v>
      </c>
      <c r="T121" s="29" t="str">
        <f t="shared" si="5"/>
        <v>2022.001D.Herpesvirales_1renfam_4rengen_124rensp_6absp.zip</v>
      </c>
      <c r="U121" s="29" t="str">
        <f>HYPERLINK("https://ictv.global/taxonomy/taxondetails?taxnode_id=202301476","ictv.global=202301476")</f>
        <v>ictv.global=202301476</v>
      </c>
    </row>
    <row r="122" spans="1:21">
      <c r="A122">
        <v>121</v>
      </c>
      <c r="B122" s="30" t="s">
        <v>1587</v>
      </c>
      <c r="D122" s="30" t="s">
        <v>1588</v>
      </c>
      <c r="F122" s="30" t="s">
        <v>1589</v>
      </c>
      <c r="H122" s="30" t="s">
        <v>1590</v>
      </c>
      <c r="J122" s="30" t="s">
        <v>236</v>
      </c>
      <c r="L122" s="30" t="s">
        <v>3924</v>
      </c>
      <c r="M122" s="30" t="s">
        <v>364</v>
      </c>
      <c r="N122" s="30" t="s">
        <v>366</v>
      </c>
      <c r="P122" s="30" t="s">
        <v>3998</v>
      </c>
      <c r="Q122" t="s">
        <v>619</v>
      </c>
      <c r="R122" t="s">
        <v>920</v>
      </c>
      <c r="S122">
        <v>38</v>
      </c>
      <c r="T122" s="29" t="str">
        <f t="shared" si="5"/>
        <v>2022.001D.Herpesvirales_1renfam_4rengen_124rensp_6absp.zip</v>
      </c>
      <c r="U122" s="29" t="str">
        <f>HYPERLINK("https://ictv.global/taxonomy/taxondetails?taxnode_id=202306402","ictv.global=202306402")</f>
        <v>ictv.global=202306402</v>
      </c>
    </row>
    <row r="123" spans="1:21">
      <c r="A123">
        <v>122</v>
      </c>
      <c r="B123" s="30" t="s">
        <v>1587</v>
      </c>
      <c r="D123" s="30" t="s">
        <v>1588</v>
      </c>
      <c r="F123" s="30" t="s">
        <v>1589</v>
      </c>
      <c r="H123" s="30" t="s">
        <v>1590</v>
      </c>
      <c r="J123" s="30" t="s">
        <v>236</v>
      </c>
      <c r="L123" s="30" t="s">
        <v>3924</v>
      </c>
      <c r="M123" s="30" t="s">
        <v>364</v>
      </c>
      <c r="N123" s="30" t="s">
        <v>366</v>
      </c>
      <c r="P123" s="30" t="s">
        <v>3999</v>
      </c>
      <c r="Q123" t="s">
        <v>619</v>
      </c>
      <c r="R123" t="s">
        <v>920</v>
      </c>
      <c r="S123">
        <v>38</v>
      </c>
      <c r="T123" s="29" t="str">
        <f t="shared" si="5"/>
        <v>2022.001D.Herpesvirales_1renfam_4rengen_124rensp_6absp.zip</v>
      </c>
      <c r="U123" s="29" t="str">
        <f>HYPERLINK("https://ictv.global/taxonomy/taxondetails?taxnode_id=202306403","ictv.global=202306403")</f>
        <v>ictv.global=202306403</v>
      </c>
    </row>
    <row r="124" spans="1:21">
      <c r="A124">
        <v>123</v>
      </c>
      <c r="B124" s="30" t="s">
        <v>1587</v>
      </c>
      <c r="D124" s="30" t="s">
        <v>1588</v>
      </c>
      <c r="F124" s="30" t="s">
        <v>1589</v>
      </c>
      <c r="H124" s="30" t="s">
        <v>1590</v>
      </c>
      <c r="J124" s="30" t="s">
        <v>236</v>
      </c>
      <c r="L124" s="30" t="s">
        <v>3924</v>
      </c>
      <c r="M124" s="30" t="s">
        <v>364</v>
      </c>
      <c r="N124" s="30" t="s">
        <v>366</v>
      </c>
      <c r="P124" s="30" t="s">
        <v>4000</v>
      </c>
      <c r="Q124" t="s">
        <v>619</v>
      </c>
      <c r="R124" t="s">
        <v>920</v>
      </c>
      <c r="S124">
        <v>38</v>
      </c>
      <c r="T124" s="29" t="str">
        <f t="shared" si="5"/>
        <v>2022.001D.Herpesvirales_1renfam_4rengen_124rensp_6absp.zip</v>
      </c>
      <c r="U124" s="29" t="str">
        <f>HYPERLINK("https://ictv.global/taxonomy/taxondetails?taxnode_id=202301479","ictv.global=202301479")</f>
        <v>ictv.global=202301479</v>
      </c>
    </row>
    <row r="125" spans="1:21">
      <c r="A125">
        <v>124</v>
      </c>
      <c r="B125" s="30" t="s">
        <v>1587</v>
      </c>
      <c r="D125" s="30" t="s">
        <v>1588</v>
      </c>
      <c r="F125" s="30" t="s">
        <v>1589</v>
      </c>
      <c r="H125" s="30" t="s">
        <v>1590</v>
      </c>
      <c r="J125" s="30" t="s">
        <v>236</v>
      </c>
      <c r="L125" s="30" t="s">
        <v>3924</v>
      </c>
      <c r="M125" s="30" t="s">
        <v>367</v>
      </c>
      <c r="N125" s="30" t="s">
        <v>2199</v>
      </c>
      <c r="P125" s="30" t="s">
        <v>4001</v>
      </c>
      <c r="Q125" t="s">
        <v>619</v>
      </c>
      <c r="R125" t="s">
        <v>920</v>
      </c>
      <c r="S125">
        <v>38</v>
      </c>
      <c r="T125" s="29" t="str">
        <f t="shared" si="5"/>
        <v>2022.001D.Herpesvirales_1renfam_4rengen_124rensp_6absp.zip</v>
      </c>
      <c r="U125" s="29" t="str">
        <f>HYPERLINK("https://ictv.global/taxonomy/taxondetails?taxnode_id=202309147","ictv.global=202309147")</f>
        <v>ictv.global=202309147</v>
      </c>
    </row>
    <row r="126" spans="1:21">
      <c r="A126">
        <v>125</v>
      </c>
      <c r="B126" s="30" t="s">
        <v>1587</v>
      </c>
      <c r="D126" s="30" t="s">
        <v>1588</v>
      </c>
      <c r="F126" s="30" t="s">
        <v>1589</v>
      </c>
      <c r="H126" s="30" t="s">
        <v>1590</v>
      </c>
      <c r="J126" s="30" t="s">
        <v>236</v>
      </c>
      <c r="L126" s="30" t="s">
        <v>3924</v>
      </c>
      <c r="M126" s="30" t="s">
        <v>367</v>
      </c>
      <c r="N126" s="30" t="s">
        <v>339</v>
      </c>
      <c r="P126" s="30" t="s">
        <v>4002</v>
      </c>
      <c r="Q126" t="s">
        <v>619</v>
      </c>
      <c r="R126" t="s">
        <v>920</v>
      </c>
      <c r="S126">
        <v>38</v>
      </c>
      <c r="T126" s="29" t="str">
        <f t="shared" si="5"/>
        <v>2022.001D.Herpesvirales_1renfam_4rengen_124rensp_6absp.zip</v>
      </c>
      <c r="U126" s="29" t="str">
        <f>HYPERLINK("https://ictv.global/taxonomy/taxondetails?taxnode_id=202301483","ictv.global=202301483")</f>
        <v>ictv.global=202301483</v>
      </c>
    </row>
    <row r="127" spans="1:21">
      <c r="A127">
        <v>126</v>
      </c>
      <c r="B127" s="30" t="s">
        <v>1587</v>
      </c>
      <c r="D127" s="30" t="s">
        <v>1588</v>
      </c>
      <c r="F127" s="30" t="s">
        <v>1589</v>
      </c>
      <c r="H127" s="30" t="s">
        <v>1590</v>
      </c>
      <c r="J127" s="30" t="s">
        <v>236</v>
      </c>
      <c r="L127" s="30" t="s">
        <v>3924</v>
      </c>
      <c r="M127" s="30" t="s">
        <v>367</v>
      </c>
      <c r="N127" s="30" t="s">
        <v>339</v>
      </c>
      <c r="P127" s="30" t="s">
        <v>4003</v>
      </c>
      <c r="Q127" t="s">
        <v>619</v>
      </c>
      <c r="R127" t="s">
        <v>920</v>
      </c>
      <c r="S127">
        <v>38</v>
      </c>
      <c r="T127" s="29" t="str">
        <f t="shared" si="5"/>
        <v>2022.001D.Herpesvirales_1renfam_4rengen_124rensp_6absp.zip</v>
      </c>
      <c r="U127" s="29" t="str">
        <f>HYPERLINK("https://ictv.global/taxonomy/taxondetails?taxnode_id=202301485","ictv.global=202301485")</f>
        <v>ictv.global=202301485</v>
      </c>
    </row>
    <row r="128" spans="1:21">
      <c r="A128">
        <v>127</v>
      </c>
      <c r="B128" s="30" t="s">
        <v>1587</v>
      </c>
      <c r="D128" s="30" t="s">
        <v>1588</v>
      </c>
      <c r="F128" s="30" t="s">
        <v>1589</v>
      </c>
      <c r="H128" s="30" t="s">
        <v>1590</v>
      </c>
      <c r="J128" s="30" t="s">
        <v>236</v>
      </c>
      <c r="L128" s="30" t="s">
        <v>3924</v>
      </c>
      <c r="M128" s="30" t="s">
        <v>367</v>
      </c>
      <c r="N128" s="30" t="s">
        <v>339</v>
      </c>
      <c r="P128" s="30" t="s">
        <v>4004</v>
      </c>
      <c r="Q128" t="s">
        <v>619</v>
      </c>
      <c r="R128" t="s">
        <v>920</v>
      </c>
      <c r="S128">
        <v>38</v>
      </c>
      <c r="T128" s="29" t="str">
        <f t="shared" si="5"/>
        <v>2022.001D.Herpesvirales_1renfam_4rengen_124rensp_6absp.zip</v>
      </c>
      <c r="U128" s="29" t="str">
        <f>HYPERLINK("https://ictv.global/taxonomy/taxondetails?taxnode_id=202301486","ictv.global=202301486")</f>
        <v>ictv.global=202301486</v>
      </c>
    </row>
    <row r="129" spans="1:21">
      <c r="A129">
        <v>128</v>
      </c>
      <c r="B129" s="30" t="s">
        <v>1587</v>
      </c>
      <c r="D129" s="30" t="s">
        <v>1588</v>
      </c>
      <c r="F129" s="30" t="s">
        <v>1589</v>
      </c>
      <c r="H129" s="30" t="s">
        <v>1590</v>
      </c>
      <c r="J129" s="30" t="s">
        <v>236</v>
      </c>
      <c r="L129" s="30" t="s">
        <v>3924</v>
      </c>
      <c r="M129" s="30" t="s">
        <v>367</v>
      </c>
      <c r="N129" s="30" t="s">
        <v>339</v>
      </c>
      <c r="P129" s="30" t="s">
        <v>4005</v>
      </c>
      <c r="Q129" t="s">
        <v>619</v>
      </c>
      <c r="R129" t="s">
        <v>920</v>
      </c>
      <c r="S129">
        <v>38</v>
      </c>
      <c r="T129" s="29" t="str">
        <f t="shared" si="5"/>
        <v>2022.001D.Herpesvirales_1renfam_4rengen_124rensp_6absp.zip</v>
      </c>
      <c r="U129" s="29" t="str">
        <f>HYPERLINK("https://ictv.global/taxonomy/taxondetails?taxnode_id=202301487","ictv.global=202301487")</f>
        <v>ictv.global=202301487</v>
      </c>
    </row>
    <row r="130" spans="1:21">
      <c r="A130">
        <v>129</v>
      </c>
      <c r="B130" s="30" t="s">
        <v>1587</v>
      </c>
      <c r="D130" s="30" t="s">
        <v>1588</v>
      </c>
      <c r="F130" s="30" t="s">
        <v>1589</v>
      </c>
      <c r="H130" s="30" t="s">
        <v>1590</v>
      </c>
      <c r="J130" s="30" t="s">
        <v>236</v>
      </c>
      <c r="L130" s="30" t="s">
        <v>3924</v>
      </c>
      <c r="M130" s="30" t="s">
        <v>367</v>
      </c>
      <c r="N130" s="30" t="s">
        <v>339</v>
      </c>
      <c r="P130" s="30" t="s">
        <v>4006</v>
      </c>
      <c r="Q130" t="s">
        <v>619</v>
      </c>
      <c r="R130" t="s">
        <v>920</v>
      </c>
      <c r="S130">
        <v>38</v>
      </c>
      <c r="T130" s="29" t="str">
        <f t="shared" si="5"/>
        <v>2022.001D.Herpesvirales_1renfam_4rengen_124rensp_6absp.zip</v>
      </c>
      <c r="U130" s="29" t="str">
        <f>HYPERLINK("https://ictv.global/taxonomy/taxondetails?taxnode_id=202306406","ictv.global=202306406")</f>
        <v>ictv.global=202306406</v>
      </c>
    </row>
    <row r="131" spans="1:21">
      <c r="A131">
        <v>130</v>
      </c>
      <c r="B131" s="30" t="s">
        <v>1587</v>
      </c>
      <c r="D131" s="30" t="s">
        <v>1588</v>
      </c>
      <c r="F131" s="30" t="s">
        <v>1589</v>
      </c>
      <c r="H131" s="30" t="s">
        <v>1590</v>
      </c>
      <c r="J131" s="30" t="s">
        <v>236</v>
      </c>
      <c r="L131" s="30" t="s">
        <v>3924</v>
      </c>
      <c r="M131" s="30" t="s">
        <v>367</v>
      </c>
      <c r="N131" s="30" t="s">
        <v>339</v>
      </c>
      <c r="P131" s="30" t="s">
        <v>4007</v>
      </c>
      <c r="Q131" t="s">
        <v>619</v>
      </c>
      <c r="R131" t="s">
        <v>917</v>
      </c>
      <c r="S131">
        <v>38</v>
      </c>
      <c r="T131" s="29" t="str">
        <f>HYPERLINK("https://ictv.global/ictv/proposals/2022.002D.Herpesvirales_9nsp.zip","2022.002D.Herpesvirales_9nsp.zip")</f>
        <v>2022.002D.Herpesvirales_9nsp.zip</v>
      </c>
      <c r="U131" s="29" t="str">
        <f>HYPERLINK("https://ictv.global/taxonomy/taxondetails?taxnode_id=202314019","ictv.global=202314019")</f>
        <v>ictv.global=202314019</v>
      </c>
    </row>
    <row r="132" spans="1:21">
      <c r="A132">
        <v>131</v>
      </c>
      <c r="B132" s="30" t="s">
        <v>1587</v>
      </c>
      <c r="D132" s="30" t="s">
        <v>1588</v>
      </c>
      <c r="F132" s="30" t="s">
        <v>1589</v>
      </c>
      <c r="H132" s="30" t="s">
        <v>1590</v>
      </c>
      <c r="J132" s="30" t="s">
        <v>236</v>
      </c>
      <c r="L132" s="30" t="s">
        <v>3924</v>
      </c>
      <c r="M132" s="30" t="s">
        <v>367</v>
      </c>
      <c r="N132" s="30" t="s">
        <v>339</v>
      </c>
      <c r="P132" s="30" t="s">
        <v>4008</v>
      </c>
      <c r="Q132" t="s">
        <v>619</v>
      </c>
      <c r="R132" t="s">
        <v>920</v>
      </c>
      <c r="S132">
        <v>38</v>
      </c>
      <c r="T132" s="29" t="str">
        <f t="shared" ref="T132:T151" si="6">HYPERLINK("https://ictv.global/ictv/proposals/2022.001D.Herpesvirales_1renfam_4rengen_124rensp_6absp.zip","2022.001D.Herpesvirales_1renfam_4rengen_124rensp_6absp.zip")</f>
        <v>2022.001D.Herpesvirales_1renfam_4rengen_124rensp_6absp.zip</v>
      </c>
      <c r="U132" s="29" t="str">
        <f>HYPERLINK("https://ictv.global/taxonomy/taxondetails?taxnode_id=202301488","ictv.global=202301488")</f>
        <v>ictv.global=202301488</v>
      </c>
    </row>
    <row r="133" spans="1:21">
      <c r="A133">
        <v>132</v>
      </c>
      <c r="B133" s="30" t="s">
        <v>1587</v>
      </c>
      <c r="D133" s="30" t="s">
        <v>1588</v>
      </c>
      <c r="F133" s="30" t="s">
        <v>1589</v>
      </c>
      <c r="H133" s="30" t="s">
        <v>1590</v>
      </c>
      <c r="J133" s="30" t="s">
        <v>236</v>
      </c>
      <c r="L133" s="30" t="s">
        <v>3924</v>
      </c>
      <c r="M133" s="30" t="s">
        <v>367</v>
      </c>
      <c r="N133" s="30" t="s">
        <v>339</v>
      </c>
      <c r="P133" s="30" t="s">
        <v>4009</v>
      </c>
      <c r="Q133" t="s">
        <v>619</v>
      </c>
      <c r="R133" t="s">
        <v>920</v>
      </c>
      <c r="S133">
        <v>38</v>
      </c>
      <c r="T133" s="29" t="str">
        <f t="shared" si="6"/>
        <v>2022.001D.Herpesvirales_1renfam_4rengen_124rensp_6absp.zip</v>
      </c>
      <c r="U133" s="29" t="str">
        <f>HYPERLINK("https://ictv.global/taxonomy/taxondetails?taxnode_id=202301489","ictv.global=202301489")</f>
        <v>ictv.global=202301489</v>
      </c>
    </row>
    <row r="134" spans="1:21">
      <c r="A134">
        <v>133</v>
      </c>
      <c r="B134" s="30" t="s">
        <v>1587</v>
      </c>
      <c r="D134" s="30" t="s">
        <v>1588</v>
      </c>
      <c r="F134" s="30" t="s">
        <v>1589</v>
      </c>
      <c r="H134" s="30" t="s">
        <v>1590</v>
      </c>
      <c r="J134" s="30" t="s">
        <v>236</v>
      </c>
      <c r="L134" s="30" t="s">
        <v>3924</v>
      </c>
      <c r="M134" s="30" t="s">
        <v>367</v>
      </c>
      <c r="N134" s="30" t="s">
        <v>339</v>
      </c>
      <c r="P134" s="30" t="s">
        <v>4010</v>
      </c>
      <c r="Q134" t="s">
        <v>619</v>
      </c>
      <c r="R134" t="s">
        <v>920</v>
      </c>
      <c r="S134">
        <v>38</v>
      </c>
      <c r="T134" s="29" t="str">
        <f t="shared" si="6"/>
        <v>2022.001D.Herpesvirales_1renfam_4rengen_124rensp_6absp.zip</v>
      </c>
      <c r="U134" s="29" t="str">
        <f>HYPERLINK("https://ictv.global/taxonomy/taxondetails?taxnode_id=202301490","ictv.global=202301490")</f>
        <v>ictv.global=202301490</v>
      </c>
    </row>
    <row r="135" spans="1:21">
      <c r="A135">
        <v>134</v>
      </c>
      <c r="B135" s="30" t="s">
        <v>1587</v>
      </c>
      <c r="D135" s="30" t="s">
        <v>1588</v>
      </c>
      <c r="F135" s="30" t="s">
        <v>1589</v>
      </c>
      <c r="H135" s="30" t="s">
        <v>1590</v>
      </c>
      <c r="J135" s="30" t="s">
        <v>236</v>
      </c>
      <c r="L135" s="30" t="s">
        <v>3924</v>
      </c>
      <c r="M135" s="30" t="s">
        <v>367</v>
      </c>
      <c r="N135" s="30" t="s">
        <v>342</v>
      </c>
      <c r="P135" s="30" t="s">
        <v>4011</v>
      </c>
      <c r="Q135" t="s">
        <v>619</v>
      </c>
      <c r="R135" t="s">
        <v>920</v>
      </c>
      <c r="S135">
        <v>38</v>
      </c>
      <c r="T135" s="29" t="str">
        <f t="shared" si="6"/>
        <v>2022.001D.Herpesvirales_1renfam_4rengen_124rensp_6absp.zip</v>
      </c>
      <c r="U135" s="29" t="str">
        <f>HYPERLINK("https://ictv.global/taxonomy/taxondetails?taxnode_id=202301492","ictv.global=202301492")</f>
        <v>ictv.global=202301492</v>
      </c>
    </row>
    <row r="136" spans="1:21">
      <c r="A136">
        <v>135</v>
      </c>
      <c r="B136" s="30" t="s">
        <v>1587</v>
      </c>
      <c r="D136" s="30" t="s">
        <v>1588</v>
      </c>
      <c r="F136" s="30" t="s">
        <v>1589</v>
      </c>
      <c r="H136" s="30" t="s">
        <v>1590</v>
      </c>
      <c r="J136" s="30" t="s">
        <v>236</v>
      </c>
      <c r="L136" s="30" t="s">
        <v>3924</v>
      </c>
      <c r="M136" s="30" t="s">
        <v>367</v>
      </c>
      <c r="N136" s="30" t="s">
        <v>342</v>
      </c>
      <c r="P136" s="30" t="s">
        <v>4012</v>
      </c>
      <c r="Q136" t="s">
        <v>619</v>
      </c>
      <c r="R136" t="s">
        <v>920</v>
      </c>
      <c r="S136">
        <v>38</v>
      </c>
      <c r="T136" s="29" t="str">
        <f t="shared" si="6"/>
        <v>2022.001D.Herpesvirales_1renfam_4rengen_124rensp_6absp.zip</v>
      </c>
      <c r="U136" s="29" t="str">
        <f>HYPERLINK("https://ictv.global/taxonomy/taxondetails?taxnode_id=202301493","ictv.global=202301493")</f>
        <v>ictv.global=202301493</v>
      </c>
    </row>
    <row r="137" spans="1:21">
      <c r="A137">
        <v>136</v>
      </c>
      <c r="B137" s="30" t="s">
        <v>1587</v>
      </c>
      <c r="D137" s="30" t="s">
        <v>1588</v>
      </c>
      <c r="F137" s="30" t="s">
        <v>1589</v>
      </c>
      <c r="H137" s="30" t="s">
        <v>1590</v>
      </c>
      <c r="J137" s="30" t="s">
        <v>236</v>
      </c>
      <c r="L137" s="30" t="s">
        <v>3924</v>
      </c>
      <c r="M137" s="30" t="s">
        <v>367</v>
      </c>
      <c r="N137" s="30" t="s">
        <v>342</v>
      </c>
      <c r="P137" s="30" t="s">
        <v>4013</v>
      </c>
      <c r="Q137" t="s">
        <v>619</v>
      </c>
      <c r="R137" t="s">
        <v>920</v>
      </c>
      <c r="S137">
        <v>38</v>
      </c>
      <c r="T137" s="29" t="str">
        <f t="shared" si="6"/>
        <v>2022.001D.Herpesvirales_1renfam_4rengen_124rensp_6absp.zip</v>
      </c>
      <c r="U137" s="29" t="str">
        <f>HYPERLINK("https://ictv.global/taxonomy/taxondetails?taxnode_id=202301494","ictv.global=202301494")</f>
        <v>ictv.global=202301494</v>
      </c>
    </row>
    <row r="138" spans="1:21">
      <c r="A138">
        <v>137</v>
      </c>
      <c r="B138" s="30" t="s">
        <v>1587</v>
      </c>
      <c r="D138" s="30" t="s">
        <v>1588</v>
      </c>
      <c r="F138" s="30" t="s">
        <v>1589</v>
      </c>
      <c r="H138" s="30" t="s">
        <v>1590</v>
      </c>
      <c r="J138" s="30" t="s">
        <v>236</v>
      </c>
      <c r="L138" s="30" t="s">
        <v>3924</v>
      </c>
      <c r="M138" s="30" t="s">
        <v>367</v>
      </c>
      <c r="N138" s="30" t="s">
        <v>342</v>
      </c>
      <c r="P138" s="30" t="s">
        <v>4014</v>
      </c>
      <c r="Q138" t="s">
        <v>619</v>
      </c>
      <c r="R138" t="s">
        <v>920</v>
      </c>
      <c r="S138">
        <v>38</v>
      </c>
      <c r="T138" s="29" t="str">
        <f t="shared" si="6"/>
        <v>2022.001D.Herpesvirales_1renfam_4rengen_124rensp_6absp.zip</v>
      </c>
      <c r="U138" s="29" t="str">
        <f>HYPERLINK("https://ictv.global/taxonomy/taxondetails?taxnode_id=202301495","ictv.global=202301495")</f>
        <v>ictv.global=202301495</v>
      </c>
    </row>
    <row r="139" spans="1:21">
      <c r="A139">
        <v>138</v>
      </c>
      <c r="B139" s="30" t="s">
        <v>1587</v>
      </c>
      <c r="D139" s="30" t="s">
        <v>1588</v>
      </c>
      <c r="F139" s="30" t="s">
        <v>1589</v>
      </c>
      <c r="H139" s="30" t="s">
        <v>1590</v>
      </c>
      <c r="J139" s="30" t="s">
        <v>236</v>
      </c>
      <c r="L139" s="30" t="s">
        <v>3924</v>
      </c>
      <c r="M139" s="30" t="s">
        <v>367</v>
      </c>
      <c r="N139" s="30" t="s">
        <v>342</v>
      </c>
      <c r="P139" s="30" t="s">
        <v>4015</v>
      </c>
      <c r="Q139" t="s">
        <v>619</v>
      </c>
      <c r="R139" t="s">
        <v>920</v>
      </c>
      <c r="S139">
        <v>38</v>
      </c>
      <c r="T139" s="29" t="str">
        <f t="shared" si="6"/>
        <v>2022.001D.Herpesvirales_1renfam_4rengen_124rensp_6absp.zip</v>
      </c>
      <c r="U139" s="29" t="str">
        <f>HYPERLINK("https://ictv.global/taxonomy/taxondetails?taxnode_id=202301496","ictv.global=202301496")</f>
        <v>ictv.global=202301496</v>
      </c>
    </row>
    <row r="140" spans="1:21">
      <c r="A140">
        <v>139</v>
      </c>
      <c r="B140" s="30" t="s">
        <v>1587</v>
      </c>
      <c r="D140" s="30" t="s">
        <v>1588</v>
      </c>
      <c r="F140" s="30" t="s">
        <v>1589</v>
      </c>
      <c r="H140" s="30" t="s">
        <v>1590</v>
      </c>
      <c r="J140" s="30" t="s">
        <v>236</v>
      </c>
      <c r="L140" s="30" t="s">
        <v>3924</v>
      </c>
      <c r="M140" s="30" t="s">
        <v>367</v>
      </c>
      <c r="N140" s="30" t="s">
        <v>342</v>
      </c>
      <c r="P140" s="30" t="s">
        <v>4016</v>
      </c>
      <c r="Q140" t="s">
        <v>619</v>
      </c>
      <c r="R140" t="s">
        <v>920</v>
      </c>
      <c r="S140">
        <v>38</v>
      </c>
      <c r="T140" s="29" t="str">
        <f t="shared" si="6"/>
        <v>2022.001D.Herpesvirales_1renfam_4rengen_124rensp_6absp.zip</v>
      </c>
      <c r="U140" s="29" t="str">
        <f>HYPERLINK("https://ictv.global/taxonomy/taxondetails?taxnode_id=202301497","ictv.global=202301497")</f>
        <v>ictv.global=202301497</v>
      </c>
    </row>
    <row r="141" spans="1:21">
      <c r="A141">
        <v>140</v>
      </c>
      <c r="B141" s="30" t="s">
        <v>1587</v>
      </c>
      <c r="D141" s="30" t="s">
        <v>1588</v>
      </c>
      <c r="F141" s="30" t="s">
        <v>1589</v>
      </c>
      <c r="H141" s="30" t="s">
        <v>1590</v>
      </c>
      <c r="J141" s="30" t="s">
        <v>236</v>
      </c>
      <c r="L141" s="30" t="s">
        <v>3924</v>
      </c>
      <c r="M141" s="30" t="s">
        <v>367</v>
      </c>
      <c r="N141" s="30" t="s">
        <v>342</v>
      </c>
      <c r="P141" s="30" t="s">
        <v>4017</v>
      </c>
      <c r="Q141" t="s">
        <v>619</v>
      </c>
      <c r="R141" t="s">
        <v>920</v>
      </c>
      <c r="S141">
        <v>38</v>
      </c>
      <c r="T141" s="29" t="str">
        <f t="shared" si="6"/>
        <v>2022.001D.Herpesvirales_1renfam_4rengen_124rensp_6absp.zip</v>
      </c>
      <c r="U141" s="29" t="str">
        <f>HYPERLINK("https://ictv.global/taxonomy/taxondetails?taxnode_id=202301498","ictv.global=202301498")</f>
        <v>ictv.global=202301498</v>
      </c>
    </row>
    <row r="142" spans="1:21">
      <c r="A142">
        <v>141</v>
      </c>
      <c r="B142" s="30" t="s">
        <v>1587</v>
      </c>
      <c r="D142" s="30" t="s">
        <v>1588</v>
      </c>
      <c r="F142" s="30" t="s">
        <v>1589</v>
      </c>
      <c r="H142" s="30" t="s">
        <v>1590</v>
      </c>
      <c r="J142" s="30" t="s">
        <v>236</v>
      </c>
      <c r="L142" s="30" t="s">
        <v>3924</v>
      </c>
      <c r="M142" s="30" t="s">
        <v>367</v>
      </c>
      <c r="N142" s="30" t="s">
        <v>342</v>
      </c>
      <c r="P142" s="30" t="s">
        <v>4018</v>
      </c>
      <c r="Q142" t="s">
        <v>619</v>
      </c>
      <c r="R142" t="s">
        <v>920</v>
      </c>
      <c r="S142">
        <v>38</v>
      </c>
      <c r="T142" s="29" t="str">
        <f t="shared" si="6"/>
        <v>2022.001D.Herpesvirales_1renfam_4rengen_124rensp_6absp.zip</v>
      </c>
      <c r="U142" s="29" t="str">
        <f>HYPERLINK("https://ictv.global/taxonomy/taxondetails?taxnode_id=202301499","ictv.global=202301499")</f>
        <v>ictv.global=202301499</v>
      </c>
    </row>
    <row r="143" spans="1:21">
      <c r="A143">
        <v>142</v>
      </c>
      <c r="B143" s="30" t="s">
        <v>1587</v>
      </c>
      <c r="D143" s="30" t="s">
        <v>1588</v>
      </c>
      <c r="F143" s="30" t="s">
        <v>1589</v>
      </c>
      <c r="H143" s="30" t="s">
        <v>1590</v>
      </c>
      <c r="J143" s="30" t="s">
        <v>236</v>
      </c>
      <c r="L143" s="30" t="s">
        <v>3924</v>
      </c>
      <c r="M143" s="30" t="s">
        <v>367</v>
      </c>
      <c r="N143" s="30" t="s">
        <v>342</v>
      </c>
      <c r="P143" s="30" t="s">
        <v>4019</v>
      </c>
      <c r="Q143" t="s">
        <v>619</v>
      </c>
      <c r="R143" t="s">
        <v>920</v>
      </c>
      <c r="S143">
        <v>38</v>
      </c>
      <c r="T143" s="29" t="str">
        <f t="shared" si="6"/>
        <v>2022.001D.Herpesvirales_1renfam_4rengen_124rensp_6absp.zip</v>
      </c>
      <c r="U143" s="29" t="str">
        <f>HYPERLINK("https://ictv.global/taxonomy/taxondetails?taxnode_id=202301500","ictv.global=202301500")</f>
        <v>ictv.global=202301500</v>
      </c>
    </row>
    <row r="144" spans="1:21">
      <c r="A144">
        <v>143</v>
      </c>
      <c r="B144" s="30" t="s">
        <v>1587</v>
      </c>
      <c r="D144" s="30" t="s">
        <v>1588</v>
      </c>
      <c r="F144" s="30" t="s">
        <v>1589</v>
      </c>
      <c r="H144" s="30" t="s">
        <v>1590</v>
      </c>
      <c r="J144" s="30" t="s">
        <v>236</v>
      </c>
      <c r="L144" s="30" t="s">
        <v>3924</v>
      </c>
      <c r="M144" s="30" t="s">
        <v>367</v>
      </c>
      <c r="N144" s="30" t="s">
        <v>2200</v>
      </c>
      <c r="P144" s="30" t="s">
        <v>4020</v>
      </c>
      <c r="Q144" t="s">
        <v>619</v>
      </c>
      <c r="R144" t="s">
        <v>920</v>
      </c>
      <c r="S144">
        <v>38</v>
      </c>
      <c r="T144" s="29" t="str">
        <f t="shared" si="6"/>
        <v>2022.001D.Herpesvirales_1renfam_4rengen_124rensp_6absp.zip</v>
      </c>
      <c r="U144" s="29" t="str">
        <f>HYPERLINK("https://ictv.global/taxonomy/taxondetails?taxnode_id=202309151","ictv.global=202309151")</f>
        <v>ictv.global=202309151</v>
      </c>
    </row>
    <row r="145" spans="1:21">
      <c r="A145">
        <v>144</v>
      </c>
      <c r="B145" s="30" t="s">
        <v>1587</v>
      </c>
      <c r="D145" s="30" t="s">
        <v>1588</v>
      </c>
      <c r="F145" s="30" t="s">
        <v>1589</v>
      </c>
      <c r="H145" s="30" t="s">
        <v>1590</v>
      </c>
      <c r="J145" s="30" t="s">
        <v>236</v>
      </c>
      <c r="L145" s="30" t="s">
        <v>3924</v>
      </c>
      <c r="M145" s="30" t="s">
        <v>367</v>
      </c>
      <c r="N145" s="30" t="s">
        <v>2200</v>
      </c>
      <c r="P145" s="30" t="s">
        <v>4021</v>
      </c>
      <c r="Q145" t="s">
        <v>619</v>
      </c>
      <c r="R145" t="s">
        <v>920</v>
      </c>
      <c r="S145">
        <v>38</v>
      </c>
      <c r="T145" s="29" t="str">
        <f t="shared" si="6"/>
        <v>2022.001D.Herpesvirales_1renfam_4rengen_124rensp_6absp.zip</v>
      </c>
      <c r="U145" s="29" t="str">
        <f>HYPERLINK("https://ictv.global/taxonomy/taxondetails?taxnode_id=202309152","ictv.global=202309152")</f>
        <v>ictv.global=202309152</v>
      </c>
    </row>
    <row r="146" spans="1:21">
      <c r="A146">
        <v>145</v>
      </c>
      <c r="B146" s="30" t="s">
        <v>1587</v>
      </c>
      <c r="D146" s="30" t="s">
        <v>1588</v>
      </c>
      <c r="F146" s="30" t="s">
        <v>1589</v>
      </c>
      <c r="H146" s="30" t="s">
        <v>1590</v>
      </c>
      <c r="J146" s="30" t="s">
        <v>236</v>
      </c>
      <c r="L146" s="30" t="s">
        <v>3924</v>
      </c>
      <c r="M146" s="30" t="s">
        <v>367</v>
      </c>
      <c r="N146" s="30" t="s">
        <v>2201</v>
      </c>
      <c r="P146" s="30" t="s">
        <v>4022</v>
      </c>
      <c r="Q146" t="s">
        <v>619</v>
      </c>
      <c r="R146" t="s">
        <v>920</v>
      </c>
      <c r="S146">
        <v>38</v>
      </c>
      <c r="T146" s="29" t="str">
        <f t="shared" si="6"/>
        <v>2022.001D.Herpesvirales_1renfam_4rengen_124rensp_6absp.zip</v>
      </c>
      <c r="U146" s="29" t="str">
        <f>HYPERLINK("https://ictv.global/taxonomy/taxondetails?taxnode_id=202309149","ictv.global=202309149")</f>
        <v>ictv.global=202309149</v>
      </c>
    </row>
    <row r="147" spans="1:21">
      <c r="A147">
        <v>146</v>
      </c>
      <c r="B147" s="30" t="s">
        <v>1587</v>
      </c>
      <c r="D147" s="30" t="s">
        <v>1588</v>
      </c>
      <c r="F147" s="30" t="s">
        <v>1589</v>
      </c>
      <c r="H147" s="30" t="s">
        <v>1590</v>
      </c>
      <c r="J147" s="30" t="s">
        <v>236</v>
      </c>
      <c r="L147" s="30" t="s">
        <v>3924</v>
      </c>
      <c r="M147" s="30" t="s">
        <v>367</v>
      </c>
      <c r="N147" s="30" t="s">
        <v>334</v>
      </c>
      <c r="P147" s="30" t="s">
        <v>4023</v>
      </c>
      <c r="Q147" t="s">
        <v>619</v>
      </c>
      <c r="R147" t="s">
        <v>920</v>
      </c>
      <c r="S147">
        <v>38</v>
      </c>
      <c r="T147" s="29" t="str">
        <f t="shared" si="6"/>
        <v>2022.001D.Herpesvirales_1renfam_4rengen_124rensp_6absp.zip</v>
      </c>
      <c r="U147" s="29" t="str">
        <f>HYPERLINK("https://ictv.global/taxonomy/taxondetails?taxnode_id=202301502","ictv.global=202301502")</f>
        <v>ictv.global=202301502</v>
      </c>
    </row>
    <row r="148" spans="1:21">
      <c r="A148">
        <v>147</v>
      </c>
      <c r="B148" s="30" t="s">
        <v>1587</v>
      </c>
      <c r="D148" s="30" t="s">
        <v>1588</v>
      </c>
      <c r="F148" s="30" t="s">
        <v>1589</v>
      </c>
      <c r="H148" s="30" t="s">
        <v>1590</v>
      </c>
      <c r="J148" s="30" t="s">
        <v>236</v>
      </c>
      <c r="L148" s="30" t="s">
        <v>3924</v>
      </c>
      <c r="M148" s="30" t="s">
        <v>367</v>
      </c>
      <c r="N148" s="30" t="s">
        <v>334</v>
      </c>
      <c r="P148" s="30" t="s">
        <v>4024</v>
      </c>
      <c r="Q148" t="s">
        <v>619</v>
      </c>
      <c r="R148" t="s">
        <v>920</v>
      </c>
      <c r="S148">
        <v>38</v>
      </c>
      <c r="T148" s="29" t="str">
        <f t="shared" si="6"/>
        <v>2022.001D.Herpesvirales_1renfam_4rengen_124rensp_6absp.zip</v>
      </c>
      <c r="U148" s="29" t="str">
        <f>HYPERLINK("https://ictv.global/taxonomy/taxondetails?taxnode_id=202301503","ictv.global=202301503")</f>
        <v>ictv.global=202301503</v>
      </c>
    </row>
    <row r="149" spans="1:21">
      <c r="A149">
        <v>148</v>
      </c>
      <c r="B149" s="30" t="s">
        <v>1587</v>
      </c>
      <c r="D149" s="30" t="s">
        <v>1588</v>
      </c>
      <c r="F149" s="30" t="s">
        <v>1589</v>
      </c>
      <c r="H149" s="30" t="s">
        <v>1590</v>
      </c>
      <c r="J149" s="30" t="s">
        <v>236</v>
      </c>
      <c r="L149" s="30" t="s">
        <v>3924</v>
      </c>
      <c r="M149" s="30" t="s">
        <v>367</v>
      </c>
      <c r="N149" s="30" t="s">
        <v>334</v>
      </c>
      <c r="P149" s="30" t="s">
        <v>4025</v>
      </c>
      <c r="Q149" t="s">
        <v>619</v>
      </c>
      <c r="R149" t="s">
        <v>920</v>
      </c>
      <c r="S149">
        <v>38</v>
      </c>
      <c r="T149" s="29" t="str">
        <f t="shared" si="6"/>
        <v>2022.001D.Herpesvirales_1renfam_4rengen_124rensp_6absp.zip</v>
      </c>
      <c r="U149" s="29" t="str">
        <f>HYPERLINK("https://ictv.global/taxonomy/taxondetails?taxnode_id=202306410","ictv.global=202306410")</f>
        <v>ictv.global=202306410</v>
      </c>
    </row>
    <row r="150" spans="1:21">
      <c r="A150">
        <v>149</v>
      </c>
      <c r="B150" s="30" t="s">
        <v>1587</v>
      </c>
      <c r="D150" s="30" t="s">
        <v>1588</v>
      </c>
      <c r="F150" s="30" t="s">
        <v>1589</v>
      </c>
      <c r="H150" s="30" t="s">
        <v>1590</v>
      </c>
      <c r="J150" s="30" t="s">
        <v>236</v>
      </c>
      <c r="L150" s="30" t="s">
        <v>3924</v>
      </c>
      <c r="M150" s="30" t="s">
        <v>367</v>
      </c>
      <c r="N150" s="30" t="s">
        <v>334</v>
      </c>
      <c r="P150" s="30" t="s">
        <v>4026</v>
      </c>
      <c r="Q150" t="s">
        <v>619</v>
      </c>
      <c r="R150" t="s">
        <v>920</v>
      </c>
      <c r="S150">
        <v>38</v>
      </c>
      <c r="T150" s="29" t="str">
        <f t="shared" si="6"/>
        <v>2022.001D.Herpesvirales_1renfam_4rengen_124rensp_6absp.zip</v>
      </c>
      <c r="U150" s="29" t="str">
        <f>HYPERLINK("https://ictv.global/taxonomy/taxondetails?taxnode_id=202301504","ictv.global=202301504")</f>
        <v>ictv.global=202301504</v>
      </c>
    </row>
    <row r="151" spans="1:21">
      <c r="A151">
        <v>150</v>
      </c>
      <c r="B151" s="30" t="s">
        <v>1587</v>
      </c>
      <c r="D151" s="30" t="s">
        <v>1588</v>
      </c>
      <c r="F151" s="30" t="s">
        <v>1589</v>
      </c>
      <c r="H151" s="30" t="s">
        <v>1590</v>
      </c>
      <c r="J151" s="30" t="s">
        <v>236</v>
      </c>
      <c r="L151" s="30" t="s">
        <v>3924</v>
      </c>
      <c r="M151" s="30" t="s">
        <v>367</v>
      </c>
      <c r="N151" s="30" t="s">
        <v>334</v>
      </c>
      <c r="P151" s="30" t="s">
        <v>4027</v>
      </c>
      <c r="Q151" t="s">
        <v>619</v>
      </c>
      <c r="R151" t="s">
        <v>920</v>
      </c>
      <c r="S151">
        <v>38</v>
      </c>
      <c r="T151" s="29" t="str">
        <f t="shared" si="6"/>
        <v>2022.001D.Herpesvirales_1renfam_4rengen_124rensp_6absp.zip</v>
      </c>
      <c r="U151" s="29" t="str">
        <f>HYPERLINK("https://ictv.global/taxonomy/taxondetails?taxnode_id=202306411","ictv.global=202306411")</f>
        <v>ictv.global=202306411</v>
      </c>
    </row>
    <row r="152" spans="1:21">
      <c r="A152">
        <v>151</v>
      </c>
      <c r="B152" s="30" t="s">
        <v>1587</v>
      </c>
      <c r="D152" s="30" t="s">
        <v>1588</v>
      </c>
      <c r="F152" s="30" t="s">
        <v>1589</v>
      </c>
      <c r="H152" s="30" t="s">
        <v>1590</v>
      </c>
      <c r="J152" s="30" t="s">
        <v>236</v>
      </c>
      <c r="L152" s="30" t="s">
        <v>3924</v>
      </c>
      <c r="M152" s="30" t="s">
        <v>367</v>
      </c>
      <c r="N152" s="30" t="s">
        <v>334</v>
      </c>
      <c r="P152" s="30" t="s">
        <v>4028</v>
      </c>
      <c r="Q152" t="s">
        <v>619</v>
      </c>
      <c r="R152" t="s">
        <v>917</v>
      </c>
      <c r="S152">
        <v>38</v>
      </c>
      <c r="T152" s="29" t="str">
        <f>HYPERLINK("https://ictv.global/ictv/proposals/2022.002D.Herpesvirales_9nsp.zip","2022.002D.Herpesvirales_9nsp.zip")</f>
        <v>2022.002D.Herpesvirales_9nsp.zip</v>
      </c>
      <c r="U152" s="29" t="str">
        <f>HYPERLINK("https://ictv.global/taxonomy/taxondetails?taxnode_id=202314020","ictv.global=202314020")</f>
        <v>ictv.global=202314020</v>
      </c>
    </row>
    <row r="153" spans="1:21">
      <c r="A153">
        <v>152</v>
      </c>
      <c r="B153" s="30" t="s">
        <v>1587</v>
      </c>
      <c r="D153" s="30" t="s">
        <v>1588</v>
      </c>
      <c r="F153" s="30" t="s">
        <v>1589</v>
      </c>
      <c r="H153" s="30" t="s">
        <v>1590</v>
      </c>
      <c r="J153" s="30" t="s">
        <v>236</v>
      </c>
      <c r="L153" s="30" t="s">
        <v>3924</v>
      </c>
      <c r="M153" s="30" t="s">
        <v>367</v>
      </c>
      <c r="N153" s="30" t="s">
        <v>334</v>
      </c>
      <c r="P153" s="30" t="s">
        <v>4029</v>
      </c>
      <c r="Q153" t="s">
        <v>619</v>
      </c>
      <c r="R153" t="s">
        <v>920</v>
      </c>
      <c r="S153">
        <v>38</v>
      </c>
      <c r="T153" s="29" t="str">
        <f>HYPERLINK("https://ictv.global/ictv/proposals/2022.001D.Herpesvirales_1renfam_4rengen_124rensp_6absp.zip","2022.001D.Herpesvirales_1renfam_4rengen_124rensp_6absp.zip")</f>
        <v>2022.001D.Herpesvirales_1renfam_4rengen_124rensp_6absp.zip</v>
      </c>
      <c r="U153" s="29" t="str">
        <f>HYPERLINK("https://ictv.global/taxonomy/taxondetails?taxnode_id=202306412","ictv.global=202306412")</f>
        <v>ictv.global=202306412</v>
      </c>
    </row>
    <row r="154" spans="1:21">
      <c r="A154">
        <v>153</v>
      </c>
      <c r="B154" s="30" t="s">
        <v>1587</v>
      </c>
      <c r="D154" s="30" t="s">
        <v>1588</v>
      </c>
      <c r="F154" s="30" t="s">
        <v>1589</v>
      </c>
      <c r="H154" s="30" t="s">
        <v>1590</v>
      </c>
      <c r="J154" s="30" t="s">
        <v>236</v>
      </c>
      <c r="L154" s="30" t="s">
        <v>3924</v>
      </c>
      <c r="M154" s="30" t="s">
        <v>367</v>
      </c>
      <c r="N154" s="30" t="s">
        <v>335</v>
      </c>
      <c r="P154" s="30" t="s">
        <v>4030</v>
      </c>
      <c r="Q154" t="s">
        <v>619</v>
      </c>
      <c r="R154" t="s">
        <v>920</v>
      </c>
      <c r="S154">
        <v>38</v>
      </c>
      <c r="T154" s="29" t="str">
        <f>HYPERLINK("https://ictv.global/ictv/proposals/2022.001D.Herpesvirales_1renfam_4rengen_124rensp_6absp.zip","2022.001D.Herpesvirales_1renfam_4rengen_124rensp_6absp.zip")</f>
        <v>2022.001D.Herpesvirales_1renfam_4rengen_124rensp_6absp.zip</v>
      </c>
      <c r="U154" s="29" t="str">
        <f>HYPERLINK("https://ictv.global/taxonomy/taxondetails?taxnode_id=202301506","ictv.global=202301506")</f>
        <v>ictv.global=202301506</v>
      </c>
    </row>
    <row r="155" spans="1:21">
      <c r="A155">
        <v>154</v>
      </c>
      <c r="B155" s="30" t="s">
        <v>1587</v>
      </c>
      <c r="D155" s="30" t="s">
        <v>1588</v>
      </c>
      <c r="F155" s="30" t="s">
        <v>1589</v>
      </c>
      <c r="H155" s="30" t="s">
        <v>1590</v>
      </c>
      <c r="J155" s="30" t="s">
        <v>236</v>
      </c>
      <c r="L155" s="30" t="s">
        <v>3924</v>
      </c>
      <c r="M155" s="30" t="s">
        <v>367</v>
      </c>
      <c r="N155" s="30" t="s">
        <v>335</v>
      </c>
      <c r="P155" s="30" t="s">
        <v>4031</v>
      </c>
      <c r="Q155" t="s">
        <v>619</v>
      </c>
      <c r="R155" t="s">
        <v>920</v>
      </c>
      <c r="S155">
        <v>38</v>
      </c>
      <c r="T155" s="29" t="str">
        <f>HYPERLINK("https://ictv.global/ictv/proposals/2022.001D.Herpesvirales_1renfam_4rengen_124rensp_6absp.zip","2022.001D.Herpesvirales_1renfam_4rengen_124rensp_6absp.zip")</f>
        <v>2022.001D.Herpesvirales_1renfam_4rengen_124rensp_6absp.zip</v>
      </c>
      <c r="U155" s="29" t="str">
        <f>HYPERLINK("https://ictv.global/taxonomy/taxondetails?taxnode_id=202301507","ictv.global=202301507")</f>
        <v>ictv.global=202301507</v>
      </c>
    </row>
    <row r="156" spans="1:21">
      <c r="A156">
        <v>155</v>
      </c>
      <c r="B156" s="30" t="s">
        <v>1587</v>
      </c>
      <c r="D156" s="30" t="s">
        <v>1588</v>
      </c>
      <c r="F156" s="30" t="s">
        <v>1589</v>
      </c>
      <c r="H156" s="30" t="s">
        <v>1590</v>
      </c>
      <c r="J156" s="30" t="s">
        <v>236</v>
      </c>
      <c r="L156" s="30" t="s">
        <v>3924</v>
      </c>
      <c r="M156" s="30" t="s">
        <v>367</v>
      </c>
      <c r="N156" s="30" t="s">
        <v>335</v>
      </c>
      <c r="P156" s="30" t="s">
        <v>4032</v>
      </c>
      <c r="Q156" t="s">
        <v>619</v>
      </c>
      <c r="R156" t="s">
        <v>920</v>
      </c>
      <c r="S156">
        <v>38</v>
      </c>
      <c r="T156" s="29" t="str">
        <f>HYPERLINK("https://ictv.global/ictv/proposals/2022.001D.Herpesvirales_1renfam_4rengen_124rensp_6absp.zip","2022.001D.Herpesvirales_1renfam_4rengen_124rensp_6absp.zip")</f>
        <v>2022.001D.Herpesvirales_1renfam_4rengen_124rensp_6absp.zip</v>
      </c>
      <c r="U156" s="29" t="str">
        <f>HYPERLINK("https://ictv.global/taxonomy/taxondetails?taxnode_id=202301508","ictv.global=202301508")</f>
        <v>ictv.global=202301508</v>
      </c>
    </row>
    <row r="157" spans="1:21">
      <c r="A157">
        <v>156</v>
      </c>
      <c r="B157" s="30" t="s">
        <v>1587</v>
      </c>
      <c r="D157" s="30" t="s">
        <v>1588</v>
      </c>
      <c r="F157" s="30" t="s">
        <v>1589</v>
      </c>
      <c r="H157" s="30" t="s">
        <v>1590</v>
      </c>
      <c r="J157" s="30" t="s">
        <v>236</v>
      </c>
      <c r="L157" s="30" t="s">
        <v>3924</v>
      </c>
      <c r="M157" s="30" t="s">
        <v>367</v>
      </c>
      <c r="N157" s="30" t="s">
        <v>335</v>
      </c>
      <c r="P157" s="30" t="s">
        <v>4033</v>
      </c>
      <c r="Q157" t="s">
        <v>619</v>
      </c>
      <c r="R157" t="s">
        <v>917</v>
      </c>
      <c r="S157">
        <v>38</v>
      </c>
      <c r="T157" s="29" t="str">
        <f>HYPERLINK("https://ictv.global/ictv/proposals/2022.002D.Herpesvirales_9nsp.zip","2022.002D.Herpesvirales_9nsp.zip")</f>
        <v>2022.002D.Herpesvirales_9nsp.zip</v>
      </c>
      <c r="U157" s="29" t="str">
        <f>HYPERLINK("https://ictv.global/taxonomy/taxondetails?taxnode_id=202314021","ictv.global=202314021")</f>
        <v>ictv.global=202314021</v>
      </c>
    </row>
    <row r="158" spans="1:21">
      <c r="A158">
        <v>157</v>
      </c>
      <c r="B158" s="30" t="s">
        <v>1587</v>
      </c>
      <c r="D158" s="30" t="s">
        <v>1588</v>
      </c>
      <c r="F158" s="30" t="s">
        <v>1589</v>
      </c>
      <c r="H158" s="30" t="s">
        <v>1590</v>
      </c>
      <c r="J158" s="30" t="s">
        <v>236</v>
      </c>
      <c r="L158" s="30" t="s">
        <v>3924</v>
      </c>
      <c r="M158" s="30" t="s">
        <v>367</v>
      </c>
      <c r="N158" s="30" t="s">
        <v>335</v>
      </c>
      <c r="P158" s="30" t="s">
        <v>4034</v>
      </c>
      <c r="Q158" t="s">
        <v>619</v>
      </c>
      <c r="R158" t="s">
        <v>920</v>
      </c>
      <c r="S158">
        <v>38</v>
      </c>
      <c r="T158" s="29" t="str">
        <f t="shared" ref="T158:T166" si="7">HYPERLINK("https://ictv.global/ictv/proposals/2022.001D.Herpesvirales_1renfam_4rengen_124rensp_6absp.zip","2022.001D.Herpesvirales_1renfam_4rengen_124rensp_6absp.zip")</f>
        <v>2022.001D.Herpesvirales_1renfam_4rengen_124rensp_6absp.zip</v>
      </c>
      <c r="U158" s="29" t="str">
        <f>HYPERLINK("https://ictv.global/taxonomy/taxondetails?taxnode_id=202301509","ictv.global=202301509")</f>
        <v>ictv.global=202301509</v>
      </c>
    </row>
    <row r="159" spans="1:21">
      <c r="A159">
        <v>158</v>
      </c>
      <c r="B159" s="30" t="s">
        <v>1587</v>
      </c>
      <c r="D159" s="30" t="s">
        <v>1588</v>
      </c>
      <c r="F159" s="30" t="s">
        <v>1589</v>
      </c>
      <c r="H159" s="30" t="s">
        <v>1590</v>
      </c>
      <c r="J159" s="30" t="s">
        <v>236</v>
      </c>
      <c r="L159" s="30" t="s">
        <v>3924</v>
      </c>
      <c r="M159" s="30" t="s">
        <v>367</v>
      </c>
      <c r="N159" s="30" t="s">
        <v>335</v>
      </c>
      <c r="P159" s="30" t="s">
        <v>4035</v>
      </c>
      <c r="Q159" t="s">
        <v>619</v>
      </c>
      <c r="R159" t="s">
        <v>920</v>
      </c>
      <c r="S159">
        <v>38</v>
      </c>
      <c r="T159" s="29" t="str">
        <f t="shared" si="7"/>
        <v>2022.001D.Herpesvirales_1renfam_4rengen_124rensp_6absp.zip</v>
      </c>
      <c r="U159" s="29" t="str">
        <f>HYPERLINK("https://ictv.global/taxonomy/taxondetails?taxnode_id=202301510","ictv.global=202301510")</f>
        <v>ictv.global=202301510</v>
      </c>
    </row>
    <row r="160" spans="1:21">
      <c r="A160">
        <v>159</v>
      </c>
      <c r="B160" s="30" t="s">
        <v>1587</v>
      </c>
      <c r="D160" s="30" t="s">
        <v>1588</v>
      </c>
      <c r="F160" s="30" t="s">
        <v>1589</v>
      </c>
      <c r="H160" s="30" t="s">
        <v>1590</v>
      </c>
      <c r="J160" s="30" t="s">
        <v>236</v>
      </c>
      <c r="L160" s="30" t="s">
        <v>3924</v>
      </c>
      <c r="M160" s="30" t="s">
        <v>367</v>
      </c>
      <c r="N160" s="30" t="s">
        <v>335</v>
      </c>
      <c r="P160" s="30" t="s">
        <v>4036</v>
      </c>
      <c r="Q160" t="s">
        <v>619</v>
      </c>
      <c r="R160" t="s">
        <v>920</v>
      </c>
      <c r="S160">
        <v>38</v>
      </c>
      <c r="T160" s="29" t="str">
        <f t="shared" si="7"/>
        <v>2022.001D.Herpesvirales_1renfam_4rengen_124rensp_6absp.zip</v>
      </c>
      <c r="U160" s="29" t="str">
        <f>HYPERLINK("https://ictv.global/taxonomy/taxondetails?taxnode_id=202301511","ictv.global=202301511")</f>
        <v>ictv.global=202301511</v>
      </c>
    </row>
    <row r="161" spans="1:21">
      <c r="A161">
        <v>160</v>
      </c>
      <c r="B161" s="30" t="s">
        <v>1587</v>
      </c>
      <c r="D161" s="30" t="s">
        <v>1588</v>
      </c>
      <c r="F161" s="30" t="s">
        <v>1589</v>
      </c>
      <c r="H161" s="30" t="s">
        <v>1590</v>
      </c>
      <c r="J161" s="30" t="s">
        <v>236</v>
      </c>
      <c r="L161" s="30" t="s">
        <v>3924</v>
      </c>
      <c r="M161" s="30" t="s">
        <v>367</v>
      </c>
      <c r="N161" s="30" t="s">
        <v>335</v>
      </c>
      <c r="P161" s="30" t="s">
        <v>4037</v>
      </c>
      <c r="Q161" t="s">
        <v>619</v>
      </c>
      <c r="R161" t="s">
        <v>920</v>
      </c>
      <c r="S161">
        <v>38</v>
      </c>
      <c r="T161" s="29" t="str">
        <f t="shared" si="7"/>
        <v>2022.001D.Herpesvirales_1renfam_4rengen_124rensp_6absp.zip</v>
      </c>
      <c r="U161" s="29" t="str">
        <f>HYPERLINK("https://ictv.global/taxonomy/taxondetails?taxnode_id=202306407","ictv.global=202306407")</f>
        <v>ictv.global=202306407</v>
      </c>
    </row>
    <row r="162" spans="1:21">
      <c r="A162">
        <v>161</v>
      </c>
      <c r="B162" s="30" t="s">
        <v>1587</v>
      </c>
      <c r="D162" s="30" t="s">
        <v>1588</v>
      </c>
      <c r="F162" s="30" t="s">
        <v>1589</v>
      </c>
      <c r="H162" s="30" t="s">
        <v>1590</v>
      </c>
      <c r="J162" s="30" t="s">
        <v>236</v>
      </c>
      <c r="L162" s="30" t="s">
        <v>3924</v>
      </c>
      <c r="M162" s="30" t="s">
        <v>367</v>
      </c>
      <c r="N162" s="30" t="s">
        <v>335</v>
      </c>
      <c r="P162" s="30" t="s">
        <v>4038</v>
      </c>
      <c r="Q162" t="s">
        <v>619</v>
      </c>
      <c r="R162" t="s">
        <v>920</v>
      </c>
      <c r="S162">
        <v>38</v>
      </c>
      <c r="T162" s="29" t="str">
        <f t="shared" si="7"/>
        <v>2022.001D.Herpesvirales_1renfam_4rengen_124rensp_6absp.zip</v>
      </c>
      <c r="U162" s="29" t="str">
        <f>HYPERLINK("https://ictv.global/taxonomy/taxondetails?taxnode_id=202306408","ictv.global=202306408")</f>
        <v>ictv.global=202306408</v>
      </c>
    </row>
    <row r="163" spans="1:21">
      <c r="A163">
        <v>162</v>
      </c>
      <c r="B163" s="30" t="s">
        <v>1587</v>
      </c>
      <c r="D163" s="30" t="s">
        <v>1588</v>
      </c>
      <c r="F163" s="30" t="s">
        <v>1589</v>
      </c>
      <c r="H163" s="30" t="s">
        <v>1590</v>
      </c>
      <c r="J163" s="30" t="s">
        <v>236</v>
      </c>
      <c r="L163" s="30" t="s">
        <v>3924</v>
      </c>
      <c r="M163" s="30" t="s">
        <v>367</v>
      </c>
      <c r="N163" s="30" t="s">
        <v>335</v>
      </c>
      <c r="P163" s="30" t="s">
        <v>4039</v>
      </c>
      <c r="Q163" t="s">
        <v>619</v>
      </c>
      <c r="R163" t="s">
        <v>920</v>
      </c>
      <c r="S163">
        <v>38</v>
      </c>
      <c r="T163" s="29" t="str">
        <f t="shared" si="7"/>
        <v>2022.001D.Herpesvirales_1renfam_4rengen_124rensp_6absp.zip</v>
      </c>
      <c r="U163" s="29" t="str">
        <f>HYPERLINK("https://ictv.global/taxonomy/taxondetails?taxnode_id=202306409","ictv.global=202306409")</f>
        <v>ictv.global=202306409</v>
      </c>
    </row>
    <row r="164" spans="1:21">
      <c r="A164">
        <v>163</v>
      </c>
      <c r="B164" s="30" t="s">
        <v>1587</v>
      </c>
      <c r="D164" s="30" t="s">
        <v>1588</v>
      </c>
      <c r="F164" s="30" t="s">
        <v>1589</v>
      </c>
      <c r="H164" s="30" t="s">
        <v>1590</v>
      </c>
      <c r="J164" s="30" t="s">
        <v>236</v>
      </c>
      <c r="L164" s="30" t="s">
        <v>3924</v>
      </c>
      <c r="M164" s="30" t="s">
        <v>367</v>
      </c>
      <c r="N164" s="30" t="s">
        <v>335</v>
      </c>
      <c r="P164" s="30" t="s">
        <v>4040</v>
      </c>
      <c r="Q164" t="s">
        <v>619</v>
      </c>
      <c r="R164" t="s">
        <v>920</v>
      </c>
      <c r="S164">
        <v>38</v>
      </c>
      <c r="T164" s="29" t="str">
        <f t="shared" si="7"/>
        <v>2022.001D.Herpesvirales_1renfam_4rengen_124rensp_6absp.zip</v>
      </c>
      <c r="U164" s="29" t="str">
        <f>HYPERLINK("https://ictv.global/taxonomy/taxondetails?taxnode_id=202301512","ictv.global=202301512")</f>
        <v>ictv.global=202301512</v>
      </c>
    </row>
    <row r="165" spans="1:21">
      <c r="A165">
        <v>164</v>
      </c>
      <c r="B165" s="30" t="s">
        <v>1587</v>
      </c>
      <c r="D165" s="30" t="s">
        <v>1588</v>
      </c>
      <c r="F165" s="30" t="s">
        <v>1589</v>
      </c>
      <c r="H165" s="30" t="s">
        <v>1590</v>
      </c>
      <c r="J165" s="30" t="s">
        <v>236</v>
      </c>
      <c r="L165" s="30" t="s">
        <v>3924</v>
      </c>
      <c r="M165" s="30" t="s">
        <v>367</v>
      </c>
      <c r="N165" s="30" t="s">
        <v>335</v>
      </c>
      <c r="P165" s="30" t="s">
        <v>4041</v>
      </c>
      <c r="Q165" t="s">
        <v>619</v>
      </c>
      <c r="R165" t="s">
        <v>920</v>
      </c>
      <c r="S165">
        <v>38</v>
      </c>
      <c r="T165" s="29" t="str">
        <f t="shared" si="7"/>
        <v>2022.001D.Herpesvirales_1renfam_4rengen_124rensp_6absp.zip</v>
      </c>
      <c r="U165" s="29" t="str">
        <f>HYPERLINK("https://ictv.global/taxonomy/taxondetails?taxnode_id=202301513","ictv.global=202301513")</f>
        <v>ictv.global=202301513</v>
      </c>
    </row>
    <row r="166" spans="1:21">
      <c r="A166">
        <v>165</v>
      </c>
      <c r="B166" s="30" t="s">
        <v>1587</v>
      </c>
      <c r="D166" s="30" t="s">
        <v>1588</v>
      </c>
      <c r="F166" s="30" t="s">
        <v>1589</v>
      </c>
      <c r="H166" s="30" t="s">
        <v>1590</v>
      </c>
      <c r="J166" s="30" t="s">
        <v>236</v>
      </c>
      <c r="L166" s="30" t="s">
        <v>3924</v>
      </c>
      <c r="M166" s="30" t="s">
        <v>367</v>
      </c>
      <c r="N166" s="30" t="s">
        <v>335</v>
      </c>
      <c r="P166" s="30" t="s">
        <v>4042</v>
      </c>
      <c r="Q166" t="s">
        <v>619</v>
      </c>
      <c r="R166" t="s">
        <v>920</v>
      </c>
      <c r="S166">
        <v>38</v>
      </c>
      <c r="T166" s="29" t="str">
        <f t="shared" si="7"/>
        <v>2022.001D.Herpesvirales_1renfam_4rengen_124rensp_6absp.zip</v>
      </c>
      <c r="U166" s="29" t="str">
        <f>HYPERLINK("https://ictv.global/taxonomy/taxondetails?taxnode_id=202301514","ictv.global=202301514")</f>
        <v>ictv.global=202301514</v>
      </c>
    </row>
    <row r="167" spans="1:21">
      <c r="A167">
        <v>166</v>
      </c>
      <c r="B167" s="30" t="s">
        <v>1587</v>
      </c>
      <c r="D167" s="30" t="s">
        <v>1588</v>
      </c>
      <c r="F167" s="30" t="s">
        <v>1591</v>
      </c>
      <c r="H167" s="30" t="s">
        <v>1592</v>
      </c>
      <c r="J167" s="30" t="s">
        <v>4043</v>
      </c>
      <c r="L167" s="30" t="s">
        <v>4044</v>
      </c>
      <c r="M167" s="30" t="s">
        <v>4045</v>
      </c>
      <c r="N167" s="30" t="s">
        <v>4046</v>
      </c>
      <c r="P167" s="30" t="s">
        <v>4047</v>
      </c>
      <c r="Q167" t="s">
        <v>619</v>
      </c>
      <c r="R167" t="s">
        <v>917</v>
      </c>
      <c r="S167">
        <v>37</v>
      </c>
      <c r="T167" s="29" t="str">
        <f t="shared" ref="T167:T188" si="8">HYPERLINK("https://ictv.global/ictv/proposals/2021.022B.R.Crassvirales.zip","2021.022B.R.Crassvirales.zip")</f>
        <v>2021.022B.R.Crassvirales.zip</v>
      </c>
      <c r="U167" s="29" t="str">
        <f>HYPERLINK("https://ictv.global/taxonomy/taxondetails?taxnode_id=202313484","ictv.global=202313484")</f>
        <v>ictv.global=202313484</v>
      </c>
    </row>
    <row r="168" spans="1:21">
      <c r="A168">
        <v>167</v>
      </c>
      <c r="B168" s="30" t="s">
        <v>1587</v>
      </c>
      <c r="D168" s="30" t="s">
        <v>1588</v>
      </c>
      <c r="F168" s="30" t="s">
        <v>1591</v>
      </c>
      <c r="H168" s="30" t="s">
        <v>1592</v>
      </c>
      <c r="J168" s="30" t="s">
        <v>4043</v>
      </c>
      <c r="L168" s="30" t="s">
        <v>4044</v>
      </c>
      <c r="M168" s="30" t="s">
        <v>4045</v>
      </c>
      <c r="N168" s="30" t="s">
        <v>4046</v>
      </c>
      <c r="P168" s="30" t="s">
        <v>4048</v>
      </c>
      <c r="Q168" t="s">
        <v>619</v>
      </c>
      <c r="R168" t="s">
        <v>917</v>
      </c>
      <c r="S168">
        <v>37</v>
      </c>
      <c r="T168" s="29" t="str">
        <f t="shared" si="8"/>
        <v>2021.022B.R.Crassvirales.zip</v>
      </c>
      <c r="U168" s="29" t="str">
        <f>HYPERLINK("https://ictv.global/taxonomy/taxondetails?taxnode_id=202313483","ictv.global=202313483")</f>
        <v>ictv.global=202313483</v>
      </c>
    </row>
    <row r="169" spans="1:21">
      <c r="A169">
        <v>168</v>
      </c>
      <c r="B169" s="30" t="s">
        <v>1587</v>
      </c>
      <c r="D169" s="30" t="s">
        <v>1588</v>
      </c>
      <c r="F169" s="30" t="s">
        <v>1591</v>
      </c>
      <c r="H169" s="30" t="s">
        <v>1592</v>
      </c>
      <c r="J169" s="30" t="s">
        <v>4043</v>
      </c>
      <c r="L169" s="30" t="s">
        <v>4044</v>
      </c>
      <c r="M169" s="30" t="s">
        <v>4049</v>
      </c>
      <c r="N169" s="30" t="s">
        <v>4050</v>
      </c>
      <c r="P169" s="30" t="s">
        <v>4051</v>
      </c>
      <c r="Q169" t="s">
        <v>619</v>
      </c>
      <c r="R169" t="s">
        <v>917</v>
      </c>
      <c r="S169">
        <v>37</v>
      </c>
      <c r="T169" s="29" t="str">
        <f t="shared" si="8"/>
        <v>2021.022B.R.Crassvirales.zip</v>
      </c>
      <c r="U169" s="29" t="str">
        <f>HYPERLINK("https://ictv.global/taxonomy/taxondetails?taxnode_id=202313487","ictv.global=202313487")</f>
        <v>ictv.global=202313487</v>
      </c>
    </row>
    <row r="170" spans="1:21">
      <c r="A170">
        <v>169</v>
      </c>
      <c r="B170" s="30" t="s">
        <v>1587</v>
      </c>
      <c r="D170" s="30" t="s">
        <v>1588</v>
      </c>
      <c r="F170" s="30" t="s">
        <v>1591</v>
      </c>
      <c r="H170" s="30" t="s">
        <v>1592</v>
      </c>
      <c r="J170" s="30" t="s">
        <v>4043</v>
      </c>
      <c r="L170" s="30" t="s">
        <v>4044</v>
      </c>
      <c r="M170" s="30" t="s">
        <v>4049</v>
      </c>
      <c r="N170" s="30" t="s">
        <v>4052</v>
      </c>
      <c r="P170" s="30" t="s">
        <v>4053</v>
      </c>
      <c r="Q170" t="s">
        <v>619</v>
      </c>
      <c r="R170" t="s">
        <v>917</v>
      </c>
      <c r="S170">
        <v>37</v>
      </c>
      <c r="T170" s="29" t="str">
        <f t="shared" si="8"/>
        <v>2021.022B.R.Crassvirales.zip</v>
      </c>
      <c r="U170" s="29" t="str">
        <f>HYPERLINK("https://ictv.global/taxonomy/taxondetails?taxnode_id=202313490","ictv.global=202313490")</f>
        <v>ictv.global=202313490</v>
      </c>
    </row>
    <row r="171" spans="1:21">
      <c r="A171">
        <v>170</v>
      </c>
      <c r="B171" s="30" t="s">
        <v>1587</v>
      </c>
      <c r="D171" s="30" t="s">
        <v>1588</v>
      </c>
      <c r="F171" s="30" t="s">
        <v>1591</v>
      </c>
      <c r="H171" s="30" t="s">
        <v>1592</v>
      </c>
      <c r="J171" s="30" t="s">
        <v>4043</v>
      </c>
      <c r="L171" s="30" t="s">
        <v>4054</v>
      </c>
      <c r="M171" s="30" t="s">
        <v>4055</v>
      </c>
      <c r="N171" s="30" t="s">
        <v>4056</v>
      </c>
      <c r="P171" s="30" t="s">
        <v>4057</v>
      </c>
      <c r="Q171" t="s">
        <v>619</v>
      </c>
      <c r="R171" t="s">
        <v>917</v>
      </c>
      <c r="S171">
        <v>37</v>
      </c>
      <c r="T171" s="29" t="str">
        <f t="shared" si="8"/>
        <v>2021.022B.R.Crassvirales.zip</v>
      </c>
      <c r="U171" s="29" t="str">
        <f>HYPERLINK("https://ictv.global/taxonomy/taxondetails?taxnode_id=202313480","ictv.global=202313480")</f>
        <v>ictv.global=202313480</v>
      </c>
    </row>
    <row r="172" spans="1:21">
      <c r="A172">
        <v>171</v>
      </c>
      <c r="B172" s="30" t="s">
        <v>1587</v>
      </c>
      <c r="D172" s="30" t="s">
        <v>1588</v>
      </c>
      <c r="F172" s="30" t="s">
        <v>1591</v>
      </c>
      <c r="H172" s="30" t="s">
        <v>1592</v>
      </c>
      <c r="J172" s="30" t="s">
        <v>4043</v>
      </c>
      <c r="L172" s="30" t="s">
        <v>4054</v>
      </c>
      <c r="M172" s="30" t="s">
        <v>4055</v>
      </c>
      <c r="N172" s="30" t="s">
        <v>4056</v>
      </c>
      <c r="P172" s="30" t="s">
        <v>4058</v>
      </c>
      <c r="Q172" t="s">
        <v>619</v>
      </c>
      <c r="R172" t="s">
        <v>917</v>
      </c>
      <c r="S172">
        <v>37</v>
      </c>
      <c r="T172" s="29" t="str">
        <f t="shared" si="8"/>
        <v>2021.022B.R.Crassvirales.zip</v>
      </c>
      <c r="U172" s="29" t="str">
        <f>HYPERLINK("https://ictv.global/taxonomy/taxondetails?taxnode_id=202313479","ictv.global=202313479")</f>
        <v>ictv.global=202313479</v>
      </c>
    </row>
    <row r="173" spans="1:21">
      <c r="A173">
        <v>172</v>
      </c>
      <c r="B173" s="30" t="s">
        <v>1587</v>
      </c>
      <c r="D173" s="30" t="s">
        <v>1588</v>
      </c>
      <c r="F173" s="30" t="s">
        <v>1591</v>
      </c>
      <c r="H173" s="30" t="s">
        <v>1592</v>
      </c>
      <c r="J173" s="30" t="s">
        <v>4043</v>
      </c>
      <c r="L173" s="30" t="s">
        <v>4054</v>
      </c>
      <c r="M173" s="30" t="s">
        <v>4055</v>
      </c>
      <c r="N173" s="30" t="s">
        <v>4056</v>
      </c>
      <c r="P173" s="30" t="s">
        <v>4059</v>
      </c>
      <c r="Q173" t="s">
        <v>619</v>
      </c>
      <c r="R173" t="s">
        <v>917</v>
      </c>
      <c r="S173">
        <v>37</v>
      </c>
      <c r="T173" s="29" t="str">
        <f t="shared" si="8"/>
        <v>2021.022B.R.Crassvirales.zip</v>
      </c>
      <c r="U173" s="29" t="str">
        <f>HYPERLINK("https://ictv.global/taxonomy/taxondetails?taxnode_id=202313481","ictv.global=202313481")</f>
        <v>ictv.global=202313481</v>
      </c>
    </row>
    <row r="174" spans="1:21">
      <c r="A174">
        <v>173</v>
      </c>
      <c r="B174" s="30" t="s">
        <v>1587</v>
      </c>
      <c r="D174" s="30" t="s">
        <v>1588</v>
      </c>
      <c r="F174" s="30" t="s">
        <v>1591</v>
      </c>
      <c r="H174" s="30" t="s">
        <v>1592</v>
      </c>
      <c r="J174" s="30" t="s">
        <v>4043</v>
      </c>
      <c r="L174" s="30" t="s">
        <v>4054</v>
      </c>
      <c r="M174" s="30" t="s">
        <v>4055</v>
      </c>
      <c r="N174" s="30" t="s">
        <v>4056</v>
      </c>
      <c r="P174" s="30" t="s">
        <v>4060</v>
      </c>
      <c r="Q174" t="s">
        <v>619</v>
      </c>
      <c r="R174" t="s">
        <v>917</v>
      </c>
      <c r="S174">
        <v>37</v>
      </c>
      <c r="T174" s="29" t="str">
        <f t="shared" si="8"/>
        <v>2021.022B.R.Crassvirales.zip</v>
      </c>
      <c r="U174" s="29" t="str">
        <f>HYPERLINK("https://ictv.global/taxonomy/taxondetails?taxnode_id=202313482","ictv.global=202313482")</f>
        <v>ictv.global=202313482</v>
      </c>
    </row>
    <row r="175" spans="1:21">
      <c r="A175">
        <v>174</v>
      </c>
      <c r="B175" s="30" t="s">
        <v>1587</v>
      </c>
      <c r="D175" s="30" t="s">
        <v>1588</v>
      </c>
      <c r="F175" s="30" t="s">
        <v>1591</v>
      </c>
      <c r="H175" s="30" t="s">
        <v>1592</v>
      </c>
      <c r="J175" s="30" t="s">
        <v>4043</v>
      </c>
      <c r="L175" s="30" t="s">
        <v>4054</v>
      </c>
      <c r="M175" s="30" t="s">
        <v>4061</v>
      </c>
      <c r="N175" s="30" t="s">
        <v>4062</v>
      </c>
      <c r="P175" s="30" t="s">
        <v>4063</v>
      </c>
      <c r="Q175" t="s">
        <v>619</v>
      </c>
      <c r="R175" t="s">
        <v>917</v>
      </c>
      <c r="S175">
        <v>37</v>
      </c>
      <c r="T175" s="29" t="str">
        <f t="shared" si="8"/>
        <v>2021.022B.R.Crassvirales.zip</v>
      </c>
      <c r="U175" s="29" t="str">
        <f>HYPERLINK("https://ictv.global/taxonomy/taxondetails?taxnode_id=202313461","ictv.global=202313461")</f>
        <v>ictv.global=202313461</v>
      </c>
    </row>
    <row r="176" spans="1:21">
      <c r="A176">
        <v>175</v>
      </c>
      <c r="B176" s="30" t="s">
        <v>1587</v>
      </c>
      <c r="D176" s="30" t="s">
        <v>1588</v>
      </c>
      <c r="F176" s="30" t="s">
        <v>1591</v>
      </c>
      <c r="H176" s="30" t="s">
        <v>1592</v>
      </c>
      <c r="J176" s="30" t="s">
        <v>4043</v>
      </c>
      <c r="L176" s="30" t="s">
        <v>4054</v>
      </c>
      <c r="M176" s="30" t="s">
        <v>4061</v>
      </c>
      <c r="N176" s="30" t="s">
        <v>4062</v>
      </c>
      <c r="P176" s="30" t="s">
        <v>4064</v>
      </c>
      <c r="Q176" t="s">
        <v>619</v>
      </c>
      <c r="R176" t="s">
        <v>917</v>
      </c>
      <c r="S176">
        <v>37</v>
      </c>
      <c r="T176" s="29" t="str">
        <f t="shared" si="8"/>
        <v>2021.022B.R.Crassvirales.zip</v>
      </c>
      <c r="U176" s="29" t="str">
        <f>HYPERLINK("https://ictv.global/taxonomy/taxondetails?taxnode_id=202313460","ictv.global=202313460")</f>
        <v>ictv.global=202313460</v>
      </c>
    </row>
    <row r="177" spans="1:21">
      <c r="A177">
        <v>176</v>
      </c>
      <c r="B177" s="30" t="s">
        <v>1587</v>
      </c>
      <c r="D177" s="30" t="s">
        <v>1588</v>
      </c>
      <c r="F177" s="30" t="s">
        <v>1591</v>
      </c>
      <c r="H177" s="30" t="s">
        <v>1592</v>
      </c>
      <c r="J177" s="30" t="s">
        <v>4043</v>
      </c>
      <c r="L177" s="30" t="s">
        <v>4054</v>
      </c>
      <c r="M177" s="30" t="s">
        <v>4061</v>
      </c>
      <c r="N177" s="30" t="s">
        <v>4065</v>
      </c>
      <c r="P177" s="30" t="s">
        <v>4066</v>
      </c>
      <c r="Q177" t="s">
        <v>619</v>
      </c>
      <c r="R177" t="s">
        <v>917</v>
      </c>
      <c r="S177">
        <v>37</v>
      </c>
      <c r="T177" s="29" t="str">
        <f t="shared" si="8"/>
        <v>2021.022B.R.Crassvirales.zip</v>
      </c>
      <c r="U177" s="29" t="str">
        <f>HYPERLINK("https://ictv.global/taxonomy/taxondetails?taxnode_id=202313468","ictv.global=202313468")</f>
        <v>ictv.global=202313468</v>
      </c>
    </row>
    <row r="178" spans="1:21">
      <c r="A178">
        <v>177</v>
      </c>
      <c r="B178" s="30" t="s">
        <v>1587</v>
      </c>
      <c r="D178" s="30" t="s">
        <v>1588</v>
      </c>
      <c r="F178" s="30" t="s">
        <v>1591</v>
      </c>
      <c r="H178" s="30" t="s">
        <v>1592</v>
      </c>
      <c r="J178" s="30" t="s">
        <v>4043</v>
      </c>
      <c r="L178" s="30" t="s">
        <v>4054</v>
      </c>
      <c r="M178" s="30" t="s">
        <v>4061</v>
      </c>
      <c r="N178" s="30" t="s">
        <v>4067</v>
      </c>
      <c r="P178" s="30" t="s">
        <v>4068</v>
      </c>
      <c r="Q178" t="s">
        <v>619</v>
      </c>
      <c r="R178" t="s">
        <v>917</v>
      </c>
      <c r="S178">
        <v>37</v>
      </c>
      <c r="T178" s="29" t="str">
        <f t="shared" si="8"/>
        <v>2021.022B.R.Crassvirales.zip</v>
      </c>
      <c r="U178" s="29" t="str">
        <f>HYPERLINK("https://ictv.global/taxonomy/taxondetails?taxnode_id=202313470","ictv.global=202313470")</f>
        <v>ictv.global=202313470</v>
      </c>
    </row>
    <row r="179" spans="1:21">
      <c r="A179">
        <v>178</v>
      </c>
      <c r="B179" s="30" t="s">
        <v>1587</v>
      </c>
      <c r="D179" s="30" t="s">
        <v>1588</v>
      </c>
      <c r="F179" s="30" t="s">
        <v>1591</v>
      </c>
      <c r="H179" s="30" t="s">
        <v>1592</v>
      </c>
      <c r="J179" s="30" t="s">
        <v>4043</v>
      </c>
      <c r="L179" s="30" t="s">
        <v>4054</v>
      </c>
      <c r="M179" s="30" t="s">
        <v>4061</v>
      </c>
      <c r="N179" s="30" t="s">
        <v>4067</v>
      </c>
      <c r="P179" s="30" t="s">
        <v>4069</v>
      </c>
      <c r="Q179" t="s">
        <v>619</v>
      </c>
      <c r="R179" t="s">
        <v>917</v>
      </c>
      <c r="S179">
        <v>37</v>
      </c>
      <c r="T179" s="29" t="str">
        <f t="shared" si="8"/>
        <v>2021.022B.R.Crassvirales.zip</v>
      </c>
      <c r="U179" s="29" t="str">
        <f>HYPERLINK("https://ictv.global/taxonomy/taxondetails?taxnode_id=202313471","ictv.global=202313471")</f>
        <v>ictv.global=202313471</v>
      </c>
    </row>
    <row r="180" spans="1:21">
      <c r="A180">
        <v>179</v>
      </c>
      <c r="B180" s="30" t="s">
        <v>1587</v>
      </c>
      <c r="D180" s="30" t="s">
        <v>1588</v>
      </c>
      <c r="F180" s="30" t="s">
        <v>1591</v>
      </c>
      <c r="H180" s="30" t="s">
        <v>1592</v>
      </c>
      <c r="J180" s="30" t="s">
        <v>4043</v>
      </c>
      <c r="L180" s="30" t="s">
        <v>4054</v>
      </c>
      <c r="M180" s="30" t="s">
        <v>4061</v>
      </c>
      <c r="N180" s="30" t="s">
        <v>4067</v>
      </c>
      <c r="P180" s="30" t="s">
        <v>4070</v>
      </c>
      <c r="Q180" t="s">
        <v>619</v>
      </c>
      <c r="R180" t="s">
        <v>917</v>
      </c>
      <c r="S180">
        <v>37</v>
      </c>
      <c r="T180" s="29" t="str">
        <f t="shared" si="8"/>
        <v>2021.022B.R.Crassvirales.zip</v>
      </c>
      <c r="U180" s="29" t="str">
        <f>HYPERLINK("https://ictv.global/taxonomy/taxondetails?taxnode_id=202313472","ictv.global=202313472")</f>
        <v>ictv.global=202313472</v>
      </c>
    </row>
    <row r="181" spans="1:21">
      <c r="A181">
        <v>180</v>
      </c>
      <c r="B181" s="30" t="s">
        <v>1587</v>
      </c>
      <c r="D181" s="30" t="s">
        <v>1588</v>
      </c>
      <c r="F181" s="30" t="s">
        <v>1591</v>
      </c>
      <c r="H181" s="30" t="s">
        <v>1592</v>
      </c>
      <c r="J181" s="30" t="s">
        <v>4043</v>
      </c>
      <c r="L181" s="30" t="s">
        <v>4054</v>
      </c>
      <c r="M181" s="30" t="s">
        <v>4061</v>
      </c>
      <c r="N181" s="30" t="s">
        <v>4071</v>
      </c>
      <c r="P181" s="30" t="s">
        <v>4072</v>
      </c>
      <c r="Q181" t="s">
        <v>619</v>
      </c>
      <c r="R181" t="s">
        <v>917</v>
      </c>
      <c r="S181">
        <v>37</v>
      </c>
      <c r="T181" s="29" t="str">
        <f t="shared" si="8"/>
        <v>2021.022B.R.Crassvirales.zip</v>
      </c>
      <c r="U181" s="29" t="str">
        <f>HYPERLINK("https://ictv.global/taxonomy/taxondetails?taxnode_id=202313473","ictv.global=202313473")</f>
        <v>ictv.global=202313473</v>
      </c>
    </row>
    <row r="182" spans="1:21">
      <c r="A182">
        <v>181</v>
      </c>
      <c r="B182" s="30" t="s">
        <v>1587</v>
      </c>
      <c r="D182" s="30" t="s">
        <v>1588</v>
      </c>
      <c r="F182" s="30" t="s">
        <v>1591</v>
      </c>
      <c r="H182" s="30" t="s">
        <v>1592</v>
      </c>
      <c r="J182" s="30" t="s">
        <v>4043</v>
      </c>
      <c r="L182" s="30" t="s">
        <v>4054</v>
      </c>
      <c r="M182" s="30" t="s">
        <v>4061</v>
      </c>
      <c r="N182" s="30" t="s">
        <v>4071</v>
      </c>
      <c r="P182" s="30" t="s">
        <v>4073</v>
      </c>
      <c r="Q182" t="s">
        <v>619</v>
      </c>
      <c r="R182" t="s">
        <v>917</v>
      </c>
      <c r="S182">
        <v>37</v>
      </c>
      <c r="T182" s="29" t="str">
        <f t="shared" si="8"/>
        <v>2021.022B.R.Crassvirales.zip</v>
      </c>
      <c r="U182" s="29" t="str">
        <f>HYPERLINK("https://ictv.global/taxonomy/taxondetails?taxnode_id=202313474","ictv.global=202313474")</f>
        <v>ictv.global=202313474</v>
      </c>
    </row>
    <row r="183" spans="1:21">
      <c r="A183">
        <v>182</v>
      </c>
      <c r="B183" s="30" t="s">
        <v>1587</v>
      </c>
      <c r="D183" s="30" t="s">
        <v>1588</v>
      </c>
      <c r="F183" s="30" t="s">
        <v>1591</v>
      </c>
      <c r="H183" s="30" t="s">
        <v>1592</v>
      </c>
      <c r="J183" s="30" t="s">
        <v>4043</v>
      </c>
      <c r="L183" s="30" t="s">
        <v>4054</v>
      </c>
      <c r="M183" s="30" t="s">
        <v>4061</v>
      </c>
      <c r="N183" s="30" t="s">
        <v>4074</v>
      </c>
      <c r="P183" s="30" t="s">
        <v>4075</v>
      </c>
      <c r="Q183" t="s">
        <v>619</v>
      </c>
      <c r="R183" t="s">
        <v>917</v>
      </c>
      <c r="S183">
        <v>37</v>
      </c>
      <c r="T183" s="29" t="str">
        <f t="shared" si="8"/>
        <v>2021.022B.R.Crassvirales.zip</v>
      </c>
      <c r="U183" s="29" t="str">
        <f>HYPERLINK("https://ictv.global/taxonomy/taxondetails?taxnode_id=202313475","ictv.global=202313475")</f>
        <v>ictv.global=202313475</v>
      </c>
    </row>
    <row r="184" spans="1:21">
      <c r="A184">
        <v>183</v>
      </c>
      <c r="B184" s="30" t="s">
        <v>1587</v>
      </c>
      <c r="D184" s="30" t="s">
        <v>1588</v>
      </c>
      <c r="F184" s="30" t="s">
        <v>1591</v>
      </c>
      <c r="H184" s="30" t="s">
        <v>1592</v>
      </c>
      <c r="J184" s="30" t="s">
        <v>4043</v>
      </c>
      <c r="L184" s="30" t="s">
        <v>4054</v>
      </c>
      <c r="M184" s="30" t="s">
        <v>4061</v>
      </c>
      <c r="N184" s="30" t="s">
        <v>4076</v>
      </c>
      <c r="P184" s="30" t="s">
        <v>4077</v>
      </c>
      <c r="Q184" t="s">
        <v>619</v>
      </c>
      <c r="R184" t="s">
        <v>917</v>
      </c>
      <c r="S184">
        <v>37</v>
      </c>
      <c r="T184" s="29" t="str">
        <f t="shared" si="8"/>
        <v>2021.022B.R.Crassvirales.zip</v>
      </c>
      <c r="U184" s="29" t="str">
        <f>HYPERLINK("https://ictv.global/taxonomy/taxondetails?taxnode_id=202313476","ictv.global=202313476")</f>
        <v>ictv.global=202313476</v>
      </c>
    </row>
    <row r="185" spans="1:21">
      <c r="A185">
        <v>184</v>
      </c>
      <c r="B185" s="30" t="s">
        <v>1587</v>
      </c>
      <c r="D185" s="30" t="s">
        <v>1588</v>
      </c>
      <c r="F185" s="30" t="s">
        <v>1591</v>
      </c>
      <c r="H185" s="30" t="s">
        <v>1592</v>
      </c>
      <c r="J185" s="30" t="s">
        <v>4043</v>
      </c>
      <c r="L185" s="30" t="s">
        <v>4054</v>
      </c>
      <c r="M185" s="30" t="s">
        <v>4061</v>
      </c>
      <c r="N185" s="30" t="s">
        <v>4078</v>
      </c>
      <c r="P185" s="30" t="s">
        <v>4079</v>
      </c>
      <c r="Q185" t="s">
        <v>619</v>
      </c>
      <c r="R185" t="s">
        <v>917</v>
      </c>
      <c r="S185">
        <v>37</v>
      </c>
      <c r="T185" s="29" t="str">
        <f t="shared" si="8"/>
        <v>2021.022B.R.Crassvirales.zip</v>
      </c>
      <c r="U185" s="29" t="str">
        <f>HYPERLINK("https://ictv.global/taxonomy/taxondetails?taxnode_id=202313500","ictv.global=202313500")</f>
        <v>ictv.global=202313500</v>
      </c>
    </row>
    <row r="186" spans="1:21">
      <c r="A186">
        <v>185</v>
      </c>
      <c r="B186" s="30" t="s">
        <v>1587</v>
      </c>
      <c r="D186" s="30" t="s">
        <v>1588</v>
      </c>
      <c r="F186" s="30" t="s">
        <v>1591</v>
      </c>
      <c r="H186" s="30" t="s">
        <v>1592</v>
      </c>
      <c r="J186" s="30" t="s">
        <v>4043</v>
      </c>
      <c r="L186" s="30" t="s">
        <v>4054</v>
      </c>
      <c r="M186" s="30" t="s">
        <v>4080</v>
      </c>
      <c r="N186" s="30" t="s">
        <v>4081</v>
      </c>
      <c r="P186" s="30" t="s">
        <v>4082</v>
      </c>
      <c r="Q186" t="s">
        <v>619</v>
      </c>
      <c r="R186" t="s">
        <v>917</v>
      </c>
      <c r="S186">
        <v>37</v>
      </c>
      <c r="T186" s="29" t="str">
        <f t="shared" si="8"/>
        <v>2021.022B.R.Crassvirales.zip</v>
      </c>
      <c r="U186" s="29" t="str">
        <f>HYPERLINK("https://ictv.global/taxonomy/taxondetails?taxnode_id=202313477","ictv.global=202313477")</f>
        <v>ictv.global=202313477</v>
      </c>
    </row>
    <row r="187" spans="1:21">
      <c r="A187">
        <v>186</v>
      </c>
      <c r="B187" s="30" t="s">
        <v>1587</v>
      </c>
      <c r="D187" s="30" t="s">
        <v>1588</v>
      </c>
      <c r="F187" s="30" t="s">
        <v>1591</v>
      </c>
      <c r="H187" s="30" t="s">
        <v>1592</v>
      </c>
      <c r="J187" s="30" t="s">
        <v>4043</v>
      </c>
      <c r="L187" s="30" t="s">
        <v>4054</v>
      </c>
      <c r="M187" s="30" t="s">
        <v>4080</v>
      </c>
      <c r="N187" s="30" t="s">
        <v>4083</v>
      </c>
      <c r="P187" s="30" t="s">
        <v>4084</v>
      </c>
      <c r="Q187" t="s">
        <v>619</v>
      </c>
      <c r="R187" t="s">
        <v>917</v>
      </c>
      <c r="S187">
        <v>37</v>
      </c>
      <c r="T187" s="29" t="str">
        <f t="shared" si="8"/>
        <v>2021.022B.R.Crassvirales.zip</v>
      </c>
      <c r="U187" s="29" t="str">
        <f>HYPERLINK("https://ictv.global/taxonomy/taxondetails?taxnode_id=202313478","ictv.global=202313478")</f>
        <v>ictv.global=202313478</v>
      </c>
    </row>
    <row r="188" spans="1:21">
      <c r="A188">
        <v>187</v>
      </c>
      <c r="B188" s="30" t="s">
        <v>1587</v>
      </c>
      <c r="D188" s="30" t="s">
        <v>1588</v>
      </c>
      <c r="F188" s="30" t="s">
        <v>1591</v>
      </c>
      <c r="H188" s="30" t="s">
        <v>1592</v>
      </c>
      <c r="J188" s="30" t="s">
        <v>4043</v>
      </c>
      <c r="L188" s="30" t="s">
        <v>4054</v>
      </c>
      <c r="M188" s="30" t="s">
        <v>4080</v>
      </c>
      <c r="N188" s="30" t="s">
        <v>4085</v>
      </c>
      <c r="P188" s="30" t="s">
        <v>4086</v>
      </c>
      <c r="Q188" t="s">
        <v>619</v>
      </c>
      <c r="R188" t="s">
        <v>917</v>
      </c>
      <c r="S188">
        <v>37</v>
      </c>
      <c r="T188" s="29" t="str">
        <f t="shared" si="8"/>
        <v>2021.022B.R.Crassvirales.zip</v>
      </c>
      <c r="U188" s="29" t="str">
        <f>HYPERLINK("https://ictv.global/taxonomy/taxondetails?taxnode_id=202313501","ictv.global=202313501")</f>
        <v>ictv.global=202313501</v>
      </c>
    </row>
    <row r="189" spans="1:21">
      <c r="A189">
        <v>188</v>
      </c>
      <c r="B189" s="30" t="s">
        <v>1587</v>
      </c>
      <c r="D189" s="30" t="s">
        <v>1588</v>
      </c>
      <c r="F189" s="30" t="s">
        <v>1591</v>
      </c>
      <c r="H189" s="30" t="s">
        <v>1592</v>
      </c>
      <c r="J189" s="30" t="s">
        <v>4043</v>
      </c>
      <c r="L189" s="30" t="s">
        <v>4054</v>
      </c>
      <c r="N189" s="30" t="s">
        <v>11760</v>
      </c>
      <c r="P189" s="30" t="s">
        <v>11761</v>
      </c>
      <c r="Q189" t="s">
        <v>619</v>
      </c>
      <c r="R189" t="s">
        <v>917</v>
      </c>
      <c r="S189">
        <v>39</v>
      </c>
      <c r="T189" s="29" t="str">
        <f>HYPERLINK("https://ictv.global/ictv/proposals/2023.018B.Crassvirales_1ng_3ns.zip","2023.018B.Crassvirales_1ng_3ns.zip")</f>
        <v>2023.018B.Crassvirales_1ng_3ns.zip</v>
      </c>
      <c r="U189" s="29" t="str">
        <f>HYPERLINK("https://ictv.global/taxonomy/taxondetails?taxnode_id=202318301","ictv.global=202318301")</f>
        <v>ictv.global=202318301</v>
      </c>
    </row>
    <row r="190" spans="1:21">
      <c r="A190">
        <v>189</v>
      </c>
      <c r="B190" s="30" t="s">
        <v>1587</v>
      </c>
      <c r="D190" s="30" t="s">
        <v>1588</v>
      </c>
      <c r="F190" s="30" t="s">
        <v>1591</v>
      </c>
      <c r="H190" s="30" t="s">
        <v>1592</v>
      </c>
      <c r="J190" s="30" t="s">
        <v>4043</v>
      </c>
      <c r="L190" s="30" t="s">
        <v>4087</v>
      </c>
      <c r="M190" s="30" t="s">
        <v>4088</v>
      </c>
      <c r="N190" s="30" t="s">
        <v>4089</v>
      </c>
      <c r="P190" s="30" t="s">
        <v>4090</v>
      </c>
      <c r="Q190" t="s">
        <v>619</v>
      </c>
      <c r="R190" t="s">
        <v>917</v>
      </c>
      <c r="S190">
        <v>37</v>
      </c>
      <c r="T190" s="29" t="str">
        <f>HYPERLINK("https://ictv.global/ictv/proposals/2021.022B.R.Crassvirales.zip","2021.022B.R.Crassvirales.zip")</f>
        <v>2021.022B.R.Crassvirales.zip</v>
      </c>
      <c r="U190" s="29" t="str">
        <f>HYPERLINK("https://ictv.global/taxonomy/taxondetails?taxnode_id=202313433","ictv.global=202313433")</f>
        <v>ictv.global=202313433</v>
      </c>
    </row>
    <row r="191" spans="1:21">
      <c r="A191">
        <v>190</v>
      </c>
      <c r="B191" s="30" t="s">
        <v>1587</v>
      </c>
      <c r="D191" s="30" t="s">
        <v>1588</v>
      </c>
      <c r="F191" s="30" t="s">
        <v>1591</v>
      </c>
      <c r="H191" s="30" t="s">
        <v>1592</v>
      </c>
      <c r="J191" s="30" t="s">
        <v>4043</v>
      </c>
      <c r="L191" s="30" t="s">
        <v>4087</v>
      </c>
      <c r="M191" s="30" t="s">
        <v>4088</v>
      </c>
      <c r="N191" s="30" t="s">
        <v>4091</v>
      </c>
      <c r="P191" s="30" t="s">
        <v>4092</v>
      </c>
      <c r="Q191" t="s">
        <v>619</v>
      </c>
      <c r="R191" t="s">
        <v>917</v>
      </c>
      <c r="S191">
        <v>37</v>
      </c>
      <c r="T191" s="29" t="str">
        <f>HYPERLINK("https://ictv.global/ictv/proposals/2021.022B.R.Crassvirales.zip","2021.022B.R.Crassvirales.zip")</f>
        <v>2021.022B.R.Crassvirales.zip</v>
      </c>
      <c r="U191" s="29" t="str">
        <f>HYPERLINK("https://ictv.global/taxonomy/taxondetails?taxnode_id=202313485","ictv.global=202313485")</f>
        <v>ictv.global=202313485</v>
      </c>
    </row>
    <row r="192" spans="1:21">
      <c r="A192">
        <v>191</v>
      </c>
      <c r="B192" s="30" t="s">
        <v>1587</v>
      </c>
      <c r="D192" s="30" t="s">
        <v>1588</v>
      </c>
      <c r="F192" s="30" t="s">
        <v>1591</v>
      </c>
      <c r="H192" s="30" t="s">
        <v>1592</v>
      </c>
      <c r="J192" s="30" t="s">
        <v>4043</v>
      </c>
      <c r="L192" s="30" t="s">
        <v>4087</v>
      </c>
      <c r="M192" s="30" t="s">
        <v>4088</v>
      </c>
      <c r="N192" s="30" t="s">
        <v>4091</v>
      </c>
      <c r="P192" s="30" t="s">
        <v>4093</v>
      </c>
      <c r="Q192" t="s">
        <v>619</v>
      </c>
      <c r="R192" t="s">
        <v>917</v>
      </c>
      <c r="S192">
        <v>37</v>
      </c>
      <c r="T192" s="29" t="str">
        <f>HYPERLINK("https://ictv.global/ictv/proposals/2021.022B.R.Crassvirales.zip","2021.022B.R.Crassvirales.zip")</f>
        <v>2021.022B.R.Crassvirales.zip</v>
      </c>
      <c r="U192" s="29" t="str">
        <f>HYPERLINK("https://ictv.global/taxonomy/taxondetails?taxnode_id=202313486","ictv.global=202313486")</f>
        <v>ictv.global=202313486</v>
      </c>
    </row>
    <row r="193" spans="1:21">
      <c r="A193">
        <v>192</v>
      </c>
      <c r="B193" s="30" t="s">
        <v>1587</v>
      </c>
      <c r="D193" s="30" t="s">
        <v>1588</v>
      </c>
      <c r="F193" s="30" t="s">
        <v>1591</v>
      </c>
      <c r="H193" s="30" t="s">
        <v>1592</v>
      </c>
      <c r="J193" s="30" t="s">
        <v>4043</v>
      </c>
      <c r="L193" s="30" t="s">
        <v>4087</v>
      </c>
      <c r="M193" s="30" t="s">
        <v>4088</v>
      </c>
      <c r="N193" s="30" t="s">
        <v>4094</v>
      </c>
      <c r="P193" s="30" t="s">
        <v>4095</v>
      </c>
      <c r="Q193" t="s">
        <v>619</v>
      </c>
      <c r="R193" t="s">
        <v>917</v>
      </c>
      <c r="S193">
        <v>37</v>
      </c>
      <c r="T193" s="29" t="str">
        <f>HYPERLINK("https://ictv.global/ictv/proposals/2021.022B.R.Crassvirales.zip","2021.022B.R.Crassvirales.zip")</f>
        <v>2021.022B.R.Crassvirales.zip</v>
      </c>
      <c r="U193" s="29" t="str">
        <f>HYPERLINK("https://ictv.global/taxonomy/taxondetails?taxnode_id=202313489","ictv.global=202313489")</f>
        <v>ictv.global=202313489</v>
      </c>
    </row>
    <row r="194" spans="1:21">
      <c r="A194">
        <v>193</v>
      </c>
      <c r="B194" s="30" t="s">
        <v>1587</v>
      </c>
      <c r="D194" s="30" t="s">
        <v>1588</v>
      </c>
      <c r="F194" s="30" t="s">
        <v>1591</v>
      </c>
      <c r="H194" s="30" t="s">
        <v>1592</v>
      </c>
      <c r="J194" s="30" t="s">
        <v>4043</v>
      </c>
      <c r="L194" s="30" t="s">
        <v>4087</v>
      </c>
      <c r="M194" s="30" t="s">
        <v>4088</v>
      </c>
      <c r="N194" s="30" t="s">
        <v>4094</v>
      </c>
      <c r="P194" s="30" t="s">
        <v>4096</v>
      </c>
      <c r="Q194" t="s">
        <v>619</v>
      </c>
      <c r="R194" t="s">
        <v>917</v>
      </c>
      <c r="S194">
        <v>37</v>
      </c>
      <c r="T194" s="29" t="str">
        <f>HYPERLINK("https://ictv.global/ictv/proposals/2021.022B.R.Crassvirales.zip","2021.022B.R.Crassvirales.zip")</f>
        <v>2021.022B.R.Crassvirales.zip</v>
      </c>
      <c r="U194" s="29" t="str">
        <f>HYPERLINK("https://ictv.global/taxonomy/taxondetails?taxnode_id=202313488","ictv.global=202313488")</f>
        <v>ictv.global=202313488</v>
      </c>
    </row>
    <row r="195" spans="1:21">
      <c r="A195">
        <v>194</v>
      </c>
      <c r="B195" s="30" t="s">
        <v>1587</v>
      </c>
      <c r="D195" s="30" t="s">
        <v>1588</v>
      </c>
      <c r="F195" s="30" t="s">
        <v>1591</v>
      </c>
      <c r="H195" s="30" t="s">
        <v>1592</v>
      </c>
      <c r="J195" s="30" t="s">
        <v>4043</v>
      </c>
      <c r="L195" s="30" t="s">
        <v>4087</v>
      </c>
      <c r="M195" s="30" t="s">
        <v>4088</v>
      </c>
      <c r="N195" s="30" t="s">
        <v>4094</v>
      </c>
      <c r="P195" s="30" t="s">
        <v>11762</v>
      </c>
      <c r="Q195" t="s">
        <v>619</v>
      </c>
      <c r="R195" t="s">
        <v>917</v>
      </c>
      <c r="S195">
        <v>39</v>
      </c>
      <c r="T195" s="29" t="str">
        <f>HYPERLINK("https://ictv.global/ictv/proposals/2023.018B.Crassvirales_1ng_3ns.zip","2023.018B.Crassvirales_1ng_3ns.zip")</f>
        <v>2023.018B.Crassvirales_1ng_3ns.zip</v>
      </c>
      <c r="U195" s="29" t="str">
        <f>HYPERLINK("https://ictv.global/taxonomy/taxondetails?taxnode_id=202318299","ictv.global=202318299")</f>
        <v>ictv.global=202318299</v>
      </c>
    </row>
    <row r="196" spans="1:21">
      <c r="A196">
        <v>195</v>
      </c>
      <c r="B196" s="30" t="s">
        <v>1587</v>
      </c>
      <c r="D196" s="30" t="s">
        <v>1588</v>
      </c>
      <c r="F196" s="30" t="s">
        <v>1591</v>
      </c>
      <c r="H196" s="30" t="s">
        <v>1592</v>
      </c>
      <c r="J196" s="30" t="s">
        <v>4043</v>
      </c>
      <c r="L196" s="30" t="s">
        <v>4087</v>
      </c>
      <c r="M196" s="30" t="s">
        <v>4088</v>
      </c>
      <c r="N196" s="30" t="s">
        <v>4097</v>
      </c>
      <c r="P196" s="30" t="s">
        <v>4098</v>
      </c>
      <c r="Q196" t="s">
        <v>619</v>
      </c>
      <c r="R196" t="s">
        <v>917</v>
      </c>
      <c r="S196">
        <v>37</v>
      </c>
      <c r="T196" s="29" t="str">
        <f>HYPERLINK("https://ictv.global/ictv/proposals/2021.022B.R.Crassvirales.zip","2021.022B.R.Crassvirales.zip")</f>
        <v>2021.022B.R.Crassvirales.zip</v>
      </c>
      <c r="U196" s="29" t="str">
        <f>HYPERLINK("https://ictv.global/taxonomy/taxondetails?taxnode_id=202313491","ictv.global=202313491")</f>
        <v>ictv.global=202313491</v>
      </c>
    </row>
    <row r="197" spans="1:21">
      <c r="A197">
        <v>196</v>
      </c>
      <c r="B197" s="30" t="s">
        <v>1587</v>
      </c>
      <c r="D197" s="30" t="s">
        <v>1588</v>
      </c>
      <c r="F197" s="30" t="s">
        <v>1591</v>
      </c>
      <c r="H197" s="30" t="s">
        <v>1592</v>
      </c>
      <c r="J197" s="30" t="s">
        <v>4043</v>
      </c>
      <c r="L197" s="30" t="s">
        <v>4087</v>
      </c>
      <c r="M197" s="30" t="s">
        <v>4088</v>
      </c>
      <c r="N197" s="30" t="s">
        <v>4097</v>
      </c>
      <c r="P197" s="30" t="s">
        <v>11763</v>
      </c>
      <c r="Q197" t="s">
        <v>619</v>
      </c>
      <c r="R197" t="s">
        <v>917</v>
      </c>
      <c r="S197">
        <v>39</v>
      </c>
      <c r="T197" s="29" t="str">
        <f>HYPERLINK("https://ictv.global/ictv/proposals/2023.018B.Crassvirales_1ng_3ns.zip","2023.018B.Crassvirales_1ng_3ns.zip")</f>
        <v>2023.018B.Crassvirales_1ng_3ns.zip</v>
      </c>
      <c r="U197" s="29" t="str">
        <f>HYPERLINK("https://ictv.global/taxonomy/taxondetails?taxnode_id=202318300","ictv.global=202318300")</f>
        <v>ictv.global=202318300</v>
      </c>
    </row>
    <row r="198" spans="1:21">
      <c r="A198">
        <v>197</v>
      </c>
      <c r="B198" s="30" t="s">
        <v>1587</v>
      </c>
      <c r="D198" s="30" t="s">
        <v>1588</v>
      </c>
      <c r="F198" s="30" t="s">
        <v>1591</v>
      </c>
      <c r="H198" s="30" t="s">
        <v>1592</v>
      </c>
      <c r="J198" s="30" t="s">
        <v>4043</v>
      </c>
      <c r="L198" s="30" t="s">
        <v>4087</v>
      </c>
      <c r="M198" s="30" t="s">
        <v>4088</v>
      </c>
      <c r="N198" s="30" t="s">
        <v>4097</v>
      </c>
      <c r="P198" s="30" t="s">
        <v>4099</v>
      </c>
      <c r="Q198" t="s">
        <v>619</v>
      </c>
      <c r="R198" t="s">
        <v>917</v>
      </c>
      <c r="S198">
        <v>37</v>
      </c>
      <c r="T198" s="29" t="str">
        <f t="shared" ref="T198:T242" si="9">HYPERLINK("https://ictv.global/ictv/proposals/2021.022B.R.Crassvirales.zip","2021.022B.R.Crassvirales.zip")</f>
        <v>2021.022B.R.Crassvirales.zip</v>
      </c>
      <c r="U198" s="29" t="str">
        <f>HYPERLINK("https://ictv.global/taxonomy/taxondetails?taxnode_id=202313492","ictv.global=202313492")</f>
        <v>ictv.global=202313492</v>
      </c>
    </row>
    <row r="199" spans="1:21">
      <c r="A199">
        <v>198</v>
      </c>
      <c r="B199" s="30" t="s">
        <v>1587</v>
      </c>
      <c r="D199" s="30" t="s">
        <v>1588</v>
      </c>
      <c r="F199" s="30" t="s">
        <v>1591</v>
      </c>
      <c r="H199" s="30" t="s">
        <v>1592</v>
      </c>
      <c r="J199" s="30" t="s">
        <v>4043</v>
      </c>
      <c r="L199" s="30" t="s">
        <v>4087</v>
      </c>
      <c r="M199" s="30" t="s">
        <v>4088</v>
      </c>
      <c r="N199" s="30" t="s">
        <v>4100</v>
      </c>
      <c r="P199" s="30" t="s">
        <v>4101</v>
      </c>
      <c r="Q199" t="s">
        <v>619</v>
      </c>
      <c r="R199" t="s">
        <v>917</v>
      </c>
      <c r="S199">
        <v>37</v>
      </c>
      <c r="T199" s="29" t="str">
        <f t="shared" si="9"/>
        <v>2021.022B.R.Crassvirales.zip</v>
      </c>
      <c r="U199" s="29" t="str">
        <f>HYPERLINK("https://ictv.global/taxonomy/taxondetails?taxnode_id=202313493","ictv.global=202313493")</f>
        <v>ictv.global=202313493</v>
      </c>
    </row>
    <row r="200" spans="1:21">
      <c r="A200">
        <v>199</v>
      </c>
      <c r="B200" s="30" t="s">
        <v>1587</v>
      </c>
      <c r="D200" s="30" t="s">
        <v>1588</v>
      </c>
      <c r="F200" s="30" t="s">
        <v>1591</v>
      </c>
      <c r="H200" s="30" t="s">
        <v>1592</v>
      </c>
      <c r="J200" s="30" t="s">
        <v>4043</v>
      </c>
      <c r="L200" s="30" t="s">
        <v>4087</v>
      </c>
      <c r="M200" s="30" t="s">
        <v>4088</v>
      </c>
      <c r="N200" s="30" t="s">
        <v>4102</v>
      </c>
      <c r="P200" s="30" t="s">
        <v>4103</v>
      </c>
      <c r="Q200" t="s">
        <v>619</v>
      </c>
      <c r="R200" t="s">
        <v>917</v>
      </c>
      <c r="S200">
        <v>37</v>
      </c>
      <c r="T200" s="29" t="str">
        <f t="shared" si="9"/>
        <v>2021.022B.R.Crassvirales.zip</v>
      </c>
      <c r="U200" s="29" t="str">
        <f>HYPERLINK("https://ictv.global/taxonomy/taxondetails?taxnode_id=202313494","ictv.global=202313494")</f>
        <v>ictv.global=202313494</v>
      </c>
    </row>
    <row r="201" spans="1:21">
      <c r="A201">
        <v>200</v>
      </c>
      <c r="B201" s="30" t="s">
        <v>1587</v>
      </c>
      <c r="D201" s="30" t="s">
        <v>1588</v>
      </c>
      <c r="F201" s="30" t="s">
        <v>1591</v>
      </c>
      <c r="H201" s="30" t="s">
        <v>1592</v>
      </c>
      <c r="J201" s="30" t="s">
        <v>4043</v>
      </c>
      <c r="L201" s="30" t="s">
        <v>4087</v>
      </c>
      <c r="M201" s="30" t="s">
        <v>4088</v>
      </c>
      <c r="N201" s="30" t="s">
        <v>4104</v>
      </c>
      <c r="P201" s="30" t="s">
        <v>4105</v>
      </c>
      <c r="Q201" t="s">
        <v>619</v>
      </c>
      <c r="R201" t="s">
        <v>917</v>
      </c>
      <c r="S201">
        <v>37</v>
      </c>
      <c r="T201" s="29" t="str">
        <f t="shared" si="9"/>
        <v>2021.022B.R.Crassvirales.zip</v>
      </c>
      <c r="U201" s="29" t="str">
        <f>HYPERLINK("https://ictv.global/taxonomy/taxondetails?taxnode_id=202313495","ictv.global=202313495")</f>
        <v>ictv.global=202313495</v>
      </c>
    </row>
    <row r="202" spans="1:21">
      <c r="A202">
        <v>201</v>
      </c>
      <c r="B202" s="30" t="s">
        <v>1587</v>
      </c>
      <c r="D202" s="30" t="s">
        <v>1588</v>
      </c>
      <c r="F202" s="30" t="s">
        <v>1591</v>
      </c>
      <c r="H202" s="30" t="s">
        <v>1592</v>
      </c>
      <c r="J202" s="30" t="s">
        <v>4043</v>
      </c>
      <c r="L202" s="30" t="s">
        <v>4087</v>
      </c>
      <c r="M202" s="30" t="s">
        <v>4088</v>
      </c>
      <c r="N202" s="30" t="s">
        <v>4106</v>
      </c>
      <c r="P202" s="30" t="s">
        <v>4107</v>
      </c>
      <c r="Q202" t="s">
        <v>619</v>
      </c>
      <c r="R202" t="s">
        <v>917</v>
      </c>
      <c r="S202">
        <v>37</v>
      </c>
      <c r="T202" s="29" t="str">
        <f t="shared" si="9"/>
        <v>2021.022B.R.Crassvirales.zip</v>
      </c>
      <c r="U202" s="29" t="str">
        <f>HYPERLINK("https://ictv.global/taxonomy/taxondetails?taxnode_id=202313496","ictv.global=202313496")</f>
        <v>ictv.global=202313496</v>
      </c>
    </row>
    <row r="203" spans="1:21">
      <c r="A203">
        <v>202</v>
      </c>
      <c r="B203" s="30" t="s">
        <v>1587</v>
      </c>
      <c r="D203" s="30" t="s">
        <v>1588</v>
      </c>
      <c r="F203" s="30" t="s">
        <v>1591</v>
      </c>
      <c r="H203" s="30" t="s">
        <v>1592</v>
      </c>
      <c r="J203" s="30" t="s">
        <v>4043</v>
      </c>
      <c r="L203" s="30" t="s">
        <v>4087</v>
      </c>
      <c r="M203" s="30" t="s">
        <v>4088</v>
      </c>
      <c r="N203" s="30" t="s">
        <v>4108</v>
      </c>
      <c r="P203" s="30" t="s">
        <v>4109</v>
      </c>
      <c r="Q203" t="s">
        <v>619</v>
      </c>
      <c r="R203" t="s">
        <v>917</v>
      </c>
      <c r="S203">
        <v>37</v>
      </c>
      <c r="T203" s="29" t="str">
        <f t="shared" si="9"/>
        <v>2021.022B.R.Crassvirales.zip</v>
      </c>
      <c r="U203" s="29" t="str">
        <f>HYPERLINK("https://ictv.global/taxonomy/taxondetails?taxnode_id=202313497","ictv.global=202313497")</f>
        <v>ictv.global=202313497</v>
      </c>
    </row>
    <row r="204" spans="1:21">
      <c r="A204">
        <v>203</v>
      </c>
      <c r="B204" s="30" t="s">
        <v>1587</v>
      </c>
      <c r="D204" s="30" t="s">
        <v>1588</v>
      </c>
      <c r="F204" s="30" t="s">
        <v>1591</v>
      </c>
      <c r="H204" s="30" t="s">
        <v>1592</v>
      </c>
      <c r="J204" s="30" t="s">
        <v>4043</v>
      </c>
      <c r="L204" s="30" t="s">
        <v>4087</v>
      </c>
      <c r="M204" s="30" t="s">
        <v>4088</v>
      </c>
      <c r="N204" s="30" t="s">
        <v>4110</v>
      </c>
      <c r="P204" s="30" t="s">
        <v>4111</v>
      </c>
      <c r="Q204" t="s">
        <v>619</v>
      </c>
      <c r="R204" t="s">
        <v>917</v>
      </c>
      <c r="S204">
        <v>37</v>
      </c>
      <c r="T204" s="29" t="str">
        <f t="shared" si="9"/>
        <v>2021.022B.R.Crassvirales.zip</v>
      </c>
      <c r="U204" s="29" t="str">
        <f>HYPERLINK("https://ictv.global/taxonomy/taxondetails?taxnode_id=202313498","ictv.global=202313498")</f>
        <v>ictv.global=202313498</v>
      </c>
    </row>
    <row r="205" spans="1:21">
      <c r="A205">
        <v>204</v>
      </c>
      <c r="B205" s="30" t="s">
        <v>1587</v>
      </c>
      <c r="D205" s="30" t="s">
        <v>1588</v>
      </c>
      <c r="F205" s="30" t="s">
        <v>1591</v>
      </c>
      <c r="H205" s="30" t="s">
        <v>1592</v>
      </c>
      <c r="J205" s="30" t="s">
        <v>4043</v>
      </c>
      <c r="L205" s="30" t="s">
        <v>4087</v>
      </c>
      <c r="M205" s="30" t="s">
        <v>4088</v>
      </c>
      <c r="N205" s="30" t="s">
        <v>4112</v>
      </c>
      <c r="P205" s="30" t="s">
        <v>4113</v>
      </c>
      <c r="Q205" t="s">
        <v>619</v>
      </c>
      <c r="R205" t="s">
        <v>917</v>
      </c>
      <c r="S205">
        <v>37</v>
      </c>
      <c r="T205" s="29" t="str">
        <f t="shared" si="9"/>
        <v>2021.022B.R.Crassvirales.zip</v>
      </c>
      <c r="U205" s="29" t="str">
        <f>HYPERLINK("https://ictv.global/taxonomy/taxondetails?taxnode_id=202313499","ictv.global=202313499")</f>
        <v>ictv.global=202313499</v>
      </c>
    </row>
    <row r="206" spans="1:21">
      <c r="A206">
        <v>205</v>
      </c>
      <c r="B206" s="30" t="s">
        <v>1587</v>
      </c>
      <c r="D206" s="30" t="s">
        <v>1588</v>
      </c>
      <c r="F206" s="30" t="s">
        <v>1591</v>
      </c>
      <c r="H206" s="30" t="s">
        <v>1592</v>
      </c>
      <c r="J206" s="30" t="s">
        <v>4043</v>
      </c>
      <c r="L206" s="30" t="s">
        <v>4087</v>
      </c>
      <c r="M206" s="30" t="s">
        <v>4088</v>
      </c>
      <c r="N206" s="30" t="s">
        <v>4114</v>
      </c>
      <c r="P206" s="30" t="s">
        <v>4115</v>
      </c>
      <c r="Q206" t="s">
        <v>619</v>
      </c>
      <c r="R206" t="s">
        <v>917</v>
      </c>
      <c r="S206">
        <v>37</v>
      </c>
      <c r="T206" s="29" t="str">
        <f t="shared" si="9"/>
        <v>2021.022B.R.Crassvirales.zip</v>
      </c>
      <c r="U206" s="29" t="str">
        <f>HYPERLINK("https://ictv.global/taxonomy/taxondetails?taxnode_id=202313502","ictv.global=202313502")</f>
        <v>ictv.global=202313502</v>
      </c>
    </row>
    <row r="207" spans="1:21">
      <c r="A207">
        <v>206</v>
      </c>
      <c r="B207" s="30" t="s">
        <v>1587</v>
      </c>
      <c r="D207" s="30" t="s">
        <v>1588</v>
      </c>
      <c r="F207" s="30" t="s">
        <v>1591</v>
      </c>
      <c r="H207" s="30" t="s">
        <v>1592</v>
      </c>
      <c r="J207" s="30" t="s">
        <v>4043</v>
      </c>
      <c r="L207" s="30" t="s">
        <v>4116</v>
      </c>
      <c r="M207" s="30" t="s">
        <v>4117</v>
      </c>
      <c r="N207" s="30" t="s">
        <v>4118</v>
      </c>
      <c r="P207" s="30" t="s">
        <v>4119</v>
      </c>
      <c r="Q207" t="s">
        <v>619</v>
      </c>
      <c r="R207" t="s">
        <v>917</v>
      </c>
      <c r="S207">
        <v>37</v>
      </c>
      <c r="T207" s="29" t="str">
        <f t="shared" si="9"/>
        <v>2021.022B.R.Crassvirales.zip</v>
      </c>
      <c r="U207" s="29" t="str">
        <f>HYPERLINK("https://ictv.global/taxonomy/taxondetails?taxnode_id=202313115","ictv.global=202313115")</f>
        <v>ictv.global=202313115</v>
      </c>
    </row>
    <row r="208" spans="1:21">
      <c r="A208">
        <v>207</v>
      </c>
      <c r="B208" s="30" t="s">
        <v>1587</v>
      </c>
      <c r="D208" s="30" t="s">
        <v>1588</v>
      </c>
      <c r="F208" s="30" t="s">
        <v>1591</v>
      </c>
      <c r="H208" s="30" t="s">
        <v>1592</v>
      </c>
      <c r="J208" s="30" t="s">
        <v>4043</v>
      </c>
      <c r="L208" s="30" t="s">
        <v>4116</v>
      </c>
      <c r="M208" s="30" t="s">
        <v>4117</v>
      </c>
      <c r="N208" s="30" t="s">
        <v>4118</v>
      </c>
      <c r="P208" s="30" t="s">
        <v>4120</v>
      </c>
      <c r="Q208" t="s">
        <v>619</v>
      </c>
      <c r="R208" t="s">
        <v>917</v>
      </c>
      <c r="S208">
        <v>37</v>
      </c>
      <c r="T208" s="29" t="str">
        <f t="shared" si="9"/>
        <v>2021.022B.R.Crassvirales.zip</v>
      </c>
      <c r="U208" s="29" t="str">
        <f>HYPERLINK("https://ictv.global/taxonomy/taxondetails?taxnode_id=202313116","ictv.global=202313116")</f>
        <v>ictv.global=202313116</v>
      </c>
    </row>
    <row r="209" spans="1:21">
      <c r="A209">
        <v>208</v>
      </c>
      <c r="B209" s="30" t="s">
        <v>1587</v>
      </c>
      <c r="D209" s="30" t="s">
        <v>1588</v>
      </c>
      <c r="F209" s="30" t="s">
        <v>1591</v>
      </c>
      <c r="H209" s="30" t="s">
        <v>1592</v>
      </c>
      <c r="J209" s="30" t="s">
        <v>4043</v>
      </c>
      <c r="L209" s="30" t="s">
        <v>4116</v>
      </c>
      <c r="M209" s="30" t="s">
        <v>4117</v>
      </c>
      <c r="N209" s="30" t="s">
        <v>4118</v>
      </c>
      <c r="P209" s="30" t="s">
        <v>4121</v>
      </c>
      <c r="Q209" t="s">
        <v>619</v>
      </c>
      <c r="R209" t="s">
        <v>917</v>
      </c>
      <c r="S209">
        <v>37</v>
      </c>
      <c r="T209" s="29" t="str">
        <f t="shared" si="9"/>
        <v>2021.022B.R.Crassvirales.zip</v>
      </c>
      <c r="U209" s="29" t="str">
        <f>HYPERLINK("https://ictv.global/taxonomy/taxondetails?taxnode_id=202313114","ictv.global=202313114")</f>
        <v>ictv.global=202313114</v>
      </c>
    </row>
    <row r="210" spans="1:21">
      <c r="A210">
        <v>209</v>
      </c>
      <c r="B210" s="30" t="s">
        <v>1587</v>
      </c>
      <c r="D210" s="30" t="s">
        <v>1588</v>
      </c>
      <c r="F210" s="30" t="s">
        <v>1591</v>
      </c>
      <c r="H210" s="30" t="s">
        <v>1592</v>
      </c>
      <c r="J210" s="30" t="s">
        <v>4043</v>
      </c>
      <c r="L210" s="30" t="s">
        <v>4116</v>
      </c>
      <c r="M210" s="30" t="s">
        <v>4122</v>
      </c>
      <c r="N210" s="30" t="s">
        <v>4123</v>
      </c>
      <c r="P210" s="30" t="s">
        <v>4124</v>
      </c>
      <c r="Q210" t="s">
        <v>619</v>
      </c>
      <c r="R210" t="s">
        <v>917</v>
      </c>
      <c r="S210">
        <v>37</v>
      </c>
      <c r="T210" s="29" t="str">
        <f t="shared" si="9"/>
        <v>2021.022B.R.Crassvirales.zip</v>
      </c>
      <c r="U210" s="29" t="str">
        <f>HYPERLINK("https://ictv.global/taxonomy/taxondetails?taxnode_id=202313458","ictv.global=202313458")</f>
        <v>ictv.global=202313458</v>
      </c>
    </row>
    <row r="211" spans="1:21">
      <c r="A211">
        <v>210</v>
      </c>
      <c r="B211" s="30" t="s">
        <v>1587</v>
      </c>
      <c r="D211" s="30" t="s">
        <v>1588</v>
      </c>
      <c r="F211" s="30" t="s">
        <v>1591</v>
      </c>
      <c r="H211" s="30" t="s">
        <v>1592</v>
      </c>
      <c r="J211" s="30" t="s">
        <v>4043</v>
      </c>
      <c r="L211" s="30" t="s">
        <v>4116</v>
      </c>
      <c r="M211" s="30" t="s">
        <v>4122</v>
      </c>
      <c r="N211" s="30" t="s">
        <v>4123</v>
      </c>
      <c r="P211" s="30" t="s">
        <v>4125</v>
      </c>
      <c r="Q211" t="s">
        <v>619</v>
      </c>
      <c r="R211" t="s">
        <v>917</v>
      </c>
      <c r="S211">
        <v>37</v>
      </c>
      <c r="T211" s="29" t="str">
        <f t="shared" si="9"/>
        <v>2021.022B.R.Crassvirales.zip</v>
      </c>
      <c r="U211" s="29" t="str">
        <f>HYPERLINK("https://ictv.global/taxonomy/taxondetails?taxnode_id=202313459","ictv.global=202313459")</f>
        <v>ictv.global=202313459</v>
      </c>
    </row>
    <row r="212" spans="1:21">
      <c r="A212">
        <v>211</v>
      </c>
      <c r="B212" s="30" t="s">
        <v>1587</v>
      </c>
      <c r="D212" s="30" t="s">
        <v>1588</v>
      </c>
      <c r="F212" s="30" t="s">
        <v>1591</v>
      </c>
      <c r="H212" s="30" t="s">
        <v>1592</v>
      </c>
      <c r="J212" s="30" t="s">
        <v>4043</v>
      </c>
      <c r="L212" s="30" t="s">
        <v>4116</v>
      </c>
      <c r="M212" s="30" t="s">
        <v>4122</v>
      </c>
      <c r="N212" s="30" t="s">
        <v>4126</v>
      </c>
      <c r="P212" s="30" t="s">
        <v>4127</v>
      </c>
      <c r="Q212" t="s">
        <v>619</v>
      </c>
      <c r="R212" t="s">
        <v>917</v>
      </c>
      <c r="S212">
        <v>37</v>
      </c>
      <c r="T212" s="29" t="str">
        <f t="shared" si="9"/>
        <v>2021.022B.R.Crassvirales.zip</v>
      </c>
      <c r="U212" s="29" t="str">
        <f>HYPERLINK("https://ictv.global/taxonomy/taxondetails?taxnode_id=202313464","ictv.global=202313464")</f>
        <v>ictv.global=202313464</v>
      </c>
    </row>
    <row r="213" spans="1:21">
      <c r="A213">
        <v>212</v>
      </c>
      <c r="B213" s="30" t="s">
        <v>1587</v>
      </c>
      <c r="D213" s="30" t="s">
        <v>1588</v>
      </c>
      <c r="F213" s="30" t="s">
        <v>1591</v>
      </c>
      <c r="H213" s="30" t="s">
        <v>1592</v>
      </c>
      <c r="J213" s="30" t="s">
        <v>4043</v>
      </c>
      <c r="L213" s="30" t="s">
        <v>4116</v>
      </c>
      <c r="M213" s="30" t="s">
        <v>4122</v>
      </c>
      <c r="N213" s="30" t="s">
        <v>4126</v>
      </c>
      <c r="P213" s="30" t="s">
        <v>4128</v>
      </c>
      <c r="Q213" t="s">
        <v>619</v>
      </c>
      <c r="R213" t="s">
        <v>917</v>
      </c>
      <c r="S213">
        <v>37</v>
      </c>
      <c r="T213" s="29" t="str">
        <f t="shared" si="9"/>
        <v>2021.022B.R.Crassvirales.zip</v>
      </c>
      <c r="U213" s="29" t="str">
        <f>HYPERLINK("https://ictv.global/taxonomy/taxondetails?taxnode_id=202313463","ictv.global=202313463")</f>
        <v>ictv.global=202313463</v>
      </c>
    </row>
    <row r="214" spans="1:21">
      <c r="A214">
        <v>213</v>
      </c>
      <c r="B214" s="30" t="s">
        <v>1587</v>
      </c>
      <c r="D214" s="30" t="s">
        <v>1588</v>
      </c>
      <c r="F214" s="30" t="s">
        <v>1591</v>
      </c>
      <c r="H214" s="30" t="s">
        <v>1592</v>
      </c>
      <c r="J214" s="30" t="s">
        <v>4043</v>
      </c>
      <c r="L214" s="30" t="s">
        <v>4116</v>
      </c>
      <c r="M214" s="30" t="s">
        <v>4122</v>
      </c>
      <c r="N214" s="30" t="s">
        <v>4129</v>
      </c>
      <c r="P214" s="30" t="s">
        <v>4130</v>
      </c>
      <c r="Q214" t="s">
        <v>619</v>
      </c>
      <c r="R214" t="s">
        <v>917</v>
      </c>
      <c r="S214">
        <v>37</v>
      </c>
      <c r="T214" s="29" t="str">
        <f t="shared" si="9"/>
        <v>2021.022B.R.Crassvirales.zip</v>
      </c>
      <c r="U214" s="29" t="str">
        <f>HYPERLINK("https://ictv.global/taxonomy/taxondetails?taxnode_id=202313466","ictv.global=202313466")</f>
        <v>ictv.global=202313466</v>
      </c>
    </row>
    <row r="215" spans="1:21">
      <c r="A215">
        <v>214</v>
      </c>
      <c r="B215" s="30" t="s">
        <v>1587</v>
      </c>
      <c r="D215" s="30" t="s">
        <v>1588</v>
      </c>
      <c r="F215" s="30" t="s">
        <v>1591</v>
      </c>
      <c r="H215" s="30" t="s">
        <v>1592</v>
      </c>
      <c r="J215" s="30" t="s">
        <v>4043</v>
      </c>
      <c r="L215" s="30" t="s">
        <v>4116</v>
      </c>
      <c r="M215" s="30" t="s">
        <v>4122</v>
      </c>
      <c r="N215" s="30" t="s">
        <v>4129</v>
      </c>
      <c r="P215" s="30" t="s">
        <v>4131</v>
      </c>
      <c r="Q215" t="s">
        <v>619</v>
      </c>
      <c r="R215" t="s">
        <v>917</v>
      </c>
      <c r="S215">
        <v>37</v>
      </c>
      <c r="T215" s="29" t="str">
        <f t="shared" si="9"/>
        <v>2021.022B.R.Crassvirales.zip</v>
      </c>
      <c r="U215" s="29" t="str">
        <f>HYPERLINK("https://ictv.global/taxonomy/taxondetails?taxnode_id=202313465","ictv.global=202313465")</f>
        <v>ictv.global=202313465</v>
      </c>
    </row>
    <row r="216" spans="1:21">
      <c r="A216">
        <v>215</v>
      </c>
      <c r="B216" s="30" t="s">
        <v>1587</v>
      </c>
      <c r="D216" s="30" t="s">
        <v>1588</v>
      </c>
      <c r="F216" s="30" t="s">
        <v>1591</v>
      </c>
      <c r="H216" s="30" t="s">
        <v>1592</v>
      </c>
      <c r="J216" s="30" t="s">
        <v>4043</v>
      </c>
      <c r="L216" s="30" t="s">
        <v>4116</v>
      </c>
      <c r="M216" s="30" t="s">
        <v>4122</v>
      </c>
      <c r="N216" s="30" t="s">
        <v>4129</v>
      </c>
      <c r="P216" s="30" t="s">
        <v>4132</v>
      </c>
      <c r="Q216" t="s">
        <v>619</v>
      </c>
      <c r="R216" t="s">
        <v>917</v>
      </c>
      <c r="S216">
        <v>37</v>
      </c>
      <c r="T216" s="29" t="str">
        <f t="shared" si="9"/>
        <v>2021.022B.R.Crassvirales.zip</v>
      </c>
      <c r="U216" s="29" t="str">
        <f>HYPERLINK("https://ictv.global/taxonomy/taxondetails?taxnode_id=202313467","ictv.global=202313467")</f>
        <v>ictv.global=202313467</v>
      </c>
    </row>
    <row r="217" spans="1:21">
      <c r="A217">
        <v>216</v>
      </c>
      <c r="B217" s="30" t="s">
        <v>1587</v>
      </c>
      <c r="D217" s="30" t="s">
        <v>1588</v>
      </c>
      <c r="F217" s="30" t="s">
        <v>1591</v>
      </c>
      <c r="H217" s="30" t="s">
        <v>1592</v>
      </c>
      <c r="J217" s="30" t="s">
        <v>4043</v>
      </c>
      <c r="L217" s="30" t="s">
        <v>4116</v>
      </c>
      <c r="M217" s="30" t="s">
        <v>4133</v>
      </c>
      <c r="N217" s="30" t="s">
        <v>4134</v>
      </c>
      <c r="P217" s="30" t="s">
        <v>4135</v>
      </c>
      <c r="Q217" t="s">
        <v>619</v>
      </c>
      <c r="R217" t="s">
        <v>917</v>
      </c>
      <c r="S217">
        <v>37</v>
      </c>
      <c r="T217" s="29" t="str">
        <f t="shared" si="9"/>
        <v>2021.022B.R.Crassvirales.zip</v>
      </c>
      <c r="U217" s="29" t="str">
        <f>HYPERLINK("https://ictv.global/taxonomy/taxondetails?taxnode_id=202313441","ictv.global=202313441")</f>
        <v>ictv.global=202313441</v>
      </c>
    </row>
    <row r="218" spans="1:21">
      <c r="A218">
        <v>217</v>
      </c>
      <c r="B218" s="30" t="s">
        <v>1587</v>
      </c>
      <c r="D218" s="30" t="s">
        <v>1588</v>
      </c>
      <c r="F218" s="30" t="s">
        <v>1591</v>
      </c>
      <c r="H218" s="30" t="s">
        <v>1592</v>
      </c>
      <c r="J218" s="30" t="s">
        <v>4043</v>
      </c>
      <c r="L218" s="30" t="s">
        <v>4116</v>
      </c>
      <c r="M218" s="30" t="s">
        <v>4133</v>
      </c>
      <c r="N218" s="30" t="s">
        <v>4134</v>
      </c>
      <c r="P218" s="30" t="s">
        <v>4136</v>
      </c>
      <c r="Q218" t="s">
        <v>619</v>
      </c>
      <c r="R218" t="s">
        <v>917</v>
      </c>
      <c r="S218">
        <v>37</v>
      </c>
      <c r="T218" s="29" t="str">
        <f t="shared" si="9"/>
        <v>2021.022B.R.Crassvirales.zip</v>
      </c>
      <c r="U218" s="29" t="str">
        <f>HYPERLINK("https://ictv.global/taxonomy/taxondetails?taxnode_id=202313440","ictv.global=202313440")</f>
        <v>ictv.global=202313440</v>
      </c>
    </row>
    <row r="219" spans="1:21">
      <c r="A219">
        <v>218</v>
      </c>
      <c r="B219" s="30" t="s">
        <v>1587</v>
      </c>
      <c r="D219" s="30" t="s">
        <v>1588</v>
      </c>
      <c r="F219" s="30" t="s">
        <v>1591</v>
      </c>
      <c r="H219" s="30" t="s">
        <v>1592</v>
      </c>
      <c r="J219" s="30" t="s">
        <v>4043</v>
      </c>
      <c r="L219" s="30" t="s">
        <v>4116</v>
      </c>
      <c r="M219" s="30" t="s">
        <v>4133</v>
      </c>
      <c r="N219" s="30" t="s">
        <v>4137</v>
      </c>
      <c r="P219" s="30" t="s">
        <v>4138</v>
      </c>
      <c r="Q219" t="s">
        <v>619</v>
      </c>
      <c r="R219" t="s">
        <v>917</v>
      </c>
      <c r="S219">
        <v>37</v>
      </c>
      <c r="T219" s="29" t="str">
        <f t="shared" si="9"/>
        <v>2021.022B.R.Crassvirales.zip</v>
      </c>
      <c r="U219" s="29" t="str">
        <f>HYPERLINK("https://ictv.global/taxonomy/taxondetails?taxnode_id=202313446","ictv.global=202313446")</f>
        <v>ictv.global=202313446</v>
      </c>
    </row>
    <row r="220" spans="1:21">
      <c r="A220">
        <v>219</v>
      </c>
      <c r="B220" s="30" t="s">
        <v>1587</v>
      </c>
      <c r="D220" s="30" t="s">
        <v>1588</v>
      </c>
      <c r="F220" s="30" t="s">
        <v>1591</v>
      </c>
      <c r="H220" s="30" t="s">
        <v>1592</v>
      </c>
      <c r="J220" s="30" t="s">
        <v>4043</v>
      </c>
      <c r="L220" s="30" t="s">
        <v>4116</v>
      </c>
      <c r="M220" s="30" t="s">
        <v>4133</v>
      </c>
      <c r="N220" s="30" t="s">
        <v>4137</v>
      </c>
      <c r="P220" s="30" t="s">
        <v>4139</v>
      </c>
      <c r="Q220" t="s">
        <v>619</v>
      </c>
      <c r="R220" t="s">
        <v>917</v>
      </c>
      <c r="S220">
        <v>37</v>
      </c>
      <c r="T220" s="29" t="str">
        <f t="shared" si="9"/>
        <v>2021.022B.R.Crassvirales.zip</v>
      </c>
      <c r="U220" s="29" t="str">
        <f>HYPERLINK("https://ictv.global/taxonomy/taxondetails?taxnode_id=202313450","ictv.global=202313450")</f>
        <v>ictv.global=202313450</v>
      </c>
    </row>
    <row r="221" spans="1:21">
      <c r="A221">
        <v>220</v>
      </c>
      <c r="B221" s="30" t="s">
        <v>1587</v>
      </c>
      <c r="D221" s="30" t="s">
        <v>1588</v>
      </c>
      <c r="F221" s="30" t="s">
        <v>1591</v>
      </c>
      <c r="H221" s="30" t="s">
        <v>1592</v>
      </c>
      <c r="J221" s="30" t="s">
        <v>4043</v>
      </c>
      <c r="L221" s="30" t="s">
        <v>4116</v>
      </c>
      <c r="M221" s="30" t="s">
        <v>4133</v>
      </c>
      <c r="N221" s="30" t="s">
        <v>4137</v>
      </c>
      <c r="P221" s="30" t="s">
        <v>4140</v>
      </c>
      <c r="Q221" t="s">
        <v>619</v>
      </c>
      <c r="R221" t="s">
        <v>917</v>
      </c>
      <c r="S221">
        <v>37</v>
      </c>
      <c r="T221" s="29" t="str">
        <f t="shared" si="9"/>
        <v>2021.022B.R.Crassvirales.zip</v>
      </c>
      <c r="U221" s="29" t="str">
        <f>HYPERLINK("https://ictv.global/taxonomy/taxondetails?taxnode_id=202313449","ictv.global=202313449")</f>
        <v>ictv.global=202313449</v>
      </c>
    </row>
    <row r="222" spans="1:21">
      <c r="A222">
        <v>221</v>
      </c>
      <c r="B222" s="30" t="s">
        <v>1587</v>
      </c>
      <c r="D222" s="30" t="s">
        <v>1588</v>
      </c>
      <c r="F222" s="30" t="s">
        <v>1591</v>
      </c>
      <c r="H222" s="30" t="s">
        <v>1592</v>
      </c>
      <c r="J222" s="30" t="s">
        <v>4043</v>
      </c>
      <c r="L222" s="30" t="s">
        <v>4116</v>
      </c>
      <c r="M222" s="30" t="s">
        <v>4133</v>
      </c>
      <c r="N222" s="30" t="s">
        <v>4137</v>
      </c>
      <c r="P222" s="30" t="s">
        <v>4141</v>
      </c>
      <c r="Q222" t="s">
        <v>619</v>
      </c>
      <c r="R222" t="s">
        <v>917</v>
      </c>
      <c r="S222">
        <v>37</v>
      </c>
      <c r="T222" s="29" t="str">
        <f t="shared" si="9"/>
        <v>2021.022B.R.Crassvirales.zip</v>
      </c>
      <c r="U222" s="29" t="str">
        <f>HYPERLINK("https://ictv.global/taxonomy/taxondetails?taxnode_id=202313444","ictv.global=202313444")</f>
        <v>ictv.global=202313444</v>
      </c>
    </row>
    <row r="223" spans="1:21">
      <c r="A223">
        <v>222</v>
      </c>
      <c r="B223" s="30" t="s">
        <v>1587</v>
      </c>
      <c r="D223" s="30" t="s">
        <v>1588</v>
      </c>
      <c r="F223" s="30" t="s">
        <v>1591</v>
      </c>
      <c r="H223" s="30" t="s">
        <v>1592</v>
      </c>
      <c r="J223" s="30" t="s">
        <v>4043</v>
      </c>
      <c r="L223" s="30" t="s">
        <v>4116</v>
      </c>
      <c r="M223" s="30" t="s">
        <v>4133</v>
      </c>
      <c r="N223" s="30" t="s">
        <v>4137</v>
      </c>
      <c r="P223" s="30" t="s">
        <v>4142</v>
      </c>
      <c r="Q223" t="s">
        <v>619</v>
      </c>
      <c r="R223" t="s">
        <v>917</v>
      </c>
      <c r="S223">
        <v>37</v>
      </c>
      <c r="T223" s="29" t="str">
        <f t="shared" si="9"/>
        <v>2021.022B.R.Crassvirales.zip</v>
      </c>
      <c r="U223" s="29" t="str">
        <f>HYPERLINK("https://ictv.global/taxonomy/taxondetails?taxnode_id=202313448","ictv.global=202313448")</f>
        <v>ictv.global=202313448</v>
      </c>
    </row>
    <row r="224" spans="1:21">
      <c r="A224">
        <v>223</v>
      </c>
      <c r="B224" s="30" t="s">
        <v>1587</v>
      </c>
      <c r="D224" s="30" t="s">
        <v>1588</v>
      </c>
      <c r="F224" s="30" t="s">
        <v>1591</v>
      </c>
      <c r="H224" s="30" t="s">
        <v>1592</v>
      </c>
      <c r="J224" s="30" t="s">
        <v>4043</v>
      </c>
      <c r="L224" s="30" t="s">
        <v>4116</v>
      </c>
      <c r="M224" s="30" t="s">
        <v>4133</v>
      </c>
      <c r="N224" s="30" t="s">
        <v>4137</v>
      </c>
      <c r="P224" s="30" t="s">
        <v>4143</v>
      </c>
      <c r="Q224" t="s">
        <v>619</v>
      </c>
      <c r="R224" t="s">
        <v>917</v>
      </c>
      <c r="S224">
        <v>37</v>
      </c>
      <c r="T224" s="29" t="str">
        <f t="shared" si="9"/>
        <v>2021.022B.R.Crassvirales.zip</v>
      </c>
      <c r="U224" s="29" t="str">
        <f>HYPERLINK("https://ictv.global/taxonomy/taxondetails?taxnode_id=202313443","ictv.global=202313443")</f>
        <v>ictv.global=202313443</v>
      </c>
    </row>
    <row r="225" spans="1:21">
      <c r="A225">
        <v>224</v>
      </c>
      <c r="B225" s="30" t="s">
        <v>1587</v>
      </c>
      <c r="D225" s="30" t="s">
        <v>1588</v>
      </c>
      <c r="F225" s="30" t="s">
        <v>1591</v>
      </c>
      <c r="H225" s="30" t="s">
        <v>1592</v>
      </c>
      <c r="J225" s="30" t="s">
        <v>4043</v>
      </c>
      <c r="L225" s="30" t="s">
        <v>4116</v>
      </c>
      <c r="M225" s="30" t="s">
        <v>4133</v>
      </c>
      <c r="N225" s="30" t="s">
        <v>4137</v>
      </c>
      <c r="P225" s="30" t="s">
        <v>4144</v>
      </c>
      <c r="Q225" t="s">
        <v>619</v>
      </c>
      <c r="R225" t="s">
        <v>917</v>
      </c>
      <c r="S225">
        <v>37</v>
      </c>
      <c r="T225" s="29" t="str">
        <f t="shared" si="9"/>
        <v>2021.022B.R.Crassvirales.zip</v>
      </c>
      <c r="U225" s="29" t="str">
        <f>HYPERLINK("https://ictv.global/taxonomy/taxondetails?taxnode_id=202313445","ictv.global=202313445")</f>
        <v>ictv.global=202313445</v>
      </c>
    </row>
    <row r="226" spans="1:21">
      <c r="A226">
        <v>225</v>
      </c>
      <c r="B226" s="30" t="s">
        <v>1587</v>
      </c>
      <c r="D226" s="30" t="s">
        <v>1588</v>
      </c>
      <c r="F226" s="30" t="s">
        <v>1591</v>
      </c>
      <c r="H226" s="30" t="s">
        <v>1592</v>
      </c>
      <c r="J226" s="30" t="s">
        <v>4043</v>
      </c>
      <c r="L226" s="30" t="s">
        <v>4116</v>
      </c>
      <c r="M226" s="30" t="s">
        <v>4133</v>
      </c>
      <c r="N226" s="30" t="s">
        <v>4137</v>
      </c>
      <c r="P226" s="30" t="s">
        <v>4145</v>
      </c>
      <c r="Q226" t="s">
        <v>619</v>
      </c>
      <c r="R226" t="s">
        <v>917</v>
      </c>
      <c r="S226">
        <v>37</v>
      </c>
      <c r="T226" s="29" t="str">
        <f t="shared" si="9"/>
        <v>2021.022B.R.Crassvirales.zip</v>
      </c>
      <c r="U226" s="29" t="str">
        <f>HYPERLINK("https://ictv.global/taxonomy/taxondetails?taxnode_id=202313447","ictv.global=202313447")</f>
        <v>ictv.global=202313447</v>
      </c>
    </row>
    <row r="227" spans="1:21">
      <c r="A227">
        <v>226</v>
      </c>
      <c r="B227" s="30" t="s">
        <v>1587</v>
      </c>
      <c r="D227" s="30" t="s">
        <v>1588</v>
      </c>
      <c r="F227" s="30" t="s">
        <v>1591</v>
      </c>
      <c r="H227" s="30" t="s">
        <v>1592</v>
      </c>
      <c r="J227" s="30" t="s">
        <v>4043</v>
      </c>
      <c r="L227" s="30" t="s">
        <v>4116</v>
      </c>
      <c r="M227" s="30" t="s">
        <v>4133</v>
      </c>
      <c r="N227" s="30" t="s">
        <v>4146</v>
      </c>
      <c r="P227" s="30" t="s">
        <v>4147</v>
      </c>
      <c r="Q227" t="s">
        <v>619</v>
      </c>
      <c r="R227" t="s">
        <v>917</v>
      </c>
      <c r="S227">
        <v>37</v>
      </c>
      <c r="T227" s="29" t="str">
        <f t="shared" si="9"/>
        <v>2021.022B.R.Crassvirales.zip</v>
      </c>
      <c r="U227" s="29" t="str">
        <f>HYPERLINK("https://ictv.global/taxonomy/taxondetails?taxnode_id=202313453","ictv.global=202313453")</f>
        <v>ictv.global=202313453</v>
      </c>
    </row>
    <row r="228" spans="1:21">
      <c r="A228">
        <v>227</v>
      </c>
      <c r="B228" s="30" t="s">
        <v>1587</v>
      </c>
      <c r="D228" s="30" t="s">
        <v>1588</v>
      </c>
      <c r="F228" s="30" t="s">
        <v>1591</v>
      </c>
      <c r="H228" s="30" t="s">
        <v>1592</v>
      </c>
      <c r="J228" s="30" t="s">
        <v>4043</v>
      </c>
      <c r="L228" s="30" t="s">
        <v>4116</v>
      </c>
      <c r="M228" s="30" t="s">
        <v>4148</v>
      </c>
      <c r="N228" s="30" t="s">
        <v>4149</v>
      </c>
      <c r="P228" s="30" t="s">
        <v>4150</v>
      </c>
      <c r="Q228" t="s">
        <v>619</v>
      </c>
      <c r="R228" t="s">
        <v>917</v>
      </c>
      <c r="S228">
        <v>37</v>
      </c>
      <c r="T228" s="29" t="str">
        <f t="shared" si="9"/>
        <v>2021.022B.R.Crassvirales.zip</v>
      </c>
      <c r="U228" s="29" t="str">
        <f>HYPERLINK("https://ictv.global/taxonomy/taxondetails?taxnode_id=202313442","ictv.global=202313442")</f>
        <v>ictv.global=202313442</v>
      </c>
    </row>
    <row r="229" spans="1:21">
      <c r="A229">
        <v>228</v>
      </c>
      <c r="B229" s="30" t="s">
        <v>1587</v>
      </c>
      <c r="D229" s="30" t="s">
        <v>1588</v>
      </c>
      <c r="F229" s="30" t="s">
        <v>1591</v>
      </c>
      <c r="H229" s="30" t="s">
        <v>1592</v>
      </c>
      <c r="J229" s="30" t="s">
        <v>4043</v>
      </c>
      <c r="L229" s="30" t="s">
        <v>4116</v>
      </c>
      <c r="M229" s="30" t="s">
        <v>4148</v>
      </c>
      <c r="N229" s="30" t="s">
        <v>4151</v>
      </c>
      <c r="P229" s="30" t="s">
        <v>4152</v>
      </c>
      <c r="Q229" t="s">
        <v>619</v>
      </c>
      <c r="R229" t="s">
        <v>917</v>
      </c>
      <c r="S229">
        <v>37</v>
      </c>
      <c r="T229" s="29" t="str">
        <f t="shared" si="9"/>
        <v>2021.022B.R.Crassvirales.zip</v>
      </c>
      <c r="U229" s="29" t="str">
        <f>HYPERLINK("https://ictv.global/taxonomy/taxondetails?taxnode_id=202313451","ictv.global=202313451")</f>
        <v>ictv.global=202313451</v>
      </c>
    </row>
    <row r="230" spans="1:21">
      <c r="A230">
        <v>229</v>
      </c>
      <c r="B230" s="30" t="s">
        <v>1587</v>
      </c>
      <c r="D230" s="30" t="s">
        <v>1588</v>
      </c>
      <c r="F230" s="30" t="s">
        <v>1591</v>
      </c>
      <c r="H230" s="30" t="s">
        <v>1592</v>
      </c>
      <c r="J230" s="30" t="s">
        <v>4043</v>
      </c>
      <c r="L230" s="30" t="s">
        <v>4116</v>
      </c>
      <c r="M230" s="30" t="s">
        <v>4148</v>
      </c>
      <c r="N230" s="30" t="s">
        <v>4151</v>
      </c>
      <c r="P230" s="30" t="s">
        <v>4153</v>
      </c>
      <c r="Q230" t="s">
        <v>619</v>
      </c>
      <c r="R230" t="s">
        <v>917</v>
      </c>
      <c r="S230">
        <v>37</v>
      </c>
      <c r="T230" s="29" t="str">
        <f t="shared" si="9"/>
        <v>2021.022B.R.Crassvirales.zip</v>
      </c>
      <c r="U230" s="29" t="str">
        <f>HYPERLINK("https://ictv.global/taxonomy/taxondetails?taxnode_id=202313452","ictv.global=202313452")</f>
        <v>ictv.global=202313452</v>
      </c>
    </row>
    <row r="231" spans="1:21">
      <c r="A231">
        <v>230</v>
      </c>
      <c r="B231" s="30" t="s">
        <v>1587</v>
      </c>
      <c r="D231" s="30" t="s">
        <v>1588</v>
      </c>
      <c r="F231" s="30" t="s">
        <v>1591</v>
      </c>
      <c r="H231" s="30" t="s">
        <v>1592</v>
      </c>
      <c r="J231" s="30" t="s">
        <v>4043</v>
      </c>
      <c r="L231" s="30" t="s">
        <v>4116</v>
      </c>
      <c r="M231" s="30" t="s">
        <v>4148</v>
      </c>
      <c r="N231" s="30" t="s">
        <v>4154</v>
      </c>
      <c r="P231" s="30" t="s">
        <v>4155</v>
      </c>
      <c r="Q231" t="s">
        <v>619</v>
      </c>
      <c r="R231" t="s">
        <v>917</v>
      </c>
      <c r="S231">
        <v>37</v>
      </c>
      <c r="T231" s="29" t="str">
        <f t="shared" si="9"/>
        <v>2021.022B.R.Crassvirales.zip</v>
      </c>
      <c r="U231" s="29" t="str">
        <f>HYPERLINK("https://ictv.global/taxonomy/taxondetails?taxnode_id=202313456","ictv.global=202313456")</f>
        <v>ictv.global=202313456</v>
      </c>
    </row>
    <row r="232" spans="1:21">
      <c r="A232">
        <v>231</v>
      </c>
      <c r="B232" s="30" t="s">
        <v>1587</v>
      </c>
      <c r="D232" s="30" t="s">
        <v>1588</v>
      </c>
      <c r="F232" s="30" t="s">
        <v>1591</v>
      </c>
      <c r="H232" s="30" t="s">
        <v>1592</v>
      </c>
      <c r="J232" s="30" t="s">
        <v>4043</v>
      </c>
      <c r="L232" s="30" t="s">
        <v>4116</v>
      </c>
      <c r="M232" s="30" t="s">
        <v>4148</v>
      </c>
      <c r="N232" s="30" t="s">
        <v>4154</v>
      </c>
      <c r="P232" s="30" t="s">
        <v>4156</v>
      </c>
      <c r="Q232" t="s">
        <v>619</v>
      </c>
      <c r="R232" t="s">
        <v>917</v>
      </c>
      <c r="S232">
        <v>37</v>
      </c>
      <c r="T232" s="29" t="str">
        <f t="shared" si="9"/>
        <v>2021.022B.R.Crassvirales.zip</v>
      </c>
      <c r="U232" s="29" t="str">
        <f>HYPERLINK("https://ictv.global/taxonomy/taxondetails?taxnode_id=202313455","ictv.global=202313455")</f>
        <v>ictv.global=202313455</v>
      </c>
    </row>
    <row r="233" spans="1:21">
      <c r="A233">
        <v>232</v>
      </c>
      <c r="B233" s="30" t="s">
        <v>1587</v>
      </c>
      <c r="D233" s="30" t="s">
        <v>1588</v>
      </c>
      <c r="F233" s="30" t="s">
        <v>1591</v>
      </c>
      <c r="H233" s="30" t="s">
        <v>1592</v>
      </c>
      <c r="J233" s="30" t="s">
        <v>4043</v>
      </c>
      <c r="L233" s="30" t="s">
        <v>4116</v>
      </c>
      <c r="M233" s="30" t="s">
        <v>4148</v>
      </c>
      <c r="N233" s="30" t="s">
        <v>4154</v>
      </c>
      <c r="P233" s="30" t="s">
        <v>4157</v>
      </c>
      <c r="Q233" t="s">
        <v>619</v>
      </c>
      <c r="R233" t="s">
        <v>917</v>
      </c>
      <c r="S233">
        <v>37</v>
      </c>
      <c r="T233" s="29" t="str">
        <f t="shared" si="9"/>
        <v>2021.022B.R.Crassvirales.zip</v>
      </c>
      <c r="U233" s="29" t="str">
        <f>HYPERLINK("https://ictv.global/taxonomy/taxondetails?taxnode_id=202313454","ictv.global=202313454")</f>
        <v>ictv.global=202313454</v>
      </c>
    </row>
    <row r="234" spans="1:21">
      <c r="A234">
        <v>233</v>
      </c>
      <c r="B234" s="30" t="s">
        <v>1587</v>
      </c>
      <c r="D234" s="30" t="s">
        <v>1588</v>
      </c>
      <c r="F234" s="30" t="s">
        <v>1591</v>
      </c>
      <c r="H234" s="30" t="s">
        <v>1592</v>
      </c>
      <c r="J234" s="30" t="s">
        <v>4043</v>
      </c>
      <c r="L234" s="30" t="s">
        <v>4116</v>
      </c>
      <c r="M234" s="30" t="s">
        <v>4148</v>
      </c>
      <c r="N234" s="30" t="s">
        <v>4158</v>
      </c>
      <c r="P234" s="30" t="s">
        <v>4159</v>
      </c>
      <c r="Q234" t="s">
        <v>619</v>
      </c>
      <c r="R234" t="s">
        <v>917</v>
      </c>
      <c r="S234">
        <v>37</v>
      </c>
      <c r="T234" s="29" t="str">
        <f t="shared" si="9"/>
        <v>2021.022B.R.Crassvirales.zip</v>
      </c>
      <c r="U234" s="29" t="str">
        <f>HYPERLINK("https://ictv.global/taxonomy/taxondetails?taxnode_id=202313457","ictv.global=202313457")</f>
        <v>ictv.global=202313457</v>
      </c>
    </row>
    <row r="235" spans="1:21">
      <c r="A235">
        <v>234</v>
      </c>
      <c r="B235" s="30" t="s">
        <v>1587</v>
      </c>
      <c r="D235" s="30" t="s">
        <v>1588</v>
      </c>
      <c r="F235" s="30" t="s">
        <v>1591</v>
      </c>
      <c r="H235" s="30" t="s">
        <v>1592</v>
      </c>
      <c r="J235" s="30" t="s">
        <v>4043</v>
      </c>
      <c r="L235" s="30" t="s">
        <v>4116</v>
      </c>
      <c r="M235" s="30" t="s">
        <v>4148</v>
      </c>
      <c r="N235" s="30" t="s">
        <v>4160</v>
      </c>
      <c r="P235" s="30" t="s">
        <v>4161</v>
      </c>
      <c r="Q235" t="s">
        <v>619</v>
      </c>
      <c r="R235" t="s">
        <v>917</v>
      </c>
      <c r="S235">
        <v>37</v>
      </c>
      <c r="T235" s="29" t="str">
        <f t="shared" si="9"/>
        <v>2021.022B.R.Crassvirales.zip</v>
      </c>
      <c r="U235" s="29" t="str">
        <f>HYPERLINK("https://ictv.global/taxonomy/taxondetails?taxnode_id=202313462","ictv.global=202313462")</f>
        <v>ictv.global=202313462</v>
      </c>
    </row>
    <row r="236" spans="1:21">
      <c r="A236">
        <v>235</v>
      </c>
      <c r="B236" s="30" t="s">
        <v>1587</v>
      </c>
      <c r="D236" s="30" t="s">
        <v>1588</v>
      </c>
      <c r="F236" s="30" t="s">
        <v>1591</v>
      </c>
      <c r="H236" s="30" t="s">
        <v>1592</v>
      </c>
      <c r="J236" s="30" t="s">
        <v>4043</v>
      </c>
      <c r="L236" s="30" t="s">
        <v>4116</v>
      </c>
      <c r="M236" s="30" t="s">
        <v>4162</v>
      </c>
      <c r="N236" s="30" t="s">
        <v>4163</v>
      </c>
      <c r="P236" s="30" t="s">
        <v>4164</v>
      </c>
      <c r="Q236" t="s">
        <v>619</v>
      </c>
      <c r="R236" t="s">
        <v>917</v>
      </c>
      <c r="S236">
        <v>37</v>
      </c>
      <c r="T236" s="29" t="str">
        <f t="shared" si="9"/>
        <v>2021.022B.R.Crassvirales.zip</v>
      </c>
      <c r="U236" s="29" t="str">
        <f>HYPERLINK("https://ictv.global/taxonomy/taxondetails?taxnode_id=202313434","ictv.global=202313434")</f>
        <v>ictv.global=202313434</v>
      </c>
    </row>
    <row r="237" spans="1:21">
      <c r="A237">
        <v>236</v>
      </c>
      <c r="B237" s="30" t="s">
        <v>1587</v>
      </c>
      <c r="D237" s="30" t="s">
        <v>1588</v>
      </c>
      <c r="F237" s="30" t="s">
        <v>1591</v>
      </c>
      <c r="H237" s="30" t="s">
        <v>1592</v>
      </c>
      <c r="J237" s="30" t="s">
        <v>4043</v>
      </c>
      <c r="L237" s="30" t="s">
        <v>4116</v>
      </c>
      <c r="M237" s="30" t="s">
        <v>4162</v>
      </c>
      <c r="N237" s="30" t="s">
        <v>4163</v>
      </c>
      <c r="P237" s="30" t="s">
        <v>4165</v>
      </c>
      <c r="Q237" t="s">
        <v>619</v>
      </c>
      <c r="R237" t="s">
        <v>917</v>
      </c>
      <c r="S237">
        <v>37</v>
      </c>
      <c r="T237" s="29" t="str">
        <f t="shared" si="9"/>
        <v>2021.022B.R.Crassvirales.zip</v>
      </c>
      <c r="U237" s="29" t="str">
        <f>HYPERLINK("https://ictv.global/taxonomy/taxondetails?taxnode_id=202313436","ictv.global=202313436")</f>
        <v>ictv.global=202313436</v>
      </c>
    </row>
    <row r="238" spans="1:21">
      <c r="A238">
        <v>237</v>
      </c>
      <c r="B238" s="30" t="s">
        <v>1587</v>
      </c>
      <c r="D238" s="30" t="s">
        <v>1588</v>
      </c>
      <c r="F238" s="30" t="s">
        <v>1591</v>
      </c>
      <c r="H238" s="30" t="s">
        <v>1592</v>
      </c>
      <c r="J238" s="30" t="s">
        <v>4043</v>
      </c>
      <c r="L238" s="30" t="s">
        <v>4116</v>
      </c>
      <c r="M238" s="30" t="s">
        <v>4162</v>
      </c>
      <c r="N238" s="30" t="s">
        <v>4163</v>
      </c>
      <c r="P238" s="30" t="s">
        <v>4166</v>
      </c>
      <c r="Q238" t="s">
        <v>619</v>
      </c>
      <c r="R238" t="s">
        <v>917</v>
      </c>
      <c r="S238">
        <v>37</v>
      </c>
      <c r="T238" s="29" t="str">
        <f t="shared" si="9"/>
        <v>2021.022B.R.Crassvirales.zip</v>
      </c>
      <c r="U238" s="29" t="str">
        <f>HYPERLINK("https://ictv.global/taxonomy/taxondetails?taxnode_id=202313435","ictv.global=202313435")</f>
        <v>ictv.global=202313435</v>
      </c>
    </row>
    <row r="239" spans="1:21">
      <c r="A239">
        <v>238</v>
      </c>
      <c r="B239" s="30" t="s">
        <v>1587</v>
      </c>
      <c r="D239" s="30" t="s">
        <v>1588</v>
      </c>
      <c r="F239" s="30" t="s">
        <v>1591</v>
      </c>
      <c r="H239" s="30" t="s">
        <v>1592</v>
      </c>
      <c r="J239" s="30" t="s">
        <v>4043</v>
      </c>
      <c r="L239" s="30" t="s">
        <v>4116</v>
      </c>
      <c r="M239" s="30" t="s">
        <v>4162</v>
      </c>
      <c r="N239" s="30" t="s">
        <v>4167</v>
      </c>
      <c r="P239" s="30" t="s">
        <v>4168</v>
      </c>
      <c r="Q239" t="s">
        <v>619</v>
      </c>
      <c r="R239" t="s">
        <v>917</v>
      </c>
      <c r="S239">
        <v>37</v>
      </c>
      <c r="T239" s="29" t="str">
        <f t="shared" si="9"/>
        <v>2021.022B.R.Crassvirales.zip</v>
      </c>
      <c r="U239" s="29" t="str">
        <f>HYPERLINK("https://ictv.global/taxonomy/taxondetails?taxnode_id=202313437","ictv.global=202313437")</f>
        <v>ictv.global=202313437</v>
      </c>
    </row>
    <row r="240" spans="1:21">
      <c r="A240">
        <v>239</v>
      </c>
      <c r="B240" s="30" t="s">
        <v>1587</v>
      </c>
      <c r="D240" s="30" t="s">
        <v>1588</v>
      </c>
      <c r="F240" s="30" t="s">
        <v>1591</v>
      </c>
      <c r="H240" s="30" t="s">
        <v>1592</v>
      </c>
      <c r="J240" s="30" t="s">
        <v>4043</v>
      </c>
      <c r="L240" s="30" t="s">
        <v>4116</v>
      </c>
      <c r="M240" s="30" t="s">
        <v>4162</v>
      </c>
      <c r="N240" s="30" t="s">
        <v>4169</v>
      </c>
      <c r="P240" s="30" t="s">
        <v>4170</v>
      </c>
      <c r="Q240" t="s">
        <v>619</v>
      </c>
      <c r="R240" t="s">
        <v>917</v>
      </c>
      <c r="S240">
        <v>37</v>
      </c>
      <c r="T240" s="29" t="str">
        <f t="shared" si="9"/>
        <v>2021.022B.R.Crassvirales.zip</v>
      </c>
      <c r="U240" s="29" t="str">
        <f>HYPERLINK("https://ictv.global/taxonomy/taxondetails?taxnode_id=202313439","ictv.global=202313439")</f>
        <v>ictv.global=202313439</v>
      </c>
    </row>
    <row r="241" spans="1:21">
      <c r="A241">
        <v>240</v>
      </c>
      <c r="B241" s="30" t="s">
        <v>1587</v>
      </c>
      <c r="D241" s="30" t="s">
        <v>1588</v>
      </c>
      <c r="F241" s="30" t="s">
        <v>1591</v>
      </c>
      <c r="H241" s="30" t="s">
        <v>1592</v>
      </c>
      <c r="J241" s="30" t="s">
        <v>4043</v>
      </c>
      <c r="L241" s="30" t="s">
        <v>4116</v>
      </c>
      <c r="M241" s="30" t="s">
        <v>4162</v>
      </c>
      <c r="N241" s="30" t="s">
        <v>4169</v>
      </c>
      <c r="P241" s="30" t="s">
        <v>4171</v>
      </c>
      <c r="Q241" t="s">
        <v>619</v>
      </c>
      <c r="R241" t="s">
        <v>917</v>
      </c>
      <c r="S241">
        <v>37</v>
      </c>
      <c r="T241" s="29" t="str">
        <f t="shared" si="9"/>
        <v>2021.022B.R.Crassvirales.zip</v>
      </c>
      <c r="U241" s="29" t="str">
        <f>HYPERLINK("https://ictv.global/taxonomy/taxondetails?taxnode_id=202313438","ictv.global=202313438")</f>
        <v>ictv.global=202313438</v>
      </c>
    </row>
    <row r="242" spans="1:21">
      <c r="A242">
        <v>241</v>
      </c>
      <c r="B242" s="30" t="s">
        <v>1587</v>
      </c>
      <c r="D242" s="30" t="s">
        <v>1588</v>
      </c>
      <c r="F242" s="30" t="s">
        <v>1591</v>
      </c>
      <c r="H242" s="30" t="s">
        <v>1592</v>
      </c>
      <c r="J242" s="30" t="s">
        <v>4043</v>
      </c>
      <c r="L242" s="30" t="s">
        <v>4116</v>
      </c>
      <c r="N242" s="30" t="s">
        <v>4172</v>
      </c>
      <c r="P242" s="30" t="s">
        <v>4173</v>
      </c>
      <c r="Q242" t="s">
        <v>619</v>
      </c>
      <c r="R242" t="s">
        <v>917</v>
      </c>
      <c r="S242">
        <v>37</v>
      </c>
      <c r="T242" s="29" t="str">
        <f t="shared" si="9"/>
        <v>2021.022B.R.Crassvirales.zip</v>
      </c>
      <c r="U242" s="29" t="str">
        <f>HYPERLINK("https://ictv.global/taxonomy/taxondetails?taxnode_id=202313469","ictv.global=202313469")</f>
        <v>ictv.global=202313469</v>
      </c>
    </row>
    <row r="243" spans="1:21">
      <c r="A243">
        <v>242</v>
      </c>
      <c r="B243" s="30" t="s">
        <v>1587</v>
      </c>
      <c r="D243" s="30" t="s">
        <v>1588</v>
      </c>
      <c r="F243" s="30" t="s">
        <v>1591</v>
      </c>
      <c r="H243" s="30" t="s">
        <v>1592</v>
      </c>
      <c r="J243" s="30" t="s">
        <v>4174</v>
      </c>
      <c r="L243" s="30" t="s">
        <v>4175</v>
      </c>
      <c r="N243" s="30" t="s">
        <v>4176</v>
      </c>
      <c r="P243" s="30" t="s">
        <v>4177</v>
      </c>
      <c r="Q243" t="s">
        <v>619</v>
      </c>
      <c r="R243" t="s">
        <v>917</v>
      </c>
      <c r="S243">
        <v>38</v>
      </c>
      <c r="T243" s="29" t="str">
        <f>HYPERLINK("https://ictv.global/ictv/proposals/2022.003A.Caudoviricetes_2no_3nf.zip","2022.003A.Caudoviricetes_2no_3nf.zip")</f>
        <v>2022.003A.Caudoviricetes_2no_3nf.zip</v>
      </c>
      <c r="U243" s="29" t="str">
        <f>HYPERLINK("https://ictv.global/taxonomy/taxondetails?taxnode_id=202314325","ictv.global=202314325")</f>
        <v>ictv.global=202314325</v>
      </c>
    </row>
    <row r="244" spans="1:21">
      <c r="A244">
        <v>243</v>
      </c>
      <c r="B244" s="30" t="s">
        <v>1587</v>
      </c>
      <c r="D244" s="30" t="s">
        <v>1588</v>
      </c>
      <c r="F244" s="30" t="s">
        <v>1591</v>
      </c>
      <c r="H244" s="30" t="s">
        <v>1592</v>
      </c>
      <c r="J244" s="30" t="s">
        <v>4174</v>
      </c>
      <c r="L244" s="30" t="s">
        <v>4175</v>
      </c>
      <c r="N244" s="30" t="s">
        <v>4178</v>
      </c>
      <c r="P244" s="30" t="s">
        <v>4179</v>
      </c>
      <c r="Q244" t="s">
        <v>619</v>
      </c>
      <c r="R244" t="s">
        <v>917</v>
      </c>
      <c r="S244">
        <v>38</v>
      </c>
      <c r="T244" s="29" t="str">
        <f>HYPERLINK("https://ictv.global/ictv/proposals/2022.003A.Caudoviricetes_2no_3nf.zip","2022.003A.Caudoviricetes_2no_3nf.zip")</f>
        <v>2022.003A.Caudoviricetes_2no_3nf.zip</v>
      </c>
      <c r="U244" s="29" t="str">
        <f>HYPERLINK("https://ictv.global/taxonomy/taxondetails?taxnode_id=202314323","ictv.global=202314323")</f>
        <v>ictv.global=202314323</v>
      </c>
    </row>
    <row r="245" spans="1:21">
      <c r="A245">
        <v>244</v>
      </c>
      <c r="B245" s="30" t="s">
        <v>1587</v>
      </c>
      <c r="D245" s="30" t="s">
        <v>1588</v>
      </c>
      <c r="F245" s="30" t="s">
        <v>1591</v>
      </c>
      <c r="H245" s="30" t="s">
        <v>1592</v>
      </c>
      <c r="J245" s="30" t="s">
        <v>4174</v>
      </c>
      <c r="L245" s="30" t="s">
        <v>4175</v>
      </c>
      <c r="N245" s="30" t="s">
        <v>4180</v>
      </c>
      <c r="P245" s="30" t="s">
        <v>4181</v>
      </c>
      <c r="Q245" t="s">
        <v>619</v>
      </c>
      <c r="R245" t="s">
        <v>917</v>
      </c>
      <c r="S245">
        <v>38</v>
      </c>
      <c r="T245" s="29" t="str">
        <f>HYPERLINK("https://ictv.global/ictv/proposals/2022.003A.Caudoviricetes_2no_3nf.zip","2022.003A.Caudoviricetes_2no_3nf.zip")</f>
        <v>2022.003A.Caudoviricetes_2no_3nf.zip</v>
      </c>
      <c r="U245" s="29" t="str">
        <f>HYPERLINK("https://ictv.global/taxonomy/taxondetails?taxnode_id=202314324","ictv.global=202314324")</f>
        <v>ictv.global=202314324</v>
      </c>
    </row>
    <row r="246" spans="1:21">
      <c r="A246">
        <v>245</v>
      </c>
      <c r="B246" s="30" t="s">
        <v>1587</v>
      </c>
      <c r="D246" s="30" t="s">
        <v>1588</v>
      </c>
      <c r="F246" s="30" t="s">
        <v>1591</v>
      </c>
      <c r="H246" s="30" t="s">
        <v>1592</v>
      </c>
      <c r="J246" s="30" t="s">
        <v>4174</v>
      </c>
      <c r="L246" s="30" t="s">
        <v>4182</v>
      </c>
      <c r="N246" s="30" t="s">
        <v>4183</v>
      </c>
      <c r="P246" s="30" t="s">
        <v>4184</v>
      </c>
      <c r="Q246" t="s">
        <v>619</v>
      </c>
      <c r="R246" t="s">
        <v>917</v>
      </c>
      <c r="S246">
        <v>38</v>
      </c>
      <c r="T246" s="29" t="str">
        <f>HYPERLINK("https://ictv.global/ictv/proposals/2022.003A.Caudoviricetes_2no_3nf.zip","2022.003A.Caudoviricetes_2no_3nf.zip")</f>
        <v>2022.003A.Caudoviricetes_2no_3nf.zip</v>
      </c>
      <c r="U246" s="29" t="str">
        <f>HYPERLINK("https://ictv.global/taxonomy/taxondetails?taxnode_id=202314322","ictv.global=202314322")</f>
        <v>ictv.global=202314322</v>
      </c>
    </row>
    <row r="247" spans="1:21">
      <c r="A247">
        <v>246</v>
      </c>
      <c r="B247" s="30" t="s">
        <v>1587</v>
      </c>
      <c r="D247" s="30" t="s">
        <v>1588</v>
      </c>
      <c r="F247" s="30" t="s">
        <v>1591</v>
      </c>
      <c r="H247" s="30" t="s">
        <v>1592</v>
      </c>
      <c r="J247" s="30" t="s">
        <v>4185</v>
      </c>
      <c r="L247" s="30" t="s">
        <v>4186</v>
      </c>
      <c r="N247" s="30" t="s">
        <v>4187</v>
      </c>
      <c r="P247" s="30" t="s">
        <v>11764</v>
      </c>
      <c r="Q247" t="s">
        <v>619</v>
      </c>
      <c r="R247" t="s">
        <v>920</v>
      </c>
      <c r="S247">
        <v>39</v>
      </c>
      <c r="T247" s="29" t="str">
        <f t="shared" ref="T247:T253" si="10">HYPERLINK("https://ictv.global/ictv/proposals/2023.001A.Archaeal_binomials.zip","2023.001A.Archaeal_binomials.zip")</f>
        <v>2023.001A.Archaeal_binomials.zip</v>
      </c>
      <c r="U247" s="29" t="str">
        <f>HYPERLINK("https://ictv.global/taxonomy/taxondetails?taxnode_id=202312209","ictv.global=202312209")</f>
        <v>ictv.global=202312209</v>
      </c>
    </row>
    <row r="248" spans="1:21">
      <c r="A248">
        <v>247</v>
      </c>
      <c r="B248" s="30" t="s">
        <v>1587</v>
      </c>
      <c r="D248" s="30" t="s">
        <v>1588</v>
      </c>
      <c r="F248" s="30" t="s">
        <v>1591</v>
      </c>
      <c r="H248" s="30" t="s">
        <v>1592</v>
      </c>
      <c r="J248" s="30" t="s">
        <v>4185</v>
      </c>
      <c r="L248" s="30" t="s">
        <v>4186</v>
      </c>
      <c r="N248" s="30" t="s">
        <v>4188</v>
      </c>
      <c r="P248" s="30" t="s">
        <v>11765</v>
      </c>
      <c r="Q248" t="s">
        <v>619</v>
      </c>
      <c r="R248" t="s">
        <v>920</v>
      </c>
      <c r="S248">
        <v>39</v>
      </c>
      <c r="T248" s="29" t="str">
        <f t="shared" si="10"/>
        <v>2023.001A.Archaeal_binomials.zip</v>
      </c>
      <c r="U248" s="29" t="str">
        <f>HYPERLINK("https://ictv.global/taxonomy/taxondetails?taxnode_id=202312211","ictv.global=202312211")</f>
        <v>ictv.global=202312211</v>
      </c>
    </row>
    <row r="249" spans="1:21">
      <c r="A249">
        <v>248</v>
      </c>
      <c r="B249" s="30" t="s">
        <v>1587</v>
      </c>
      <c r="D249" s="30" t="s">
        <v>1588</v>
      </c>
      <c r="F249" s="30" t="s">
        <v>1591</v>
      </c>
      <c r="H249" s="30" t="s">
        <v>1592</v>
      </c>
      <c r="J249" s="30" t="s">
        <v>4185</v>
      </c>
      <c r="L249" s="30" t="s">
        <v>4189</v>
      </c>
      <c r="N249" s="30" t="s">
        <v>4190</v>
      </c>
      <c r="P249" s="30" t="s">
        <v>11766</v>
      </c>
      <c r="Q249" t="s">
        <v>619</v>
      </c>
      <c r="R249" t="s">
        <v>920</v>
      </c>
      <c r="S249">
        <v>39</v>
      </c>
      <c r="T249" s="29" t="str">
        <f t="shared" si="10"/>
        <v>2023.001A.Archaeal_binomials.zip</v>
      </c>
      <c r="U249" s="29" t="str">
        <f>HYPERLINK("https://ictv.global/taxonomy/taxondetails?taxnode_id=202312201","ictv.global=202312201")</f>
        <v>ictv.global=202312201</v>
      </c>
    </row>
    <row r="250" spans="1:21">
      <c r="A250">
        <v>249</v>
      </c>
      <c r="B250" s="30" t="s">
        <v>1587</v>
      </c>
      <c r="D250" s="30" t="s">
        <v>1588</v>
      </c>
      <c r="F250" s="30" t="s">
        <v>1591</v>
      </c>
      <c r="H250" s="30" t="s">
        <v>1592</v>
      </c>
      <c r="J250" s="30" t="s">
        <v>4185</v>
      </c>
      <c r="L250" s="30" t="s">
        <v>4189</v>
      </c>
      <c r="N250" s="30" t="s">
        <v>4191</v>
      </c>
      <c r="P250" s="30" t="s">
        <v>11767</v>
      </c>
      <c r="Q250" t="s">
        <v>619</v>
      </c>
      <c r="R250" t="s">
        <v>920</v>
      </c>
      <c r="S250">
        <v>39</v>
      </c>
      <c r="T250" s="29" t="str">
        <f t="shared" si="10"/>
        <v>2023.001A.Archaeal_binomials.zip</v>
      </c>
      <c r="U250" s="29" t="str">
        <f>HYPERLINK("https://ictv.global/taxonomy/taxondetails?taxnode_id=202312199","ictv.global=202312199")</f>
        <v>ictv.global=202312199</v>
      </c>
    </row>
    <row r="251" spans="1:21">
      <c r="A251">
        <v>250</v>
      </c>
      <c r="B251" s="30" t="s">
        <v>1587</v>
      </c>
      <c r="D251" s="30" t="s">
        <v>1588</v>
      </c>
      <c r="F251" s="30" t="s">
        <v>1591</v>
      </c>
      <c r="H251" s="30" t="s">
        <v>1592</v>
      </c>
      <c r="J251" s="30" t="s">
        <v>4185</v>
      </c>
      <c r="L251" s="30" t="s">
        <v>4189</v>
      </c>
      <c r="N251" s="30" t="s">
        <v>4192</v>
      </c>
      <c r="P251" s="30" t="s">
        <v>11768</v>
      </c>
      <c r="Q251" t="s">
        <v>619</v>
      </c>
      <c r="R251" t="s">
        <v>920</v>
      </c>
      <c r="S251">
        <v>39</v>
      </c>
      <c r="T251" s="29" t="str">
        <f t="shared" si="10"/>
        <v>2023.001A.Archaeal_binomials.zip</v>
      </c>
      <c r="U251" s="29" t="str">
        <f>HYPERLINK("https://ictv.global/taxonomy/taxondetails?taxnode_id=202312203","ictv.global=202312203")</f>
        <v>ictv.global=202312203</v>
      </c>
    </row>
    <row r="252" spans="1:21">
      <c r="A252">
        <v>251</v>
      </c>
      <c r="B252" s="30" t="s">
        <v>1587</v>
      </c>
      <c r="D252" s="30" t="s">
        <v>1588</v>
      </c>
      <c r="F252" s="30" t="s">
        <v>1591</v>
      </c>
      <c r="H252" s="30" t="s">
        <v>1592</v>
      </c>
      <c r="J252" s="30" t="s">
        <v>4185</v>
      </c>
      <c r="L252" s="30" t="s">
        <v>4193</v>
      </c>
      <c r="N252" s="30" t="s">
        <v>4194</v>
      </c>
      <c r="P252" s="30" t="s">
        <v>11769</v>
      </c>
      <c r="Q252" t="s">
        <v>619</v>
      </c>
      <c r="R252" t="s">
        <v>920</v>
      </c>
      <c r="S252">
        <v>39</v>
      </c>
      <c r="T252" s="29" t="str">
        <f t="shared" si="10"/>
        <v>2023.001A.Archaeal_binomials.zip</v>
      </c>
      <c r="U252" s="29" t="str">
        <f>HYPERLINK("https://ictv.global/taxonomy/taxondetails?taxnode_id=202312205","ictv.global=202312205")</f>
        <v>ictv.global=202312205</v>
      </c>
    </row>
    <row r="253" spans="1:21">
      <c r="A253">
        <v>252</v>
      </c>
      <c r="B253" s="30" t="s">
        <v>1587</v>
      </c>
      <c r="D253" s="30" t="s">
        <v>1588</v>
      </c>
      <c r="F253" s="30" t="s">
        <v>1591</v>
      </c>
      <c r="H253" s="30" t="s">
        <v>1592</v>
      </c>
      <c r="J253" s="30" t="s">
        <v>4185</v>
      </c>
      <c r="L253" s="30" t="s">
        <v>4195</v>
      </c>
      <c r="N253" s="30" t="s">
        <v>4196</v>
      </c>
      <c r="P253" s="30" t="s">
        <v>11770</v>
      </c>
      <c r="Q253" t="s">
        <v>619</v>
      </c>
      <c r="R253" t="s">
        <v>920</v>
      </c>
      <c r="S253">
        <v>39</v>
      </c>
      <c r="T253" s="29" t="str">
        <f t="shared" si="10"/>
        <v>2023.001A.Archaeal_binomials.zip</v>
      </c>
      <c r="U253" s="29" t="str">
        <f>HYPERLINK("https://ictv.global/taxonomy/taxondetails?taxnode_id=202312207","ictv.global=202312207")</f>
        <v>ictv.global=202312207</v>
      </c>
    </row>
    <row r="254" spans="1:21">
      <c r="A254">
        <v>253</v>
      </c>
      <c r="B254" s="30" t="s">
        <v>1587</v>
      </c>
      <c r="D254" s="30" t="s">
        <v>1588</v>
      </c>
      <c r="F254" s="30" t="s">
        <v>1591</v>
      </c>
      <c r="H254" s="30" t="s">
        <v>1592</v>
      </c>
      <c r="J254" s="30" t="s">
        <v>4197</v>
      </c>
      <c r="L254" s="30" t="s">
        <v>4198</v>
      </c>
      <c r="N254" s="30" t="s">
        <v>4199</v>
      </c>
      <c r="P254" s="30" t="s">
        <v>4200</v>
      </c>
      <c r="Q254" t="s">
        <v>619</v>
      </c>
      <c r="R254" t="s">
        <v>917</v>
      </c>
      <c r="S254">
        <v>38</v>
      </c>
      <c r="T254" s="29" t="str">
        <f>HYPERLINK("https://ictv.global/ictv/proposals/2022.003A.Caudoviricetes_2no_3nf.zip","2022.003A.Caudoviricetes_2no_3nf.zip")</f>
        <v>2022.003A.Caudoviricetes_2no_3nf.zip</v>
      </c>
      <c r="U254" s="29" t="str">
        <f>HYPERLINK("https://ictv.global/taxonomy/taxondetails?taxnode_id=202314326","ictv.global=202314326")</f>
        <v>ictv.global=202314326</v>
      </c>
    </row>
    <row r="255" spans="1:21">
      <c r="A255">
        <v>254</v>
      </c>
      <c r="B255" s="30" t="s">
        <v>1587</v>
      </c>
      <c r="D255" s="30" t="s">
        <v>1588</v>
      </c>
      <c r="F255" s="30" t="s">
        <v>1591</v>
      </c>
      <c r="H255" s="30" t="s">
        <v>1592</v>
      </c>
      <c r="J255" s="30" t="s">
        <v>4201</v>
      </c>
      <c r="L255" s="30" t="s">
        <v>4202</v>
      </c>
      <c r="N255" s="30" t="s">
        <v>4203</v>
      </c>
      <c r="P255" s="30" t="s">
        <v>11771</v>
      </c>
      <c r="Q255" t="s">
        <v>619</v>
      </c>
      <c r="R255" t="s">
        <v>920</v>
      </c>
      <c r="S255">
        <v>39</v>
      </c>
      <c r="T255" s="29" t="str">
        <f>HYPERLINK("https://ictv.global/ictv/proposals/2023.001A.Archaeal_binomials.zip","2023.001A.Archaeal_binomials.zip")</f>
        <v>2023.001A.Archaeal_binomials.zip</v>
      </c>
      <c r="U255" s="29" t="str">
        <f>HYPERLINK("https://ictv.global/taxonomy/taxondetails?taxnode_id=202312213","ictv.global=202312213")</f>
        <v>ictv.global=202312213</v>
      </c>
    </row>
    <row r="256" spans="1:21">
      <c r="A256">
        <v>255</v>
      </c>
      <c r="B256" s="30" t="s">
        <v>1587</v>
      </c>
      <c r="D256" s="30" t="s">
        <v>1588</v>
      </c>
      <c r="F256" s="30" t="s">
        <v>1591</v>
      </c>
      <c r="H256" s="30" t="s">
        <v>1592</v>
      </c>
      <c r="J256" s="30" t="s">
        <v>4201</v>
      </c>
      <c r="L256" s="30" t="s">
        <v>11772</v>
      </c>
      <c r="N256" s="30" t="s">
        <v>11773</v>
      </c>
      <c r="P256" s="30" t="s">
        <v>11774</v>
      </c>
      <c r="Q256" t="s">
        <v>619</v>
      </c>
      <c r="R256" t="s">
        <v>917</v>
      </c>
      <c r="S256">
        <v>39</v>
      </c>
      <c r="T256" s="29" t="str">
        <f>HYPERLINK("https://ictv.global/ictv/proposals/2023.002A.Caudoviricetes_5nf_v2.zip","2023.002A.Caudoviricetes_5nf_v2.zip")</f>
        <v>2023.002A.Caudoviricetes_5nf_v2.zip</v>
      </c>
      <c r="U256" s="29" t="str">
        <f>HYPERLINK("https://ictv.global/taxonomy/taxondetails?taxnode_id=202317736","ictv.global=202317736")</f>
        <v>ictv.global=202317736</v>
      </c>
    </row>
    <row r="257" spans="1:21">
      <c r="A257">
        <v>256</v>
      </c>
      <c r="B257" s="30" t="s">
        <v>1587</v>
      </c>
      <c r="D257" s="30" t="s">
        <v>1588</v>
      </c>
      <c r="F257" s="30" t="s">
        <v>1591</v>
      </c>
      <c r="H257" s="30" t="s">
        <v>1592</v>
      </c>
      <c r="J257" s="30" t="s">
        <v>4201</v>
      </c>
      <c r="L257" s="30" t="s">
        <v>11775</v>
      </c>
      <c r="N257" s="30" t="s">
        <v>11776</v>
      </c>
      <c r="P257" s="30" t="s">
        <v>11777</v>
      </c>
      <c r="Q257" t="s">
        <v>619</v>
      </c>
      <c r="R257" t="s">
        <v>917</v>
      </c>
      <c r="S257">
        <v>39</v>
      </c>
      <c r="T257" s="29" t="str">
        <f>HYPERLINK("https://ictv.global/ictv/proposals/2023.002A.Caudoviricetes_5nf_v2.zip","2023.002A.Caudoviricetes_5nf_v2.zip")</f>
        <v>2023.002A.Caudoviricetes_5nf_v2.zip</v>
      </c>
      <c r="U257" s="29" t="str">
        <f>HYPERLINK("https://ictv.global/taxonomy/taxondetails?taxnode_id=202317735","ictv.global=202317735")</f>
        <v>ictv.global=202317735</v>
      </c>
    </row>
    <row r="258" spans="1:21">
      <c r="A258">
        <v>257</v>
      </c>
      <c r="B258" s="30" t="s">
        <v>1587</v>
      </c>
      <c r="D258" s="30" t="s">
        <v>1588</v>
      </c>
      <c r="F258" s="30" t="s">
        <v>1591</v>
      </c>
      <c r="H258" s="30" t="s">
        <v>1592</v>
      </c>
      <c r="J258" s="30" t="s">
        <v>4201</v>
      </c>
      <c r="L258" s="30" t="s">
        <v>4204</v>
      </c>
      <c r="N258" s="30" t="s">
        <v>698</v>
      </c>
      <c r="P258" s="30" t="s">
        <v>11778</v>
      </c>
      <c r="Q258" t="s">
        <v>619</v>
      </c>
      <c r="R258" t="s">
        <v>920</v>
      </c>
      <c r="S258">
        <v>39</v>
      </c>
      <c r="T258" s="29" t="str">
        <f>HYPERLINK("https://ictv.global/ictv/proposals/2023.001A.Archaeal_binomials.zip","2023.001A.Archaeal_binomials.zip")</f>
        <v>2023.001A.Archaeal_binomials.zip</v>
      </c>
      <c r="U258" s="29" t="str">
        <f>HYPERLINK("https://ictv.global/taxonomy/taxondetails?taxnode_id=202307999","ictv.global=202307999")</f>
        <v>ictv.global=202307999</v>
      </c>
    </row>
    <row r="259" spans="1:21">
      <c r="A259">
        <v>258</v>
      </c>
      <c r="B259" s="30" t="s">
        <v>1587</v>
      </c>
      <c r="D259" s="30" t="s">
        <v>1588</v>
      </c>
      <c r="F259" s="30" t="s">
        <v>1591</v>
      </c>
      <c r="H259" s="30" t="s">
        <v>1592</v>
      </c>
      <c r="J259" s="30" t="s">
        <v>4201</v>
      </c>
      <c r="L259" s="30" t="s">
        <v>11779</v>
      </c>
      <c r="N259" s="30" t="s">
        <v>11780</v>
      </c>
      <c r="P259" s="30" t="s">
        <v>11781</v>
      </c>
      <c r="Q259" t="s">
        <v>619</v>
      </c>
      <c r="R259" t="s">
        <v>917</v>
      </c>
      <c r="S259">
        <v>39</v>
      </c>
      <c r="T259" s="29" t="str">
        <f>HYPERLINK("https://ictv.global/ictv/proposals/2023.002A.Caudoviricetes_5nf_v2.zip","2023.002A.Caudoviricetes_5nf_v2.zip")</f>
        <v>2023.002A.Caudoviricetes_5nf_v2.zip</v>
      </c>
      <c r="U259" s="29" t="str">
        <f>HYPERLINK("https://ictv.global/taxonomy/taxondetails?taxnode_id=202317737","ictv.global=202317737")</f>
        <v>ictv.global=202317737</v>
      </c>
    </row>
    <row r="260" spans="1:21">
      <c r="A260">
        <v>259</v>
      </c>
      <c r="B260" s="30" t="s">
        <v>1587</v>
      </c>
      <c r="D260" s="30" t="s">
        <v>1588</v>
      </c>
      <c r="F260" s="30" t="s">
        <v>1591</v>
      </c>
      <c r="H260" s="30" t="s">
        <v>1592</v>
      </c>
      <c r="J260" s="30" t="s">
        <v>4205</v>
      </c>
      <c r="L260" s="30" t="s">
        <v>4206</v>
      </c>
      <c r="N260" s="30" t="s">
        <v>4207</v>
      </c>
      <c r="P260" s="30" t="s">
        <v>4208</v>
      </c>
      <c r="Q260" t="s">
        <v>619</v>
      </c>
      <c r="R260" t="s">
        <v>917</v>
      </c>
      <c r="S260">
        <v>38</v>
      </c>
      <c r="T260" s="29" t="str">
        <f>HYPERLINK("https://ictv.global/ictv/proposals/2022.001A.Nakonvirales_Maximonvirales_Coyopavirales_3no.zip","2022.001A.Nakonvirales_Maximonvirales_Coyopavirales_3no.zip")</f>
        <v>2022.001A.Nakonvirales_Maximonvirales_Coyopavirales_3no.zip</v>
      </c>
      <c r="U260" s="29" t="str">
        <f>HYPERLINK("https://ictv.global/taxonomy/taxondetails?taxnode_id=202314292","ictv.global=202314292")</f>
        <v>ictv.global=202314292</v>
      </c>
    </row>
    <row r="261" spans="1:21">
      <c r="A261">
        <v>260</v>
      </c>
      <c r="B261" s="30" t="s">
        <v>1587</v>
      </c>
      <c r="D261" s="30" t="s">
        <v>1588</v>
      </c>
      <c r="F261" s="30" t="s">
        <v>1591</v>
      </c>
      <c r="H261" s="30" t="s">
        <v>1592</v>
      </c>
      <c r="J261" s="30" t="s">
        <v>4205</v>
      </c>
      <c r="L261" s="30" t="s">
        <v>4209</v>
      </c>
      <c r="N261" s="30" t="s">
        <v>4210</v>
      </c>
      <c r="P261" s="30" t="s">
        <v>4211</v>
      </c>
      <c r="Q261" t="s">
        <v>619</v>
      </c>
      <c r="R261" t="s">
        <v>917</v>
      </c>
      <c r="S261">
        <v>38</v>
      </c>
      <c r="T261" s="29" t="str">
        <f>HYPERLINK("https://ictv.global/ictv/proposals/2022.001A.Nakonvirales_Maximonvirales_Coyopavirales_3no.zip","2022.001A.Nakonvirales_Maximonvirales_Coyopavirales_3no.zip")</f>
        <v>2022.001A.Nakonvirales_Maximonvirales_Coyopavirales_3no.zip</v>
      </c>
      <c r="U261" s="29" t="str">
        <f>HYPERLINK("https://ictv.global/taxonomy/taxondetails?taxnode_id=202314293","ictv.global=202314293")</f>
        <v>ictv.global=202314293</v>
      </c>
    </row>
    <row r="262" spans="1:21">
      <c r="A262">
        <v>261</v>
      </c>
      <c r="B262" s="30" t="s">
        <v>1587</v>
      </c>
      <c r="D262" s="30" t="s">
        <v>1588</v>
      </c>
      <c r="F262" s="30" t="s">
        <v>1591</v>
      </c>
      <c r="H262" s="30" t="s">
        <v>1592</v>
      </c>
      <c r="J262" s="30" t="s">
        <v>4205</v>
      </c>
      <c r="L262" s="30" t="s">
        <v>4209</v>
      </c>
      <c r="N262" s="30" t="s">
        <v>4210</v>
      </c>
      <c r="P262" s="30" t="s">
        <v>4212</v>
      </c>
      <c r="Q262" t="s">
        <v>619</v>
      </c>
      <c r="R262" t="s">
        <v>917</v>
      </c>
      <c r="S262">
        <v>38</v>
      </c>
      <c r="T262" s="29" t="str">
        <f>HYPERLINK("https://ictv.global/ictv/proposals/2022.001A.Nakonvirales_Maximonvirales_Coyopavirales_3no.zip","2022.001A.Nakonvirales_Maximonvirales_Coyopavirales_3no.zip")</f>
        <v>2022.001A.Nakonvirales_Maximonvirales_Coyopavirales_3no.zip</v>
      </c>
      <c r="U262" s="29" t="str">
        <f>HYPERLINK("https://ictv.global/taxonomy/taxondetails?taxnode_id=202314294","ictv.global=202314294")</f>
        <v>ictv.global=202314294</v>
      </c>
    </row>
    <row r="263" spans="1:21">
      <c r="A263">
        <v>262</v>
      </c>
      <c r="B263" s="30" t="s">
        <v>1587</v>
      </c>
      <c r="D263" s="30" t="s">
        <v>1588</v>
      </c>
      <c r="F263" s="30" t="s">
        <v>1591</v>
      </c>
      <c r="H263" s="30" t="s">
        <v>1592</v>
      </c>
      <c r="J263" s="30" t="s">
        <v>4213</v>
      </c>
      <c r="L263" s="30" t="s">
        <v>4214</v>
      </c>
      <c r="N263" s="30" t="s">
        <v>4215</v>
      </c>
      <c r="P263" s="30" t="s">
        <v>11782</v>
      </c>
      <c r="Q263" t="s">
        <v>619</v>
      </c>
      <c r="R263" t="s">
        <v>920</v>
      </c>
      <c r="S263">
        <v>39</v>
      </c>
      <c r="T263" s="29" t="str">
        <f t="shared" ref="T263:T276" si="11">HYPERLINK("https://ictv.global/ictv/proposals/2023.001A.Archaeal_binomials.zip","2023.001A.Archaeal_binomials.zip")</f>
        <v>2023.001A.Archaeal_binomials.zip</v>
      </c>
      <c r="U263" s="29" t="str">
        <f>HYPERLINK("https://ictv.global/taxonomy/taxondetails?taxnode_id=202312193","ictv.global=202312193")</f>
        <v>ictv.global=202312193</v>
      </c>
    </row>
    <row r="264" spans="1:21">
      <c r="A264">
        <v>263</v>
      </c>
      <c r="B264" s="30" t="s">
        <v>1587</v>
      </c>
      <c r="D264" s="30" t="s">
        <v>1588</v>
      </c>
      <c r="F264" s="30" t="s">
        <v>1591</v>
      </c>
      <c r="H264" s="30" t="s">
        <v>1592</v>
      </c>
      <c r="J264" s="30" t="s">
        <v>4213</v>
      </c>
      <c r="L264" s="30" t="s">
        <v>4214</v>
      </c>
      <c r="N264" s="30" t="s">
        <v>4216</v>
      </c>
      <c r="P264" s="30" t="s">
        <v>11783</v>
      </c>
      <c r="Q264" t="s">
        <v>619</v>
      </c>
      <c r="R264" t="s">
        <v>920</v>
      </c>
      <c r="S264">
        <v>39</v>
      </c>
      <c r="T264" s="29" t="str">
        <f t="shared" si="11"/>
        <v>2023.001A.Archaeal_binomials.zip</v>
      </c>
      <c r="U264" s="29" t="str">
        <f>HYPERLINK("https://ictv.global/taxonomy/taxondetails?taxnode_id=202312191","ictv.global=202312191")</f>
        <v>ictv.global=202312191</v>
      </c>
    </row>
    <row r="265" spans="1:21">
      <c r="A265">
        <v>264</v>
      </c>
      <c r="B265" s="30" t="s">
        <v>1587</v>
      </c>
      <c r="D265" s="30" t="s">
        <v>1588</v>
      </c>
      <c r="F265" s="30" t="s">
        <v>1591</v>
      </c>
      <c r="H265" s="30" t="s">
        <v>1592</v>
      </c>
      <c r="J265" s="30" t="s">
        <v>4213</v>
      </c>
      <c r="L265" s="30" t="s">
        <v>4217</v>
      </c>
      <c r="N265" s="30" t="s">
        <v>2268</v>
      </c>
      <c r="P265" s="30" t="s">
        <v>11784</v>
      </c>
      <c r="Q265" t="s">
        <v>619</v>
      </c>
      <c r="R265" t="s">
        <v>920</v>
      </c>
      <c r="S265">
        <v>39</v>
      </c>
      <c r="T265" s="29" t="str">
        <f t="shared" si="11"/>
        <v>2023.001A.Archaeal_binomials.zip</v>
      </c>
      <c r="U265" s="29" t="str">
        <f>HYPERLINK("https://ictv.global/taxonomy/taxondetails?taxnode_id=202312180","ictv.global=202312180")</f>
        <v>ictv.global=202312180</v>
      </c>
    </row>
    <row r="266" spans="1:21">
      <c r="A266">
        <v>265</v>
      </c>
      <c r="B266" s="30" t="s">
        <v>1587</v>
      </c>
      <c r="D266" s="30" t="s">
        <v>1588</v>
      </c>
      <c r="F266" s="30" t="s">
        <v>1591</v>
      </c>
      <c r="H266" s="30" t="s">
        <v>1592</v>
      </c>
      <c r="J266" s="30" t="s">
        <v>4213</v>
      </c>
      <c r="L266" s="30" t="s">
        <v>4217</v>
      </c>
      <c r="N266" s="30" t="s">
        <v>2268</v>
      </c>
      <c r="P266" s="30" t="s">
        <v>11785</v>
      </c>
      <c r="Q266" t="s">
        <v>619</v>
      </c>
      <c r="R266" t="s">
        <v>920</v>
      </c>
      <c r="S266">
        <v>39</v>
      </c>
      <c r="T266" s="29" t="str">
        <f t="shared" si="11"/>
        <v>2023.001A.Archaeal_binomials.zip</v>
      </c>
      <c r="U266" s="29" t="str">
        <f>HYPERLINK("https://ictv.global/taxonomy/taxondetails?taxnode_id=202308774","ictv.global=202308774")</f>
        <v>ictv.global=202308774</v>
      </c>
    </row>
    <row r="267" spans="1:21">
      <c r="A267">
        <v>266</v>
      </c>
      <c r="B267" s="30" t="s">
        <v>1587</v>
      </c>
      <c r="D267" s="30" t="s">
        <v>1588</v>
      </c>
      <c r="F267" s="30" t="s">
        <v>1591</v>
      </c>
      <c r="H267" s="30" t="s">
        <v>1592</v>
      </c>
      <c r="J267" s="30" t="s">
        <v>4213</v>
      </c>
      <c r="L267" s="30" t="s">
        <v>4217</v>
      </c>
      <c r="N267" s="30" t="s">
        <v>2268</v>
      </c>
      <c r="P267" s="30" t="s">
        <v>11786</v>
      </c>
      <c r="Q267" t="s">
        <v>619</v>
      </c>
      <c r="R267" t="s">
        <v>920</v>
      </c>
      <c r="S267">
        <v>39</v>
      </c>
      <c r="T267" s="29" t="str">
        <f t="shared" si="11"/>
        <v>2023.001A.Archaeal_binomials.zip</v>
      </c>
      <c r="U267" s="29" t="str">
        <f>HYPERLINK("https://ictv.global/taxonomy/taxondetails?taxnode_id=202308776","ictv.global=202308776")</f>
        <v>ictv.global=202308776</v>
      </c>
    </row>
    <row r="268" spans="1:21">
      <c r="A268">
        <v>267</v>
      </c>
      <c r="B268" s="30" t="s">
        <v>1587</v>
      </c>
      <c r="D268" s="30" t="s">
        <v>1588</v>
      </c>
      <c r="F268" s="30" t="s">
        <v>1591</v>
      </c>
      <c r="H268" s="30" t="s">
        <v>1592</v>
      </c>
      <c r="J268" s="30" t="s">
        <v>4213</v>
      </c>
      <c r="L268" s="30" t="s">
        <v>4217</v>
      </c>
      <c r="N268" s="30" t="s">
        <v>2268</v>
      </c>
      <c r="P268" s="30" t="s">
        <v>11787</v>
      </c>
      <c r="Q268" t="s">
        <v>619</v>
      </c>
      <c r="R268" t="s">
        <v>920</v>
      </c>
      <c r="S268">
        <v>39</v>
      </c>
      <c r="T268" s="29" t="str">
        <f t="shared" si="11"/>
        <v>2023.001A.Archaeal_binomials.zip</v>
      </c>
      <c r="U268" s="29" t="str">
        <f>HYPERLINK("https://ictv.global/taxonomy/taxondetails?taxnode_id=202308777","ictv.global=202308777")</f>
        <v>ictv.global=202308777</v>
      </c>
    </row>
    <row r="269" spans="1:21">
      <c r="A269">
        <v>268</v>
      </c>
      <c r="B269" s="30" t="s">
        <v>1587</v>
      </c>
      <c r="D269" s="30" t="s">
        <v>1588</v>
      </c>
      <c r="F269" s="30" t="s">
        <v>1591</v>
      </c>
      <c r="H269" s="30" t="s">
        <v>1592</v>
      </c>
      <c r="J269" s="30" t="s">
        <v>4213</v>
      </c>
      <c r="L269" s="30" t="s">
        <v>4217</v>
      </c>
      <c r="N269" s="30" t="s">
        <v>2268</v>
      </c>
      <c r="P269" s="30" t="s">
        <v>11788</v>
      </c>
      <c r="Q269" t="s">
        <v>619</v>
      </c>
      <c r="R269" t="s">
        <v>920</v>
      </c>
      <c r="S269">
        <v>39</v>
      </c>
      <c r="T269" s="29" t="str">
        <f t="shared" si="11"/>
        <v>2023.001A.Archaeal_binomials.zip</v>
      </c>
      <c r="U269" s="29" t="str">
        <f>HYPERLINK("https://ictv.global/taxonomy/taxondetails?taxnode_id=202312181","ictv.global=202312181")</f>
        <v>ictv.global=202312181</v>
      </c>
    </row>
    <row r="270" spans="1:21">
      <c r="A270">
        <v>269</v>
      </c>
      <c r="B270" s="30" t="s">
        <v>1587</v>
      </c>
      <c r="D270" s="30" t="s">
        <v>1588</v>
      </c>
      <c r="F270" s="30" t="s">
        <v>1591</v>
      </c>
      <c r="H270" s="30" t="s">
        <v>1592</v>
      </c>
      <c r="J270" s="30" t="s">
        <v>4213</v>
      </c>
      <c r="L270" s="30" t="s">
        <v>4217</v>
      </c>
      <c r="N270" s="30" t="s">
        <v>2268</v>
      </c>
      <c r="P270" s="30" t="s">
        <v>11789</v>
      </c>
      <c r="Q270" t="s">
        <v>619</v>
      </c>
      <c r="R270" t="s">
        <v>920</v>
      </c>
      <c r="S270">
        <v>39</v>
      </c>
      <c r="T270" s="29" t="str">
        <f t="shared" si="11"/>
        <v>2023.001A.Archaeal_binomials.zip</v>
      </c>
      <c r="U270" s="29" t="str">
        <f>HYPERLINK("https://ictv.global/taxonomy/taxondetails?taxnode_id=202312183","ictv.global=202312183")</f>
        <v>ictv.global=202312183</v>
      </c>
    </row>
    <row r="271" spans="1:21">
      <c r="A271">
        <v>270</v>
      </c>
      <c r="B271" s="30" t="s">
        <v>1587</v>
      </c>
      <c r="D271" s="30" t="s">
        <v>1588</v>
      </c>
      <c r="F271" s="30" t="s">
        <v>1591</v>
      </c>
      <c r="H271" s="30" t="s">
        <v>1592</v>
      </c>
      <c r="J271" s="30" t="s">
        <v>4213</v>
      </c>
      <c r="L271" s="30" t="s">
        <v>4217</v>
      </c>
      <c r="N271" s="30" t="s">
        <v>2268</v>
      </c>
      <c r="P271" s="30" t="s">
        <v>11790</v>
      </c>
      <c r="Q271" t="s">
        <v>619</v>
      </c>
      <c r="R271" t="s">
        <v>920</v>
      </c>
      <c r="S271">
        <v>39</v>
      </c>
      <c r="T271" s="29" t="str">
        <f t="shared" si="11"/>
        <v>2023.001A.Archaeal_binomials.zip</v>
      </c>
      <c r="U271" s="29" t="str">
        <f>HYPERLINK("https://ictv.global/taxonomy/taxondetails?taxnode_id=202312182","ictv.global=202312182")</f>
        <v>ictv.global=202312182</v>
      </c>
    </row>
    <row r="272" spans="1:21">
      <c r="A272">
        <v>271</v>
      </c>
      <c r="B272" s="30" t="s">
        <v>1587</v>
      </c>
      <c r="D272" s="30" t="s">
        <v>1588</v>
      </c>
      <c r="F272" s="30" t="s">
        <v>1591</v>
      </c>
      <c r="H272" s="30" t="s">
        <v>1592</v>
      </c>
      <c r="J272" s="30" t="s">
        <v>4213</v>
      </c>
      <c r="L272" s="30" t="s">
        <v>4217</v>
      </c>
      <c r="N272" s="30" t="s">
        <v>4218</v>
      </c>
      <c r="P272" s="30" t="s">
        <v>11791</v>
      </c>
      <c r="Q272" t="s">
        <v>619</v>
      </c>
      <c r="R272" t="s">
        <v>920</v>
      </c>
      <c r="S272">
        <v>39</v>
      </c>
      <c r="T272" s="29" t="str">
        <f t="shared" si="11"/>
        <v>2023.001A.Archaeal_binomials.zip</v>
      </c>
      <c r="U272" s="29" t="str">
        <f>HYPERLINK("https://ictv.global/taxonomy/taxondetails?taxnode_id=202312187","ictv.global=202312187")</f>
        <v>ictv.global=202312187</v>
      </c>
    </row>
    <row r="273" spans="1:21">
      <c r="A273">
        <v>272</v>
      </c>
      <c r="B273" s="30" t="s">
        <v>1587</v>
      </c>
      <c r="D273" s="30" t="s">
        <v>1588</v>
      </c>
      <c r="F273" s="30" t="s">
        <v>1591</v>
      </c>
      <c r="H273" s="30" t="s">
        <v>1592</v>
      </c>
      <c r="J273" s="30" t="s">
        <v>4213</v>
      </c>
      <c r="L273" s="30" t="s">
        <v>4217</v>
      </c>
      <c r="N273" s="30" t="s">
        <v>4219</v>
      </c>
      <c r="P273" s="30" t="s">
        <v>11792</v>
      </c>
      <c r="Q273" t="s">
        <v>619</v>
      </c>
      <c r="R273" t="s">
        <v>920</v>
      </c>
      <c r="S273">
        <v>39</v>
      </c>
      <c r="T273" s="29" t="str">
        <f t="shared" si="11"/>
        <v>2023.001A.Archaeal_binomials.zip</v>
      </c>
      <c r="U273" s="29" t="str">
        <f>HYPERLINK("https://ictv.global/taxonomy/taxondetails?taxnode_id=202312185","ictv.global=202312185")</f>
        <v>ictv.global=202312185</v>
      </c>
    </row>
    <row r="274" spans="1:21">
      <c r="A274">
        <v>273</v>
      </c>
      <c r="B274" s="30" t="s">
        <v>1587</v>
      </c>
      <c r="D274" s="30" t="s">
        <v>1588</v>
      </c>
      <c r="F274" s="30" t="s">
        <v>1591</v>
      </c>
      <c r="H274" s="30" t="s">
        <v>1592</v>
      </c>
      <c r="J274" s="30" t="s">
        <v>4213</v>
      </c>
      <c r="L274" s="30" t="s">
        <v>4217</v>
      </c>
      <c r="N274" s="30" t="s">
        <v>4220</v>
      </c>
      <c r="P274" s="30" t="s">
        <v>11793</v>
      </c>
      <c r="Q274" t="s">
        <v>619</v>
      </c>
      <c r="R274" t="s">
        <v>920</v>
      </c>
      <c r="S274">
        <v>39</v>
      </c>
      <c r="T274" s="29" t="str">
        <f t="shared" si="11"/>
        <v>2023.001A.Archaeal_binomials.zip</v>
      </c>
      <c r="U274" s="29" t="str">
        <f>HYPERLINK("https://ictv.global/taxonomy/taxondetails?taxnode_id=202312189","ictv.global=202312189")</f>
        <v>ictv.global=202312189</v>
      </c>
    </row>
    <row r="275" spans="1:21">
      <c r="A275">
        <v>274</v>
      </c>
      <c r="B275" s="30" t="s">
        <v>1587</v>
      </c>
      <c r="D275" s="30" t="s">
        <v>1588</v>
      </c>
      <c r="F275" s="30" t="s">
        <v>1591</v>
      </c>
      <c r="H275" s="30" t="s">
        <v>1592</v>
      </c>
      <c r="J275" s="30" t="s">
        <v>4213</v>
      </c>
      <c r="L275" s="30" t="s">
        <v>4221</v>
      </c>
      <c r="N275" s="30" t="s">
        <v>4222</v>
      </c>
      <c r="P275" s="30" t="s">
        <v>11794</v>
      </c>
      <c r="Q275" t="s">
        <v>619</v>
      </c>
      <c r="R275" t="s">
        <v>920</v>
      </c>
      <c r="S275">
        <v>39</v>
      </c>
      <c r="T275" s="29" t="str">
        <f t="shared" si="11"/>
        <v>2023.001A.Archaeal_binomials.zip</v>
      </c>
      <c r="U275" s="29" t="str">
        <f>HYPERLINK("https://ictv.global/taxonomy/taxondetails?taxnode_id=202312197","ictv.global=202312197")</f>
        <v>ictv.global=202312197</v>
      </c>
    </row>
    <row r="276" spans="1:21">
      <c r="A276">
        <v>275</v>
      </c>
      <c r="B276" s="30" t="s">
        <v>1587</v>
      </c>
      <c r="D276" s="30" t="s">
        <v>1588</v>
      </c>
      <c r="F276" s="30" t="s">
        <v>1591</v>
      </c>
      <c r="H276" s="30" t="s">
        <v>1592</v>
      </c>
      <c r="J276" s="30" t="s">
        <v>4213</v>
      </c>
      <c r="L276" s="30" t="s">
        <v>4223</v>
      </c>
      <c r="N276" s="30" t="s">
        <v>4224</v>
      </c>
      <c r="P276" s="30" t="s">
        <v>11795</v>
      </c>
      <c r="Q276" t="s">
        <v>619</v>
      </c>
      <c r="R276" t="s">
        <v>920</v>
      </c>
      <c r="S276">
        <v>39</v>
      </c>
      <c r="T276" s="29" t="str">
        <f t="shared" si="11"/>
        <v>2023.001A.Archaeal_binomials.zip</v>
      </c>
      <c r="U276" s="29" t="str">
        <f>HYPERLINK("https://ictv.global/taxonomy/taxondetails?taxnode_id=202312195","ictv.global=202312195")</f>
        <v>ictv.global=202312195</v>
      </c>
    </row>
    <row r="277" spans="1:21">
      <c r="A277">
        <v>276</v>
      </c>
      <c r="B277" s="30" t="s">
        <v>1587</v>
      </c>
      <c r="D277" s="30" t="s">
        <v>1588</v>
      </c>
      <c r="F277" s="30" t="s">
        <v>1591</v>
      </c>
      <c r="H277" s="30" t="s">
        <v>1592</v>
      </c>
      <c r="L277" s="30" t="s">
        <v>921</v>
      </c>
      <c r="M277" s="30" t="s">
        <v>922</v>
      </c>
      <c r="N277" s="30" t="s">
        <v>1314</v>
      </c>
      <c r="P277" s="30" t="s">
        <v>4225</v>
      </c>
      <c r="Q277" t="s">
        <v>619</v>
      </c>
      <c r="R277" t="s">
        <v>918</v>
      </c>
      <c r="S277">
        <v>37</v>
      </c>
      <c r="T277" s="29" t="str">
        <f t="shared" ref="T277:T308" si="12">HYPERLINK("https://ictv.global/ictv/proposals/2021.010B.R.Binomial_names.zip","2021.010B.R.Binomial_names.zip")</f>
        <v>2021.010B.R.Binomial_names.zip</v>
      </c>
      <c r="U277" s="29" t="str">
        <f>HYPERLINK("https://ictv.global/taxonomy/taxondetails?taxnode_id=202300534","ictv.global=202300534")</f>
        <v>ictv.global=202300534</v>
      </c>
    </row>
    <row r="278" spans="1:21">
      <c r="A278">
        <v>277</v>
      </c>
      <c r="B278" s="30" t="s">
        <v>1587</v>
      </c>
      <c r="D278" s="30" t="s">
        <v>1588</v>
      </c>
      <c r="F278" s="30" t="s">
        <v>1591</v>
      </c>
      <c r="H278" s="30" t="s">
        <v>1592</v>
      </c>
      <c r="L278" s="30" t="s">
        <v>921</v>
      </c>
      <c r="M278" s="30" t="s">
        <v>922</v>
      </c>
      <c r="N278" s="30" t="s">
        <v>1314</v>
      </c>
      <c r="P278" s="30" t="s">
        <v>4226</v>
      </c>
      <c r="Q278" t="s">
        <v>619</v>
      </c>
      <c r="R278" t="s">
        <v>918</v>
      </c>
      <c r="S278">
        <v>37</v>
      </c>
      <c r="T278" s="29" t="str">
        <f t="shared" si="12"/>
        <v>2021.010B.R.Binomial_names.zip</v>
      </c>
      <c r="U278" s="29" t="str">
        <f>HYPERLINK("https://ictv.global/taxonomy/taxondetails?taxnode_id=202308872","ictv.global=202308872")</f>
        <v>ictv.global=202308872</v>
      </c>
    </row>
    <row r="279" spans="1:21">
      <c r="A279">
        <v>278</v>
      </c>
      <c r="B279" s="30" t="s">
        <v>1587</v>
      </c>
      <c r="D279" s="30" t="s">
        <v>1588</v>
      </c>
      <c r="F279" s="30" t="s">
        <v>1591</v>
      </c>
      <c r="H279" s="30" t="s">
        <v>1592</v>
      </c>
      <c r="L279" s="30" t="s">
        <v>921</v>
      </c>
      <c r="M279" s="30" t="s">
        <v>922</v>
      </c>
      <c r="N279" s="30" t="s">
        <v>1314</v>
      </c>
      <c r="P279" s="30" t="s">
        <v>4227</v>
      </c>
      <c r="Q279" t="s">
        <v>619</v>
      </c>
      <c r="R279" t="s">
        <v>918</v>
      </c>
      <c r="S279">
        <v>37</v>
      </c>
      <c r="T279" s="29" t="str">
        <f t="shared" si="12"/>
        <v>2021.010B.R.Binomial_names.zip</v>
      </c>
      <c r="U279" s="29" t="str">
        <f>HYPERLINK("https://ictv.global/taxonomy/taxondetails?taxnode_id=202308873","ictv.global=202308873")</f>
        <v>ictv.global=202308873</v>
      </c>
    </row>
    <row r="280" spans="1:21">
      <c r="A280">
        <v>279</v>
      </c>
      <c r="B280" s="30" t="s">
        <v>1587</v>
      </c>
      <c r="D280" s="30" t="s">
        <v>1588</v>
      </c>
      <c r="F280" s="30" t="s">
        <v>1591</v>
      </c>
      <c r="H280" s="30" t="s">
        <v>1592</v>
      </c>
      <c r="L280" s="30" t="s">
        <v>921</v>
      </c>
      <c r="M280" s="30" t="s">
        <v>922</v>
      </c>
      <c r="N280" s="30" t="s">
        <v>1314</v>
      </c>
      <c r="P280" s="30" t="s">
        <v>4228</v>
      </c>
      <c r="Q280" t="s">
        <v>619</v>
      </c>
      <c r="R280" t="s">
        <v>918</v>
      </c>
      <c r="S280">
        <v>37</v>
      </c>
      <c r="T280" s="29" t="str">
        <f t="shared" si="12"/>
        <v>2021.010B.R.Binomial_names.zip</v>
      </c>
      <c r="U280" s="29" t="str">
        <f>HYPERLINK("https://ictv.global/taxonomy/taxondetails?taxnode_id=202308874","ictv.global=202308874")</f>
        <v>ictv.global=202308874</v>
      </c>
    </row>
    <row r="281" spans="1:21">
      <c r="A281">
        <v>280</v>
      </c>
      <c r="B281" s="30" t="s">
        <v>1587</v>
      </c>
      <c r="D281" s="30" t="s">
        <v>1588</v>
      </c>
      <c r="F281" s="30" t="s">
        <v>1591</v>
      </c>
      <c r="H281" s="30" t="s">
        <v>1592</v>
      </c>
      <c r="L281" s="30" t="s">
        <v>921</v>
      </c>
      <c r="M281" s="30" t="s">
        <v>922</v>
      </c>
      <c r="N281" s="30" t="s">
        <v>1314</v>
      </c>
      <c r="P281" s="30" t="s">
        <v>4229</v>
      </c>
      <c r="Q281" t="s">
        <v>619</v>
      </c>
      <c r="R281" t="s">
        <v>918</v>
      </c>
      <c r="S281">
        <v>37</v>
      </c>
      <c r="T281" s="29" t="str">
        <f t="shared" si="12"/>
        <v>2021.010B.R.Binomial_names.zip</v>
      </c>
      <c r="U281" s="29" t="str">
        <f>HYPERLINK("https://ictv.global/taxonomy/taxondetails?taxnode_id=202305465","ictv.global=202305465")</f>
        <v>ictv.global=202305465</v>
      </c>
    </row>
    <row r="282" spans="1:21">
      <c r="A282">
        <v>281</v>
      </c>
      <c r="B282" s="30" t="s">
        <v>1587</v>
      </c>
      <c r="D282" s="30" t="s">
        <v>1588</v>
      </c>
      <c r="F282" s="30" t="s">
        <v>1591</v>
      </c>
      <c r="H282" s="30" t="s">
        <v>1592</v>
      </c>
      <c r="L282" s="30" t="s">
        <v>921</v>
      </c>
      <c r="M282" s="30" t="s">
        <v>922</v>
      </c>
      <c r="N282" s="30" t="s">
        <v>923</v>
      </c>
      <c r="P282" s="30" t="s">
        <v>4230</v>
      </c>
      <c r="Q282" t="s">
        <v>619</v>
      </c>
      <c r="R282" t="s">
        <v>918</v>
      </c>
      <c r="S282">
        <v>37</v>
      </c>
      <c r="T282" s="29" t="str">
        <f t="shared" si="12"/>
        <v>2021.010B.R.Binomial_names.zip</v>
      </c>
      <c r="U282" s="29" t="str">
        <f>HYPERLINK("https://ictv.global/taxonomy/taxondetails?taxnode_id=202300521","ictv.global=202300521")</f>
        <v>ictv.global=202300521</v>
      </c>
    </row>
    <row r="283" spans="1:21">
      <c r="A283">
        <v>282</v>
      </c>
      <c r="B283" s="30" t="s">
        <v>1587</v>
      </c>
      <c r="D283" s="30" t="s">
        <v>1588</v>
      </c>
      <c r="F283" s="30" t="s">
        <v>1591</v>
      </c>
      <c r="H283" s="30" t="s">
        <v>1592</v>
      </c>
      <c r="L283" s="30" t="s">
        <v>921</v>
      </c>
      <c r="M283" s="30" t="s">
        <v>922</v>
      </c>
      <c r="N283" s="30" t="s">
        <v>923</v>
      </c>
      <c r="P283" s="30" t="s">
        <v>4231</v>
      </c>
      <c r="Q283" t="s">
        <v>619</v>
      </c>
      <c r="R283" t="s">
        <v>918</v>
      </c>
      <c r="S283">
        <v>37</v>
      </c>
      <c r="T283" s="29" t="str">
        <f t="shared" si="12"/>
        <v>2021.010B.R.Binomial_names.zip</v>
      </c>
      <c r="U283" s="29" t="str">
        <f>HYPERLINK("https://ictv.global/taxonomy/taxondetails?taxnode_id=202305467","ictv.global=202305467")</f>
        <v>ictv.global=202305467</v>
      </c>
    </row>
    <row r="284" spans="1:21">
      <c r="A284">
        <v>283</v>
      </c>
      <c r="B284" s="30" t="s">
        <v>1587</v>
      </c>
      <c r="D284" s="30" t="s">
        <v>1588</v>
      </c>
      <c r="F284" s="30" t="s">
        <v>1591</v>
      </c>
      <c r="H284" s="30" t="s">
        <v>1592</v>
      </c>
      <c r="L284" s="30" t="s">
        <v>921</v>
      </c>
      <c r="M284" s="30" t="s">
        <v>924</v>
      </c>
      <c r="N284" s="30" t="s">
        <v>1315</v>
      </c>
      <c r="P284" s="30" t="s">
        <v>4232</v>
      </c>
      <c r="Q284" t="s">
        <v>619</v>
      </c>
      <c r="R284" t="s">
        <v>918</v>
      </c>
      <c r="S284">
        <v>37</v>
      </c>
      <c r="T284" s="29" t="str">
        <f t="shared" si="12"/>
        <v>2021.010B.R.Binomial_names.zip</v>
      </c>
      <c r="U284" s="29" t="str">
        <f>HYPERLINK("https://ictv.global/taxonomy/taxondetails?taxnode_id=202308857","ictv.global=202308857")</f>
        <v>ictv.global=202308857</v>
      </c>
    </row>
    <row r="285" spans="1:21">
      <c r="A285">
        <v>284</v>
      </c>
      <c r="B285" s="30" t="s">
        <v>1587</v>
      </c>
      <c r="D285" s="30" t="s">
        <v>1588</v>
      </c>
      <c r="F285" s="30" t="s">
        <v>1591</v>
      </c>
      <c r="H285" s="30" t="s">
        <v>1592</v>
      </c>
      <c r="L285" s="30" t="s">
        <v>921</v>
      </c>
      <c r="M285" s="30" t="s">
        <v>924</v>
      </c>
      <c r="N285" s="30" t="s">
        <v>1315</v>
      </c>
      <c r="P285" s="30" t="s">
        <v>4233</v>
      </c>
      <c r="Q285" t="s">
        <v>619</v>
      </c>
      <c r="R285" t="s">
        <v>918</v>
      </c>
      <c r="S285">
        <v>37</v>
      </c>
      <c r="T285" s="29" t="str">
        <f t="shared" si="12"/>
        <v>2021.010B.R.Binomial_names.zip</v>
      </c>
      <c r="U285" s="29" t="str">
        <f>HYPERLINK("https://ictv.global/taxonomy/taxondetails?taxnode_id=202308845","ictv.global=202308845")</f>
        <v>ictv.global=202308845</v>
      </c>
    </row>
    <row r="286" spans="1:21">
      <c r="A286">
        <v>285</v>
      </c>
      <c r="B286" s="30" t="s">
        <v>1587</v>
      </c>
      <c r="D286" s="30" t="s">
        <v>1588</v>
      </c>
      <c r="F286" s="30" t="s">
        <v>1591</v>
      </c>
      <c r="H286" s="30" t="s">
        <v>1592</v>
      </c>
      <c r="L286" s="30" t="s">
        <v>921</v>
      </c>
      <c r="M286" s="30" t="s">
        <v>924</v>
      </c>
      <c r="N286" s="30" t="s">
        <v>1315</v>
      </c>
      <c r="P286" s="30" t="s">
        <v>4234</v>
      </c>
      <c r="Q286" t="s">
        <v>619</v>
      </c>
      <c r="R286" t="s">
        <v>918</v>
      </c>
      <c r="S286">
        <v>37</v>
      </c>
      <c r="T286" s="29" t="str">
        <f t="shared" si="12"/>
        <v>2021.010B.R.Binomial_names.zip</v>
      </c>
      <c r="U286" s="29" t="str">
        <f>HYPERLINK("https://ictv.global/taxonomy/taxondetails?taxnode_id=202308867","ictv.global=202308867")</f>
        <v>ictv.global=202308867</v>
      </c>
    </row>
    <row r="287" spans="1:21">
      <c r="A287">
        <v>286</v>
      </c>
      <c r="B287" s="30" t="s">
        <v>1587</v>
      </c>
      <c r="D287" s="30" t="s">
        <v>1588</v>
      </c>
      <c r="F287" s="30" t="s">
        <v>1591</v>
      </c>
      <c r="H287" s="30" t="s">
        <v>1592</v>
      </c>
      <c r="L287" s="30" t="s">
        <v>921</v>
      </c>
      <c r="M287" s="30" t="s">
        <v>924</v>
      </c>
      <c r="N287" s="30" t="s">
        <v>1315</v>
      </c>
      <c r="P287" s="30" t="s">
        <v>4235</v>
      </c>
      <c r="Q287" t="s">
        <v>619</v>
      </c>
      <c r="R287" t="s">
        <v>918</v>
      </c>
      <c r="S287">
        <v>37</v>
      </c>
      <c r="T287" s="29" t="str">
        <f t="shared" si="12"/>
        <v>2021.010B.R.Binomial_names.zip</v>
      </c>
      <c r="U287" s="29" t="str">
        <f>HYPERLINK("https://ictv.global/taxonomy/taxondetails?taxnode_id=202308869","ictv.global=202308869")</f>
        <v>ictv.global=202308869</v>
      </c>
    </row>
    <row r="288" spans="1:21">
      <c r="A288">
        <v>287</v>
      </c>
      <c r="B288" s="30" t="s">
        <v>1587</v>
      </c>
      <c r="D288" s="30" t="s">
        <v>1588</v>
      </c>
      <c r="F288" s="30" t="s">
        <v>1591</v>
      </c>
      <c r="H288" s="30" t="s">
        <v>1592</v>
      </c>
      <c r="L288" s="30" t="s">
        <v>921</v>
      </c>
      <c r="M288" s="30" t="s">
        <v>924</v>
      </c>
      <c r="N288" s="30" t="s">
        <v>1315</v>
      </c>
      <c r="P288" s="30" t="s">
        <v>4236</v>
      </c>
      <c r="Q288" t="s">
        <v>619</v>
      </c>
      <c r="R288" t="s">
        <v>918</v>
      </c>
      <c r="S288">
        <v>37</v>
      </c>
      <c r="T288" s="29" t="str">
        <f t="shared" si="12"/>
        <v>2021.010B.R.Binomial_names.zip</v>
      </c>
      <c r="U288" s="29" t="str">
        <f>HYPERLINK("https://ictv.global/taxonomy/taxondetails?taxnode_id=202308860","ictv.global=202308860")</f>
        <v>ictv.global=202308860</v>
      </c>
    </row>
    <row r="289" spans="1:21">
      <c r="A289">
        <v>288</v>
      </c>
      <c r="B289" s="30" t="s">
        <v>1587</v>
      </c>
      <c r="D289" s="30" t="s">
        <v>1588</v>
      </c>
      <c r="F289" s="30" t="s">
        <v>1591</v>
      </c>
      <c r="H289" s="30" t="s">
        <v>1592</v>
      </c>
      <c r="L289" s="30" t="s">
        <v>921</v>
      </c>
      <c r="M289" s="30" t="s">
        <v>924</v>
      </c>
      <c r="N289" s="30" t="s">
        <v>1315</v>
      </c>
      <c r="P289" s="30" t="s">
        <v>4237</v>
      </c>
      <c r="Q289" t="s">
        <v>619</v>
      </c>
      <c r="R289" t="s">
        <v>918</v>
      </c>
      <c r="S289">
        <v>37</v>
      </c>
      <c r="T289" s="29" t="str">
        <f t="shared" si="12"/>
        <v>2021.010B.R.Binomial_names.zip</v>
      </c>
      <c r="U289" s="29" t="str">
        <f>HYPERLINK("https://ictv.global/taxonomy/taxondetails?taxnode_id=202300522","ictv.global=202300522")</f>
        <v>ictv.global=202300522</v>
      </c>
    </row>
    <row r="290" spans="1:21">
      <c r="A290">
        <v>289</v>
      </c>
      <c r="B290" s="30" t="s">
        <v>1587</v>
      </c>
      <c r="D290" s="30" t="s">
        <v>1588</v>
      </c>
      <c r="F290" s="30" t="s">
        <v>1591</v>
      </c>
      <c r="H290" s="30" t="s">
        <v>1592</v>
      </c>
      <c r="L290" s="30" t="s">
        <v>921</v>
      </c>
      <c r="M290" s="30" t="s">
        <v>924</v>
      </c>
      <c r="N290" s="30" t="s">
        <v>1315</v>
      </c>
      <c r="P290" s="30" t="s">
        <v>4238</v>
      </c>
      <c r="Q290" t="s">
        <v>619</v>
      </c>
      <c r="R290" t="s">
        <v>918</v>
      </c>
      <c r="S290">
        <v>37</v>
      </c>
      <c r="T290" s="29" t="str">
        <f t="shared" si="12"/>
        <v>2021.010B.R.Binomial_names.zip</v>
      </c>
      <c r="U290" s="29" t="str">
        <f>HYPERLINK("https://ictv.global/taxonomy/taxondetails?taxnode_id=202300525","ictv.global=202300525")</f>
        <v>ictv.global=202300525</v>
      </c>
    </row>
    <row r="291" spans="1:21">
      <c r="A291">
        <v>290</v>
      </c>
      <c r="B291" s="30" t="s">
        <v>1587</v>
      </c>
      <c r="D291" s="30" t="s">
        <v>1588</v>
      </c>
      <c r="F291" s="30" t="s">
        <v>1591</v>
      </c>
      <c r="H291" s="30" t="s">
        <v>1592</v>
      </c>
      <c r="L291" s="30" t="s">
        <v>921</v>
      </c>
      <c r="M291" s="30" t="s">
        <v>924</v>
      </c>
      <c r="N291" s="30" t="s">
        <v>1315</v>
      </c>
      <c r="P291" s="30" t="s">
        <v>4239</v>
      </c>
      <c r="Q291" t="s">
        <v>619</v>
      </c>
      <c r="R291" t="s">
        <v>918</v>
      </c>
      <c r="S291">
        <v>37</v>
      </c>
      <c r="T291" s="29" t="str">
        <f t="shared" si="12"/>
        <v>2021.010B.R.Binomial_names.zip</v>
      </c>
      <c r="U291" s="29" t="str">
        <f>HYPERLINK("https://ictv.global/taxonomy/taxondetails?taxnode_id=202308854","ictv.global=202308854")</f>
        <v>ictv.global=202308854</v>
      </c>
    </row>
    <row r="292" spans="1:21">
      <c r="A292">
        <v>291</v>
      </c>
      <c r="B292" s="30" t="s">
        <v>1587</v>
      </c>
      <c r="D292" s="30" t="s">
        <v>1588</v>
      </c>
      <c r="F292" s="30" t="s">
        <v>1591</v>
      </c>
      <c r="H292" s="30" t="s">
        <v>1592</v>
      </c>
      <c r="L292" s="30" t="s">
        <v>921</v>
      </c>
      <c r="M292" s="30" t="s">
        <v>924</v>
      </c>
      <c r="N292" s="30" t="s">
        <v>1315</v>
      </c>
      <c r="P292" s="30" t="s">
        <v>4240</v>
      </c>
      <c r="Q292" t="s">
        <v>619</v>
      </c>
      <c r="R292" t="s">
        <v>918</v>
      </c>
      <c r="S292">
        <v>37</v>
      </c>
      <c r="T292" s="29" t="str">
        <f t="shared" si="12"/>
        <v>2021.010B.R.Binomial_names.zip</v>
      </c>
      <c r="U292" s="29" t="str">
        <f>HYPERLINK("https://ictv.global/taxonomy/taxondetails?taxnode_id=202300523","ictv.global=202300523")</f>
        <v>ictv.global=202300523</v>
      </c>
    </row>
    <row r="293" spans="1:21">
      <c r="A293">
        <v>292</v>
      </c>
      <c r="B293" s="30" t="s">
        <v>1587</v>
      </c>
      <c r="D293" s="30" t="s">
        <v>1588</v>
      </c>
      <c r="F293" s="30" t="s">
        <v>1591</v>
      </c>
      <c r="H293" s="30" t="s">
        <v>1592</v>
      </c>
      <c r="L293" s="30" t="s">
        <v>921</v>
      </c>
      <c r="M293" s="30" t="s">
        <v>924</v>
      </c>
      <c r="N293" s="30" t="s">
        <v>1315</v>
      </c>
      <c r="P293" s="30" t="s">
        <v>4241</v>
      </c>
      <c r="Q293" t="s">
        <v>619</v>
      </c>
      <c r="R293" t="s">
        <v>918</v>
      </c>
      <c r="S293">
        <v>37</v>
      </c>
      <c r="T293" s="29" t="str">
        <f t="shared" si="12"/>
        <v>2021.010B.R.Binomial_names.zip</v>
      </c>
      <c r="U293" s="29" t="str">
        <f>HYPERLINK("https://ictv.global/taxonomy/taxondetails?taxnode_id=202308868","ictv.global=202308868")</f>
        <v>ictv.global=202308868</v>
      </c>
    </row>
    <row r="294" spans="1:21">
      <c r="A294">
        <v>293</v>
      </c>
      <c r="B294" s="30" t="s">
        <v>1587</v>
      </c>
      <c r="D294" s="30" t="s">
        <v>1588</v>
      </c>
      <c r="F294" s="30" t="s">
        <v>1591</v>
      </c>
      <c r="H294" s="30" t="s">
        <v>1592</v>
      </c>
      <c r="L294" s="30" t="s">
        <v>921</v>
      </c>
      <c r="M294" s="30" t="s">
        <v>924</v>
      </c>
      <c r="N294" s="30" t="s">
        <v>1315</v>
      </c>
      <c r="P294" s="30" t="s">
        <v>4242</v>
      </c>
      <c r="Q294" t="s">
        <v>619</v>
      </c>
      <c r="R294" t="s">
        <v>918</v>
      </c>
      <c r="S294">
        <v>37</v>
      </c>
      <c r="T294" s="29" t="str">
        <f t="shared" si="12"/>
        <v>2021.010B.R.Binomial_names.zip</v>
      </c>
      <c r="U294" s="29" t="str">
        <f>HYPERLINK("https://ictv.global/taxonomy/taxondetails?taxnode_id=202308862","ictv.global=202308862")</f>
        <v>ictv.global=202308862</v>
      </c>
    </row>
    <row r="295" spans="1:21">
      <c r="A295">
        <v>294</v>
      </c>
      <c r="B295" s="30" t="s">
        <v>1587</v>
      </c>
      <c r="D295" s="30" t="s">
        <v>1588</v>
      </c>
      <c r="F295" s="30" t="s">
        <v>1591</v>
      </c>
      <c r="H295" s="30" t="s">
        <v>1592</v>
      </c>
      <c r="L295" s="30" t="s">
        <v>921</v>
      </c>
      <c r="M295" s="30" t="s">
        <v>924</v>
      </c>
      <c r="N295" s="30" t="s">
        <v>1315</v>
      </c>
      <c r="P295" s="30" t="s">
        <v>4243</v>
      </c>
      <c r="Q295" t="s">
        <v>619</v>
      </c>
      <c r="R295" t="s">
        <v>918</v>
      </c>
      <c r="S295">
        <v>37</v>
      </c>
      <c r="T295" s="29" t="str">
        <f t="shared" si="12"/>
        <v>2021.010B.R.Binomial_names.zip</v>
      </c>
      <c r="U295" s="29" t="str">
        <f>HYPERLINK("https://ictv.global/taxonomy/taxondetails?taxnode_id=202305471","ictv.global=202305471")</f>
        <v>ictv.global=202305471</v>
      </c>
    </row>
    <row r="296" spans="1:21">
      <c r="A296">
        <v>295</v>
      </c>
      <c r="B296" s="30" t="s">
        <v>1587</v>
      </c>
      <c r="D296" s="30" t="s">
        <v>1588</v>
      </c>
      <c r="F296" s="30" t="s">
        <v>1591</v>
      </c>
      <c r="H296" s="30" t="s">
        <v>1592</v>
      </c>
      <c r="L296" s="30" t="s">
        <v>921</v>
      </c>
      <c r="M296" s="30" t="s">
        <v>924</v>
      </c>
      <c r="N296" s="30" t="s">
        <v>1315</v>
      </c>
      <c r="P296" s="30" t="s">
        <v>4244</v>
      </c>
      <c r="Q296" t="s">
        <v>619</v>
      </c>
      <c r="R296" t="s">
        <v>918</v>
      </c>
      <c r="S296">
        <v>37</v>
      </c>
      <c r="T296" s="29" t="str">
        <f t="shared" si="12"/>
        <v>2021.010B.R.Binomial_names.zip</v>
      </c>
      <c r="U296" s="29" t="str">
        <f>HYPERLINK("https://ictv.global/taxonomy/taxondetails?taxnode_id=202308849","ictv.global=202308849")</f>
        <v>ictv.global=202308849</v>
      </c>
    </row>
    <row r="297" spans="1:21">
      <c r="A297">
        <v>296</v>
      </c>
      <c r="B297" s="30" t="s">
        <v>1587</v>
      </c>
      <c r="D297" s="30" t="s">
        <v>1588</v>
      </c>
      <c r="F297" s="30" t="s">
        <v>1591</v>
      </c>
      <c r="H297" s="30" t="s">
        <v>1592</v>
      </c>
      <c r="L297" s="30" t="s">
        <v>921</v>
      </c>
      <c r="M297" s="30" t="s">
        <v>924</v>
      </c>
      <c r="N297" s="30" t="s">
        <v>1315</v>
      </c>
      <c r="P297" s="30" t="s">
        <v>4245</v>
      </c>
      <c r="Q297" t="s">
        <v>619</v>
      </c>
      <c r="R297" t="s">
        <v>918</v>
      </c>
      <c r="S297">
        <v>37</v>
      </c>
      <c r="T297" s="29" t="str">
        <f t="shared" si="12"/>
        <v>2021.010B.R.Binomial_names.zip</v>
      </c>
      <c r="U297" s="29" t="str">
        <f>HYPERLINK("https://ictv.global/taxonomy/taxondetails?taxnode_id=202305470","ictv.global=202305470")</f>
        <v>ictv.global=202305470</v>
      </c>
    </row>
    <row r="298" spans="1:21">
      <c r="A298">
        <v>297</v>
      </c>
      <c r="B298" s="30" t="s">
        <v>1587</v>
      </c>
      <c r="D298" s="30" t="s">
        <v>1588</v>
      </c>
      <c r="F298" s="30" t="s">
        <v>1591</v>
      </c>
      <c r="H298" s="30" t="s">
        <v>1592</v>
      </c>
      <c r="L298" s="30" t="s">
        <v>921</v>
      </c>
      <c r="M298" s="30" t="s">
        <v>924</v>
      </c>
      <c r="N298" s="30" t="s">
        <v>1315</v>
      </c>
      <c r="P298" s="30" t="s">
        <v>4246</v>
      </c>
      <c r="Q298" t="s">
        <v>619</v>
      </c>
      <c r="R298" t="s">
        <v>918</v>
      </c>
      <c r="S298">
        <v>37</v>
      </c>
      <c r="T298" s="29" t="str">
        <f t="shared" si="12"/>
        <v>2021.010B.R.Binomial_names.zip</v>
      </c>
      <c r="U298" s="29" t="str">
        <f>HYPERLINK("https://ictv.global/taxonomy/taxondetails?taxnode_id=202308847","ictv.global=202308847")</f>
        <v>ictv.global=202308847</v>
      </c>
    </row>
    <row r="299" spans="1:21">
      <c r="A299">
        <v>298</v>
      </c>
      <c r="B299" s="30" t="s">
        <v>1587</v>
      </c>
      <c r="D299" s="30" t="s">
        <v>1588</v>
      </c>
      <c r="F299" s="30" t="s">
        <v>1591</v>
      </c>
      <c r="H299" s="30" t="s">
        <v>1592</v>
      </c>
      <c r="L299" s="30" t="s">
        <v>921</v>
      </c>
      <c r="M299" s="30" t="s">
        <v>924</v>
      </c>
      <c r="N299" s="30" t="s">
        <v>1315</v>
      </c>
      <c r="P299" s="30" t="s">
        <v>4247</v>
      </c>
      <c r="Q299" t="s">
        <v>619</v>
      </c>
      <c r="R299" t="s">
        <v>918</v>
      </c>
      <c r="S299">
        <v>37</v>
      </c>
      <c r="T299" s="29" t="str">
        <f t="shared" si="12"/>
        <v>2021.010B.R.Binomial_names.zip</v>
      </c>
      <c r="U299" s="29" t="str">
        <f>HYPERLINK("https://ictv.global/taxonomy/taxondetails?taxnode_id=202300526","ictv.global=202300526")</f>
        <v>ictv.global=202300526</v>
      </c>
    </row>
    <row r="300" spans="1:21">
      <c r="A300">
        <v>299</v>
      </c>
      <c r="B300" s="30" t="s">
        <v>1587</v>
      </c>
      <c r="D300" s="30" t="s">
        <v>1588</v>
      </c>
      <c r="F300" s="30" t="s">
        <v>1591</v>
      </c>
      <c r="H300" s="30" t="s">
        <v>1592</v>
      </c>
      <c r="L300" s="30" t="s">
        <v>921</v>
      </c>
      <c r="M300" s="30" t="s">
        <v>924</v>
      </c>
      <c r="N300" s="30" t="s">
        <v>1315</v>
      </c>
      <c r="P300" s="30" t="s">
        <v>4248</v>
      </c>
      <c r="Q300" t="s">
        <v>619</v>
      </c>
      <c r="R300" t="s">
        <v>918</v>
      </c>
      <c r="S300">
        <v>37</v>
      </c>
      <c r="T300" s="29" t="str">
        <f t="shared" si="12"/>
        <v>2021.010B.R.Binomial_names.zip</v>
      </c>
      <c r="U300" s="29" t="str">
        <f>HYPERLINK("https://ictv.global/taxonomy/taxondetails?taxnode_id=202300527","ictv.global=202300527")</f>
        <v>ictv.global=202300527</v>
      </c>
    </row>
    <row r="301" spans="1:21">
      <c r="A301">
        <v>300</v>
      </c>
      <c r="B301" s="30" t="s">
        <v>1587</v>
      </c>
      <c r="D301" s="30" t="s">
        <v>1588</v>
      </c>
      <c r="F301" s="30" t="s">
        <v>1591</v>
      </c>
      <c r="H301" s="30" t="s">
        <v>1592</v>
      </c>
      <c r="L301" s="30" t="s">
        <v>921</v>
      </c>
      <c r="M301" s="30" t="s">
        <v>924</v>
      </c>
      <c r="N301" s="30" t="s">
        <v>1315</v>
      </c>
      <c r="P301" s="30" t="s">
        <v>4249</v>
      </c>
      <c r="Q301" t="s">
        <v>619</v>
      </c>
      <c r="R301" t="s">
        <v>918</v>
      </c>
      <c r="S301">
        <v>37</v>
      </c>
      <c r="T301" s="29" t="str">
        <f t="shared" si="12"/>
        <v>2021.010B.R.Binomial_names.zip</v>
      </c>
      <c r="U301" s="29" t="str">
        <f>HYPERLINK("https://ictv.global/taxonomy/taxondetails?taxnode_id=202308859","ictv.global=202308859")</f>
        <v>ictv.global=202308859</v>
      </c>
    </row>
    <row r="302" spans="1:21">
      <c r="A302">
        <v>301</v>
      </c>
      <c r="B302" s="30" t="s">
        <v>1587</v>
      </c>
      <c r="D302" s="30" t="s">
        <v>1588</v>
      </c>
      <c r="F302" s="30" t="s">
        <v>1591</v>
      </c>
      <c r="H302" s="30" t="s">
        <v>1592</v>
      </c>
      <c r="L302" s="30" t="s">
        <v>921</v>
      </c>
      <c r="M302" s="30" t="s">
        <v>924</v>
      </c>
      <c r="N302" s="30" t="s">
        <v>1315</v>
      </c>
      <c r="P302" s="30" t="s">
        <v>4250</v>
      </c>
      <c r="Q302" t="s">
        <v>619</v>
      </c>
      <c r="R302" t="s">
        <v>918</v>
      </c>
      <c r="S302">
        <v>37</v>
      </c>
      <c r="T302" s="29" t="str">
        <f t="shared" si="12"/>
        <v>2021.010B.R.Binomial_names.zip</v>
      </c>
      <c r="U302" s="29" t="str">
        <f>HYPERLINK("https://ictv.global/taxonomy/taxondetails?taxnode_id=202308866","ictv.global=202308866")</f>
        <v>ictv.global=202308866</v>
      </c>
    </row>
    <row r="303" spans="1:21">
      <c r="A303">
        <v>302</v>
      </c>
      <c r="B303" s="30" t="s">
        <v>1587</v>
      </c>
      <c r="D303" s="30" t="s">
        <v>1588</v>
      </c>
      <c r="F303" s="30" t="s">
        <v>1591</v>
      </c>
      <c r="H303" s="30" t="s">
        <v>1592</v>
      </c>
      <c r="L303" s="30" t="s">
        <v>921</v>
      </c>
      <c r="M303" s="30" t="s">
        <v>924</v>
      </c>
      <c r="N303" s="30" t="s">
        <v>1315</v>
      </c>
      <c r="P303" s="30" t="s">
        <v>4251</v>
      </c>
      <c r="Q303" t="s">
        <v>619</v>
      </c>
      <c r="R303" t="s">
        <v>918</v>
      </c>
      <c r="S303">
        <v>37</v>
      </c>
      <c r="T303" s="29" t="str">
        <f t="shared" si="12"/>
        <v>2021.010B.R.Binomial_names.zip</v>
      </c>
      <c r="U303" s="29" t="str">
        <f>HYPERLINK("https://ictv.global/taxonomy/taxondetails?taxnode_id=202308846","ictv.global=202308846")</f>
        <v>ictv.global=202308846</v>
      </c>
    </row>
    <row r="304" spans="1:21">
      <c r="A304">
        <v>303</v>
      </c>
      <c r="B304" s="30" t="s">
        <v>1587</v>
      </c>
      <c r="D304" s="30" t="s">
        <v>1588</v>
      </c>
      <c r="F304" s="30" t="s">
        <v>1591</v>
      </c>
      <c r="H304" s="30" t="s">
        <v>1592</v>
      </c>
      <c r="L304" s="30" t="s">
        <v>921</v>
      </c>
      <c r="M304" s="30" t="s">
        <v>924</v>
      </c>
      <c r="N304" s="30" t="s">
        <v>1315</v>
      </c>
      <c r="P304" s="30" t="s">
        <v>4252</v>
      </c>
      <c r="Q304" t="s">
        <v>619</v>
      </c>
      <c r="R304" t="s">
        <v>918</v>
      </c>
      <c r="S304">
        <v>37</v>
      </c>
      <c r="T304" s="29" t="str">
        <f t="shared" si="12"/>
        <v>2021.010B.R.Binomial_names.zip</v>
      </c>
      <c r="U304" s="29" t="str">
        <f>HYPERLINK("https://ictv.global/taxonomy/taxondetails?taxnode_id=202300524","ictv.global=202300524")</f>
        <v>ictv.global=202300524</v>
      </c>
    </row>
    <row r="305" spans="1:21">
      <c r="A305">
        <v>304</v>
      </c>
      <c r="B305" s="30" t="s">
        <v>1587</v>
      </c>
      <c r="D305" s="30" t="s">
        <v>1588</v>
      </c>
      <c r="F305" s="30" t="s">
        <v>1591</v>
      </c>
      <c r="H305" s="30" t="s">
        <v>1592</v>
      </c>
      <c r="L305" s="30" t="s">
        <v>921</v>
      </c>
      <c r="M305" s="30" t="s">
        <v>924</v>
      </c>
      <c r="N305" s="30" t="s">
        <v>1315</v>
      </c>
      <c r="P305" s="30" t="s">
        <v>4253</v>
      </c>
      <c r="Q305" t="s">
        <v>619</v>
      </c>
      <c r="R305" t="s">
        <v>918</v>
      </c>
      <c r="S305">
        <v>37</v>
      </c>
      <c r="T305" s="29" t="str">
        <f t="shared" si="12"/>
        <v>2021.010B.R.Binomial_names.zip</v>
      </c>
      <c r="U305" s="29" t="str">
        <f>HYPERLINK("https://ictv.global/taxonomy/taxondetails?taxnode_id=202305472","ictv.global=202305472")</f>
        <v>ictv.global=202305472</v>
      </c>
    </row>
    <row r="306" spans="1:21">
      <c r="A306">
        <v>305</v>
      </c>
      <c r="B306" s="30" t="s">
        <v>1587</v>
      </c>
      <c r="D306" s="30" t="s">
        <v>1588</v>
      </c>
      <c r="F306" s="30" t="s">
        <v>1591</v>
      </c>
      <c r="H306" s="30" t="s">
        <v>1592</v>
      </c>
      <c r="L306" s="30" t="s">
        <v>921</v>
      </c>
      <c r="M306" s="30" t="s">
        <v>924</v>
      </c>
      <c r="N306" s="30" t="s">
        <v>1315</v>
      </c>
      <c r="P306" s="30" t="s">
        <v>4254</v>
      </c>
      <c r="Q306" t="s">
        <v>619</v>
      </c>
      <c r="R306" t="s">
        <v>918</v>
      </c>
      <c r="S306">
        <v>37</v>
      </c>
      <c r="T306" s="29" t="str">
        <f t="shared" si="12"/>
        <v>2021.010B.R.Binomial_names.zip</v>
      </c>
      <c r="U306" s="29" t="str">
        <f>HYPERLINK("https://ictv.global/taxonomy/taxondetails?taxnode_id=202308848","ictv.global=202308848")</f>
        <v>ictv.global=202308848</v>
      </c>
    </row>
    <row r="307" spans="1:21">
      <c r="A307">
        <v>306</v>
      </c>
      <c r="B307" s="30" t="s">
        <v>1587</v>
      </c>
      <c r="D307" s="30" t="s">
        <v>1588</v>
      </c>
      <c r="F307" s="30" t="s">
        <v>1591</v>
      </c>
      <c r="H307" s="30" t="s">
        <v>1592</v>
      </c>
      <c r="L307" s="30" t="s">
        <v>921</v>
      </c>
      <c r="M307" s="30" t="s">
        <v>924</v>
      </c>
      <c r="N307" s="30" t="s">
        <v>1315</v>
      </c>
      <c r="P307" s="30" t="s">
        <v>4255</v>
      </c>
      <c r="Q307" t="s">
        <v>619</v>
      </c>
      <c r="R307" t="s">
        <v>918</v>
      </c>
      <c r="S307">
        <v>37</v>
      </c>
      <c r="T307" s="29" t="str">
        <f t="shared" si="12"/>
        <v>2021.010B.R.Binomial_names.zip</v>
      </c>
      <c r="U307" s="29" t="str">
        <f>HYPERLINK("https://ictv.global/taxonomy/taxondetails?taxnode_id=202308863","ictv.global=202308863")</f>
        <v>ictv.global=202308863</v>
      </c>
    </row>
    <row r="308" spans="1:21">
      <c r="A308">
        <v>307</v>
      </c>
      <c r="B308" s="30" t="s">
        <v>1587</v>
      </c>
      <c r="D308" s="30" t="s">
        <v>1588</v>
      </c>
      <c r="F308" s="30" t="s">
        <v>1591</v>
      </c>
      <c r="H308" s="30" t="s">
        <v>1592</v>
      </c>
      <c r="L308" s="30" t="s">
        <v>921</v>
      </c>
      <c r="M308" s="30" t="s">
        <v>924</v>
      </c>
      <c r="N308" s="30" t="s">
        <v>1315</v>
      </c>
      <c r="P308" s="30" t="s">
        <v>4256</v>
      </c>
      <c r="Q308" t="s">
        <v>619</v>
      </c>
      <c r="R308" t="s">
        <v>918</v>
      </c>
      <c r="S308">
        <v>37</v>
      </c>
      <c r="T308" s="29" t="str">
        <f t="shared" si="12"/>
        <v>2021.010B.R.Binomial_names.zip</v>
      </c>
      <c r="U308" s="29" t="str">
        <f>HYPERLINK("https://ictv.global/taxonomy/taxondetails?taxnode_id=202308851","ictv.global=202308851")</f>
        <v>ictv.global=202308851</v>
      </c>
    </row>
    <row r="309" spans="1:21">
      <c r="A309">
        <v>308</v>
      </c>
      <c r="B309" s="30" t="s">
        <v>1587</v>
      </c>
      <c r="D309" s="30" t="s">
        <v>1588</v>
      </c>
      <c r="F309" s="30" t="s">
        <v>1591</v>
      </c>
      <c r="H309" s="30" t="s">
        <v>1592</v>
      </c>
      <c r="L309" s="30" t="s">
        <v>921</v>
      </c>
      <c r="M309" s="30" t="s">
        <v>924</v>
      </c>
      <c r="N309" s="30" t="s">
        <v>1315</v>
      </c>
      <c r="P309" s="30" t="s">
        <v>4257</v>
      </c>
      <c r="Q309" t="s">
        <v>619</v>
      </c>
      <c r="R309" t="s">
        <v>918</v>
      </c>
      <c r="S309">
        <v>37</v>
      </c>
      <c r="T309" s="29" t="str">
        <f t="shared" ref="T309:T339" si="13">HYPERLINK("https://ictv.global/ictv/proposals/2021.010B.R.Binomial_names.zip","2021.010B.R.Binomial_names.zip")</f>
        <v>2021.010B.R.Binomial_names.zip</v>
      </c>
      <c r="U309" s="29" t="str">
        <f>HYPERLINK("https://ictv.global/taxonomy/taxondetails?taxnode_id=202308858","ictv.global=202308858")</f>
        <v>ictv.global=202308858</v>
      </c>
    </row>
    <row r="310" spans="1:21">
      <c r="A310">
        <v>309</v>
      </c>
      <c r="B310" s="30" t="s">
        <v>1587</v>
      </c>
      <c r="D310" s="30" t="s">
        <v>1588</v>
      </c>
      <c r="F310" s="30" t="s">
        <v>1591</v>
      </c>
      <c r="H310" s="30" t="s">
        <v>1592</v>
      </c>
      <c r="L310" s="30" t="s">
        <v>921</v>
      </c>
      <c r="M310" s="30" t="s">
        <v>924</v>
      </c>
      <c r="N310" s="30" t="s">
        <v>1315</v>
      </c>
      <c r="P310" s="30" t="s">
        <v>4258</v>
      </c>
      <c r="Q310" t="s">
        <v>619</v>
      </c>
      <c r="R310" t="s">
        <v>918</v>
      </c>
      <c r="S310">
        <v>37</v>
      </c>
      <c r="T310" s="29" t="str">
        <f t="shared" si="13"/>
        <v>2021.010B.R.Binomial_names.zip</v>
      </c>
      <c r="U310" s="29" t="str">
        <f>HYPERLINK("https://ictv.global/taxonomy/taxondetails?taxnode_id=202308852","ictv.global=202308852")</f>
        <v>ictv.global=202308852</v>
      </c>
    </row>
    <row r="311" spans="1:21">
      <c r="A311">
        <v>310</v>
      </c>
      <c r="B311" s="30" t="s">
        <v>1587</v>
      </c>
      <c r="D311" s="30" t="s">
        <v>1588</v>
      </c>
      <c r="F311" s="30" t="s">
        <v>1591</v>
      </c>
      <c r="H311" s="30" t="s">
        <v>1592</v>
      </c>
      <c r="L311" s="30" t="s">
        <v>921</v>
      </c>
      <c r="M311" s="30" t="s">
        <v>924</v>
      </c>
      <c r="N311" s="30" t="s">
        <v>1315</v>
      </c>
      <c r="P311" s="30" t="s">
        <v>4259</v>
      </c>
      <c r="Q311" t="s">
        <v>619</v>
      </c>
      <c r="R311" t="s">
        <v>918</v>
      </c>
      <c r="S311">
        <v>37</v>
      </c>
      <c r="T311" s="29" t="str">
        <f t="shared" si="13"/>
        <v>2021.010B.R.Binomial_names.zip</v>
      </c>
      <c r="U311" s="29" t="str">
        <f>HYPERLINK("https://ictv.global/taxonomy/taxondetails?taxnode_id=202308864","ictv.global=202308864")</f>
        <v>ictv.global=202308864</v>
      </c>
    </row>
    <row r="312" spans="1:21">
      <c r="A312">
        <v>311</v>
      </c>
      <c r="B312" s="30" t="s">
        <v>1587</v>
      </c>
      <c r="D312" s="30" t="s">
        <v>1588</v>
      </c>
      <c r="F312" s="30" t="s">
        <v>1591</v>
      </c>
      <c r="H312" s="30" t="s">
        <v>1592</v>
      </c>
      <c r="L312" s="30" t="s">
        <v>921</v>
      </c>
      <c r="M312" s="30" t="s">
        <v>924</v>
      </c>
      <c r="N312" s="30" t="s">
        <v>1315</v>
      </c>
      <c r="P312" s="30" t="s">
        <v>4260</v>
      </c>
      <c r="Q312" t="s">
        <v>619</v>
      </c>
      <c r="R312" t="s">
        <v>918</v>
      </c>
      <c r="S312">
        <v>37</v>
      </c>
      <c r="T312" s="29" t="str">
        <f t="shared" si="13"/>
        <v>2021.010B.R.Binomial_names.zip</v>
      </c>
      <c r="U312" s="29" t="str">
        <f>HYPERLINK("https://ictv.global/taxonomy/taxondetails?taxnode_id=202308853","ictv.global=202308853")</f>
        <v>ictv.global=202308853</v>
      </c>
    </row>
    <row r="313" spans="1:21">
      <c r="A313">
        <v>312</v>
      </c>
      <c r="B313" s="30" t="s">
        <v>1587</v>
      </c>
      <c r="D313" s="30" t="s">
        <v>1588</v>
      </c>
      <c r="F313" s="30" t="s">
        <v>1591</v>
      </c>
      <c r="H313" s="30" t="s">
        <v>1592</v>
      </c>
      <c r="L313" s="30" t="s">
        <v>921</v>
      </c>
      <c r="M313" s="30" t="s">
        <v>924</v>
      </c>
      <c r="N313" s="30" t="s">
        <v>1315</v>
      </c>
      <c r="P313" s="30" t="s">
        <v>4261</v>
      </c>
      <c r="Q313" t="s">
        <v>619</v>
      </c>
      <c r="R313" t="s">
        <v>918</v>
      </c>
      <c r="S313">
        <v>37</v>
      </c>
      <c r="T313" s="29" t="str">
        <f t="shared" si="13"/>
        <v>2021.010B.R.Binomial_names.zip</v>
      </c>
      <c r="U313" s="29" t="str">
        <f>HYPERLINK("https://ictv.global/taxonomy/taxondetails?taxnode_id=202308850","ictv.global=202308850")</f>
        <v>ictv.global=202308850</v>
      </c>
    </row>
    <row r="314" spans="1:21">
      <c r="A314">
        <v>313</v>
      </c>
      <c r="B314" s="30" t="s">
        <v>1587</v>
      </c>
      <c r="D314" s="30" t="s">
        <v>1588</v>
      </c>
      <c r="F314" s="30" t="s">
        <v>1591</v>
      </c>
      <c r="H314" s="30" t="s">
        <v>1592</v>
      </c>
      <c r="L314" s="30" t="s">
        <v>921</v>
      </c>
      <c r="M314" s="30" t="s">
        <v>924</v>
      </c>
      <c r="N314" s="30" t="s">
        <v>1315</v>
      </c>
      <c r="P314" s="30" t="s">
        <v>4262</v>
      </c>
      <c r="Q314" t="s">
        <v>619</v>
      </c>
      <c r="R314" t="s">
        <v>918</v>
      </c>
      <c r="S314">
        <v>37</v>
      </c>
      <c r="T314" s="29" t="str">
        <f t="shared" si="13"/>
        <v>2021.010B.R.Binomial_names.zip</v>
      </c>
      <c r="U314" s="29" t="str">
        <f>HYPERLINK("https://ictv.global/taxonomy/taxondetails?taxnode_id=202308856","ictv.global=202308856")</f>
        <v>ictv.global=202308856</v>
      </c>
    </row>
    <row r="315" spans="1:21">
      <c r="A315">
        <v>314</v>
      </c>
      <c r="B315" s="30" t="s">
        <v>1587</v>
      </c>
      <c r="D315" s="30" t="s">
        <v>1588</v>
      </c>
      <c r="F315" s="30" t="s">
        <v>1591</v>
      </c>
      <c r="H315" s="30" t="s">
        <v>1592</v>
      </c>
      <c r="L315" s="30" t="s">
        <v>921</v>
      </c>
      <c r="M315" s="30" t="s">
        <v>924</v>
      </c>
      <c r="N315" s="30" t="s">
        <v>1315</v>
      </c>
      <c r="P315" s="30" t="s">
        <v>4263</v>
      </c>
      <c r="Q315" t="s">
        <v>619</v>
      </c>
      <c r="R315" t="s">
        <v>918</v>
      </c>
      <c r="S315">
        <v>37</v>
      </c>
      <c r="T315" s="29" t="str">
        <f t="shared" si="13"/>
        <v>2021.010B.R.Binomial_names.zip</v>
      </c>
      <c r="U315" s="29" t="str">
        <f>HYPERLINK("https://ictv.global/taxonomy/taxondetails?taxnode_id=202300528","ictv.global=202300528")</f>
        <v>ictv.global=202300528</v>
      </c>
    </row>
    <row r="316" spans="1:21">
      <c r="A316">
        <v>315</v>
      </c>
      <c r="B316" s="30" t="s">
        <v>1587</v>
      </c>
      <c r="D316" s="30" t="s">
        <v>1588</v>
      </c>
      <c r="F316" s="30" t="s">
        <v>1591</v>
      </c>
      <c r="H316" s="30" t="s">
        <v>1592</v>
      </c>
      <c r="L316" s="30" t="s">
        <v>921</v>
      </c>
      <c r="M316" s="30" t="s">
        <v>924</v>
      </c>
      <c r="N316" s="30" t="s">
        <v>1315</v>
      </c>
      <c r="P316" s="30" t="s">
        <v>4264</v>
      </c>
      <c r="Q316" t="s">
        <v>619</v>
      </c>
      <c r="R316" t="s">
        <v>918</v>
      </c>
      <c r="S316">
        <v>37</v>
      </c>
      <c r="T316" s="29" t="str">
        <f t="shared" si="13"/>
        <v>2021.010B.R.Binomial_names.zip</v>
      </c>
      <c r="U316" s="29" t="str">
        <f>HYPERLINK("https://ictv.global/taxonomy/taxondetails?taxnode_id=202300529","ictv.global=202300529")</f>
        <v>ictv.global=202300529</v>
      </c>
    </row>
    <row r="317" spans="1:21">
      <c r="A317">
        <v>316</v>
      </c>
      <c r="B317" s="30" t="s">
        <v>1587</v>
      </c>
      <c r="D317" s="30" t="s">
        <v>1588</v>
      </c>
      <c r="F317" s="30" t="s">
        <v>1591</v>
      </c>
      <c r="H317" s="30" t="s">
        <v>1592</v>
      </c>
      <c r="L317" s="30" t="s">
        <v>921</v>
      </c>
      <c r="M317" s="30" t="s">
        <v>924</v>
      </c>
      <c r="N317" s="30" t="s">
        <v>1315</v>
      </c>
      <c r="P317" s="30" t="s">
        <v>4265</v>
      </c>
      <c r="Q317" t="s">
        <v>619</v>
      </c>
      <c r="R317" t="s">
        <v>918</v>
      </c>
      <c r="S317">
        <v>37</v>
      </c>
      <c r="T317" s="29" t="str">
        <f t="shared" si="13"/>
        <v>2021.010B.R.Binomial_names.zip</v>
      </c>
      <c r="U317" s="29" t="str">
        <f>HYPERLINK("https://ictv.global/taxonomy/taxondetails?taxnode_id=202300530","ictv.global=202300530")</f>
        <v>ictv.global=202300530</v>
      </c>
    </row>
    <row r="318" spans="1:21">
      <c r="A318">
        <v>317</v>
      </c>
      <c r="B318" s="30" t="s">
        <v>1587</v>
      </c>
      <c r="D318" s="30" t="s">
        <v>1588</v>
      </c>
      <c r="F318" s="30" t="s">
        <v>1591</v>
      </c>
      <c r="H318" s="30" t="s">
        <v>1592</v>
      </c>
      <c r="L318" s="30" t="s">
        <v>921</v>
      </c>
      <c r="M318" s="30" t="s">
        <v>924</v>
      </c>
      <c r="N318" s="30" t="s">
        <v>1315</v>
      </c>
      <c r="P318" s="30" t="s">
        <v>4266</v>
      </c>
      <c r="Q318" t="s">
        <v>619</v>
      </c>
      <c r="R318" t="s">
        <v>918</v>
      </c>
      <c r="S318">
        <v>37</v>
      </c>
      <c r="T318" s="29" t="str">
        <f t="shared" si="13"/>
        <v>2021.010B.R.Binomial_names.zip</v>
      </c>
      <c r="U318" s="29" t="str">
        <f>HYPERLINK("https://ictv.global/taxonomy/taxondetails?taxnode_id=202300531","ictv.global=202300531")</f>
        <v>ictv.global=202300531</v>
      </c>
    </row>
    <row r="319" spans="1:21">
      <c r="A319">
        <v>318</v>
      </c>
      <c r="B319" s="30" t="s">
        <v>1587</v>
      </c>
      <c r="D319" s="30" t="s">
        <v>1588</v>
      </c>
      <c r="F319" s="30" t="s">
        <v>1591</v>
      </c>
      <c r="H319" s="30" t="s">
        <v>1592</v>
      </c>
      <c r="L319" s="30" t="s">
        <v>921</v>
      </c>
      <c r="M319" s="30" t="s">
        <v>924</v>
      </c>
      <c r="N319" s="30" t="s">
        <v>1315</v>
      </c>
      <c r="P319" s="30" t="s">
        <v>4267</v>
      </c>
      <c r="Q319" t="s">
        <v>619</v>
      </c>
      <c r="R319" t="s">
        <v>918</v>
      </c>
      <c r="S319">
        <v>37</v>
      </c>
      <c r="T319" s="29" t="str">
        <f t="shared" si="13"/>
        <v>2021.010B.R.Binomial_names.zip</v>
      </c>
      <c r="U319" s="29" t="str">
        <f>HYPERLINK("https://ictv.global/taxonomy/taxondetails?taxnode_id=202308855","ictv.global=202308855")</f>
        <v>ictv.global=202308855</v>
      </c>
    </row>
    <row r="320" spans="1:21">
      <c r="A320">
        <v>319</v>
      </c>
      <c r="B320" s="30" t="s">
        <v>1587</v>
      </c>
      <c r="D320" s="30" t="s">
        <v>1588</v>
      </c>
      <c r="F320" s="30" t="s">
        <v>1591</v>
      </c>
      <c r="H320" s="30" t="s">
        <v>1592</v>
      </c>
      <c r="L320" s="30" t="s">
        <v>921</v>
      </c>
      <c r="M320" s="30" t="s">
        <v>924</v>
      </c>
      <c r="N320" s="30" t="s">
        <v>1315</v>
      </c>
      <c r="P320" s="30" t="s">
        <v>4268</v>
      </c>
      <c r="Q320" t="s">
        <v>619</v>
      </c>
      <c r="R320" t="s">
        <v>918</v>
      </c>
      <c r="S320">
        <v>37</v>
      </c>
      <c r="T320" s="29" t="str">
        <f t="shared" si="13"/>
        <v>2021.010B.R.Binomial_names.zip</v>
      </c>
      <c r="U320" s="29" t="str">
        <f>HYPERLINK("https://ictv.global/taxonomy/taxondetails?taxnode_id=202308865","ictv.global=202308865")</f>
        <v>ictv.global=202308865</v>
      </c>
    </row>
    <row r="321" spans="1:21">
      <c r="A321">
        <v>320</v>
      </c>
      <c r="B321" s="30" t="s">
        <v>1587</v>
      </c>
      <c r="D321" s="30" t="s">
        <v>1588</v>
      </c>
      <c r="F321" s="30" t="s">
        <v>1591</v>
      </c>
      <c r="H321" s="30" t="s">
        <v>1592</v>
      </c>
      <c r="L321" s="30" t="s">
        <v>921</v>
      </c>
      <c r="M321" s="30" t="s">
        <v>924</v>
      </c>
      <c r="N321" s="30" t="s">
        <v>1315</v>
      </c>
      <c r="P321" s="30" t="s">
        <v>4269</v>
      </c>
      <c r="Q321" t="s">
        <v>619</v>
      </c>
      <c r="R321" t="s">
        <v>918</v>
      </c>
      <c r="S321">
        <v>37</v>
      </c>
      <c r="T321" s="29" t="str">
        <f t="shared" si="13"/>
        <v>2021.010B.R.Binomial_names.zip</v>
      </c>
      <c r="U321" s="29" t="str">
        <f>HYPERLINK("https://ictv.global/taxonomy/taxondetails?taxnode_id=202300532","ictv.global=202300532")</f>
        <v>ictv.global=202300532</v>
      </c>
    </row>
    <row r="322" spans="1:21">
      <c r="A322">
        <v>321</v>
      </c>
      <c r="B322" s="30" t="s">
        <v>1587</v>
      </c>
      <c r="D322" s="30" t="s">
        <v>1588</v>
      </c>
      <c r="F322" s="30" t="s">
        <v>1591</v>
      </c>
      <c r="H322" s="30" t="s">
        <v>1592</v>
      </c>
      <c r="L322" s="30" t="s">
        <v>921</v>
      </c>
      <c r="M322" s="30" t="s">
        <v>924</v>
      </c>
      <c r="N322" s="30" t="s">
        <v>1315</v>
      </c>
      <c r="P322" s="30" t="s">
        <v>4270</v>
      </c>
      <c r="Q322" t="s">
        <v>619</v>
      </c>
      <c r="R322" t="s">
        <v>918</v>
      </c>
      <c r="S322">
        <v>37</v>
      </c>
      <c r="T322" s="29" t="str">
        <f t="shared" si="13"/>
        <v>2021.010B.R.Binomial_names.zip</v>
      </c>
      <c r="U322" s="29" t="str">
        <f>HYPERLINK("https://ictv.global/taxonomy/taxondetails?taxnode_id=202308861","ictv.global=202308861")</f>
        <v>ictv.global=202308861</v>
      </c>
    </row>
    <row r="323" spans="1:21">
      <c r="A323">
        <v>322</v>
      </c>
      <c r="B323" s="30" t="s">
        <v>1587</v>
      </c>
      <c r="D323" s="30" t="s">
        <v>1588</v>
      </c>
      <c r="F323" s="30" t="s">
        <v>1591</v>
      </c>
      <c r="H323" s="30" t="s">
        <v>1592</v>
      </c>
      <c r="L323" s="30" t="s">
        <v>921</v>
      </c>
      <c r="M323" s="30" t="s">
        <v>924</v>
      </c>
      <c r="N323" s="30" t="s">
        <v>1315</v>
      </c>
      <c r="P323" s="30" t="s">
        <v>4271</v>
      </c>
      <c r="Q323" t="s">
        <v>619</v>
      </c>
      <c r="R323" t="s">
        <v>918</v>
      </c>
      <c r="S323">
        <v>37</v>
      </c>
      <c r="T323" s="29" t="str">
        <f t="shared" si="13"/>
        <v>2021.010B.R.Binomial_names.zip</v>
      </c>
      <c r="U323" s="29" t="str">
        <f>HYPERLINK("https://ictv.global/taxonomy/taxondetails?taxnode_id=202300533","ictv.global=202300533")</f>
        <v>ictv.global=202300533</v>
      </c>
    </row>
    <row r="324" spans="1:21">
      <c r="A324">
        <v>323</v>
      </c>
      <c r="B324" s="30" t="s">
        <v>1587</v>
      </c>
      <c r="D324" s="30" t="s">
        <v>1588</v>
      </c>
      <c r="F324" s="30" t="s">
        <v>1591</v>
      </c>
      <c r="H324" s="30" t="s">
        <v>1592</v>
      </c>
      <c r="L324" s="30" t="s">
        <v>921</v>
      </c>
      <c r="N324" s="30" t="s">
        <v>2202</v>
      </c>
      <c r="P324" s="30" t="s">
        <v>4272</v>
      </c>
      <c r="Q324" t="s">
        <v>619</v>
      </c>
      <c r="R324" t="s">
        <v>918</v>
      </c>
      <c r="S324">
        <v>37</v>
      </c>
      <c r="T324" s="29" t="str">
        <f t="shared" si="13"/>
        <v>2021.010B.R.Binomial_names.zip</v>
      </c>
      <c r="U324" s="29" t="str">
        <f>HYPERLINK("https://ictv.global/taxonomy/taxondetails?taxnode_id=202308917","ictv.global=202308917")</f>
        <v>ictv.global=202308917</v>
      </c>
    </row>
    <row r="325" spans="1:21">
      <c r="A325">
        <v>324</v>
      </c>
      <c r="B325" s="30" t="s">
        <v>1587</v>
      </c>
      <c r="D325" s="30" t="s">
        <v>1588</v>
      </c>
      <c r="F325" s="30" t="s">
        <v>1591</v>
      </c>
      <c r="H325" s="30" t="s">
        <v>1592</v>
      </c>
      <c r="L325" s="30" t="s">
        <v>921</v>
      </c>
      <c r="N325" s="30" t="s">
        <v>2203</v>
      </c>
      <c r="P325" s="30" t="s">
        <v>4273</v>
      </c>
      <c r="Q325" t="s">
        <v>619</v>
      </c>
      <c r="R325" t="s">
        <v>918</v>
      </c>
      <c r="S325">
        <v>37</v>
      </c>
      <c r="T325" s="29" t="str">
        <f t="shared" si="13"/>
        <v>2021.010B.R.Binomial_names.zip</v>
      </c>
      <c r="U325" s="29" t="str">
        <f>HYPERLINK("https://ictv.global/taxonomy/taxondetails?taxnode_id=202308919","ictv.global=202308919")</f>
        <v>ictv.global=202308919</v>
      </c>
    </row>
    <row r="326" spans="1:21">
      <c r="A326">
        <v>325</v>
      </c>
      <c r="B326" s="30" t="s">
        <v>1587</v>
      </c>
      <c r="D326" s="30" t="s">
        <v>1588</v>
      </c>
      <c r="F326" s="30" t="s">
        <v>1591</v>
      </c>
      <c r="H326" s="30" t="s">
        <v>1592</v>
      </c>
      <c r="L326" s="30" t="s">
        <v>921</v>
      </c>
      <c r="N326" s="30" t="s">
        <v>2204</v>
      </c>
      <c r="P326" s="30" t="s">
        <v>4274</v>
      </c>
      <c r="Q326" t="s">
        <v>619</v>
      </c>
      <c r="R326" t="s">
        <v>918</v>
      </c>
      <c r="S326">
        <v>37</v>
      </c>
      <c r="T326" s="29" t="str">
        <f t="shared" si="13"/>
        <v>2021.010B.R.Binomial_names.zip</v>
      </c>
      <c r="U326" s="29" t="str">
        <f>HYPERLINK("https://ictv.global/taxonomy/taxondetails?taxnode_id=202308925","ictv.global=202308925")</f>
        <v>ictv.global=202308925</v>
      </c>
    </row>
    <row r="327" spans="1:21">
      <c r="A327">
        <v>326</v>
      </c>
      <c r="B327" s="30" t="s">
        <v>1587</v>
      </c>
      <c r="D327" s="30" t="s">
        <v>1588</v>
      </c>
      <c r="F327" s="30" t="s">
        <v>1591</v>
      </c>
      <c r="H327" s="30" t="s">
        <v>1592</v>
      </c>
      <c r="L327" s="30" t="s">
        <v>921</v>
      </c>
      <c r="N327" s="30" t="s">
        <v>2204</v>
      </c>
      <c r="P327" s="30" t="s">
        <v>4275</v>
      </c>
      <c r="Q327" t="s">
        <v>619</v>
      </c>
      <c r="R327" t="s">
        <v>918</v>
      </c>
      <c r="S327">
        <v>37</v>
      </c>
      <c r="T327" s="29" t="str">
        <f t="shared" si="13"/>
        <v>2021.010B.R.Binomial_names.zip</v>
      </c>
      <c r="U327" s="29" t="str">
        <f>HYPERLINK("https://ictv.global/taxonomy/taxondetails?taxnode_id=202305478","ictv.global=202305478")</f>
        <v>ictv.global=202305478</v>
      </c>
    </row>
    <row r="328" spans="1:21">
      <c r="A328">
        <v>327</v>
      </c>
      <c r="B328" s="30" t="s">
        <v>1587</v>
      </c>
      <c r="D328" s="30" t="s">
        <v>1588</v>
      </c>
      <c r="F328" s="30" t="s">
        <v>1591</v>
      </c>
      <c r="H328" s="30" t="s">
        <v>1592</v>
      </c>
      <c r="L328" s="30" t="s">
        <v>921</v>
      </c>
      <c r="N328" s="30" t="s">
        <v>2205</v>
      </c>
      <c r="P328" s="30" t="s">
        <v>4276</v>
      </c>
      <c r="Q328" t="s">
        <v>619</v>
      </c>
      <c r="R328" t="s">
        <v>918</v>
      </c>
      <c r="S328">
        <v>37</v>
      </c>
      <c r="T328" s="29" t="str">
        <f t="shared" si="13"/>
        <v>2021.010B.R.Binomial_names.zip</v>
      </c>
      <c r="U328" s="29" t="str">
        <f>HYPERLINK("https://ictv.global/taxonomy/taxondetails?taxnode_id=202308923","ictv.global=202308923")</f>
        <v>ictv.global=202308923</v>
      </c>
    </row>
    <row r="329" spans="1:21">
      <c r="A329">
        <v>328</v>
      </c>
      <c r="B329" s="30" t="s">
        <v>1587</v>
      </c>
      <c r="D329" s="30" t="s">
        <v>1588</v>
      </c>
      <c r="F329" s="30" t="s">
        <v>1591</v>
      </c>
      <c r="H329" s="30" t="s">
        <v>1592</v>
      </c>
      <c r="L329" s="30" t="s">
        <v>921</v>
      </c>
      <c r="N329" s="30" t="s">
        <v>2205</v>
      </c>
      <c r="P329" s="30" t="s">
        <v>4277</v>
      </c>
      <c r="Q329" t="s">
        <v>619</v>
      </c>
      <c r="R329" t="s">
        <v>918</v>
      </c>
      <c r="S329">
        <v>37</v>
      </c>
      <c r="T329" s="29" t="str">
        <f t="shared" si="13"/>
        <v>2021.010B.R.Binomial_names.zip</v>
      </c>
      <c r="U329" s="29" t="str">
        <f>HYPERLINK("https://ictv.global/taxonomy/taxondetails?taxnode_id=202305475","ictv.global=202305475")</f>
        <v>ictv.global=202305475</v>
      </c>
    </row>
    <row r="330" spans="1:21">
      <c r="A330">
        <v>329</v>
      </c>
      <c r="B330" s="30" t="s">
        <v>1587</v>
      </c>
      <c r="D330" s="30" t="s">
        <v>1588</v>
      </c>
      <c r="F330" s="30" t="s">
        <v>1591</v>
      </c>
      <c r="H330" s="30" t="s">
        <v>1592</v>
      </c>
      <c r="L330" s="30" t="s">
        <v>921</v>
      </c>
      <c r="N330" s="30" t="s">
        <v>1593</v>
      </c>
      <c r="P330" s="30" t="s">
        <v>4278</v>
      </c>
      <c r="Q330" t="s">
        <v>619</v>
      </c>
      <c r="R330" t="s">
        <v>918</v>
      </c>
      <c r="S330">
        <v>37</v>
      </c>
      <c r="T330" s="29" t="str">
        <f t="shared" si="13"/>
        <v>2021.010B.R.Binomial_names.zip</v>
      </c>
      <c r="U330" s="29" t="str">
        <f>HYPERLINK("https://ictv.global/taxonomy/taxondetails?taxnode_id=202305476","ictv.global=202305476")</f>
        <v>ictv.global=202305476</v>
      </c>
    </row>
    <row r="331" spans="1:21">
      <c r="A331">
        <v>330</v>
      </c>
      <c r="B331" s="30" t="s">
        <v>1587</v>
      </c>
      <c r="D331" s="30" t="s">
        <v>1588</v>
      </c>
      <c r="F331" s="30" t="s">
        <v>1591</v>
      </c>
      <c r="H331" s="30" t="s">
        <v>1592</v>
      </c>
      <c r="L331" s="30" t="s">
        <v>921</v>
      </c>
      <c r="N331" s="30" t="s">
        <v>1593</v>
      </c>
      <c r="P331" s="30" t="s">
        <v>4279</v>
      </c>
      <c r="Q331" t="s">
        <v>619</v>
      </c>
      <c r="R331" t="s">
        <v>918</v>
      </c>
      <c r="S331">
        <v>37</v>
      </c>
      <c r="T331" s="29" t="str">
        <f t="shared" si="13"/>
        <v>2021.010B.R.Binomial_names.zip</v>
      </c>
      <c r="U331" s="29" t="str">
        <f>HYPERLINK("https://ictv.global/taxonomy/taxondetails?taxnode_id=202305477","ictv.global=202305477")</f>
        <v>ictv.global=202305477</v>
      </c>
    </row>
    <row r="332" spans="1:21">
      <c r="A332">
        <v>331</v>
      </c>
      <c r="B332" s="30" t="s">
        <v>1587</v>
      </c>
      <c r="D332" s="30" t="s">
        <v>1588</v>
      </c>
      <c r="F332" s="30" t="s">
        <v>1591</v>
      </c>
      <c r="H332" s="30" t="s">
        <v>1592</v>
      </c>
      <c r="L332" s="30" t="s">
        <v>921</v>
      </c>
      <c r="N332" s="30" t="s">
        <v>1593</v>
      </c>
      <c r="P332" s="30" t="s">
        <v>4280</v>
      </c>
      <c r="Q332" t="s">
        <v>619</v>
      </c>
      <c r="R332" t="s">
        <v>918</v>
      </c>
      <c r="S332">
        <v>37</v>
      </c>
      <c r="T332" s="29" t="str">
        <f t="shared" si="13"/>
        <v>2021.010B.R.Binomial_names.zip</v>
      </c>
      <c r="U332" s="29" t="str">
        <f>HYPERLINK("https://ictv.global/taxonomy/taxondetails?taxnode_id=202308040","ictv.global=202308040")</f>
        <v>ictv.global=202308040</v>
      </c>
    </row>
    <row r="333" spans="1:21">
      <c r="A333">
        <v>332</v>
      </c>
      <c r="B333" s="30" t="s">
        <v>1587</v>
      </c>
      <c r="D333" s="30" t="s">
        <v>1588</v>
      </c>
      <c r="F333" s="30" t="s">
        <v>1591</v>
      </c>
      <c r="H333" s="30" t="s">
        <v>1592</v>
      </c>
      <c r="L333" s="30" t="s">
        <v>921</v>
      </c>
      <c r="N333" s="30" t="s">
        <v>1593</v>
      </c>
      <c r="P333" s="30" t="s">
        <v>4281</v>
      </c>
      <c r="Q333" t="s">
        <v>619</v>
      </c>
      <c r="R333" t="s">
        <v>918</v>
      </c>
      <c r="S333">
        <v>37</v>
      </c>
      <c r="T333" s="29" t="str">
        <f t="shared" si="13"/>
        <v>2021.010B.R.Binomial_names.zip</v>
      </c>
      <c r="U333" s="29" t="str">
        <f>HYPERLINK("https://ictv.global/taxonomy/taxondetails?taxnode_id=202308037","ictv.global=202308037")</f>
        <v>ictv.global=202308037</v>
      </c>
    </row>
    <row r="334" spans="1:21">
      <c r="A334">
        <v>333</v>
      </c>
      <c r="B334" s="30" t="s">
        <v>1587</v>
      </c>
      <c r="D334" s="30" t="s">
        <v>1588</v>
      </c>
      <c r="F334" s="30" t="s">
        <v>1591</v>
      </c>
      <c r="H334" s="30" t="s">
        <v>1592</v>
      </c>
      <c r="L334" s="30" t="s">
        <v>921</v>
      </c>
      <c r="N334" s="30" t="s">
        <v>1593</v>
      </c>
      <c r="P334" s="30" t="s">
        <v>4282</v>
      </c>
      <c r="Q334" t="s">
        <v>619</v>
      </c>
      <c r="R334" t="s">
        <v>918</v>
      </c>
      <c r="S334">
        <v>37</v>
      </c>
      <c r="T334" s="29" t="str">
        <f t="shared" si="13"/>
        <v>2021.010B.R.Binomial_names.zip</v>
      </c>
      <c r="U334" s="29" t="str">
        <f>HYPERLINK("https://ictv.global/taxonomy/taxondetails?taxnode_id=202308870","ictv.global=202308870")</f>
        <v>ictv.global=202308870</v>
      </c>
    </row>
    <row r="335" spans="1:21">
      <c r="A335">
        <v>334</v>
      </c>
      <c r="B335" s="30" t="s">
        <v>1587</v>
      </c>
      <c r="D335" s="30" t="s">
        <v>1588</v>
      </c>
      <c r="F335" s="30" t="s">
        <v>1591</v>
      </c>
      <c r="H335" s="30" t="s">
        <v>1592</v>
      </c>
      <c r="L335" s="30" t="s">
        <v>921</v>
      </c>
      <c r="N335" s="30" t="s">
        <v>1593</v>
      </c>
      <c r="P335" s="30" t="s">
        <v>4283</v>
      </c>
      <c r="Q335" t="s">
        <v>619</v>
      </c>
      <c r="R335" t="s">
        <v>918</v>
      </c>
      <c r="S335">
        <v>37</v>
      </c>
      <c r="T335" s="29" t="str">
        <f t="shared" si="13"/>
        <v>2021.010B.R.Binomial_names.zip</v>
      </c>
      <c r="U335" s="29" t="str">
        <f>HYPERLINK("https://ictv.global/taxonomy/taxondetails?taxnode_id=202308038","ictv.global=202308038")</f>
        <v>ictv.global=202308038</v>
      </c>
    </row>
    <row r="336" spans="1:21">
      <c r="A336">
        <v>335</v>
      </c>
      <c r="B336" s="30" t="s">
        <v>1587</v>
      </c>
      <c r="D336" s="30" t="s">
        <v>1588</v>
      </c>
      <c r="F336" s="30" t="s">
        <v>1591</v>
      </c>
      <c r="H336" s="30" t="s">
        <v>1592</v>
      </c>
      <c r="L336" s="30" t="s">
        <v>921</v>
      </c>
      <c r="N336" s="30" t="s">
        <v>1593</v>
      </c>
      <c r="P336" s="30" t="s">
        <v>4284</v>
      </c>
      <c r="Q336" t="s">
        <v>619</v>
      </c>
      <c r="R336" t="s">
        <v>918</v>
      </c>
      <c r="S336">
        <v>37</v>
      </c>
      <c r="T336" s="29" t="str">
        <f t="shared" si="13"/>
        <v>2021.010B.R.Binomial_names.zip</v>
      </c>
      <c r="U336" s="29" t="str">
        <f>HYPERLINK("https://ictv.global/taxonomy/taxondetails?taxnode_id=202308039","ictv.global=202308039")</f>
        <v>ictv.global=202308039</v>
      </c>
    </row>
    <row r="337" spans="1:21">
      <c r="A337">
        <v>336</v>
      </c>
      <c r="B337" s="30" t="s">
        <v>1587</v>
      </c>
      <c r="D337" s="30" t="s">
        <v>1588</v>
      </c>
      <c r="F337" s="30" t="s">
        <v>1591</v>
      </c>
      <c r="H337" s="30" t="s">
        <v>1592</v>
      </c>
      <c r="L337" s="30" t="s">
        <v>921</v>
      </c>
      <c r="N337" s="30" t="s">
        <v>1593</v>
      </c>
      <c r="P337" s="30" t="s">
        <v>4285</v>
      </c>
      <c r="Q337" t="s">
        <v>619</v>
      </c>
      <c r="R337" t="s">
        <v>918</v>
      </c>
      <c r="S337">
        <v>37</v>
      </c>
      <c r="T337" s="29" t="str">
        <f t="shared" si="13"/>
        <v>2021.010B.R.Binomial_names.zip</v>
      </c>
      <c r="U337" s="29" t="str">
        <f>HYPERLINK("https://ictv.global/taxonomy/taxondetails?taxnode_id=202308871","ictv.global=202308871")</f>
        <v>ictv.global=202308871</v>
      </c>
    </row>
    <row r="338" spans="1:21">
      <c r="A338">
        <v>337</v>
      </c>
      <c r="B338" s="30" t="s">
        <v>1587</v>
      </c>
      <c r="D338" s="30" t="s">
        <v>1588</v>
      </c>
      <c r="F338" s="30" t="s">
        <v>1591</v>
      </c>
      <c r="H338" s="30" t="s">
        <v>1592</v>
      </c>
      <c r="L338" s="30" t="s">
        <v>921</v>
      </c>
      <c r="N338" s="30" t="s">
        <v>2206</v>
      </c>
      <c r="P338" s="30" t="s">
        <v>4286</v>
      </c>
      <c r="Q338" t="s">
        <v>619</v>
      </c>
      <c r="R338" t="s">
        <v>918</v>
      </c>
      <c r="S338">
        <v>37</v>
      </c>
      <c r="T338" s="29" t="str">
        <f t="shared" si="13"/>
        <v>2021.010B.R.Binomial_names.zip</v>
      </c>
      <c r="U338" s="29" t="str">
        <f>HYPERLINK("https://ictv.global/taxonomy/taxondetails?taxnode_id=202308921","ictv.global=202308921")</f>
        <v>ictv.global=202308921</v>
      </c>
    </row>
    <row r="339" spans="1:21">
      <c r="A339">
        <v>338</v>
      </c>
      <c r="B339" s="30" t="s">
        <v>1587</v>
      </c>
      <c r="D339" s="30" t="s">
        <v>1588</v>
      </c>
      <c r="F339" s="30" t="s">
        <v>1591</v>
      </c>
      <c r="H339" s="30" t="s">
        <v>1592</v>
      </c>
      <c r="L339" s="30" t="s">
        <v>921</v>
      </c>
      <c r="N339" s="30" t="s">
        <v>2207</v>
      </c>
      <c r="P339" s="30" t="s">
        <v>4287</v>
      </c>
      <c r="Q339" t="s">
        <v>619</v>
      </c>
      <c r="R339" t="s">
        <v>918</v>
      </c>
      <c r="S339">
        <v>37</v>
      </c>
      <c r="T339" s="29" t="str">
        <f t="shared" si="13"/>
        <v>2021.010B.R.Binomial_names.zip</v>
      </c>
      <c r="U339" s="29" t="str">
        <f>HYPERLINK("https://ictv.global/taxonomy/taxondetails?taxnode_id=202308915","ictv.global=202308915")</f>
        <v>ictv.global=202308915</v>
      </c>
    </row>
    <row r="340" spans="1:21">
      <c r="A340">
        <v>339</v>
      </c>
      <c r="B340" s="30" t="s">
        <v>1587</v>
      </c>
      <c r="D340" s="30" t="s">
        <v>1588</v>
      </c>
      <c r="F340" s="30" t="s">
        <v>1591</v>
      </c>
      <c r="H340" s="30" t="s">
        <v>1592</v>
      </c>
      <c r="L340" s="30" t="s">
        <v>4288</v>
      </c>
      <c r="N340" s="30" t="s">
        <v>4289</v>
      </c>
      <c r="P340" s="30" t="s">
        <v>4290</v>
      </c>
      <c r="Q340" t="s">
        <v>619</v>
      </c>
      <c r="R340" t="s">
        <v>917</v>
      </c>
      <c r="S340">
        <v>37</v>
      </c>
      <c r="T340" s="29" t="str">
        <f>HYPERLINK("https://ictv.global/ictv/proposals/2021.029B.R.Flavophages_9_families.zip","2021.029B.R.Flavophages_9_families.zip")</f>
        <v>2021.029B.R.Flavophages_9_families.zip</v>
      </c>
      <c r="U340" s="29" t="str">
        <f>HYPERLINK("https://ictv.global/taxonomy/taxondetails?taxnode_id=202313575","ictv.global=202313575")</f>
        <v>ictv.global=202313575</v>
      </c>
    </row>
    <row r="341" spans="1:21">
      <c r="A341">
        <v>340</v>
      </c>
      <c r="B341" s="30" t="s">
        <v>1587</v>
      </c>
      <c r="D341" s="30" t="s">
        <v>1588</v>
      </c>
      <c r="F341" s="30" t="s">
        <v>1591</v>
      </c>
      <c r="H341" s="30" t="s">
        <v>1592</v>
      </c>
      <c r="L341" s="30" t="s">
        <v>4291</v>
      </c>
      <c r="N341" s="30" t="s">
        <v>1464</v>
      </c>
      <c r="P341" s="30" t="s">
        <v>4292</v>
      </c>
      <c r="Q341" t="s">
        <v>619</v>
      </c>
      <c r="R341" t="s">
        <v>917</v>
      </c>
      <c r="S341">
        <v>38</v>
      </c>
      <c r="T341" s="29" t="str">
        <f t="shared" ref="T341:T372" si="14">HYPERLINK("https://ictv.global/ictv/proposals/2022.001B.Aliceevansviridae.zip","2022.001B.Aliceevansviridae.zip")</f>
        <v>2022.001B.Aliceevansviridae.zip</v>
      </c>
      <c r="U341" s="29" t="str">
        <f>HYPERLINK("https://ictv.global/taxonomy/taxondetails?taxnode_id=202314425","ictv.global=202314425")</f>
        <v>ictv.global=202314425</v>
      </c>
    </row>
    <row r="342" spans="1:21">
      <c r="A342">
        <v>341</v>
      </c>
      <c r="B342" s="30" t="s">
        <v>1587</v>
      </c>
      <c r="D342" s="30" t="s">
        <v>1588</v>
      </c>
      <c r="F342" s="30" t="s">
        <v>1591</v>
      </c>
      <c r="H342" s="30" t="s">
        <v>1592</v>
      </c>
      <c r="L342" s="30" t="s">
        <v>4291</v>
      </c>
      <c r="N342" s="30" t="s">
        <v>1464</v>
      </c>
      <c r="P342" s="30" t="s">
        <v>4293</v>
      </c>
      <c r="Q342" t="s">
        <v>619</v>
      </c>
      <c r="R342" t="s">
        <v>919</v>
      </c>
      <c r="S342">
        <v>38</v>
      </c>
      <c r="T342" s="29" t="str">
        <f t="shared" si="14"/>
        <v>2022.001B.Aliceevansviridae.zip</v>
      </c>
      <c r="U342" s="29" t="str">
        <f>HYPERLINK("https://ictv.global/taxonomy/taxondetails?taxnode_id=202301269","ictv.global=202301269")</f>
        <v>ictv.global=202301269</v>
      </c>
    </row>
    <row r="343" spans="1:21">
      <c r="A343">
        <v>342</v>
      </c>
      <c r="B343" s="30" t="s">
        <v>1587</v>
      </c>
      <c r="D343" s="30" t="s">
        <v>1588</v>
      </c>
      <c r="F343" s="30" t="s">
        <v>1591</v>
      </c>
      <c r="H343" s="30" t="s">
        <v>1592</v>
      </c>
      <c r="L343" s="30" t="s">
        <v>4291</v>
      </c>
      <c r="N343" s="30" t="s">
        <v>1464</v>
      </c>
      <c r="P343" s="30" t="s">
        <v>4294</v>
      </c>
      <c r="Q343" t="s">
        <v>619</v>
      </c>
      <c r="R343" t="s">
        <v>919</v>
      </c>
      <c r="S343">
        <v>38</v>
      </c>
      <c r="T343" s="29" t="str">
        <f t="shared" si="14"/>
        <v>2022.001B.Aliceevansviridae.zip</v>
      </c>
      <c r="U343" s="29" t="str">
        <f>HYPERLINK("https://ictv.global/taxonomy/taxondetails?taxnode_id=202301267","ictv.global=202301267")</f>
        <v>ictv.global=202301267</v>
      </c>
    </row>
    <row r="344" spans="1:21">
      <c r="A344">
        <v>343</v>
      </c>
      <c r="B344" s="30" t="s">
        <v>1587</v>
      </c>
      <c r="D344" s="30" t="s">
        <v>1588</v>
      </c>
      <c r="F344" s="30" t="s">
        <v>1591</v>
      </c>
      <c r="H344" s="30" t="s">
        <v>1592</v>
      </c>
      <c r="L344" s="30" t="s">
        <v>4291</v>
      </c>
      <c r="N344" s="30" t="s">
        <v>1464</v>
      </c>
      <c r="P344" s="30" t="s">
        <v>4295</v>
      </c>
      <c r="Q344" t="s">
        <v>619</v>
      </c>
      <c r="R344" t="s">
        <v>919</v>
      </c>
      <c r="S344">
        <v>38</v>
      </c>
      <c r="T344" s="29" t="str">
        <f t="shared" si="14"/>
        <v>2022.001B.Aliceevansviridae.zip</v>
      </c>
      <c r="U344" s="29" t="str">
        <f>HYPERLINK("https://ictv.global/taxonomy/taxondetails?taxnode_id=202301268","ictv.global=202301268")</f>
        <v>ictv.global=202301268</v>
      </c>
    </row>
    <row r="345" spans="1:21">
      <c r="A345">
        <v>344</v>
      </c>
      <c r="B345" s="30" t="s">
        <v>1587</v>
      </c>
      <c r="D345" s="30" t="s">
        <v>1588</v>
      </c>
      <c r="F345" s="30" t="s">
        <v>1591</v>
      </c>
      <c r="H345" s="30" t="s">
        <v>1592</v>
      </c>
      <c r="L345" s="30" t="s">
        <v>4291</v>
      </c>
      <c r="N345" s="30" t="s">
        <v>1464</v>
      </c>
      <c r="P345" s="30" t="s">
        <v>4296</v>
      </c>
      <c r="Q345" t="s">
        <v>619</v>
      </c>
      <c r="R345" t="s">
        <v>919</v>
      </c>
      <c r="S345">
        <v>38</v>
      </c>
      <c r="T345" s="29" t="str">
        <f t="shared" si="14"/>
        <v>2022.001B.Aliceevansviridae.zip</v>
      </c>
      <c r="U345" s="29" t="str">
        <f>HYPERLINK("https://ictv.global/taxonomy/taxondetails?taxnode_id=202301270","ictv.global=202301270")</f>
        <v>ictv.global=202301270</v>
      </c>
    </row>
    <row r="346" spans="1:21">
      <c r="A346">
        <v>345</v>
      </c>
      <c r="B346" s="30" t="s">
        <v>1587</v>
      </c>
      <c r="D346" s="30" t="s">
        <v>1588</v>
      </c>
      <c r="F346" s="30" t="s">
        <v>1591</v>
      </c>
      <c r="H346" s="30" t="s">
        <v>1592</v>
      </c>
      <c r="L346" s="30" t="s">
        <v>4291</v>
      </c>
      <c r="N346" s="30" t="s">
        <v>1464</v>
      </c>
      <c r="P346" s="30" t="s">
        <v>4297</v>
      </c>
      <c r="Q346" t="s">
        <v>619</v>
      </c>
      <c r="R346" t="s">
        <v>917</v>
      </c>
      <c r="S346">
        <v>38</v>
      </c>
      <c r="T346" s="29" t="str">
        <f t="shared" si="14"/>
        <v>2022.001B.Aliceevansviridae.zip</v>
      </c>
      <c r="U346" s="29" t="str">
        <f>HYPERLINK("https://ictv.global/taxonomy/taxondetails?taxnode_id=202314433","ictv.global=202314433")</f>
        <v>ictv.global=202314433</v>
      </c>
    </row>
    <row r="347" spans="1:21">
      <c r="A347">
        <v>346</v>
      </c>
      <c r="B347" s="30" t="s">
        <v>1587</v>
      </c>
      <c r="D347" s="30" t="s">
        <v>1588</v>
      </c>
      <c r="F347" s="30" t="s">
        <v>1591</v>
      </c>
      <c r="H347" s="30" t="s">
        <v>1592</v>
      </c>
      <c r="L347" s="30" t="s">
        <v>4291</v>
      </c>
      <c r="N347" s="30" t="s">
        <v>1464</v>
      </c>
      <c r="P347" s="30" t="s">
        <v>4298</v>
      </c>
      <c r="Q347" t="s">
        <v>619</v>
      </c>
      <c r="R347" t="s">
        <v>917</v>
      </c>
      <c r="S347">
        <v>38</v>
      </c>
      <c r="T347" s="29" t="str">
        <f t="shared" si="14"/>
        <v>2022.001B.Aliceevansviridae.zip</v>
      </c>
      <c r="U347" s="29" t="str">
        <f>HYPERLINK("https://ictv.global/taxonomy/taxondetails?taxnode_id=202314434","ictv.global=202314434")</f>
        <v>ictv.global=202314434</v>
      </c>
    </row>
    <row r="348" spans="1:21">
      <c r="A348">
        <v>347</v>
      </c>
      <c r="B348" s="30" t="s">
        <v>1587</v>
      </c>
      <c r="D348" s="30" t="s">
        <v>1588</v>
      </c>
      <c r="F348" s="30" t="s">
        <v>1591</v>
      </c>
      <c r="H348" s="30" t="s">
        <v>1592</v>
      </c>
      <c r="L348" s="30" t="s">
        <v>4291</v>
      </c>
      <c r="N348" s="30" t="s">
        <v>1464</v>
      </c>
      <c r="P348" s="30" t="s">
        <v>4299</v>
      </c>
      <c r="Q348" t="s">
        <v>619</v>
      </c>
      <c r="R348" t="s">
        <v>917</v>
      </c>
      <c r="S348">
        <v>38</v>
      </c>
      <c r="T348" s="29" t="str">
        <f t="shared" si="14"/>
        <v>2022.001B.Aliceevansviridae.zip</v>
      </c>
      <c r="U348" s="29" t="str">
        <f>HYPERLINK("https://ictv.global/taxonomy/taxondetails?taxnode_id=202314435","ictv.global=202314435")</f>
        <v>ictv.global=202314435</v>
      </c>
    </row>
    <row r="349" spans="1:21">
      <c r="A349">
        <v>348</v>
      </c>
      <c r="B349" s="30" t="s">
        <v>1587</v>
      </c>
      <c r="D349" s="30" t="s">
        <v>1588</v>
      </c>
      <c r="F349" s="30" t="s">
        <v>1591</v>
      </c>
      <c r="H349" s="30" t="s">
        <v>1592</v>
      </c>
      <c r="L349" s="30" t="s">
        <v>4291</v>
      </c>
      <c r="N349" s="30" t="s">
        <v>1464</v>
      </c>
      <c r="P349" s="30" t="s">
        <v>4300</v>
      </c>
      <c r="Q349" t="s">
        <v>619</v>
      </c>
      <c r="R349" t="s">
        <v>917</v>
      </c>
      <c r="S349">
        <v>38</v>
      </c>
      <c r="T349" s="29" t="str">
        <f t="shared" si="14"/>
        <v>2022.001B.Aliceevansviridae.zip</v>
      </c>
      <c r="U349" s="29" t="str">
        <f>HYPERLINK("https://ictv.global/taxonomy/taxondetails?taxnode_id=202314436","ictv.global=202314436")</f>
        <v>ictv.global=202314436</v>
      </c>
    </row>
    <row r="350" spans="1:21">
      <c r="A350">
        <v>349</v>
      </c>
      <c r="B350" s="30" t="s">
        <v>1587</v>
      </c>
      <c r="D350" s="30" t="s">
        <v>1588</v>
      </c>
      <c r="F350" s="30" t="s">
        <v>1591</v>
      </c>
      <c r="H350" s="30" t="s">
        <v>1592</v>
      </c>
      <c r="L350" s="30" t="s">
        <v>4291</v>
      </c>
      <c r="N350" s="30" t="s">
        <v>1464</v>
      </c>
      <c r="P350" s="30" t="s">
        <v>4301</v>
      </c>
      <c r="Q350" t="s">
        <v>619</v>
      </c>
      <c r="R350" t="s">
        <v>917</v>
      </c>
      <c r="S350">
        <v>38</v>
      </c>
      <c r="T350" s="29" t="str">
        <f t="shared" si="14"/>
        <v>2022.001B.Aliceevansviridae.zip</v>
      </c>
      <c r="U350" s="29" t="str">
        <f>HYPERLINK("https://ictv.global/taxonomy/taxondetails?taxnode_id=202314437","ictv.global=202314437")</f>
        <v>ictv.global=202314437</v>
      </c>
    </row>
    <row r="351" spans="1:21">
      <c r="A351">
        <v>350</v>
      </c>
      <c r="B351" s="30" t="s">
        <v>1587</v>
      </c>
      <c r="D351" s="30" t="s">
        <v>1588</v>
      </c>
      <c r="F351" s="30" t="s">
        <v>1591</v>
      </c>
      <c r="H351" s="30" t="s">
        <v>1592</v>
      </c>
      <c r="L351" s="30" t="s">
        <v>4291</v>
      </c>
      <c r="N351" s="30" t="s">
        <v>1464</v>
      </c>
      <c r="P351" s="30" t="s">
        <v>4302</v>
      </c>
      <c r="Q351" t="s">
        <v>619</v>
      </c>
      <c r="R351" t="s">
        <v>917</v>
      </c>
      <c r="S351">
        <v>38</v>
      </c>
      <c r="T351" s="29" t="str">
        <f t="shared" si="14"/>
        <v>2022.001B.Aliceevansviridae.zip</v>
      </c>
      <c r="U351" s="29" t="str">
        <f>HYPERLINK("https://ictv.global/taxonomy/taxondetails?taxnode_id=202314426","ictv.global=202314426")</f>
        <v>ictv.global=202314426</v>
      </c>
    </row>
    <row r="352" spans="1:21">
      <c r="A352">
        <v>351</v>
      </c>
      <c r="B352" s="30" t="s">
        <v>1587</v>
      </c>
      <c r="D352" s="30" t="s">
        <v>1588</v>
      </c>
      <c r="F352" s="30" t="s">
        <v>1591</v>
      </c>
      <c r="H352" s="30" t="s">
        <v>1592</v>
      </c>
      <c r="L352" s="30" t="s">
        <v>4291</v>
      </c>
      <c r="N352" s="30" t="s">
        <v>1464</v>
      </c>
      <c r="P352" s="30" t="s">
        <v>4303</v>
      </c>
      <c r="Q352" t="s">
        <v>619</v>
      </c>
      <c r="R352" t="s">
        <v>917</v>
      </c>
      <c r="S352">
        <v>38</v>
      </c>
      <c r="T352" s="29" t="str">
        <f t="shared" si="14"/>
        <v>2022.001B.Aliceevansviridae.zip</v>
      </c>
      <c r="U352" s="29" t="str">
        <f>HYPERLINK("https://ictv.global/taxonomy/taxondetails?taxnode_id=202314427","ictv.global=202314427")</f>
        <v>ictv.global=202314427</v>
      </c>
    </row>
    <row r="353" spans="1:21">
      <c r="A353">
        <v>352</v>
      </c>
      <c r="B353" s="30" t="s">
        <v>1587</v>
      </c>
      <c r="D353" s="30" t="s">
        <v>1588</v>
      </c>
      <c r="F353" s="30" t="s">
        <v>1591</v>
      </c>
      <c r="H353" s="30" t="s">
        <v>1592</v>
      </c>
      <c r="L353" s="30" t="s">
        <v>4291</v>
      </c>
      <c r="N353" s="30" t="s">
        <v>1464</v>
      </c>
      <c r="P353" s="30" t="s">
        <v>4304</v>
      </c>
      <c r="Q353" t="s">
        <v>619</v>
      </c>
      <c r="R353" t="s">
        <v>917</v>
      </c>
      <c r="S353">
        <v>38</v>
      </c>
      <c r="T353" s="29" t="str">
        <f t="shared" si="14"/>
        <v>2022.001B.Aliceevansviridae.zip</v>
      </c>
      <c r="U353" s="29" t="str">
        <f>HYPERLINK("https://ictv.global/taxonomy/taxondetails?taxnode_id=202314428","ictv.global=202314428")</f>
        <v>ictv.global=202314428</v>
      </c>
    </row>
    <row r="354" spans="1:21">
      <c r="A354">
        <v>353</v>
      </c>
      <c r="B354" s="30" t="s">
        <v>1587</v>
      </c>
      <c r="D354" s="30" t="s">
        <v>1588</v>
      </c>
      <c r="F354" s="30" t="s">
        <v>1591</v>
      </c>
      <c r="H354" s="30" t="s">
        <v>1592</v>
      </c>
      <c r="L354" s="30" t="s">
        <v>4291</v>
      </c>
      <c r="N354" s="30" t="s">
        <v>1464</v>
      </c>
      <c r="P354" s="30" t="s">
        <v>4305</v>
      </c>
      <c r="Q354" t="s">
        <v>619</v>
      </c>
      <c r="R354" t="s">
        <v>917</v>
      </c>
      <c r="S354">
        <v>38</v>
      </c>
      <c r="T354" s="29" t="str">
        <f t="shared" si="14"/>
        <v>2022.001B.Aliceevansviridae.zip</v>
      </c>
      <c r="U354" s="29" t="str">
        <f>HYPERLINK("https://ictv.global/taxonomy/taxondetails?taxnode_id=202314429","ictv.global=202314429")</f>
        <v>ictv.global=202314429</v>
      </c>
    </row>
    <row r="355" spans="1:21">
      <c r="A355">
        <v>354</v>
      </c>
      <c r="B355" s="30" t="s">
        <v>1587</v>
      </c>
      <c r="D355" s="30" t="s">
        <v>1588</v>
      </c>
      <c r="F355" s="30" t="s">
        <v>1591</v>
      </c>
      <c r="H355" s="30" t="s">
        <v>1592</v>
      </c>
      <c r="L355" s="30" t="s">
        <v>4291</v>
      </c>
      <c r="N355" s="30" t="s">
        <v>1464</v>
      </c>
      <c r="P355" s="30" t="s">
        <v>4306</v>
      </c>
      <c r="Q355" t="s">
        <v>619</v>
      </c>
      <c r="R355" t="s">
        <v>917</v>
      </c>
      <c r="S355">
        <v>38</v>
      </c>
      <c r="T355" s="29" t="str">
        <f t="shared" si="14"/>
        <v>2022.001B.Aliceevansviridae.zip</v>
      </c>
      <c r="U355" s="29" t="str">
        <f>HYPERLINK("https://ictv.global/taxonomy/taxondetails?taxnode_id=202314430","ictv.global=202314430")</f>
        <v>ictv.global=202314430</v>
      </c>
    </row>
    <row r="356" spans="1:21">
      <c r="A356">
        <v>355</v>
      </c>
      <c r="B356" s="30" t="s">
        <v>1587</v>
      </c>
      <c r="D356" s="30" t="s">
        <v>1588</v>
      </c>
      <c r="F356" s="30" t="s">
        <v>1591</v>
      </c>
      <c r="H356" s="30" t="s">
        <v>1592</v>
      </c>
      <c r="L356" s="30" t="s">
        <v>4291</v>
      </c>
      <c r="N356" s="30" t="s">
        <v>1464</v>
      </c>
      <c r="P356" s="30" t="s">
        <v>4307</v>
      </c>
      <c r="Q356" t="s">
        <v>619</v>
      </c>
      <c r="R356" t="s">
        <v>917</v>
      </c>
      <c r="S356">
        <v>38</v>
      </c>
      <c r="T356" s="29" t="str">
        <f t="shared" si="14"/>
        <v>2022.001B.Aliceevansviridae.zip</v>
      </c>
      <c r="U356" s="29" t="str">
        <f>HYPERLINK("https://ictv.global/taxonomy/taxondetails?taxnode_id=202314431","ictv.global=202314431")</f>
        <v>ictv.global=202314431</v>
      </c>
    </row>
    <row r="357" spans="1:21">
      <c r="A357">
        <v>356</v>
      </c>
      <c r="B357" s="30" t="s">
        <v>1587</v>
      </c>
      <c r="D357" s="30" t="s">
        <v>1588</v>
      </c>
      <c r="F357" s="30" t="s">
        <v>1591</v>
      </c>
      <c r="H357" s="30" t="s">
        <v>1592</v>
      </c>
      <c r="L357" s="30" t="s">
        <v>4291</v>
      </c>
      <c r="N357" s="30" t="s">
        <v>1464</v>
      </c>
      <c r="P357" s="30" t="s">
        <v>4308</v>
      </c>
      <c r="Q357" t="s">
        <v>619</v>
      </c>
      <c r="R357" t="s">
        <v>917</v>
      </c>
      <c r="S357">
        <v>38</v>
      </c>
      <c r="T357" s="29" t="str">
        <f t="shared" si="14"/>
        <v>2022.001B.Aliceevansviridae.zip</v>
      </c>
      <c r="U357" s="29" t="str">
        <f>HYPERLINK("https://ictv.global/taxonomy/taxondetails?taxnode_id=202314432","ictv.global=202314432")</f>
        <v>ictv.global=202314432</v>
      </c>
    </row>
    <row r="358" spans="1:21">
      <c r="A358">
        <v>357</v>
      </c>
      <c r="B358" s="30" t="s">
        <v>1587</v>
      </c>
      <c r="D358" s="30" t="s">
        <v>1588</v>
      </c>
      <c r="F358" s="30" t="s">
        <v>1591</v>
      </c>
      <c r="H358" s="30" t="s">
        <v>1592</v>
      </c>
      <c r="L358" s="30" t="s">
        <v>4291</v>
      </c>
      <c r="N358" s="30" t="s">
        <v>1464</v>
      </c>
      <c r="P358" s="30" t="s">
        <v>4309</v>
      </c>
      <c r="Q358" t="s">
        <v>619</v>
      </c>
      <c r="R358" t="s">
        <v>917</v>
      </c>
      <c r="S358">
        <v>38</v>
      </c>
      <c r="T358" s="29" t="str">
        <f t="shared" si="14"/>
        <v>2022.001B.Aliceevansviridae.zip</v>
      </c>
      <c r="U358" s="29" t="str">
        <f>HYPERLINK("https://ictv.global/taxonomy/taxondetails?taxnode_id=202314438","ictv.global=202314438")</f>
        <v>ictv.global=202314438</v>
      </c>
    </row>
    <row r="359" spans="1:21">
      <c r="A359">
        <v>358</v>
      </c>
      <c r="B359" s="30" t="s">
        <v>1587</v>
      </c>
      <c r="D359" s="30" t="s">
        <v>1588</v>
      </c>
      <c r="F359" s="30" t="s">
        <v>1591</v>
      </c>
      <c r="H359" s="30" t="s">
        <v>1592</v>
      </c>
      <c r="L359" s="30" t="s">
        <v>4291</v>
      </c>
      <c r="N359" s="30" t="s">
        <v>1464</v>
      </c>
      <c r="P359" s="30" t="s">
        <v>4310</v>
      </c>
      <c r="Q359" t="s">
        <v>619</v>
      </c>
      <c r="R359" t="s">
        <v>917</v>
      </c>
      <c r="S359">
        <v>38</v>
      </c>
      <c r="T359" s="29" t="str">
        <f t="shared" si="14"/>
        <v>2022.001B.Aliceevansviridae.zip</v>
      </c>
      <c r="U359" s="29" t="str">
        <f>HYPERLINK("https://ictv.global/taxonomy/taxondetails?taxnode_id=202314439","ictv.global=202314439")</f>
        <v>ictv.global=202314439</v>
      </c>
    </row>
    <row r="360" spans="1:21">
      <c r="A360">
        <v>359</v>
      </c>
      <c r="B360" s="30" t="s">
        <v>1587</v>
      </c>
      <c r="D360" s="30" t="s">
        <v>1588</v>
      </c>
      <c r="F360" s="30" t="s">
        <v>1591</v>
      </c>
      <c r="H360" s="30" t="s">
        <v>1592</v>
      </c>
      <c r="L360" s="30" t="s">
        <v>4291</v>
      </c>
      <c r="N360" s="30" t="s">
        <v>1464</v>
      </c>
      <c r="P360" s="30" t="s">
        <v>4311</v>
      </c>
      <c r="Q360" t="s">
        <v>619</v>
      </c>
      <c r="R360" t="s">
        <v>917</v>
      </c>
      <c r="S360">
        <v>38</v>
      </c>
      <c r="T360" s="29" t="str">
        <f t="shared" si="14"/>
        <v>2022.001B.Aliceevansviridae.zip</v>
      </c>
      <c r="U360" s="29" t="str">
        <f>HYPERLINK("https://ictv.global/taxonomy/taxondetails?taxnode_id=202314440","ictv.global=202314440")</f>
        <v>ictv.global=202314440</v>
      </c>
    </row>
    <row r="361" spans="1:21">
      <c r="A361">
        <v>360</v>
      </c>
      <c r="B361" s="30" t="s">
        <v>1587</v>
      </c>
      <c r="D361" s="30" t="s">
        <v>1588</v>
      </c>
      <c r="F361" s="30" t="s">
        <v>1591</v>
      </c>
      <c r="H361" s="30" t="s">
        <v>1592</v>
      </c>
      <c r="L361" s="30" t="s">
        <v>4291</v>
      </c>
      <c r="N361" s="30" t="s">
        <v>1464</v>
      </c>
      <c r="P361" s="30" t="s">
        <v>4312</v>
      </c>
      <c r="Q361" t="s">
        <v>619</v>
      </c>
      <c r="R361" t="s">
        <v>917</v>
      </c>
      <c r="S361">
        <v>38</v>
      </c>
      <c r="T361" s="29" t="str">
        <f t="shared" si="14"/>
        <v>2022.001B.Aliceevansviridae.zip</v>
      </c>
      <c r="U361" s="29" t="str">
        <f>HYPERLINK("https://ictv.global/taxonomy/taxondetails?taxnode_id=202314441","ictv.global=202314441")</f>
        <v>ictv.global=202314441</v>
      </c>
    </row>
    <row r="362" spans="1:21">
      <c r="A362">
        <v>361</v>
      </c>
      <c r="B362" s="30" t="s">
        <v>1587</v>
      </c>
      <c r="D362" s="30" t="s">
        <v>1588</v>
      </c>
      <c r="F362" s="30" t="s">
        <v>1591</v>
      </c>
      <c r="H362" s="30" t="s">
        <v>1592</v>
      </c>
      <c r="L362" s="30" t="s">
        <v>4291</v>
      </c>
      <c r="N362" s="30" t="s">
        <v>1464</v>
      </c>
      <c r="P362" s="30" t="s">
        <v>4313</v>
      </c>
      <c r="Q362" t="s">
        <v>619</v>
      </c>
      <c r="R362" t="s">
        <v>917</v>
      </c>
      <c r="S362">
        <v>38</v>
      </c>
      <c r="T362" s="29" t="str">
        <f t="shared" si="14"/>
        <v>2022.001B.Aliceevansviridae.zip</v>
      </c>
      <c r="U362" s="29" t="str">
        <f>HYPERLINK("https://ictv.global/taxonomy/taxondetails?taxnode_id=202314442","ictv.global=202314442")</f>
        <v>ictv.global=202314442</v>
      </c>
    </row>
    <row r="363" spans="1:21">
      <c r="A363">
        <v>362</v>
      </c>
      <c r="B363" s="30" t="s">
        <v>1587</v>
      </c>
      <c r="D363" s="30" t="s">
        <v>1588</v>
      </c>
      <c r="F363" s="30" t="s">
        <v>1591</v>
      </c>
      <c r="H363" s="30" t="s">
        <v>1592</v>
      </c>
      <c r="L363" s="30" t="s">
        <v>4291</v>
      </c>
      <c r="N363" s="30" t="s">
        <v>1464</v>
      </c>
      <c r="P363" s="30" t="s">
        <v>4314</v>
      </c>
      <c r="Q363" t="s">
        <v>619</v>
      </c>
      <c r="R363" t="s">
        <v>917</v>
      </c>
      <c r="S363">
        <v>38</v>
      </c>
      <c r="T363" s="29" t="str">
        <f t="shared" si="14"/>
        <v>2022.001B.Aliceevansviridae.zip</v>
      </c>
      <c r="U363" s="29" t="str">
        <f>HYPERLINK("https://ictv.global/taxonomy/taxondetails?taxnode_id=202314443","ictv.global=202314443")</f>
        <v>ictv.global=202314443</v>
      </c>
    </row>
    <row r="364" spans="1:21">
      <c r="A364">
        <v>363</v>
      </c>
      <c r="B364" s="30" t="s">
        <v>1587</v>
      </c>
      <c r="D364" s="30" t="s">
        <v>1588</v>
      </c>
      <c r="F364" s="30" t="s">
        <v>1591</v>
      </c>
      <c r="H364" s="30" t="s">
        <v>1592</v>
      </c>
      <c r="L364" s="30" t="s">
        <v>4291</v>
      </c>
      <c r="N364" s="30" t="s">
        <v>1464</v>
      </c>
      <c r="P364" s="30" t="s">
        <v>4315</v>
      </c>
      <c r="Q364" t="s">
        <v>619</v>
      </c>
      <c r="R364" t="s">
        <v>917</v>
      </c>
      <c r="S364">
        <v>38</v>
      </c>
      <c r="T364" s="29" t="str">
        <f t="shared" si="14"/>
        <v>2022.001B.Aliceevansviridae.zip</v>
      </c>
      <c r="U364" s="29" t="str">
        <f>HYPERLINK("https://ictv.global/taxonomy/taxondetails?taxnode_id=202314444","ictv.global=202314444")</f>
        <v>ictv.global=202314444</v>
      </c>
    </row>
    <row r="365" spans="1:21">
      <c r="A365">
        <v>364</v>
      </c>
      <c r="B365" s="30" t="s">
        <v>1587</v>
      </c>
      <c r="D365" s="30" t="s">
        <v>1588</v>
      </c>
      <c r="F365" s="30" t="s">
        <v>1591</v>
      </c>
      <c r="H365" s="30" t="s">
        <v>1592</v>
      </c>
      <c r="L365" s="30" t="s">
        <v>4291</v>
      </c>
      <c r="N365" s="30" t="s">
        <v>1464</v>
      </c>
      <c r="P365" s="30" t="s">
        <v>4316</v>
      </c>
      <c r="Q365" t="s">
        <v>619</v>
      </c>
      <c r="R365" t="s">
        <v>917</v>
      </c>
      <c r="S365">
        <v>38</v>
      </c>
      <c r="T365" s="29" t="str">
        <f t="shared" si="14"/>
        <v>2022.001B.Aliceevansviridae.zip</v>
      </c>
      <c r="U365" s="29" t="str">
        <f>HYPERLINK("https://ictv.global/taxonomy/taxondetails?taxnode_id=202314445","ictv.global=202314445")</f>
        <v>ictv.global=202314445</v>
      </c>
    </row>
    <row r="366" spans="1:21">
      <c r="A366">
        <v>365</v>
      </c>
      <c r="B366" s="30" t="s">
        <v>1587</v>
      </c>
      <c r="D366" s="30" t="s">
        <v>1588</v>
      </c>
      <c r="F366" s="30" t="s">
        <v>1591</v>
      </c>
      <c r="H366" s="30" t="s">
        <v>1592</v>
      </c>
      <c r="L366" s="30" t="s">
        <v>4291</v>
      </c>
      <c r="N366" s="30" t="s">
        <v>1464</v>
      </c>
      <c r="P366" s="30" t="s">
        <v>4317</v>
      </c>
      <c r="Q366" t="s">
        <v>619</v>
      </c>
      <c r="R366" t="s">
        <v>919</v>
      </c>
      <c r="S366">
        <v>38</v>
      </c>
      <c r="T366" s="29" t="str">
        <f t="shared" si="14"/>
        <v>2022.001B.Aliceevansviridae.zip</v>
      </c>
      <c r="U366" s="29" t="str">
        <f>HYPERLINK("https://ictv.global/taxonomy/taxondetails?taxnode_id=202301271","ictv.global=202301271")</f>
        <v>ictv.global=202301271</v>
      </c>
    </row>
    <row r="367" spans="1:21">
      <c r="A367">
        <v>366</v>
      </c>
      <c r="B367" s="30" t="s">
        <v>1587</v>
      </c>
      <c r="D367" s="30" t="s">
        <v>1588</v>
      </c>
      <c r="F367" s="30" t="s">
        <v>1591</v>
      </c>
      <c r="H367" s="30" t="s">
        <v>1592</v>
      </c>
      <c r="L367" s="30" t="s">
        <v>4291</v>
      </c>
      <c r="N367" s="30" t="s">
        <v>1464</v>
      </c>
      <c r="P367" s="30" t="s">
        <v>4318</v>
      </c>
      <c r="Q367" t="s">
        <v>619</v>
      </c>
      <c r="R367" t="s">
        <v>917</v>
      </c>
      <c r="S367">
        <v>38</v>
      </c>
      <c r="T367" s="29" t="str">
        <f t="shared" si="14"/>
        <v>2022.001B.Aliceevansviridae.zip</v>
      </c>
      <c r="U367" s="29" t="str">
        <f>HYPERLINK("https://ictv.global/taxonomy/taxondetails?taxnode_id=202314447","ictv.global=202314447")</f>
        <v>ictv.global=202314447</v>
      </c>
    </row>
    <row r="368" spans="1:21">
      <c r="A368">
        <v>367</v>
      </c>
      <c r="B368" s="30" t="s">
        <v>1587</v>
      </c>
      <c r="D368" s="30" t="s">
        <v>1588</v>
      </c>
      <c r="F368" s="30" t="s">
        <v>1591</v>
      </c>
      <c r="H368" s="30" t="s">
        <v>1592</v>
      </c>
      <c r="L368" s="30" t="s">
        <v>4291</v>
      </c>
      <c r="N368" s="30" t="s">
        <v>1464</v>
      </c>
      <c r="P368" s="30" t="s">
        <v>4319</v>
      </c>
      <c r="Q368" t="s">
        <v>619</v>
      </c>
      <c r="R368" t="s">
        <v>917</v>
      </c>
      <c r="S368">
        <v>38</v>
      </c>
      <c r="T368" s="29" t="str">
        <f t="shared" si="14"/>
        <v>2022.001B.Aliceevansviridae.zip</v>
      </c>
      <c r="U368" s="29" t="str">
        <f>HYPERLINK("https://ictv.global/taxonomy/taxondetails?taxnode_id=202314448","ictv.global=202314448")</f>
        <v>ictv.global=202314448</v>
      </c>
    </row>
    <row r="369" spans="1:21">
      <c r="A369">
        <v>368</v>
      </c>
      <c r="B369" s="30" t="s">
        <v>1587</v>
      </c>
      <c r="D369" s="30" t="s">
        <v>1588</v>
      </c>
      <c r="F369" s="30" t="s">
        <v>1591</v>
      </c>
      <c r="H369" s="30" t="s">
        <v>1592</v>
      </c>
      <c r="L369" s="30" t="s">
        <v>4291</v>
      </c>
      <c r="N369" s="30" t="s">
        <v>1464</v>
      </c>
      <c r="P369" s="30" t="s">
        <v>4320</v>
      </c>
      <c r="Q369" t="s">
        <v>619</v>
      </c>
      <c r="R369" t="s">
        <v>917</v>
      </c>
      <c r="S369">
        <v>38</v>
      </c>
      <c r="T369" s="29" t="str">
        <f t="shared" si="14"/>
        <v>2022.001B.Aliceevansviridae.zip</v>
      </c>
      <c r="U369" s="29" t="str">
        <f>HYPERLINK("https://ictv.global/taxonomy/taxondetails?taxnode_id=202314449","ictv.global=202314449")</f>
        <v>ictv.global=202314449</v>
      </c>
    </row>
    <row r="370" spans="1:21">
      <c r="A370">
        <v>369</v>
      </c>
      <c r="B370" s="30" t="s">
        <v>1587</v>
      </c>
      <c r="D370" s="30" t="s">
        <v>1588</v>
      </c>
      <c r="F370" s="30" t="s">
        <v>1591</v>
      </c>
      <c r="H370" s="30" t="s">
        <v>1592</v>
      </c>
      <c r="L370" s="30" t="s">
        <v>4291</v>
      </c>
      <c r="N370" s="30" t="s">
        <v>1464</v>
      </c>
      <c r="P370" s="30" t="s">
        <v>4321</v>
      </c>
      <c r="Q370" t="s">
        <v>619</v>
      </c>
      <c r="R370" t="s">
        <v>917</v>
      </c>
      <c r="S370">
        <v>38</v>
      </c>
      <c r="T370" s="29" t="str">
        <f t="shared" si="14"/>
        <v>2022.001B.Aliceevansviridae.zip</v>
      </c>
      <c r="U370" s="29" t="str">
        <f>HYPERLINK("https://ictv.global/taxonomy/taxondetails?taxnode_id=202314450","ictv.global=202314450")</f>
        <v>ictv.global=202314450</v>
      </c>
    </row>
    <row r="371" spans="1:21">
      <c r="A371">
        <v>370</v>
      </c>
      <c r="B371" s="30" t="s">
        <v>1587</v>
      </c>
      <c r="D371" s="30" t="s">
        <v>1588</v>
      </c>
      <c r="F371" s="30" t="s">
        <v>1591</v>
      </c>
      <c r="H371" s="30" t="s">
        <v>1592</v>
      </c>
      <c r="L371" s="30" t="s">
        <v>4291</v>
      </c>
      <c r="N371" s="30" t="s">
        <v>1464</v>
      </c>
      <c r="P371" s="30" t="s">
        <v>4322</v>
      </c>
      <c r="Q371" t="s">
        <v>619</v>
      </c>
      <c r="R371" t="s">
        <v>917</v>
      </c>
      <c r="S371">
        <v>38</v>
      </c>
      <c r="T371" s="29" t="str">
        <f t="shared" si="14"/>
        <v>2022.001B.Aliceevansviridae.zip</v>
      </c>
      <c r="U371" s="29" t="str">
        <f>HYPERLINK("https://ictv.global/taxonomy/taxondetails?taxnode_id=202314446","ictv.global=202314446")</f>
        <v>ictv.global=202314446</v>
      </c>
    </row>
    <row r="372" spans="1:21">
      <c r="A372">
        <v>371</v>
      </c>
      <c r="B372" s="30" t="s">
        <v>1587</v>
      </c>
      <c r="D372" s="30" t="s">
        <v>1588</v>
      </c>
      <c r="F372" s="30" t="s">
        <v>1591</v>
      </c>
      <c r="H372" s="30" t="s">
        <v>1592</v>
      </c>
      <c r="L372" s="30" t="s">
        <v>4291</v>
      </c>
      <c r="N372" s="30" t="s">
        <v>1464</v>
      </c>
      <c r="P372" s="30" t="s">
        <v>4323</v>
      </c>
      <c r="Q372" t="s">
        <v>619</v>
      </c>
      <c r="R372" t="s">
        <v>917</v>
      </c>
      <c r="S372">
        <v>38</v>
      </c>
      <c r="T372" s="29" t="str">
        <f t="shared" si="14"/>
        <v>2022.001B.Aliceevansviridae.zip</v>
      </c>
      <c r="U372" s="29" t="str">
        <f>HYPERLINK("https://ictv.global/taxonomy/taxondetails?taxnode_id=202314451","ictv.global=202314451")</f>
        <v>ictv.global=202314451</v>
      </c>
    </row>
    <row r="373" spans="1:21">
      <c r="A373">
        <v>372</v>
      </c>
      <c r="B373" s="30" t="s">
        <v>1587</v>
      </c>
      <c r="D373" s="30" t="s">
        <v>1588</v>
      </c>
      <c r="F373" s="30" t="s">
        <v>1591</v>
      </c>
      <c r="H373" s="30" t="s">
        <v>1592</v>
      </c>
      <c r="L373" s="30" t="s">
        <v>4291</v>
      </c>
      <c r="N373" s="30" t="s">
        <v>1464</v>
      </c>
      <c r="P373" s="30" t="s">
        <v>4324</v>
      </c>
      <c r="Q373" t="s">
        <v>619</v>
      </c>
      <c r="R373" t="s">
        <v>917</v>
      </c>
      <c r="S373">
        <v>38</v>
      </c>
      <c r="T373" s="29" t="str">
        <f t="shared" ref="T373:T404" si="15">HYPERLINK("https://ictv.global/ictv/proposals/2022.001B.Aliceevansviridae.zip","2022.001B.Aliceevansviridae.zip")</f>
        <v>2022.001B.Aliceevansviridae.zip</v>
      </c>
      <c r="U373" s="29" t="str">
        <f>HYPERLINK("https://ictv.global/taxonomy/taxondetails?taxnode_id=202314452","ictv.global=202314452")</f>
        <v>ictv.global=202314452</v>
      </c>
    </row>
    <row r="374" spans="1:21">
      <c r="A374">
        <v>373</v>
      </c>
      <c r="B374" s="30" t="s">
        <v>1587</v>
      </c>
      <c r="D374" s="30" t="s">
        <v>1588</v>
      </c>
      <c r="F374" s="30" t="s">
        <v>1591</v>
      </c>
      <c r="H374" s="30" t="s">
        <v>1592</v>
      </c>
      <c r="L374" s="30" t="s">
        <v>4291</v>
      </c>
      <c r="N374" s="30" t="s">
        <v>1464</v>
      </c>
      <c r="P374" s="30" t="s">
        <v>4325</v>
      </c>
      <c r="Q374" t="s">
        <v>619</v>
      </c>
      <c r="R374" t="s">
        <v>917</v>
      </c>
      <c r="S374">
        <v>38</v>
      </c>
      <c r="T374" s="29" t="str">
        <f t="shared" si="15"/>
        <v>2022.001B.Aliceevansviridae.zip</v>
      </c>
      <c r="U374" s="29" t="str">
        <f>HYPERLINK("https://ictv.global/taxonomy/taxondetails?taxnode_id=202314453","ictv.global=202314453")</f>
        <v>ictv.global=202314453</v>
      </c>
    </row>
    <row r="375" spans="1:21">
      <c r="A375">
        <v>374</v>
      </c>
      <c r="B375" s="30" t="s">
        <v>1587</v>
      </c>
      <c r="D375" s="30" t="s">
        <v>1588</v>
      </c>
      <c r="F375" s="30" t="s">
        <v>1591</v>
      </c>
      <c r="H375" s="30" t="s">
        <v>1592</v>
      </c>
      <c r="L375" s="30" t="s">
        <v>4291</v>
      </c>
      <c r="N375" s="30" t="s">
        <v>1522</v>
      </c>
      <c r="P375" s="30" t="s">
        <v>4326</v>
      </c>
      <c r="Q375" t="s">
        <v>619</v>
      </c>
      <c r="R375" t="s">
        <v>919</v>
      </c>
      <c r="S375">
        <v>38</v>
      </c>
      <c r="T375" s="29" t="str">
        <f t="shared" si="15"/>
        <v>2022.001B.Aliceevansviridae.zip</v>
      </c>
      <c r="U375" s="29" t="str">
        <f>HYPERLINK("https://ictv.global/taxonomy/taxondetails?taxnode_id=202301275","ictv.global=202301275")</f>
        <v>ictv.global=202301275</v>
      </c>
    </row>
    <row r="376" spans="1:21">
      <c r="A376">
        <v>375</v>
      </c>
      <c r="B376" s="30" t="s">
        <v>1587</v>
      </c>
      <c r="D376" s="30" t="s">
        <v>1588</v>
      </c>
      <c r="F376" s="30" t="s">
        <v>1591</v>
      </c>
      <c r="H376" s="30" t="s">
        <v>1592</v>
      </c>
      <c r="L376" s="30" t="s">
        <v>4291</v>
      </c>
      <c r="N376" s="30" t="s">
        <v>1522</v>
      </c>
      <c r="P376" s="30" t="s">
        <v>4327</v>
      </c>
      <c r="Q376" t="s">
        <v>619</v>
      </c>
      <c r="R376" t="s">
        <v>917</v>
      </c>
      <c r="S376">
        <v>38</v>
      </c>
      <c r="T376" s="29" t="str">
        <f t="shared" si="15"/>
        <v>2022.001B.Aliceevansviridae.zip</v>
      </c>
      <c r="U376" s="29" t="str">
        <f>HYPERLINK("https://ictv.global/taxonomy/taxondetails?taxnode_id=202314353","ictv.global=202314353")</f>
        <v>ictv.global=202314353</v>
      </c>
    </row>
    <row r="377" spans="1:21">
      <c r="A377">
        <v>376</v>
      </c>
      <c r="B377" s="30" t="s">
        <v>1587</v>
      </c>
      <c r="D377" s="30" t="s">
        <v>1588</v>
      </c>
      <c r="F377" s="30" t="s">
        <v>1591</v>
      </c>
      <c r="H377" s="30" t="s">
        <v>1592</v>
      </c>
      <c r="L377" s="30" t="s">
        <v>4291</v>
      </c>
      <c r="N377" s="30" t="s">
        <v>1522</v>
      </c>
      <c r="P377" s="30" t="s">
        <v>4328</v>
      </c>
      <c r="Q377" t="s">
        <v>619</v>
      </c>
      <c r="R377" t="s">
        <v>917</v>
      </c>
      <c r="S377">
        <v>38</v>
      </c>
      <c r="T377" s="29" t="str">
        <f t="shared" si="15"/>
        <v>2022.001B.Aliceevansviridae.zip</v>
      </c>
      <c r="U377" s="29" t="str">
        <f>HYPERLINK("https://ictv.global/taxonomy/taxondetails?taxnode_id=202314367","ictv.global=202314367")</f>
        <v>ictv.global=202314367</v>
      </c>
    </row>
    <row r="378" spans="1:21">
      <c r="A378">
        <v>377</v>
      </c>
      <c r="B378" s="30" t="s">
        <v>1587</v>
      </c>
      <c r="D378" s="30" t="s">
        <v>1588</v>
      </c>
      <c r="F378" s="30" t="s">
        <v>1591</v>
      </c>
      <c r="H378" s="30" t="s">
        <v>1592</v>
      </c>
      <c r="L378" s="30" t="s">
        <v>4291</v>
      </c>
      <c r="N378" s="30" t="s">
        <v>1522</v>
      </c>
      <c r="P378" s="30" t="s">
        <v>4329</v>
      </c>
      <c r="Q378" t="s">
        <v>619</v>
      </c>
      <c r="R378" t="s">
        <v>917</v>
      </c>
      <c r="S378">
        <v>38</v>
      </c>
      <c r="T378" s="29" t="str">
        <f t="shared" si="15"/>
        <v>2022.001B.Aliceevansviridae.zip</v>
      </c>
      <c r="U378" s="29" t="str">
        <f>HYPERLINK("https://ictv.global/taxonomy/taxondetails?taxnode_id=202314368","ictv.global=202314368")</f>
        <v>ictv.global=202314368</v>
      </c>
    </row>
    <row r="379" spans="1:21">
      <c r="A379">
        <v>378</v>
      </c>
      <c r="B379" s="30" t="s">
        <v>1587</v>
      </c>
      <c r="D379" s="30" t="s">
        <v>1588</v>
      </c>
      <c r="F379" s="30" t="s">
        <v>1591</v>
      </c>
      <c r="H379" s="30" t="s">
        <v>1592</v>
      </c>
      <c r="L379" s="30" t="s">
        <v>4291</v>
      </c>
      <c r="N379" s="30" t="s">
        <v>1522</v>
      </c>
      <c r="P379" s="30" t="s">
        <v>4330</v>
      </c>
      <c r="Q379" t="s">
        <v>619</v>
      </c>
      <c r="R379" t="s">
        <v>917</v>
      </c>
      <c r="S379">
        <v>38</v>
      </c>
      <c r="T379" s="29" t="str">
        <f t="shared" si="15"/>
        <v>2022.001B.Aliceevansviridae.zip</v>
      </c>
      <c r="U379" s="29" t="str">
        <f>HYPERLINK("https://ictv.global/taxonomy/taxondetails?taxnode_id=202314369","ictv.global=202314369")</f>
        <v>ictv.global=202314369</v>
      </c>
    </row>
    <row r="380" spans="1:21">
      <c r="A380">
        <v>379</v>
      </c>
      <c r="B380" s="30" t="s">
        <v>1587</v>
      </c>
      <c r="D380" s="30" t="s">
        <v>1588</v>
      </c>
      <c r="F380" s="30" t="s">
        <v>1591</v>
      </c>
      <c r="H380" s="30" t="s">
        <v>1592</v>
      </c>
      <c r="L380" s="30" t="s">
        <v>4291</v>
      </c>
      <c r="N380" s="30" t="s">
        <v>1522</v>
      </c>
      <c r="P380" s="30" t="s">
        <v>4331</v>
      </c>
      <c r="Q380" t="s">
        <v>619</v>
      </c>
      <c r="R380" t="s">
        <v>917</v>
      </c>
      <c r="S380">
        <v>38</v>
      </c>
      <c r="T380" s="29" t="str">
        <f t="shared" si="15"/>
        <v>2022.001B.Aliceevansviridae.zip</v>
      </c>
      <c r="U380" s="29" t="str">
        <f>HYPERLINK("https://ictv.global/taxonomy/taxondetails?taxnode_id=202314370","ictv.global=202314370")</f>
        <v>ictv.global=202314370</v>
      </c>
    </row>
    <row r="381" spans="1:21">
      <c r="A381">
        <v>380</v>
      </c>
      <c r="B381" s="30" t="s">
        <v>1587</v>
      </c>
      <c r="D381" s="30" t="s">
        <v>1588</v>
      </c>
      <c r="F381" s="30" t="s">
        <v>1591</v>
      </c>
      <c r="H381" s="30" t="s">
        <v>1592</v>
      </c>
      <c r="L381" s="30" t="s">
        <v>4291</v>
      </c>
      <c r="N381" s="30" t="s">
        <v>1522</v>
      </c>
      <c r="P381" s="30" t="s">
        <v>4332</v>
      </c>
      <c r="Q381" t="s">
        <v>619</v>
      </c>
      <c r="R381" t="s">
        <v>917</v>
      </c>
      <c r="S381">
        <v>38</v>
      </c>
      <c r="T381" s="29" t="str">
        <f t="shared" si="15"/>
        <v>2022.001B.Aliceevansviridae.zip</v>
      </c>
      <c r="U381" s="29" t="str">
        <f>HYPERLINK("https://ictv.global/taxonomy/taxondetails?taxnode_id=202314371","ictv.global=202314371")</f>
        <v>ictv.global=202314371</v>
      </c>
    </row>
    <row r="382" spans="1:21">
      <c r="A382">
        <v>381</v>
      </c>
      <c r="B382" s="30" t="s">
        <v>1587</v>
      </c>
      <c r="D382" s="30" t="s">
        <v>1588</v>
      </c>
      <c r="F382" s="30" t="s">
        <v>1591</v>
      </c>
      <c r="H382" s="30" t="s">
        <v>1592</v>
      </c>
      <c r="L382" s="30" t="s">
        <v>4291</v>
      </c>
      <c r="N382" s="30" t="s">
        <v>1522</v>
      </c>
      <c r="P382" s="30" t="s">
        <v>4333</v>
      </c>
      <c r="Q382" t="s">
        <v>619</v>
      </c>
      <c r="R382" t="s">
        <v>917</v>
      </c>
      <c r="S382">
        <v>38</v>
      </c>
      <c r="T382" s="29" t="str">
        <f t="shared" si="15"/>
        <v>2022.001B.Aliceevansviridae.zip</v>
      </c>
      <c r="U382" s="29" t="str">
        <f>HYPERLINK("https://ictv.global/taxonomy/taxondetails?taxnode_id=202314372","ictv.global=202314372")</f>
        <v>ictv.global=202314372</v>
      </c>
    </row>
    <row r="383" spans="1:21">
      <c r="A383">
        <v>382</v>
      </c>
      <c r="B383" s="30" t="s">
        <v>1587</v>
      </c>
      <c r="D383" s="30" t="s">
        <v>1588</v>
      </c>
      <c r="F383" s="30" t="s">
        <v>1591</v>
      </c>
      <c r="H383" s="30" t="s">
        <v>1592</v>
      </c>
      <c r="L383" s="30" t="s">
        <v>4291</v>
      </c>
      <c r="N383" s="30" t="s">
        <v>1522</v>
      </c>
      <c r="P383" s="30" t="s">
        <v>4334</v>
      </c>
      <c r="Q383" t="s">
        <v>619</v>
      </c>
      <c r="R383" t="s">
        <v>917</v>
      </c>
      <c r="S383">
        <v>38</v>
      </c>
      <c r="T383" s="29" t="str">
        <f t="shared" si="15"/>
        <v>2022.001B.Aliceevansviridae.zip</v>
      </c>
      <c r="U383" s="29" t="str">
        <f>HYPERLINK("https://ictv.global/taxonomy/taxondetails?taxnode_id=202314373","ictv.global=202314373")</f>
        <v>ictv.global=202314373</v>
      </c>
    </row>
    <row r="384" spans="1:21">
      <c r="A384">
        <v>383</v>
      </c>
      <c r="B384" s="30" t="s">
        <v>1587</v>
      </c>
      <c r="D384" s="30" t="s">
        <v>1588</v>
      </c>
      <c r="F384" s="30" t="s">
        <v>1591</v>
      </c>
      <c r="H384" s="30" t="s">
        <v>1592</v>
      </c>
      <c r="L384" s="30" t="s">
        <v>4291</v>
      </c>
      <c r="N384" s="30" t="s">
        <v>1522</v>
      </c>
      <c r="P384" s="30" t="s">
        <v>4335</v>
      </c>
      <c r="Q384" t="s">
        <v>619</v>
      </c>
      <c r="R384" t="s">
        <v>917</v>
      </c>
      <c r="S384">
        <v>38</v>
      </c>
      <c r="T384" s="29" t="str">
        <f t="shared" si="15"/>
        <v>2022.001B.Aliceevansviridae.zip</v>
      </c>
      <c r="U384" s="29" t="str">
        <f>HYPERLINK("https://ictv.global/taxonomy/taxondetails?taxnode_id=202314374","ictv.global=202314374")</f>
        <v>ictv.global=202314374</v>
      </c>
    </row>
    <row r="385" spans="1:21">
      <c r="A385">
        <v>384</v>
      </c>
      <c r="B385" s="30" t="s">
        <v>1587</v>
      </c>
      <c r="D385" s="30" t="s">
        <v>1588</v>
      </c>
      <c r="F385" s="30" t="s">
        <v>1591</v>
      </c>
      <c r="H385" s="30" t="s">
        <v>1592</v>
      </c>
      <c r="L385" s="30" t="s">
        <v>4291</v>
      </c>
      <c r="N385" s="30" t="s">
        <v>1522</v>
      </c>
      <c r="P385" s="30" t="s">
        <v>4336</v>
      </c>
      <c r="Q385" t="s">
        <v>619</v>
      </c>
      <c r="R385" t="s">
        <v>917</v>
      </c>
      <c r="S385">
        <v>38</v>
      </c>
      <c r="T385" s="29" t="str">
        <f t="shared" si="15"/>
        <v>2022.001B.Aliceevansviridae.zip</v>
      </c>
      <c r="U385" s="29" t="str">
        <f>HYPERLINK("https://ictv.global/taxonomy/taxondetails?taxnode_id=202314375","ictv.global=202314375")</f>
        <v>ictv.global=202314375</v>
      </c>
    </row>
    <row r="386" spans="1:21">
      <c r="A386">
        <v>385</v>
      </c>
      <c r="B386" s="30" t="s">
        <v>1587</v>
      </c>
      <c r="D386" s="30" t="s">
        <v>1588</v>
      </c>
      <c r="F386" s="30" t="s">
        <v>1591</v>
      </c>
      <c r="H386" s="30" t="s">
        <v>1592</v>
      </c>
      <c r="L386" s="30" t="s">
        <v>4291</v>
      </c>
      <c r="N386" s="30" t="s">
        <v>1522</v>
      </c>
      <c r="P386" s="30" t="s">
        <v>4337</v>
      </c>
      <c r="Q386" t="s">
        <v>619</v>
      </c>
      <c r="R386" t="s">
        <v>917</v>
      </c>
      <c r="S386">
        <v>38</v>
      </c>
      <c r="T386" s="29" t="str">
        <f t="shared" si="15"/>
        <v>2022.001B.Aliceevansviridae.zip</v>
      </c>
      <c r="U386" s="29" t="str">
        <f>HYPERLINK("https://ictv.global/taxonomy/taxondetails?taxnode_id=202314376","ictv.global=202314376")</f>
        <v>ictv.global=202314376</v>
      </c>
    </row>
    <row r="387" spans="1:21">
      <c r="A387">
        <v>386</v>
      </c>
      <c r="B387" s="30" t="s">
        <v>1587</v>
      </c>
      <c r="D387" s="30" t="s">
        <v>1588</v>
      </c>
      <c r="F387" s="30" t="s">
        <v>1591</v>
      </c>
      <c r="H387" s="30" t="s">
        <v>1592</v>
      </c>
      <c r="L387" s="30" t="s">
        <v>4291</v>
      </c>
      <c r="N387" s="30" t="s">
        <v>1522</v>
      </c>
      <c r="P387" s="30" t="s">
        <v>4338</v>
      </c>
      <c r="Q387" t="s">
        <v>619</v>
      </c>
      <c r="R387" t="s">
        <v>917</v>
      </c>
      <c r="S387">
        <v>38</v>
      </c>
      <c r="T387" s="29" t="str">
        <f t="shared" si="15"/>
        <v>2022.001B.Aliceevansviridae.zip</v>
      </c>
      <c r="U387" s="29" t="str">
        <f>HYPERLINK("https://ictv.global/taxonomy/taxondetails?taxnode_id=202314377","ictv.global=202314377")</f>
        <v>ictv.global=202314377</v>
      </c>
    </row>
    <row r="388" spans="1:21">
      <c r="A388">
        <v>387</v>
      </c>
      <c r="B388" s="30" t="s">
        <v>1587</v>
      </c>
      <c r="D388" s="30" t="s">
        <v>1588</v>
      </c>
      <c r="F388" s="30" t="s">
        <v>1591</v>
      </c>
      <c r="H388" s="30" t="s">
        <v>1592</v>
      </c>
      <c r="L388" s="30" t="s">
        <v>4291</v>
      </c>
      <c r="N388" s="30" t="s">
        <v>1522</v>
      </c>
      <c r="P388" s="30" t="s">
        <v>4339</v>
      </c>
      <c r="Q388" t="s">
        <v>619</v>
      </c>
      <c r="R388" t="s">
        <v>917</v>
      </c>
      <c r="S388">
        <v>38</v>
      </c>
      <c r="T388" s="29" t="str">
        <f t="shared" si="15"/>
        <v>2022.001B.Aliceevansviridae.zip</v>
      </c>
      <c r="U388" s="29" t="str">
        <f>HYPERLINK("https://ictv.global/taxonomy/taxondetails?taxnode_id=202314378","ictv.global=202314378")</f>
        <v>ictv.global=202314378</v>
      </c>
    </row>
    <row r="389" spans="1:21">
      <c r="A389">
        <v>388</v>
      </c>
      <c r="B389" s="30" t="s">
        <v>1587</v>
      </c>
      <c r="D389" s="30" t="s">
        <v>1588</v>
      </c>
      <c r="F389" s="30" t="s">
        <v>1591</v>
      </c>
      <c r="H389" s="30" t="s">
        <v>1592</v>
      </c>
      <c r="L389" s="30" t="s">
        <v>4291</v>
      </c>
      <c r="N389" s="30" t="s">
        <v>1522</v>
      </c>
      <c r="P389" s="30" t="s">
        <v>4340</v>
      </c>
      <c r="Q389" t="s">
        <v>619</v>
      </c>
      <c r="R389" t="s">
        <v>917</v>
      </c>
      <c r="S389">
        <v>38</v>
      </c>
      <c r="T389" s="29" t="str">
        <f t="shared" si="15"/>
        <v>2022.001B.Aliceevansviridae.zip</v>
      </c>
      <c r="U389" s="29" t="str">
        <f>HYPERLINK("https://ictv.global/taxonomy/taxondetails?taxnode_id=202314379","ictv.global=202314379")</f>
        <v>ictv.global=202314379</v>
      </c>
    </row>
    <row r="390" spans="1:21">
      <c r="A390">
        <v>389</v>
      </c>
      <c r="B390" s="30" t="s">
        <v>1587</v>
      </c>
      <c r="D390" s="30" t="s">
        <v>1588</v>
      </c>
      <c r="F390" s="30" t="s">
        <v>1591</v>
      </c>
      <c r="H390" s="30" t="s">
        <v>1592</v>
      </c>
      <c r="L390" s="30" t="s">
        <v>4291</v>
      </c>
      <c r="N390" s="30" t="s">
        <v>1522</v>
      </c>
      <c r="P390" s="30" t="s">
        <v>4341</v>
      </c>
      <c r="Q390" t="s">
        <v>619</v>
      </c>
      <c r="R390" t="s">
        <v>917</v>
      </c>
      <c r="S390">
        <v>38</v>
      </c>
      <c r="T390" s="29" t="str">
        <f t="shared" si="15"/>
        <v>2022.001B.Aliceevansviridae.zip</v>
      </c>
      <c r="U390" s="29" t="str">
        <f>HYPERLINK("https://ictv.global/taxonomy/taxondetails?taxnode_id=202314380","ictv.global=202314380")</f>
        <v>ictv.global=202314380</v>
      </c>
    </row>
    <row r="391" spans="1:21">
      <c r="A391">
        <v>390</v>
      </c>
      <c r="B391" s="30" t="s">
        <v>1587</v>
      </c>
      <c r="D391" s="30" t="s">
        <v>1588</v>
      </c>
      <c r="F391" s="30" t="s">
        <v>1591</v>
      </c>
      <c r="H391" s="30" t="s">
        <v>1592</v>
      </c>
      <c r="L391" s="30" t="s">
        <v>4291</v>
      </c>
      <c r="N391" s="30" t="s">
        <v>1522</v>
      </c>
      <c r="P391" s="30" t="s">
        <v>4342</v>
      </c>
      <c r="Q391" t="s">
        <v>619</v>
      </c>
      <c r="R391" t="s">
        <v>917</v>
      </c>
      <c r="S391">
        <v>38</v>
      </c>
      <c r="T391" s="29" t="str">
        <f t="shared" si="15"/>
        <v>2022.001B.Aliceevansviridae.zip</v>
      </c>
      <c r="U391" s="29" t="str">
        <f>HYPERLINK("https://ictv.global/taxonomy/taxondetails?taxnode_id=202314381","ictv.global=202314381")</f>
        <v>ictv.global=202314381</v>
      </c>
    </row>
    <row r="392" spans="1:21">
      <c r="A392">
        <v>391</v>
      </c>
      <c r="B392" s="30" t="s">
        <v>1587</v>
      </c>
      <c r="D392" s="30" t="s">
        <v>1588</v>
      </c>
      <c r="F392" s="30" t="s">
        <v>1591</v>
      </c>
      <c r="H392" s="30" t="s">
        <v>1592</v>
      </c>
      <c r="L392" s="30" t="s">
        <v>4291</v>
      </c>
      <c r="N392" s="30" t="s">
        <v>1522</v>
      </c>
      <c r="P392" s="30" t="s">
        <v>4343</v>
      </c>
      <c r="Q392" t="s">
        <v>619</v>
      </c>
      <c r="R392" t="s">
        <v>917</v>
      </c>
      <c r="S392">
        <v>38</v>
      </c>
      <c r="T392" s="29" t="str">
        <f t="shared" si="15"/>
        <v>2022.001B.Aliceevansviridae.zip</v>
      </c>
      <c r="U392" s="29" t="str">
        <f>HYPERLINK("https://ictv.global/taxonomy/taxondetails?taxnode_id=202314354","ictv.global=202314354")</f>
        <v>ictv.global=202314354</v>
      </c>
    </row>
    <row r="393" spans="1:21">
      <c r="A393">
        <v>392</v>
      </c>
      <c r="B393" s="30" t="s">
        <v>1587</v>
      </c>
      <c r="D393" s="30" t="s">
        <v>1588</v>
      </c>
      <c r="F393" s="30" t="s">
        <v>1591</v>
      </c>
      <c r="H393" s="30" t="s">
        <v>1592</v>
      </c>
      <c r="L393" s="30" t="s">
        <v>4291</v>
      </c>
      <c r="N393" s="30" t="s">
        <v>1522</v>
      </c>
      <c r="P393" s="30" t="s">
        <v>4344</v>
      </c>
      <c r="Q393" t="s">
        <v>619</v>
      </c>
      <c r="R393" t="s">
        <v>917</v>
      </c>
      <c r="S393">
        <v>38</v>
      </c>
      <c r="T393" s="29" t="str">
        <f t="shared" si="15"/>
        <v>2022.001B.Aliceevansviridae.zip</v>
      </c>
      <c r="U393" s="29" t="str">
        <f>HYPERLINK("https://ictv.global/taxonomy/taxondetails?taxnode_id=202314355","ictv.global=202314355")</f>
        <v>ictv.global=202314355</v>
      </c>
    </row>
    <row r="394" spans="1:21">
      <c r="A394">
        <v>393</v>
      </c>
      <c r="B394" s="30" t="s">
        <v>1587</v>
      </c>
      <c r="D394" s="30" t="s">
        <v>1588</v>
      </c>
      <c r="F394" s="30" t="s">
        <v>1591</v>
      </c>
      <c r="H394" s="30" t="s">
        <v>1592</v>
      </c>
      <c r="L394" s="30" t="s">
        <v>4291</v>
      </c>
      <c r="N394" s="30" t="s">
        <v>1522</v>
      </c>
      <c r="P394" s="30" t="s">
        <v>4345</v>
      </c>
      <c r="Q394" t="s">
        <v>619</v>
      </c>
      <c r="R394" t="s">
        <v>917</v>
      </c>
      <c r="S394">
        <v>38</v>
      </c>
      <c r="T394" s="29" t="str">
        <f t="shared" si="15"/>
        <v>2022.001B.Aliceevansviridae.zip</v>
      </c>
      <c r="U394" s="29" t="str">
        <f>HYPERLINK("https://ictv.global/taxonomy/taxondetails?taxnode_id=202314356","ictv.global=202314356")</f>
        <v>ictv.global=202314356</v>
      </c>
    </row>
    <row r="395" spans="1:21">
      <c r="A395">
        <v>394</v>
      </c>
      <c r="B395" s="30" t="s">
        <v>1587</v>
      </c>
      <c r="D395" s="30" t="s">
        <v>1588</v>
      </c>
      <c r="F395" s="30" t="s">
        <v>1591</v>
      </c>
      <c r="H395" s="30" t="s">
        <v>1592</v>
      </c>
      <c r="L395" s="30" t="s">
        <v>4291</v>
      </c>
      <c r="N395" s="30" t="s">
        <v>1522</v>
      </c>
      <c r="P395" s="30" t="s">
        <v>4346</v>
      </c>
      <c r="Q395" t="s">
        <v>619</v>
      </c>
      <c r="R395" t="s">
        <v>917</v>
      </c>
      <c r="S395">
        <v>38</v>
      </c>
      <c r="T395" s="29" t="str">
        <f t="shared" si="15"/>
        <v>2022.001B.Aliceevansviridae.zip</v>
      </c>
      <c r="U395" s="29" t="str">
        <f>HYPERLINK("https://ictv.global/taxonomy/taxondetails?taxnode_id=202314357","ictv.global=202314357")</f>
        <v>ictv.global=202314357</v>
      </c>
    </row>
    <row r="396" spans="1:21">
      <c r="A396">
        <v>395</v>
      </c>
      <c r="B396" s="30" t="s">
        <v>1587</v>
      </c>
      <c r="D396" s="30" t="s">
        <v>1588</v>
      </c>
      <c r="F396" s="30" t="s">
        <v>1591</v>
      </c>
      <c r="H396" s="30" t="s">
        <v>1592</v>
      </c>
      <c r="L396" s="30" t="s">
        <v>4291</v>
      </c>
      <c r="N396" s="30" t="s">
        <v>1522</v>
      </c>
      <c r="P396" s="30" t="s">
        <v>4347</v>
      </c>
      <c r="Q396" t="s">
        <v>619</v>
      </c>
      <c r="R396" t="s">
        <v>917</v>
      </c>
      <c r="S396">
        <v>38</v>
      </c>
      <c r="T396" s="29" t="str">
        <f t="shared" si="15"/>
        <v>2022.001B.Aliceevansviridae.zip</v>
      </c>
      <c r="U396" s="29" t="str">
        <f>HYPERLINK("https://ictv.global/taxonomy/taxondetails?taxnode_id=202314358","ictv.global=202314358")</f>
        <v>ictv.global=202314358</v>
      </c>
    </row>
    <row r="397" spans="1:21">
      <c r="A397">
        <v>396</v>
      </c>
      <c r="B397" s="30" t="s">
        <v>1587</v>
      </c>
      <c r="D397" s="30" t="s">
        <v>1588</v>
      </c>
      <c r="F397" s="30" t="s">
        <v>1591</v>
      </c>
      <c r="H397" s="30" t="s">
        <v>1592</v>
      </c>
      <c r="L397" s="30" t="s">
        <v>4291</v>
      </c>
      <c r="N397" s="30" t="s">
        <v>1522</v>
      </c>
      <c r="P397" s="30" t="s">
        <v>4348</v>
      </c>
      <c r="Q397" t="s">
        <v>619</v>
      </c>
      <c r="R397" t="s">
        <v>917</v>
      </c>
      <c r="S397">
        <v>38</v>
      </c>
      <c r="T397" s="29" t="str">
        <f t="shared" si="15"/>
        <v>2022.001B.Aliceevansviridae.zip</v>
      </c>
      <c r="U397" s="29" t="str">
        <f>HYPERLINK("https://ictv.global/taxonomy/taxondetails?taxnode_id=202314359","ictv.global=202314359")</f>
        <v>ictv.global=202314359</v>
      </c>
    </row>
    <row r="398" spans="1:21">
      <c r="A398">
        <v>397</v>
      </c>
      <c r="B398" s="30" t="s">
        <v>1587</v>
      </c>
      <c r="D398" s="30" t="s">
        <v>1588</v>
      </c>
      <c r="F398" s="30" t="s">
        <v>1591</v>
      </c>
      <c r="H398" s="30" t="s">
        <v>1592</v>
      </c>
      <c r="L398" s="30" t="s">
        <v>4291</v>
      </c>
      <c r="N398" s="30" t="s">
        <v>1522</v>
      </c>
      <c r="P398" s="30" t="s">
        <v>4349</v>
      </c>
      <c r="Q398" t="s">
        <v>619</v>
      </c>
      <c r="R398" t="s">
        <v>917</v>
      </c>
      <c r="S398">
        <v>38</v>
      </c>
      <c r="T398" s="29" t="str">
        <f t="shared" si="15"/>
        <v>2022.001B.Aliceevansviridae.zip</v>
      </c>
      <c r="U398" s="29" t="str">
        <f>HYPERLINK("https://ictv.global/taxonomy/taxondetails?taxnode_id=202314360","ictv.global=202314360")</f>
        <v>ictv.global=202314360</v>
      </c>
    </row>
    <row r="399" spans="1:21">
      <c r="A399">
        <v>398</v>
      </c>
      <c r="B399" s="30" t="s">
        <v>1587</v>
      </c>
      <c r="D399" s="30" t="s">
        <v>1588</v>
      </c>
      <c r="F399" s="30" t="s">
        <v>1591</v>
      </c>
      <c r="H399" s="30" t="s">
        <v>1592</v>
      </c>
      <c r="L399" s="30" t="s">
        <v>4291</v>
      </c>
      <c r="N399" s="30" t="s">
        <v>1522</v>
      </c>
      <c r="P399" s="30" t="s">
        <v>4350</v>
      </c>
      <c r="Q399" t="s">
        <v>619</v>
      </c>
      <c r="R399" t="s">
        <v>917</v>
      </c>
      <c r="S399">
        <v>38</v>
      </c>
      <c r="T399" s="29" t="str">
        <f t="shared" si="15"/>
        <v>2022.001B.Aliceevansviridae.zip</v>
      </c>
      <c r="U399" s="29" t="str">
        <f>HYPERLINK("https://ictv.global/taxonomy/taxondetails?taxnode_id=202314361","ictv.global=202314361")</f>
        <v>ictv.global=202314361</v>
      </c>
    </row>
    <row r="400" spans="1:21">
      <c r="A400">
        <v>399</v>
      </c>
      <c r="B400" s="30" t="s">
        <v>1587</v>
      </c>
      <c r="D400" s="30" t="s">
        <v>1588</v>
      </c>
      <c r="F400" s="30" t="s">
        <v>1591</v>
      </c>
      <c r="H400" s="30" t="s">
        <v>1592</v>
      </c>
      <c r="L400" s="30" t="s">
        <v>4291</v>
      </c>
      <c r="N400" s="30" t="s">
        <v>1522</v>
      </c>
      <c r="P400" s="30" t="s">
        <v>4351</v>
      </c>
      <c r="Q400" t="s">
        <v>619</v>
      </c>
      <c r="R400" t="s">
        <v>917</v>
      </c>
      <c r="S400">
        <v>38</v>
      </c>
      <c r="T400" s="29" t="str">
        <f t="shared" si="15"/>
        <v>2022.001B.Aliceevansviridae.zip</v>
      </c>
      <c r="U400" s="29" t="str">
        <f>HYPERLINK("https://ictv.global/taxonomy/taxondetails?taxnode_id=202314362","ictv.global=202314362")</f>
        <v>ictv.global=202314362</v>
      </c>
    </row>
    <row r="401" spans="1:21">
      <c r="A401">
        <v>400</v>
      </c>
      <c r="B401" s="30" t="s">
        <v>1587</v>
      </c>
      <c r="D401" s="30" t="s">
        <v>1588</v>
      </c>
      <c r="F401" s="30" t="s">
        <v>1591</v>
      </c>
      <c r="H401" s="30" t="s">
        <v>1592</v>
      </c>
      <c r="L401" s="30" t="s">
        <v>4291</v>
      </c>
      <c r="N401" s="30" t="s">
        <v>1522</v>
      </c>
      <c r="P401" s="30" t="s">
        <v>4352</v>
      </c>
      <c r="Q401" t="s">
        <v>619</v>
      </c>
      <c r="R401" t="s">
        <v>917</v>
      </c>
      <c r="S401">
        <v>38</v>
      </c>
      <c r="T401" s="29" t="str">
        <f t="shared" si="15"/>
        <v>2022.001B.Aliceevansviridae.zip</v>
      </c>
      <c r="U401" s="29" t="str">
        <f>HYPERLINK("https://ictv.global/taxonomy/taxondetails?taxnode_id=202314363","ictv.global=202314363")</f>
        <v>ictv.global=202314363</v>
      </c>
    </row>
    <row r="402" spans="1:21">
      <c r="A402">
        <v>401</v>
      </c>
      <c r="B402" s="30" t="s">
        <v>1587</v>
      </c>
      <c r="D402" s="30" t="s">
        <v>1588</v>
      </c>
      <c r="F402" s="30" t="s">
        <v>1591</v>
      </c>
      <c r="H402" s="30" t="s">
        <v>1592</v>
      </c>
      <c r="L402" s="30" t="s">
        <v>4291</v>
      </c>
      <c r="N402" s="30" t="s">
        <v>1522</v>
      </c>
      <c r="P402" s="30" t="s">
        <v>4353</v>
      </c>
      <c r="Q402" t="s">
        <v>619</v>
      </c>
      <c r="R402" t="s">
        <v>917</v>
      </c>
      <c r="S402">
        <v>38</v>
      </c>
      <c r="T402" s="29" t="str">
        <f t="shared" si="15"/>
        <v>2022.001B.Aliceevansviridae.zip</v>
      </c>
      <c r="U402" s="29" t="str">
        <f>HYPERLINK("https://ictv.global/taxonomy/taxondetails?taxnode_id=202314364","ictv.global=202314364")</f>
        <v>ictv.global=202314364</v>
      </c>
    </row>
    <row r="403" spans="1:21">
      <c r="A403">
        <v>402</v>
      </c>
      <c r="B403" s="30" t="s">
        <v>1587</v>
      </c>
      <c r="D403" s="30" t="s">
        <v>1588</v>
      </c>
      <c r="F403" s="30" t="s">
        <v>1591</v>
      </c>
      <c r="H403" s="30" t="s">
        <v>1592</v>
      </c>
      <c r="L403" s="30" t="s">
        <v>4291</v>
      </c>
      <c r="N403" s="30" t="s">
        <v>1522</v>
      </c>
      <c r="P403" s="30" t="s">
        <v>4354</v>
      </c>
      <c r="Q403" t="s">
        <v>619</v>
      </c>
      <c r="R403" t="s">
        <v>917</v>
      </c>
      <c r="S403">
        <v>38</v>
      </c>
      <c r="T403" s="29" t="str">
        <f t="shared" si="15"/>
        <v>2022.001B.Aliceevansviridae.zip</v>
      </c>
      <c r="U403" s="29" t="str">
        <f>HYPERLINK("https://ictv.global/taxonomy/taxondetails?taxnode_id=202314365","ictv.global=202314365")</f>
        <v>ictv.global=202314365</v>
      </c>
    </row>
    <row r="404" spans="1:21">
      <c r="A404">
        <v>403</v>
      </c>
      <c r="B404" s="30" t="s">
        <v>1587</v>
      </c>
      <c r="D404" s="30" t="s">
        <v>1588</v>
      </c>
      <c r="F404" s="30" t="s">
        <v>1591</v>
      </c>
      <c r="H404" s="30" t="s">
        <v>1592</v>
      </c>
      <c r="L404" s="30" t="s">
        <v>4291</v>
      </c>
      <c r="N404" s="30" t="s">
        <v>1522</v>
      </c>
      <c r="P404" s="30" t="s">
        <v>4355</v>
      </c>
      <c r="Q404" t="s">
        <v>619</v>
      </c>
      <c r="R404" t="s">
        <v>917</v>
      </c>
      <c r="S404">
        <v>38</v>
      </c>
      <c r="T404" s="29" t="str">
        <f t="shared" si="15"/>
        <v>2022.001B.Aliceevansviridae.zip</v>
      </c>
      <c r="U404" s="29" t="str">
        <f>HYPERLINK("https://ictv.global/taxonomy/taxondetails?taxnode_id=202314366","ictv.global=202314366")</f>
        <v>ictv.global=202314366</v>
      </c>
    </row>
    <row r="405" spans="1:21">
      <c r="A405">
        <v>404</v>
      </c>
      <c r="B405" s="30" t="s">
        <v>1587</v>
      </c>
      <c r="D405" s="30" t="s">
        <v>1588</v>
      </c>
      <c r="F405" s="30" t="s">
        <v>1591</v>
      </c>
      <c r="H405" s="30" t="s">
        <v>1592</v>
      </c>
      <c r="L405" s="30" t="s">
        <v>4291</v>
      </c>
      <c r="N405" s="30" t="s">
        <v>1522</v>
      </c>
      <c r="P405" s="30" t="s">
        <v>4356</v>
      </c>
      <c r="Q405" t="s">
        <v>619</v>
      </c>
      <c r="R405" t="s">
        <v>917</v>
      </c>
      <c r="S405">
        <v>38</v>
      </c>
      <c r="T405" s="29" t="str">
        <f t="shared" ref="T405:T436" si="16">HYPERLINK("https://ictv.global/ictv/proposals/2022.001B.Aliceevansviridae.zip","2022.001B.Aliceevansviridae.zip")</f>
        <v>2022.001B.Aliceevansviridae.zip</v>
      </c>
      <c r="U405" s="29" t="str">
        <f>HYPERLINK("https://ictv.global/taxonomy/taxondetails?taxnode_id=202314382","ictv.global=202314382")</f>
        <v>ictv.global=202314382</v>
      </c>
    </row>
    <row r="406" spans="1:21">
      <c r="A406">
        <v>405</v>
      </c>
      <c r="B406" s="30" t="s">
        <v>1587</v>
      </c>
      <c r="D406" s="30" t="s">
        <v>1588</v>
      </c>
      <c r="F406" s="30" t="s">
        <v>1591</v>
      </c>
      <c r="H406" s="30" t="s">
        <v>1592</v>
      </c>
      <c r="L406" s="30" t="s">
        <v>4291</v>
      </c>
      <c r="N406" s="30" t="s">
        <v>1522</v>
      </c>
      <c r="P406" s="30" t="s">
        <v>4357</v>
      </c>
      <c r="Q406" t="s">
        <v>619</v>
      </c>
      <c r="R406" t="s">
        <v>917</v>
      </c>
      <c r="S406">
        <v>38</v>
      </c>
      <c r="T406" s="29" t="str">
        <f t="shared" si="16"/>
        <v>2022.001B.Aliceevansviridae.zip</v>
      </c>
      <c r="U406" s="29" t="str">
        <f>HYPERLINK("https://ictv.global/taxonomy/taxondetails?taxnode_id=202314383","ictv.global=202314383")</f>
        <v>ictv.global=202314383</v>
      </c>
    </row>
    <row r="407" spans="1:21">
      <c r="A407">
        <v>406</v>
      </c>
      <c r="B407" s="30" t="s">
        <v>1587</v>
      </c>
      <c r="D407" s="30" t="s">
        <v>1588</v>
      </c>
      <c r="F407" s="30" t="s">
        <v>1591</v>
      </c>
      <c r="H407" s="30" t="s">
        <v>1592</v>
      </c>
      <c r="L407" s="30" t="s">
        <v>4291</v>
      </c>
      <c r="N407" s="30" t="s">
        <v>1522</v>
      </c>
      <c r="P407" s="30" t="s">
        <v>4358</v>
      </c>
      <c r="Q407" t="s">
        <v>619</v>
      </c>
      <c r="R407" t="s">
        <v>917</v>
      </c>
      <c r="S407">
        <v>38</v>
      </c>
      <c r="T407" s="29" t="str">
        <f t="shared" si="16"/>
        <v>2022.001B.Aliceevansviridae.zip</v>
      </c>
      <c r="U407" s="29" t="str">
        <f>HYPERLINK("https://ictv.global/taxonomy/taxondetails?taxnode_id=202314384","ictv.global=202314384")</f>
        <v>ictv.global=202314384</v>
      </c>
    </row>
    <row r="408" spans="1:21">
      <c r="A408">
        <v>407</v>
      </c>
      <c r="B408" s="30" t="s">
        <v>1587</v>
      </c>
      <c r="D408" s="30" t="s">
        <v>1588</v>
      </c>
      <c r="F408" s="30" t="s">
        <v>1591</v>
      </c>
      <c r="H408" s="30" t="s">
        <v>1592</v>
      </c>
      <c r="L408" s="30" t="s">
        <v>4291</v>
      </c>
      <c r="N408" s="30" t="s">
        <v>1522</v>
      </c>
      <c r="P408" s="30" t="s">
        <v>4359</v>
      </c>
      <c r="Q408" t="s">
        <v>619</v>
      </c>
      <c r="R408" t="s">
        <v>919</v>
      </c>
      <c r="S408">
        <v>38</v>
      </c>
      <c r="T408" s="29" t="str">
        <f t="shared" si="16"/>
        <v>2022.001B.Aliceevansviridae.zip</v>
      </c>
      <c r="U408" s="29" t="str">
        <f>HYPERLINK("https://ictv.global/taxonomy/taxondetails?taxnode_id=202301274","ictv.global=202301274")</f>
        <v>ictv.global=202301274</v>
      </c>
    </row>
    <row r="409" spans="1:21">
      <c r="A409">
        <v>408</v>
      </c>
      <c r="B409" s="30" t="s">
        <v>1587</v>
      </c>
      <c r="D409" s="30" t="s">
        <v>1588</v>
      </c>
      <c r="F409" s="30" t="s">
        <v>1591</v>
      </c>
      <c r="H409" s="30" t="s">
        <v>1592</v>
      </c>
      <c r="L409" s="30" t="s">
        <v>4291</v>
      </c>
      <c r="N409" s="30" t="s">
        <v>1522</v>
      </c>
      <c r="P409" s="30" t="s">
        <v>4360</v>
      </c>
      <c r="Q409" t="s">
        <v>619</v>
      </c>
      <c r="R409" t="s">
        <v>917</v>
      </c>
      <c r="S409">
        <v>38</v>
      </c>
      <c r="T409" s="29" t="str">
        <f t="shared" si="16"/>
        <v>2022.001B.Aliceevansviridae.zip</v>
      </c>
      <c r="U409" s="29" t="str">
        <f>HYPERLINK("https://ictv.global/taxonomy/taxondetails?taxnode_id=202314385","ictv.global=202314385")</f>
        <v>ictv.global=202314385</v>
      </c>
    </row>
    <row r="410" spans="1:21">
      <c r="A410">
        <v>409</v>
      </c>
      <c r="B410" s="30" t="s">
        <v>1587</v>
      </c>
      <c r="D410" s="30" t="s">
        <v>1588</v>
      </c>
      <c r="F410" s="30" t="s">
        <v>1591</v>
      </c>
      <c r="H410" s="30" t="s">
        <v>1592</v>
      </c>
      <c r="L410" s="30" t="s">
        <v>4291</v>
      </c>
      <c r="N410" s="30" t="s">
        <v>1522</v>
      </c>
      <c r="P410" s="30" t="s">
        <v>4361</v>
      </c>
      <c r="Q410" t="s">
        <v>619</v>
      </c>
      <c r="R410" t="s">
        <v>917</v>
      </c>
      <c r="S410">
        <v>38</v>
      </c>
      <c r="T410" s="29" t="str">
        <f t="shared" si="16"/>
        <v>2022.001B.Aliceevansviridae.zip</v>
      </c>
      <c r="U410" s="29" t="str">
        <f>HYPERLINK("https://ictv.global/taxonomy/taxondetails?taxnode_id=202314386","ictv.global=202314386")</f>
        <v>ictv.global=202314386</v>
      </c>
    </row>
    <row r="411" spans="1:21">
      <c r="A411">
        <v>410</v>
      </c>
      <c r="B411" s="30" t="s">
        <v>1587</v>
      </c>
      <c r="D411" s="30" t="s">
        <v>1588</v>
      </c>
      <c r="F411" s="30" t="s">
        <v>1591</v>
      </c>
      <c r="H411" s="30" t="s">
        <v>1592</v>
      </c>
      <c r="L411" s="30" t="s">
        <v>4291</v>
      </c>
      <c r="N411" s="30" t="s">
        <v>1522</v>
      </c>
      <c r="P411" s="30" t="s">
        <v>4362</v>
      </c>
      <c r="Q411" t="s">
        <v>619</v>
      </c>
      <c r="R411" t="s">
        <v>917</v>
      </c>
      <c r="S411">
        <v>38</v>
      </c>
      <c r="T411" s="29" t="str">
        <f t="shared" si="16"/>
        <v>2022.001B.Aliceevansviridae.zip</v>
      </c>
      <c r="U411" s="29" t="str">
        <f>HYPERLINK("https://ictv.global/taxonomy/taxondetails?taxnode_id=202314387","ictv.global=202314387")</f>
        <v>ictv.global=202314387</v>
      </c>
    </row>
    <row r="412" spans="1:21">
      <c r="A412">
        <v>411</v>
      </c>
      <c r="B412" s="30" t="s">
        <v>1587</v>
      </c>
      <c r="D412" s="30" t="s">
        <v>1588</v>
      </c>
      <c r="F412" s="30" t="s">
        <v>1591</v>
      </c>
      <c r="H412" s="30" t="s">
        <v>1592</v>
      </c>
      <c r="L412" s="30" t="s">
        <v>4291</v>
      </c>
      <c r="N412" s="30" t="s">
        <v>1522</v>
      </c>
      <c r="P412" s="30" t="s">
        <v>4363</v>
      </c>
      <c r="Q412" t="s">
        <v>619</v>
      </c>
      <c r="R412" t="s">
        <v>917</v>
      </c>
      <c r="S412">
        <v>38</v>
      </c>
      <c r="T412" s="29" t="str">
        <f t="shared" si="16"/>
        <v>2022.001B.Aliceevansviridae.zip</v>
      </c>
      <c r="U412" s="29" t="str">
        <f>HYPERLINK("https://ictv.global/taxonomy/taxondetails?taxnode_id=202314350","ictv.global=202314350")</f>
        <v>ictv.global=202314350</v>
      </c>
    </row>
    <row r="413" spans="1:21">
      <c r="A413">
        <v>412</v>
      </c>
      <c r="B413" s="30" t="s">
        <v>1587</v>
      </c>
      <c r="D413" s="30" t="s">
        <v>1588</v>
      </c>
      <c r="F413" s="30" t="s">
        <v>1591</v>
      </c>
      <c r="H413" s="30" t="s">
        <v>1592</v>
      </c>
      <c r="L413" s="30" t="s">
        <v>4291</v>
      </c>
      <c r="N413" s="30" t="s">
        <v>1522</v>
      </c>
      <c r="P413" s="30" t="s">
        <v>4364</v>
      </c>
      <c r="Q413" t="s">
        <v>619</v>
      </c>
      <c r="R413" t="s">
        <v>917</v>
      </c>
      <c r="S413">
        <v>38</v>
      </c>
      <c r="T413" s="29" t="str">
        <f t="shared" si="16"/>
        <v>2022.001B.Aliceevansviridae.zip</v>
      </c>
      <c r="U413" s="29" t="str">
        <f>HYPERLINK("https://ictv.global/taxonomy/taxondetails?taxnode_id=202314351","ictv.global=202314351")</f>
        <v>ictv.global=202314351</v>
      </c>
    </row>
    <row r="414" spans="1:21">
      <c r="A414">
        <v>413</v>
      </c>
      <c r="B414" s="30" t="s">
        <v>1587</v>
      </c>
      <c r="D414" s="30" t="s">
        <v>1588</v>
      </c>
      <c r="F414" s="30" t="s">
        <v>1591</v>
      </c>
      <c r="H414" s="30" t="s">
        <v>1592</v>
      </c>
      <c r="L414" s="30" t="s">
        <v>4291</v>
      </c>
      <c r="N414" s="30" t="s">
        <v>1522</v>
      </c>
      <c r="P414" s="30" t="s">
        <v>4365</v>
      </c>
      <c r="Q414" t="s">
        <v>619</v>
      </c>
      <c r="R414" t="s">
        <v>917</v>
      </c>
      <c r="S414">
        <v>38</v>
      </c>
      <c r="T414" s="29" t="str">
        <f t="shared" si="16"/>
        <v>2022.001B.Aliceevansviridae.zip</v>
      </c>
      <c r="U414" s="29" t="str">
        <f>HYPERLINK("https://ictv.global/taxonomy/taxondetails?taxnode_id=202314349","ictv.global=202314349")</f>
        <v>ictv.global=202314349</v>
      </c>
    </row>
    <row r="415" spans="1:21">
      <c r="A415">
        <v>414</v>
      </c>
      <c r="B415" s="30" t="s">
        <v>1587</v>
      </c>
      <c r="D415" s="30" t="s">
        <v>1588</v>
      </c>
      <c r="F415" s="30" t="s">
        <v>1591</v>
      </c>
      <c r="H415" s="30" t="s">
        <v>1592</v>
      </c>
      <c r="L415" s="30" t="s">
        <v>4291</v>
      </c>
      <c r="N415" s="30" t="s">
        <v>1522</v>
      </c>
      <c r="P415" s="30" t="s">
        <v>4366</v>
      </c>
      <c r="Q415" t="s">
        <v>619</v>
      </c>
      <c r="R415" t="s">
        <v>919</v>
      </c>
      <c r="S415">
        <v>38</v>
      </c>
      <c r="T415" s="29" t="str">
        <f t="shared" si="16"/>
        <v>2022.001B.Aliceevansviridae.zip</v>
      </c>
      <c r="U415" s="29" t="str">
        <f>HYPERLINK("https://ictv.global/taxonomy/taxondetails?taxnode_id=202301273","ictv.global=202301273")</f>
        <v>ictv.global=202301273</v>
      </c>
    </row>
    <row r="416" spans="1:21">
      <c r="A416">
        <v>415</v>
      </c>
      <c r="B416" s="30" t="s">
        <v>1587</v>
      </c>
      <c r="D416" s="30" t="s">
        <v>1588</v>
      </c>
      <c r="F416" s="30" t="s">
        <v>1591</v>
      </c>
      <c r="H416" s="30" t="s">
        <v>1592</v>
      </c>
      <c r="L416" s="30" t="s">
        <v>4291</v>
      </c>
      <c r="N416" s="30" t="s">
        <v>1522</v>
      </c>
      <c r="P416" s="30" t="s">
        <v>4367</v>
      </c>
      <c r="Q416" t="s">
        <v>619</v>
      </c>
      <c r="R416" t="s">
        <v>917</v>
      </c>
      <c r="S416">
        <v>38</v>
      </c>
      <c r="T416" s="29" t="str">
        <f t="shared" si="16"/>
        <v>2022.001B.Aliceevansviridae.zip</v>
      </c>
      <c r="U416" s="29" t="str">
        <f>HYPERLINK("https://ictv.global/taxonomy/taxondetails?taxnode_id=202314352","ictv.global=202314352")</f>
        <v>ictv.global=202314352</v>
      </c>
    </row>
    <row r="417" spans="1:21">
      <c r="A417">
        <v>416</v>
      </c>
      <c r="B417" s="30" t="s">
        <v>1587</v>
      </c>
      <c r="D417" s="30" t="s">
        <v>1588</v>
      </c>
      <c r="F417" s="30" t="s">
        <v>1591</v>
      </c>
      <c r="H417" s="30" t="s">
        <v>1592</v>
      </c>
      <c r="L417" s="30" t="s">
        <v>4291</v>
      </c>
      <c r="N417" s="30" t="s">
        <v>1522</v>
      </c>
      <c r="P417" s="30" t="s">
        <v>4368</v>
      </c>
      <c r="Q417" t="s">
        <v>619</v>
      </c>
      <c r="R417" t="s">
        <v>917</v>
      </c>
      <c r="S417">
        <v>38</v>
      </c>
      <c r="T417" s="29" t="str">
        <f t="shared" si="16"/>
        <v>2022.001B.Aliceevansviridae.zip</v>
      </c>
      <c r="U417" s="29" t="str">
        <f>HYPERLINK("https://ictv.global/taxonomy/taxondetails?taxnode_id=202314388","ictv.global=202314388")</f>
        <v>ictv.global=202314388</v>
      </c>
    </row>
    <row r="418" spans="1:21">
      <c r="A418">
        <v>417</v>
      </c>
      <c r="B418" s="30" t="s">
        <v>1587</v>
      </c>
      <c r="D418" s="30" t="s">
        <v>1588</v>
      </c>
      <c r="F418" s="30" t="s">
        <v>1591</v>
      </c>
      <c r="H418" s="30" t="s">
        <v>1592</v>
      </c>
      <c r="L418" s="30" t="s">
        <v>4291</v>
      </c>
      <c r="N418" s="30" t="s">
        <v>1522</v>
      </c>
      <c r="P418" s="30" t="s">
        <v>4369</v>
      </c>
      <c r="Q418" t="s">
        <v>619</v>
      </c>
      <c r="R418" t="s">
        <v>917</v>
      </c>
      <c r="S418">
        <v>38</v>
      </c>
      <c r="T418" s="29" t="str">
        <f t="shared" si="16"/>
        <v>2022.001B.Aliceevansviridae.zip</v>
      </c>
      <c r="U418" s="29" t="str">
        <f>HYPERLINK("https://ictv.global/taxonomy/taxondetails?taxnode_id=202314389","ictv.global=202314389")</f>
        <v>ictv.global=202314389</v>
      </c>
    </row>
    <row r="419" spans="1:21">
      <c r="A419">
        <v>418</v>
      </c>
      <c r="B419" s="30" t="s">
        <v>1587</v>
      </c>
      <c r="D419" s="30" t="s">
        <v>1588</v>
      </c>
      <c r="F419" s="30" t="s">
        <v>1591</v>
      </c>
      <c r="H419" s="30" t="s">
        <v>1592</v>
      </c>
      <c r="L419" s="30" t="s">
        <v>4291</v>
      </c>
      <c r="N419" s="30" t="s">
        <v>1522</v>
      </c>
      <c r="P419" s="30" t="s">
        <v>4370</v>
      </c>
      <c r="Q419" t="s">
        <v>619</v>
      </c>
      <c r="R419" t="s">
        <v>917</v>
      </c>
      <c r="S419">
        <v>38</v>
      </c>
      <c r="T419" s="29" t="str">
        <f t="shared" si="16"/>
        <v>2022.001B.Aliceevansviridae.zip</v>
      </c>
      <c r="U419" s="29" t="str">
        <f>HYPERLINK("https://ictv.global/taxonomy/taxondetails?taxnode_id=202314390","ictv.global=202314390")</f>
        <v>ictv.global=202314390</v>
      </c>
    </row>
    <row r="420" spans="1:21">
      <c r="A420">
        <v>419</v>
      </c>
      <c r="B420" s="30" t="s">
        <v>1587</v>
      </c>
      <c r="D420" s="30" t="s">
        <v>1588</v>
      </c>
      <c r="F420" s="30" t="s">
        <v>1591</v>
      </c>
      <c r="H420" s="30" t="s">
        <v>1592</v>
      </c>
      <c r="L420" s="30" t="s">
        <v>4291</v>
      </c>
      <c r="N420" s="30" t="s">
        <v>1522</v>
      </c>
      <c r="P420" s="30" t="s">
        <v>4371</v>
      </c>
      <c r="Q420" t="s">
        <v>619</v>
      </c>
      <c r="R420" t="s">
        <v>917</v>
      </c>
      <c r="S420">
        <v>38</v>
      </c>
      <c r="T420" s="29" t="str">
        <f t="shared" si="16"/>
        <v>2022.001B.Aliceevansviridae.zip</v>
      </c>
      <c r="U420" s="29" t="str">
        <f>HYPERLINK("https://ictv.global/taxonomy/taxondetails?taxnode_id=202314391","ictv.global=202314391")</f>
        <v>ictv.global=202314391</v>
      </c>
    </row>
    <row r="421" spans="1:21">
      <c r="A421">
        <v>420</v>
      </c>
      <c r="B421" s="30" t="s">
        <v>1587</v>
      </c>
      <c r="D421" s="30" t="s">
        <v>1588</v>
      </c>
      <c r="F421" s="30" t="s">
        <v>1591</v>
      </c>
      <c r="H421" s="30" t="s">
        <v>1592</v>
      </c>
      <c r="L421" s="30" t="s">
        <v>4291</v>
      </c>
      <c r="N421" s="30" t="s">
        <v>1522</v>
      </c>
      <c r="P421" s="30" t="s">
        <v>4372</v>
      </c>
      <c r="Q421" t="s">
        <v>619</v>
      </c>
      <c r="R421" t="s">
        <v>917</v>
      </c>
      <c r="S421">
        <v>38</v>
      </c>
      <c r="T421" s="29" t="str">
        <f t="shared" si="16"/>
        <v>2022.001B.Aliceevansviridae.zip</v>
      </c>
      <c r="U421" s="29" t="str">
        <f>HYPERLINK("https://ictv.global/taxonomy/taxondetails?taxnode_id=202314392","ictv.global=202314392")</f>
        <v>ictv.global=202314392</v>
      </c>
    </row>
    <row r="422" spans="1:21">
      <c r="A422">
        <v>421</v>
      </c>
      <c r="B422" s="30" t="s">
        <v>1587</v>
      </c>
      <c r="D422" s="30" t="s">
        <v>1588</v>
      </c>
      <c r="F422" s="30" t="s">
        <v>1591</v>
      </c>
      <c r="H422" s="30" t="s">
        <v>1592</v>
      </c>
      <c r="L422" s="30" t="s">
        <v>4291</v>
      </c>
      <c r="N422" s="30" t="s">
        <v>1522</v>
      </c>
      <c r="P422" s="30" t="s">
        <v>4373</v>
      </c>
      <c r="Q422" t="s">
        <v>619</v>
      </c>
      <c r="R422" t="s">
        <v>917</v>
      </c>
      <c r="S422">
        <v>38</v>
      </c>
      <c r="T422" s="29" t="str">
        <f t="shared" si="16"/>
        <v>2022.001B.Aliceevansviridae.zip</v>
      </c>
      <c r="U422" s="29" t="str">
        <f>HYPERLINK("https://ictv.global/taxonomy/taxondetails?taxnode_id=202314393","ictv.global=202314393")</f>
        <v>ictv.global=202314393</v>
      </c>
    </row>
    <row r="423" spans="1:21">
      <c r="A423">
        <v>422</v>
      </c>
      <c r="B423" s="30" t="s">
        <v>1587</v>
      </c>
      <c r="D423" s="30" t="s">
        <v>1588</v>
      </c>
      <c r="F423" s="30" t="s">
        <v>1591</v>
      </c>
      <c r="H423" s="30" t="s">
        <v>1592</v>
      </c>
      <c r="L423" s="30" t="s">
        <v>4291</v>
      </c>
      <c r="N423" s="30" t="s">
        <v>1522</v>
      </c>
      <c r="P423" s="30" t="s">
        <v>4374</v>
      </c>
      <c r="Q423" t="s">
        <v>619</v>
      </c>
      <c r="R423" t="s">
        <v>917</v>
      </c>
      <c r="S423">
        <v>38</v>
      </c>
      <c r="T423" s="29" t="str">
        <f t="shared" si="16"/>
        <v>2022.001B.Aliceevansviridae.zip</v>
      </c>
      <c r="U423" s="29" t="str">
        <f>HYPERLINK("https://ictv.global/taxonomy/taxondetails?taxnode_id=202314394","ictv.global=202314394")</f>
        <v>ictv.global=202314394</v>
      </c>
    </row>
    <row r="424" spans="1:21">
      <c r="A424">
        <v>423</v>
      </c>
      <c r="B424" s="30" t="s">
        <v>1587</v>
      </c>
      <c r="D424" s="30" t="s">
        <v>1588</v>
      </c>
      <c r="F424" s="30" t="s">
        <v>1591</v>
      </c>
      <c r="H424" s="30" t="s">
        <v>1592</v>
      </c>
      <c r="L424" s="30" t="s">
        <v>4291</v>
      </c>
      <c r="N424" s="30" t="s">
        <v>1522</v>
      </c>
      <c r="P424" s="30" t="s">
        <v>4375</v>
      </c>
      <c r="Q424" t="s">
        <v>619</v>
      </c>
      <c r="R424" t="s">
        <v>917</v>
      </c>
      <c r="S424">
        <v>38</v>
      </c>
      <c r="T424" s="29" t="str">
        <f t="shared" si="16"/>
        <v>2022.001B.Aliceevansviridae.zip</v>
      </c>
      <c r="U424" s="29" t="str">
        <f>HYPERLINK("https://ictv.global/taxonomy/taxondetails?taxnode_id=202314395","ictv.global=202314395")</f>
        <v>ictv.global=202314395</v>
      </c>
    </row>
    <row r="425" spans="1:21">
      <c r="A425">
        <v>424</v>
      </c>
      <c r="B425" s="30" t="s">
        <v>1587</v>
      </c>
      <c r="D425" s="30" t="s">
        <v>1588</v>
      </c>
      <c r="F425" s="30" t="s">
        <v>1591</v>
      </c>
      <c r="H425" s="30" t="s">
        <v>1592</v>
      </c>
      <c r="L425" s="30" t="s">
        <v>4291</v>
      </c>
      <c r="N425" s="30" t="s">
        <v>1522</v>
      </c>
      <c r="P425" s="30" t="s">
        <v>4376</v>
      </c>
      <c r="Q425" t="s">
        <v>619</v>
      </c>
      <c r="R425" t="s">
        <v>917</v>
      </c>
      <c r="S425">
        <v>38</v>
      </c>
      <c r="T425" s="29" t="str">
        <f t="shared" si="16"/>
        <v>2022.001B.Aliceevansviridae.zip</v>
      </c>
      <c r="U425" s="29" t="str">
        <f>HYPERLINK("https://ictv.global/taxonomy/taxondetails?taxnode_id=202314396","ictv.global=202314396")</f>
        <v>ictv.global=202314396</v>
      </c>
    </row>
    <row r="426" spans="1:21">
      <c r="A426">
        <v>425</v>
      </c>
      <c r="B426" s="30" t="s">
        <v>1587</v>
      </c>
      <c r="D426" s="30" t="s">
        <v>1588</v>
      </c>
      <c r="F426" s="30" t="s">
        <v>1591</v>
      </c>
      <c r="H426" s="30" t="s">
        <v>1592</v>
      </c>
      <c r="L426" s="30" t="s">
        <v>4291</v>
      </c>
      <c r="N426" s="30" t="s">
        <v>1522</v>
      </c>
      <c r="P426" s="30" t="s">
        <v>4377</v>
      </c>
      <c r="Q426" t="s">
        <v>619</v>
      </c>
      <c r="R426" t="s">
        <v>917</v>
      </c>
      <c r="S426">
        <v>38</v>
      </c>
      <c r="T426" s="29" t="str">
        <f t="shared" si="16"/>
        <v>2022.001B.Aliceevansviridae.zip</v>
      </c>
      <c r="U426" s="29" t="str">
        <f>HYPERLINK("https://ictv.global/taxonomy/taxondetails?taxnode_id=202314397","ictv.global=202314397")</f>
        <v>ictv.global=202314397</v>
      </c>
    </row>
    <row r="427" spans="1:21">
      <c r="A427">
        <v>426</v>
      </c>
      <c r="B427" s="30" t="s">
        <v>1587</v>
      </c>
      <c r="D427" s="30" t="s">
        <v>1588</v>
      </c>
      <c r="F427" s="30" t="s">
        <v>1591</v>
      </c>
      <c r="H427" s="30" t="s">
        <v>1592</v>
      </c>
      <c r="L427" s="30" t="s">
        <v>4291</v>
      </c>
      <c r="N427" s="30" t="s">
        <v>1522</v>
      </c>
      <c r="P427" s="30" t="s">
        <v>4378</v>
      </c>
      <c r="Q427" t="s">
        <v>619</v>
      </c>
      <c r="R427" t="s">
        <v>917</v>
      </c>
      <c r="S427">
        <v>38</v>
      </c>
      <c r="T427" s="29" t="str">
        <f t="shared" si="16"/>
        <v>2022.001B.Aliceevansviridae.zip</v>
      </c>
      <c r="U427" s="29" t="str">
        <f>HYPERLINK("https://ictv.global/taxonomy/taxondetails?taxnode_id=202314398","ictv.global=202314398")</f>
        <v>ictv.global=202314398</v>
      </c>
    </row>
    <row r="428" spans="1:21">
      <c r="A428">
        <v>427</v>
      </c>
      <c r="B428" s="30" t="s">
        <v>1587</v>
      </c>
      <c r="D428" s="30" t="s">
        <v>1588</v>
      </c>
      <c r="F428" s="30" t="s">
        <v>1591</v>
      </c>
      <c r="H428" s="30" t="s">
        <v>1592</v>
      </c>
      <c r="L428" s="30" t="s">
        <v>4291</v>
      </c>
      <c r="N428" s="30" t="s">
        <v>1522</v>
      </c>
      <c r="P428" s="30" t="s">
        <v>4379</v>
      </c>
      <c r="Q428" t="s">
        <v>619</v>
      </c>
      <c r="R428" t="s">
        <v>917</v>
      </c>
      <c r="S428">
        <v>38</v>
      </c>
      <c r="T428" s="29" t="str">
        <f t="shared" si="16"/>
        <v>2022.001B.Aliceevansviridae.zip</v>
      </c>
      <c r="U428" s="29" t="str">
        <f>HYPERLINK("https://ictv.global/taxonomy/taxondetails?taxnode_id=202314399","ictv.global=202314399")</f>
        <v>ictv.global=202314399</v>
      </c>
    </row>
    <row r="429" spans="1:21">
      <c r="A429">
        <v>428</v>
      </c>
      <c r="B429" s="30" t="s">
        <v>1587</v>
      </c>
      <c r="D429" s="30" t="s">
        <v>1588</v>
      </c>
      <c r="F429" s="30" t="s">
        <v>1591</v>
      </c>
      <c r="H429" s="30" t="s">
        <v>1592</v>
      </c>
      <c r="L429" s="30" t="s">
        <v>4291</v>
      </c>
      <c r="N429" s="30" t="s">
        <v>1522</v>
      </c>
      <c r="P429" s="30" t="s">
        <v>4380</v>
      </c>
      <c r="Q429" t="s">
        <v>619</v>
      </c>
      <c r="R429" t="s">
        <v>917</v>
      </c>
      <c r="S429">
        <v>38</v>
      </c>
      <c r="T429" s="29" t="str">
        <f t="shared" si="16"/>
        <v>2022.001B.Aliceevansviridae.zip</v>
      </c>
      <c r="U429" s="29" t="str">
        <f>HYPERLINK("https://ictv.global/taxonomy/taxondetails?taxnode_id=202314400","ictv.global=202314400")</f>
        <v>ictv.global=202314400</v>
      </c>
    </row>
    <row r="430" spans="1:21">
      <c r="A430">
        <v>429</v>
      </c>
      <c r="B430" s="30" t="s">
        <v>1587</v>
      </c>
      <c r="D430" s="30" t="s">
        <v>1588</v>
      </c>
      <c r="F430" s="30" t="s">
        <v>1591</v>
      </c>
      <c r="H430" s="30" t="s">
        <v>1592</v>
      </c>
      <c r="L430" s="30" t="s">
        <v>4291</v>
      </c>
      <c r="N430" s="30" t="s">
        <v>1522</v>
      </c>
      <c r="P430" s="30" t="s">
        <v>4381</v>
      </c>
      <c r="Q430" t="s">
        <v>619</v>
      </c>
      <c r="R430" t="s">
        <v>917</v>
      </c>
      <c r="S430">
        <v>38</v>
      </c>
      <c r="T430" s="29" t="str">
        <f t="shared" si="16"/>
        <v>2022.001B.Aliceevansviridae.zip</v>
      </c>
      <c r="U430" s="29" t="str">
        <f>HYPERLINK("https://ictv.global/taxonomy/taxondetails?taxnode_id=202314401","ictv.global=202314401")</f>
        <v>ictv.global=202314401</v>
      </c>
    </row>
    <row r="431" spans="1:21">
      <c r="A431">
        <v>430</v>
      </c>
      <c r="B431" s="30" t="s">
        <v>1587</v>
      </c>
      <c r="D431" s="30" t="s">
        <v>1588</v>
      </c>
      <c r="F431" s="30" t="s">
        <v>1591</v>
      </c>
      <c r="H431" s="30" t="s">
        <v>1592</v>
      </c>
      <c r="L431" s="30" t="s">
        <v>4291</v>
      </c>
      <c r="N431" s="30" t="s">
        <v>1522</v>
      </c>
      <c r="P431" s="30" t="s">
        <v>4382</v>
      </c>
      <c r="Q431" t="s">
        <v>619</v>
      </c>
      <c r="R431" t="s">
        <v>917</v>
      </c>
      <c r="S431">
        <v>38</v>
      </c>
      <c r="T431" s="29" t="str">
        <f t="shared" si="16"/>
        <v>2022.001B.Aliceevansviridae.zip</v>
      </c>
      <c r="U431" s="29" t="str">
        <f>HYPERLINK("https://ictv.global/taxonomy/taxondetails?taxnode_id=202314402","ictv.global=202314402")</f>
        <v>ictv.global=202314402</v>
      </c>
    </row>
    <row r="432" spans="1:21">
      <c r="A432">
        <v>431</v>
      </c>
      <c r="B432" s="30" t="s">
        <v>1587</v>
      </c>
      <c r="D432" s="30" t="s">
        <v>1588</v>
      </c>
      <c r="F432" s="30" t="s">
        <v>1591</v>
      </c>
      <c r="H432" s="30" t="s">
        <v>1592</v>
      </c>
      <c r="L432" s="30" t="s">
        <v>4291</v>
      </c>
      <c r="N432" s="30" t="s">
        <v>1522</v>
      </c>
      <c r="P432" s="30" t="s">
        <v>4383</v>
      </c>
      <c r="Q432" t="s">
        <v>619</v>
      </c>
      <c r="R432" t="s">
        <v>917</v>
      </c>
      <c r="S432">
        <v>38</v>
      </c>
      <c r="T432" s="29" t="str">
        <f t="shared" si="16"/>
        <v>2022.001B.Aliceevansviridae.zip</v>
      </c>
      <c r="U432" s="29" t="str">
        <f>HYPERLINK("https://ictv.global/taxonomy/taxondetails?taxnode_id=202314403","ictv.global=202314403")</f>
        <v>ictv.global=202314403</v>
      </c>
    </row>
    <row r="433" spans="1:21">
      <c r="A433">
        <v>432</v>
      </c>
      <c r="B433" s="30" t="s">
        <v>1587</v>
      </c>
      <c r="D433" s="30" t="s">
        <v>1588</v>
      </c>
      <c r="F433" s="30" t="s">
        <v>1591</v>
      </c>
      <c r="H433" s="30" t="s">
        <v>1592</v>
      </c>
      <c r="L433" s="30" t="s">
        <v>4291</v>
      </c>
      <c r="N433" s="30" t="s">
        <v>1522</v>
      </c>
      <c r="P433" s="30" t="s">
        <v>4384</v>
      </c>
      <c r="Q433" t="s">
        <v>619</v>
      </c>
      <c r="R433" t="s">
        <v>917</v>
      </c>
      <c r="S433">
        <v>38</v>
      </c>
      <c r="T433" s="29" t="str">
        <f t="shared" si="16"/>
        <v>2022.001B.Aliceevansviridae.zip</v>
      </c>
      <c r="U433" s="29" t="str">
        <f>HYPERLINK("https://ictv.global/taxonomy/taxondetails?taxnode_id=202314404","ictv.global=202314404")</f>
        <v>ictv.global=202314404</v>
      </c>
    </row>
    <row r="434" spans="1:21">
      <c r="A434">
        <v>433</v>
      </c>
      <c r="B434" s="30" t="s">
        <v>1587</v>
      </c>
      <c r="D434" s="30" t="s">
        <v>1588</v>
      </c>
      <c r="F434" s="30" t="s">
        <v>1591</v>
      </c>
      <c r="H434" s="30" t="s">
        <v>1592</v>
      </c>
      <c r="L434" s="30" t="s">
        <v>4291</v>
      </c>
      <c r="N434" s="30" t="s">
        <v>1522</v>
      </c>
      <c r="P434" s="30" t="s">
        <v>4385</v>
      </c>
      <c r="Q434" t="s">
        <v>619</v>
      </c>
      <c r="R434" t="s">
        <v>917</v>
      </c>
      <c r="S434">
        <v>38</v>
      </c>
      <c r="T434" s="29" t="str">
        <f t="shared" si="16"/>
        <v>2022.001B.Aliceevansviridae.zip</v>
      </c>
      <c r="U434" s="29" t="str">
        <f>HYPERLINK("https://ictv.global/taxonomy/taxondetails?taxnode_id=202314405","ictv.global=202314405")</f>
        <v>ictv.global=202314405</v>
      </c>
    </row>
    <row r="435" spans="1:21">
      <c r="A435">
        <v>434</v>
      </c>
      <c r="B435" s="30" t="s">
        <v>1587</v>
      </c>
      <c r="D435" s="30" t="s">
        <v>1588</v>
      </c>
      <c r="F435" s="30" t="s">
        <v>1591</v>
      </c>
      <c r="H435" s="30" t="s">
        <v>1592</v>
      </c>
      <c r="L435" s="30" t="s">
        <v>4291</v>
      </c>
      <c r="N435" s="30" t="s">
        <v>1522</v>
      </c>
      <c r="P435" s="30" t="s">
        <v>4386</v>
      </c>
      <c r="Q435" t="s">
        <v>619</v>
      </c>
      <c r="R435" t="s">
        <v>917</v>
      </c>
      <c r="S435">
        <v>38</v>
      </c>
      <c r="T435" s="29" t="str">
        <f t="shared" si="16"/>
        <v>2022.001B.Aliceevansviridae.zip</v>
      </c>
      <c r="U435" s="29" t="str">
        <f>HYPERLINK("https://ictv.global/taxonomy/taxondetails?taxnode_id=202314406","ictv.global=202314406")</f>
        <v>ictv.global=202314406</v>
      </c>
    </row>
    <row r="436" spans="1:21">
      <c r="A436">
        <v>435</v>
      </c>
      <c r="B436" s="30" t="s">
        <v>1587</v>
      </c>
      <c r="D436" s="30" t="s">
        <v>1588</v>
      </c>
      <c r="F436" s="30" t="s">
        <v>1591</v>
      </c>
      <c r="H436" s="30" t="s">
        <v>1592</v>
      </c>
      <c r="L436" s="30" t="s">
        <v>4291</v>
      </c>
      <c r="N436" s="30" t="s">
        <v>1522</v>
      </c>
      <c r="P436" s="30" t="s">
        <v>4387</v>
      </c>
      <c r="Q436" t="s">
        <v>619</v>
      </c>
      <c r="R436" t="s">
        <v>917</v>
      </c>
      <c r="S436">
        <v>38</v>
      </c>
      <c r="T436" s="29" t="str">
        <f t="shared" si="16"/>
        <v>2022.001B.Aliceevansviridae.zip</v>
      </c>
      <c r="U436" s="29" t="str">
        <f>HYPERLINK("https://ictv.global/taxonomy/taxondetails?taxnode_id=202314407","ictv.global=202314407")</f>
        <v>ictv.global=202314407</v>
      </c>
    </row>
    <row r="437" spans="1:21">
      <c r="A437">
        <v>436</v>
      </c>
      <c r="B437" s="30" t="s">
        <v>1587</v>
      </c>
      <c r="D437" s="30" t="s">
        <v>1588</v>
      </c>
      <c r="F437" s="30" t="s">
        <v>1591</v>
      </c>
      <c r="H437" s="30" t="s">
        <v>1592</v>
      </c>
      <c r="L437" s="30" t="s">
        <v>4291</v>
      </c>
      <c r="N437" s="30" t="s">
        <v>1522</v>
      </c>
      <c r="P437" s="30" t="s">
        <v>4388</v>
      </c>
      <c r="Q437" t="s">
        <v>619</v>
      </c>
      <c r="R437" t="s">
        <v>917</v>
      </c>
      <c r="S437">
        <v>38</v>
      </c>
      <c r="T437" s="29" t="str">
        <f t="shared" ref="T437:T466" si="17">HYPERLINK("https://ictv.global/ictv/proposals/2022.001B.Aliceevansviridae.zip","2022.001B.Aliceevansviridae.zip")</f>
        <v>2022.001B.Aliceevansviridae.zip</v>
      </c>
      <c r="U437" s="29" t="str">
        <f>HYPERLINK("https://ictv.global/taxonomy/taxondetails?taxnode_id=202314408","ictv.global=202314408")</f>
        <v>ictv.global=202314408</v>
      </c>
    </row>
    <row r="438" spans="1:21">
      <c r="A438">
        <v>437</v>
      </c>
      <c r="B438" s="30" t="s">
        <v>1587</v>
      </c>
      <c r="D438" s="30" t="s">
        <v>1588</v>
      </c>
      <c r="F438" s="30" t="s">
        <v>1591</v>
      </c>
      <c r="H438" s="30" t="s">
        <v>1592</v>
      </c>
      <c r="L438" s="30" t="s">
        <v>4291</v>
      </c>
      <c r="N438" s="30" t="s">
        <v>1522</v>
      </c>
      <c r="P438" s="30" t="s">
        <v>4389</v>
      </c>
      <c r="Q438" t="s">
        <v>619</v>
      </c>
      <c r="R438" t="s">
        <v>917</v>
      </c>
      <c r="S438">
        <v>38</v>
      </c>
      <c r="T438" s="29" t="str">
        <f t="shared" si="17"/>
        <v>2022.001B.Aliceevansviridae.zip</v>
      </c>
      <c r="U438" s="29" t="str">
        <f>HYPERLINK("https://ictv.global/taxonomy/taxondetails?taxnode_id=202314409","ictv.global=202314409")</f>
        <v>ictv.global=202314409</v>
      </c>
    </row>
    <row r="439" spans="1:21">
      <c r="A439">
        <v>438</v>
      </c>
      <c r="B439" s="30" t="s">
        <v>1587</v>
      </c>
      <c r="D439" s="30" t="s">
        <v>1588</v>
      </c>
      <c r="F439" s="30" t="s">
        <v>1591</v>
      </c>
      <c r="H439" s="30" t="s">
        <v>1592</v>
      </c>
      <c r="L439" s="30" t="s">
        <v>4291</v>
      </c>
      <c r="N439" s="30" t="s">
        <v>1522</v>
      </c>
      <c r="P439" s="30" t="s">
        <v>4390</v>
      </c>
      <c r="Q439" t="s">
        <v>619</v>
      </c>
      <c r="R439" t="s">
        <v>917</v>
      </c>
      <c r="S439">
        <v>38</v>
      </c>
      <c r="T439" s="29" t="str">
        <f t="shared" si="17"/>
        <v>2022.001B.Aliceevansviridae.zip</v>
      </c>
      <c r="U439" s="29" t="str">
        <f>HYPERLINK("https://ictv.global/taxonomy/taxondetails?taxnode_id=202314410","ictv.global=202314410")</f>
        <v>ictv.global=202314410</v>
      </c>
    </row>
    <row r="440" spans="1:21">
      <c r="A440">
        <v>439</v>
      </c>
      <c r="B440" s="30" t="s">
        <v>1587</v>
      </c>
      <c r="D440" s="30" t="s">
        <v>1588</v>
      </c>
      <c r="F440" s="30" t="s">
        <v>1591</v>
      </c>
      <c r="H440" s="30" t="s">
        <v>1592</v>
      </c>
      <c r="L440" s="30" t="s">
        <v>4291</v>
      </c>
      <c r="N440" s="30" t="s">
        <v>1522</v>
      </c>
      <c r="P440" s="30" t="s">
        <v>4391</v>
      </c>
      <c r="Q440" t="s">
        <v>619</v>
      </c>
      <c r="R440" t="s">
        <v>919</v>
      </c>
      <c r="S440">
        <v>38</v>
      </c>
      <c r="T440" s="29" t="str">
        <f t="shared" si="17"/>
        <v>2022.001B.Aliceevansviridae.zip</v>
      </c>
      <c r="U440" s="29" t="str">
        <f>HYPERLINK("https://ictv.global/taxonomy/taxondetails?taxnode_id=202301276","ictv.global=202301276")</f>
        <v>ictv.global=202301276</v>
      </c>
    </row>
    <row r="441" spans="1:21">
      <c r="A441">
        <v>440</v>
      </c>
      <c r="B441" s="30" t="s">
        <v>1587</v>
      </c>
      <c r="D441" s="30" t="s">
        <v>1588</v>
      </c>
      <c r="F441" s="30" t="s">
        <v>1591</v>
      </c>
      <c r="H441" s="30" t="s">
        <v>1592</v>
      </c>
      <c r="L441" s="30" t="s">
        <v>4291</v>
      </c>
      <c r="N441" s="30" t="s">
        <v>1522</v>
      </c>
      <c r="P441" s="30" t="s">
        <v>4392</v>
      </c>
      <c r="Q441" t="s">
        <v>619</v>
      </c>
      <c r="R441" t="s">
        <v>919</v>
      </c>
      <c r="S441">
        <v>38</v>
      </c>
      <c r="T441" s="29" t="str">
        <f t="shared" si="17"/>
        <v>2022.001B.Aliceevansviridae.zip</v>
      </c>
      <c r="U441" s="29" t="str">
        <f>HYPERLINK("https://ictv.global/taxonomy/taxondetails?taxnode_id=202301277","ictv.global=202301277")</f>
        <v>ictv.global=202301277</v>
      </c>
    </row>
    <row r="442" spans="1:21">
      <c r="A442">
        <v>441</v>
      </c>
      <c r="B442" s="30" t="s">
        <v>1587</v>
      </c>
      <c r="D442" s="30" t="s">
        <v>1588</v>
      </c>
      <c r="F442" s="30" t="s">
        <v>1591</v>
      </c>
      <c r="H442" s="30" t="s">
        <v>1592</v>
      </c>
      <c r="L442" s="30" t="s">
        <v>4291</v>
      </c>
      <c r="N442" s="30" t="s">
        <v>1522</v>
      </c>
      <c r="P442" s="30" t="s">
        <v>4393</v>
      </c>
      <c r="Q442" t="s">
        <v>619</v>
      </c>
      <c r="R442" t="s">
        <v>917</v>
      </c>
      <c r="S442">
        <v>38</v>
      </c>
      <c r="T442" s="29" t="str">
        <f t="shared" si="17"/>
        <v>2022.001B.Aliceevansviridae.zip</v>
      </c>
      <c r="U442" s="29" t="str">
        <f>HYPERLINK("https://ictv.global/taxonomy/taxondetails?taxnode_id=202314411","ictv.global=202314411")</f>
        <v>ictv.global=202314411</v>
      </c>
    </row>
    <row r="443" spans="1:21">
      <c r="A443">
        <v>442</v>
      </c>
      <c r="B443" s="30" t="s">
        <v>1587</v>
      </c>
      <c r="D443" s="30" t="s">
        <v>1588</v>
      </c>
      <c r="F443" s="30" t="s">
        <v>1591</v>
      </c>
      <c r="H443" s="30" t="s">
        <v>1592</v>
      </c>
      <c r="L443" s="30" t="s">
        <v>4291</v>
      </c>
      <c r="N443" s="30" t="s">
        <v>1522</v>
      </c>
      <c r="P443" s="30" t="s">
        <v>4394</v>
      </c>
      <c r="Q443" t="s">
        <v>619</v>
      </c>
      <c r="R443" t="s">
        <v>917</v>
      </c>
      <c r="S443">
        <v>38</v>
      </c>
      <c r="T443" s="29" t="str">
        <f t="shared" si="17"/>
        <v>2022.001B.Aliceevansviridae.zip</v>
      </c>
      <c r="U443" s="29" t="str">
        <f>HYPERLINK("https://ictv.global/taxonomy/taxondetails?taxnode_id=202314412","ictv.global=202314412")</f>
        <v>ictv.global=202314412</v>
      </c>
    </row>
    <row r="444" spans="1:21">
      <c r="A444">
        <v>443</v>
      </c>
      <c r="B444" s="30" t="s">
        <v>1587</v>
      </c>
      <c r="D444" s="30" t="s">
        <v>1588</v>
      </c>
      <c r="F444" s="30" t="s">
        <v>1591</v>
      </c>
      <c r="H444" s="30" t="s">
        <v>1592</v>
      </c>
      <c r="L444" s="30" t="s">
        <v>4291</v>
      </c>
      <c r="N444" s="30" t="s">
        <v>1522</v>
      </c>
      <c r="P444" s="30" t="s">
        <v>4395</v>
      </c>
      <c r="Q444" t="s">
        <v>619</v>
      </c>
      <c r="R444" t="s">
        <v>917</v>
      </c>
      <c r="S444">
        <v>38</v>
      </c>
      <c r="T444" s="29" t="str">
        <f t="shared" si="17"/>
        <v>2022.001B.Aliceevansviridae.zip</v>
      </c>
      <c r="U444" s="29" t="str">
        <f>HYPERLINK("https://ictv.global/taxonomy/taxondetails?taxnode_id=202314415","ictv.global=202314415")</f>
        <v>ictv.global=202314415</v>
      </c>
    </row>
    <row r="445" spans="1:21">
      <c r="A445">
        <v>444</v>
      </c>
      <c r="B445" s="30" t="s">
        <v>1587</v>
      </c>
      <c r="D445" s="30" t="s">
        <v>1588</v>
      </c>
      <c r="F445" s="30" t="s">
        <v>1591</v>
      </c>
      <c r="H445" s="30" t="s">
        <v>1592</v>
      </c>
      <c r="L445" s="30" t="s">
        <v>4291</v>
      </c>
      <c r="N445" s="30" t="s">
        <v>1522</v>
      </c>
      <c r="P445" s="30" t="s">
        <v>4396</v>
      </c>
      <c r="Q445" t="s">
        <v>619</v>
      </c>
      <c r="R445" t="s">
        <v>917</v>
      </c>
      <c r="S445">
        <v>38</v>
      </c>
      <c r="T445" s="29" t="str">
        <f t="shared" si="17"/>
        <v>2022.001B.Aliceevansviridae.zip</v>
      </c>
      <c r="U445" s="29" t="str">
        <f>HYPERLINK("https://ictv.global/taxonomy/taxondetails?taxnode_id=202314416","ictv.global=202314416")</f>
        <v>ictv.global=202314416</v>
      </c>
    </row>
    <row r="446" spans="1:21">
      <c r="A446">
        <v>445</v>
      </c>
      <c r="B446" s="30" t="s">
        <v>1587</v>
      </c>
      <c r="D446" s="30" t="s">
        <v>1588</v>
      </c>
      <c r="F446" s="30" t="s">
        <v>1591</v>
      </c>
      <c r="H446" s="30" t="s">
        <v>1592</v>
      </c>
      <c r="L446" s="30" t="s">
        <v>4291</v>
      </c>
      <c r="N446" s="30" t="s">
        <v>1522</v>
      </c>
      <c r="P446" s="30" t="s">
        <v>4397</v>
      </c>
      <c r="Q446" t="s">
        <v>619</v>
      </c>
      <c r="R446" t="s">
        <v>917</v>
      </c>
      <c r="S446">
        <v>38</v>
      </c>
      <c r="T446" s="29" t="str">
        <f t="shared" si="17"/>
        <v>2022.001B.Aliceevansviridae.zip</v>
      </c>
      <c r="U446" s="29" t="str">
        <f>HYPERLINK("https://ictv.global/taxonomy/taxondetails?taxnode_id=202314417","ictv.global=202314417")</f>
        <v>ictv.global=202314417</v>
      </c>
    </row>
    <row r="447" spans="1:21">
      <c r="A447">
        <v>446</v>
      </c>
      <c r="B447" s="30" t="s">
        <v>1587</v>
      </c>
      <c r="D447" s="30" t="s">
        <v>1588</v>
      </c>
      <c r="F447" s="30" t="s">
        <v>1591</v>
      </c>
      <c r="H447" s="30" t="s">
        <v>1592</v>
      </c>
      <c r="L447" s="30" t="s">
        <v>4291</v>
      </c>
      <c r="N447" s="30" t="s">
        <v>1522</v>
      </c>
      <c r="P447" s="30" t="s">
        <v>4398</v>
      </c>
      <c r="Q447" t="s">
        <v>619</v>
      </c>
      <c r="R447" t="s">
        <v>917</v>
      </c>
      <c r="S447">
        <v>38</v>
      </c>
      <c r="T447" s="29" t="str">
        <f t="shared" si="17"/>
        <v>2022.001B.Aliceevansviridae.zip</v>
      </c>
      <c r="U447" s="29" t="str">
        <f>HYPERLINK("https://ictv.global/taxonomy/taxondetails?taxnode_id=202314418","ictv.global=202314418")</f>
        <v>ictv.global=202314418</v>
      </c>
    </row>
    <row r="448" spans="1:21">
      <c r="A448">
        <v>447</v>
      </c>
      <c r="B448" s="30" t="s">
        <v>1587</v>
      </c>
      <c r="D448" s="30" t="s">
        <v>1588</v>
      </c>
      <c r="F448" s="30" t="s">
        <v>1591</v>
      </c>
      <c r="H448" s="30" t="s">
        <v>1592</v>
      </c>
      <c r="L448" s="30" t="s">
        <v>4291</v>
      </c>
      <c r="N448" s="30" t="s">
        <v>1522</v>
      </c>
      <c r="P448" s="30" t="s">
        <v>4399</v>
      </c>
      <c r="Q448" t="s">
        <v>619</v>
      </c>
      <c r="R448" t="s">
        <v>917</v>
      </c>
      <c r="S448">
        <v>38</v>
      </c>
      <c r="T448" s="29" t="str">
        <f t="shared" si="17"/>
        <v>2022.001B.Aliceevansviridae.zip</v>
      </c>
      <c r="U448" s="29" t="str">
        <f>HYPERLINK("https://ictv.global/taxonomy/taxondetails?taxnode_id=202314419","ictv.global=202314419")</f>
        <v>ictv.global=202314419</v>
      </c>
    </row>
    <row r="449" spans="1:21">
      <c r="A449">
        <v>448</v>
      </c>
      <c r="B449" s="30" t="s">
        <v>1587</v>
      </c>
      <c r="D449" s="30" t="s">
        <v>1588</v>
      </c>
      <c r="F449" s="30" t="s">
        <v>1591</v>
      </c>
      <c r="H449" s="30" t="s">
        <v>1592</v>
      </c>
      <c r="L449" s="30" t="s">
        <v>4291</v>
      </c>
      <c r="N449" s="30" t="s">
        <v>1522</v>
      </c>
      <c r="P449" s="30" t="s">
        <v>4400</v>
      </c>
      <c r="Q449" t="s">
        <v>619</v>
      </c>
      <c r="R449" t="s">
        <v>917</v>
      </c>
      <c r="S449">
        <v>38</v>
      </c>
      <c r="T449" s="29" t="str">
        <f t="shared" si="17"/>
        <v>2022.001B.Aliceevansviridae.zip</v>
      </c>
      <c r="U449" s="29" t="str">
        <f>HYPERLINK("https://ictv.global/taxonomy/taxondetails?taxnode_id=202314420","ictv.global=202314420")</f>
        <v>ictv.global=202314420</v>
      </c>
    </row>
    <row r="450" spans="1:21">
      <c r="A450">
        <v>449</v>
      </c>
      <c r="B450" s="30" t="s">
        <v>1587</v>
      </c>
      <c r="D450" s="30" t="s">
        <v>1588</v>
      </c>
      <c r="F450" s="30" t="s">
        <v>1591</v>
      </c>
      <c r="H450" s="30" t="s">
        <v>1592</v>
      </c>
      <c r="L450" s="30" t="s">
        <v>4291</v>
      </c>
      <c r="N450" s="30" t="s">
        <v>1522</v>
      </c>
      <c r="P450" s="30" t="s">
        <v>4401</v>
      </c>
      <c r="Q450" t="s">
        <v>619</v>
      </c>
      <c r="R450" t="s">
        <v>917</v>
      </c>
      <c r="S450">
        <v>38</v>
      </c>
      <c r="T450" s="29" t="str">
        <f t="shared" si="17"/>
        <v>2022.001B.Aliceevansviridae.zip</v>
      </c>
      <c r="U450" s="29" t="str">
        <f>HYPERLINK("https://ictv.global/taxonomy/taxondetails?taxnode_id=202314413","ictv.global=202314413")</f>
        <v>ictv.global=202314413</v>
      </c>
    </row>
    <row r="451" spans="1:21">
      <c r="A451">
        <v>450</v>
      </c>
      <c r="B451" s="30" t="s">
        <v>1587</v>
      </c>
      <c r="D451" s="30" t="s">
        <v>1588</v>
      </c>
      <c r="F451" s="30" t="s">
        <v>1591</v>
      </c>
      <c r="H451" s="30" t="s">
        <v>1592</v>
      </c>
      <c r="L451" s="30" t="s">
        <v>4291</v>
      </c>
      <c r="N451" s="30" t="s">
        <v>1522</v>
      </c>
      <c r="P451" s="30" t="s">
        <v>4402</v>
      </c>
      <c r="Q451" t="s">
        <v>619</v>
      </c>
      <c r="R451" t="s">
        <v>917</v>
      </c>
      <c r="S451">
        <v>38</v>
      </c>
      <c r="T451" s="29" t="str">
        <f t="shared" si="17"/>
        <v>2022.001B.Aliceevansviridae.zip</v>
      </c>
      <c r="U451" s="29" t="str">
        <f>HYPERLINK("https://ictv.global/taxonomy/taxondetails?taxnode_id=202314414","ictv.global=202314414")</f>
        <v>ictv.global=202314414</v>
      </c>
    </row>
    <row r="452" spans="1:21">
      <c r="A452">
        <v>451</v>
      </c>
      <c r="B452" s="30" t="s">
        <v>1587</v>
      </c>
      <c r="D452" s="30" t="s">
        <v>1588</v>
      </c>
      <c r="F452" s="30" t="s">
        <v>1591</v>
      </c>
      <c r="H452" s="30" t="s">
        <v>1592</v>
      </c>
      <c r="L452" s="30" t="s">
        <v>4291</v>
      </c>
      <c r="N452" s="30" t="s">
        <v>1522</v>
      </c>
      <c r="P452" s="30" t="s">
        <v>4403</v>
      </c>
      <c r="Q452" t="s">
        <v>619</v>
      </c>
      <c r="R452" t="s">
        <v>917</v>
      </c>
      <c r="S452">
        <v>38</v>
      </c>
      <c r="T452" s="29" t="str">
        <f t="shared" si="17"/>
        <v>2022.001B.Aliceevansviridae.zip</v>
      </c>
      <c r="U452" s="29" t="str">
        <f>HYPERLINK("https://ictv.global/taxonomy/taxondetails?taxnode_id=202314421","ictv.global=202314421")</f>
        <v>ictv.global=202314421</v>
      </c>
    </row>
    <row r="453" spans="1:21">
      <c r="A453">
        <v>452</v>
      </c>
      <c r="B453" s="30" t="s">
        <v>1587</v>
      </c>
      <c r="D453" s="30" t="s">
        <v>1588</v>
      </c>
      <c r="F453" s="30" t="s">
        <v>1591</v>
      </c>
      <c r="H453" s="30" t="s">
        <v>1592</v>
      </c>
      <c r="L453" s="30" t="s">
        <v>4291</v>
      </c>
      <c r="N453" s="30" t="s">
        <v>1522</v>
      </c>
      <c r="P453" s="30" t="s">
        <v>4404</v>
      </c>
      <c r="Q453" t="s">
        <v>619</v>
      </c>
      <c r="R453" t="s">
        <v>917</v>
      </c>
      <c r="S453">
        <v>38</v>
      </c>
      <c r="T453" s="29" t="str">
        <f t="shared" si="17"/>
        <v>2022.001B.Aliceevansviridae.zip</v>
      </c>
      <c r="U453" s="29" t="str">
        <f>HYPERLINK("https://ictv.global/taxonomy/taxondetails?taxnode_id=202314422","ictv.global=202314422")</f>
        <v>ictv.global=202314422</v>
      </c>
    </row>
    <row r="454" spans="1:21">
      <c r="A454">
        <v>453</v>
      </c>
      <c r="B454" s="30" t="s">
        <v>1587</v>
      </c>
      <c r="D454" s="30" t="s">
        <v>1588</v>
      </c>
      <c r="F454" s="30" t="s">
        <v>1591</v>
      </c>
      <c r="H454" s="30" t="s">
        <v>1592</v>
      </c>
      <c r="L454" s="30" t="s">
        <v>4291</v>
      </c>
      <c r="N454" s="30" t="s">
        <v>1522</v>
      </c>
      <c r="P454" s="30" t="s">
        <v>4405</v>
      </c>
      <c r="Q454" t="s">
        <v>619</v>
      </c>
      <c r="R454" t="s">
        <v>917</v>
      </c>
      <c r="S454">
        <v>38</v>
      </c>
      <c r="T454" s="29" t="str">
        <f t="shared" si="17"/>
        <v>2022.001B.Aliceevansviridae.zip</v>
      </c>
      <c r="U454" s="29" t="str">
        <f>HYPERLINK("https://ictv.global/taxonomy/taxondetails?taxnode_id=202314423","ictv.global=202314423")</f>
        <v>ictv.global=202314423</v>
      </c>
    </row>
    <row r="455" spans="1:21">
      <c r="A455">
        <v>454</v>
      </c>
      <c r="B455" s="30" t="s">
        <v>1587</v>
      </c>
      <c r="D455" s="30" t="s">
        <v>1588</v>
      </c>
      <c r="F455" s="30" t="s">
        <v>1591</v>
      </c>
      <c r="H455" s="30" t="s">
        <v>1592</v>
      </c>
      <c r="L455" s="30" t="s">
        <v>4291</v>
      </c>
      <c r="N455" s="30" t="s">
        <v>1522</v>
      </c>
      <c r="P455" s="30" t="s">
        <v>4406</v>
      </c>
      <c r="Q455" t="s">
        <v>619</v>
      </c>
      <c r="R455" t="s">
        <v>917</v>
      </c>
      <c r="S455">
        <v>38</v>
      </c>
      <c r="T455" s="29" t="str">
        <f t="shared" si="17"/>
        <v>2022.001B.Aliceevansviridae.zip</v>
      </c>
      <c r="U455" s="29" t="str">
        <f>HYPERLINK("https://ictv.global/taxonomy/taxondetails?taxnode_id=202314424","ictv.global=202314424")</f>
        <v>ictv.global=202314424</v>
      </c>
    </row>
    <row r="456" spans="1:21">
      <c r="A456">
        <v>455</v>
      </c>
      <c r="B456" s="30" t="s">
        <v>1587</v>
      </c>
      <c r="D456" s="30" t="s">
        <v>1588</v>
      </c>
      <c r="F456" s="30" t="s">
        <v>1591</v>
      </c>
      <c r="H456" s="30" t="s">
        <v>1592</v>
      </c>
      <c r="L456" s="30" t="s">
        <v>4291</v>
      </c>
      <c r="N456" s="30" t="s">
        <v>4407</v>
      </c>
      <c r="P456" s="30" t="s">
        <v>4408</v>
      </c>
      <c r="Q456" t="s">
        <v>619</v>
      </c>
      <c r="R456" t="s">
        <v>917</v>
      </c>
      <c r="S456">
        <v>38</v>
      </c>
      <c r="T456" s="29" t="str">
        <f t="shared" si="17"/>
        <v>2022.001B.Aliceevansviridae.zip</v>
      </c>
      <c r="U456" s="29" t="str">
        <f>HYPERLINK("https://ictv.global/taxonomy/taxondetails?taxnode_id=202314345","ictv.global=202314345")</f>
        <v>ictv.global=202314345</v>
      </c>
    </row>
    <row r="457" spans="1:21">
      <c r="A457">
        <v>456</v>
      </c>
      <c r="B457" s="30" t="s">
        <v>1587</v>
      </c>
      <c r="D457" s="30" t="s">
        <v>1588</v>
      </c>
      <c r="F457" s="30" t="s">
        <v>1591</v>
      </c>
      <c r="H457" s="30" t="s">
        <v>1592</v>
      </c>
      <c r="L457" s="30" t="s">
        <v>4291</v>
      </c>
      <c r="N457" s="30" t="s">
        <v>4407</v>
      </c>
      <c r="P457" s="30" t="s">
        <v>4409</v>
      </c>
      <c r="Q457" t="s">
        <v>619</v>
      </c>
      <c r="R457" t="s">
        <v>917</v>
      </c>
      <c r="S457">
        <v>38</v>
      </c>
      <c r="T457" s="29" t="str">
        <f t="shared" si="17"/>
        <v>2022.001B.Aliceevansviridae.zip</v>
      </c>
      <c r="U457" s="29" t="str">
        <f>HYPERLINK("https://ictv.global/taxonomy/taxondetails?taxnode_id=202314340","ictv.global=202314340")</f>
        <v>ictv.global=202314340</v>
      </c>
    </row>
    <row r="458" spans="1:21">
      <c r="A458">
        <v>457</v>
      </c>
      <c r="B458" s="30" t="s">
        <v>1587</v>
      </c>
      <c r="D458" s="30" t="s">
        <v>1588</v>
      </c>
      <c r="F458" s="30" t="s">
        <v>1591</v>
      </c>
      <c r="H458" s="30" t="s">
        <v>1592</v>
      </c>
      <c r="L458" s="30" t="s">
        <v>4291</v>
      </c>
      <c r="N458" s="30" t="s">
        <v>4407</v>
      </c>
      <c r="P458" s="30" t="s">
        <v>4410</v>
      </c>
      <c r="Q458" t="s">
        <v>619</v>
      </c>
      <c r="R458" t="s">
        <v>917</v>
      </c>
      <c r="S458">
        <v>38</v>
      </c>
      <c r="T458" s="29" t="str">
        <f t="shared" si="17"/>
        <v>2022.001B.Aliceevansviridae.zip</v>
      </c>
      <c r="U458" s="29" t="str">
        <f>HYPERLINK("https://ictv.global/taxonomy/taxondetails?taxnode_id=202314344","ictv.global=202314344")</f>
        <v>ictv.global=202314344</v>
      </c>
    </row>
    <row r="459" spans="1:21">
      <c r="A459">
        <v>458</v>
      </c>
      <c r="B459" s="30" t="s">
        <v>1587</v>
      </c>
      <c r="D459" s="30" t="s">
        <v>1588</v>
      </c>
      <c r="F459" s="30" t="s">
        <v>1591</v>
      </c>
      <c r="H459" s="30" t="s">
        <v>1592</v>
      </c>
      <c r="L459" s="30" t="s">
        <v>4291</v>
      </c>
      <c r="N459" s="30" t="s">
        <v>4407</v>
      </c>
      <c r="P459" s="30" t="s">
        <v>4411</v>
      </c>
      <c r="Q459" t="s">
        <v>619</v>
      </c>
      <c r="R459" t="s">
        <v>917</v>
      </c>
      <c r="S459">
        <v>38</v>
      </c>
      <c r="T459" s="29" t="str">
        <f t="shared" si="17"/>
        <v>2022.001B.Aliceevansviridae.zip</v>
      </c>
      <c r="U459" s="29" t="str">
        <f>HYPERLINK("https://ictv.global/taxonomy/taxondetails?taxnode_id=202314346","ictv.global=202314346")</f>
        <v>ictv.global=202314346</v>
      </c>
    </row>
    <row r="460" spans="1:21">
      <c r="A460">
        <v>459</v>
      </c>
      <c r="B460" s="30" t="s">
        <v>1587</v>
      </c>
      <c r="D460" s="30" t="s">
        <v>1588</v>
      </c>
      <c r="F460" s="30" t="s">
        <v>1591</v>
      </c>
      <c r="H460" s="30" t="s">
        <v>1592</v>
      </c>
      <c r="L460" s="30" t="s">
        <v>4291</v>
      </c>
      <c r="N460" s="30" t="s">
        <v>4407</v>
      </c>
      <c r="P460" s="30" t="s">
        <v>4412</v>
      </c>
      <c r="Q460" t="s">
        <v>619</v>
      </c>
      <c r="R460" t="s">
        <v>917</v>
      </c>
      <c r="S460">
        <v>38</v>
      </c>
      <c r="T460" s="29" t="str">
        <f t="shared" si="17"/>
        <v>2022.001B.Aliceevansviridae.zip</v>
      </c>
      <c r="U460" s="29" t="str">
        <f>HYPERLINK("https://ictv.global/taxonomy/taxondetails?taxnode_id=202314343","ictv.global=202314343")</f>
        <v>ictv.global=202314343</v>
      </c>
    </row>
    <row r="461" spans="1:21">
      <c r="A461">
        <v>460</v>
      </c>
      <c r="B461" s="30" t="s">
        <v>1587</v>
      </c>
      <c r="D461" s="30" t="s">
        <v>1588</v>
      </c>
      <c r="F461" s="30" t="s">
        <v>1591</v>
      </c>
      <c r="H461" s="30" t="s">
        <v>1592</v>
      </c>
      <c r="L461" s="30" t="s">
        <v>4291</v>
      </c>
      <c r="N461" s="30" t="s">
        <v>4407</v>
      </c>
      <c r="P461" s="30" t="s">
        <v>4413</v>
      </c>
      <c r="Q461" t="s">
        <v>619</v>
      </c>
      <c r="R461" t="s">
        <v>917</v>
      </c>
      <c r="S461">
        <v>38</v>
      </c>
      <c r="T461" s="29" t="str">
        <f t="shared" si="17"/>
        <v>2022.001B.Aliceevansviridae.zip</v>
      </c>
      <c r="U461" s="29" t="str">
        <f>HYPERLINK("https://ictv.global/taxonomy/taxondetails?taxnode_id=202314341","ictv.global=202314341")</f>
        <v>ictv.global=202314341</v>
      </c>
    </row>
    <row r="462" spans="1:21">
      <c r="A462">
        <v>461</v>
      </c>
      <c r="B462" s="30" t="s">
        <v>1587</v>
      </c>
      <c r="D462" s="30" t="s">
        <v>1588</v>
      </c>
      <c r="F462" s="30" t="s">
        <v>1591</v>
      </c>
      <c r="H462" s="30" t="s">
        <v>1592</v>
      </c>
      <c r="L462" s="30" t="s">
        <v>4291</v>
      </c>
      <c r="N462" s="30" t="s">
        <v>4407</v>
      </c>
      <c r="P462" s="30" t="s">
        <v>4414</v>
      </c>
      <c r="Q462" t="s">
        <v>619</v>
      </c>
      <c r="R462" t="s">
        <v>917</v>
      </c>
      <c r="S462">
        <v>38</v>
      </c>
      <c r="T462" s="29" t="str">
        <f t="shared" si="17"/>
        <v>2022.001B.Aliceevansviridae.zip</v>
      </c>
      <c r="U462" s="29" t="str">
        <f>HYPERLINK("https://ictv.global/taxonomy/taxondetails?taxnode_id=202314347","ictv.global=202314347")</f>
        <v>ictv.global=202314347</v>
      </c>
    </row>
    <row r="463" spans="1:21">
      <c r="A463">
        <v>462</v>
      </c>
      <c r="B463" s="30" t="s">
        <v>1587</v>
      </c>
      <c r="D463" s="30" t="s">
        <v>1588</v>
      </c>
      <c r="F463" s="30" t="s">
        <v>1591</v>
      </c>
      <c r="H463" s="30" t="s">
        <v>1592</v>
      </c>
      <c r="L463" s="30" t="s">
        <v>4291</v>
      </c>
      <c r="N463" s="30" t="s">
        <v>4407</v>
      </c>
      <c r="P463" s="30" t="s">
        <v>4415</v>
      </c>
      <c r="Q463" t="s">
        <v>619</v>
      </c>
      <c r="R463" t="s">
        <v>917</v>
      </c>
      <c r="S463">
        <v>38</v>
      </c>
      <c r="T463" s="29" t="str">
        <f t="shared" si="17"/>
        <v>2022.001B.Aliceevansviridae.zip</v>
      </c>
      <c r="U463" s="29" t="str">
        <f>HYPERLINK("https://ictv.global/taxonomy/taxondetails?taxnode_id=202314338","ictv.global=202314338")</f>
        <v>ictv.global=202314338</v>
      </c>
    </row>
    <row r="464" spans="1:21">
      <c r="A464">
        <v>463</v>
      </c>
      <c r="B464" s="30" t="s">
        <v>1587</v>
      </c>
      <c r="D464" s="30" t="s">
        <v>1588</v>
      </c>
      <c r="F464" s="30" t="s">
        <v>1591</v>
      </c>
      <c r="H464" s="30" t="s">
        <v>1592</v>
      </c>
      <c r="L464" s="30" t="s">
        <v>4291</v>
      </c>
      <c r="N464" s="30" t="s">
        <v>4407</v>
      </c>
      <c r="P464" s="30" t="s">
        <v>4416</v>
      </c>
      <c r="Q464" t="s">
        <v>619</v>
      </c>
      <c r="R464" t="s">
        <v>917</v>
      </c>
      <c r="S464">
        <v>38</v>
      </c>
      <c r="T464" s="29" t="str">
        <f t="shared" si="17"/>
        <v>2022.001B.Aliceevansviridae.zip</v>
      </c>
      <c r="U464" s="29" t="str">
        <f>HYPERLINK("https://ictv.global/taxonomy/taxondetails?taxnode_id=202314348","ictv.global=202314348")</f>
        <v>ictv.global=202314348</v>
      </c>
    </row>
    <row r="465" spans="1:21">
      <c r="A465">
        <v>464</v>
      </c>
      <c r="B465" s="30" t="s">
        <v>1587</v>
      </c>
      <c r="D465" s="30" t="s">
        <v>1588</v>
      </c>
      <c r="F465" s="30" t="s">
        <v>1591</v>
      </c>
      <c r="H465" s="30" t="s">
        <v>1592</v>
      </c>
      <c r="L465" s="30" t="s">
        <v>4291</v>
      </c>
      <c r="N465" s="30" t="s">
        <v>4407</v>
      </c>
      <c r="P465" s="30" t="s">
        <v>4417</v>
      </c>
      <c r="Q465" t="s">
        <v>619</v>
      </c>
      <c r="R465" t="s">
        <v>917</v>
      </c>
      <c r="S465">
        <v>38</v>
      </c>
      <c r="T465" s="29" t="str">
        <f t="shared" si="17"/>
        <v>2022.001B.Aliceevansviridae.zip</v>
      </c>
      <c r="U465" s="29" t="str">
        <f>HYPERLINK("https://ictv.global/taxonomy/taxondetails?taxnode_id=202314342","ictv.global=202314342")</f>
        <v>ictv.global=202314342</v>
      </c>
    </row>
    <row r="466" spans="1:21">
      <c r="A466">
        <v>465</v>
      </c>
      <c r="B466" s="30" t="s">
        <v>1587</v>
      </c>
      <c r="D466" s="30" t="s">
        <v>1588</v>
      </c>
      <c r="F466" s="30" t="s">
        <v>1591</v>
      </c>
      <c r="H466" s="30" t="s">
        <v>1592</v>
      </c>
      <c r="L466" s="30" t="s">
        <v>4291</v>
      </c>
      <c r="N466" s="30" t="s">
        <v>4407</v>
      </c>
      <c r="P466" s="30" t="s">
        <v>4418</v>
      </c>
      <c r="Q466" t="s">
        <v>619</v>
      </c>
      <c r="R466" t="s">
        <v>917</v>
      </c>
      <c r="S466">
        <v>38</v>
      </c>
      <c r="T466" s="29" t="str">
        <f t="shared" si="17"/>
        <v>2022.001B.Aliceevansviridae.zip</v>
      </c>
      <c r="U466" s="29" t="str">
        <f>HYPERLINK("https://ictv.global/taxonomy/taxondetails?taxnode_id=202314339","ictv.global=202314339")</f>
        <v>ictv.global=202314339</v>
      </c>
    </row>
    <row r="467" spans="1:21">
      <c r="A467">
        <v>466</v>
      </c>
      <c r="B467" s="30" t="s">
        <v>1587</v>
      </c>
      <c r="D467" s="30" t="s">
        <v>1588</v>
      </c>
      <c r="F467" s="30" t="s">
        <v>1591</v>
      </c>
      <c r="H467" s="30" t="s">
        <v>1592</v>
      </c>
      <c r="L467" s="30" t="s">
        <v>4419</v>
      </c>
      <c r="N467" s="30" t="s">
        <v>4420</v>
      </c>
      <c r="P467" s="30" t="s">
        <v>4421</v>
      </c>
      <c r="Q467" t="s">
        <v>619</v>
      </c>
      <c r="R467" t="s">
        <v>917</v>
      </c>
      <c r="S467">
        <v>38</v>
      </c>
      <c r="T467" s="29" t="str">
        <f>HYPERLINK("https://ictv.global/ictv/proposals/2022.006B.Arenbergviridae_nf.zip","2022.006B.Arenbergviridae_nf.zip")</f>
        <v>2022.006B.Arenbergviridae_nf.zip</v>
      </c>
      <c r="U467" s="29" t="str">
        <f>HYPERLINK("https://ictv.global/taxonomy/taxondetails?taxnode_id=202314489","ictv.global=202314489")</f>
        <v>ictv.global=202314489</v>
      </c>
    </row>
    <row r="468" spans="1:21">
      <c r="A468">
        <v>467</v>
      </c>
      <c r="B468" s="30" t="s">
        <v>1587</v>
      </c>
      <c r="D468" s="30" t="s">
        <v>1588</v>
      </c>
      <c r="F468" s="30" t="s">
        <v>1591</v>
      </c>
      <c r="H468" s="30" t="s">
        <v>1592</v>
      </c>
      <c r="L468" s="30" t="s">
        <v>4422</v>
      </c>
      <c r="N468" s="30" t="s">
        <v>4423</v>
      </c>
      <c r="P468" s="30" t="s">
        <v>4424</v>
      </c>
      <c r="Q468" t="s">
        <v>619</v>
      </c>
      <c r="R468" t="s">
        <v>917</v>
      </c>
      <c r="S468">
        <v>37</v>
      </c>
      <c r="T468" s="29" t="str">
        <f>HYPERLINK("https://ictv.global/ictv/proposals/2021.029B.R.Flavophages_9_families.zip","2021.029B.R.Flavophages_9_families.zip")</f>
        <v>2021.029B.R.Flavophages_9_families.zip</v>
      </c>
      <c r="U468" s="29" t="str">
        <f>HYPERLINK("https://ictv.global/taxonomy/taxondetails?taxnode_id=202313553","ictv.global=202313553")</f>
        <v>ictv.global=202313553</v>
      </c>
    </row>
    <row r="469" spans="1:21">
      <c r="A469">
        <v>468</v>
      </c>
      <c r="B469" s="30" t="s">
        <v>1587</v>
      </c>
      <c r="D469" s="30" t="s">
        <v>1588</v>
      </c>
      <c r="F469" s="30" t="s">
        <v>1591</v>
      </c>
      <c r="H469" s="30" t="s">
        <v>1592</v>
      </c>
      <c r="L469" s="30" t="s">
        <v>4422</v>
      </c>
      <c r="N469" s="30" t="s">
        <v>4425</v>
      </c>
      <c r="P469" s="30" t="s">
        <v>4426</v>
      </c>
      <c r="Q469" t="s">
        <v>619</v>
      </c>
      <c r="R469" t="s">
        <v>917</v>
      </c>
      <c r="S469">
        <v>37</v>
      </c>
      <c r="T469" s="29" t="str">
        <f>HYPERLINK("https://ictv.global/ictv/proposals/2021.029B.R.Flavophages_9_families.zip","2021.029B.R.Flavophages_9_families.zip")</f>
        <v>2021.029B.R.Flavophages_9_families.zip</v>
      </c>
      <c r="U469" s="29" t="str">
        <f>HYPERLINK("https://ictv.global/taxonomy/taxondetails?taxnode_id=202313555","ictv.global=202313555")</f>
        <v>ictv.global=202313555</v>
      </c>
    </row>
    <row r="470" spans="1:21">
      <c r="A470">
        <v>469</v>
      </c>
      <c r="B470" s="30" t="s">
        <v>1587</v>
      </c>
      <c r="D470" s="30" t="s">
        <v>1588</v>
      </c>
      <c r="F470" s="30" t="s">
        <v>1591</v>
      </c>
      <c r="H470" s="30" t="s">
        <v>1592</v>
      </c>
      <c r="L470" s="30" t="s">
        <v>4422</v>
      </c>
      <c r="N470" s="30" t="s">
        <v>4427</v>
      </c>
      <c r="P470" s="30" t="s">
        <v>4428</v>
      </c>
      <c r="Q470" t="s">
        <v>619</v>
      </c>
      <c r="R470" t="s">
        <v>917</v>
      </c>
      <c r="S470">
        <v>37</v>
      </c>
      <c r="T470" s="29" t="str">
        <f>HYPERLINK("https://ictv.global/ictv/proposals/2021.029B.R.Flavophages_9_families.zip","2021.029B.R.Flavophages_9_families.zip")</f>
        <v>2021.029B.R.Flavophages_9_families.zip</v>
      </c>
      <c r="U470" s="29" t="str">
        <f>HYPERLINK("https://ictv.global/taxonomy/taxondetails?taxnode_id=202313551","ictv.global=202313551")</f>
        <v>ictv.global=202313551</v>
      </c>
    </row>
    <row r="471" spans="1:21">
      <c r="A471">
        <v>470</v>
      </c>
      <c r="B471" s="30" t="s">
        <v>1587</v>
      </c>
      <c r="D471" s="30" t="s">
        <v>1588</v>
      </c>
      <c r="F471" s="30" t="s">
        <v>1591</v>
      </c>
      <c r="H471" s="30" t="s">
        <v>1592</v>
      </c>
      <c r="L471" s="30" t="s">
        <v>1594</v>
      </c>
      <c r="M471" s="30" t="s">
        <v>1595</v>
      </c>
      <c r="N471" s="30" t="s">
        <v>1596</v>
      </c>
      <c r="P471" s="30" t="s">
        <v>4429</v>
      </c>
      <c r="Q471" t="s">
        <v>619</v>
      </c>
      <c r="R471" t="s">
        <v>918</v>
      </c>
      <c r="S471">
        <v>37</v>
      </c>
      <c r="T471" s="29" t="str">
        <f t="shared" ref="T471:T502" si="18">HYPERLINK("https://ictv.global/ictv/proposals/2021.010B.R.Binomial_names.zip","2021.010B.R.Binomial_names.zip")</f>
        <v>2021.010B.R.Binomial_names.zip</v>
      </c>
      <c r="U471" s="29" t="str">
        <f>HYPERLINK("https://ictv.global/taxonomy/taxondetails?taxnode_id=202308513","ictv.global=202308513")</f>
        <v>ictv.global=202308513</v>
      </c>
    </row>
    <row r="472" spans="1:21">
      <c r="A472">
        <v>471</v>
      </c>
      <c r="B472" s="30" t="s">
        <v>1587</v>
      </c>
      <c r="D472" s="30" t="s">
        <v>1588</v>
      </c>
      <c r="F472" s="30" t="s">
        <v>1591</v>
      </c>
      <c r="H472" s="30" t="s">
        <v>1592</v>
      </c>
      <c r="L472" s="30" t="s">
        <v>1594</v>
      </c>
      <c r="M472" s="30" t="s">
        <v>1595</v>
      </c>
      <c r="N472" s="30" t="s">
        <v>1398</v>
      </c>
      <c r="P472" s="30" t="s">
        <v>4430</v>
      </c>
      <c r="Q472" t="s">
        <v>619</v>
      </c>
      <c r="R472" t="s">
        <v>918</v>
      </c>
      <c r="S472">
        <v>37</v>
      </c>
      <c r="T472" s="29" t="str">
        <f t="shared" si="18"/>
        <v>2021.010B.R.Binomial_names.zip</v>
      </c>
      <c r="U472" s="29" t="str">
        <f>HYPERLINK("https://ictv.global/taxonomy/taxondetails?taxnode_id=202300549","ictv.global=202300549")</f>
        <v>ictv.global=202300549</v>
      </c>
    </row>
    <row r="473" spans="1:21">
      <c r="A473">
        <v>472</v>
      </c>
      <c r="B473" s="30" t="s">
        <v>1587</v>
      </c>
      <c r="D473" s="30" t="s">
        <v>1588</v>
      </c>
      <c r="F473" s="30" t="s">
        <v>1591</v>
      </c>
      <c r="H473" s="30" t="s">
        <v>1592</v>
      </c>
      <c r="L473" s="30" t="s">
        <v>1594</v>
      </c>
      <c r="M473" s="30" t="s">
        <v>1595</v>
      </c>
      <c r="N473" s="30" t="s">
        <v>1398</v>
      </c>
      <c r="P473" s="30" t="s">
        <v>4431</v>
      </c>
      <c r="Q473" t="s">
        <v>619</v>
      </c>
      <c r="R473" t="s">
        <v>918</v>
      </c>
      <c r="S473">
        <v>37</v>
      </c>
      <c r="T473" s="29" t="str">
        <f t="shared" si="18"/>
        <v>2021.010B.R.Binomial_names.zip</v>
      </c>
      <c r="U473" s="29" t="str">
        <f>HYPERLINK("https://ictv.global/taxonomy/taxondetails?taxnode_id=202300543","ictv.global=202300543")</f>
        <v>ictv.global=202300543</v>
      </c>
    </row>
    <row r="474" spans="1:21">
      <c r="A474">
        <v>473</v>
      </c>
      <c r="B474" s="30" t="s">
        <v>1587</v>
      </c>
      <c r="D474" s="30" t="s">
        <v>1588</v>
      </c>
      <c r="F474" s="30" t="s">
        <v>1591</v>
      </c>
      <c r="H474" s="30" t="s">
        <v>1592</v>
      </c>
      <c r="L474" s="30" t="s">
        <v>1594</v>
      </c>
      <c r="M474" s="30" t="s">
        <v>1595</v>
      </c>
      <c r="N474" s="30" t="s">
        <v>1398</v>
      </c>
      <c r="P474" s="30" t="s">
        <v>4432</v>
      </c>
      <c r="Q474" t="s">
        <v>619</v>
      </c>
      <c r="R474" t="s">
        <v>918</v>
      </c>
      <c r="S474">
        <v>37</v>
      </c>
      <c r="T474" s="29" t="str">
        <f t="shared" si="18"/>
        <v>2021.010B.R.Binomial_names.zip</v>
      </c>
      <c r="U474" s="29" t="str">
        <f>HYPERLINK("https://ictv.global/taxonomy/taxondetails?taxnode_id=202306913","ictv.global=202306913")</f>
        <v>ictv.global=202306913</v>
      </c>
    </row>
    <row r="475" spans="1:21">
      <c r="A475">
        <v>474</v>
      </c>
      <c r="B475" s="30" t="s">
        <v>1587</v>
      </c>
      <c r="D475" s="30" t="s">
        <v>1588</v>
      </c>
      <c r="F475" s="30" t="s">
        <v>1591</v>
      </c>
      <c r="H475" s="30" t="s">
        <v>1592</v>
      </c>
      <c r="L475" s="30" t="s">
        <v>1594</v>
      </c>
      <c r="M475" s="30" t="s">
        <v>1595</v>
      </c>
      <c r="N475" s="30" t="s">
        <v>1398</v>
      </c>
      <c r="P475" s="30" t="s">
        <v>4433</v>
      </c>
      <c r="Q475" t="s">
        <v>619</v>
      </c>
      <c r="R475" t="s">
        <v>918</v>
      </c>
      <c r="S475">
        <v>37</v>
      </c>
      <c r="T475" s="29" t="str">
        <f t="shared" si="18"/>
        <v>2021.010B.R.Binomial_names.zip</v>
      </c>
      <c r="U475" s="29" t="str">
        <f>HYPERLINK("https://ictv.global/taxonomy/taxondetails?taxnode_id=202308507","ictv.global=202308507")</f>
        <v>ictv.global=202308507</v>
      </c>
    </row>
    <row r="476" spans="1:21">
      <c r="A476">
        <v>475</v>
      </c>
      <c r="B476" s="30" t="s">
        <v>1587</v>
      </c>
      <c r="D476" s="30" t="s">
        <v>1588</v>
      </c>
      <c r="F476" s="30" t="s">
        <v>1591</v>
      </c>
      <c r="H476" s="30" t="s">
        <v>1592</v>
      </c>
      <c r="L476" s="30" t="s">
        <v>1594</v>
      </c>
      <c r="M476" s="30" t="s">
        <v>1595</v>
      </c>
      <c r="N476" s="30" t="s">
        <v>1398</v>
      </c>
      <c r="P476" s="30" t="s">
        <v>4434</v>
      </c>
      <c r="Q476" t="s">
        <v>619</v>
      </c>
      <c r="R476" t="s">
        <v>918</v>
      </c>
      <c r="S476">
        <v>37</v>
      </c>
      <c r="T476" s="29" t="str">
        <f t="shared" si="18"/>
        <v>2021.010B.R.Binomial_names.zip</v>
      </c>
      <c r="U476" s="29" t="str">
        <f>HYPERLINK("https://ictv.global/taxonomy/taxondetails?taxnode_id=202300544","ictv.global=202300544")</f>
        <v>ictv.global=202300544</v>
      </c>
    </row>
    <row r="477" spans="1:21">
      <c r="A477">
        <v>476</v>
      </c>
      <c r="B477" s="30" t="s">
        <v>1587</v>
      </c>
      <c r="D477" s="30" t="s">
        <v>1588</v>
      </c>
      <c r="F477" s="30" t="s">
        <v>1591</v>
      </c>
      <c r="H477" s="30" t="s">
        <v>1592</v>
      </c>
      <c r="L477" s="30" t="s">
        <v>1594</v>
      </c>
      <c r="M477" s="30" t="s">
        <v>1595</v>
      </c>
      <c r="N477" s="30" t="s">
        <v>1398</v>
      </c>
      <c r="P477" s="30" t="s">
        <v>4435</v>
      </c>
      <c r="Q477" t="s">
        <v>619</v>
      </c>
      <c r="R477" t="s">
        <v>918</v>
      </c>
      <c r="S477">
        <v>37</v>
      </c>
      <c r="T477" s="29" t="str">
        <f t="shared" si="18"/>
        <v>2021.010B.R.Binomial_names.zip</v>
      </c>
      <c r="U477" s="29" t="str">
        <f>HYPERLINK("https://ictv.global/taxonomy/taxondetails?taxnode_id=202308506","ictv.global=202308506")</f>
        <v>ictv.global=202308506</v>
      </c>
    </row>
    <row r="478" spans="1:21">
      <c r="A478">
        <v>477</v>
      </c>
      <c r="B478" s="30" t="s">
        <v>1587</v>
      </c>
      <c r="D478" s="30" t="s">
        <v>1588</v>
      </c>
      <c r="F478" s="30" t="s">
        <v>1591</v>
      </c>
      <c r="H478" s="30" t="s">
        <v>1592</v>
      </c>
      <c r="L478" s="30" t="s">
        <v>1594</v>
      </c>
      <c r="M478" s="30" t="s">
        <v>1595</v>
      </c>
      <c r="N478" s="30" t="s">
        <v>1398</v>
      </c>
      <c r="P478" s="30" t="s">
        <v>4436</v>
      </c>
      <c r="Q478" t="s">
        <v>619</v>
      </c>
      <c r="R478" t="s">
        <v>918</v>
      </c>
      <c r="S478">
        <v>37</v>
      </c>
      <c r="T478" s="29" t="str">
        <f t="shared" si="18"/>
        <v>2021.010B.R.Binomial_names.zip</v>
      </c>
      <c r="U478" s="29" t="str">
        <f>HYPERLINK("https://ictv.global/taxonomy/taxondetails?taxnode_id=202308505","ictv.global=202308505")</f>
        <v>ictv.global=202308505</v>
      </c>
    </row>
    <row r="479" spans="1:21">
      <c r="A479">
        <v>478</v>
      </c>
      <c r="B479" s="30" t="s">
        <v>1587</v>
      </c>
      <c r="D479" s="30" t="s">
        <v>1588</v>
      </c>
      <c r="F479" s="30" t="s">
        <v>1591</v>
      </c>
      <c r="H479" s="30" t="s">
        <v>1592</v>
      </c>
      <c r="L479" s="30" t="s">
        <v>1594</v>
      </c>
      <c r="M479" s="30" t="s">
        <v>1595</v>
      </c>
      <c r="N479" s="30" t="s">
        <v>1398</v>
      </c>
      <c r="P479" s="30" t="s">
        <v>4437</v>
      </c>
      <c r="Q479" t="s">
        <v>619</v>
      </c>
      <c r="R479" t="s">
        <v>918</v>
      </c>
      <c r="S479">
        <v>37</v>
      </c>
      <c r="T479" s="29" t="str">
        <f t="shared" si="18"/>
        <v>2021.010B.R.Binomial_names.zip</v>
      </c>
      <c r="U479" s="29" t="str">
        <f>HYPERLINK("https://ictv.global/taxonomy/taxondetails?taxnode_id=202306909","ictv.global=202306909")</f>
        <v>ictv.global=202306909</v>
      </c>
    </row>
    <row r="480" spans="1:21">
      <c r="A480">
        <v>479</v>
      </c>
      <c r="B480" s="30" t="s">
        <v>1587</v>
      </c>
      <c r="D480" s="30" t="s">
        <v>1588</v>
      </c>
      <c r="F480" s="30" t="s">
        <v>1591</v>
      </c>
      <c r="H480" s="30" t="s">
        <v>1592</v>
      </c>
      <c r="L480" s="30" t="s">
        <v>1594</v>
      </c>
      <c r="M480" s="30" t="s">
        <v>1595</v>
      </c>
      <c r="N480" s="30" t="s">
        <v>1398</v>
      </c>
      <c r="P480" s="30" t="s">
        <v>4438</v>
      </c>
      <c r="Q480" t="s">
        <v>619</v>
      </c>
      <c r="R480" t="s">
        <v>918</v>
      </c>
      <c r="S480">
        <v>37</v>
      </c>
      <c r="T480" s="29" t="str">
        <f t="shared" si="18"/>
        <v>2021.010B.R.Binomial_names.zip</v>
      </c>
      <c r="U480" s="29" t="str">
        <f>HYPERLINK("https://ictv.global/taxonomy/taxondetails?taxnode_id=202306910","ictv.global=202306910")</f>
        <v>ictv.global=202306910</v>
      </c>
    </row>
    <row r="481" spans="1:21">
      <c r="A481">
        <v>480</v>
      </c>
      <c r="B481" s="30" t="s">
        <v>1587</v>
      </c>
      <c r="D481" s="30" t="s">
        <v>1588</v>
      </c>
      <c r="F481" s="30" t="s">
        <v>1591</v>
      </c>
      <c r="H481" s="30" t="s">
        <v>1592</v>
      </c>
      <c r="L481" s="30" t="s">
        <v>1594</v>
      </c>
      <c r="M481" s="30" t="s">
        <v>1595</v>
      </c>
      <c r="N481" s="30" t="s">
        <v>1398</v>
      </c>
      <c r="P481" s="30" t="s">
        <v>4439</v>
      </c>
      <c r="Q481" t="s">
        <v>619</v>
      </c>
      <c r="R481" t="s">
        <v>918</v>
      </c>
      <c r="S481">
        <v>37</v>
      </c>
      <c r="T481" s="29" t="str">
        <f t="shared" si="18"/>
        <v>2021.010B.R.Binomial_names.zip</v>
      </c>
      <c r="U481" s="29" t="str">
        <f>HYPERLINK("https://ictv.global/taxonomy/taxondetails?taxnode_id=202306903","ictv.global=202306903")</f>
        <v>ictv.global=202306903</v>
      </c>
    </row>
    <row r="482" spans="1:21">
      <c r="A482">
        <v>481</v>
      </c>
      <c r="B482" s="30" t="s">
        <v>1587</v>
      </c>
      <c r="D482" s="30" t="s">
        <v>1588</v>
      </c>
      <c r="F482" s="30" t="s">
        <v>1591</v>
      </c>
      <c r="H482" s="30" t="s">
        <v>1592</v>
      </c>
      <c r="L482" s="30" t="s">
        <v>1594</v>
      </c>
      <c r="M482" s="30" t="s">
        <v>1595</v>
      </c>
      <c r="N482" s="30" t="s">
        <v>1398</v>
      </c>
      <c r="P482" s="30" t="s">
        <v>4440</v>
      </c>
      <c r="Q482" t="s">
        <v>619</v>
      </c>
      <c r="R482" t="s">
        <v>918</v>
      </c>
      <c r="S482">
        <v>37</v>
      </c>
      <c r="T482" s="29" t="str">
        <f t="shared" si="18"/>
        <v>2021.010B.R.Binomial_names.zip</v>
      </c>
      <c r="U482" s="29" t="str">
        <f>HYPERLINK("https://ictv.global/taxonomy/taxondetails?taxnode_id=202306904","ictv.global=202306904")</f>
        <v>ictv.global=202306904</v>
      </c>
    </row>
    <row r="483" spans="1:21">
      <c r="A483">
        <v>482</v>
      </c>
      <c r="B483" s="30" t="s">
        <v>1587</v>
      </c>
      <c r="D483" s="30" t="s">
        <v>1588</v>
      </c>
      <c r="F483" s="30" t="s">
        <v>1591</v>
      </c>
      <c r="H483" s="30" t="s">
        <v>1592</v>
      </c>
      <c r="L483" s="30" t="s">
        <v>1594</v>
      </c>
      <c r="M483" s="30" t="s">
        <v>1595</v>
      </c>
      <c r="N483" s="30" t="s">
        <v>1398</v>
      </c>
      <c r="P483" s="30" t="s">
        <v>4441</v>
      </c>
      <c r="Q483" t="s">
        <v>619</v>
      </c>
      <c r="R483" t="s">
        <v>918</v>
      </c>
      <c r="S483">
        <v>37</v>
      </c>
      <c r="T483" s="29" t="str">
        <f t="shared" si="18"/>
        <v>2021.010B.R.Binomial_names.zip</v>
      </c>
      <c r="U483" s="29" t="str">
        <f>HYPERLINK("https://ictv.global/taxonomy/taxondetails?taxnode_id=202306905","ictv.global=202306905")</f>
        <v>ictv.global=202306905</v>
      </c>
    </row>
    <row r="484" spans="1:21">
      <c r="A484">
        <v>483</v>
      </c>
      <c r="B484" s="30" t="s">
        <v>1587</v>
      </c>
      <c r="D484" s="30" t="s">
        <v>1588</v>
      </c>
      <c r="F484" s="30" t="s">
        <v>1591</v>
      </c>
      <c r="H484" s="30" t="s">
        <v>1592</v>
      </c>
      <c r="L484" s="30" t="s">
        <v>1594</v>
      </c>
      <c r="M484" s="30" t="s">
        <v>1595</v>
      </c>
      <c r="N484" s="30" t="s">
        <v>1398</v>
      </c>
      <c r="P484" s="30" t="s">
        <v>4442</v>
      </c>
      <c r="Q484" t="s">
        <v>619</v>
      </c>
      <c r="R484" t="s">
        <v>918</v>
      </c>
      <c r="S484">
        <v>37</v>
      </c>
      <c r="T484" s="29" t="str">
        <f t="shared" si="18"/>
        <v>2021.010B.R.Binomial_names.zip</v>
      </c>
      <c r="U484" s="29" t="str">
        <f>HYPERLINK("https://ictv.global/taxonomy/taxondetails?taxnode_id=202306912","ictv.global=202306912")</f>
        <v>ictv.global=202306912</v>
      </c>
    </row>
    <row r="485" spans="1:21">
      <c r="A485">
        <v>484</v>
      </c>
      <c r="B485" s="30" t="s">
        <v>1587</v>
      </c>
      <c r="D485" s="30" t="s">
        <v>1588</v>
      </c>
      <c r="F485" s="30" t="s">
        <v>1591</v>
      </c>
      <c r="H485" s="30" t="s">
        <v>1592</v>
      </c>
      <c r="L485" s="30" t="s">
        <v>1594</v>
      </c>
      <c r="M485" s="30" t="s">
        <v>1595</v>
      </c>
      <c r="N485" s="30" t="s">
        <v>1398</v>
      </c>
      <c r="P485" s="30" t="s">
        <v>4443</v>
      </c>
      <c r="Q485" t="s">
        <v>619</v>
      </c>
      <c r="R485" t="s">
        <v>918</v>
      </c>
      <c r="S485">
        <v>37</v>
      </c>
      <c r="T485" s="29" t="str">
        <f t="shared" si="18"/>
        <v>2021.010B.R.Binomial_names.zip</v>
      </c>
      <c r="U485" s="29" t="str">
        <f>HYPERLINK("https://ictv.global/taxonomy/taxondetails?taxnode_id=202300545","ictv.global=202300545")</f>
        <v>ictv.global=202300545</v>
      </c>
    </row>
    <row r="486" spans="1:21">
      <c r="A486">
        <v>485</v>
      </c>
      <c r="B486" s="30" t="s">
        <v>1587</v>
      </c>
      <c r="D486" s="30" t="s">
        <v>1588</v>
      </c>
      <c r="F486" s="30" t="s">
        <v>1591</v>
      </c>
      <c r="H486" s="30" t="s">
        <v>1592</v>
      </c>
      <c r="L486" s="30" t="s">
        <v>1594</v>
      </c>
      <c r="M486" s="30" t="s">
        <v>1595</v>
      </c>
      <c r="N486" s="30" t="s">
        <v>1398</v>
      </c>
      <c r="P486" s="30" t="s">
        <v>4444</v>
      </c>
      <c r="Q486" t="s">
        <v>619</v>
      </c>
      <c r="R486" t="s">
        <v>918</v>
      </c>
      <c r="S486">
        <v>37</v>
      </c>
      <c r="T486" s="29" t="str">
        <f t="shared" si="18"/>
        <v>2021.010B.R.Binomial_names.zip</v>
      </c>
      <c r="U486" s="29" t="str">
        <f>HYPERLINK("https://ictv.global/taxonomy/taxondetails?taxnode_id=202306911","ictv.global=202306911")</f>
        <v>ictv.global=202306911</v>
      </c>
    </row>
    <row r="487" spans="1:21">
      <c r="A487">
        <v>486</v>
      </c>
      <c r="B487" s="30" t="s">
        <v>1587</v>
      </c>
      <c r="D487" s="30" t="s">
        <v>1588</v>
      </c>
      <c r="F487" s="30" t="s">
        <v>1591</v>
      </c>
      <c r="H487" s="30" t="s">
        <v>1592</v>
      </c>
      <c r="L487" s="30" t="s">
        <v>1594</v>
      </c>
      <c r="M487" s="30" t="s">
        <v>1595</v>
      </c>
      <c r="N487" s="30" t="s">
        <v>1398</v>
      </c>
      <c r="P487" s="30" t="s">
        <v>4445</v>
      </c>
      <c r="Q487" t="s">
        <v>619</v>
      </c>
      <c r="R487" t="s">
        <v>918</v>
      </c>
      <c r="S487">
        <v>37</v>
      </c>
      <c r="T487" s="29" t="str">
        <f t="shared" si="18"/>
        <v>2021.010B.R.Binomial_names.zip</v>
      </c>
      <c r="U487" s="29" t="str">
        <f>HYPERLINK("https://ictv.global/taxonomy/taxondetails?taxnode_id=202300546","ictv.global=202300546")</f>
        <v>ictv.global=202300546</v>
      </c>
    </row>
    <row r="488" spans="1:21">
      <c r="A488">
        <v>487</v>
      </c>
      <c r="B488" s="30" t="s">
        <v>1587</v>
      </c>
      <c r="D488" s="30" t="s">
        <v>1588</v>
      </c>
      <c r="F488" s="30" t="s">
        <v>1591</v>
      </c>
      <c r="H488" s="30" t="s">
        <v>1592</v>
      </c>
      <c r="L488" s="30" t="s">
        <v>1594</v>
      </c>
      <c r="M488" s="30" t="s">
        <v>1595</v>
      </c>
      <c r="N488" s="30" t="s">
        <v>1398</v>
      </c>
      <c r="P488" s="30" t="s">
        <v>4446</v>
      </c>
      <c r="Q488" t="s">
        <v>619</v>
      </c>
      <c r="R488" t="s">
        <v>918</v>
      </c>
      <c r="S488">
        <v>37</v>
      </c>
      <c r="T488" s="29" t="str">
        <f t="shared" si="18"/>
        <v>2021.010B.R.Binomial_names.zip</v>
      </c>
      <c r="U488" s="29" t="str">
        <f>HYPERLINK("https://ictv.global/taxonomy/taxondetails?taxnode_id=202306906","ictv.global=202306906")</f>
        <v>ictv.global=202306906</v>
      </c>
    </row>
    <row r="489" spans="1:21">
      <c r="A489">
        <v>488</v>
      </c>
      <c r="B489" s="30" t="s">
        <v>1587</v>
      </c>
      <c r="D489" s="30" t="s">
        <v>1588</v>
      </c>
      <c r="F489" s="30" t="s">
        <v>1591</v>
      </c>
      <c r="H489" s="30" t="s">
        <v>1592</v>
      </c>
      <c r="L489" s="30" t="s">
        <v>1594</v>
      </c>
      <c r="M489" s="30" t="s">
        <v>1595</v>
      </c>
      <c r="N489" s="30" t="s">
        <v>1398</v>
      </c>
      <c r="P489" s="30" t="s">
        <v>4447</v>
      </c>
      <c r="Q489" t="s">
        <v>619</v>
      </c>
      <c r="R489" t="s">
        <v>918</v>
      </c>
      <c r="S489">
        <v>37</v>
      </c>
      <c r="T489" s="29" t="str">
        <f t="shared" si="18"/>
        <v>2021.010B.R.Binomial_names.zip</v>
      </c>
      <c r="U489" s="29" t="str">
        <f>HYPERLINK("https://ictv.global/taxonomy/taxondetails?taxnode_id=202306907","ictv.global=202306907")</f>
        <v>ictv.global=202306907</v>
      </c>
    </row>
    <row r="490" spans="1:21">
      <c r="A490">
        <v>489</v>
      </c>
      <c r="B490" s="30" t="s">
        <v>1587</v>
      </c>
      <c r="D490" s="30" t="s">
        <v>1588</v>
      </c>
      <c r="F490" s="30" t="s">
        <v>1591</v>
      </c>
      <c r="H490" s="30" t="s">
        <v>1592</v>
      </c>
      <c r="L490" s="30" t="s">
        <v>1594</v>
      </c>
      <c r="M490" s="30" t="s">
        <v>1595</v>
      </c>
      <c r="N490" s="30" t="s">
        <v>1398</v>
      </c>
      <c r="P490" s="30" t="s">
        <v>4448</v>
      </c>
      <c r="Q490" t="s">
        <v>619</v>
      </c>
      <c r="R490" t="s">
        <v>918</v>
      </c>
      <c r="S490">
        <v>37</v>
      </c>
      <c r="T490" s="29" t="str">
        <f t="shared" si="18"/>
        <v>2021.010B.R.Binomial_names.zip</v>
      </c>
      <c r="U490" s="29" t="str">
        <f>HYPERLINK("https://ictv.global/taxonomy/taxondetails?taxnode_id=202300547","ictv.global=202300547")</f>
        <v>ictv.global=202300547</v>
      </c>
    </row>
    <row r="491" spans="1:21">
      <c r="A491">
        <v>490</v>
      </c>
      <c r="B491" s="30" t="s">
        <v>1587</v>
      </c>
      <c r="D491" s="30" t="s">
        <v>1588</v>
      </c>
      <c r="F491" s="30" t="s">
        <v>1591</v>
      </c>
      <c r="H491" s="30" t="s">
        <v>1592</v>
      </c>
      <c r="L491" s="30" t="s">
        <v>1594</v>
      </c>
      <c r="M491" s="30" t="s">
        <v>1595</v>
      </c>
      <c r="N491" s="30" t="s">
        <v>1398</v>
      </c>
      <c r="P491" s="30" t="s">
        <v>4449</v>
      </c>
      <c r="Q491" t="s">
        <v>619</v>
      </c>
      <c r="R491" t="s">
        <v>918</v>
      </c>
      <c r="S491">
        <v>37</v>
      </c>
      <c r="T491" s="29" t="str">
        <f t="shared" si="18"/>
        <v>2021.010B.R.Binomial_names.zip</v>
      </c>
      <c r="U491" s="29" t="str">
        <f>HYPERLINK("https://ictv.global/taxonomy/taxondetails?taxnode_id=202300548","ictv.global=202300548")</f>
        <v>ictv.global=202300548</v>
      </c>
    </row>
    <row r="492" spans="1:21">
      <c r="A492">
        <v>491</v>
      </c>
      <c r="B492" s="30" t="s">
        <v>1587</v>
      </c>
      <c r="D492" s="30" t="s">
        <v>1588</v>
      </c>
      <c r="F492" s="30" t="s">
        <v>1591</v>
      </c>
      <c r="H492" s="30" t="s">
        <v>1592</v>
      </c>
      <c r="L492" s="30" t="s">
        <v>1594</v>
      </c>
      <c r="M492" s="30" t="s">
        <v>1595</v>
      </c>
      <c r="N492" s="30" t="s">
        <v>1398</v>
      </c>
      <c r="P492" s="30" t="s">
        <v>4450</v>
      </c>
      <c r="Q492" t="s">
        <v>619</v>
      </c>
      <c r="R492" t="s">
        <v>918</v>
      </c>
      <c r="S492">
        <v>37</v>
      </c>
      <c r="T492" s="29" t="str">
        <f t="shared" si="18"/>
        <v>2021.010B.R.Binomial_names.zip</v>
      </c>
      <c r="U492" s="29" t="str">
        <f>HYPERLINK("https://ictv.global/taxonomy/taxondetails?taxnode_id=202308508","ictv.global=202308508")</f>
        <v>ictv.global=202308508</v>
      </c>
    </row>
    <row r="493" spans="1:21">
      <c r="A493">
        <v>492</v>
      </c>
      <c r="B493" s="30" t="s">
        <v>1587</v>
      </c>
      <c r="D493" s="30" t="s">
        <v>1588</v>
      </c>
      <c r="F493" s="30" t="s">
        <v>1591</v>
      </c>
      <c r="H493" s="30" t="s">
        <v>1592</v>
      </c>
      <c r="L493" s="30" t="s">
        <v>1594</v>
      </c>
      <c r="M493" s="30" t="s">
        <v>1595</v>
      </c>
      <c r="N493" s="30" t="s">
        <v>1398</v>
      </c>
      <c r="P493" s="30" t="s">
        <v>4451</v>
      </c>
      <c r="Q493" t="s">
        <v>619</v>
      </c>
      <c r="R493" t="s">
        <v>918</v>
      </c>
      <c r="S493">
        <v>37</v>
      </c>
      <c r="T493" s="29" t="str">
        <f t="shared" si="18"/>
        <v>2021.010B.R.Binomial_names.zip</v>
      </c>
      <c r="U493" s="29" t="str">
        <f>HYPERLINK("https://ictv.global/taxonomy/taxondetails?taxnode_id=202308509","ictv.global=202308509")</f>
        <v>ictv.global=202308509</v>
      </c>
    </row>
    <row r="494" spans="1:21">
      <c r="A494">
        <v>493</v>
      </c>
      <c r="B494" s="30" t="s">
        <v>1587</v>
      </c>
      <c r="D494" s="30" t="s">
        <v>1588</v>
      </c>
      <c r="F494" s="30" t="s">
        <v>1591</v>
      </c>
      <c r="H494" s="30" t="s">
        <v>1592</v>
      </c>
      <c r="L494" s="30" t="s">
        <v>1594</v>
      </c>
      <c r="M494" s="30" t="s">
        <v>1595</v>
      </c>
      <c r="N494" s="30" t="s">
        <v>1398</v>
      </c>
      <c r="P494" s="30" t="s">
        <v>4452</v>
      </c>
      <c r="Q494" t="s">
        <v>619</v>
      </c>
      <c r="R494" t="s">
        <v>918</v>
      </c>
      <c r="S494">
        <v>37</v>
      </c>
      <c r="T494" s="29" t="str">
        <f t="shared" si="18"/>
        <v>2021.010B.R.Binomial_names.zip</v>
      </c>
      <c r="U494" s="29" t="str">
        <f>HYPERLINK("https://ictv.global/taxonomy/taxondetails?taxnode_id=202306908","ictv.global=202306908")</f>
        <v>ictv.global=202306908</v>
      </c>
    </row>
    <row r="495" spans="1:21">
      <c r="A495">
        <v>494</v>
      </c>
      <c r="B495" s="30" t="s">
        <v>1587</v>
      </c>
      <c r="D495" s="30" t="s">
        <v>1588</v>
      </c>
      <c r="F495" s="30" t="s">
        <v>1591</v>
      </c>
      <c r="H495" s="30" t="s">
        <v>1592</v>
      </c>
      <c r="L495" s="30" t="s">
        <v>1594</v>
      </c>
      <c r="M495" s="30" t="s">
        <v>1595</v>
      </c>
      <c r="N495" s="30" t="s">
        <v>1597</v>
      </c>
      <c r="P495" s="30" t="s">
        <v>4453</v>
      </c>
      <c r="Q495" t="s">
        <v>619</v>
      </c>
      <c r="R495" t="s">
        <v>918</v>
      </c>
      <c r="S495">
        <v>37</v>
      </c>
      <c r="T495" s="29" t="str">
        <f t="shared" si="18"/>
        <v>2021.010B.R.Binomial_names.zip</v>
      </c>
      <c r="U495" s="29" t="str">
        <f>HYPERLINK("https://ictv.global/taxonomy/taxondetails?taxnode_id=202308511","ictv.global=202308511")</f>
        <v>ictv.global=202308511</v>
      </c>
    </row>
    <row r="496" spans="1:21">
      <c r="A496">
        <v>495</v>
      </c>
      <c r="B496" s="30" t="s">
        <v>1587</v>
      </c>
      <c r="D496" s="30" t="s">
        <v>1588</v>
      </c>
      <c r="F496" s="30" t="s">
        <v>1591</v>
      </c>
      <c r="H496" s="30" t="s">
        <v>1592</v>
      </c>
      <c r="L496" s="30" t="s">
        <v>1594</v>
      </c>
      <c r="M496" s="30" t="s">
        <v>1598</v>
      </c>
      <c r="N496" s="30" t="s">
        <v>1599</v>
      </c>
      <c r="P496" s="30" t="s">
        <v>4454</v>
      </c>
      <c r="Q496" t="s">
        <v>619</v>
      </c>
      <c r="R496" t="s">
        <v>918</v>
      </c>
      <c r="S496">
        <v>37</v>
      </c>
      <c r="T496" s="29" t="str">
        <f t="shared" si="18"/>
        <v>2021.010B.R.Binomial_names.zip</v>
      </c>
      <c r="U496" s="29" t="str">
        <f>HYPERLINK("https://ictv.global/taxonomy/taxondetails?taxnode_id=202308634","ictv.global=202308634")</f>
        <v>ictv.global=202308634</v>
      </c>
    </row>
    <row r="497" spans="1:21">
      <c r="A497">
        <v>496</v>
      </c>
      <c r="B497" s="30" t="s">
        <v>1587</v>
      </c>
      <c r="D497" s="30" t="s">
        <v>1588</v>
      </c>
      <c r="F497" s="30" t="s">
        <v>1591</v>
      </c>
      <c r="H497" s="30" t="s">
        <v>1592</v>
      </c>
      <c r="L497" s="30" t="s">
        <v>1594</v>
      </c>
      <c r="M497" s="30" t="s">
        <v>1598</v>
      </c>
      <c r="N497" s="30" t="s">
        <v>1600</v>
      </c>
      <c r="P497" s="30" t="s">
        <v>4455</v>
      </c>
      <c r="Q497" t="s">
        <v>619</v>
      </c>
      <c r="R497" t="s">
        <v>918</v>
      </c>
      <c r="S497">
        <v>37</v>
      </c>
      <c r="T497" s="29" t="str">
        <f t="shared" si="18"/>
        <v>2021.010B.R.Binomial_names.zip</v>
      </c>
      <c r="U497" s="29" t="str">
        <f>HYPERLINK("https://ictv.global/taxonomy/taxondetails?taxnode_id=202308619","ictv.global=202308619")</f>
        <v>ictv.global=202308619</v>
      </c>
    </row>
    <row r="498" spans="1:21">
      <c r="A498">
        <v>497</v>
      </c>
      <c r="B498" s="30" t="s">
        <v>1587</v>
      </c>
      <c r="D498" s="30" t="s">
        <v>1588</v>
      </c>
      <c r="F498" s="30" t="s">
        <v>1591</v>
      </c>
      <c r="H498" s="30" t="s">
        <v>1592</v>
      </c>
      <c r="L498" s="30" t="s">
        <v>1594</v>
      </c>
      <c r="M498" s="30" t="s">
        <v>1598</v>
      </c>
      <c r="N498" s="30" t="s">
        <v>1600</v>
      </c>
      <c r="P498" s="30" t="s">
        <v>4456</v>
      </c>
      <c r="Q498" t="s">
        <v>619</v>
      </c>
      <c r="R498" t="s">
        <v>918</v>
      </c>
      <c r="S498">
        <v>37</v>
      </c>
      <c r="T498" s="29" t="str">
        <f t="shared" si="18"/>
        <v>2021.010B.R.Binomial_names.zip</v>
      </c>
      <c r="U498" s="29" t="str">
        <f>HYPERLINK("https://ictv.global/taxonomy/taxondetails?taxnode_id=202308620","ictv.global=202308620")</f>
        <v>ictv.global=202308620</v>
      </c>
    </row>
    <row r="499" spans="1:21">
      <c r="A499">
        <v>498</v>
      </c>
      <c r="B499" s="30" t="s">
        <v>1587</v>
      </c>
      <c r="D499" s="30" t="s">
        <v>1588</v>
      </c>
      <c r="F499" s="30" t="s">
        <v>1591</v>
      </c>
      <c r="H499" s="30" t="s">
        <v>1592</v>
      </c>
      <c r="L499" s="30" t="s">
        <v>1594</v>
      </c>
      <c r="M499" s="30" t="s">
        <v>1598</v>
      </c>
      <c r="N499" s="30" t="s">
        <v>1600</v>
      </c>
      <c r="P499" s="30" t="s">
        <v>4457</v>
      </c>
      <c r="Q499" t="s">
        <v>619</v>
      </c>
      <c r="R499" t="s">
        <v>918</v>
      </c>
      <c r="S499">
        <v>37</v>
      </c>
      <c r="T499" s="29" t="str">
        <f t="shared" si="18"/>
        <v>2021.010B.R.Binomial_names.zip</v>
      </c>
      <c r="U499" s="29" t="str">
        <f>HYPERLINK("https://ictv.global/taxonomy/taxondetails?taxnode_id=202308621","ictv.global=202308621")</f>
        <v>ictv.global=202308621</v>
      </c>
    </row>
    <row r="500" spans="1:21">
      <c r="A500">
        <v>499</v>
      </c>
      <c r="B500" s="30" t="s">
        <v>1587</v>
      </c>
      <c r="D500" s="30" t="s">
        <v>1588</v>
      </c>
      <c r="F500" s="30" t="s">
        <v>1591</v>
      </c>
      <c r="H500" s="30" t="s">
        <v>1592</v>
      </c>
      <c r="L500" s="30" t="s">
        <v>1594</v>
      </c>
      <c r="M500" s="30" t="s">
        <v>1598</v>
      </c>
      <c r="N500" s="30" t="s">
        <v>1601</v>
      </c>
      <c r="P500" s="30" t="s">
        <v>4458</v>
      </c>
      <c r="Q500" t="s">
        <v>619</v>
      </c>
      <c r="R500" t="s">
        <v>918</v>
      </c>
      <c r="S500">
        <v>37</v>
      </c>
      <c r="T500" s="29" t="str">
        <f t="shared" si="18"/>
        <v>2021.010B.R.Binomial_names.zip</v>
      </c>
      <c r="U500" s="29" t="str">
        <f>HYPERLINK("https://ictv.global/taxonomy/taxondetails?taxnode_id=202308624","ictv.global=202308624")</f>
        <v>ictv.global=202308624</v>
      </c>
    </row>
    <row r="501" spans="1:21">
      <c r="A501">
        <v>500</v>
      </c>
      <c r="B501" s="30" t="s">
        <v>1587</v>
      </c>
      <c r="D501" s="30" t="s">
        <v>1588</v>
      </c>
      <c r="F501" s="30" t="s">
        <v>1591</v>
      </c>
      <c r="H501" s="30" t="s">
        <v>1592</v>
      </c>
      <c r="L501" s="30" t="s">
        <v>1594</v>
      </c>
      <c r="M501" s="30" t="s">
        <v>1598</v>
      </c>
      <c r="N501" s="30" t="s">
        <v>1601</v>
      </c>
      <c r="P501" s="30" t="s">
        <v>4459</v>
      </c>
      <c r="Q501" t="s">
        <v>619</v>
      </c>
      <c r="R501" t="s">
        <v>918</v>
      </c>
      <c r="S501">
        <v>37</v>
      </c>
      <c r="T501" s="29" t="str">
        <f t="shared" si="18"/>
        <v>2021.010B.R.Binomial_names.zip</v>
      </c>
      <c r="U501" s="29" t="str">
        <f>HYPERLINK("https://ictv.global/taxonomy/taxondetails?taxnode_id=202308623","ictv.global=202308623")</f>
        <v>ictv.global=202308623</v>
      </c>
    </row>
    <row r="502" spans="1:21">
      <c r="A502">
        <v>501</v>
      </c>
      <c r="B502" s="30" t="s">
        <v>1587</v>
      </c>
      <c r="D502" s="30" t="s">
        <v>1588</v>
      </c>
      <c r="F502" s="30" t="s">
        <v>1591</v>
      </c>
      <c r="H502" s="30" t="s">
        <v>1592</v>
      </c>
      <c r="L502" s="30" t="s">
        <v>1594</v>
      </c>
      <c r="M502" s="30" t="s">
        <v>1598</v>
      </c>
      <c r="N502" s="30" t="s">
        <v>1602</v>
      </c>
      <c r="P502" s="30" t="s">
        <v>4460</v>
      </c>
      <c r="Q502" t="s">
        <v>619</v>
      </c>
      <c r="R502" t="s">
        <v>918</v>
      </c>
      <c r="S502">
        <v>37</v>
      </c>
      <c r="T502" s="29" t="str">
        <f t="shared" si="18"/>
        <v>2021.010B.R.Binomial_names.zip</v>
      </c>
      <c r="U502" s="29" t="str">
        <f>HYPERLINK("https://ictv.global/taxonomy/taxondetails?taxnode_id=202308632","ictv.global=202308632")</f>
        <v>ictv.global=202308632</v>
      </c>
    </row>
    <row r="503" spans="1:21">
      <c r="A503">
        <v>502</v>
      </c>
      <c r="B503" s="30" t="s">
        <v>1587</v>
      </c>
      <c r="D503" s="30" t="s">
        <v>1588</v>
      </c>
      <c r="F503" s="30" t="s">
        <v>1591</v>
      </c>
      <c r="H503" s="30" t="s">
        <v>1592</v>
      </c>
      <c r="L503" s="30" t="s">
        <v>1594</v>
      </c>
      <c r="M503" s="30" t="s">
        <v>1598</v>
      </c>
      <c r="N503" s="30" t="s">
        <v>1603</v>
      </c>
      <c r="P503" s="30" t="s">
        <v>4461</v>
      </c>
      <c r="Q503" t="s">
        <v>619</v>
      </c>
      <c r="R503" t="s">
        <v>918</v>
      </c>
      <c r="S503">
        <v>37</v>
      </c>
      <c r="T503" s="29" t="str">
        <f t="shared" ref="T503:T534" si="19">HYPERLINK("https://ictv.global/ictv/proposals/2021.010B.R.Binomial_names.zip","2021.010B.R.Binomial_names.zip")</f>
        <v>2021.010B.R.Binomial_names.zip</v>
      </c>
      <c r="U503" s="29" t="str">
        <f>HYPERLINK("https://ictv.global/taxonomy/taxondetails?taxnode_id=202308628","ictv.global=202308628")</f>
        <v>ictv.global=202308628</v>
      </c>
    </row>
    <row r="504" spans="1:21">
      <c r="A504">
        <v>503</v>
      </c>
      <c r="B504" s="30" t="s">
        <v>1587</v>
      </c>
      <c r="D504" s="30" t="s">
        <v>1588</v>
      </c>
      <c r="F504" s="30" t="s">
        <v>1591</v>
      </c>
      <c r="H504" s="30" t="s">
        <v>1592</v>
      </c>
      <c r="L504" s="30" t="s">
        <v>1594</v>
      </c>
      <c r="M504" s="30" t="s">
        <v>1598</v>
      </c>
      <c r="N504" s="30" t="s">
        <v>1603</v>
      </c>
      <c r="P504" s="30" t="s">
        <v>4462</v>
      </c>
      <c r="Q504" t="s">
        <v>619</v>
      </c>
      <c r="R504" t="s">
        <v>918</v>
      </c>
      <c r="S504">
        <v>37</v>
      </c>
      <c r="T504" s="29" t="str">
        <f t="shared" si="19"/>
        <v>2021.010B.R.Binomial_names.zip</v>
      </c>
      <c r="U504" s="29" t="str">
        <f>HYPERLINK("https://ictv.global/taxonomy/taxondetails?taxnode_id=202308629","ictv.global=202308629")</f>
        <v>ictv.global=202308629</v>
      </c>
    </row>
    <row r="505" spans="1:21">
      <c r="A505">
        <v>504</v>
      </c>
      <c r="B505" s="30" t="s">
        <v>1587</v>
      </c>
      <c r="D505" s="30" t="s">
        <v>1588</v>
      </c>
      <c r="F505" s="30" t="s">
        <v>1591</v>
      </c>
      <c r="H505" s="30" t="s">
        <v>1592</v>
      </c>
      <c r="L505" s="30" t="s">
        <v>1594</v>
      </c>
      <c r="M505" s="30" t="s">
        <v>1598</v>
      </c>
      <c r="N505" s="30" t="s">
        <v>1603</v>
      </c>
      <c r="P505" s="30" t="s">
        <v>4463</v>
      </c>
      <c r="Q505" t="s">
        <v>619</v>
      </c>
      <c r="R505" t="s">
        <v>918</v>
      </c>
      <c r="S505">
        <v>37</v>
      </c>
      <c r="T505" s="29" t="str">
        <f t="shared" si="19"/>
        <v>2021.010B.R.Binomial_names.zip</v>
      </c>
      <c r="U505" s="29" t="str">
        <f>HYPERLINK("https://ictv.global/taxonomy/taxondetails?taxnode_id=202308627","ictv.global=202308627")</f>
        <v>ictv.global=202308627</v>
      </c>
    </row>
    <row r="506" spans="1:21">
      <c r="A506">
        <v>505</v>
      </c>
      <c r="B506" s="30" t="s">
        <v>1587</v>
      </c>
      <c r="D506" s="30" t="s">
        <v>1588</v>
      </c>
      <c r="F506" s="30" t="s">
        <v>1591</v>
      </c>
      <c r="H506" s="30" t="s">
        <v>1592</v>
      </c>
      <c r="L506" s="30" t="s">
        <v>1594</v>
      </c>
      <c r="M506" s="30" t="s">
        <v>1598</v>
      </c>
      <c r="N506" s="30" t="s">
        <v>1603</v>
      </c>
      <c r="P506" s="30" t="s">
        <v>4464</v>
      </c>
      <c r="Q506" t="s">
        <v>619</v>
      </c>
      <c r="R506" t="s">
        <v>918</v>
      </c>
      <c r="S506">
        <v>37</v>
      </c>
      <c r="T506" s="29" t="str">
        <f t="shared" si="19"/>
        <v>2021.010B.R.Binomial_names.zip</v>
      </c>
      <c r="U506" s="29" t="str">
        <f>HYPERLINK("https://ictv.global/taxonomy/taxondetails?taxnode_id=202308626","ictv.global=202308626")</f>
        <v>ictv.global=202308626</v>
      </c>
    </row>
    <row r="507" spans="1:21">
      <c r="A507">
        <v>506</v>
      </c>
      <c r="B507" s="30" t="s">
        <v>1587</v>
      </c>
      <c r="D507" s="30" t="s">
        <v>1588</v>
      </c>
      <c r="F507" s="30" t="s">
        <v>1591</v>
      </c>
      <c r="H507" s="30" t="s">
        <v>1592</v>
      </c>
      <c r="L507" s="30" t="s">
        <v>1594</v>
      </c>
      <c r="M507" s="30" t="s">
        <v>1598</v>
      </c>
      <c r="N507" s="30" t="s">
        <v>1603</v>
      </c>
      <c r="P507" s="30" t="s">
        <v>4465</v>
      </c>
      <c r="Q507" t="s">
        <v>619</v>
      </c>
      <c r="R507" t="s">
        <v>918</v>
      </c>
      <c r="S507">
        <v>37</v>
      </c>
      <c r="T507" s="29" t="str">
        <f t="shared" si="19"/>
        <v>2021.010B.R.Binomial_names.zip</v>
      </c>
      <c r="U507" s="29" t="str">
        <f>HYPERLINK("https://ictv.global/taxonomy/taxondetails?taxnode_id=202308630","ictv.global=202308630")</f>
        <v>ictv.global=202308630</v>
      </c>
    </row>
    <row r="508" spans="1:21">
      <c r="A508">
        <v>507</v>
      </c>
      <c r="B508" s="30" t="s">
        <v>1587</v>
      </c>
      <c r="D508" s="30" t="s">
        <v>1588</v>
      </c>
      <c r="F508" s="30" t="s">
        <v>1591</v>
      </c>
      <c r="H508" s="30" t="s">
        <v>1592</v>
      </c>
      <c r="L508" s="30" t="s">
        <v>1594</v>
      </c>
      <c r="M508" s="30" t="s">
        <v>1604</v>
      </c>
      <c r="N508" s="30" t="s">
        <v>1605</v>
      </c>
      <c r="P508" s="30" t="s">
        <v>4466</v>
      </c>
      <c r="Q508" t="s">
        <v>619</v>
      </c>
      <c r="R508" t="s">
        <v>918</v>
      </c>
      <c r="S508">
        <v>37</v>
      </c>
      <c r="T508" s="29" t="str">
        <f t="shared" si="19"/>
        <v>2021.010B.R.Binomial_names.zip</v>
      </c>
      <c r="U508" s="29" t="str">
        <f>HYPERLINK("https://ictv.global/taxonomy/taxondetails?taxnode_id=202308569","ictv.global=202308569")</f>
        <v>ictv.global=202308569</v>
      </c>
    </row>
    <row r="509" spans="1:21">
      <c r="A509">
        <v>508</v>
      </c>
      <c r="B509" s="30" t="s">
        <v>1587</v>
      </c>
      <c r="D509" s="30" t="s">
        <v>1588</v>
      </c>
      <c r="F509" s="30" t="s">
        <v>1591</v>
      </c>
      <c r="H509" s="30" t="s">
        <v>1592</v>
      </c>
      <c r="L509" s="30" t="s">
        <v>1594</v>
      </c>
      <c r="M509" s="30" t="s">
        <v>1604</v>
      </c>
      <c r="N509" s="30" t="s">
        <v>1606</v>
      </c>
      <c r="P509" s="30" t="s">
        <v>4467</v>
      </c>
      <c r="Q509" t="s">
        <v>619</v>
      </c>
      <c r="R509" t="s">
        <v>918</v>
      </c>
      <c r="S509">
        <v>37</v>
      </c>
      <c r="T509" s="29" t="str">
        <f t="shared" si="19"/>
        <v>2021.010B.R.Binomial_names.zip</v>
      </c>
      <c r="U509" s="29" t="str">
        <f>HYPERLINK("https://ictv.global/taxonomy/taxondetails?taxnode_id=202308557","ictv.global=202308557")</f>
        <v>ictv.global=202308557</v>
      </c>
    </row>
    <row r="510" spans="1:21">
      <c r="A510">
        <v>509</v>
      </c>
      <c r="B510" s="30" t="s">
        <v>1587</v>
      </c>
      <c r="D510" s="30" t="s">
        <v>1588</v>
      </c>
      <c r="F510" s="30" t="s">
        <v>1591</v>
      </c>
      <c r="H510" s="30" t="s">
        <v>1592</v>
      </c>
      <c r="L510" s="30" t="s">
        <v>1594</v>
      </c>
      <c r="M510" s="30" t="s">
        <v>1604</v>
      </c>
      <c r="N510" s="30" t="s">
        <v>1606</v>
      </c>
      <c r="P510" s="30" t="s">
        <v>4468</v>
      </c>
      <c r="Q510" t="s">
        <v>619</v>
      </c>
      <c r="R510" t="s">
        <v>918</v>
      </c>
      <c r="S510">
        <v>37</v>
      </c>
      <c r="T510" s="29" t="str">
        <f t="shared" si="19"/>
        <v>2021.010B.R.Binomial_names.zip</v>
      </c>
      <c r="U510" s="29" t="str">
        <f>HYPERLINK("https://ictv.global/taxonomy/taxondetails?taxnode_id=202308555","ictv.global=202308555")</f>
        <v>ictv.global=202308555</v>
      </c>
    </row>
    <row r="511" spans="1:21">
      <c r="A511">
        <v>510</v>
      </c>
      <c r="B511" s="30" t="s">
        <v>1587</v>
      </c>
      <c r="D511" s="30" t="s">
        <v>1588</v>
      </c>
      <c r="F511" s="30" t="s">
        <v>1591</v>
      </c>
      <c r="H511" s="30" t="s">
        <v>1592</v>
      </c>
      <c r="L511" s="30" t="s">
        <v>1594</v>
      </c>
      <c r="M511" s="30" t="s">
        <v>1604</v>
      </c>
      <c r="N511" s="30" t="s">
        <v>1606</v>
      </c>
      <c r="P511" s="30" t="s">
        <v>4469</v>
      </c>
      <c r="Q511" t="s">
        <v>619</v>
      </c>
      <c r="R511" t="s">
        <v>918</v>
      </c>
      <c r="S511">
        <v>37</v>
      </c>
      <c r="T511" s="29" t="str">
        <f t="shared" si="19"/>
        <v>2021.010B.R.Binomial_names.zip</v>
      </c>
      <c r="U511" s="29" t="str">
        <f>HYPERLINK("https://ictv.global/taxonomy/taxondetails?taxnode_id=202308556","ictv.global=202308556")</f>
        <v>ictv.global=202308556</v>
      </c>
    </row>
    <row r="512" spans="1:21">
      <c r="A512">
        <v>511</v>
      </c>
      <c r="B512" s="30" t="s">
        <v>1587</v>
      </c>
      <c r="D512" s="30" t="s">
        <v>1588</v>
      </c>
      <c r="F512" s="30" t="s">
        <v>1591</v>
      </c>
      <c r="H512" s="30" t="s">
        <v>1592</v>
      </c>
      <c r="L512" s="30" t="s">
        <v>1594</v>
      </c>
      <c r="M512" s="30" t="s">
        <v>1604</v>
      </c>
      <c r="N512" s="30" t="s">
        <v>1400</v>
      </c>
      <c r="P512" s="30" t="s">
        <v>4470</v>
      </c>
      <c r="Q512" t="s">
        <v>619</v>
      </c>
      <c r="R512" t="s">
        <v>918</v>
      </c>
      <c r="S512">
        <v>37</v>
      </c>
      <c r="T512" s="29" t="str">
        <f t="shared" si="19"/>
        <v>2021.010B.R.Binomial_names.zip</v>
      </c>
      <c r="U512" s="29" t="str">
        <f>HYPERLINK("https://ictv.global/taxonomy/taxondetails?taxnode_id=202306925","ictv.global=202306925")</f>
        <v>ictv.global=202306925</v>
      </c>
    </row>
    <row r="513" spans="1:21">
      <c r="A513">
        <v>512</v>
      </c>
      <c r="B513" s="30" t="s">
        <v>1587</v>
      </c>
      <c r="D513" s="30" t="s">
        <v>1588</v>
      </c>
      <c r="F513" s="30" t="s">
        <v>1591</v>
      </c>
      <c r="H513" s="30" t="s">
        <v>1592</v>
      </c>
      <c r="L513" s="30" t="s">
        <v>1594</v>
      </c>
      <c r="M513" s="30" t="s">
        <v>1604</v>
      </c>
      <c r="N513" s="30" t="s">
        <v>1400</v>
      </c>
      <c r="P513" s="30" t="s">
        <v>4471</v>
      </c>
      <c r="Q513" t="s">
        <v>619</v>
      </c>
      <c r="R513" t="s">
        <v>918</v>
      </c>
      <c r="S513">
        <v>37</v>
      </c>
      <c r="T513" s="29" t="str">
        <f t="shared" si="19"/>
        <v>2021.010B.R.Binomial_names.zip</v>
      </c>
      <c r="U513" s="29" t="str">
        <f>HYPERLINK("https://ictv.global/taxonomy/taxondetails?taxnode_id=202308561","ictv.global=202308561")</f>
        <v>ictv.global=202308561</v>
      </c>
    </row>
    <row r="514" spans="1:21">
      <c r="A514">
        <v>513</v>
      </c>
      <c r="B514" s="30" t="s">
        <v>1587</v>
      </c>
      <c r="D514" s="30" t="s">
        <v>1588</v>
      </c>
      <c r="F514" s="30" t="s">
        <v>1591</v>
      </c>
      <c r="H514" s="30" t="s">
        <v>1592</v>
      </c>
      <c r="L514" s="30" t="s">
        <v>1594</v>
      </c>
      <c r="M514" s="30" t="s">
        <v>1604</v>
      </c>
      <c r="N514" s="30" t="s">
        <v>1400</v>
      </c>
      <c r="P514" s="30" t="s">
        <v>4472</v>
      </c>
      <c r="Q514" t="s">
        <v>619</v>
      </c>
      <c r="R514" t="s">
        <v>918</v>
      </c>
      <c r="S514">
        <v>37</v>
      </c>
      <c r="T514" s="29" t="str">
        <f t="shared" si="19"/>
        <v>2021.010B.R.Binomial_names.zip</v>
      </c>
      <c r="U514" s="29" t="str">
        <f>HYPERLINK("https://ictv.global/taxonomy/taxondetails?taxnode_id=202306924","ictv.global=202306924")</f>
        <v>ictv.global=202306924</v>
      </c>
    </row>
    <row r="515" spans="1:21">
      <c r="A515">
        <v>514</v>
      </c>
      <c r="B515" s="30" t="s">
        <v>1587</v>
      </c>
      <c r="D515" s="30" t="s">
        <v>1588</v>
      </c>
      <c r="F515" s="30" t="s">
        <v>1591</v>
      </c>
      <c r="H515" s="30" t="s">
        <v>1592</v>
      </c>
      <c r="L515" s="30" t="s">
        <v>1594</v>
      </c>
      <c r="M515" s="30" t="s">
        <v>1604</v>
      </c>
      <c r="N515" s="30" t="s">
        <v>1400</v>
      </c>
      <c r="P515" s="30" t="s">
        <v>4473</v>
      </c>
      <c r="Q515" t="s">
        <v>619</v>
      </c>
      <c r="R515" t="s">
        <v>918</v>
      </c>
      <c r="S515">
        <v>37</v>
      </c>
      <c r="T515" s="29" t="str">
        <f t="shared" si="19"/>
        <v>2021.010B.R.Binomial_names.zip</v>
      </c>
      <c r="U515" s="29" t="str">
        <f>HYPERLINK("https://ictv.global/taxonomy/taxondetails?taxnode_id=202308558","ictv.global=202308558")</f>
        <v>ictv.global=202308558</v>
      </c>
    </row>
    <row r="516" spans="1:21">
      <c r="A516">
        <v>515</v>
      </c>
      <c r="B516" s="30" t="s">
        <v>1587</v>
      </c>
      <c r="D516" s="30" t="s">
        <v>1588</v>
      </c>
      <c r="F516" s="30" t="s">
        <v>1591</v>
      </c>
      <c r="H516" s="30" t="s">
        <v>1592</v>
      </c>
      <c r="L516" s="30" t="s">
        <v>1594</v>
      </c>
      <c r="M516" s="30" t="s">
        <v>1604</v>
      </c>
      <c r="N516" s="30" t="s">
        <v>1400</v>
      </c>
      <c r="P516" s="30" t="s">
        <v>4474</v>
      </c>
      <c r="Q516" t="s">
        <v>619</v>
      </c>
      <c r="R516" t="s">
        <v>918</v>
      </c>
      <c r="S516">
        <v>37</v>
      </c>
      <c r="T516" s="29" t="str">
        <f t="shared" si="19"/>
        <v>2021.010B.R.Binomial_names.zip</v>
      </c>
      <c r="U516" s="29" t="str">
        <f>HYPERLINK("https://ictv.global/taxonomy/taxondetails?taxnode_id=202308562","ictv.global=202308562")</f>
        <v>ictv.global=202308562</v>
      </c>
    </row>
    <row r="517" spans="1:21">
      <c r="A517">
        <v>516</v>
      </c>
      <c r="B517" s="30" t="s">
        <v>1587</v>
      </c>
      <c r="D517" s="30" t="s">
        <v>1588</v>
      </c>
      <c r="F517" s="30" t="s">
        <v>1591</v>
      </c>
      <c r="H517" s="30" t="s">
        <v>1592</v>
      </c>
      <c r="L517" s="30" t="s">
        <v>1594</v>
      </c>
      <c r="M517" s="30" t="s">
        <v>1604</v>
      </c>
      <c r="N517" s="30" t="s">
        <v>1400</v>
      </c>
      <c r="P517" s="30" t="s">
        <v>4475</v>
      </c>
      <c r="Q517" t="s">
        <v>619</v>
      </c>
      <c r="R517" t="s">
        <v>918</v>
      </c>
      <c r="S517">
        <v>37</v>
      </c>
      <c r="T517" s="29" t="str">
        <f t="shared" si="19"/>
        <v>2021.010B.R.Binomial_names.zip</v>
      </c>
      <c r="U517" s="29" t="str">
        <f>HYPERLINK("https://ictv.global/taxonomy/taxondetails?taxnode_id=202308563","ictv.global=202308563")</f>
        <v>ictv.global=202308563</v>
      </c>
    </row>
    <row r="518" spans="1:21">
      <c r="A518">
        <v>517</v>
      </c>
      <c r="B518" s="30" t="s">
        <v>1587</v>
      </c>
      <c r="D518" s="30" t="s">
        <v>1588</v>
      </c>
      <c r="F518" s="30" t="s">
        <v>1591</v>
      </c>
      <c r="H518" s="30" t="s">
        <v>1592</v>
      </c>
      <c r="L518" s="30" t="s">
        <v>1594</v>
      </c>
      <c r="M518" s="30" t="s">
        <v>1604</v>
      </c>
      <c r="N518" s="30" t="s">
        <v>1400</v>
      </c>
      <c r="P518" s="30" t="s">
        <v>4476</v>
      </c>
      <c r="Q518" t="s">
        <v>619</v>
      </c>
      <c r="R518" t="s">
        <v>918</v>
      </c>
      <c r="S518">
        <v>37</v>
      </c>
      <c r="T518" s="29" t="str">
        <f t="shared" si="19"/>
        <v>2021.010B.R.Binomial_names.zip</v>
      </c>
      <c r="U518" s="29" t="str">
        <f>HYPERLINK("https://ictv.global/taxonomy/taxondetails?taxnode_id=202308559","ictv.global=202308559")</f>
        <v>ictv.global=202308559</v>
      </c>
    </row>
    <row r="519" spans="1:21">
      <c r="A519">
        <v>518</v>
      </c>
      <c r="B519" s="30" t="s">
        <v>1587</v>
      </c>
      <c r="D519" s="30" t="s">
        <v>1588</v>
      </c>
      <c r="F519" s="30" t="s">
        <v>1591</v>
      </c>
      <c r="H519" s="30" t="s">
        <v>1592</v>
      </c>
      <c r="L519" s="30" t="s">
        <v>1594</v>
      </c>
      <c r="M519" s="30" t="s">
        <v>1604</v>
      </c>
      <c r="N519" s="30" t="s">
        <v>1400</v>
      </c>
      <c r="P519" s="30" t="s">
        <v>4477</v>
      </c>
      <c r="Q519" t="s">
        <v>619</v>
      </c>
      <c r="R519" t="s">
        <v>918</v>
      </c>
      <c r="S519">
        <v>37</v>
      </c>
      <c r="T519" s="29" t="str">
        <f t="shared" si="19"/>
        <v>2021.010B.R.Binomial_names.zip</v>
      </c>
      <c r="U519" s="29" t="str">
        <f>HYPERLINK("https://ictv.global/taxonomy/taxondetails?taxnode_id=202308560","ictv.global=202308560")</f>
        <v>ictv.global=202308560</v>
      </c>
    </row>
    <row r="520" spans="1:21">
      <c r="A520">
        <v>519</v>
      </c>
      <c r="B520" s="30" t="s">
        <v>1587</v>
      </c>
      <c r="D520" s="30" t="s">
        <v>1588</v>
      </c>
      <c r="F520" s="30" t="s">
        <v>1591</v>
      </c>
      <c r="H520" s="30" t="s">
        <v>1592</v>
      </c>
      <c r="L520" s="30" t="s">
        <v>1594</v>
      </c>
      <c r="M520" s="30" t="s">
        <v>1604</v>
      </c>
      <c r="N520" s="30" t="s">
        <v>1400</v>
      </c>
      <c r="P520" s="30" t="s">
        <v>4478</v>
      </c>
      <c r="Q520" t="s">
        <v>619</v>
      </c>
      <c r="R520" t="s">
        <v>918</v>
      </c>
      <c r="S520">
        <v>37</v>
      </c>
      <c r="T520" s="29" t="str">
        <f t="shared" si="19"/>
        <v>2021.010B.R.Binomial_names.zip</v>
      </c>
      <c r="U520" s="29" t="str">
        <f>HYPERLINK("https://ictv.global/taxonomy/taxondetails?taxnode_id=202306926","ictv.global=202306926")</f>
        <v>ictv.global=202306926</v>
      </c>
    </row>
    <row r="521" spans="1:21">
      <c r="A521">
        <v>520</v>
      </c>
      <c r="B521" s="30" t="s">
        <v>1587</v>
      </c>
      <c r="D521" s="30" t="s">
        <v>1588</v>
      </c>
      <c r="F521" s="30" t="s">
        <v>1591</v>
      </c>
      <c r="H521" s="30" t="s">
        <v>1592</v>
      </c>
      <c r="L521" s="30" t="s">
        <v>1594</v>
      </c>
      <c r="M521" s="30" t="s">
        <v>1604</v>
      </c>
      <c r="N521" s="30" t="s">
        <v>1400</v>
      </c>
      <c r="P521" s="30" t="s">
        <v>4479</v>
      </c>
      <c r="Q521" t="s">
        <v>619</v>
      </c>
      <c r="R521" t="s">
        <v>918</v>
      </c>
      <c r="S521">
        <v>37</v>
      </c>
      <c r="T521" s="29" t="str">
        <f t="shared" si="19"/>
        <v>2021.010B.R.Binomial_names.zip</v>
      </c>
      <c r="U521" s="29" t="str">
        <f>HYPERLINK("https://ictv.global/taxonomy/taxondetails?taxnode_id=202308564","ictv.global=202308564")</f>
        <v>ictv.global=202308564</v>
      </c>
    </row>
    <row r="522" spans="1:21">
      <c r="A522">
        <v>521</v>
      </c>
      <c r="B522" s="30" t="s">
        <v>1587</v>
      </c>
      <c r="D522" s="30" t="s">
        <v>1588</v>
      </c>
      <c r="F522" s="30" t="s">
        <v>1591</v>
      </c>
      <c r="H522" s="30" t="s">
        <v>1592</v>
      </c>
      <c r="L522" s="30" t="s">
        <v>1594</v>
      </c>
      <c r="M522" s="30" t="s">
        <v>1604</v>
      </c>
      <c r="N522" s="30" t="s">
        <v>1400</v>
      </c>
      <c r="P522" s="30" t="s">
        <v>4480</v>
      </c>
      <c r="Q522" t="s">
        <v>619</v>
      </c>
      <c r="R522" t="s">
        <v>918</v>
      </c>
      <c r="S522">
        <v>37</v>
      </c>
      <c r="T522" s="29" t="str">
        <f t="shared" si="19"/>
        <v>2021.010B.R.Binomial_names.zip</v>
      </c>
      <c r="U522" s="29" t="str">
        <f>HYPERLINK("https://ictv.global/taxonomy/taxondetails?taxnode_id=202306927","ictv.global=202306927")</f>
        <v>ictv.global=202306927</v>
      </c>
    </row>
    <row r="523" spans="1:21">
      <c r="A523">
        <v>522</v>
      </c>
      <c r="B523" s="30" t="s">
        <v>1587</v>
      </c>
      <c r="D523" s="30" t="s">
        <v>1588</v>
      </c>
      <c r="F523" s="30" t="s">
        <v>1591</v>
      </c>
      <c r="H523" s="30" t="s">
        <v>1592</v>
      </c>
      <c r="L523" s="30" t="s">
        <v>1594</v>
      </c>
      <c r="M523" s="30" t="s">
        <v>1604</v>
      </c>
      <c r="N523" s="30" t="s">
        <v>1400</v>
      </c>
      <c r="P523" s="30" t="s">
        <v>4481</v>
      </c>
      <c r="Q523" t="s">
        <v>619</v>
      </c>
      <c r="R523" t="s">
        <v>918</v>
      </c>
      <c r="S523">
        <v>37</v>
      </c>
      <c r="T523" s="29" t="str">
        <f t="shared" si="19"/>
        <v>2021.010B.R.Binomial_names.zip</v>
      </c>
      <c r="U523" s="29" t="str">
        <f>HYPERLINK("https://ictv.global/taxonomy/taxondetails?taxnode_id=202308565","ictv.global=202308565")</f>
        <v>ictv.global=202308565</v>
      </c>
    </row>
    <row r="524" spans="1:21">
      <c r="A524">
        <v>523</v>
      </c>
      <c r="B524" s="30" t="s">
        <v>1587</v>
      </c>
      <c r="D524" s="30" t="s">
        <v>1588</v>
      </c>
      <c r="F524" s="30" t="s">
        <v>1591</v>
      </c>
      <c r="H524" s="30" t="s">
        <v>1592</v>
      </c>
      <c r="L524" s="30" t="s">
        <v>1594</v>
      </c>
      <c r="M524" s="30" t="s">
        <v>1604</v>
      </c>
      <c r="N524" s="30" t="s">
        <v>1607</v>
      </c>
      <c r="P524" s="30" t="s">
        <v>4482</v>
      </c>
      <c r="Q524" t="s">
        <v>619</v>
      </c>
      <c r="R524" t="s">
        <v>918</v>
      </c>
      <c r="S524">
        <v>37</v>
      </c>
      <c r="T524" s="29" t="str">
        <f t="shared" si="19"/>
        <v>2021.010B.R.Binomial_names.zip</v>
      </c>
      <c r="U524" s="29" t="str">
        <f>HYPERLINK("https://ictv.global/taxonomy/taxondetails?taxnode_id=202308567","ictv.global=202308567")</f>
        <v>ictv.global=202308567</v>
      </c>
    </row>
    <row r="525" spans="1:21">
      <c r="A525">
        <v>524</v>
      </c>
      <c r="B525" s="30" t="s">
        <v>1587</v>
      </c>
      <c r="D525" s="30" t="s">
        <v>1588</v>
      </c>
      <c r="F525" s="30" t="s">
        <v>1591</v>
      </c>
      <c r="H525" s="30" t="s">
        <v>1592</v>
      </c>
      <c r="L525" s="30" t="s">
        <v>1594</v>
      </c>
      <c r="M525" s="30" t="s">
        <v>1608</v>
      </c>
      <c r="N525" s="30" t="s">
        <v>1609</v>
      </c>
      <c r="P525" s="30" t="s">
        <v>4483</v>
      </c>
      <c r="Q525" t="s">
        <v>619</v>
      </c>
      <c r="R525" t="s">
        <v>918</v>
      </c>
      <c r="S525">
        <v>37</v>
      </c>
      <c r="T525" s="29" t="str">
        <f t="shared" si="19"/>
        <v>2021.010B.R.Binomial_names.zip</v>
      </c>
      <c r="U525" s="29" t="str">
        <f>HYPERLINK("https://ictv.global/taxonomy/taxondetails?taxnode_id=202308534","ictv.global=202308534")</f>
        <v>ictv.global=202308534</v>
      </c>
    </row>
    <row r="526" spans="1:21">
      <c r="A526">
        <v>525</v>
      </c>
      <c r="B526" s="30" t="s">
        <v>1587</v>
      </c>
      <c r="D526" s="30" t="s">
        <v>1588</v>
      </c>
      <c r="F526" s="30" t="s">
        <v>1591</v>
      </c>
      <c r="H526" s="30" t="s">
        <v>1592</v>
      </c>
      <c r="L526" s="30" t="s">
        <v>1594</v>
      </c>
      <c r="M526" s="30" t="s">
        <v>1608</v>
      </c>
      <c r="N526" s="30" t="s">
        <v>649</v>
      </c>
      <c r="P526" s="30" t="s">
        <v>4484</v>
      </c>
      <c r="Q526" t="s">
        <v>619</v>
      </c>
      <c r="R526" t="s">
        <v>918</v>
      </c>
      <c r="S526">
        <v>37</v>
      </c>
      <c r="T526" s="29" t="str">
        <f t="shared" si="19"/>
        <v>2021.010B.R.Binomial_names.zip</v>
      </c>
      <c r="U526" s="29" t="str">
        <f>HYPERLINK("https://ictv.global/taxonomy/taxondetails?taxnode_id=202308527","ictv.global=202308527")</f>
        <v>ictv.global=202308527</v>
      </c>
    </row>
    <row r="527" spans="1:21">
      <c r="A527">
        <v>526</v>
      </c>
      <c r="B527" s="30" t="s">
        <v>1587</v>
      </c>
      <c r="D527" s="30" t="s">
        <v>1588</v>
      </c>
      <c r="F527" s="30" t="s">
        <v>1591</v>
      </c>
      <c r="H527" s="30" t="s">
        <v>1592</v>
      </c>
      <c r="L527" s="30" t="s">
        <v>1594</v>
      </c>
      <c r="M527" s="30" t="s">
        <v>1608</v>
      </c>
      <c r="N527" s="30" t="s">
        <v>649</v>
      </c>
      <c r="P527" s="30" t="s">
        <v>4485</v>
      </c>
      <c r="Q527" t="s">
        <v>619</v>
      </c>
      <c r="R527" t="s">
        <v>918</v>
      </c>
      <c r="S527">
        <v>37</v>
      </c>
      <c r="T527" s="29" t="str">
        <f t="shared" si="19"/>
        <v>2021.010B.R.Binomial_names.zip</v>
      </c>
      <c r="U527" s="29" t="str">
        <f>HYPERLINK("https://ictv.global/taxonomy/taxondetails?taxnode_id=202308526","ictv.global=202308526")</f>
        <v>ictv.global=202308526</v>
      </c>
    </row>
    <row r="528" spans="1:21">
      <c r="A528">
        <v>527</v>
      </c>
      <c r="B528" s="30" t="s">
        <v>1587</v>
      </c>
      <c r="D528" s="30" t="s">
        <v>1588</v>
      </c>
      <c r="F528" s="30" t="s">
        <v>1591</v>
      </c>
      <c r="H528" s="30" t="s">
        <v>1592</v>
      </c>
      <c r="L528" s="30" t="s">
        <v>1594</v>
      </c>
      <c r="M528" s="30" t="s">
        <v>1608</v>
      </c>
      <c r="N528" s="30" t="s">
        <v>649</v>
      </c>
      <c r="P528" s="30" t="s">
        <v>4486</v>
      </c>
      <c r="Q528" t="s">
        <v>619</v>
      </c>
      <c r="R528" t="s">
        <v>918</v>
      </c>
      <c r="S528">
        <v>37</v>
      </c>
      <c r="T528" s="29" t="str">
        <f t="shared" si="19"/>
        <v>2021.010B.R.Binomial_names.zip</v>
      </c>
      <c r="U528" s="29" t="str">
        <f>HYPERLINK("https://ictv.global/taxonomy/taxondetails?taxnode_id=202308522","ictv.global=202308522")</f>
        <v>ictv.global=202308522</v>
      </c>
    </row>
    <row r="529" spans="1:21">
      <c r="A529">
        <v>528</v>
      </c>
      <c r="B529" s="30" t="s">
        <v>1587</v>
      </c>
      <c r="D529" s="30" t="s">
        <v>1588</v>
      </c>
      <c r="F529" s="30" t="s">
        <v>1591</v>
      </c>
      <c r="H529" s="30" t="s">
        <v>1592</v>
      </c>
      <c r="L529" s="30" t="s">
        <v>1594</v>
      </c>
      <c r="M529" s="30" t="s">
        <v>1608</v>
      </c>
      <c r="N529" s="30" t="s">
        <v>649</v>
      </c>
      <c r="P529" s="30" t="s">
        <v>4487</v>
      </c>
      <c r="Q529" t="s">
        <v>619</v>
      </c>
      <c r="R529" t="s">
        <v>918</v>
      </c>
      <c r="S529">
        <v>37</v>
      </c>
      <c r="T529" s="29" t="str">
        <f t="shared" si="19"/>
        <v>2021.010B.R.Binomial_names.zip</v>
      </c>
      <c r="U529" s="29" t="str">
        <f>HYPERLINK("https://ictv.global/taxonomy/taxondetails?taxnode_id=202308523","ictv.global=202308523")</f>
        <v>ictv.global=202308523</v>
      </c>
    </row>
    <row r="530" spans="1:21">
      <c r="A530">
        <v>529</v>
      </c>
      <c r="B530" s="30" t="s">
        <v>1587</v>
      </c>
      <c r="D530" s="30" t="s">
        <v>1588</v>
      </c>
      <c r="F530" s="30" t="s">
        <v>1591</v>
      </c>
      <c r="H530" s="30" t="s">
        <v>1592</v>
      </c>
      <c r="L530" s="30" t="s">
        <v>1594</v>
      </c>
      <c r="M530" s="30" t="s">
        <v>1608</v>
      </c>
      <c r="N530" s="30" t="s">
        <v>649</v>
      </c>
      <c r="P530" s="30" t="s">
        <v>4488</v>
      </c>
      <c r="Q530" t="s">
        <v>619</v>
      </c>
      <c r="R530" t="s">
        <v>918</v>
      </c>
      <c r="S530">
        <v>37</v>
      </c>
      <c r="T530" s="29" t="str">
        <f t="shared" si="19"/>
        <v>2021.010B.R.Binomial_names.zip</v>
      </c>
      <c r="U530" s="29" t="str">
        <f>HYPERLINK("https://ictv.global/taxonomy/taxondetails?taxnode_id=202308519","ictv.global=202308519")</f>
        <v>ictv.global=202308519</v>
      </c>
    </row>
    <row r="531" spans="1:21">
      <c r="A531">
        <v>530</v>
      </c>
      <c r="B531" s="30" t="s">
        <v>1587</v>
      </c>
      <c r="D531" s="30" t="s">
        <v>1588</v>
      </c>
      <c r="F531" s="30" t="s">
        <v>1591</v>
      </c>
      <c r="H531" s="30" t="s">
        <v>1592</v>
      </c>
      <c r="L531" s="30" t="s">
        <v>1594</v>
      </c>
      <c r="M531" s="30" t="s">
        <v>1608</v>
      </c>
      <c r="N531" s="30" t="s">
        <v>649</v>
      </c>
      <c r="P531" s="30" t="s">
        <v>4489</v>
      </c>
      <c r="Q531" t="s">
        <v>619</v>
      </c>
      <c r="R531" t="s">
        <v>918</v>
      </c>
      <c r="S531">
        <v>37</v>
      </c>
      <c r="T531" s="29" t="str">
        <f t="shared" si="19"/>
        <v>2021.010B.R.Binomial_names.zip</v>
      </c>
      <c r="U531" s="29" t="str">
        <f>HYPERLINK("https://ictv.global/taxonomy/taxondetails?taxnode_id=202308515","ictv.global=202308515")</f>
        <v>ictv.global=202308515</v>
      </c>
    </row>
    <row r="532" spans="1:21">
      <c r="A532">
        <v>531</v>
      </c>
      <c r="B532" s="30" t="s">
        <v>1587</v>
      </c>
      <c r="D532" s="30" t="s">
        <v>1588</v>
      </c>
      <c r="F532" s="30" t="s">
        <v>1591</v>
      </c>
      <c r="H532" s="30" t="s">
        <v>1592</v>
      </c>
      <c r="L532" s="30" t="s">
        <v>1594</v>
      </c>
      <c r="M532" s="30" t="s">
        <v>1608</v>
      </c>
      <c r="N532" s="30" t="s">
        <v>649</v>
      </c>
      <c r="P532" s="30" t="s">
        <v>4490</v>
      </c>
      <c r="Q532" t="s">
        <v>619</v>
      </c>
      <c r="R532" t="s">
        <v>918</v>
      </c>
      <c r="S532">
        <v>37</v>
      </c>
      <c r="T532" s="29" t="str">
        <f t="shared" si="19"/>
        <v>2021.010B.R.Binomial_names.zip</v>
      </c>
      <c r="U532" s="29" t="str">
        <f>HYPERLINK("https://ictv.global/taxonomy/taxondetails?taxnode_id=202308516","ictv.global=202308516")</f>
        <v>ictv.global=202308516</v>
      </c>
    </row>
    <row r="533" spans="1:21">
      <c r="A533">
        <v>532</v>
      </c>
      <c r="B533" s="30" t="s">
        <v>1587</v>
      </c>
      <c r="D533" s="30" t="s">
        <v>1588</v>
      </c>
      <c r="F533" s="30" t="s">
        <v>1591</v>
      </c>
      <c r="H533" s="30" t="s">
        <v>1592</v>
      </c>
      <c r="L533" s="30" t="s">
        <v>1594</v>
      </c>
      <c r="M533" s="30" t="s">
        <v>1608</v>
      </c>
      <c r="N533" s="30" t="s">
        <v>649</v>
      </c>
      <c r="P533" s="30" t="s">
        <v>4491</v>
      </c>
      <c r="Q533" t="s">
        <v>619</v>
      </c>
      <c r="R533" t="s">
        <v>918</v>
      </c>
      <c r="S533">
        <v>37</v>
      </c>
      <c r="T533" s="29" t="str">
        <f t="shared" si="19"/>
        <v>2021.010B.R.Binomial_names.zip</v>
      </c>
      <c r="U533" s="29" t="str">
        <f>HYPERLINK("https://ictv.global/taxonomy/taxondetails?taxnode_id=202308521","ictv.global=202308521")</f>
        <v>ictv.global=202308521</v>
      </c>
    </row>
    <row r="534" spans="1:21">
      <c r="A534">
        <v>533</v>
      </c>
      <c r="B534" s="30" t="s">
        <v>1587</v>
      </c>
      <c r="D534" s="30" t="s">
        <v>1588</v>
      </c>
      <c r="F534" s="30" t="s">
        <v>1591</v>
      </c>
      <c r="H534" s="30" t="s">
        <v>1592</v>
      </c>
      <c r="L534" s="30" t="s">
        <v>1594</v>
      </c>
      <c r="M534" s="30" t="s">
        <v>1608</v>
      </c>
      <c r="N534" s="30" t="s">
        <v>649</v>
      </c>
      <c r="P534" s="30" t="s">
        <v>4492</v>
      </c>
      <c r="Q534" t="s">
        <v>619</v>
      </c>
      <c r="R534" t="s">
        <v>918</v>
      </c>
      <c r="S534">
        <v>37</v>
      </c>
      <c r="T534" s="29" t="str">
        <f t="shared" si="19"/>
        <v>2021.010B.R.Binomial_names.zip</v>
      </c>
      <c r="U534" s="29" t="str">
        <f>HYPERLINK("https://ictv.global/taxonomy/taxondetails?taxnode_id=202308520","ictv.global=202308520")</f>
        <v>ictv.global=202308520</v>
      </c>
    </row>
    <row r="535" spans="1:21">
      <c r="A535">
        <v>534</v>
      </c>
      <c r="B535" s="30" t="s">
        <v>1587</v>
      </c>
      <c r="D535" s="30" t="s">
        <v>1588</v>
      </c>
      <c r="F535" s="30" t="s">
        <v>1591</v>
      </c>
      <c r="H535" s="30" t="s">
        <v>1592</v>
      </c>
      <c r="L535" s="30" t="s">
        <v>1594</v>
      </c>
      <c r="M535" s="30" t="s">
        <v>1608</v>
      </c>
      <c r="N535" s="30" t="s">
        <v>649</v>
      </c>
      <c r="P535" s="30" t="s">
        <v>4493</v>
      </c>
      <c r="Q535" t="s">
        <v>619</v>
      </c>
      <c r="R535" t="s">
        <v>918</v>
      </c>
      <c r="S535">
        <v>37</v>
      </c>
      <c r="T535" s="29" t="str">
        <f t="shared" ref="T535:T542" si="20">HYPERLINK("https://ictv.global/ictv/proposals/2021.010B.R.Binomial_names.zip","2021.010B.R.Binomial_names.zip")</f>
        <v>2021.010B.R.Binomial_names.zip</v>
      </c>
      <c r="U535" s="29" t="str">
        <f>HYPERLINK("https://ictv.global/taxonomy/taxondetails?taxnode_id=202308524","ictv.global=202308524")</f>
        <v>ictv.global=202308524</v>
      </c>
    </row>
    <row r="536" spans="1:21">
      <c r="A536">
        <v>535</v>
      </c>
      <c r="B536" s="30" t="s">
        <v>1587</v>
      </c>
      <c r="D536" s="30" t="s">
        <v>1588</v>
      </c>
      <c r="F536" s="30" t="s">
        <v>1591</v>
      </c>
      <c r="H536" s="30" t="s">
        <v>1592</v>
      </c>
      <c r="L536" s="30" t="s">
        <v>1594</v>
      </c>
      <c r="M536" s="30" t="s">
        <v>1608</v>
      </c>
      <c r="N536" s="30" t="s">
        <v>649</v>
      </c>
      <c r="P536" s="30" t="s">
        <v>4494</v>
      </c>
      <c r="Q536" t="s">
        <v>619</v>
      </c>
      <c r="R536" t="s">
        <v>918</v>
      </c>
      <c r="S536">
        <v>37</v>
      </c>
      <c r="T536" s="29" t="str">
        <f t="shared" si="20"/>
        <v>2021.010B.R.Binomial_names.zip</v>
      </c>
      <c r="U536" s="29" t="str">
        <f>HYPERLINK("https://ictv.global/taxonomy/taxondetails?taxnode_id=202308525","ictv.global=202308525")</f>
        <v>ictv.global=202308525</v>
      </c>
    </row>
    <row r="537" spans="1:21">
      <c r="A537">
        <v>536</v>
      </c>
      <c r="B537" s="30" t="s">
        <v>1587</v>
      </c>
      <c r="D537" s="30" t="s">
        <v>1588</v>
      </c>
      <c r="F537" s="30" t="s">
        <v>1591</v>
      </c>
      <c r="H537" s="30" t="s">
        <v>1592</v>
      </c>
      <c r="L537" s="30" t="s">
        <v>1594</v>
      </c>
      <c r="M537" s="30" t="s">
        <v>1608</v>
      </c>
      <c r="N537" s="30" t="s">
        <v>649</v>
      </c>
      <c r="P537" s="30" t="s">
        <v>4495</v>
      </c>
      <c r="Q537" t="s">
        <v>619</v>
      </c>
      <c r="R537" t="s">
        <v>918</v>
      </c>
      <c r="S537">
        <v>37</v>
      </c>
      <c r="T537" s="29" t="str">
        <f t="shared" si="20"/>
        <v>2021.010B.R.Binomial_names.zip</v>
      </c>
      <c r="U537" s="29" t="str">
        <f>HYPERLINK("https://ictv.global/taxonomy/taxondetails?taxnode_id=202300571","ictv.global=202300571")</f>
        <v>ictv.global=202300571</v>
      </c>
    </row>
    <row r="538" spans="1:21">
      <c r="A538">
        <v>537</v>
      </c>
      <c r="B538" s="30" t="s">
        <v>1587</v>
      </c>
      <c r="D538" s="30" t="s">
        <v>1588</v>
      </c>
      <c r="F538" s="30" t="s">
        <v>1591</v>
      </c>
      <c r="H538" s="30" t="s">
        <v>1592</v>
      </c>
      <c r="L538" s="30" t="s">
        <v>1594</v>
      </c>
      <c r="M538" s="30" t="s">
        <v>1608</v>
      </c>
      <c r="N538" s="30" t="s">
        <v>649</v>
      </c>
      <c r="P538" s="30" t="s">
        <v>4496</v>
      </c>
      <c r="Q538" t="s">
        <v>619</v>
      </c>
      <c r="R538" t="s">
        <v>918</v>
      </c>
      <c r="S538">
        <v>37</v>
      </c>
      <c r="T538" s="29" t="str">
        <f t="shared" si="20"/>
        <v>2021.010B.R.Binomial_names.zip</v>
      </c>
      <c r="U538" s="29" t="str">
        <f>HYPERLINK("https://ictv.global/taxonomy/taxondetails?taxnode_id=202308518","ictv.global=202308518")</f>
        <v>ictv.global=202308518</v>
      </c>
    </row>
    <row r="539" spans="1:21">
      <c r="A539">
        <v>538</v>
      </c>
      <c r="B539" s="30" t="s">
        <v>1587</v>
      </c>
      <c r="D539" s="30" t="s">
        <v>1588</v>
      </c>
      <c r="F539" s="30" t="s">
        <v>1591</v>
      </c>
      <c r="H539" s="30" t="s">
        <v>1592</v>
      </c>
      <c r="L539" s="30" t="s">
        <v>1594</v>
      </c>
      <c r="M539" s="30" t="s">
        <v>1608</v>
      </c>
      <c r="N539" s="30" t="s">
        <v>649</v>
      </c>
      <c r="P539" s="30" t="s">
        <v>4497</v>
      </c>
      <c r="Q539" t="s">
        <v>619</v>
      </c>
      <c r="R539" t="s">
        <v>918</v>
      </c>
      <c r="S539">
        <v>37</v>
      </c>
      <c r="T539" s="29" t="str">
        <f t="shared" si="20"/>
        <v>2021.010B.R.Binomial_names.zip</v>
      </c>
      <c r="U539" s="29" t="str">
        <f>HYPERLINK("https://ictv.global/taxonomy/taxondetails?taxnode_id=202308517","ictv.global=202308517")</f>
        <v>ictv.global=202308517</v>
      </c>
    </row>
    <row r="540" spans="1:21">
      <c r="A540">
        <v>539</v>
      </c>
      <c r="B540" s="30" t="s">
        <v>1587</v>
      </c>
      <c r="D540" s="30" t="s">
        <v>1588</v>
      </c>
      <c r="F540" s="30" t="s">
        <v>1591</v>
      </c>
      <c r="H540" s="30" t="s">
        <v>1592</v>
      </c>
      <c r="L540" s="30" t="s">
        <v>1594</v>
      </c>
      <c r="M540" s="30" t="s">
        <v>1608</v>
      </c>
      <c r="N540" s="30" t="s">
        <v>649</v>
      </c>
      <c r="P540" s="30" t="s">
        <v>4498</v>
      </c>
      <c r="Q540" t="s">
        <v>619</v>
      </c>
      <c r="R540" t="s">
        <v>918</v>
      </c>
      <c r="S540">
        <v>37</v>
      </c>
      <c r="T540" s="29" t="str">
        <f t="shared" si="20"/>
        <v>2021.010B.R.Binomial_names.zip</v>
      </c>
      <c r="U540" s="29" t="str">
        <f>HYPERLINK("https://ictv.global/taxonomy/taxondetails?taxnode_id=202308528","ictv.global=202308528")</f>
        <v>ictv.global=202308528</v>
      </c>
    </row>
    <row r="541" spans="1:21">
      <c r="A541">
        <v>540</v>
      </c>
      <c r="B541" s="30" t="s">
        <v>1587</v>
      </c>
      <c r="D541" s="30" t="s">
        <v>1588</v>
      </c>
      <c r="F541" s="30" t="s">
        <v>1591</v>
      </c>
      <c r="H541" s="30" t="s">
        <v>1592</v>
      </c>
      <c r="L541" s="30" t="s">
        <v>1594</v>
      </c>
      <c r="M541" s="30" t="s">
        <v>1608</v>
      </c>
      <c r="N541" s="30" t="s">
        <v>649</v>
      </c>
      <c r="P541" s="30" t="s">
        <v>4499</v>
      </c>
      <c r="Q541" t="s">
        <v>619</v>
      </c>
      <c r="R541" t="s">
        <v>918</v>
      </c>
      <c r="S541">
        <v>37</v>
      </c>
      <c r="T541" s="29" t="str">
        <f t="shared" si="20"/>
        <v>2021.010B.R.Binomial_names.zip</v>
      </c>
      <c r="U541" s="29" t="str">
        <f>HYPERLINK("https://ictv.global/taxonomy/taxondetails?taxnode_id=202308529","ictv.global=202308529")</f>
        <v>ictv.global=202308529</v>
      </c>
    </row>
    <row r="542" spans="1:21">
      <c r="A542">
        <v>541</v>
      </c>
      <c r="B542" s="30" t="s">
        <v>1587</v>
      </c>
      <c r="D542" s="30" t="s">
        <v>1588</v>
      </c>
      <c r="F542" s="30" t="s">
        <v>1591</v>
      </c>
      <c r="H542" s="30" t="s">
        <v>1592</v>
      </c>
      <c r="L542" s="30" t="s">
        <v>1594</v>
      </c>
      <c r="M542" s="30" t="s">
        <v>1608</v>
      </c>
      <c r="N542" s="30" t="s">
        <v>1610</v>
      </c>
      <c r="P542" s="30" t="s">
        <v>4500</v>
      </c>
      <c r="Q542" t="s">
        <v>619</v>
      </c>
      <c r="R542" t="s">
        <v>918</v>
      </c>
      <c r="S542">
        <v>37</v>
      </c>
      <c r="T542" s="29" t="str">
        <f t="shared" si="20"/>
        <v>2021.010B.R.Binomial_names.zip</v>
      </c>
      <c r="U542" s="29" t="str">
        <f>HYPERLINK("https://ictv.global/taxonomy/taxondetails?taxnode_id=202300570","ictv.global=202300570")</f>
        <v>ictv.global=202300570</v>
      </c>
    </row>
    <row r="543" spans="1:21">
      <c r="A543">
        <v>542</v>
      </c>
      <c r="B543" s="30" t="s">
        <v>1587</v>
      </c>
      <c r="D543" s="30" t="s">
        <v>1588</v>
      </c>
      <c r="F543" s="30" t="s">
        <v>1591</v>
      </c>
      <c r="H543" s="30" t="s">
        <v>1592</v>
      </c>
      <c r="L543" s="30" t="s">
        <v>1594</v>
      </c>
      <c r="M543" s="30" t="s">
        <v>1608</v>
      </c>
      <c r="N543" s="30" t="s">
        <v>4501</v>
      </c>
      <c r="P543" s="30" t="s">
        <v>4502</v>
      </c>
      <c r="Q543" t="s">
        <v>619</v>
      </c>
      <c r="R543" t="s">
        <v>920</v>
      </c>
      <c r="S543">
        <v>38</v>
      </c>
      <c r="T543" s="29" t="str">
        <f>HYPERLINK("https://ictv.global/ictv/proposals/2022.030B.Error_correction.zip","2022.030B.Error_correction.zip")</f>
        <v>2022.030B.Error_correction.zip</v>
      </c>
      <c r="U543" s="29" t="str">
        <f>HYPERLINK("https://ictv.global/taxonomy/taxondetails?taxnode_id=202308532","ictv.global=202308532")</f>
        <v>ictv.global=202308532</v>
      </c>
    </row>
    <row r="544" spans="1:21">
      <c r="A544">
        <v>543</v>
      </c>
      <c r="B544" s="30" t="s">
        <v>1587</v>
      </c>
      <c r="D544" s="30" t="s">
        <v>1588</v>
      </c>
      <c r="F544" s="30" t="s">
        <v>1591</v>
      </c>
      <c r="H544" s="30" t="s">
        <v>1592</v>
      </c>
      <c r="L544" s="30" t="s">
        <v>1594</v>
      </c>
      <c r="M544" s="30" t="s">
        <v>1611</v>
      </c>
      <c r="N544" s="30" t="s">
        <v>1612</v>
      </c>
      <c r="P544" s="30" t="s">
        <v>4503</v>
      </c>
      <c r="Q544" t="s">
        <v>619</v>
      </c>
      <c r="R544" t="s">
        <v>918</v>
      </c>
      <c r="S544">
        <v>37</v>
      </c>
      <c r="T544" s="29" t="str">
        <f t="shared" ref="T544:T575" si="21">HYPERLINK("https://ictv.global/ictv/proposals/2021.010B.R.Binomial_names.zip","2021.010B.R.Binomial_names.zip")</f>
        <v>2021.010B.R.Binomial_names.zip</v>
      </c>
      <c r="U544" s="29" t="str">
        <f>HYPERLINK("https://ictv.global/taxonomy/taxondetails?taxnode_id=202308604","ictv.global=202308604")</f>
        <v>ictv.global=202308604</v>
      </c>
    </row>
    <row r="545" spans="1:21">
      <c r="A545">
        <v>544</v>
      </c>
      <c r="B545" s="30" t="s">
        <v>1587</v>
      </c>
      <c r="D545" s="30" t="s">
        <v>1588</v>
      </c>
      <c r="F545" s="30" t="s">
        <v>1591</v>
      </c>
      <c r="H545" s="30" t="s">
        <v>1592</v>
      </c>
      <c r="L545" s="30" t="s">
        <v>1594</v>
      </c>
      <c r="M545" s="30" t="s">
        <v>1611</v>
      </c>
      <c r="N545" s="30" t="s">
        <v>1612</v>
      </c>
      <c r="P545" s="30" t="s">
        <v>4504</v>
      </c>
      <c r="Q545" t="s">
        <v>619</v>
      </c>
      <c r="R545" t="s">
        <v>918</v>
      </c>
      <c r="S545">
        <v>37</v>
      </c>
      <c r="T545" s="29" t="str">
        <f t="shared" si="21"/>
        <v>2021.010B.R.Binomial_names.zip</v>
      </c>
      <c r="U545" s="29" t="str">
        <f>HYPERLINK("https://ictv.global/taxonomy/taxondetails?taxnode_id=202308602","ictv.global=202308602")</f>
        <v>ictv.global=202308602</v>
      </c>
    </row>
    <row r="546" spans="1:21">
      <c r="A546">
        <v>545</v>
      </c>
      <c r="B546" s="30" t="s">
        <v>1587</v>
      </c>
      <c r="D546" s="30" t="s">
        <v>1588</v>
      </c>
      <c r="F546" s="30" t="s">
        <v>1591</v>
      </c>
      <c r="H546" s="30" t="s">
        <v>1592</v>
      </c>
      <c r="L546" s="30" t="s">
        <v>1594</v>
      </c>
      <c r="M546" s="30" t="s">
        <v>1611</v>
      </c>
      <c r="N546" s="30" t="s">
        <v>1612</v>
      </c>
      <c r="P546" s="30" t="s">
        <v>4505</v>
      </c>
      <c r="Q546" t="s">
        <v>619</v>
      </c>
      <c r="R546" t="s">
        <v>918</v>
      </c>
      <c r="S546">
        <v>37</v>
      </c>
      <c r="T546" s="29" t="str">
        <f t="shared" si="21"/>
        <v>2021.010B.R.Binomial_names.zip</v>
      </c>
      <c r="U546" s="29" t="str">
        <f>HYPERLINK("https://ictv.global/taxonomy/taxondetails?taxnode_id=202308603","ictv.global=202308603")</f>
        <v>ictv.global=202308603</v>
      </c>
    </row>
    <row r="547" spans="1:21">
      <c r="A547">
        <v>546</v>
      </c>
      <c r="B547" s="30" t="s">
        <v>1587</v>
      </c>
      <c r="D547" s="30" t="s">
        <v>1588</v>
      </c>
      <c r="F547" s="30" t="s">
        <v>1591</v>
      </c>
      <c r="H547" s="30" t="s">
        <v>1592</v>
      </c>
      <c r="L547" s="30" t="s">
        <v>1594</v>
      </c>
      <c r="M547" s="30" t="s">
        <v>1611</v>
      </c>
      <c r="N547" s="30" t="s">
        <v>1613</v>
      </c>
      <c r="P547" s="30" t="s">
        <v>4506</v>
      </c>
      <c r="Q547" t="s">
        <v>619</v>
      </c>
      <c r="R547" t="s">
        <v>918</v>
      </c>
      <c r="S547">
        <v>37</v>
      </c>
      <c r="T547" s="29" t="str">
        <f t="shared" si="21"/>
        <v>2021.010B.R.Binomial_names.zip</v>
      </c>
      <c r="U547" s="29" t="str">
        <f>HYPERLINK("https://ictv.global/taxonomy/taxondetails?taxnode_id=202308612","ictv.global=202308612")</f>
        <v>ictv.global=202308612</v>
      </c>
    </row>
    <row r="548" spans="1:21">
      <c r="A548">
        <v>547</v>
      </c>
      <c r="B548" s="30" t="s">
        <v>1587</v>
      </c>
      <c r="D548" s="30" t="s">
        <v>1588</v>
      </c>
      <c r="F548" s="30" t="s">
        <v>1591</v>
      </c>
      <c r="H548" s="30" t="s">
        <v>1592</v>
      </c>
      <c r="L548" s="30" t="s">
        <v>1594</v>
      </c>
      <c r="M548" s="30" t="s">
        <v>1611</v>
      </c>
      <c r="N548" s="30" t="s">
        <v>1614</v>
      </c>
      <c r="P548" s="30" t="s">
        <v>4507</v>
      </c>
      <c r="Q548" t="s">
        <v>619</v>
      </c>
      <c r="R548" t="s">
        <v>918</v>
      </c>
      <c r="S548">
        <v>37</v>
      </c>
      <c r="T548" s="29" t="str">
        <f t="shared" si="21"/>
        <v>2021.010B.R.Binomial_names.zip</v>
      </c>
      <c r="U548" s="29" t="str">
        <f>HYPERLINK("https://ictv.global/taxonomy/taxondetails?taxnode_id=202308597","ictv.global=202308597")</f>
        <v>ictv.global=202308597</v>
      </c>
    </row>
    <row r="549" spans="1:21">
      <c r="A549">
        <v>548</v>
      </c>
      <c r="B549" s="30" t="s">
        <v>1587</v>
      </c>
      <c r="D549" s="30" t="s">
        <v>1588</v>
      </c>
      <c r="F549" s="30" t="s">
        <v>1591</v>
      </c>
      <c r="H549" s="30" t="s">
        <v>1592</v>
      </c>
      <c r="L549" s="30" t="s">
        <v>1594</v>
      </c>
      <c r="M549" s="30" t="s">
        <v>1611</v>
      </c>
      <c r="N549" s="30" t="s">
        <v>1614</v>
      </c>
      <c r="P549" s="30" t="s">
        <v>4508</v>
      </c>
      <c r="Q549" t="s">
        <v>619</v>
      </c>
      <c r="R549" t="s">
        <v>918</v>
      </c>
      <c r="S549">
        <v>37</v>
      </c>
      <c r="T549" s="29" t="str">
        <f t="shared" si="21"/>
        <v>2021.010B.R.Binomial_names.zip</v>
      </c>
      <c r="U549" s="29" t="str">
        <f>HYPERLINK("https://ictv.global/taxonomy/taxondetails?taxnode_id=202308596","ictv.global=202308596")</f>
        <v>ictv.global=202308596</v>
      </c>
    </row>
    <row r="550" spans="1:21">
      <c r="A550">
        <v>549</v>
      </c>
      <c r="B550" s="30" t="s">
        <v>1587</v>
      </c>
      <c r="D550" s="30" t="s">
        <v>1588</v>
      </c>
      <c r="F550" s="30" t="s">
        <v>1591</v>
      </c>
      <c r="H550" s="30" t="s">
        <v>1592</v>
      </c>
      <c r="L550" s="30" t="s">
        <v>1594</v>
      </c>
      <c r="M550" s="30" t="s">
        <v>1611</v>
      </c>
      <c r="N550" s="30" t="s">
        <v>1615</v>
      </c>
      <c r="P550" s="30" t="s">
        <v>4509</v>
      </c>
      <c r="Q550" t="s">
        <v>619</v>
      </c>
      <c r="R550" t="s">
        <v>918</v>
      </c>
      <c r="S550">
        <v>37</v>
      </c>
      <c r="T550" s="29" t="str">
        <f t="shared" si="21"/>
        <v>2021.010B.R.Binomial_names.zip</v>
      </c>
      <c r="U550" s="29" t="str">
        <f>HYPERLINK("https://ictv.global/taxonomy/taxondetails?taxnode_id=202308606","ictv.global=202308606")</f>
        <v>ictv.global=202308606</v>
      </c>
    </row>
    <row r="551" spans="1:21">
      <c r="A551">
        <v>550</v>
      </c>
      <c r="B551" s="30" t="s">
        <v>1587</v>
      </c>
      <c r="D551" s="30" t="s">
        <v>1588</v>
      </c>
      <c r="F551" s="30" t="s">
        <v>1591</v>
      </c>
      <c r="H551" s="30" t="s">
        <v>1592</v>
      </c>
      <c r="L551" s="30" t="s">
        <v>1594</v>
      </c>
      <c r="M551" s="30" t="s">
        <v>1611</v>
      </c>
      <c r="N551" s="30" t="s">
        <v>1615</v>
      </c>
      <c r="P551" s="30" t="s">
        <v>4510</v>
      </c>
      <c r="Q551" t="s">
        <v>619</v>
      </c>
      <c r="R551" t="s">
        <v>918</v>
      </c>
      <c r="S551">
        <v>37</v>
      </c>
      <c r="T551" s="29" t="str">
        <f t="shared" si="21"/>
        <v>2021.010B.R.Binomial_names.zip</v>
      </c>
      <c r="U551" s="29" t="str">
        <f>HYPERLINK("https://ictv.global/taxonomy/taxondetails?taxnode_id=202308607","ictv.global=202308607")</f>
        <v>ictv.global=202308607</v>
      </c>
    </row>
    <row r="552" spans="1:21">
      <c r="A552">
        <v>551</v>
      </c>
      <c r="B552" s="30" t="s">
        <v>1587</v>
      </c>
      <c r="D552" s="30" t="s">
        <v>1588</v>
      </c>
      <c r="F552" s="30" t="s">
        <v>1591</v>
      </c>
      <c r="H552" s="30" t="s">
        <v>1592</v>
      </c>
      <c r="L552" s="30" t="s">
        <v>1594</v>
      </c>
      <c r="M552" s="30" t="s">
        <v>1611</v>
      </c>
      <c r="N552" s="30" t="s">
        <v>1616</v>
      </c>
      <c r="P552" s="30" t="s">
        <v>4511</v>
      </c>
      <c r="Q552" t="s">
        <v>619</v>
      </c>
      <c r="R552" t="s">
        <v>918</v>
      </c>
      <c r="S552">
        <v>37</v>
      </c>
      <c r="T552" s="29" t="str">
        <f t="shared" si="21"/>
        <v>2021.010B.R.Binomial_names.zip</v>
      </c>
      <c r="U552" s="29" t="str">
        <f>HYPERLINK("https://ictv.global/taxonomy/taxondetails?taxnode_id=202308616","ictv.global=202308616")</f>
        <v>ictv.global=202308616</v>
      </c>
    </row>
    <row r="553" spans="1:21">
      <c r="A553">
        <v>552</v>
      </c>
      <c r="B553" s="30" t="s">
        <v>1587</v>
      </c>
      <c r="D553" s="30" t="s">
        <v>1588</v>
      </c>
      <c r="F553" s="30" t="s">
        <v>1591</v>
      </c>
      <c r="H553" s="30" t="s">
        <v>1592</v>
      </c>
      <c r="L553" s="30" t="s">
        <v>1594</v>
      </c>
      <c r="M553" s="30" t="s">
        <v>1611</v>
      </c>
      <c r="N553" s="30" t="s">
        <v>1617</v>
      </c>
      <c r="P553" s="30" t="s">
        <v>4512</v>
      </c>
      <c r="Q553" t="s">
        <v>619</v>
      </c>
      <c r="R553" t="s">
        <v>918</v>
      </c>
      <c r="S553">
        <v>37</v>
      </c>
      <c r="T553" s="29" t="str">
        <f t="shared" si="21"/>
        <v>2021.010B.R.Binomial_names.zip</v>
      </c>
      <c r="U553" s="29" t="str">
        <f>HYPERLINK("https://ictv.global/taxonomy/taxondetails?taxnode_id=202308614","ictv.global=202308614")</f>
        <v>ictv.global=202308614</v>
      </c>
    </row>
    <row r="554" spans="1:21">
      <c r="A554">
        <v>553</v>
      </c>
      <c r="B554" s="30" t="s">
        <v>1587</v>
      </c>
      <c r="D554" s="30" t="s">
        <v>1588</v>
      </c>
      <c r="F554" s="30" t="s">
        <v>1591</v>
      </c>
      <c r="H554" s="30" t="s">
        <v>1592</v>
      </c>
      <c r="L554" s="30" t="s">
        <v>1594</v>
      </c>
      <c r="M554" s="30" t="s">
        <v>1611</v>
      </c>
      <c r="N554" s="30" t="s">
        <v>1618</v>
      </c>
      <c r="P554" s="30" t="s">
        <v>4513</v>
      </c>
      <c r="Q554" t="s">
        <v>619</v>
      </c>
      <c r="R554" t="s">
        <v>918</v>
      </c>
      <c r="S554">
        <v>37</v>
      </c>
      <c r="T554" s="29" t="str">
        <f t="shared" si="21"/>
        <v>2021.010B.R.Binomial_names.zip</v>
      </c>
      <c r="U554" s="29" t="str">
        <f>HYPERLINK("https://ictv.global/taxonomy/taxondetails?taxnode_id=202308599","ictv.global=202308599")</f>
        <v>ictv.global=202308599</v>
      </c>
    </row>
    <row r="555" spans="1:21">
      <c r="A555">
        <v>554</v>
      </c>
      <c r="B555" s="30" t="s">
        <v>1587</v>
      </c>
      <c r="D555" s="30" t="s">
        <v>1588</v>
      </c>
      <c r="F555" s="30" t="s">
        <v>1591</v>
      </c>
      <c r="H555" s="30" t="s">
        <v>1592</v>
      </c>
      <c r="L555" s="30" t="s">
        <v>1594</v>
      </c>
      <c r="M555" s="30" t="s">
        <v>1611</v>
      </c>
      <c r="N555" s="30" t="s">
        <v>1618</v>
      </c>
      <c r="P555" s="30" t="s">
        <v>4514</v>
      </c>
      <c r="Q555" t="s">
        <v>619</v>
      </c>
      <c r="R555" t="s">
        <v>918</v>
      </c>
      <c r="S555">
        <v>37</v>
      </c>
      <c r="T555" s="29" t="str">
        <f t="shared" si="21"/>
        <v>2021.010B.R.Binomial_names.zip</v>
      </c>
      <c r="U555" s="29" t="str">
        <f>HYPERLINK("https://ictv.global/taxonomy/taxondetails?taxnode_id=202308600","ictv.global=202308600")</f>
        <v>ictv.global=202308600</v>
      </c>
    </row>
    <row r="556" spans="1:21">
      <c r="A556">
        <v>555</v>
      </c>
      <c r="B556" s="30" t="s">
        <v>1587</v>
      </c>
      <c r="D556" s="30" t="s">
        <v>1588</v>
      </c>
      <c r="F556" s="30" t="s">
        <v>1591</v>
      </c>
      <c r="H556" s="30" t="s">
        <v>1592</v>
      </c>
      <c r="L556" s="30" t="s">
        <v>1594</v>
      </c>
      <c r="M556" s="30" t="s">
        <v>1611</v>
      </c>
      <c r="N556" s="30" t="s">
        <v>1619</v>
      </c>
      <c r="P556" s="30" t="s">
        <v>4515</v>
      </c>
      <c r="Q556" t="s">
        <v>619</v>
      </c>
      <c r="R556" t="s">
        <v>918</v>
      </c>
      <c r="S556">
        <v>37</v>
      </c>
      <c r="T556" s="29" t="str">
        <f t="shared" si="21"/>
        <v>2021.010B.R.Binomial_names.zip</v>
      </c>
      <c r="U556" s="29" t="str">
        <f>HYPERLINK("https://ictv.global/taxonomy/taxondetails?taxnode_id=202308609","ictv.global=202308609")</f>
        <v>ictv.global=202308609</v>
      </c>
    </row>
    <row r="557" spans="1:21">
      <c r="A557">
        <v>556</v>
      </c>
      <c r="B557" s="30" t="s">
        <v>1587</v>
      </c>
      <c r="D557" s="30" t="s">
        <v>1588</v>
      </c>
      <c r="F557" s="30" t="s">
        <v>1591</v>
      </c>
      <c r="H557" s="30" t="s">
        <v>1592</v>
      </c>
      <c r="L557" s="30" t="s">
        <v>1594</v>
      </c>
      <c r="M557" s="30" t="s">
        <v>1611</v>
      </c>
      <c r="N557" s="30" t="s">
        <v>1619</v>
      </c>
      <c r="P557" s="30" t="s">
        <v>4516</v>
      </c>
      <c r="Q557" t="s">
        <v>619</v>
      </c>
      <c r="R557" t="s">
        <v>918</v>
      </c>
      <c r="S557">
        <v>37</v>
      </c>
      <c r="T557" s="29" t="str">
        <f t="shared" si="21"/>
        <v>2021.010B.R.Binomial_names.zip</v>
      </c>
      <c r="U557" s="29" t="str">
        <f>HYPERLINK("https://ictv.global/taxonomy/taxondetails?taxnode_id=202308610","ictv.global=202308610")</f>
        <v>ictv.global=202308610</v>
      </c>
    </row>
    <row r="558" spans="1:21">
      <c r="A558">
        <v>557</v>
      </c>
      <c r="B558" s="30" t="s">
        <v>1587</v>
      </c>
      <c r="D558" s="30" t="s">
        <v>1588</v>
      </c>
      <c r="F558" s="30" t="s">
        <v>1591</v>
      </c>
      <c r="H558" s="30" t="s">
        <v>1592</v>
      </c>
      <c r="L558" s="30" t="s">
        <v>1594</v>
      </c>
      <c r="M558" s="30" t="s">
        <v>1620</v>
      </c>
      <c r="N558" s="30" t="s">
        <v>1621</v>
      </c>
      <c r="P558" s="30" t="s">
        <v>4517</v>
      </c>
      <c r="Q558" t="s">
        <v>619</v>
      </c>
      <c r="R558" t="s">
        <v>918</v>
      </c>
      <c r="S558">
        <v>37</v>
      </c>
      <c r="T558" s="29" t="str">
        <f t="shared" si="21"/>
        <v>2021.010B.R.Binomial_names.zip</v>
      </c>
      <c r="U558" s="29" t="str">
        <f>HYPERLINK("https://ictv.global/taxonomy/taxondetails?taxnode_id=202308579","ictv.global=202308579")</f>
        <v>ictv.global=202308579</v>
      </c>
    </row>
    <row r="559" spans="1:21">
      <c r="A559">
        <v>558</v>
      </c>
      <c r="B559" s="30" t="s">
        <v>1587</v>
      </c>
      <c r="D559" s="30" t="s">
        <v>1588</v>
      </c>
      <c r="F559" s="30" t="s">
        <v>1591</v>
      </c>
      <c r="H559" s="30" t="s">
        <v>1592</v>
      </c>
      <c r="L559" s="30" t="s">
        <v>1594</v>
      </c>
      <c r="M559" s="30" t="s">
        <v>1620</v>
      </c>
      <c r="N559" s="30" t="s">
        <v>1621</v>
      </c>
      <c r="P559" s="30" t="s">
        <v>4518</v>
      </c>
      <c r="Q559" t="s">
        <v>619</v>
      </c>
      <c r="R559" t="s">
        <v>918</v>
      </c>
      <c r="S559">
        <v>37</v>
      </c>
      <c r="T559" s="29" t="str">
        <f t="shared" si="21"/>
        <v>2021.010B.R.Binomial_names.zip</v>
      </c>
      <c r="U559" s="29" t="str">
        <f>HYPERLINK("https://ictv.global/taxonomy/taxondetails?taxnode_id=202308576","ictv.global=202308576")</f>
        <v>ictv.global=202308576</v>
      </c>
    </row>
    <row r="560" spans="1:21">
      <c r="A560">
        <v>559</v>
      </c>
      <c r="B560" s="30" t="s">
        <v>1587</v>
      </c>
      <c r="D560" s="30" t="s">
        <v>1588</v>
      </c>
      <c r="F560" s="30" t="s">
        <v>1591</v>
      </c>
      <c r="H560" s="30" t="s">
        <v>1592</v>
      </c>
      <c r="L560" s="30" t="s">
        <v>1594</v>
      </c>
      <c r="M560" s="30" t="s">
        <v>1620</v>
      </c>
      <c r="N560" s="30" t="s">
        <v>1621</v>
      </c>
      <c r="P560" s="30" t="s">
        <v>4519</v>
      </c>
      <c r="Q560" t="s">
        <v>619</v>
      </c>
      <c r="R560" t="s">
        <v>918</v>
      </c>
      <c r="S560">
        <v>37</v>
      </c>
      <c r="T560" s="29" t="str">
        <f t="shared" si="21"/>
        <v>2021.010B.R.Binomial_names.zip</v>
      </c>
      <c r="U560" s="29" t="str">
        <f>HYPERLINK("https://ictv.global/taxonomy/taxondetails?taxnode_id=202308578","ictv.global=202308578")</f>
        <v>ictv.global=202308578</v>
      </c>
    </row>
    <row r="561" spans="1:21">
      <c r="A561">
        <v>560</v>
      </c>
      <c r="B561" s="30" t="s">
        <v>1587</v>
      </c>
      <c r="D561" s="30" t="s">
        <v>1588</v>
      </c>
      <c r="F561" s="30" t="s">
        <v>1591</v>
      </c>
      <c r="H561" s="30" t="s">
        <v>1592</v>
      </c>
      <c r="L561" s="30" t="s">
        <v>1594</v>
      </c>
      <c r="M561" s="30" t="s">
        <v>1620</v>
      </c>
      <c r="N561" s="30" t="s">
        <v>1621</v>
      </c>
      <c r="P561" s="30" t="s">
        <v>4520</v>
      </c>
      <c r="Q561" t="s">
        <v>619</v>
      </c>
      <c r="R561" t="s">
        <v>918</v>
      </c>
      <c r="S561">
        <v>37</v>
      </c>
      <c r="T561" s="29" t="str">
        <f t="shared" si="21"/>
        <v>2021.010B.R.Binomial_names.zip</v>
      </c>
      <c r="U561" s="29" t="str">
        <f>HYPERLINK("https://ictv.global/taxonomy/taxondetails?taxnode_id=202308577","ictv.global=202308577")</f>
        <v>ictv.global=202308577</v>
      </c>
    </row>
    <row r="562" spans="1:21">
      <c r="A562">
        <v>561</v>
      </c>
      <c r="B562" s="30" t="s">
        <v>1587</v>
      </c>
      <c r="D562" s="30" t="s">
        <v>1588</v>
      </c>
      <c r="F562" s="30" t="s">
        <v>1591</v>
      </c>
      <c r="H562" s="30" t="s">
        <v>1592</v>
      </c>
      <c r="L562" s="30" t="s">
        <v>1594</v>
      </c>
      <c r="M562" s="30" t="s">
        <v>1620</v>
      </c>
      <c r="N562" s="30" t="s">
        <v>1622</v>
      </c>
      <c r="P562" s="30" t="s">
        <v>4521</v>
      </c>
      <c r="Q562" t="s">
        <v>619</v>
      </c>
      <c r="R562" t="s">
        <v>918</v>
      </c>
      <c r="S562">
        <v>37</v>
      </c>
      <c r="T562" s="29" t="str">
        <f t="shared" si="21"/>
        <v>2021.010B.R.Binomial_names.zip</v>
      </c>
      <c r="U562" s="29" t="str">
        <f>HYPERLINK("https://ictv.global/taxonomy/taxondetails?taxnode_id=202308574","ictv.global=202308574")</f>
        <v>ictv.global=202308574</v>
      </c>
    </row>
    <row r="563" spans="1:21">
      <c r="A563">
        <v>562</v>
      </c>
      <c r="B563" s="30" t="s">
        <v>1587</v>
      </c>
      <c r="D563" s="30" t="s">
        <v>1588</v>
      </c>
      <c r="F563" s="30" t="s">
        <v>1591</v>
      </c>
      <c r="H563" s="30" t="s">
        <v>1592</v>
      </c>
      <c r="L563" s="30" t="s">
        <v>1594</v>
      </c>
      <c r="M563" s="30" t="s">
        <v>1620</v>
      </c>
      <c r="N563" s="30" t="s">
        <v>1623</v>
      </c>
      <c r="P563" s="30" t="s">
        <v>4522</v>
      </c>
      <c r="Q563" t="s">
        <v>619</v>
      </c>
      <c r="R563" t="s">
        <v>918</v>
      </c>
      <c r="S563">
        <v>37</v>
      </c>
      <c r="T563" s="29" t="str">
        <f t="shared" si="21"/>
        <v>2021.010B.R.Binomial_names.zip</v>
      </c>
      <c r="U563" s="29" t="str">
        <f>HYPERLINK("https://ictv.global/taxonomy/taxondetails?taxnode_id=202300577","ictv.global=202300577")</f>
        <v>ictv.global=202300577</v>
      </c>
    </row>
    <row r="564" spans="1:21">
      <c r="A564">
        <v>563</v>
      </c>
      <c r="B564" s="30" t="s">
        <v>1587</v>
      </c>
      <c r="D564" s="30" t="s">
        <v>1588</v>
      </c>
      <c r="F564" s="30" t="s">
        <v>1591</v>
      </c>
      <c r="H564" s="30" t="s">
        <v>1592</v>
      </c>
      <c r="L564" s="30" t="s">
        <v>1594</v>
      </c>
      <c r="M564" s="30" t="s">
        <v>1620</v>
      </c>
      <c r="N564" s="30" t="s">
        <v>1623</v>
      </c>
      <c r="P564" s="30" t="s">
        <v>4523</v>
      </c>
      <c r="Q564" t="s">
        <v>619</v>
      </c>
      <c r="R564" t="s">
        <v>918</v>
      </c>
      <c r="S564">
        <v>37</v>
      </c>
      <c r="T564" s="29" t="str">
        <f t="shared" si="21"/>
        <v>2021.010B.R.Binomial_names.zip</v>
      </c>
      <c r="U564" s="29" t="str">
        <f>HYPERLINK("https://ictv.global/taxonomy/taxondetails?taxnode_id=202308572","ictv.global=202308572")</f>
        <v>ictv.global=202308572</v>
      </c>
    </row>
    <row r="565" spans="1:21">
      <c r="A565">
        <v>564</v>
      </c>
      <c r="B565" s="30" t="s">
        <v>1587</v>
      </c>
      <c r="D565" s="30" t="s">
        <v>1588</v>
      </c>
      <c r="F565" s="30" t="s">
        <v>1591</v>
      </c>
      <c r="H565" s="30" t="s">
        <v>1592</v>
      </c>
      <c r="L565" s="30" t="s">
        <v>1594</v>
      </c>
      <c r="M565" s="30" t="s">
        <v>1620</v>
      </c>
      <c r="N565" s="30" t="s">
        <v>1624</v>
      </c>
      <c r="P565" s="30" t="s">
        <v>4524</v>
      </c>
      <c r="Q565" t="s">
        <v>619</v>
      </c>
      <c r="R565" t="s">
        <v>918</v>
      </c>
      <c r="S565">
        <v>37</v>
      </c>
      <c r="T565" s="29" t="str">
        <f t="shared" si="21"/>
        <v>2021.010B.R.Binomial_names.zip</v>
      </c>
      <c r="U565" s="29" t="str">
        <f>HYPERLINK("https://ictv.global/taxonomy/taxondetails?taxnode_id=202308581","ictv.global=202308581")</f>
        <v>ictv.global=202308581</v>
      </c>
    </row>
    <row r="566" spans="1:21">
      <c r="A566">
        <v>565</v>
      </c>
      <c r="B566" s="30" t="s">
        <v>1587</v>
      </c>
      <c r="D566" s="30" t="s">
        <v>1588</v>
      </c>
      <c r="F566" s="30" t="s">
        <v>1591</v>
      </c>
      <c r="H566" s="30" t="s">
        <v>1592</v>
      </c>
      <c r="L566" s="30" t="s">
        <v>1594</v>
      </c>
      <c r="M566" s="30" t="s">
        <v>1620</v>
      </c>
      <c r="N566" s="30" t="s">
        <v>1625</v>
      </c>
      <c r="P566" s="30" t="s">
        <v>4525</v>
      </c>
      <c r="Q566" t="s">
        <v>619</v>
      </c>
      <c r="R566" t="s">
        <v>918</v>
      </c>
      <c r="S566">
        <v>37</v>
      </c>
      <c r="T566" s="29" t="str">
        <f t="shared" si="21"/>
        <v>2021.010B.R.Binomial_names.zip</v>
      </c>
      <c r="U566" s="29" t="str">
        <f>HYPERLINK("https://ictv.global/taxonomy/taxondetails?taxnode_id=202308585","ictv.global=202308585")</f>
        <v>ictv.global=202308585</v>
      </c>
    </row>
    <row r="567" spans="1:21">
      <c r="A567">
        <v>566</v>
      </c>
      <c r="B567" s="30" t="s">
        <v>1587</v>
      </c>
      <c r="D567" s="30" t="s">
        <v>1588</v>
      </c>
      <c r="F567" s="30" t="s">
        <v>1591</v>
      </c>
      <c r="H567" s="30" t="s">
        <v>1592</v>
      </c>
      <c r="L567" s="30" t="s">
        <v>1594</v>
      </c>
      <c r="M567" s="30" t="s">
        <v>1620</v>
      </c>
      <c r="N567" s="30" t="s">
        <v>1625</v>
      </c>
      <c r="P567" s="30" t="s">
        <v>4526</v>
      </c>
      <c r="Q567" t="s">
        <v>619</v>
      </c>
      <c r="R567" t="s">
        <v>918</v>
      </c>
      <c r="S567">
        <v>37</v>
      </c>
      <c r="T567" s="29" t="str">
        <f t="shared" si="21"/>
        <v>2021.010B.R.Binomial_names.zip</v>
      </c>
      <c r="U567" s="29" t="str">
        <f>HYPERLINK("https://ictv.global/taxonomy/taxondetails?taxnode_id=202308584","ictv.global=202308584")</f>
        <v>ictv.global=202308584</v>
      </c>
    </row>
    <row r="568" spans="1:21">
      <c r="A568">
        <v>567</v>
      </c>
      <c r="B568" s="30" t="s">
        <v>1587</v>
      </c>
      <c r="D568" s="30" t="s">
        <v>1588</v>
      </c>
      <c r="F568" s="30" t="s">
        <v>1591</v>
      </c>
      <c r="H568" s="30" t="s">
        <v>1592</v>
      </c>
      <c r="L568" s="30" t="s">
        <v>1594</v>
      </c>
      <c r="M568" s="30" t="s">
        <v>1620</v>
      </c>
      <c r="N568" s="30" t="s">
        <v>1625</v>
      </c>
      <c r="P568" s="30" t="s">
        <v>4527</v>
      </c>
      <c r="Q568" t="s">
        <v>619</v>
      </c>
      <c r="R568" t="s">
        <v>918</v>
      </c>
      <c r="S568">
        <v>37</v>
      </c>
      <c r="T568" s="29" t="str">
        <f t="shared" si="21"/>
        <v>2021.010B.R.Binomial_names.zip</v>
      </c>
      <c r="U568" s="29" t="str">
        <f>HYPERLINK("https://ictv.global/taxonomy/taxondetails?taxnode_id=202308586","ictv.global=202308586")</f>
        <v>ictv.global=202308586</v>
      </c>
    </row>
    <row r="569" spans="1:21">
      <c r="A569">
        <v>568</v>
      </c>
      <c r="B569" s="30" t="s">
        <v>1587</v>
      </c>
      <c r="D569" s="30" t="s">
        <v>1588</v>
      </c>
      <c r="F569" s="30" t="s">
        <v>1591</v>
      </c>
      <c r="H569" s="30" t="s">
        <v>1592</v>
      </c>
      <c r="L569" s="30" t="s">
        <v>1594</v>
      </c>
      <c r="M569" s="30" t="s">
        <v>1620</v>
      </c>
      <c r="N569" s="30" t="s">
        <v>1625</v>
      </c>
      <c r="P569" s="30" t="s">
        <v>4528</v>
      </c>
      <c r="Q569" t="s">
        <v>619</v>
      </c>
      <c r="R569" t="s">
        <v>918</v>
      </c>
      <c r="S569">
        <v>37</v>
      </c>
      <c r="T569" s="29" t="str">
        <f t="shared" si="21"/>
        <v>2021.010B.R.Binomial_names.zip</v>
      </c>
      <c r="U569" s="29" t="str">
        <f>HYPERLINK("https://ictv.global/taxonomy/taxondetails?taxnode_id=202308587","ictv.global=202308587")</f>
        <v>ictv.global=202308587</v>
      </c>
    </row>
    <row r="570" spans="1:21">
      <c r="A570">
        <v>569</v>
      </c>
      <c r="B570" s="30" t="s">
        <v>1587</v>
      </c>
      <c r="D570" s="30" t="s">
        <v>1588</v>
      </c>
      <c r="F570" s="30" t="s">
        <v>1591</v>
      </c>
      <c r="H570" s="30" t="s">
        <v>1592</v>
      </c>
      <c r="L570" s="30" t="s">
        <v>1594</v>
      </c>
      <c r="M570" s="30" t="s">
        <v>1620</v>
      </c>
      <c r="N570" s="30" t="s">
        <v>1625</v>
      </c>
      <c r="P570" s="30" t="s">
        <v>4529</v>
      </c>
      <c r="Q570" t="s">
        <v>619</v>
      </c>
      <c r="R570" t="s">
        <v>918</v>
      </c>
      <c r="S570">
        <v>37</v>
      </c>
      <c r="T570" s="29" t="str">
        <f t="shared" si="21"/>
        <v>2021.010B.R.Binomial_names.zip</v>
      </c>
      <c r="U570" s="29" t="str">
        <f>HYPERLINK("https://ictv.global/taxonomy/taxondetails?taxnode_id=202308590","ictv.global=202308590")</f>
        <v>ictv.global=202308590</v>
      </c>
    </row>
    <row r="571" spans="1:21">
      <c r="A571">
        <v>570</v>
      </c>
      <c r="B571" s="30" t="s">
        <v>1587</v>
      </c>
      <c r="D571" s="30" t="s">
        <v>1588</v>
      </c>
      <c r="F571" s="30" t="s">
        <v>1591</v>
      </c>
      <c r="H571" s="30" t="s">
        <v>1592</v>
      </c>
      <c r="L571" s="30" t="s">
        <v>1594</v>
      </c>
      <c r="M571" s="30" t="s">
        <v>1620</v>
      </c>
      <c r="N571" s="30" t="s">
        <v>1625</v>
      </c>
      <c r="P571" s="30" t="s">
        <v>4530</v>
      </c>
      <c r="Q571" t="s">
        <v>619</v>
      </c>
      <c r="R571" t="s">
        <v>918</v>
      </c>
      <c r="S571">
        <v>37</v>
      </c>
      <c r="T571" s="29" t="str">
        <f t="shared" si="21"/>
        <v>2021.010B.R.Binomial_names.zip</v>
      </c>
      <c r="U571" s="29" t="str">
        <f>HYPERLINK("https://ictv.global/taxonomy/taxondetails?taxnode_id=202300579","ictv.global=202300579")</f>
        <v>ictv.global=202300579</v>
      </c>
    </row>
    <row r="572" spans="1:21">
      <c r="A572">
        <v>571</v>
      </c>
      <c r="B572" s="30" t="s">
        <v>1587</v>
      </c>
      <c r="D572" s="30" t="s">
        <v>1588</v>
      </c>
      <c r="F572" s="30" t="s">
        <v>1591</v>
      </c>
      <c r="H572" s="30" t="s">
        <v>1592</v>
      </c>
      <c r="L572" s="30" t="s">
        <v>1594</v>
      </c>
      <c r="M572" s="30" t="s">
        <v>1620</v>
      </c>
      <c r="N572" s="30" t="s">
        <v>1625</v>
      </c>
      <c r="P572" s="30" t="s">
        <v>4531</v>
      </c>
      <c r="Q572" t="s">
        <v>619</v>
      </c>
      <c r="R572" t="s">
        <v>918</v>
      </c>
      <c r="S572">
        <v>37</v>
      </c>
      <c r="T572" s="29" t="str">
        <f t="shared" si="21"/>
        <v>2021.010B.R.Binomial_names.zip</v>
      </c>
      <c r="U572" s="29" t="str">
        <f>HYPERLINK("https://ictv.global/taxonomy/taxondetails?taxnode_id=202300580","ictv.global=202300580")</f>
        <v>ictv.global=202300580</v>
      </c>
    </row>
    <row r="573" spans="1:21">
      <c r="A573">
        <v>572</v>
      </c>
      <c r="B573" s="30" t="s">
        <v>1587</v>
      </c>
      <c r="D573" s="30" t="s">
        <v>1588</v>
      </c>
      <c r="F573" s="30" t="s">
        <v>1591</v>
      </c>
      <c r="H573" s="30" t="s">
        <v>1592</v>
      </c>
      <c r="L573" s="30" t="s">
        <v>1594</v>
      </c>
      <c r="M573" s="30" t="s">
        <v>1620</v>
      </c>
      <c r="N573" s="30" t="s">
        <v>1625</v>
      </c>
      <c r="P573" s="30" t="s">
        <v>4532</v>
      </c>
      <c r="Q573" t="s">
        <v>619</v>
      </c>
      <c r="R573" t="s">
        <v>918</v>
      </c>
      <c r="S573">
        <v>37</v>
      </c>
      <c r="T573" s="29" t="str">
        <f t="shared" si="21"/>
        <v>2021.010B.R.Binomial_names.zip</v>
      </c>
      <c r="U573" s="29" t="str">
        <f>HYPERLINK("https://ictv.global/taxonomy/taxondetails?taxnode_id=202308588","ictv.global=202308588")</f>
        <v>ictv.global=202308588</v>
      </c>
    </row>
    <row r="574" spans="1:21">
      <c r="A574">
        <v>573</v>
      </c>
      <c r="B574" s="30" t="s">
        <v>1587</v>
      </c>
      <c r="D574" s="30" t="s">
        <v>1588</v>
      </c>
      <c r="F574" s="30" t="s">
        <v>1591</v>
      </c>
      <c r="H574" s="30" t="s">
        <v>1592</v>
      </c>
      <c r="L574" s="30" t="s">
        <v>1594</v>
      </c>
      <c r="M574" s="30" t="s">
        <v>1620</v>
      </c>
      <c r="N574" s="30" t="s">
        <v>1625</v>
      </c>
      <c r="P574" s="30" t="s">
        <v>4533</v>
      </c>
      <c r="Q574" t="s">
        <v>619</v>
      </c>
      <c r="R574" t="s">
        <v>918</v>
      </c>
      <c r="S574">
        <v>37</v>
      </c>
      <c r="T574" s="29" t="str">
        <f t="shared" si="21"/>
        <v>2021.010B.R.Binomial_names.zip</v>
      </c>
      <c r="U574" s="29" t="str">
        <f>HYPERLINK("https://ictv.global/taxonomy/taxondetails?taxnode_id=202308591","ictv.global=202308591")</f>
        <v>ictv.global=202308591</v>
      </c>
    </row>
    <row r="575" spans="1:21">
      <c r="A575">
        <v>574</v>
      </c>
      <c r="B575" s="30" t="s">
        <v>1587</v>
      </c>
      <c r="D575" s="30" t="s">
        <v>1588</v>
      </c>
      <c r="F575" s="30" t="s">
        <v>1591</v>
      </c>
      <c r="H575" s="30" t="s">
        <v>1592</v>
      </c>
      <c r="L575" s="30" t="s">
        <v>1594</v>
      </c>
      <c r="M575" s="30" t="s">
        <v>1620</v>
      </c>
      <c r="N575" s="30" t="s">
        <v>1625</v>
      </c>
      <c r="P575" s="30" t="s">
        <v>4534</v>
      </c>
      <c r="Q575" t="s">
        <v>619</v>
      </c>
      <c r="R575" t="s">
        <v>918</v>
      </c>
      <c r="S575">
        <v>37</v>
      </c>
      <c r="T575" s="29" t="str">
        <f t="shared" si="21"/>
        <v>2021.010B.R.Binomial_names.zip</v>
      </c>
      <c r="U575" s="29" t="str">
        <f>HYPERLINK("https://ictv.global/taxonomy/taxondetails?taxnode_id=202308589","ictv.global=202308589")</f>
        <v>ictv.global=202308589</v>
      </c>
    </row>
    <row r="576" spans="1:21">
      <c r="A576">
        <v>575</v>
      </c>
      <c r="B576" s="30" t="s">
        <v>1587</v>
      </c>
      <c r="D576" s="30" t="s">
        <v>1588</v>
      </c>
      <c r="F576" s="30" t="s">
        <v>1591</v>
      </c>
      <c r="H576" s="30" t="s">
        <v>1592</v>
      </c>
      <c r="L576" s="30" t="s">
        <v>1594</v>
      </c>
      <c r="M576" s="30" t="s">
        <v>1620</v>
      </c>
      <c r="N576" s="30" t="s">
        <v>1625</v>
      </c>
      <c r="P576" s="30" t="s">
        <v>4535</v>
      </c>
      <c r="Q576" t="s">
        <v>619</v>
      </c>
      <c r="R576" t="s">
        <v>918</v>
      </c>
      <c r="S576">
        <v>37</v>
      </c>
      <c r="T576" s="29" t="str">
        <f t="shared" ref="T576:T607" si="22">HYPERLINK("https://ictv.global/ictv/proposals/2021.010B.R.Binomial_names.zip","2021.010B.R.Binomial_names.zip")</f>
        <v>2021.010B.R.Binomial_names.zip</v>
      </c>
      <c r="U576" s="29" t="str">
        <f>HYPERLINK("https://ictv.global/taxonomy/taxondetails?taxnode_id=202308583","ictv.global=202308583")</f>
        <v>ictv.global=202308583</v>
      </c>
    </row>
    <row r="577" spans="1:21">
      <c r="A577">
        <v>576</v>
      </c>
      <c r="B577" s="30" t="s">
        <v>1587</v>
      </c>
      <c r="D577" s="30" t="s">
        <v>1588</v>
      </c>
      <c r="F577" s="30" t="s">
        <v>1591</v>
      </c>
      <c r="H577" s="30" t="s">
        <v>1592</v>
      </c>
      <c r="L577" s="30" t="s">
        <v>1594</v>
      </c>
      <c r="M577" s="30" t="s">
        <v>1620</v>
      </c>
      <c r="N577" s="30" t="s">
        <v>1404</v>
      </c>
      <c r="P577" s="30" t="s">
        <v>4536</v>
      </c>
      <c r="Q577" t="s">
        <v>619</v>
      </c>
      <c r="R577" t="s">
        <v>918</v>
      </c>
      <c r="S577">
        <v>37</v>
      </c>
      <c r="T577" s="29" t="str">
        <f t="shared" si="22"/>
        <v>2021.010B.R.Binomial_names.zip</v>
      </c>
      <c r="U577" s="29" t="str">
        <f>HYPERLINK("https://ictv.global/taxonomy/taxondetails?taxnode_id=202308593","ictv.global=202308593")</f>
        <v>ictv.global=202308593</v>
      </c>
    </row>
    <row r="578" spans="1:21">
      <c r="A578">
        <v>577</v>
      </c>
      <c r="B578" s="30" t="s">
        <v>1587</v>
      </c>
      <c r="D578" s="30" t="s">
        <v>1588</v>
      </c>
      <c r="F578" s="30" t="s">
        <v>1591</v>
      </c>
      <c r="H578" s="30" t="s">
        <v>1592</v>
      </c>
      <c r="L578" s="30" t="s">
        <v>1594</v>
      </c>
      <c r="M578" s="30" t="s">
        <v>1620</v>
      </c>
      <c r="N578" s="30" t="s">
        <v>1404</v>
      </c>
      <c r="P578" s="30" t="s">
        <v>4537</v>
      </c>
      <c r="Q578" t="s">
        <v>619</v>
      </c>
      <c r="R578" t="s">
        <v>918</v>
      </c>
      <c r="S578">
        <v>37</v>
      </c>
      <c r="T578" s="29" t="str">
        <f t="shared" si="22"/>
        <v>2021.010B.R.Binomial_names.zip</v>
      </c>
      <c r="U578" s="29" t="str">
        <f>HYPERLINK("https://ictv.global/taxonomy/taxondetails?taxnode_id=202300581","ictv.global=202300581")</f>
        <v>ictv.global=202300581</v>
      </c>
    </row>
    <row r="579" spans="1:21">
      <c r="A579">
        <v>578</v>
      </c>
      <c r="B579" s="30" t="s">
        <v>1587</v>
      </c>
      <c r="D579" s="30" t="s">
        <v>1588</v>
      </c>
      <c r="F579" s="30" t="s">
        <v>1591</v>
      </c>
      <c r="H579" s="30" t="s">
        <v>1592</v>
      </c>
      <c r="L579" s="30" t="s">
        <v>1594</v>
      </c>
      <c r="M579" s="30" t="s">
        <v>1620</v>
      </c>
      <c r="N579" s="30" t="s">
        <v>1404</v>
      </c>
      <c r="P579" s="30" t="s">
        <v>4538</v>
      </c>
      <c r="Q579" t="s">
        <v>619</v>
      </c>
      <c r="R579" t="s">
        <v>918</v>
      </c>
      <c r="S579">
        <v>37</v>
      </c>
      <c r="T579" s="29" t="str">
        <f t="shared" si="22"/>
        <v>2021.010B.R.Binomial_names.zip</v>
      </c>
      <c r="U579" s="29" t="str">
        <f>HYPERLINK("https://ictv.global/taxonomy/taxondetails?taxnode_id=202308592","ictv.global=202308592")</f>
        <v>ictv.global=202308592</v>
      </c>
    </row>
    <row r="580" spans="1:21">
      <c r="A580">
        <v>579</v>
      </c>
      <c r="B580" s="30" t="s">
        <v>1587</v>
      </c>
      <c r="D580" s="30" t="s">
        <v>1588</v>
      </c>
      <c r="F580" s="30" t="s">
        <v>1591</v>
      </c>
      <c r="H580" s="30" t="s">
        <v>1592</v>
      </c>
      <c r="L580" s="30" t="s">
        <v>1594</v>
      </c>
      <c r="M580" s="30" t="s">
        <v>1626</v>
      </c>
      <c r="N580" s="30" t="s">
        <v>1627</v>
      </c>
      <c r="P580" s="30" t="s">
        <v>4539</v>
      </c>
      <c r="Q580" t="s">
        <v>619</v>
      </c>
      <c r="R580" t="s">
        <v>918</v>
      </c>
      <c r="S580">
        <v>37</v>
      </c>
      <c r="T580" s="29" t="str">
        <f t="shared" si="22"/>
        <v>2021.010B.R.Binomial_names.zip</v>
      </c>
      <c r="U580" s="29" t="str">
        <f>HYPERLINK("https://ictv.global/taxonomy/taxondetails?taxnode_id=202308337","ictv.global=202308337")</f>
        <v>ictv.global=202308337</v>
      </c>
    </row>
    <row r="581" spans="1:21">
      <c r="A581">
        <v>580</v>
      </c>
      <c r="B581" s="30" t="s">
        <v>1587</v>
      </c>
      <c r="D581" s="30" t="s">
        <v>1588</v>
      </c>
      <c r="F581" s="30" t="s">
        <v>1591</v>
      </c>
      <c r="H581" s="30" t="s">
        <v>1592</v>
      </c>
      <c r="L581" s="30" t="s">
        <v>1594</v>
      </c>
      <c r="M581" s="30" t="s">
        <v>1626</v>
      </c>
      <c r="N581" s="30" t="s">
        <v>1627</v>
      </c>
      <c r="P581" s="30" t="s">
        <v>4540</v>
      </c>
      <c r="Q581" t="s">
        <v>619</v>
      </c>
      <c r="R581" t="s">
        <v>918</v>
      </c>
      <c r="S581">
        <v>37</v>
      </c>
      <c r="T581" s="29" t="str">
        <f t="shared" si="22"/>
        <v>2021.010B.R.Binomial_names.zip</v>
      </c>
      <c r="U581" s="29" t="str">
        <f>HYPERLINK("https://ictv.global/taxonomy/taxondetails?taxnode_id=202308338","ictv.global=202308338")</f>
        <v>ictv.global=202308338</v>
      </c>
    </row>
    <row r="582" spans="1:21">
      <c r="A582">
        <v>581</v>
      </c>
      <c r="B582" s="30" t="s">
        <v>1587</v>
      </c>
      <c r="D582" s="30" t="s">
        <v>1588</v>
      </c>
      <c r="F582" s="30" t="s">
        <v>1591</v>
      </c>
      <c r="H582" s="30" t="s">
        <v>1592</v>
      </c>
      <c r="L582" s="30" t="s">
        <v>1594</v>
      </c>
      <c r="M582" s="30" t="s">
        <v>1626</v>
      </c>
      <c r="N582" s="30" t="s">
        <v>1628</v>
      </c>
      <c r="P582" s="30" t="s">
        <v>4541</v>
      </c>
      <c r="Q582" t="s">
        <v>619</v>
      </c>
      <c r="R582" t="s">
        <v>918</v>
      </c>
      <c r="S582">
        <v>37</v>
      </c>
      <c r="T582" s="29" t="str">
        <f t="shared" si="22"/>
        <v>2021.010B.R.Binomial_names.zip</v>
      </c>
      <c r="U582" s="29" t="str">
        <f>HYPERLINK("https://ictv.global/taxonomy/taxondetails?taxnode_id=202308334","ictv.global=202308334")</f>
        <v>ictv.global=202308334</v>
      </c>
    </row>
    <row r="583" spans="1:21">
      <c r="A583">
        <v>582</v>
      </c>
      <c r="B583" s="30" t="s">
        <v>1587</v>
      </c>
      <c r="D583" s="30" t="s">
        <v>1588</v>
      </c>
      <c r="F583" s="30" t="s">
        <v>1591</v>
      </c>
      <c r="H583" s="30" t="s">
        <v>1592</v>
      </c>
      <c r="L583" s="30" t="s">
        <v>1594</v>
      </c>
      <c r="M583" s="30" t="s">
        <v>1626</v>
      </c>
      <c r="N583" s="30" t="s">
        <v>1628</v>
      </c>
      <c r="P583" s="30" t="s">
        <v>4542</v>
      </c>
      <c r="Q583" t="s">
        <v>619</v>
      </c>
      <c r="R583" t="s">
        <v>918</v>
      </c>
      <c r="S583">
        <v>37</v>
      </c>
      <c r="T583" s="29" t="str">
        <f t="shared" si="22"/>
        <v>2021.010B.R.Binomial_names.zip</v>
      </c>
      <c r="U583" s="29" t="str">
        <f>HYPERLINK("https://ictv.global/taxonomy/taxondetails?taxnode_id=202308335","ictv.global=202308335")</f>
        <v>ictv.global=202308335</v>
      </c>
    </row>
    <row r="584" spans="1:21">
      <c r="A584">
        <v>583</v>
      </c>
      <c r="B584" s="30" t="s">
        <v>1587</v>
      </c>
      <c r="D584" s="30" t="s">
        <v>1588</v>
      </c>
      <c r="F584" s="30" t="s">
        <v>1591</v>
      </c>
      <c r="H584" s="30" t="s">
        <v>1592</v>
      </c>
      <c r="L584" s="30" t="s">
        <v>1594</v>
      </c>
      <c r="M584" s="30" t="s">
        <v>1626</v>
      </c>
      <c r="N584" s="30" t="s">
        <v>1629</v>
      </c>
      <c r="P584" s="30" t="s">
        <v>4543</v>
      </c>
      <c r="Q584" t="s">
        <v>619</v>
      </c>
      <c r="R584" t="s">
        <v>918</v>
      </c>
      <c r="S584">
        <v>37</v>
      </c>
      <c r="T584" s="29" t="str">
        <f t="shared" si="22"/>
        <v>2021.010B.R.Binomial_names.zip</v>
      </c>
      <c r="U584" s="29" t="str">
        <f>HYPERLINK("https://ictv.global/taxonomy/taxondetails?taxnode_id=202308342","ictv.global=202308342")</f>
        <v>ictv.global=202308342</v>
      </c>
    </row>
    <row r="585" spans="1:21">
      <c r="A585">
        <v>584</v>
      </c>
      <c r="B585" s="30" t="s">
        <v>1587</v>
      </c>
      <c r="D585" s="30" t="s">
        <v>1588</v>
      </c>
      <c r="F585" s="30" t="s">
        <v>1591</v>
      </c>
      <c r="H585" s="30" t="s">
        <v>1592</v>
      </c>
      <c r="L585" s="30" t="s">
        <v>1594</v>
      </c>
      <c r="M585" s="30" t="s">
        <v>1626</v>
      </c>
      <c r="N585" s="30" t="s">
        <v>1630</v>
      </c>
      <c r="P585" s="30" t="s">
        <v>4544</v>
      </c>
      <c r="Q585" t="s">
        <v>619</v>
      </c>
      <c r="R585" t="s">
        <v>918</v>
      </c>
      <c r="S585">
        <v>37</v>
      </c>
      <c r="T585" s="29" t="str">
        <f t="shared" si="22"/>
        <v>2021.010B.R.Binomial_names.zip</v>
      </c>
      <c r="U585" s="29" t="str">
        <f>HYPERLINK("https://ictv.global/taxonomy/taxondetails?taxnode_id=202308332","ictv.global=202308332")</f>
        <v>ictv.global=202308332</v>
      </c>
    </row>
    <row r="586" spans="1:21">
      <c r="A586">
        <v>585</v>
      </c>
      <c r="B586" s="30" t="s">
        <v>1587</v>
      </c>
      <c r="D586" s="30" t="s">
        <v>1588</v>
      </c>
      <c r="F586" s="30" t="s">
        <v>1591</v>
      </c>
      <c r="H586" s="30" t="s">
        <v>1592</v>
      </c>
      <c r="L586" s="30" t="s">
        <v>1594</v>
      </c>
      <c r="M586" s="30" t="s">
        <v>1626</v>
      </c>
      <c r="N586" s="30" t="s">
        <v>1630</v>
      </c>
      <c r="P586" s="30" t="s">
        <v>4545</v>
      </c>
      <c r="Q586" t="s">
        <v>619</v>
      </c>
      <c r="R586" t="s">
        <v>918</v>
      </c>
      <c r="S586">
        <v>37</v>
      </c>
      <c r="T586" s="29" t="str">
        <f t="shared" si="22"/>
        <v>2021.010B.R.Binomial_names.zip</v>
      </c>
      <c r="U586" s="29" t="str">
        <f>HYPERLINK("https://ictv.global/taxonomy/taxondetails?taxnode_id=202308331","ictv.global=202308331")</f>
        <v>ictv.global=202308331</v>
      </c>
    </row>
    <row r="587" spans="1:21">
      <c r="A587">
        <v>586</v>
      </c>
      <c r="B587" s="30" t="s">
        <v>1587</v>
      </c>
      <c r="D587" s="30" t="s">
        <v>1588</v>
      </c>
      <c r="F587" s="30" t="s">
        <v>1591</v>
      </c>
      <c r="H587" s="30" t="s">
        <v>1592</v>
      </c>
      <c r="L587" s="30" t="s">
        <v>1594</v>
      </c>
      <c r="M587" s="30" t="s">
        <v>1626</v>
      </c>
      <c r="N587" s="30" t="s">
        <v>1631</v>
      </c>
      <c r="P587" s="30" t="s">
        <v>4546</v>
      </c>
      <c r="Q587" t="s">
        <v>619</v>
      </c>
      <c r="R587" t="s">
        <v>918</v>
      </c>
      <c r="S587">
        <v>37</v>
      </c>
      <c r="T587" s="29" t="str">
        <f t="shared" si="22"/>
        <v>2021.010B.R.Binomial_names.zip</v>
      </c>
      <c r="U587" s="29" t="str">
        <f>HYPERLINK("https://ictv.global/taxonomy/taxondetails?taxnode_id=202308340","ictv.global=202308340")</f>
        <v>ictv.global=202308340</v>
      </c>
    </row>
    <row r="588" spans="1:21">
      <c r="A588">
        <v>587</v>
      </c>
      <c r="B588" s="30" t="s">
        <v>1587</v>
      </c>
      <c r="D588" s="30" t="s">
        <v>1588</v>
      </c>
      <c r="F588" s="30" t="s">
        <v>1591</v>
      </c>
      <c r="H588" s="30" t="s">
        <v>1592</v>
      </c>
      <c r="L588" s="30" t="s">
        <v>1594</v>
      </c>
      <c r="M588" s="30" t="s">
        <v>1632</v>
      </c>
      <c r="N588" s="30" t="s">
        <v>1633</v>
      </c>
      <c r="P588" s="30" t="s">
        <v>4547</v>
      </c>
      <c r="Q588" t="s">
        <v>619</v>
      </c>
      <c r="R588" t="s">
        <v>918</v>
      </c>
      <c r="S588">
        <v>37</v>
      </c>
      <c r="T588" s="29" t="str">
        <f t="shared" si="22"/>
        <v>2021.010B.R.Binomial_names.zip</v>
      </c>
      <c r="U588" s="29" t="str">
        <f>HYPERLINK("https://ictv.global/taxonomy/taxondetails?taxnode_id=202308550","ictv.global=202308550")</f>
        <v>ictv.global=202308550</v>
      </c>
    </row>
    <row r="589" spans="1:21">
      <c r="A589">
        <v>588</v>
      </c>
      <c r="B589" s="30" t="s">
        <v>1587</v>
      </c>
      <c r="D589" s="30" t="s">
        <v>1588</v>
      </c>
      <c r="F589" s="30" t="s">
        <v>1591</v>
      </c>
      <c r="H589" s="30" t="s">
        <v>1592</v>
      </c>
      <c r="L589" s="30" t="s">
        <v>1594</v>
      </c>
      <c r="M589" s="30" t="s">
        <v>1632</v>
      </c>
      <c r="N589" s="30" t="s">
        <v>1397</v>
      </c>
      <c r="P589" s="30" t="s">
        <v>4548</v>
      </c>
      <c r="Q589" t="s">
        <v>619</v>
      </c>
      <c r="R589" t="s">
        <v>918</v>
      </c>
      <c r="S589">
        <v>37</v>
      </c>
      <c r="T589" s="29" t="str">
        <f t="shared" si="22"/>
        <v>2021.010B.R.Binomial_names.zip</v>
      </c>
      <c r="U589" s="29" t="str">
        <f>HYPERLINK("https://ictv.global/taxonomy/taxondetails?taxnode_id=202308543","ictv.global=202308543")</f>
        <v>ictv.global=202308543</v>
      </c>
    </row>
    <row r="590" spans="1:21">
      <c r="A590">
        <v>589</v>
      </c>
      <c r="B590" s="30" t="s">
        <v>1587</v>
      </c>
      <c r="D590" s="30" t="s">
        <v>1588</v>
      </c>
      <c r="F590" s="30" t="s">
        <v>1591</v>
      </c>
      <c r="H590" s="30" t="s">
        <v>1592</v>
      </c>
      <c r="L590" s="30" t="s">
        <v>1594</v>
      </c>
      <c r="M590" s="30" t="s">
        <v>1632</v>
      </c>
      <c r="N590" s="30" t="s">
        <v>1397</v>
      </c>
      <c r="P590" s="30" t="s">
        <v>4549</v>
      </c>
      <c r="Q590" t="s">
        <v>619</v>
      </c>
      <c r="R590" t="s">
        <v>918</v>
      </c>
      <c r="S590">
        <v>37</v>
      </c>
      <c r="T590" s="29" t="str">
        <f t="shared" si="22"/>
        <v>2021.010B.R.Binomial_names.zip</v>
      </c>
      <c r="U590" s="29" t="str">
        <f>HYPERLINK("https://ictv.global/taxonomy/taxondetails?taxnode_id=202308536","ictv.global=202308536")</f>
        <v>ictv.global=202308536</v>
      </c>
    </row>
    <row r="591" spans="1:21">
      <c r="A591">
        <v>590</v>
      </c>
      <c r="B591" s="30" t="s">
        <v>1587</v>
      </c>
      <c r="D591" s="30" t="s">
        <v>1588</v>
      </c>
      <c r="F591" s="30" t="s">
        <v>1591</v>
      </c>
      <c r="H591" s="30" t="s">
        <v>1592</v>
      </c>
      <c r="L591" s="30" t="s">
        <v>1594</v>
      </c>
      <c r="M591" s="30" t="s">
        <v>1632</v>
      </c>
      <c r="N591" s="30" t="s">
        <v>1397</v>
      </c>
      <c r="P591" s="30" t="s">
        <v>4550</v>
      </c>
      <c r="Q591" t="s">
        <v>619</v>
      </c>
      <c r="R591" t="s">
        <v>918</v>
      </c>
      <c r="S591">
        <v>37</v>
      </c>
      <c r="T591" s="29" t="str">
        <f t="shared" si="22"/>
        <v>2021.010B.R.Binomial_names.zip</v>
      </c>
      <c r="U591" s="29" t="str">
        <f>HYPERLINK("https://ictv.global/taxonomy/taxondetails?taxnode_id=202300558","ictv.global=202300558")</f>
        <v>ictv.global=202300558</v>
      </c>
    </row>
    <row r="592" spans="1:21">
      <c r="A592">
        <v>591</v>
      </c>
      <c r="B592" s="30" t="s">
        <v>1587</v>
      </c>
      <c r="D592" s="30" t="s">
        <v>1588</v>
      </c>
      <c r="F592" s="30" t="s">
        <v>1591</v>
      </c>
      <c r="H592" s="30" t="s">
        <v>1592</v>
      </c>
      <c r="L592" s="30" t="s">
        <v>1594</v>
      </c>
      <c r="M592" s="30" t="s">
        <v>1632</v>
      </c>
      <c r="N592" s="30" t="s">
        <v>1397</v>
      </c>
      <c r="P592" s="30" t="s">
        <v>4551</v>
      </c>
      <c r="Q592" t="s">
        <v>619</v>
      </c>
      <c r="R592" t="s">
        <v>918</v>
      </c>
      <c r="S592">
        <v>37</v>
      </c>
      <c r="T592" s="29" t="str">
        <f t="shared" si="22"/>
        <v>2021.010B.R.Binomial_names.zip</v>
      </c>
      <c r="U592" s="29" t="str">
        <f>HYPERLINK("https://ictv.global/taxonomy/taxondetails?taxnode_id=202300559","ictv.global=202300559")</f>
        <v>ictv.global=202300559</v>
      </c>
    </row>
    <row r="593" spans="1:21">
      <c r="A593">
        <v>592</v>
      </c>
      <c r="B593" s="30" t="s">
        <v>1587</v>
      </c>
      <c r="D593" s="30" t="s">
        <v>1588</v>
      </c>
      <c r="F593" s="30" t="s">
        <v>1591</v>
      </c>
      <c r="H593" s="30" t="s">
        <v>1592</v>
      </c>
      <c r="L593" s="30" t="s">
        <v>1594</v>
      </c>
      <c r="M593" s="30" t="s">
        <v>1632</v>
      </c>
      <c r="N593" s="30" t="s">
        <v>1397</v>
      </c>
      <c r="P593" s="30" t="s">
        <v>4552</v>
      </c>
      <c r="Q593" t="s">
        <v>619</v>
      </c>
      <c r="R593" t="s">
        <v>918</v>
      </c>
      <c r="S593">
        <v>37</v>
      </c>
      <c r="T593" s="29" t="str">
        <f t="shared" si="22"/>
        <v>2021.010B.R.Binomial_names.zip</v>
      </c>
      <c r="U593" s="29" t="str">
        <f>HYPERLINK("https://ictv.global/taxonomy/taxondetails?taxnode_id=202300560","ictv.global=202300560")</f>
        <v>ictv.global=202300560</v>
      </c>
    </row>
    <row r="594" spans="1:21">
      <c r="A594">
        <v>593</v>
      </c>
      <c r="B594" s="30" t="s">
        <v>1587</v>
      </c>
      <c r="D594" s="30" t="s">
        <v>1588</v>
      </c>
      <c r="F594" s="30" t="s">
        <v>1591</v>
      </c>
      <c r="H594" s="30" t="s">
        <v>1592</v>
      </c>
      <c r="L594" s="30" t="s">
        <v>1594</v>
      </c>
      <c r="M594" s="30" t="s">
        <v>1632</v>
      </c>
      <c r="N594" s="30" t="s">
        <v>1397</v>
      </c>
      <c r="P594" s="30" t="s">
        <v>4553</v>
      </c>
      <c r="Q594" t="s">
        <v>619</v>
      </c>
      <c r="R594" t="s">
        <v>918</v>
      </c>
      <c r="S594">
        <v>37</v>
      </c>
      <c r="T594" s="29" t="str">
        <f t="shared" si="22"/>
        <v>2021.010B.R.Binomial_names.zip</v>
      </c>
      <c r="U594" s="29" t="str">
        <f>HYPERLINK("https://ictv.global/taxonomy/taxondetails?taxnode_id=202300561","ictv.global=202300561")</f>
        <v>ictv.global=202300561</v>
      </c>
    </row>
    <row r="595" spans="1:21">
      <c r="A595">
        <v>594</v>
      </c>
      <c r="B595" s="30" t="s">
        <v>1587</v>
      </c>
      <c r="D595" s="30" t="s">
        <v>1588</v>
      </c>
      <c r="F595" s="30" t="s">
        <v>1591</v>
      </c>
      <c r="H595" s="30" t="s">
        <v>1592</v>
      </c>
      <c r="L595" s="30" t="s">
        <v>1594</v>
      </c>
      <c r="M595" s="30" t="s">
        <v>1632</v>
      </c>
      <c r="N595" s="30" t="s">
        <v>1397</v>
      </c>
      <c r="P595" s="30" t="s">
        <v>4554</v>
      </c>
      <c r="Q595" t="s">
        <v>619</v>
      </c>
      <c r="R595" t="s">
        <v>918</v>
      </c>
      <c r="S595">
        <v>37</v>
      </c>
      <c r="T595" s="29" t="str">
        <f t="shared" si="22"/>
        <v>2021.010B.R.Binomial_names.zip</v>
      </c>
      <c r="U595" s="29" t="str">
        <f>HYPERLINK("https://ictv.global/taxonomy/taxondetails?taxnode_id=202308539","ictv.global=202308539")</f>
        <v>ictv.global=202308539</v>
      </c>
    </row>
    <row r="596" spans="1:21">
      <c r="A596">
        <v>595</v>
      </c>
      <c r="B596" s="30" t="s">
        <v>1587</v>
      </c>
      <c r="D596" s="30" t="s">
        <v>1588</v>
      </c>
      <c r="F596" s="30" t="s">
        <v>1591</v>
      </c>
      <c r="H596" s="30" t="s">
        <v>1592</v>
      </c>
      <c r="L596" s="30" t="s">
        <v>1594</v>
      </c>
      <c r="M596" s="30" t="s">
        <v>1632</v>
      </c>
      <c r="N596" s="30" t="s">
        <v>1397</v>
      </c>
      <c r="P596" s="30" t="s">
        <v>4555</v>
      </c>
      <c r="Q596" t="s">
        <v>619</v>
      </c>
      <c r="R596" t="s">
        <v>918</v>
      </c>
      <c r="S596">
        <v>37</v>
      </c>
      <c r="T596" s="29" t="str">
        <f t="shared" si="22"/>
        <v>2021.010B.R.Binomial_names.zip</v>
      </c>
      <c r="U596" s="29" t="str">
        <f>HYPERLINK("https://ictv.global/taxonomy/taxondetails?taxnode_id=202308538","ictv.global=202308538")</f>
        <v>ictv.global=202308538</v>
      </c>
    </row>
    <row r="597" spans="1:21">
      <c r="A597">
        <v>596</v>
      </c>
      <c r="B597" s="30" t="s">
        <v>1587</v>
      </c>
      <c r="D597" s="30" t="s">
        <v>1588</v>
      </c>
      <c r="F597" s="30" t="s">
        <v>1591</v>
      </c>
      <c r="H597" s="30" t="s">
        <v>1592</v>
      </c>
      <c r="L597" s="30" t="s">
        <v>1594</v>
      </c>
      <c r="M597" s="30" t="s">
        <v>1632</v>
      </c>
      <c r="N597" s="30" t="s">
        <v>1397</v>
      </c>
      <c r="P597" s="30" t="s">
        <v>4556</v>
      </c>
      <c r="Q597" t="s">
        <v>619</v>
      </c>
      <c r="R597" t="s">
        <v>918</v>
      </c>
      <c r="S597">
        <v>37</v>
      </c>
      <c r="T597" s="29" t="str">
        <f t="shared" si="22"/>
        <v>2021.010B.R.Binomial_names.zip</v>
      </c>
      <c r="U597" s="29" t="str">
        <f>HYPERLINK("https://ictv.global/taxonomy/taxondetails?taxnode_id=202300562","ictv.global=202300562")</f>
        <v>ictv.global=202300562</v>
      </c>
    </row>
    <row r="598" spans="1:21">
      <c r="A598">
        <v>597</v>
      </c>
      <c r="B598" s="30" t="s">
        <v>1587</v>
      </c>
      <c r="D598" s="30" t="s">
        <v>1588</v>
      </c>
      <c r="F598" s="30" t="s">
        <v>1591</v>
      </c>
      <c r="H598" s="30" t="s">
        <v>1592</v>
      </c>
      <c r="L598" s="30" t="s">
        <v>1594</v>
      </c>
      <c r="M598" s="30" t="s">
        <v>1632</v>
      </c>
      <c r="N598" s="30" t="s">
        <v>1397</v>
      </c>
      <c r="P598" s="30" t="s">
        <v>4557</v>
      </c>
      <c r="Q598" t="s">
        <v>619</v>
      </c>
      <c r="R598" t="s">
        <v>918</v>
      </c>
      <c r="S598">
        <v>37</v>
      </c>
      <c r="T598" s="29" t="str">
        <f t="shared" si="22"/>
        <v>2021.010B.R.Binomial_names.zip</v>
      </c>
      <c r="U598" s="29" t="str">
        <f>HYPERLINK("https://ictv.global/taxonomy/taxondetails?taxnode_id=202308537","ictv.global=202308537")</f>
        <v>ictv.global=202308537</v>
      </c>
    </row>
    <row r="599" spans="1:21">
      <c r="A599">
        <v>598</v>
      </c>
      <c r="B599" s="30" t="s">
        <v>1587</v>
      </c>
      <c r="D599" s="30" t="s">
        <v>1588</v>
      </c>
      <c r="F599" s="30" t="s">
        <v>1591</v>
      </c>
      <c r="H599" s="30" t="s">
        <v>1592</v>
      </c>
      <c r="L599" s="30" t="s">
        <v>1594</v>
      </c>
      <c r="M599" s="30" t="s">
        <v>1632</v>
      </c>
      <c r="N599" s="30" t="s">
        <v>1397</v>
      </c>
      <c r="P599" s="30" t="s">
        <v>4558</v>
      </c>
      <c r="Q599" t="s">
        <v>619</v>
      </c>
      <c r="R599" t="s">
        <v>918</v>
      </c>
      <c r="S599">
        <v>37</v>
      </c>
      <c r="T599" s="29" t="str">
        <f t="shared" si="22"/>
        <v>2021.010B.R.Binomial_names.zip</v>
      </c>
      <c r="U599" s="29" t="str">
        <f>HYPERLINK("https://ictv.global/taxonomy/taxondetails?taxnode_id=202300563","ictv.global=202300563")</f>
        <v>ictv.global=202300563</v>
      </c>
    </row>
    <row r="600" spans="1:21">
      <c r="A600">
        <v>599</v>
      </c>
      <c r="B600" s="30" t="s">
        <v>1587</v>
      </c>
      <c r="D600" s="30" t="s">
        <v>1588</v>
      </c>
      <c r="F600" s="30" t="s">
        <v>1591</v>
      </c>
      <c r="H600" s="30" t="s">
        <v>1592</v>
      </c>
      <c r="L600" s="30" t="s">
        <v>1594</v>
      </c>
      <c r="M600" s="30" t="s">
        <v>1632</v>
      </c>
      <c r="N600" s="30" t="s">
        <v>1397</v>
      </c>
      <c r="P600" s="30" t="s">
        <v>4559</v>
      </c>
      <c r="Q600" t="s">
        <v>619</v>
      </c>
      <c r="R600" t="s">
        <v>918</v>
      </c>
      <c r="S600">
        <v>37</v>
      </c>
      <c r="T600" s="29" t="str">
        <f t="shared" si="22"/>
        <v>2021.010B.R.Binomial_names.zip</v>
      </c>
      <c r="U600" s="29" t="str">
        <f>HYPERLINK("https://ictv.global/taxonomy/taxondetails?taxnode_id=202308541","ictv.global=202308541")</f>
        <v>ictv.global=202308541</v>
      </c>
    </row>
    <row r="601" spans="1:21">
      <c r="A601">
        <v>600</v>
      </c>
      <c r="B601" s="30" t="s">
        <v>1587</v>
      </c>
      <c r="D601" s="30" t="s">
        <v>1588</v>
      </c>
      <c r="F601" s="30" t="s">
        <v>1591</v>
      </c>
      <c r="H601" s="30" t="s">
        <v>1592</v>
      </c>
      <c r="L601" s="30" t="s">
        <v>1594</v>
      </c>
      <c r="M601" s="30" t="s">
        <v>1632</v>
      </c>
      <c r="N601" s="30" t="s">
        <v>1397</v>
      </c>
      <c r="P601" s="30" t="s">
        <v>4560</v>
      </c>
      <c r="Q601" t="s">
        <v>619</v>
      </c>
      <c r="R601" t="s">
        <v>918</v>
      </c>
      <c r="S601">
        <v>37</v>
      </c>
      <c r="T601" s="29" t="str">
        <f t="shared" si="22"/>
        <v>2021.010B.R.Binomial_names.zip</v>
      </c>
      <c r="U601" s="29" t="str">
        <f>HYPERLINK("https://ictv.global/taxonomy/taxondetails?taxnode_id=202300564","ictv.global=202300564")</f>
        <v>ictv.global=202300564</v>
      </c>
    </row>
    <row r="602" spans="1:21">
      <c r="A602">
        <v>601</v>
      </c>
      <c r="B602" s="30" t="s">
        <v>1587</v>
      </c>
      <c r="D602" s="30" t="s">
        <v>1588</v>
      </c>
      <c r="F602" s="30" t="s">
        <v>1591</v>
      </c>
      <c r="H602" s="30" t="s">
        <v>1592</v>
      </c>
      <c r="L602" s="30" t="s">
        <v>1594</v>
      </c>
      <c r="M602" s="30" t="s">
        <v>1632</v>
      </c>
      <c r="N602" s="30" t="s">
        <v>1397</v>
      </c>
      <c r="P602" s="30" t="s">
        <v>4561</v>
      </c>
      <c r="Q602" t="s">
        <v>619</v>
      </c>
      <c r="R602" t="s">
        <v>918</v>
      </c>
      <c r="S602">
        <v>37</v>
      </c>
      <c r="T602" s="29" t="str">
        <f t="shared" si="22"/>
        <v>2021.010B.R.Binomial_names.zip</v>
      </c>
      <c r="U602" s="29" t="str">
        <f>HYPERLINK("https://ictv.global/taxonomy/taxondetails?taxnode_id=202308540","ictv.global=202308540")</f>
        <v>ictv.global=202308540</v>
      </c>
    </row>
    <row r="603" spans="1:21">
      <c r="A603">
        <v>602</v>
      </c>
      <c r="B603" s="30" t="s">
        <v>1587</v>
      </c>
      <c r="D603" s="30" t="s">
        <v>1588</v>
      </c>
      <c r="F603" s="30" t="s">
        <v>1591</v>
      </c>
      <c r="H603" s="30" t="s">
        <v>1592</v>
      </c>
      <c r="L603" s="30" t="s">
        <v>1594</v>
      </c>
      <c r="M603" s="30" t="s">
        <v>1632</v>
      </c>
      <c r="N603" s="30" t="s">
        <v>1397</v>
      </c>
      <c r="P603" s="30" t="s">
        <v>4562</v>
      </c>
      <c r="Q603" t="s">
        <v>619</v>
      </c>
      <c r="R603" t="s">
        <v>918</v>
      </c>
      <c r="S603">
        <v>37</v>
      </c>
      <c r="T603" s="29" t="str">
        <f t="shared" si="22"/>
        <v>2021.010B.R.Binomial_names.zip</v>
      </c>
      <c r="U603" s="29" t="str">
        <f>HYPERLINK("https://ictv.global/taxonomy/taxondetails?taxnode_id=202308545","ictv.global=202308545")</f>
        <v>ictv.global=202308545</v>
      </c>
    </row>
    <row r="604" spans="1:21">
      <c r="A604">
        <v>603</v>
      </c>
      <c r="B604" s="30" t="s">
        <v>1587</v>
      </c>
      <c r="D604" s="30" t="s">
        <v>1588</v>
      </c>
      <c r="F604" s="30" t="s">
        <v>1591</v>
      </c>
      <c r="H604" s="30" t="s">
        <v>1592</v>
      </c>
      <c r="L604" s="30" t="s">
        <v>1594</v>
      </c>
      <c r="M604" s="30" t="s">
        <v>1632</v>
      </c>
      <c r="N604" s="30" t="s">
        <v>1397</v>
      </c>
      <c r="P604" s="30" t="s">
        <v>4563</v>
      </c>
      <c r="Q604" t="s">
        <v>619</v>
      </c>
      <c r="R604" t="s">
        <v>918</v>
      </c>
      <c r="S604">
        <v>37</v>
      </c>
      <c r="T604" s="29" t="str">
        <f t="shared" si="22"/>
        <v>2021.010B.R.Binomial_names.zip</v>
      </c>
      <c r="U604" s="29" t="str">
        <f>HYPERLINK("https://ictv.global/taxonomy/taxondetails?taxnode_id=202308544","ictv.global=202308544")</f>
        <v>ictv.global=202308544</v>
      </c>
    </row>
    <row r="605" spans="1:21">
      <c r="A605">
        <v>604</v>
      </c>
      <c r="B605" s="30" t="s">
        <v>1587</v>
      </c>
      <c r="D605" s="30" t="s">
        <v>1588</v>
      </c>
      <c r="F605" s="30" t="s">
        <v>1591</v>
      </c>
      <c r="H605" s="30" t="s">
        <v>1592</v>
      </c>
      <c r="L605" s="30" t="s">
        <v>1594</v>
      </c>
      <c r="M605" s="30" t="s">
        <v>1632</v>
      </c>
      <c r="N605" s="30" t="s">
        <v>1397</v>
      </c>
      <c r="P605" s="30" t="s">
        <v>4564</v>
      </c>
      <c r="Q605" t="s">
        <v>619</v>
      </c>
      <c r="R605" t="s">
        <v>918</v>
      </c>
      <c r="S605">
        <v>37</v>
      </c>
      <c r="T605" s="29" t="str">
        <f t="shared" si="22"/>
        <v>2021.010B.R.Binomial_names.zip</v>
      </c>
      <c r="U605" s="29" t="str">
        <f>HYPERLINK("https://ictv.global/taxonomy/taxondetails?taxnode_id=202308542","ictv.global=202308542")</f>
        <v>ictv.global=202308542</v>
      </c>
    </row>
    <row r="606" spans="1:21">
      <c r="A606">
        <v>605</v>
      </c>
      <c r="B606" s="30" t="s">
        <v>1587</v>
      </c>
      <c r="D606" s="30" t="s">
        <v>1588</v>
      </c>
      <c r="F606" s="30" t="s">
        <v>1591</v>
      </c>
      <c r="H606" s="30" t="s">
        <v>1592</v>
      </c>
      <c r="L606" s="30" t="s">
        <v>1594</v>
      </c>
      <c r="M606" s="30" t="s">
        <v>1632</v>
      </c>
      <c r="N606" s="30" t="s">
        <v>1397</v>
      </c>
      <c r="P606" s="30" t="s">
        <v>4565</v>
      </c>
      <c r="Q606" t="s">
        <v>619</v>
      </c>
      <c r="R606" t="s">
        <v>918</v>
      </c>
      <c r="S606">
        <v>37</v>
      </c>
      <c r="T606" s="29" t="str">
        <f t="shared" si="22"/>
        <v>2021.010B.R.Binomial_names.zip</v>
      </c>
      <c r="U606" s="29" t="str">
        <f>HYPERLINK("https://ictv.global/taxonomy/taxondetails?taxnode_id=202300565","ictv.global=202300565")</f>
        <v>ictv.global=202300565</v>
      </c>
    </row>
    <row r="607" spans="1:21">
      <c r="A607">
        <v>606</v>
      </c>
      <c r="B607" s="30" t="s">
        <v>1587</v>
      </c>
      <c r="D607" s="30" t="s">
        <v>1588</v>
      </c>
      <c r="F607" s="30" t="s">
        <v>1591</v>
      </c>
      <c r="H607" s="30" t="s">
        <v>1592</v>
      </c>
      <c r="L607" s="30" t="s">
        <v>1594</v>
      </c>
      <c r="M607" s="30" t="s">
        <v>1632</v>
      </c>
      <c r="N607" s="30" t="s">
        <v>1397</v>
      </c>
      <c r="P607" s="30" t="s">
        <v>4566</v>
      </c>
      <c r="Q607" t="s">
        <v>619</v>
      </c>
      <c r="R607" t="s">
        <v>918</v>
      </c>
      <c r="S607">
        <v>37</v>
      </c>
      <c r="T607" s="29" t="str">
        <f t="shared" si="22"/>
        <v>2021.010B.R.Binomial_names.zip</v>
      </c>
      <c r="U607" s="29" t="str">
        <f>HYPERLINK("https://ictv.global/taxonomy/taxondetails?taxnode_id=202300566","ictv.global=202300566")</f>
        <v>ictv.global=202300566</v>
      </c>
    </row>
    <row r="608" spans="1:21">
      <c r="A608">
        <v>607</v>
      </c>
      <c r="B608" s="30" t="s">
        <v>1587</v>
      </c>
      <c r="D608" s="30" t="s">
        <v>1588</v>
      </c>
      <c r="F608" s="30" t="s">
        <v>1591</v>
      </c>
      <c r="H608" s="30" t="s">
        <v>1592</v>
      </c>
      <c r="L608" s="30" t="s">
        <v>1594</v>
      </c>
      <c r="M608" s="30" t="s">
        <v>1632</v>
      </c>
      <c r="N608" s="30" t="s">
        <v>1634</v>
      </c>
      <c r="P608" s="30" t="s">
        <v>4567</v>
      </c>
      <c r="Q608" t="s">
        <v>619</v>
      </c>
      <c r="R608" t="s">
        <v>918</v>
      </c>
      <c r="S608">
        <v>37</v>
      </c>
      <c r="T608" s="29" t="str">
        <f t="shared" ref="T608:T627" si="23">HYPERLINK("https://ictv.global/ictv/proposals/2021.010B.R.Binomial_names.zip","2021.010B.R.Binomial_names.zip")</f>
        <v>2021.010B.R.Binomial_names.zip</v>
      </c>
      <c r="U608" s="29" t="str">
        <f>HYPERLINK("https://ictv.global/taxonomy/taxondetails?taxnode_id=202308552","ictv.global=202308552")</f>
        <v>ictv.global=202308552</v>
      </c>
    </row>
    <row r="609" spans="1:21">
      <c r="A609">
        <v>608</v>
      </c>
      <c r="B609" s="30" t="s">
        <v>1587</v>
      </c>
      <c r="D609" s="30" t="s">
        <v>1588</v>
      </c>
      <c r="F609" s="30" t="s">
        <v>1591</v>
      </c>
      <c r="H609" s="30" t="s">
        <v>1592</v>
      </c>
      <c r="L609" s="30" t="s">
        <v>1594</v>
      </c>
      <c r="M609" s="30" t="s">
        <v>1632</v>
      </c>
      <c r="N609" s="30" t="s">
        <v>1635</v>
      </c>
      <c r="P609" s="30" t="s">
        <v>4568</v>
      </c>
      <c r="Q609" t="s">
        <v>619</v>
      </c>
      <c r="R609" t="s">
        <v>918</v>
      </c>
      <c r="S609">
        <v>37</v>
      </c>
      <c r="T609" s="29" t="str">
        <f t="shared" si="23"/>
        <v>2021.010B.R.Binomial_names.zip</v>
      </c>
      <c r="U609" s="29" t="str">
        <f>HYPERLINK("https://ictv.global/taxonomy/taxondetails?taxnode_id=202308547","ictv.global=202308547")</f>
        <v>ictv.global=202308547</v>
      </c>
    </row>
    <row r="610" spans="1:21">
      <c r="A610">
        <v>609</v>
      </c>
      <c r="B610" s="30" t="s">
        <v>1587</v>
      </c>
      <c r="D610" s="30" t="s">
        <v>1588</v>
      </c>
      <c r="F610" s="30" t="s">
        <v>1591</v>
      </c>
      <c r="H610" s="30" t="s">
        <v>1592</v>
      </c>
      <c r="L610" s="30" t="s">
        <v>1594</v>
      </c>
      <c r="M610" s="30" t="s">
        <v>1632</v>
      </c>
      <c r="N610" s="30" t="s">
        <v>1635</v>
      </c>
      <c r="P610" s="30" t="s">
        <v>4569</v>
      </c>
      <c r="Q610" t="s">
        <v>619</v>
      </c>
      <c r="R610" t="s">
        <v>918</v>
      </c>
      <c r="S610">
        <v>37</v>
      </c>
      <c r="T610" s="29" t="str">
        <f t="shared" si="23"/>
        <v>2021.010B.R.Binomial_names.zip</v>
      </c>
      <c r="U610" s="29" t="str">
        <f>HYPERLINK("https://ictv.global/taxonomy/taxondetails?taxnode_id=202308548","ictv.global=202308548")</f>
        <v>ictv.global=202308548</v>
      </c>
    </row>
    <row r="611" spans="1:21">
      <c r="A611">
        <v>610</v>
      </c>
      <c r="B611" s="30" t="s">
        <v>1587</v>
      </c>
      <c r="D611" s="30" t="s">
        <v>1588</v>
      </c>
      <c r="F611" s="30" t="s">
        <v>1591</v>
      </c>
      <c r="H611" s="30" t="s">
        <v>1592</v>
      </c>
      <c r="L611" s="30" t="s">
        <v>1594</v>
      </c>
      <c r="M611" s="30" t="s">
        <v>1636</v>
      </c>
      <c r="N611" s="30" t="s">
        <v>1637</v>
      </c>
      <c r="P611" s="30" t="s">
        <v>4570</v>
      </c>
      <c r="Q611" t="s">
        <v>619</v>
      </c>
      <c r="R611" t="s">
        <v>918</v>
      </c>
      <c r="S611">
        <v>37</v>
      </c>
      <c r="T611" s="29" t="str">
        <f t="shared" si="23"/>
        <v>2021.010B.R.Binomial_names.zip</v>
      </c>
      <c r="U611" s="29" t="str">
        <f>HYPERLINK("https://ictv.global/taxonomy/taxondetails?taxnode_id=202308380","ictv.global=202308380")</f>
        <v>ictv.global=202308380</v>
      </c>
    </row>
    <row r="612" spans="1:21">
      <c r="A612">
        <v>611</v>
      </c>
      <c r="B612" s="30" t="s">
        <v>1587</v>
      </c>
      <c r="D612" s="30" t="s">
        <v>1588</v>
      </c>
      <c r="F612" s="30" t="s">
        <v>1591</v>
      </c>
      <c r="H612" s="30" t="s">
        <v>1592</v>
      </c>
      <c r="L612" s="30" t="s">
        <v>1594</v>
      </c>
      <c r="M612" s="30" t="s">
        <v>1636</v>
      </c>
      <c r="N612" s="30" t="s">
        <v>1637</v>
      </c>
      <c r="P612" s="30" t="s">
        <v>4571</v>
      </c>
      <c r="Q612" t="s">
        <v>619</v>
      </c>
      <c r="R612" t="s">
        <v>918</v>
      </c>
      <c r="S612">
        <v>37</v>
      </c>
      <c r="T612" s="29" t="str">
        <f t="shared" si="23"/>
        <v>2021.010B.R.Binomial_names.zip</v>
      </c>
      <c r="U612" s="29" t="str">
        <f>HYPERLINK("https://ictv.global/taxonomy/taxondetails?taxnode_id=202308381","ictv.global=202308381")</f>
        <v>ictv.global=202308381</v>
      </c>
    </row>
    <row r="613" spans="1:21">
      <c r="A613">
        <v>612</v>
      </c>
      <c r="B613" s="30" t="s">
        <v>1587</v>
      </c>
      <c r="D613" s="30" t="s">
        <v>1588</v>
      </c>
      <c r="F613" s="30" t="s">
        <v>1591</v>
      </c>
      <c r="H613" s="30" t="s">
        <v>1592</v>
      </c>
      <c r="L613" s="30" t="s">
        <v>1594</v>
      </c>
      <c r="M613" s="30" t="s">
        <v>1636</v>
      </c>
      <c r="N613" s="30" t="s">
        <v>1637</v>
      </c>
      <c r="P613" s="30" t="s">
        <v>4572</v>
      </c>
      <c r="Q613" t="s">
        <v>619</v>
      </c>
      <c r="R613" t="s">
        <v>918</v>
      </c>
      <c r="S613">
        <v>37</v>
      </c>
      <c r="T613" s="29" t="str">
        <f t="shared" si="23"/>
        <v>2021.010B.R.Binomial_names.zip</v>
      </c>
      <c r="U613" s="29" t="str">
        <f>HYPERLINK("https://ictv.global/taxonomy/taxondetails?taxnode_id=202308382","ictv.global=202308382")</f>
        <v>ictv.global=202308382</v>
      </c>
    </row>
    <row r="614" spans="1:21">
      <c r="A614">
        <v>613</v>
      </c>
      <c r="B614" s="30" t="s">
        <v>1587</v>
      </c>
      <c r="D614" s="30" t="s">
        <v>1588</v>
      </c>
      <c r="F614" s="30" t="s">
        <v>1591</v>
      </c>
      <c r="H614" s="30" t="s">
        <v>1592</v>
      </c>
      <c r="L614" s="30" t="s">
        <v>1594</v>
      </c>
      <c r="M614" s="30" t="s">
        <v>1636</v>
      </c>
      <c r="N614" s="30" t="s">
        <v>1637</v>
      </c>
      <c r="P614" s="30" t="s">
        <v>4573</v>
      </c>
      <c r="Q614" t="s">
        <v>619</v>
      </c>
      <c r="R614" t="s">
        <v>918</v>
      </c>
      <c r="S614">
        <v>37</v>
      </c>
      <c r="T614" s="29" t="str">
        <f t="shared" si="23"/>
        <v>2021.010B.R.Binomial_names.zip</v>
      </c>
      <c r="U614" s="29" t="str">
        <f>HYPERLINK("https://ictv.global/taxonomy/taxondetails?taxnode_id=202308383","ictv.global=202308383")</f>
        <v>ictv.global=202308383</v>
      </c>
    </row>
    <row r="615" spans="1:21">
      <c r="A615">
        <v>614</v>
      </c>
      <c r="B615" s="30" t="s">
        <v>1587</v>
      </c>
      <c r="D615" s="30" t="s">
        <v>1588</v>
      </c>
      <c r="F615" s="30" t="s">
        <v>1591</v>
      </c>
      <c r="H615" s="30" t="s">
        <v>1592</v>
      </c>
      <c r="L615" s="30" t="s">
        <v>1594</v>
      </c>
      <c r="M615" s="30" t="s">
        <v>1636</v>
      </c>
      <c r="N615" s="30" t="s">
        <v>1638</v>
      </c>
      <c r="P615" s="30" t="s">
        <v>4574</v>
      </c>
      <c r="Q615" t="s">
        <v>619</v>
      </c>
      <c r="R615" t="s">
        <v>918</v>
      </c>
      <c r="S615">
        <v>37</v>
      </c>
      <c r="T615" s="29" t="str">
        <f t="shared" si="23"/>
        <v>2021.010B.R.Binomial_names.zip</v>
      </c>
      <c r="U615" s="29" t="str">
        <f>HYPERLINK("https://ictv.global/taxonomy/taxondetails?taxnode_id=202308429","ictv.global=202308429")</f>
        <v>ictv.global=202308429</v>
      </c>
    </row>
    <row r="616" spans="1:21">
      <c r="A616">
        <v>615</v>
      </c>
      <c r="B616" s="30" t="s">
        <v>1587</v>
      </c>
      <c r="D616" s="30" t="s">
        <v>1588</v>
      </c>
      <c r="F616" s="30" t="s">
        <v>1591</v>
      </c>
      <c r="H616" s="30" t="s">
        <v>1592</v>
      </c>
      <c r="L616" s="30" t="s">
        <v>1594</v>
      </c>
      <c r="M616" s="30" t="s">
        <v>1636</v>
      </c>
      <c r="N616" s="30" t="s">
        <v>1639</v>
      </c>
      <c r="P616" s="30" t="s">
        <v>4575</v>
      </c>
      <c r="Q616" t="s">
        <v>619</v>
      </c>
      <c r="R616" t="s">
        <v>918</v>
      </c>
      <c r="S616">
        <v>37</v>
      </c>
      <c r="T616" s="29" t="str">
        <f t="shared" si="23"/>
        <v>2021.010B.R.Binomial_names.zip</v>
      </c>
      <c r="U616" s="29" t="str">
        <f>HYPERLINK("https://ictv.global/taxonomy/taxondetails?taxnode_id=202308391","ictv.global=202308391")</f>
        <v>ictv.global=202308391</v>
      </c>
    </row>
    <row r="617" spans="1:21">
      <c r="A617">
        <v>616</v>
      </c>
      <c r="B617" s="30" t="s">
        <v>1587</v>
      </c>
      <c r="D617" s="30" t="s">
        <v>1588</v>
      </c>
      <c r="F617" s="30" t="s">
        <v>1591</v>
      </c>
      <c r="H617" s="30" t="s">
        <v>1592</v>
      </c>
      <c r="L617" s="30" t="s">
        <v>1594</v>
      </c>
      <c r="M617" s="30" t="s">
        <v>1636</v>
      </c>
      <c r="N617" s="30" t="s">
        <v>1639</v>
      </c>
      <c r="P617" s="30" t="s">
        <v>4576</v>
      </c>
      <c r="Q617" t="s">
        <v>619</v>
      </c>
      <c r="R617" t="s">
        <v>918</v>
      </c>
      <c r="S617">
        <v>37</v>
      </c>
      <c r="T617" s="29" t="str">
        <f t="shared" si="23"/>
        <v>2021.010B.R.Binomial_names.zip</v>
      </c>
      <c r="U617" s="29" t="str">
        <f>HYPERLINK("https://ictv.global/taxonomy/taxondetails?taxnode_id=202308401","ictv.global=202308401")</f>
        <v>ictv.global=202308401</v>
      </c>
    </row>
    <row r="618" spans="1:21">
      <c r="A618">
        <v>617</v>
      </c>
      <c r="B618" s="30" t="s">
        <v>1587</v>
      </c>
      <c r="D618" s="30" t="s">
        <v>1588</v>
      </c>
      <c r="F618" s="30" t="s">
        <v>1591</v>
      </c>
      <c r="H618" s="30" t="s">
        <v>1592</v>
      </c>
      <c r="L618" s="30" t="s">
        <v>1594</v>
      </c>
      <c r="M618" s="30" t="s">
        <v>1636</v>
      </c>
      <c r="N618" s="30" t="s">
        <v>1639</v>
      </c>
      <c r="P618" s="30" t="s">
        <v>4577</v>
      </c>
      <c r="Q618" t="s">
        <v>619</v>
      </c>
      <c r="R618" t="s">
        <v>918</v>
      </c>
      <c r="S618">
        <v>37</v>
      </c>
      <c r="T618" s="29" t="str">
        <f t="shared" si="23"/>
        <v>2021.010B.R.Binomial_names.zip</v>
      </c>
      <c r="U618" s="29" t="str">
        <f>HYPERLINK("https://ictv.global/taxonomy/taxondetails?taxnode_id=202308390","ictv.global=202308390")</f>
        <v>ictv.global=202308390</v>
      </c>
    </row>
    <row r="619" spans="1:21">
      <c r="A619">
        <v>618</v>
      </c>
      <c r="B619" s="30" t="s">
        <v>1587</v>
      </c>
      <c r="D619" s="30" t="s">
        <v>1588</v>
      </c>
      <c r="F619" s="30" t="s">
        <v>1591</v>
      </c>
      <c r="H619" s="30" t="s">
        <v>1592</v>
      </c>
      <c r="L619" s="30" t="s">
        <v>1594</v>
      </c>
      <c r="M619" s="30" t="s">
        <v>1636</v>
      </c>
      <c r="N619" s="30" t="s">
        <v>1639</v>
      </c>
      <c r="P619" s="30" t="s">
        <v>4578</v>
      </c>
      <c r="Q619" t="s">
        <v>619</v>
      </c>
      <c r="R619" t="s">
        <v>918</v>
      </c>
      <c r="S619">
        <v>37</v>
      </c>
      <c r="T619" s="29" t="str">
        <f t="shared" si="23"/>
        <v>2021.010B.R.Binomial_names.zip</v>
      </c>
      <c r="U619" s="29" t="str">
        <f>HYPERLINK("https://ictv.global/taxonomy/taxondetails?taxnode_id=202308388","ictv.global=202308388")</f>
        <v>ictv.global=202308388</v>
      </c>
    </row>
    <row r="620" spans="1:21">
      <c r="A620">
        <v>619</v>
      </c>
      <c r="B620" s="30" t="s">
        <v>1587</v>
      </c>
      <c r="D620" s="30" t="s">
        <v>1588</v>
      </c>
      <c r="F620" s="30" t="s">
        <v>1591</v>
      </c>
      <c r="H620" s="30" t="s">
        <v>1592</v>
      </c>
      <c r="L620" s="30" t="s">
        <v>1594</v>
      </c>
      <c r="M620" s="30" t="s">
        <v>1636</v>
      </c>
      <c r="N620" s="30" t="s">
        <v>1639</v>
      </c>
      <c r="P620" s="30" t="s">
        <v>4579</v>
      </c>
      <c r="Q620" t="s">
        <v>619</v>
      </c>
      <c r="R620" t="s">
        <v>918</v>
      </c>
      <c r="S620">
        <v>37</v>
      </c>
      <c r="T620" s="29" t="str">
        <f t="shared" si="23"/>
        <v>2021.010B.R.Binomial_names.zip</v>
      </c>
      <c r="U620" s="29" t="str">
        <f>HYPERLINK("https://ictv.global/taxonomy/taxondetails?taxnode_id=202308394","ictv.global=202308394")</f>
        <v>ictv.global=202308394</v>
      </c>
    </row>
    <row r="621" spans="1:21">
      <c r="A621">
        <v>620</v>
      </c>
      <c r="B621" s="30" t="s">
        <v>1587</v>
      </c>
      <c r="D621" s="30" t="s">
        <v>1588</v>
      </c>
      <c r="F621" s="30" t="s">
        <v>1591</v>
      </c>
      <c r="H621" s="30" t="s">
        <v>1592</v>
      </c>
      <c r="L621" s="30" t="s">
        <v>1594</v>
      </c>
      <c r="M621" s="30" t="s">
        <v>1636</v>
      </c>
      <c r="N621" s="30" t="s">
        <v>1639</v>
      </c>
      <c r="P621" s="30" t="s">
        <v>4580</v>
      </c>
      <c r="Q621" t="s">
        <v>619</v>
      </c>
      <c r="R621" t="s">
        <v>918</v>
      </c>
      <c r="S621">
        <v>37</v>
      </c>
      <c r="T621" s="29" t="str">
        <f t="shared" si="23"/>
        <v>2021.010B.R.Binomial_names.zip</v>
      </c>
      <c r="U621" s="29" t="str">
        <f>HYPERLINK("https://ictv.global/taxonomy/taxondetails?taxnode_id=202308398","ictv.global=202308398")</f>
        <v>ictv.global=202308398</v>
      </c>
    </row>
    <row r="622" spans="1:21">
      <c r="A622">
        <v>621</v>
      </c>
      <c r="B622" s="30" t="s">
        <v>1587</v>
      </c>
      <c r="D622" s="30" t="s">
        <v>1588</v>
      </c>
      <c r="F622" s="30" t="s">
        <v>1591</v>
      </c>
      <c r="H622" s="30" t="s">
        <v>1592</v>
      </c>
      <c r="L622" s="30" t="s">
        <v>1594</v>
      </c>
      <c r="M622" s="30" t="s">
        <v>1636</v>
      </c>
      <c r="N622" s="30" t="s">
        <v>1639</v>
      </c>
      <c r="P622" s="30" t="s">
        <v>4581</v>
      </c>
      <c r="Q622" t="s">
        <v>619</v>
      </c>
      <c r="R622" t="s">
        <v>918</v>
      </c>
      <c r="S622">
        <v>37</v>
      </c>
      <c r="T622" s="29" t="str">
        <f t="shared" si="23"/>
        <v>2021.010B.R.Binomial_names.zip</v>
      </c>
      <c r="U622" s="29" t="str">
        <f>HYPERLINK("https://ictv.global/taxonomy/taxondetails?taxnode_id=202308393","ictv.global=202308393")</f>
        <v>ictv.global=202308393</v>
      </c>
    </row>
    <row r="623" spans="1:21">
      <c r="A623">
        <v>622</v>
      </c>
      <c r="B623" s="30" t="s">
        <v>1587</v>
      </c>
      <c r="D623" s="30" t="s">
        <v>1588</v>
      </c>
      <c r="F623" s="30" t="s">
        <v>1591</v>
      </c>
      <c r="H623" s="30" t="s">
        <v>1592</v>
      </c>
      <c r="L623" s="30" t="s">
        <v>1594</v>
      </c>
      <c r="M623" s="30" t="s">
        <v>1636</v>
      </c>
      <c r="N623" s="30" t="s">
        <v>1639</v>
      </c>
      <c r="P623" s="30" t="s">
        <v>4582</v>
      </c>
      <c r="Q623" t="s">
        <v>619</v>
      </c>
      <c r="R623" t="s">
        <v>918</v>
      </c>
      <c r="S623">
        <v>37</v>
      </c>
      <c r="T623" s="29" t="str">
        <f t="shared" si="23"/>
        <v>2021.010B.R.Binomial_names.zip</v>
      </c>
      <c r="U623" s="29" t="str">
        <f>HYPERLINK("https://ictv.global/taxonomy/taxondetails?taxnode_id=202300584","ictv.global=202300584")</f>
        <v>ictv.global=202300584</v>
      </c>
    </row>
    <row r="624" spans="1:21">
      <c r="A624">
        <v>623</v>
      </c>
      <c r="B624" s="30" t="s">
        <v>1587</v>
      </c>
      <c r="D624" s="30" t="s">
        <v>1588</v>
      </c>
      <c r="F624" s="30" t="s">
        <v>1591</v>
      </c>
      <c r="H624" s="30" t="s">
        <v>1592</v>
      </c>
      <c r="L624" s="30" t="s">
        <v>1594</v>
      </c>
      <c r="M624" s="30" t="s">
        <v>1636</v>
      </c>
      <c r="N624" s="30" t="s">
        <v>1639</v>
      </c>
      <c r="P624" s="30" t="s">
        <v>4583</v>
      </c>
      <c r="Q624" t="s">
        <v>619</v>
      </c>
      <c r="R624" t="s">
        <v>918</v>
      </c>
      <c r="S624">
        <v>37</v>
      </c>
      <c r="T624" s="29" t="str">
        <f t="shared" si="23"/>
        <v>2021.010B.R.Binomial_names.zip</v>
      </c>
      <c r="U624" s="29" t="str">
        <f>HYPERLINK("https://ictv.global/taxonomy/taxondetails?taxnode_id=202308395","ictv.global=202308395")</f>
        <v>ictv.global=202308395</v>
      </c>
    </row>
    <row r="625" spans="1:21">
      <c r="A625">
        <v>624</v>
      </c>
      <c r="B625" s="30" t="s">
        <v>1587</v>
      </c>
      <c r="D625" s="30" t="s">
        <v>1588</v>
      </c>
      <c r="F625" s="30" t="s">
        <v>1591</v>
      </c>
      <c r="H625" s="30" t="s">
        <v>1592</v>
      </c>
      <c r="L625" s="30" t="s">
        <v>1594</v>
      </c>
      <c r="M625" s="30" t="s">
        <v>1636</v>
      </c>
      <c r="N625" s="30" t="s">
        <v>1639</v>
      </c>
      <c r="P625" s="30" t="s">
        <v>4584</v>
      </c>
      <c r="Q625" t="s">
        <v>619</v>
      </c>
      <c r="R625" t="s">
        <v>918</v>
      </c>
      <c r="S625">
        <v>37</v>
      </c>
      <c r="T625" s="29" t="str">
        <f t="shared" si="23"/>
        <v>2021.010B.R.Binomial_names.zip</v>
      </c>
      <c r="U625" s="29" t="str">
        <f>HYPERLINK("https://ictv.global/taxonomy/taxondetails?taxnode_id=202308396","ictv.global=202308396")</f>
        <v>ictv.global=202308396</v>
      </c>
    </row>
    <row r="626" spans="1:21">
      <c r="A626">
        <v>625</v>
      </c>
      <c r="B626" s="30" t="s">
        <v>1587</v>
      </c>
      <c r="D626" s="30" t="s">
        <v>1588</v>
      </c>
      <c r="F626" s="30" t="s">
        <v>1591</v>
      </c>
      <c r="H626" s="30" t="s">
        <v>1592</v>
      </c>
      <c r="L626" s="30" t="s">
        <v>1594</v>
      </c>
      <c r="M626" s="30" t="s">
        <v>1636</v>
      </c>
      <c r="N626" s="30" t="s">
        <v>1639</v>
      </c>
      <c r="P626" s="30" t="s">
        <v>4585</v>
      </c>
      <c r="Q626" t="s">
        <v>619</v>
      </c>
      <c r="R626" t="s">
        <v>918</v>
      </c>
      <c r="S626">
        <v>37</v>
      </c>
      <c r="T626" s="29" t="str">
        <f t="shared" si="23"/>
        <v>2021.010B.R.Binomial_names.zip</v>
      </c>
      <c r="U626" s="29" t="str">
        <f>HYPERLINK("https://ictv.global/taxonomy/taxondetails?taxnode_id=202308397","ictv.global=202308397")</f>
        <v>ictv.global=202308397</v>
      </c>
    </row>
    <row r="627" spans="1:21">
      <c r="A627">
        <v>626</v>
      </c>
      <c r="B627" s="30" t="s">
        <v>1587</v>
      </c>
      <c r="D627" s="30" t="s">
        <v>1588</v>
      </c>
      <c r="F627" s="30" t="s">
        <v>1591</v>
      </c>
      <c r="H627" s="30" t="s">
        <v>1592</v>
      </c>
      <c r="L627" s="30" t="s">
        <v>1594</v>
      </c>
      <c r="M627" s="30" t="s">
        <v>1636</v>
      </c>
      <c r="N627" s="30" t="s">
        <v>1639</v>
      </c>
      <c r="P627" s="30" t="s">
        <v>4586</v>
      </c>
      <c r="Q627" t="s">
        <v>619</v>
      </c>
      <c r="R627" t="s">
        <v>918</v>
      </c>
      <c r="S627">
        <v>37</v>
      </c>
      <c r="T627" s="29" t="str">
        <f t="shared" si="23"/>
        <v>2021.010B.R.Binomial_names.zip</v>
      </c>
      <c r="U627" s="29" t="str">
        <f>HYPERLINK("https://ictv.global/taxonomy/taxondetails?taxnode_id=202308400","ictv.global=202308400")</f>
        <v>ictv.global=202308400</v>
      </c>
    </row>
    <row r="628" spans="1:21">
      <c r="A628">
        <v>627</v>
      </c>
      <c r="B628" s="30" t="s">
        <v>1587</v>
      </c>
      <c r="D628" s="30" t="s">
        <v>1588</v>
      </c>
      <c r="F628" s="30" t="s">
        <v>1591</v>
      </c>
      <c r="H628" s="30" t="s">
        <v>1592</v>
      </c>
      <c r="L628" s="30" t="s">
        <v>1594</v>
      </c>
      <c r="M628" s="30" t="s">
        <v>1636</v>
      </c>
      <c r="N628" s="30" t="s">
        <v>1639</v>
      </c>
      <c r="P628" s="30" t="s">
        <v>4587</v>
      </c>
      <c r="Q628" t="s">
        <v>619</v>
      </c>
      <c r="R628" t="s">
        <v>917</v>
      </c>
      <c r="S628">
        <v>38</v>
      </c>
      <c r="T628" s="29" t="str">
        <f>HYPERLINK("https://ictv.global/ictv/proposals/2022.008B.Autographiviridae_2nsp.zip","2022.008B.Autographiviridae_2nsp.zip")</f>
        <v>2022.008B.Autographiviridae_2nsp.zip</v>
      </c>
      <c r="U628" s="29" t="str">
        <f>HYPERLINK("https://ictv.global/taxonomy/taxondetails?taxnode_id=202314492","ictv.global=202314492")</f>
        <v>ictv.global=202314492</v>
      </c>
    </row>
    <row r="629" spans="1:21">
      <c r="A629">
        <v>628</v>
      </c>
      <c r="B629" s="30" t="s">
        <v>1587</v>
      </c>
      <c r="D629" s="30" t="s">
        <v>1588</v>
      </c>
      <c r="F629" s="30" t="s">
        <v>1591</v>
      </c>
      <c r="H629" s="30" t="s">
        <v>1592</v>
      </c>
      <c r="L629" s="30" t="s">
        <v>1594</v>
      </c>
      <c r="M629" s="30" t="s">
        <v>1636</v>
      </c>
      <c r="N629" s="30" t="s">
        <v>1639</v>
      </c>
      <c r="P629" s="30" t="s">
        <v>4588</v>
      </c>
      <c r="Q629" t="s">
        <v>619</v>
      </c>
      <c r="R629" t="s">
        <v>918</v>
      </c>
      <c r="S629">
        <v>37</v>
      </c>
      <c r="T629" s="29" t="str">
        <f t="shared" ref="T629:T660" si="24">HYPERLINK("https://ictv.global/ictv/proposals/2021.010B.R.Binomial_names.zip","2021.010B.R.Binomial_names.zip")</f>
        <v>2021.010B.R.Binomial_names.zip</v>
      </c>
      <c r="U629" s="29" t="str">
        <f>HYPERLINK("https://ictv.global/taxonomy/taxondetails?taxnode_id=202308399","ictv.global=202308399")</f>
        <v>ictv.global=202308399</v>
      </c>
    </row>
    <row r="630" spans="1:21">
      <c r="A630">
        <v>629</v>
      </c>
      <c r="B630" s="30" t="s">
        <v>1587</v>
      </c>
      <c r="D630" s="30" t="s">
        <v>1588</v>
      </c>
      <c r="F630" s="30" t="s">
        <v>1591</v>
      </c>
      <c r="H630" s="30" t="s">
        <v>1592</v>
      </c>
      <c r="L630" s="30" t="s">
        <v>1594</v>
      </c>
      <c r="M630" s="30" t="s">
        <v>1636</v>
      </c>
      <c r="N630" s="30" t="s">
        <v>1639</v>
      </c>
      <c r="P630" s="30" t="s">
        <v>4589</v>
      </c>
      <c r="Q630" t="s">
        <v>619</v>
      </c>
      <c r="R630" t="s">
        <v>918</v>
      </c>
      <c r="S630">
        <v>37</v>
      </c>
      <c r="T630" s="29" t="str">
        <f t="shared" si="24"/>
        <v>2021.010B.R.Binomial_names.zip</v>
      </c>
      <c r="U630" s="29" t="str">
        <f>HYPERLINK("https://ictv.global/taxonomy/taxondetails?taxnode_id=202308389","ictv.global=202308389")</f>
        <v>ictv.global=202308389</v>
      </c>
    </row>
    <row r="631" spans="1:21">
      <c r="A631">
        <v>630</v>
      </c>
      <c r="B631" s="30" t="s">
        <v>1587</v>
      </c>
      <c r="D631" s="30" t="s">
        <v>1588</v>
      </c>
      <c r="F631" s="30" t="s">
        <v>1591</v>
      </c>
      <c r="H631" s="30" t="s">
        <v>1592</v>
      </c>
      <c r="L631" s="30" t="s">
        <v>1594</v>
      </c>
      <c r="M631" s="30" t="s">
        <v>1636</v>
      </c>
      <c r="N631" s="30" t="s">
        <v>1639</v>
      </c>
      <c r="P631" s="30" t="s">
        <v>4590</v>
      </c>
      <c r="Q631" t="s">
        <v>619</v>
      </c>
      <c r="R631" t="s">
        <v>918</v>
      </c>
      <c r="S631">
        <v>37</v>
      </c>
      <c r="T631" s="29" t="str">
        <f t="shared" si="24"/>
        <v>2021.010B.R.Binomial_names.zip</v>
      </c>
      <c r="U631" s="29" t="str">
        <f>HYPERLINK("https://ictv.global/taxonomy/taxondetails?taxnode_id=202308392","ictv.global=202308392")</f>
        <v>ictv.global=202308392</v>
      </c>
    </row>
    <row r="632" spans="1:21">
      <c r="A632">
        <v>631</v>
      </c>
      <c r="B632" s="30" t="s">
        <v>1587</v>
      </c>
      <c r="D632" s="30" t="s">
        <v>1588</v>
      </c>
      <c r="F632" s="30" t="s">
        <v>1591</v>
      </c>
      <c r="H632" s="30" t="s">
        <v>1592</v>
      </c>
      <c r="L632" s="30" t="s">
        <v>1594</v>
      </c>
      <c r="M632" s="30" t="s">
        <v>1636</v>
      </c>
      <c r="N632" s="30" t="s">
        <v>1640</v>
      </c>
      <c r="P632" s="30" t="s">
        <v>4591</v>
      </c>
      <c r="Q632" t="s">
        <v>619</v>
      </c>
      <c r="R632" t="s">
        <v>918</v>
      </c>
      <c r="S632">
        <v>37</v>
      </c>
      <c r="T632" s="29" t="str">
        <f t="shared" si="24"/>
        <v>2021.010B.R.Binomial_names.zip</v>
      </c>
      <c r="U632" s="29" t="str">
        <f>HYPERLINK("https://ictv.global/taxonomy/taxondetails?taxnode_id=202308454","ictv.global=202308454")</f>
        <v>ictv.global=202308454</v>
      </c>
    </row>
    <row r="633" spans="1:21">
      <c r="A633">
        <v>632</v>
      </c>
      <c r="B633" s="30" t="s">
        <v>1587</v>
      </c>
      <c r="D633" s="30" t="s">
        <v>1588</v>
      </c>
      <c r="F633" s="30" t="s">
        <v>1591</v>
      </c>
      <c r="H633" s="30" t="s">
        <v>1592</v>
      </c>
      <c r="L633" s="30" t="s">
        <v>1594</v>
      </c>
      <c r="M633" s="30" t="s">
        <v>1636</v>
      </c>
      <c r="N633" s="30" t="s">
        <v>1641</v>
      </c>
      <c r="P633" s="30" t="s">
        <v>4592</v>
      </c>
      <c r="Q633" t="s">
        <v>619</v>
      </c>
      <c r="R633" t="s">
        <v>918</v>
      </c>
      <c r="S633">
        <v>37</v>
      </c>
      <c r="T633" s="29" t="str">
        <f t="shared" si="24"/>
        <v>2021.010B.R.Binomial_names.zip</v>
      </c>
      <c r="U633" s="29" t="str">
        <f>HYPERLINK("https://ictv.global/taxonomy/taxondetails?taxnode_id=202308496","ictv.global=202308496")</f>
        <v>ictv.global=202308496</v>
      </c>
    </row>
    <row r="634" spans="1:21">
      <c r="A634">
        <v>633</v>
      </c>
      <c r="B634" s="30" t="s">
        <v>1587</v>
      </c>
      <c r="D634" s="30" t="s">
        <v>1588</v>
      </c>
      <c r="F634" s="30" t="s">
        <v>1591</v>
      </c>
      <c r="H634" s="30" t="s">
        <v>1592</v>
      </c>
      <c r="L634" s="30" t="s">
        <v>1594</v>
      </c>
      <c r="M634" s="30" t="s">
        <v>1636</v>
      </c>
      <c r="N634" s="30" t="s">
        <v>1641</v>
      </c>
      <c r="P634" s="30" t="s">
        <v>4593</v>
      </c>
      <c r="Q634" t="s">
        <v>619</v>
      </c>
      <c r="R634" t="s">
        <v>918</v>
      </c>
      <c r="S634">
        <v>37</v>
      </c>
      <c r="T634" s="29" t="str">
        <f t="shared" si="24"/>
        <v>2021.010B.R.Binomial_names.zip</v>
      </c>
      <c r="U634" s="29" t="str">
        <f>HYPERLINK("https://ictv.global/taxonomy/taxondetails?taxnode_id=202308495","ictv.global=202308495")</f>
        <v>ictv.global=202308495</v>
      </c>
    </row>
    <row r="635" spans="1:21">
      <c r="A635">
        <v>634</v>
      </c>
      <c r="B635" s="30" t="s">
        <v>1587</v>
      </c>
      <c r="D635" s="30" t="s">
        <v>1588</v>
      </c>
      <c r="F635" s="30" t="s">
        <v>1591</v>
      </c>
      <c r="H635" s="30" t="s">
        <v>1592</v>
      </c>
      <c r="L635" s="30" t="s">
        <v>1594</v>
      </c>
      <c r="M635" s="30" t="s">
        <v>1636</v>
      </c>
      <c r="N635" s="30" t="s">
        <v>1641</v>
      </c>
      <c r="P635" s="30" t="s">
        <v>4594</v>
      </c>
      <c r="Q635" t="s">
        <v>619</v>
      </c>
      <c r="R635" t="s">
        <v>918</v>
      </c>
      <c r="S635">
        <v>37</v>
      </c>
      <c r="T635" s="29" t="str">
        <f t="shared" si="24"/>
        <v>2021.010B.R.Binomial_names.zip</v>
      </c>
      <c r="U635" s="29" t="str">
        <f>HYPERLINK("https://ictv.global/taxonomy/taxondetails?taxnode_id=202308497","ictv.global=202308497")</f>
        <v>ictv.global=202308497</v>
      </c>
    </row>
    <row r="636" spans="1:21">
      <c r="A636">
        <v>635</v>
      </c>
      <c r="B636" s="30" t="s">
        <v>1587</v>
      </c>
      <c r="D636" s="30" t="s">
        <v>1588</v>
      </c>
      <c r="F636" s="30" t="s">
        <v>1591</v>
      </c>
      <c r="H636" s="30" t="s">
        <v>1592</v>
      </c>
      <c r="L636" s="30" t="s">
        <v>1594</v>
      </c>
      <c r="M636" s="30" t="s">
        <v>1636</v>
      </c>
      <c r="N636" s="30" t="s">
        <v>1642</v>
      </c>
      <c r="P636" s="30" t="s">
        <v>4595</v>
      </c>
      <c r="Q636" t="s">
        <v>619</v>
      </c>
      <c r="R636" t="s">
        <v>918</v>
      </c>
      <c r="S636">
        <v>37</v>
      </c>
      <c r="T636" s="29" t="str">
        <f t="shared" si="24"/>
        <v>2021.010B.R.Binomial_names.zip</v>
      </c>
      <c r="U636" s="29" t="str">
        <f>HYPERLINK("https://ictv.global/taxonomy/taxondetails?taxnode_id=202308425","ictv.global=202308425")</f>
        <v>ictv.global=202308425</v>
      </c>
    </row>
    <row r="637" spans="1:21">
      <c r="A637">
        <v>636</v>
      </c>
      <c r="B637" s="30" t="s">
        <v>1587</v>
      </c>
      <c r="D637" s="30" t="s">
        <v>1588</v>
      </c>
      <c r="F637" s="30" t="s">
        <v>1591</v>
      </c>
      <c r="H637" s="30" t="s">
        <v>1592</v>
      </c>
      <c r="L637" s="30" t="s">
        <v>1594</v>
      </c>
      <c r="M637" s="30" t="s">
        <v>1636</v>
      </c>
      <c r="N637" s="30" t="s">
        <v>1643</v>
      </c>
      <c r="P637" s="30" t="s">
        <v>4596</v>
      </c>
      <c r="Q637" t="s">
        <v>619</v>
      </c>
      <c r="R637" t="s">
        <v>918</v>
      </c>
      <c r="S637">
        <v>37</v>
      </c>
      <c r="T637" s="29" t="str">
        <f t="shared" si="24"/>
        <v>2021.010B.R.Binomial_names.zip</v>
      </c>
      <c r="U637" s="29" t="str">
        <f>HYPERLINK("https://ictv.global/taxonomy/taxondetails?taxnode_id=202308423","ictv.global=202308423")</f>
        <v>ictv.global=202308423</v>
      </c>
    </row>
    <row r="638" spans="1:21">
      <c r="A638">
        <v>637</v>
      </c>
      <c r="B638" s="30" t="s">
        <v>1587</v>
      </c>
      <c r="D638" s="30" t="s">
        <v>1588</v>
      </c>
      <c r="F638" s="30" t="s">
        <v>1591</v>
      </c>
      <c r="H638" s="30" t="s">
        <v>1592</v>
      </c>
      <c r="L638" s="30" t="s">
        <v>1594</v>
      </c>
      <c r="M638" s="30" t="s">
        <v>1636</v>
      </c>
      <c r="N638" s="30" t="s">
        <v>1644</v>
      </c>
      <c r="P638" s="30" t="s">
        <v>4597</v>
      </c>
      <c r="Q638" t="s">
        <v>619</v>
      </c>
      <c r="R638" t="s">
        <v>918</v>
      </c>
      <c r="S638">
        <v>37</v>
      </c>
      <c r="T638" s="29" t="str">
        <f t="shared" si="24"/>
        <v>2021.010B.R.Binomial_names.zip</v>
      </c>
      <c r="U638" s="29" t="str">
        <f>HYPERLINK("https://ictv.global/taxonomy/taxondetails?taxnode_id=202308427","ictv.global=202308427")</f>
        <v>ictv.global=202308427</v>
      </c>
    </row>
    <row r="639" spans="1:21">
      <c r="A639">
        <v>638</v>
      </c>
      <c r="B639" s="30" t="s">
        <v>1587</v>
      </c>
      <c r="D639" s="30" t="s">
        <v>1588</v>
      </c>
      <c r="F639" s="30" t="s">
        <v>1591</v>
      </c>
      <c r="H639" s="30" t="s">
        <v>1592</v>
      </c>
      <c r="L639" s="30" t="s">
        <v>1594</v>
      </c>
      <c r="M639" s="30" t="s">
        <v>1636</v>
      </c>
      <c r="N639" s="30" t="s">
        <v>1645</v>
      </c>
      <c r="P639" s="30" t="s">
        <v>4598</v>
      </c>
      <c r="Q639" t="s">
        <v>619</v>
      </c>
      <c r="R639" t="s">
        <v>918</v>
      </c>
      <c r="S639">
        <v>37</v>
      </c>
      <c r="T639" s="29" t="str">
        <f t="shared" si="24"/>
        <v>2021.010B.R.Binomial_names.zip</v>
      </c>
      <c r="U639" s="29" t="str">
        <f>HYPERLINK("https://ictv.global/taxonomy/taxondetails?taxnode_id=202308353","ictv.global=202308353")</f>
        <v>ictv.global=202308353</v>
      </c>
    </row>
    <row r="640" spans="1:21">
      <c r="A640">
        <v>639</v>
      </c>
      <c r="B640" s="30" t="s">
        <v>1587</v>
      </c>
      <c r="D640" s="30" t="s">
        <v>1588</v>
      </c>
      <c r="F640" s="30" t="s">
        <v>1591</v>
      </c>
      <c r="H640" s="30" t="s">
        <v>1592</v>
      </c>
      <c r="L640" s="30" t="s">
        <v>1594</v>
      </c>
      <c r="M640" s="30" t="s">
        <v>1636</v>
      </c>
      <c r="N640" s="30" t="s">
        <v>1645</v>
      </c>
      <c r="P640" s="30" t="s">
        <v>4599</v>
      </c>
      <c r="Q640" t="s">
        <v>619</v>
      </c>
      <c r="R640" t="s">
        <v>918</v>
      </c>
      <c r="S640">
        <v>37</v>
      </c>
      <c r="T640" s="29" t="str">
        <f t="shared" si="24"/>
        <v>2021.010B.R.Binomial_names.zip</v>
      </c>
      <c r="U640" s="29" t="str">
        <f>HYPERLINK("https://ictv.global/taxonomy/taxondetails?taxnode_id=202300585","ictv.global=202300585")</f>
        <v>ictv.global=202300585</v>
      </c>
    </row>
    <row r="641" spans="1:21">
      <c r="A641">
        <v>640</v>
      </c>
      <c r="B641" s="30" t="s">
        <v>1587</v>
      </c>
      <c r="D641" s="30" t="s">
        <v>1588</v>
      </c>
      <c r="F641" s="30" t="s">
        <v>1591</v>
      </c>
      <c r="H641" s="30" t="s">
        <v>1592</v>
      </c>
      <c r="L641" s="30" t="s">
        <v>1594</v>
      </c>
      <c r="M641" s="30" t="s">
        <v>1636</v>
      </c>
      <c r="N641" s="30" t="s">
        <v>1645</v>
      </c>
      <c r="P641" s="30" t="s">
        <v>4600</v>
      </c>
      <c r="Q641" t="s">
        <v>619</v>
      </c>
      <c r="R641" t="s">
        <v>918</v>
      </c>
      <c r="S641">
        <v>37</v>
      </c>
      <c r="T641" s="29" t="str">
        <f t="shared" si="24"/>
        <v>2021.010B.R.Binomial_names.zip</v>
      </c>
      <c r="U641" s="29" t="str">
        <f>HYPERLINK("https://ictv.global/taxonomy/taxondetails?taxnode_id=202308352","ictv.global=202308352")</f>
        <v>ictv.global=202308352</v>
      </c>
    </row>
    <row r="642" spans="1:21">
      <c r="A642">
        <v>641</v>
      </c>
      <c r="B642" s="30" t="s">
        <v>1587</v>
      </c>
      <c r="D642" s="30" t="s">
        <v>1588</v>
      </c>
      <c r="F642" s="30" t="s">
        <v>1591</v>
      </c>
      <c r="H642" s="30" t="s">
        <v>1592</v>
      </c>
      <c r="L642" s="30" t="s">
        <v>1594</v>
      </c>
      <c r="M642" s="30" t="s">
        <v>1636</v>
      </c>
      <c r="N642" s="30" t="s">
        <v>1645</v>
      </c>
      <c r="P642" s="30" t="s">
        <v>4601</v>
      </c>
      <c r="Q642" t="s">
        <v>619</v>
      </c>
      <c r="R642" t="s">
        <v>918</v>
      </c>
      <c r="S642">
        <v>37</v>
      </c>
      <c r="T642" s="29" t="str">
        <f t="shared" si="24"/>
        <v>2021.010B.R.Binomial_names.zip</v>
      </c>
      <c r="U642" s="29" t="str">
        <f>HYPERLINK("https://ictv.global/taxonomy/taxondetails?taxnode_id=202308349","ictv.global=202308349")</f>
        <v>ictv.global=202308349</v>
      </c>
    </row>
    <row r="643" spans="1:21">
      <c r="A643">
        <v>642</v>
      </c>
      <c r="B643" s="30" t="s">
        <v>1587</v>
      </c>
      <c r="D643" s="30" t="s">
        <v>1588</v>
      </c>
      <c r="F643" s="30" t="s">
        <v>1591</v>
      </c>
      <c r="H643" s="30" t="s">
        <v>1592</v>
      </c>
      <c r="L643" s="30" t="s">
        <v>1594</v>
      </c>
      <c r="M643" s="30" t="s">
        <v>1636</v>
      </c>
      <c r="N643" s="30" t="s">
        <v>1645</v>
      </c>
      <c r="P643" s="30" t="s">
        <v>4602</v>
      </c>
      <c r="Q643" t="s">
        <v>619</v>
      </c>
      <c r="R643" t="s">
        <v>918</v>
      </c>
      <c r="S643">
        <v>37</v>
      </c>
      <c r="T643" s="29" t="str">
        <f t="shared" si="24"/>
        <v>2021.010B.R.Binomial_names.zip</v>
      </c>
      <c r="U643" s="29" t="str">
        <f>HYPERLINK("https://ictv.global/taxonomy/taxondetails?taxnode_id=202308351","ictv.global=202308351")</f>
        <v>ictv.global=202308351</v>
      </c>
    </row>
    <row r="644" spans="1:21">
      <c r="A644">
        <v>643</v>
      </c>
      <c r="B644" s="30" t="s">
        <v>1587</v>
      </c>
      <c r="D644" s="30" t="s">
        <v>1588</v>
      </c>
      <c r="F644" s="30" t="s">
        <v>1591</v>
      </c>
      <c r="H644" s="30" t="s">
        <v>1592</v>
      </c>
      <c r="L644" s="30" t="s">
        <v>1594</v>
      </c>
      <c r="M644" s="30" t="s">
        <v>1636</v>
      </c>
      <c r="N644" s="30" t="s">
        <v>1645</v>
      </c>
      <c r="P644" s="30" t="s">
        <v>4603</v>
      </c>
      <c r="Q644" t="s">
        <v>619</v>
      </c>
      <c r="R644" t="s">
        <v>918</v>
      </c>
      <c r="S644">
        <v>37</v>
      </c>
      <c r="T644" s="29" t="str">
        <f t="shared" si="24"/>
        <v>2021.010B.R.Binomial_names.zip</v>
      </c>
      <c r="U644" s="29" t="str">
        <f>HYPERLINK("https://ictv.global/taxonomy/taxondetails?taxnode_id=202308347","ictv.global=202308347")</f>
        <v>ictv.global=202308347</v>
      </c>
    </row>
    <row r="645" spans="1:21">
      <c r="A645">
        <v>644</v>
      </c>
      <c r="B645" s="30" t="s">
        <v>1587</v>
      </c>
      <c r="D645" s="30" t="s">
        <v>1588</v>
      </c>
      <c r="F645" s="30" t="s">
        <v>1591</v>
      </c>
      <c r="H645" s="30" t="s">
        <v>1592</v>
      </c>
      <c r="L645" s="30" t="s">
        <v>1594</v>
      </c>
      <c r="M645" s="30" t="s">
        <v>1636</v>
      </c>
      <c r="N645" s="30" t="s">
        <v>1645</v>
      </c>
      <c r="P645" s="30" t="s">
        <v>4604</v>
      </c>
      <c r="Q645" t="s">
        <v>619</v>
      </c>
      <c r="R645" t="s">
        <v>918</v>
      </c>
      <c r="S645">
        <v>37</v>
      </c>
      <c r="T645" s="29" t="str">
        <f t="shared" si="24"/>
        <v>2021.010B.R.Binomial_names.zip</v>
      </c>
      <c r="U645" s="29" t="str">
        <f>HYPERLINK("https://ictv.global/taxonomy/taxondetails?taxnode_id=202308345","ictv.global=202308345")</f>
        <v>ictv.global=202308345</v>
      </c>
    </row>
    <row r="646" spans="1:21">
      <c r="A646">
        <v>645</v>
      </c>
      <c r="B646" s="30" t="s">
        <v>1587</v>
      </c>
      <c r="D646" s="30" t="s">
        <v>1588</v>
      </c>
      <c r="F646" s="30" t="s">
        <v>1591</v>
      </c>
      <c r="H646" s="30" t="s">
        <v>1592</v>
      </c>
      <c r="L646" s="30" t="s">
        <v>1594</v>
      </c>
      <c r="M646" s="30" t="s">
        <v>1636</v>
      </c>
      <c r="N646" s="30" t="s">
        <v>1645</v>
      </c>
      <c r="P646" s="30" t="s">
        <v>4605</v>
      </c>
      <c r="Q646" t="s">
        <v>619</v>
      </c>
      <c r="R646" t="s">
        <v>918</v>
      </c>
      <c r="S646">
        <v>37</v>
      </c>
      <c r="T646" s="29" t="str">
        <f t="shared" si="24"/>
        <v>2021.010B.R.Binomial_names.zip</v>
      </c>
      <c r="U646" s="29" t="str">
        <f>HYPERLINK("https://ictv.global/taxonomy/taxondetails?taxnode_id=202308346","ictv.global=202308346")</f>
        <v>ictv.global=202308346</v>
      </c>
    </row>
    <row r="647" spans="1:21">
      <c r="A647">
        <v>646</v>
      </c>
      <c r="B647" s="30" t="s">
        <v>1587</v>
      </c>
      <c r="D647" s="30" t="s">
        <v>1588</v>
      </c>
      <c r="F647" s="30" t="s">
        <v>1591</v>
      </c>
      <c r="H647" s="30" t="s">
        <v>1592</v>
      </c>
      <c r="L647" s="30" t="s">
        <v>1594</v>
      </c>
      <c r="M647" s="30" t="s">
        <v>1636</v>
      </c>
      <c r="N647" s="30" t="s">
        <v>1645</v>
      </c>
      <c r="P647" s="30" t="s">
        <v>4606</v>
      </c>
      <c r="Q647" t="s">
        <v>619</v>
      </c>
      <c r="R647" t="s">
        <v>918</v>
      </c>
      <c r="S647">
        <v>37</v>
      </c>
      <c r="T647" s="29" t="str">
        <f t="shared" si="24"/>
        <v>2021.010B.R.Binomial_names.zip</v>
      </c>
      <c r="U647" s="29" t="str">
        <f>HYPERLINK("https://ictv.global/taxonomy/taxondetails?taxnode_id=202308350","ictv.global=202308350")</f>
        <v>ictv.global=202308350</v>
      </c>
    </row>
    <row r="648" spans="1:21">
      <c r="A648">
        <v>647</v>
      </c>
      <c r="B648" s="30" t="s">
        <v>1587</v>
      </c>
      <c r="D648" s="30" t="s">
        <v>1588</v>
      </c>
      <c r="F648" s="30" t="s">
        <v>1591</v>
      </c>
      <c r="H648" s="30" t="s">
        <v>1592</v>
      </c>
      <c r="L648" s="30" t="s">
        <v>1594</v>
      </c>
      <c r="M648" s="30" t="s">
        <v>1636</v>
      </c>
      <c r="N648" s="30" t="s">
        <v>1645</v>
      </c>
      <c r="P648" s="30" t="s">
        <v>4607</v>
      </c>
      <c r="Q648" t="s">
        <v>619</v>
      </c>
      <c r="R648" t="s">
        <v>918</v>
      </c>
      <c r="S648">
        <v>37</v>
      </c>
      <c r="T648" s="29" t="str">
        <f t="shared" si="24"/>
        <v>2021.010B.R.Binomial_names.zip</v>
      </c>
      <c r="U648" s="29" t="str">
        <f>HYPERLINK("https://ictv.global/taxonomy/taxondetails?taxnode_id=202308348","ictv.global=202308348")</f>
        <v>ictv.global=202308348</v>
      </c>
    </row>
    <row r="649" spans="1:21">
      <c r="A649">
        <v>648</v>
      </c>
      <c r="B649" s="30" t="s">
        <v>1587</v>
      </c>
      <c r="D649" s="30" t="s">
        <v>1588</v>
      </c>
      <c r="F649" s="30" t="s">
        <v>1591</v>
      </c>
      <c r="H649" s="30" t="s">
        <v>1592</v>
      </c>
      <c r="L649" s="30" t="s">
        <v>1594</v>
      </c>
      <c r="M649" s="30" t="s">
        <v>1636</v>
      </c>
      <c r="N649" s="30" t="s">
        <v>1646</v>
      </c>
      <c r="P649" s="30" t="s">
        <v>4608</v>
      </c>
      <c r="Q649" t="s">
        <v>619</v>
      </c>
      <c r="R649" t="s">
        <v>918</v>
      </c>
      <c r="S649">
        <v>37</v>
      </c>
      <c r="T649" s="29" t="str">
        <f t="shared" si="24"/>
        <v>2021.010B.R.Binomial_names.zip</v>
      </c>
      <c r="U649" s="29" t="str">
        <f>HYPERLINK("https://ictv.global/taxonomy/taxondetails?taxnode_id=202308378","ictv.global=202308378")</f>
        <v>ictv.global=202308378</v>
      </c>
    </row>
    <row r="650" spans="1:21">
      <c r="A650">
        <v>649</v>
      </c>
      <c r="B650" s="30" t="s">
        <v>1587</v>
      </c>
      <c r="D650" s="30" t="s">
        <v>1588</v>
      </c>
      <c r="F650" s="30" t="s">
        <v>1591</v>
      </c>
      <c r="H650" s="30" t="s">
        <v>1592</v>
      </c>
      <c r="L650" s="30" t="s">
        <v>1594</v>
      </c>
      <c r="M650" s="30" t="s">
        <v>1636</v>
      </c>
      <c r="N650" s="30" t="s">
        <v>1646</v>
      </c>
      <c r="P650" s="30" t="s">
        <v>4609</v>
      </c>
      <c r="Q650" t="s">
        <v>619</v>
      </c>
      <c r="R650" t="s">
        <v>918</v>
      </c>
      <c r="S650">
        <v>37</v>
      </c>
      <c r="T650" s="29" t="str">
        <f t="shared" si="24"/>
        <v>2021.010B.R.Binomial_names.zip</v>
      </c>
      <c r="U650" s="29" t="str">
        <f>HYPERLINK("https://ictv.global/taxonomy/taxondetails?taxnode_id=202308376","ictv.global=202308376")</f>
        <v>ictv.global=202308376</v>
      </c>
    </row>
    <row r="651" spans="1:21">
      <c r="A651">
        <v>650</v>
      </c>
      <c r="B651" s="30" t="s">
        <v>1587</v>
      </c>
      <c r="D651" s="30" t="s">
        <v>1588</v>
      </c>
      <c r="F651" s="30" t="s">
        <v>1591</v>
      </c>
      <c r="H651" s="30" t="s">
        <v>1592</v>
      </c>
      <c r="L651" s="30" t="s">
        <v>1594</v>
      </c>
      <c r="M651" s="30" t="s">
        <v>1636</v>
      </c>
      <c r="N651" s="30" t="s">
        <v>1646</v>
      </c>
      <c r="P651" s="30" t="s">
        <v>4610</v>
      </c>
      <c r="Q651" t="s">
        <v>619</v>
      </c>
      <c r="R651" t="s">
        <v>918</v>
      </c>
      <c r="S651">
        <v>37</v>
      </c>
      <c r="T651" s="29" t="str">
        <f t="shared" si="24"/>
        <v>2021.010B.R.Binomial_names.zip</v>
      </c>
      <c r="U651" s="29" t="str">
        <f>HYPERLINK("https://ictv.global/taxonomy/taxondetails?taxnode_id=202308375","ictv.global=202308375")</f>
        <v>ictv.global=202308375</v>
      </c>
    </row>
    <row r="652" spans="1:21">
      <c r="A652">
        <v>651</v>
      </c>
      <c r="B652" s="30" t="s">
        <v>1587</v>
      </c>
      <c r="D652" s="30" t="s">
        <v>1588</v>
      </c>
      <c r="F652" s="30" t="s">
        <v>1591</v>
      </c>
      <c r="H652" s="30" t="s">
        <v>1592</v>
      </c>
      <c r="L652" s="30" t="s">
        <v>1594</v>
      </c>
      <c r="M652" s="30" t="s">
        <v>1636</v>
      </c>
      <c r="N652" s="30" t="s">
        <v>1646</v>
      </c>
      <c r="P652" s="30" t="s">
        <v>4611</v>
      </c>
      <c r="Q652" t="s">
        <v>619</v>
      </c>
      <c r="R652" t="s">
        <v>918</v>
      </c>
      <c r="S652">
        <v>37</v>
      </c>
      <c r="T652" s="29" t="str">
        <f t="shared" si="24"/>
        <v>2021.010B.R.Binomial_names.zip</v>
      </c>
      <c r="U652" s="29" t="str">
        <f>HYPERLINK("https://ictv.global/taxonomy/taxondetails?taxnode_id=202308377","ictv.global=202308377")</f>
        <v>ictv.global=202308377</v>
      </c>
    </row>
    <row r="653" spans="1:21">
      <c r="A653">
        <v>652</v>
      </c>
      <c r="B653" s="30" t="s">
        <v>1587</v>
      </c>
      <c r="D653" s="30" t="s">
        <v>1588</v>
      </c>
      <c r="F653" s="30" t="s">
        <v>1591</v>
      </c>
      <c r="H653" s="30" t="s">
        <v>1592</v>
      </c>
      <c r="L653" s="30" t="s">
        <v>1594</v>
      </c>
      <c r="M653" s="30" t="s">
        <v>1636</v>
      </c>
      <c r="N653" s="30" t="s">
        <v>1647</v>
      </c>
      <c r="P653" s="30" t="s">
        <v>4612</v>
      </c>
      <c r="Q653" t="s">
        <v>619</v>
      </c>
      <c r="R653" t="s">
        <v>918</v>
      </c>
      <c r="S653">
        <v>37</v>
      </c>
      <c r="T653" s="29" t="str">
        <f t="shared" si="24"/>
        <v>2021.010B.R.Binomial_names.zip</v>
      </c>
      <c r="U653" s="29" t="str">
        <f>HYPERLINK("https://ictv.global/taxonomy/taxondetails?taxnode_id=202308458","ictv.global=202308458")</f>
        <v>ictv.global=202308458</v>
      </c>
    </row>
    <row r="654" spans="1:21">
      <c r="A654">
        <v>653</v>
      </c>
      <c r="B654" s="30" t="s">
        <v>1587</v>
      </c>
      <c r="D654" s="30" t="s">
        <v>1588</v>
      </c>
      <c r="F654" s="30" t="s">
        <v>1591</v>
      </c>
      <c r="H654" s="30" t="s">
        <v>1592</v>
      </c>
      <c r="L654" s="30" t="s">
        <v>1594</v>
      </c>
      <c r="M654" s="30" t="s">
        <v>1636</v>
      </c>
      <c r="N654" s="30" t="s">
        <v>1648</v>
      </c>
      <c r="P654" s="30" t="s">
        <v>4613</v>
      </c>
      <c r="Q654" t="s">
        <v>619</v>
      </c>
      <c r="R654" t="s">
        <v>918</v>
      </c>
      <c r="S654">
        <v>37</v>
      </c>
      <c r="T654" s="29" t="str">
        <f t="shared" si="24"/>
        <v>2021.010B.R.Binomial_names.zip</v>
      </c>
      <c r="U654" s="29" t="str">
        <f>HYPERLINK("https://ictv.global/taxonomy/taxondetails?taxnode_id=202308406","ictv.global=202308406")</f>
        <v>ictv.global=202308406</v>
      </c>
    </row>
    <row r="655" spans="1:21">
      <c r="A655">
        <v>654</v>
      </c>
      <c r="B655" s="30" t="s">
        <v>1587</v>
      </c>
      <c r="D655" s="30" t="s">
        <v>1588</v>
      </c>
      <c r="F655" s="30" t="s">
        <v>1591</v>
      </c>
      <c r="H655" s="30" t="s">
        <v>1592</v>
      </c>
      <c r="L655" s="30" t="s">
        <v>1594</v>
      </c>
      <c r="M655" s="30" t="s">
        <v>1636</v>
      </c>
      <c r="N655" s="30" t="s">
        <v>1648</v>
      </c>
      <c r="P655" s="30" t="s">
        <v>4614</v>
      </c>
      <c r="Q655" t="s">
        <v>619</v>
      </c>
      <c r="R655" t="s">
        <v>918</v>
      </c>
      <c r="S655">
        <v>37</v>
      </c>
      <c r="T655" s="29" t="str">
        <f t="shared" si="24"/>
        <v>2021.010B.R.Binomial_names.zip</v>
      </c>
      <c r="U655" s="29" t="str">
        <f>HYPERLINK("https://ictv.global/taxonomy/taxondetails?taxnode_id=202308405","ictv.global=202308405")</f>
        <v>ictv.global=202308405</v>
      </c>
    </row>
    <row r="656" spans="1:21">
      <c r="A656">
        <v>655</v>
      </c>
      <c r="B656" s="30" t="s">
        <v>1587</v>
      </c>
      <c r="D656" s="30" t="s">
        <v>1588</v>
      </c>
      <c r="F656" s="30" t="s">
        <v>1591</v>
      </c>
      <c r="H656" s="30" t="s">
        <v>1592</v>
      </c>
      <c r="L656" s="30" t="s">
        <v>1594</v>
      </c>
      <c r="M656" s="30" t="s">
        <v>1636</v>
      </c>
      <c r="N656" s="30" t="s">
        <v>1648</v>
      </c>
      <c r="P656" s="30" t="s">
        <v>4615</v>
      </c>
      <c r="Q656" t="s">
        <v>619</v>
      </c>
      <c r="R656" t="s">
        <v>918</v>
      </c>
      <c r="S656">
        <v>37</v>
      </c>
      <c r="T656" s="29" t="str">
        <f t="shared" si="24"/>
        <v>2021.010B.R.Binomial_names.zip</v>
      </c>
      <c r="U656" s="29" t="str">
        <f>HYPERLINK("https://ictv.global/taxonomy/taxondetails?taxnode_id=202308404","ictv.global=202308404")</f>
        <v>ictv.global=202308404</v>
      </c>
    </row>
    <row r="657" spans="1:21">
      <c r="A657">
        <v>656</v>
      </c>
      <c r="B657" s="30" t="s">
        <v>1587</v>
      </c>
      <c r="D657" s="30" t="s">
        <v>1588</v>
      </c>
      <c r="F657" s="30" t="s">
        <v>1591</v>
      </c>
      <c r="H657" s="30" t="s">
        <v>1592</v>
      </c>
      <c r="L657" s="30" t="s">
        <v>1594</v>
      </c>
      <c r="M657" s="30" t="s">
        <v>1636</v>
      </c>
      <c r="N657" s="30" t="s">
        <v>1648</v>
      </c>
      <c r="P657" s="30" t="s">
        <v>4616</v>
      </c>
      <c r="Q657" t="s">
        <v>619</v>
      </c>
      <c r="R657" t="s">
        <v>918</v>
      </c>
      <c r="S657">
        <v>37</v>
      </c>
      <c r="T657" s="29" t="str">
        <f t="shared" si="24"/>
        <v>2021.010B.R.Binomial_names.zip</v>
      </c>
      <c r="U657" s="29" t="str">
        <f>HYPERLINK("https://ictv.global/taxonomy/taxondetails?taxnode_id=202308420","ictv.global=202308420")</f>
        <v>ictv.global=202308420</v>
      </c>
    </row>
    <row r="658" spans="1:21">
      <c r="A658">
        <v>657</v>
      </c>
      <c r="B658" s="30" t="s">
        <v>1587</v>
      </c>
      <c r="D658" s="30" t="s">
        <v>1588</v>
      </c>
      <c r="F658" s="30" t="s">
        <v>1591</v>
      </c>
      <c r="H658" s="30" t="s">
        <v>1592</v>
      </c>
      <c r="L658" s="30" t="s">
        <v>1594</v>
      </c>
      <c r="M658" s="30" t="s">
        <v>1636</v>
      </c>
      <c r="N658" s="30" t="s">
        <v>1648</v>
      </c>
      <c r="P658" s="30" t="s">
        <v>4617</v>
      </c>
      <c r="Q658" t="s">
        <v>619</v>
      </c>
      <c r="R658" t="s">
        <v>918</v>
      </c>
      <c r="S658">
        <v>37</v>
      </c>
      <c r="T658" s="29" t="str">
        <f t="shared" si="24"/>
        <v>2021.010B.R.Binomial_names.zip</v>
      </c>
      <c r="U658" s="29" t="str">
        <f>HYPERLINK("https://ictv.global/taxonomy/taxondetails?taxnode_id=202308412","ictv.global=202308412")</f>
        <v>ictv.global=202308412</v>
      </c>
    </row>
    <row r="659" spans="1:21">
      <c r="A659">
        <v>658</v>
      </c>
      <c r="B659" s="30" t="s">
        <v>1587</v>
      </c>
      <c r="D659" s="30" t="s">
        <v>1588</v>
      </c>
      <c r="F659" s="30" t="s">
        <v>1591</v>
      </c>
      <c r="H659" s="30" t="s">
        <v>1592</v>
      </c>
      <c r="L659" s="30" t="s">
        <v>1594</v>
      </c>
      <c r="M659" s="30" t="s">
        <v>1636</v>
      </c>
      <c r="N659" s="30" t="s">
        <v>1648</v>
      </c>
      <c r="P659" s="30" t="s">
        <v>4618</v>
      </c>
      <c r="Q659" t="s">
        <v>619</v>
      </c>
      <c r="R659" t="s">
        <v>918</v>
      </c>
      <c r="S659">
        <v>37</v>
      </c>
      <c r="T659" s="29" t="str">
        <f t="shared" si="24"/>
        <v>2021.010B.R.Binomial_names.zip</v>
      </c>
      <c r="U659" s="29" t="str">
        <f>HYPERLINK("https://ictv.global/taxonomy/taxondetails?taxnode_id=202308408","ictv.global=202308408")</f>
        <v>ictv.global=202308408</v>
      </c>
    </row>
    <row r="660" spans="1:21">
      <c r="A660">
        <v>659</v>
      </c>
      <c r="B660" s="30" t="s">
        <v>1587</v>
      </c>
      <c r="D660" s="30" t="s">
        <v>1588</v>
      </c>
      <c r="F660" s="30" t="s">
        <v>1591</v>
      </c>
      <c r="H660" s="30" t="s">
        <v>1592</v>
      </c>
      <c r="L660" s="30" t="s">
        <v>1594</v>
      </c>
      <c r="M660" s="30" t="s">
        <v>1636</v>
      </c>
      <c r="N660" s="30" t="s">
        <v>1648</v>
      </c>
      <c r="P660" s="30" t="s">
        <v>4619</v>
      </c>
      <c r="Q660" t="s">
        <v>619</v>
      </c>
      <c r="R660" t="s">
        <v>918</v>
      </c>
      <c r="S660">
        <v>37</v>
      </c>
      <c r="T660" s="29" t="str">
        <f t="shared" si="24"/>
        <v>2021.010B.R.Binomial_names.zip</v>
      </c>
      <c r="U660" s="29" t="str">
        <f>HYPERLINK("https://ictv.global/taxonomy/taxondetails?taxnode_id=202308418","ictv.global=202308418")</f>
        <v>ictv.global=202308418</v>
      </c>
    </row>
    <row r="661" spans="1:21">
      <c r="A661">
        <v>660</v>
      </c>
      <c r="B661" s="30" t="s">
        <v>1587</v>
      </c>
      <c r="D661" s="30" t="s">
        <v>1588</v>
      </c>
      <c r="F661" s="30" t="s">
        <v>1591</v>
      </c>
      <c r="H661" s="30" t="s">
        <v>1592</v>
      </c>
      <c r="L661" s="30" t="s">
        <v>1594</v>
      </c>
      <c r="M661" s="30" t="s">
        <v>1636</v>
      </c>
      <c r="N661" s="30" t="s">
        <v>1648</v>
      </c>
      <c r="P661" s="30" t="s">
        <v>4620</v>
      </c>
      <c r="Q661" t="s">
        <v>619</v>
      </c>
      <c r="R661" t="s">
        <v>918</v>
      </c>
      <c r="S661">
        <v>37</v>
      </c>
      <c r="T661" s="29" t="str">
        <f t="shared" ref="T661:T688" si="25">HYPERLINK("https://ictv.global/ictv/proposals/2021.010B.R.Binomial_names.zip","2021.010B.R.Binomial_names.zip")</f>
        <v>2021.010B.R.Binomial_names.zip</v>
      </c>
      <c r="U661" s="29" t="str">
        <f>HYPERLINK("https://ictv.global/taxonomy/taxondetails?taxnode_id=202308421","ictv.global=202308421")</f>
        <v>ictv.global=202308421</v>
      </c>
    </row>
    <row r="662" spans="1:21">
      <c r="A662">
        <v>661</v>
      </c>
      <c r="B662" s="30" t="s">
        <v>1587</v>
      </c>
      <c r="D662" s="30" t="s">
        <v>1588</v>
      </c>
      <c r="F662" s="30" t="s">
        <v>1591</v>
      </c>
      <c r="H662" s="30" t="s">
        <v>1592</v>
      </c>
      <c r="L662" s="30" t="s">
        <v>1594</v>
      </c>
      <c r="M662" s="30" t="s">
        <v>1636</v>
      </c>
      <c r="N662" s="30" t="s">
        <v>1648</v>
      </c>
      <c r="P662" s="30" t="s">
        <v>4621</v>
      </c>
      <c r="Q662" t="s">
        <v>619</v>
      </c>
      <c r="R662" t="s">
        <v>918</v>
      </c>
      <c r="S662">
        <v>37</v>
      </c>
      <c r="T662" s="29" t="str">
        <f t="shared" si="25"/>
        <v>2021.010B.R.Binomial_names.zip</v>
      </c>
      <c r="U662" s="29" t="str">
        <f>HYPERLINK("https://ictv.global/taxonomy/taxondetails?taxnode_id=202308403","ictv.global=202308403")</f>
        <v>ictv.global=202308403</v>
      </c>
    </row>
    <row r="663" spans="1:21">
      <c r="A663">
        <v>662</v>
      </c>
      <c r="B663" s="30" t="s">
        <v>1587</v>
      </c>
      <c r="D663" s="30" t="s">
        <v>1588</v>
      </c>
      <c r="F663" s="30" t="s">
        <v>1591</v>
      </c>
      <c r="H663" s="30" t="s">
        <v>1592</v>
      </c>
      <c r="L663" s="30" t="s">
        <v>1594</v>
      </c>
      <c r="M663" s="30" t="s">
        <v>1636</v>
      </c>
      <c r="N663" s="30" t="s">
        <v>1648</v>
      </c>
      <c r="P663" s="30" t="s">
        <v>4622</v>
      </c>
      <c r="Q663" t="s">
        <v>619</v>
      </c>
      <c r="R663" t="s">
        <v>918</v>
      </c>
      <c r="S663">
        <v>37</v>
      </c>
      <c r="T663" s="29" t="str">
        <f t="shared" si="25"/>
        <v>2021.010B.R.Binomial_names.zip</v>
      </c>
      <c r="U663" s="29" t="str">
        <f>HYPERLINK("https://ictv.global/taxonomy/taxondetails?taxnode_id=202308414","ictv.global=202308414")</f>
        <v>ictv.global=202308414</v>
      </c>
    </row>
    <row r="664" spans="1:21">
      <c r="A664">
        <v>663</v>
      </c>
      <c r="B664" s="30" t="s">
        <v>1587</v>
      </c>
      <c r="D664" s="30" t="s">
        <v>1588</v>
      </c>
      <c r="F664" s="30" t="s">
        <v>1591</v>
      </c>
      <c r="H664" s="30" t="s">
        <v>1592</v>
      </c>
      <c r="L664" s="30" t="s">
        <v>1594</v>
      </c>
      <c r="M664" s="30" t="s">
        <v>1636</v>
      </c>
      <c r="N664" s="30" t="s">
        <v>1648</v>
      </c>
      <c r="P664" s="30" t="s">
        <v>4623</v>
      </c>
      <c r="Q664" t="s">
        <v>619</v>
      </c>
      <c r="R664" t="s">
        <v>918</v>
      </c>
      <c r="S664">
        <v>37</v>
      </c>
      <c r="T664" s="29" t="str">
        <f t="shared" si="25"/>
        <v>2021.010B.R.Binomial_names.zip</v>
      </c>
      <c r="U664" s="29" t="str">
        <f>HYPERLINK("https://ictv.global/taxonomy/taxondetails?taxnode_id=202308407","ictv.global=202308407")</f>
        <v>ictv.global=202308407</v>
      </c>
    </row>
    <row r="665" spans="1:21">
      <c r="A665">
        <v>664</v>
      </c>
      <c r="B665" s="30" t="s">
        <v>1587</v>
      </c>
      <c r="D665" s="30" t="s">
        <v>1588</v>
      </c>
      <c r="F665" s="30" t="s">
        <v>1591</v>
      </c>
      <c r="H665" s="30" t="s">
        <v>1592</v>
      </c>
      <c r="L665" s="30" t="s">
        <v>1594</v>
      </c>
      <c r="M665" s="30" t="s">
        <v>1636</v>
      </c>
      <c r="N665" s="30" t="s">
        <v>1648</v>
      </c>
      <c r="P665" s="30" t="s">
        <v>4624</v>
      </c>
      <c r="Q665" t="s">
        <v>619</v>
      </c>
      <c r="R665" t="s">
        <v>918</v>
      </c>
      <c r="S665">
        <v>37</v>
      </c>
      <c r="T665" s="29" t="str">
        <f t="shared" si="25"/>
        <v>2021.010B.R.Binomial_names.zip</v>
      </c>
      <c r="U665" s="29" t="str">
        <f>HYPERLINK("https://ictv.global/taxonomy/taxondetails?taxnode_id=202308419","ictv.global=202308419")</f>
        <v>ictv.global=202308419</v>
      </c>
    </row>
    <row r="666" spans="1:21">
      <c r="A666">
        <v>665</v>
      </c>
      <c r="B666" s="30" t="s">
        <v>1587</v>
      </c>
      <c r="D666" s="30" t="s">
        <v>1588</v>
      </c>
      <c r="F666" s="30" t="s">
        <v>1591</v>
      </c>
      <c r="H666" s="30" t="s">
        <v>1592</v>
      </c>
      <c r="L666" s="30" t="s">
        <v>1594</v>
      </c>
      <c r="M666" s="30" t="s">
        <v>1636</v>
      </c>
      <c r="N666" s="30" t="s">
        <v>1648</v>
      </c>
      <c r="P666" s="30" t="s">
        <v>4625</v>
      </c>
      <c r="Q666" t="s">
        <v>619</v>
      </c>
      <c r="R666" t="s">
        <v>918</v>
      </c>
      <c r="S666">
        <v>37</v>
      </c>
      <c r="T666" s="29" t="str">
        <f t="shared" si="25"/>
        <v>2021.010B.R.Binomial_names.zip</v>
      </c>
      <c r="U666" s="29" t="str">
        <f>HYPERLINK("https://ictv.global/taxonomy/taxondetails?taxnode_id=202308417","ictv.global=202308417")</f>
        <v>ictv.global=202308417</v>
      </c>
    </row>
    <row r="667" spans="1:21">
      <c r="A667">
        <v>666</v>
      </c>
      <c r="B667" s="30" t="s">
        <v>1587</v>
      </c>
      <c r="D667" s="30" t="s">
        <v>1588</v>
      </c>
      <c r="F667" s="30" t="s">
        <v>1591</v>
      </c>
      <c r="H667" s="30" t="s">
        <v>1592</v>
      </c>
      <c r="L667" s="30" t="s">
        <v>1594</v>
      </c>
      <c r="M667" s="30" t="s">
        <v>1636</v>
      </c>
      <c r="N667" s="30" t="s">
        <v>1648</v>
      </c>
      <c r="P667" s="30" t="s">
        <v>4626</v>
      </c>
      <c r="Q667" t="s">
        <v>619</v>
      </c>
      <c r="R667" t="s">
        <v>918</v>
      </c>
      <c r="S667">
        <v>37</v>
      </c>
      <c r="T667" s="29" t="str">
        <f t="shared" si="25"/>
        <v>2021.010B.R.Binomial_names.zip</v>
      </c>
      <c r="U667" s="29" t="str">
        <f>HYPERLINK("https://ictv.global/taxonomy/taxondetails?taxnode_id=202308409","ictv.global=202308409")</f>
        <v>ictv.global=202308409</v>
      </c>
    </row>
    <row r="668" spans="1:21">
      <c r="A668">
        <v>667</v>
      </c>
      <c r="B668" s="30" t="s">
        <v>1587</v>
      </c>
      <c r="D668" s="30" t="s">
        <v>1588</v>
      </c>
      <c r="F668" s="30" t="s">
        <v>1591</v>
      </c>
      <c r="H668" s="30" t="s">
        <v>1592</v>
      </c>
      <c r="L668" s="30" t="s">
        <v>1594</v>
      </c>
      <c r="M668" s="30" t="s">
        <v>1636</v>
      </c>
      <c r="N668" s="30" t="s">
        <v>1648</v>
      </c>
      <c r="P668" s="30" t="s">
        <v>4627</v>
      </c>
      <c r="Q668" t="s">
        <v>619</v>
      </c>
      <c r="R668" t="s">
        <v>918</v>
      </c>
      <c r="S668">
        <v>37</v>
      </c>
      <c r="T668" s="29" t="str">
        <f t="shared" si="25"/>
        <v>2021.010B.R.Binomial_names.zip</v>
      </c>
      <c r="U668" s="29" t="str">
        <f>HYPERLINK("https://ictv.global/taxonomy/taxondetails?taxnode_id=202308410","ictv.global=202308410")</f>
        <v>ictv.global=202308410</v>
      </c>
    </row>
    <row r="669" spans="1:21">
      <c r="A669">
        <v>668</v>
      </c>
      <c r="B669" s="30" t="s">
        <v>1587</v>
      </c>
      <c r="D669" s="30" t="s">
        <v>1588</v>
      </c>
      <c r="F669" s="30" t="s">
        <v>1591</v>
      </c>
      <c r="H669" s="30" t="s">
        <v>1592</v>
      </c>
      <c r="L669" s="30" t="s">
        <v>1594</v>
      </c>
      <c r="M669" s="30" t="s">
        <v>1636</v>
      </c>
      <c r="N669" s="30" t="s">
        <v>1648</v>
      </c>
      <c r="P669" s="30" t="s">
        <v>4628</v>
      </c>
      <c r="Q669" t="s">
        <v>619</v>
      </c>
      <c r="R669" t="s">
        <v>918</v>
      </c>
      <c r="S669">
        <v>37</v>
      </c>
      <c r="T669" s="29" t="str">
        <f t="shared" si="25"/>
        <v>2021.010B.R.Binomial_names.zip</v>
      </c>
      <c r="U669" s="29" t="str">
        <f>HYPERLINK("https://ictv.global/taxonomy/taxondetails?taxnode_id=202308413","ictv.global=202308413")</f>
        <v>ictv.global=202308413</v>
      </c>
    </row>
    <row r="670" spans="1:21">
      <c r="A670">
        <v>669</v>
      </c>
      <c r="B670" s="30" t="s">
        <v>1587</v>
      </c>
      <c r="D670" s="30" t="s">
        <v>1588</v>
      </c>
      <c r="F670" s="30" t="s">
        <v>1591</v>
      </c>
      <c r="H670" s="30" t="s">
        <v>1592</v>
      </c>
      <c r="L670" s="30" t="s">
        <v>1594</v>
      </c>
      <c r="M670" s="30" t="s">
        <v>1636</v>
      </c>
      <c r="N670" s="30" t="s">
        <v>1648</v>
      </c>
      <c r="P670" s="30" t="s">
        <v>4629</v>
      </c>
      <c r="Q670" t="s">
        <v>619</v>
      </c>
      <c r="R670" t="s">
        <v>918</v>
      </c>
      <c r="S670">
        <v>37</v>
      </c>
      <c r="T670" s="29" t="str">
        <f t="shared" si="25"/>
        <v>2021.010B.R.Binomial_names.zip</v>
      </c>
      <c r="U670" s="29" t="str">
        <f>HYPERLINK("https://ictv.global/taxonomy/taxondetails?taxnode_id=202308416","ictv.global=202308416")</f>
        <v>ictv.global=202308416</v>
      </c>
    </row>
    <row r="671" spans="1:21">
      <c r="A671">
        <v>670</v>
      </c>
      <c r="B671" s="30" t="s">
        <v>1587</v>
      </c>
      <c r="D671" s="30" t="s">
        <v>1588</v>
      </c>
      <c r="F671" s="30" t="s">
        <v>1591</v>
      </c>
      <c r="H671" s="30" t="s">
        <v>1592</v>
      </c>
      <c r="L671" s="30" t="s">
        <v>1594</v>
      </c>
      <c r="M671" s="30" t="s">
        <v>1636</v>
      </c>
      <c r="N671" s="30" t="s">
        <v>1648</v>
      </c>
      <c r="P671" s="30" t="s">
        <v>4630</v>
      </c>
      <c r="Q671" t="s">
        <v>619</v>
      </c>
      <c r="R671" t="s">
        <v>918</v>
      </c>
      <c r="S671">
        <v>37</v>
      </c>
      <c r="T671" s="29" t="str">
        <f t="shared" si="25"/>
        <v>2021.010B.R.Binomial_names.zip</v>
      </c>
      <c r="U671" s="29" t="str">
        <f>HYPERLINK("https://ictv.global/taxonomy/taxondetails?taxnode_id=202308415","ictv.global=202308415")</f>
        <v>ictv.global=202308415</v>
      </c>
    </row>
    <row r="672" spans="1:21">
      <c r="A672">
        <v>671</v>
      </c>
      <c r="B672" s="30" t="s">
        <v>1587</v>
      </c>
      <c r="D672" s="30" t="s">
        <v>1588</v>
      </c>
      <c r="F672" s="30" t="s">
        <v>1591</v>
      </c>
      <c r="H672" s="30" t="s">
        <v>1592</v>
      </c>
      <c r="L672" s="30" t="s">
        <v>1594</v>
      </c>
      <c r="M672" s="30" t="s">
        <v>1636</v>
      </c>
      <c r="N672" s="30" t="s">
        <v>1648</v>
      </c>
      <c r="P672" s="30" t="s">
        <v>4631</v>
      </c>
      <c r="Q672" t="s">
        <v>619</v>
      </c>
      <c r="R672" t="s">
        <v>918</v>
      </c>
      <c r="S672">
        <v>37</v>
      </c>
      <c r="T672" s="29" t="str">
        <f t="shared" si="25"/>
        <v>2021.010B.R.Binomial_names.zip</v>
      </c>
      <c r="U672" s="29" t="str">
        <f>HYPERLINK("https://ictv.global/taxonomy/taxondetails?taxnode_id=202308411","ictv.global=202308411")</f>
        <v>ictv.global=202308411</v>
      </c>
    </row>
    <row r="673" spans="1:21">
      <c r="A673">
        <v>672</v>
      </c>
      <c r="B673" s="30" t="s">
        <v>1587</v>
      </c>
      <c r="D673" s="30" t="s">
        <v>1588</v>
      </c>
      <c r="F673" s="30" t="s">
        <v>1591</v>
      </c>
      <c r="H673" s="30" t="s">
        <v>1592</v>
      </c>
      <c r="L673" s="30" t="s">
        <v>1594</v>
      </c>
      <c r="M673" s="30" t="s">
        <v>1636</v>
      </c>
      <c r="N673" s="30" t="s">
        <v>1649</v>
      </c>
      <c r="P673" s="30" t="s">
        <v>4632</v>
      </c>
      <c r="Q673" t="s">
        <v>619</v>
      </c>
      <c r="R673" t="s">
        <v>918</v>
      </c>
      <c r="S673">
        <v>37</v>
      </c>
      <c r="T673" s="29" t="str">
        <f t="shared" si="25"/>
        <v>2021.010B.R.Binomial_names.zip</v>
      </c>
      <c r="U673" s="29" t="str">
        <f>HYPERLINK("https://ictv.global/taxonomy/taxondetails?taxnode_id=202308369","ictv.global=202308369")</f>
        <v>ictv.global=202308369</v>
      </c>
    </row>
    <row r="674" spans="1:21">
      <c r="A674">
        <v>673</v>
      </c>
      <c r="B674" s="30" t="s">
        <v>1587</v>
      </c>
      <c r="D674" s="30" t="s">
        <v>1588</v>
      </c>
      <c r="F674" s="30" t="s">
        <v>1591</v>
      </c>
      <c r="H674" s="30" t="s">
        <v>1592</v>
      </c>
      <c r="L674" s="30" t="s">
        <v>1594</v>
      </c>
      <c r="M674" s="30" t="s">
        <v>1636</v>
      </c>
      <c r="N674" s="30" t="s">
        <v>1649</v>
      </c>
      <c r="P674" s="30" t="s">
        <v>4633</v>
      </c>
      <c r="Q674" t="s">
        <v>619</v>
      </c>
      <c r="R674" t="s">
        <v>918</v>
      </c>
      <c r="S674">
        <v>37</v>
      </c>
      <c r="T674" s="29" t="str">
        <f t="shared" si="25"/>
        <v>2021.010B.R.Binomial_names.zip</v>
      </c>
      <c r="U674" s="29" t="str">
        <f>HYPERLINK("https://ictv.global/taxonomy/taxondetails?taxnode_id=202308368","ictv.global=202308368")</f>
        <v>ictv.global=202308368</v>
      </c>
    </row>
    <row r="675" spans="1:21">
      <c r="A675">
        <v>674</v>
      </c>
      <c r="B675" s="30" t="s">
        <v>1587</v>
      </c>
      <c r="D675" s="30" t="s">
        <v>1588</v>
      </c>
      <c r="F675" s="30" t="s">
        <v>1591</v>
      </c>
      <c r="H675" s="30" t="s">
        <v>1592</v>
      </c>
      <c r="L675" s="30" t="s">
        <v>1594</v>
      </c>
      <c r="M675" s="30" t="s">
        <v>1636</v>
      </c>
      <c r="N675" s="30" t="s">
        <v>1650</v>
      </c>
      <c r="P675" s="30" t="s">
        <v>4634</v>
      </c>
      <c r="Q675" t="s">
        <v>619</v>
      </c>
      <c r="R675" t="s">
        <v>918</v>
      </c>
      <c r="S675">
        <v>37</v>
      </c>
      <c r="T675" s="29" t="str">
        <f t="shared" si="25"/>
        <v>2021.010B.R.Binomial_names.zip</v>
      </c>
      <c r="U675" s="29" t="str">
        <f>HYPERLINK("https://ictv.global/taxonomy/taxondetails?taxnode_id=202308386","ictv.global=202308386")</f>
        <v>ictv.global=202308386</v>
      </c>
    </row>
    <row r="676" spans="1:21">
      <c r="A676">
        <v>675</v>
      </c>
      <c r="B676" s="30" t="s">
        <v>1587</v>
      </c>
      <c r="D676" s="30" t="s">
        <v>1588</v>
      </c>
      <c r="F676" s="30" t="s">
        <v>1591</v>
      </c>
      <c r="H676" s="30" t="s">
        <v>1592</v>
      </c>
      <c r="L676" s="30" t="s">
        <v>1594</v>
      </c>
      <c r="M676" s="30" t="s">
        <v>1636</v>
      </c>
      <c r="N676" s="30" t="s">
        <v>1650</v>
      </c>
      <c r="P676" s="30" t="s">
        <v>4635</v>
      </c>
      <c r="Q676" t="s">
        <v>619</v>
      </c>
      <c r="R676" t="s">
        <v>918</v>
      </c>
      <c r="S676">
        <v>37</v>
      </c>
      <c r="T676" s="29" t="str">
        <f t="shared" si="25"/>
        <v>2021.010B.R.Binomial_names.zip</v>
      </c>
      <c r="U676" s="29" t="str">
        <f>HYPERLINK("https://ictv.global/taxonomy/taxondetails?taxnode_id=202308385","ictv.global=202308385")</f>
        <v>ictv.global=202308385</v>
      </c>
    </row>
    <row r="677" spans="1:21">
      <c r="A677">
        <v>676</v>
      </c>
      <c r="B677" s="30" t="s">
        <v>1587</v>
      </c>
      <c r="D677" s="30" t="s">
        <v>1588</v>
      </c>
      <c r="F677" s="30" t="s">
        <v>1591</v>
      </c>
      <c r="H677" s="30" t="s">
        <v>1592</v>
      </c>
      <c r="L677" s="30" t="s">
        <v>1594</v>
      </c>
      <c r="M677" s="30" t="s">
        <v>1636</v>
      </c>
      <c r="N677" s="30" t="s">
        <v>1651</v>
      </c>
      <c r="P677" s="30" t="s">
        <v>4636</v>
      </c>
      <c r="Q677" t="s">
        <v>619</v>
      </c>
      <c r="R677" t="s">
        <v>918</v>
      </c>
      <c r="S677">
        <v>37</v>
      </c>
      <c r="T677" s="29" t="str">
        <f t="shared" si="25"/>
        <v>2021.010B.R.Binomial_names.zip</v>
      </c>
      <c r="U677" s="29" t="str">
        <f>HYPERLINK("https://ictv.global/taxonomy/taxondetails?taxnode_id=202308371","ictv.global=202308371")</f>
        <v>ictv.global=202308371</v>
      </c>
    </row>
    <row r="678" spans="1:21">
      <c r="A678">
        <v>677</v>
      </c>
      <c r="B678" s="30" t="s">
        <v>1587</v>
      </c>
      <c r="D678" s="30" t="s">
        <v>1588</v>
      </c>
      <c r="F678" s="30" t="s">
        <v>1591</v>
      </c>
      <c r="H678" s="30" t="s">
        <v>1592</v>
      </c>
      <c r="L678" s="30" t="s">
        <v>1594</v>
      </c>
      <c r="M678" s="30" t="s">
        <v>1636</v>
      </c>
      <c r="N678" s="30" t="s">
        <v>1651</v>
      </c>
      <c r="P678" s="30" t="s">
        <v>4637</v>
      </c>
      <c r="Q678" t="s">
        <v>619</v>
      </c>
      <c r="R678" t="s">
        <v>918</v>
      </c>
      <c r="S678">
        <v>37</v>
      </c>
      <c r="T678" s="29" t="str">
        <f t="shared" si="25"/>
        <v>2021.010B.R.Binomial_names.zip</v>
      </c>
      <c r="U678" s="29" t="str">
        <f>HYPERLINK("https://ictv.global/taxonomy/taxondetails?taxnode_id=202308373","ictv.global=202308373")</f>
        <v>ictv.global=202308373</v>
      </c>
    </row>
    <row r="679" spans="1:21">
      <c r="A679">
        <v>678</v>
      </c>
      <c r="B679" s="30" t="s">
        <v>1587</v>
      </c>
      <c r="D679" s="30" t="s">
        <v>1588</v>
      </c>
      <c r="F679" s="30" t="s">
        <v>1591</v>
      </c>
      <c r="H679" s="30" t="s">
        <v>1592</v>
      </c>
      <c r="L679" s="30" t="s">
        <v>1594</v>
      </c>
      <c r="M679" s="30" t="s">
        <v>1636</v>
      </c>
      <c r="N679" s="30" t="s">
        <v>1651</v>
      </c>
      <c r="P679" s="30" t="s">
        <v>4638</v>
      </c>
      <c r="Q679" t="s">
        <v>619</v>
      </c>
      <c r="R679" t="s">
        <v>918</v>
      </c>
      <c r="S679">
        <v>37</v>
      </c>
      <c r="T679" s="29" t="str">
        <f t="shared" si="25"/>
        <v>2021.010B.R.Binomial_names.zip</v>
      </c>
      <c r="U679" s="29" t="str">
        <f>HYPERLINK("https://ictv.global/taxonomy/taxondetails?taxnode_id=202308372","ictv.global=202308372")</f>
        <v>ictv.global=202308372</v>
      </c>
    </row>
    <row r="680" spans="1:21">
      <c r="A680">
        <v>679</v>
      </c>
      <c r="B680" s="30" t="s">
        <v>1587</v>
      </c>
      <c r="D680" s="30" t="s">
        <v>1588</v>
      </c>
      <c r="F680" s="30" t="s">
        <v>1591</v>
      </c>
      <c r="H680" s="30" t="s">
        <v>1592</v>
      </c>
      <c r="L680" s="30" t="s">
        <v>1594</v>
      </c>
      <c r="M680" s="30" t="s">
        <v>1636</v>
      </c>
      <c r="N680" s="30" t="s">
        <v>1652</v>
      </c>
      <c r="P680" s="30" t="s">
        <v>4639</v>
      </c>
      <c r="Q680" t="s">
        <v>619</v>
      </c>
      <c r="R680" t="s">
        <v>918</v>
      </c>
      <c r="S680">
        <v>37</v>
      </c>
      <c r="T680" s="29" t="str">
        <f t="shared" si="25"/>
        <v>2021.010B.R.Binomial_names.zip</v>
      </c>
      <c r="U680" s="29" t="str">
        <f>HYPERLINK("https://ictv.global/taxonomy/taxondetails?taxnode_id=202308357","ictv.global=202308357")</f>
        <v>ictv.global=202308357</v>
      </c>
    </row>
    <row r="681" spans="1:21">
      <c r="A681">
        <v>680</v>
      </c>
      <c r="B681" s="30" t="s">
        <v>1587</v>
      </c>
      <c r="D681" s="30" t="s">
        <v>1588</v>
      </c>
      <c r="F681" s="30" t="s">
        <v>1591</v>
      </c>
      <c r="H681" s="30" t="s">
        <v>1592</v>
      </c>
      <c r="L681" s="30" t="s">
        <v>1594</v>
      </c>
      <c r="M681" s="30" t="s">
        <v>1636</v>
      </c>
      <c r="N681" s="30" t="s">
        <v>1653</v>
      </c>
      <c r="P681" s="30" t="s">
        <v>4640</v>
      </c>
      <c r="Q681" t="s">
        <v>619</v>
      </c>
      <c r="R681" t="s">
        <v>918</v>
      </c>
      <c r="S681">
        <v>37</v>
      </c>
      <c r="T681" s="29" t="str">
        <f t="shared" si="25"/>
        <v>2021.010B.R.Binomial_names.zip</v>
      </c>
      <c r="U681" s="29" t="str">
        <f>HYPERLINK("https://ictv.global/taxonomy/taxondetails?taxnode_id=202308362","ictv.global=202308362")</f>
        <v>ictv.global=202308362</v>
      </c>
    </row>
    <row r="682" spans="1:21">
      <c r="A682">
        <v>681</v>
      </c>
      <c r="B682" s="30" t="s">
        <v>1587</v>
      </c>
      <c r="D682" s="30" t="s">
        <v>1588</v>
      </c>
      <c r="F682" s="30" t="s">
        <v>1591</v>
      </c>
      <c r="H682" s="30" t="s">
        <v>1592</v>
      </c>
      <c r="L682" s="30" t="s">
        <v>1594</v>
      </c>
      <c r="M682" s="30" t="s">
        <v>1636</v>
      </c>
      <c r="N682" s="30" t="s">
        <v>1653</v>
      </c>
      <c r="P682" s="30" t="s">
        <v>4641</v>
      </c>
      <c r="Q682" t="s">
        <v>619</v>
      </c>
      <c r="R682" t="s">
        <v>918</v>
      </c>
      <c r="S682">
        <v>37</v>
      </c>
      <c r="T682" s="29" t="str">
        <f t="shared" si="25"/>
        <v>2021.010B.R.Binomial_names.zip</v>
      </c>
      <c r="U682" s="29" t="str">
        <f>HYPERLINK("https://ictv.global/taxonomy/taxondetails?taxnode_id=202308361","ictv.global=202308361")</f>
        <v>ictv.global=202308361</v>
      </c>
    </row>
    <row r="683" spans="1:21">
      <c r="A683">
        <v>682</v>
      </c>
      <c r="B683" s="30" t="s">
        <v>1587</v>
      </c>
      <c r="D683" s="30" t="s">
        <v>1588</v>
      </c>
      <c r="F683" s="30" t="s">
        <v>1591</v>
      </c>
      <c r="H683" s="30" t="s">
        <v>1592</v>
      </c>
      <c r="L683" s="30" t="s">
        <v>1594</v>
      </c>
      <c r="M683" s="30" t="s">
        <v>1636</v>
      </c>
      <c r="N683" s="30" t="s">
        <v>1653</v>
      </c>
      <c r="P683" s="30" t="s">
        <v>4642</v>
      </c>
      <c r="Q683" t="s">
        <v>619</v>
      </c>
      <c r="R683" t="s">
        <v>918</v>
      </c>
      <c r="S683">
        <v>37</v>
      </c>
      <c r="T683" s="29" t="str">
        <f t="shared" si="25"/>
        <v>2021.010B.R.Binomial_names.zip</v>
      </c>
      <c r="U683" s="29" t="str">
        <f>HYPERLINK("https://ictv.global/taxonomy/taxondetails?taxnode_id=202308366","ictv.global=202308366")</f>
        <v>ictv.global=202308366</v>
      </c>
    </row>
    <row r="684" spans="1:21">
      <c r="A684">
        <v>683</v>
      </c>
      <c r="B684" s="30" t="s">
        <v>1587</v>
      </c>
      <c r="D684" s="30" t="s">
        <v>1588</v>
      </c>
      <c r="F684" s="30" t="s">
        <v>1591</v>
      </c>
      <c r="H684" s="30" t="s">
        <v>1592</v>
      </c>
      <c r="L684" s="30" t="s">
        <v>1594</v>
      </c>
      <c r="M684" s="30" t="s">
        <v>1636</v>
      </c>
      <c r="N684" s="30" t="s">
        <v>1653</v>
      </c>
      <c r="P684" s="30" t="s">
        <v>4643</v>
      </c>
      <c r="Q684" t="s">
        <v>619</v>
      </c>
      <c r="R684" t="s">
        <v>918</v>
      </c>
      <c r="S684">
        <v>37</v>
      </c>
      <c r="T684" s="29" t="str">
        <f t="shared" si="25"/>
        <v>2021.010B.R.Binomial_names.zip</v>
      </c>
      <c r="U684" s="29" t="str">
        <f>HYPERLINK("https://ictv.global/taxonomy/taxondetails?taxnode_id=202308363","ictv.global=202308363")</f>
        <v>ictv.global=202308363</v>
      </c>
    </row>
    <row r="685" spans="1:21">
      <c r="A685">
        <v>684</v>
      </c>
      <c r="B685" s="30" t="s">
        <v>1587</v>
      </c>
      <c r="D685" s="30" t="s">
        <v>1588</v>
      </c>
      <c r="F685" s="30" t="s">
        <v>1591</v>
      </c>
      <c r="H685" s="30" t="s">
        <v>1592</v>
      </c>
      <c r="L685" s="30" t="s">
        <v>1594</v>
      </c>
      <c r="M685" s="30" t="s">
        <v>1636</v>
      </c>
      <c r="N685" s="30" t="s">
        <v>1653</v>
      </c>
      <c r="P685" s="30" t="s">
        <v>4644</v>
      </c>
      <c r="Q685" t="s">
        <v>619</v>
      </c>
      <c r="R685" t="s">
        <v>918</v>
      </c>
      <c r="S685">
        <v>37</v>
      </c>
      <c r="T685" s="29" t="str">
        <f t="shared" si="25"/>
        <v>2021.010B.R.Binomial_names.zip</v>
      </c>
      <c r="U685" s="29" t="str">
        <f>HYPERLINK("https://ictv.global/taxonomy/taxondetails?taxnode_id=202308365","ictv.global=202308365")</f>
        <v>ictv.global=202308365</v>
      </c>
    </row>
    <row r="686" spans="1:21">
      <c r="A686">
        <v>685</v>
      </c>
      <c r="B686" s="30" t="s">
        <v>1587</v>
      </c>
      <c r="D686" s="30" t="s">
        <v>1588</v>
      </c>
      <c r="F686" s="30" t="s">
        <v>1591</v>
      </c>
      <c r="H686" s="30" t="s">
        <v>1592</v>
      </c>
      <c r="L686" s="30" t="s">
        <v>1594</v>
      </c>
      <c r="M686" s="30" t="s">
        <v>1636</v>
      </c>
      <c r="N686" s="30" t="s">
        <v>1653</v>
      </c>
      <c r="P686" s="30" t="s">
        <v>4645</v>
      </c>
      <c r="Q686" t="s">
        <v>619</v>
      </c>
      <c r="R686" t="s">
        <v>918</v>
      </c>
      <c r="S686">
        <v>37</v>
      </c>
      <c r="T686" s="29" t="str">
        <f t="shared" si="25"/>
        <v>2021.010B.R.Binomial_names.zip</v>
      </c>
      <c r="U686" s="29" t="str">
        <f>HYPERLINK("https://ictv.global/taxonomy/taxondetails?taxnode_id=202308364","ictv.global=202308364")</f>
        <v>ictv.global=202308364</v>
      </c>
    </row>
    <row r="687" spans="1:21">
      <c r="A687">
        <v>686</v>
      </c>
      <c r="B687" s="30" t="s">
        <v>1587</v>
      </c>
      <c r="D687" s="30" t="s">
        <v>1588</v>
      </c>
      <c r="F687" s="30" t="s">
        <v>1591</v>
      </c>
      <c r="H687" s="30" t="s">
        <v>1592</v>
      </c>
      <c r="L687" s="30" t="s">
        <v>1594</v>
      </c>
      <c r="M687" s="30" t="s">
        <v>1636</v>
      </c>
      <c r="N687" s="30" t="s">
        <v>1654</v>
      </c>
      <c r="P687" s="30" t="s">
        <v>4646</v>
      </c>
      <c r="Q687" t="s">
        <v>619</v>
      </c>
      <c r="R687" t="s">
        <v>918</v>
      </c>
      <c r="S687">
        <v>37</v>
      </c>
      <c r="T687" s="29" t="str">
        <f t="shared" si="25"/>
        <v>2021.010B.R.Binomial_names.zip</v>
      </c>
      <c r="U687" s="29" t="str">
        <f>HYPERLINK("https://ictv.global/taxonomy/taxondetails?taxnode_id=202308355","ictv.global=202308355")</f>
        <v>ictv.global=202308355</v>
      </c>
    </row>
    <row r="688" spans="1:21">
      <c r="A688">
        <v>687</v>
      </c>
      <c r="B688" s="30" t="s">
        <v>1587</v>
      </c>
      <c r="D688" s="30" t="s">
        <v>1588</v>
      </c>
      <c r="F688" s="30" t="s">
        <v>1591</v>
      </c>
      <c r="H688" s="30" t="s">
        <v>1592</v>
      </c>
      <c r="L688" s="30" t="s">
        <v>1594</v>
      </c>
      <c r="M688" s="30" t="s">
        <v>1636</v>
      </c>
      <c r="N688" s="30" t="s">
        <v>1402</v>
      </c>
      <c r="P688" s="30" t="s">
        <v>4647</v>
      </c>
      <c r="Q688" t="s">
        <v>619</v>
      </c>
      <c r="R688" t="s">
        <v>918</v>
      </c>
      <c r="S688">
        <v>37</v>
      </c>
      <c r="T688" s="29" t="str">
        <f t="shared" si="25"/>
        <v>2021.010B.R.Binomial_names.zip</v>
      </c>
      <c r="U688" s="29" t="str">
        <f>HYPERLINK("https://ictv.global/taxonomy/taxondetails?taxnode_id=202308439","ictv.global=202308439")</f>
        <v>ictv.global=202308439</v>
      </c>
    </row>
    <row r="689" spans="1:21">
      <c r="A689">
        <v>688</v>
      </c>
      <c r="B689" s="30" t="s">
        <v>1587</v>
      </c>
      <c r="D689" s="30" t="s">
        <v>1588</v>
      </c>
      <c r="F689" s="30" t="s">
        <v>1591</v>
      </c>
      <c r="H689" s="30" t="s">
        <v>1592</v>
      </c>
      <c r="L689" s="30" t="s">
        <v>1594</v>
      </c>
      <c r="M689" s="30" t="s">
        <v>1636</v>
      </c>
      <c r="N689" s="30" t="s">
        <v>1402</v>
      </c>
      <c r="P689" s="30" t="s">
        <v>11796</v>
      </c>
      <c r="Q689" t="s">
        <v>619</v>
      </c>
      <c r="R689" t="s">
        <v>917</v>
      </c>
      <c r="S689">
        <v>39</v>
      </c>
      <c r="T689" s="29" t="str">
        <f>HYPERLINK("https://ictv.global/ictv/proposals/2023.053B.Przondovirus_5ns.zip","2023.053B.Przondovirus_5ns.zip")</f>
        <v>2023.053B.Przondovirus_5ns.zip</v>
      </c>
      <c r="U689" s="29" t="str">
        <f>HYPERLINK("https://ictv.global/taxonomy/taxondetails?taxnode_id=202319240","ictv.global=202319240")</f>
        <v>ictv.global=202319240</v>
      </c>
    </row>
    <row r="690" spans="1:21">
      <c r="A690">
        <v>689</v>
      </c>
      <c r="B690" s="30" t="s">
        <v>1587</v>
      </c>
      <c r="D690" s="30" t="s">
        <v>1588</v>
      </c>
      <c r="F690" s="30" t="s">
        <v>1591</v>
      </c>
      <c r="H690" s="30" t="s">
        <v>1592</v>
      </c>
      <c r="L690" s="30" t="s">
        <v>1594</v>
      </c>
      <c r="M690" s="30" t="s">
        <v>1636</v>
      </c>
      <c r="N690" s="30" t="s">
        <v>1402</v>
      </c>
      <c r="P690" s="30" t="s">
        <v>4648</v>
      </c>
      <c r="Q690" t="s">
        <v>619</v>
      </c>
      <c r="R690" t="s">
        <v>918</v>
      </c>
      <c r="S690">
        <v>37</v>
      </c>
      <c r="T690" s="29" t="str">
        <f>HYPERLINK("https://ictv.global/ictv/proposals/2021.010B.R.Binomial_names.zip","2021.010B.R.Binomial_names.zip")</f>
        <v>2021.010B.R.Binomial_names.zip</v>
      </c>
      <c r="U690" s="29" t="str">
        <f>HYPERLINK("https://ictv.global/taxonomy/taxondetails?taxnode_id=202308438","ictv.global=202308438")</f>
        <v>ictv.global=202308438</v>
      </c>
    </row>
    <row r="691" spans="1:21">
      <c r="A691">
        <v>690</v>
      </c>
      <c r="B691" s="30" t="s">
        <v>1587</v>
      </c>
      <c r="D691" s="30" t="s">
        <v>1588</v>
      </c>
      <c r="F691" s="30" t="s">
        <v>1591</v>
      </c>
      <c r="H691" s="30" t="s">
        <v>1592</v>
      </c>
      <c r="L691" s="30" t="s">
        <v>1594</v>
      </c>
      <c r="M691" s="30" t="s">
        <v>1636</v>
      </c>
      <c r="N691" s="30" t="s">
        <v>1402</v>
      </c>
      <c r="P691" s="30" t="s">
        <v>11797</v>
      </c>
      <c r="Q691" t="s">
        <v>619</v>
      </c>
      <c r="R691" t="s">
        <v>917</v>
      </c>
      <c r="S691">
        <v>39</v>
      </c>
      <c r="T691" s="29" t="str">
        <f>HYPERLINK("https://ictv.global/ictv/proposals/2023.053B.Przondovirus_5ns.zip","2023.053B.Przondovirus_5ns.zip")</f>
        <v>2023.053B.Przondovirus_5ns.zip</v>
      </c>
      <c r="U691" s="29" t="str">
        <f>HYPERLINK("https://ictv.global/taxonomy/taxondetails?taxnode_id=202319239","ictv.global=202319239")</f>
        <v>ictv.global=202319239</v>
      </c>
    </row>
    <row r="692" spans="1:21">
      <c r="A692">
        <v>691</v>
      </c>
      <c r="B692" s="30" t="s">
        <v>1587</v>
      </c>
      <c r="D692" s="30" t="s">
        <v>1588</v>
      </c>
      <c r="F692" s="30" t="s">
        <v>1591</v>
      </c>
      <c r="H692" s="30" t="s">
        <v>1592</v>
      </c>
      <c r="L692" s="30" t="s">
        <v>1594</v>
      </c>
      <c r="M692" s="30" t="s">
        <v>1636</v>
      </c>
      <c r="N692" s="30" t="s">
        <v>1402</v>
      </c>
      <c r="P692" s="30" t="s">
        <v>4649</v>
      </c>
      <c r="Q692" t="s">
        <v>619</v>
      </c>
      <c r="R692" t="s">
        <v>918</v>
      </c>
      <c r="S692">
        <v>37</v>
      </c>
      <c r="T692" s="29" t="str">
        <f t="shared" ref="T692:T714" si="26">HYPERLINK("https://ictv.global/ictv/proposals/2021.010B.R.Binomial_names.zip","2021.010B.R.Binomial_names.zip")</f>
        <v>2021.010B.R.Binomial_names.zip</v>
      </c>
      <c r="U692" s="29" t="str">
        <f>HYPERLINK("https://ictv.global/taxonomy/taxondetails?taxnode_id=202308447","ictv.global=202308447")</f>
        <v>ictv.global=202308447</v>
      </c>
    </row>
    <row r="693" spans="1:21">
      <c r="A693">
        <v>692</v>
      </c>
      <c r="B693" s="30" t="s">
        <v>1587</v>
      </c>
      <c r="D693" s="30" t="s">
        <v>1588</v>
      </c>
      <c r="F693" s="30" t="s">
        <v>1591</v>
      </c>
      <c r="H693" s="30" t="s">
        <v>1592</v>
      </c>
      <c r="L693" s="30" t="s">
        <v>1594</v>
      </c>
      <c r="M693" s="30" t="s">
        <v>1636</v>
      </c>
      <c r="N693" s="30" t="s">
        <v>1402</v>
      </c>
      <c r="P693" s="30" t="s">
        <v>4650</v>
      </c>
      <c r="Q693" t="s">
        <v>619</v>
      </c>
      <c r="R693" t="s">
        <v>918</v>
      </c>
      <c r="S693">
        <v>37</v>
      </c>
      <c r="T693" s="29" t="str">
        <f t="shared" si="26"/>
        <v>2021.010B.R.Binomial_names.zip</v>
      </c>
      <c r="U693" s="29" t="str">
        <f>HYPERLINK("https://ictv.global/taxonomy/taxondetails?taxnode_id=202308437","ictv.global=202308437")</f>
        <v>ictv.global=202308437</v>
      </c>
    </row>
    <row r="694" spans="1:21">
      <c r="A694">
        <v>693</v>
      </c>
      <c r="B694" s="30" t="s">
        <v>1587</v>
      </c>
      <c r="D694" s="30" t="s">
        <v>1588</v>
      </c>
      <c r="F694" s="30" t="s">
        <v>1591</v>
      </c>
      <c r="H694" s="30" t="s">
        <v>1592</v>
      </c>
      <c r="L694" s="30" t="s">
        <v>1594</v>
      </c>
      <c r="M694" s="30" t="s">
        <v>1636</v>
      </c>
      <c r="N694" s="30" t="s">
        <v>1402</v>
      </c>
      <c r="P694" s="30" t="s">
        <v>4651</v>
      </c>
      <c r="Q694" t="s">
        <v>619</v>
      </c>
      <c r="R694" t="s">
        <v>918</v>
      </c>
      <c r="S694">
        <v>37</v>
      </c>
      <c r="T694" s="29" t="str">
        <f t="shared" si="26"/>
        <v>2021.010B.R.Binomial_names.zip</v>
      </c>
      <c r="U694" s="29" t="str">
        <f>HYPERLINK("https://ictv.global/taxonomy/taxondetails?taxnode_id=202308430","ictv.global=202308430")</f>
        <v>ictv.global=202308430</v>
      </c>
    </row>
    <row r="695" spans="1:21">
      <c r="A695">
        <v>694</v>
      </c>
      <c r="B695" s="30" t="s">
        <v>1587</v>
      </c>
      <c r="D695" s="30" t="s">
        <v>1588</v>
      </c>
      <c r="F695" s="30" t="s">
        <v>1591</v>
      </c>
      <c r="H695" s="30" t="s">
        <v>1592</v>
      </c>
      <c r="L695" s="30" t="s">
        <v>1594</v>
      </c>
      <c r="M695" s="30" t="s">
        <v>1636</v>
      </c>
      <c r="N695" s="30" t="s">
        <v>1402</v>
      </c>
      <c r="P695" s="30" t="s">
        <v>4652</v>
      </c>
      <c r="Q695" t="s">
        <v>619</v>
      </c>
      <c r="R695" t="s">
        <v>918</v>
      </c>
      <c r="S695">
        <v>37</v>
      </c>
      <c r="T695" s="29" t="str">
        <f t="shared" si="26"/>
        <v>2021.010B.R.Binomial_names.zip</v>
      </c>
      <c r="U695" s="29" t="str">
        <f>HYPERLINK("https://ictv.global/taxonomy/taxondetails?taxnode_id=202308445","ictv.global=202308445")</f>
        <v>ictv.global=202308445</v>
      </c>
    </row>
    <row r="696" spans="1:21">
      <c r="A696">
        <v>695</v>
      </c>
      <c r="B696" s="30" t="s">
        <v>1587</v>
      </c>
      <c r="D696" s="30" t="s">
        <v>1588</v>
      </c>
      <c r="F696" s="30" t="s">
        <v>1591</v>
      </c>
      <c r="H696" s="30" t="s">
        <v>1592</v>
      </c>
      <c r="L696" s="30" t="s">
        <v>1594</v>
      </c>
      <c r="M696" s="30" t="s">
        <v>1636</v>
      </c>
      <c r="N696" s="30" t="s">
        <v>1402</v>
      </c>
      <c r="P696" s="30" t="s">
        <v>4653</v>
      </c>
      <c r="Q696" t="s">
        <v>619</v>
      </c>
      <c r="R696" t="s">
        <v>918</v>
      </c>
      <c r="S696">
        <v>37</v>
      </c>
      <c r="T696" s="29" t="str">
        <f t="shared" si="26"/>
        <v>2021.010B.R.Binomial_names.zip</v>
      </c>
      <c r="U696" s="29" t="str">
        <f>HYPERLINK("https://ictv.global/taxonomy/taxondetails?taxnode_id=202300552","ictv.global=202300552")</f>
        <v>ictv.global=202300552</v>
      </c>
    </row>
    <row r="697" spans="1:21">
      <c r="A697">
        <v>696</v>
      </c>
      <c r="B697" s="30" t="s">
        <v>1587</v>
      </c>
      <c r="D697" s="30" t="s">
        <v>1588</v>
      </c>
      <c r="F697" s="30" t="s">
        <v>1591</v>
      </c>
      <c r="H697" s="30" t="s">
        <v>1592</v>
      </c>
      <c r="L697" s="30" t="s">
        <v>1594</v>
      </c>
      <c r="M697" s="30" t="s">
        <v>1636</v>
      </c>
      <c r="N697" s="30" t="s">
        <v>1402</v>
      </c>
      <c r="P697" s="30" t="s">
        <v>4654</v>
      </c>
      <c r="Q697" t="s">
        <v>619</v>
      </c>
      <c r="R697" t="s">
        <v>918</v>
      </c>
      <c r="S697">
        <v>37</v>
      </c>
      <c r="T697" s="29" t="str">
        <f t="shared" si="26"/>
        <v>2021.010B.R.Binomial_names.zip</v>
      </c>
      <c r="U697" s="29" t="str">
        <f>HYPERLINK("https://ictv.global/taxonomy/taxondetails?taxnode_id=202300553","ictv.global=202300553")</f>
        <v>ictv.global=202300553</v>
      </c>
    </row>
    <row r="698" spans="1:21">
      <c r="A698">
        <v>697</v>
      </c>
      <c r="B698" s="30" t="s">
        <v>1587</v>
      </c>
      <c r="D698" s="30" t="s">
        <v>1588</v>
      </c>
      <c r="F698" s="30" t="s">
        <v>1591</v>
      </c>
      <c r="H698" s="30" t="s">
        <v>1592</v>
      </c>
      <c r="L698" s="30" t="s">
        <v>1594</v>
      </c>
      <c r="M698" s="30" t="s">
        <v>1636</v>
      </c>
      <c r="N698" s="30" t="s">
        <v>1402</v>
      </c>
      <c r="P698" s="30" t="s">
        <v>4655</v>
      </c>
      <c r="Q698" t="s">
        <v>619</v>
      </c>
      <c r="R698" t="s">
        <v>918</v>
      </c>
      <c r="S698">
        <v>37</v>
      </c>
      <c r="T698" s="29" t="str">
        <f t="shared" si="26"/>
        <v>2021.010B.R.Binomial_names.zip</v>
      </c>
      <c r="U698" s="29" t="str">
        <f>HYPERLINK("https://ictv.global/taxonomy/taxondetails?taxnode_id=202300551","ictv.global=202300551")</f>
        <v>ictv.global=202300551</v>
      </c>
    </row>
    <row r="699" spans="1:21">
      <c r="A699">
        <v>698</v>
      </c>
      <c r="B699" s="30" t="s">
        <v>1587</v>
      </c>
      <c r="D699" s="30" t="s">
        <v>1588</v>
      </c>
      <c r="F699" s="30" t="s">
        <v>1591</v>
      </c>
      <c r="H699" s="30" t="s">
        <v>1592</v>
      </c>
      <c r="L699" s="30" t="s">
        <v>1594</v>
      </c>
      <c r="M699" s="30" t="s">
        <v>1636</v>
      </c>
      <c r="N699" s="30" t="s">
        <v>1402</v>
      </c>
      <c r="P699" s="30" t="s">
        <v>4656</v>
      </c>
      <c r="Q699" t="s">
        <v>619</v>
      </c>
      <c r="R699" t="s">
        <v>918</v>
      </c>
      <c r="S699">
        <v>37</v>
      </c>
      <c r="T699" s="29" t="str">
        <f t="shared" si="26"/>
        <v>2021.010B.R.Binomial_names.zip</v>
      </c>
      <c r="U699" s="29" t="str">
        <f>HYPERLINK("https://ictv.global/taxonomy/taxondetails?taxnode_id=202308434","ictv.global=202308434")</f>
        <v>ictv.global=202308434</v>
      </c>
    </row>
    <row r="700" spans="1:21">
      <c r="A700">
        <v>699</v>
      </c>
      <c r="B700" s="30" t="s">
        <v>1587</v>
      </c>
      <c r="D700" s="30" t="s">
        <v>1588</v>
      </c>
      <c r="F700" s="30" t="s">
        <v>1591</v>
      </c>
      <c r="H700" s="30" t="s">
        <v>1592</v>
      </c>
      <c r="L700" s="30" t="s">
        <v>1594</v>
      </c>
      <c r="M700" s="30" t="s">
        <v>1636</v>
      </c>
      <c r="N700" s="30" t="s">
        <v>1402</v>
      </c>
      <c r="P700" s="30" t="s">
        <v>4657</v>
      </c>
      <c r="Q700" t="s">
        <v>619</v>
      </c>
      <c r="R700" t="s">
        <v>918</v>
      </c>
      <c r="S700">
        <v>37</v>
      </c>
      <c r="T700" s="29" t="str">
        <f t="shared" si="26"/>
        <v>2021.010B.R.Binomial_names.zip</v>
      </c>
      <c r="U700" s="29" t="str">
        <f>HYPERLINK("https://ictv.global/taxonomy/taxondetails?taxnode_id=202308435","ictv.global=202308435")</f>
        <v>ictv.global=202308435</v>
      </c>
    </row>
    <row r="701" spans="1:21">
      <c r="A701">
        <v>700</v>
      </c>
      <c r="B701" s="30" t="s">
        <v>1587</v>
      </c>
      <c r="D701" s="30" t="s">
        <v>1588</v>
      </c>
      <c r="F701" s="30" t="s">
        <v>1591</v>
      </c>
      <c r="H701" s="30" t="s">
        <v>1592</v>
      </c>
      <c r="L701" s="30" t="s">
        <v>1594</v>
      </c>
      <c r="M701" s="30" t="s">
        <v>1636</v>
      </c>
      <c r="N701" s="30" t="s">
        <v>1402</v>
      </c>
      <c r="P701" s="30" t="s">
        <v>4658</v>
      </c>
      <c r="Q701" t="s">
        <v>619</v>
      </c>
      <c r="R701" t="s">
        <v>918</v>
      </c>
      <c r="S701">
        <v>37</v>
      </c>
      <c r="T701" s="29" t="str">
        <f t="shared" si="26"/>
        <v>2021.010B.R.Binomial_names.zip</v>
      </c>
      <c r="U701" s="29" t="str">
        <f>HYPERLINK("https://ictv.global/taxonomy/taxondetails?taxnode_id=202308450","ictv.global=202308450")</f>
        <v>ictv.global=202308450</v>
      </c>
    </row>
    <row r="702" spans="1:21">
      <c r="A702">
        <v>701</v>
      </c>
      <c r="B702" s="30" t="s">
        <v>1587</v>
      </c>
      <c r="D702" s="30" t="s">
        <v>1588</v>
      </c>
      <c r="F702" s="30" t="s">
        <v>1591</v>
      </c>
      <c r="H702" s="30" t="s">
        <v>1592</v>
      </c>
      <c r="L702" s="30" t="s">
        <v>1594</v>
      </c>
      <c r="M702" s="30" t="s">
        <v>1636</v>
      </c>
      <c r="N702" s="30" t="s">
        <v>1402</v>
      </c>
      <c r="P702" s="30" t="s">
        <v>4659</v>
      </c>
      <c r="Q702" t="s">
        <v>619</v>
      </c>
      <c r="R702" t="s">
        <v>918</v>
      </c>
      <c r="S702">
        <v>37</v>
      </c>
      <c r="T702" s="29" t="str">
        <f t="shared" si="26"/>
        <v>2021.010B.R.Binomial_names.zip</v>
      </c>
      <c r="U702" s="29" t="str">
        <f>HYPERLINK("https://ictv.global/taxonomy/taxondetails?taxnode_id=202308451","ictv.global=202308451")</f>
        <v>ictv.global=202308451</v>
      </c>
    </row>
    <row r="703" spans="1:21">
      <c r="A703">
        <v>702</v>
      </c>
      <c r="B703" s="30" t="s">
        <v>1587</v>
      </c>
      <c r="D703" s="30" t="s">
        <v>1588</v>
      </c>
      <c r="F703" s="30" t="s">
        <v>1591</v>
      </c>
      <c r="H703" s="30" t="s">
        <v>1592</v>
      </c>
      <c r="L703" s="30" t="s">
        <v>1594</v>
      </c>
      <c r="M703" s="30" t="s">
        <v>1636</v>
      </c>
      <c r="N703" s="30" t="s">
        <v>1402</v>
      </c>
      <c r="P703" s="30" t="s">
        <v>4660</v>
      </c>
      <c r="Q703" t="s">
        <v>619</v>
      </c>
      <c r="R703" t="s">
        <v>918</v>
      </c>
      <c r="S703">
        <v>37</v>
      </c>
      <c r="T703" s="29" t="str">
        <f t="shared" si="26"/>
        <v>2021.010B.R.Binomial_names.zip</v>
      </c>
      <c r="U703" s="29" t="str">
        <f>HYPERLINK("https://ictv.global/taxonomy/taxondetails?taxnode_id=202308452","ictv.global=202308452")</f>
        <v>ictv.global=202308452</v>
      </c>
    </row>
    <row r="704" spans="1:21">
      <c r="A704">
        <v>703</v>
      </c>
      <c r="B704" s="30" t="s">
        <v>1587</v>
      </c>
      <c r="D704" s="30" t="s">
        <v>1588</v>
      </c>
      <c r="F704" s="30" t="s">
        <v>1591</v>
      </c>
      <c r="H704" s="30" t="s">
        <v>1592</v>
      </c>
      <c r="L704" s="30" t="s">
        <v>1594</v>
      </c>
      <c r="M704" s="30" t="s">
        <v>1636</v>
      </c>
      <c r="N704" s="30" t="s">
        <v>1402</v>
      </c>
      <c r="P704" s="30" t="s">
        <v>4661</v>
      </c>
      <c r="Q704" t="s">
        <v>619</v>
      </c>
      <c r="R704" t="s">
        <v>918</v>
      </c>
      <c r="S704">
        <v>37</v>
      </c>
      <c r="T704" s="29" t="str">
        <f t="shared" si="26"/>
        <v>2021.010B.R.Binomial_names.zip</v>
      </c>
      <c r="U704" s="29" t="str">
        <f>HYPERLINK("https://ictv.global/taxonomy/taxondetails?taxnode_id=202300554","ictv.global=202300554")</f>
        <v>ictv.global=202300554</v>
      </c>
    </row>
    <row r="705" spans="1:21">
      <c r="A705">
        <v>704</v>
      </c>
      <c r="B705" s="30" t="s">
        <v>1587</v>
      </c>
      <c r="D705" s="30" t="s">
        <v>1588</v>
      </c>
      <c r="F705" s="30" t="s">
        <v>1591</v>
      </c>
      <c r="H705" s="30" t="s">
        <v>1592</v>
      </c>
      <c r="L705" s="30" t="s">
        <v>1594</v>
      </c>
      <c r="M705" s="30" t="s">
        <v>1636</v>
      </c>
      <c r="N705" s="30" t="s">
        <v>1402</v>
      </c>
      <c r="P705" s="30" t="s">
        <v>4662</v>
      </c>
      <c r="Q705" t="s">
        <v>619</v>
      </c>
      <c r="R705" t="s">
        <v>918</v>
      </c>
      <c r="S705">
        <v>37</v>
      </c>
      <c r="T705" s="29" t="str">
        <f t="shared" si="26"/>
        <v>2021.010B.R.Binomial_names.zip</v>
      </c>
      <c r="U705" s="29" t="str">
        <f>HYPERLINK("https://ictv.global/taxonomy/taxondetails?taxnode_id=202300555","ictv.global=202300555")</f>
        <v>ictv.global=202300555</v>
      </c>
    </row>
    <row r="706" spans="1:21">
      <c r="A706">
        <v>705</v>
      </c>
      <c r="B706" s="30" t="s">
        <v>1587</v>
      </c>
      <c r="D706" s="30" t="s">
        <v>1588</v>
      </c>
      <c r="F706" s="30" t="s">
        <v>1591</v>
      </c>
      <c r="H706" s="30" t="s">
        <v>1592</v>
      </c>
      <c r="L706" s="30" t="s">
        <v>1594</v>
      </c>
      <c r="M706" s="30" t="s">
        <v>1636</v>
      </c>
      <c r="N706" s="30" t="s">
        <v>1402</v>
      </c>
      <c r="P706" s="30" t="s">
        <v>4663</v>
      </c>
      <c r="Q706" t="s">
        <v>619</v>
      </c>
      <c r="R706" t="s">
        <v>918</v>
      </c>
      <c r="S706">
        <v>37</v>
      </c>
      <c r="T706" s="29" t="str">
        <f t="shared" si="26"/>
        <v>2021.010B.R.Binomial_names.zip</v>
      </c>
      <c r="U706" s="29" t="str">
        <f>HYPERLINK("https://ictv.global/taxonomy/taxondetails?taxnode_id=202308441","ictv.global=202308441")</f>
        <v>ictv.global=202308441</v>
      </c>
    </row>
    <row r="707" spans="1:21">
      <c r="A707">
        <v>706</v>
      </c>
      <c r="B707" s="30" t="s">
        <v>1587</v>
      </c>
      <c r="D707" s="30" t="s">
        <v>1588</v>
      </c>
      <c r="F707" s="30" t="s">
        <v>1591</v>
      </c>
      <c r="H707" s="30" t="s">
        <v>1592</v>
      </c>
      <c r="L707" s="30" t="s">
        <v>1594</v>
      </c>
      <c r="M707" s="30" t="s">
        <v>1636</v>
      </c>
      <c r="N707" s="30" t="s">
        <v>1402</v>
      </c>
      <c r="P707" s="30" t="s">
        <v>4664</v>
      </c>
      <c r="Q707" t="s">
        <v>619</v>
      </c>
      <c r="R707" t="s">
        <v>918</v>
      </c>
      <c r="S707">
        <v>37</v>
      </c>
      <c r="T707" s="29" t="str">
        <f t="shared" si="26"/>
        <v>2021.010B.R.Binomial_names.zip</v>
      </c>
      <c r="U707" s="29" t="str">
        <f>HYPERLINK("https://ictv.global/taxonomy/taxondetails?taxnode_id=202308442","ictv.global=202308442")</f>
        <v>ictv.global=202308442</v>
      </c>
    </row>
    <row r="708" spans="1:21">
      <c r="A708">
        <v>707</v>
      </c>
      <c r="B708" s="30" t="s">
        <v>1587</v>
      </c>
      <c r="D708" s="30" t="s">
        <v>1588</v>
      </c>
      <c r="F708" s="30" t="s">
        <v>1591</v>
      </c>
      <c r="H708" s="30" t="s">
        <v>1592</v>
      </c>
      <c r="L708" s="30" t="s">
        <v>1594</v>
      </c>
      <c r="M708" s="30" t="s">
        <v>1636</v>
      </c>
      <c r="N708" s="30" t="s">
        <v>1402</v>
      </c>
      <c r="P708" s="30" t="s">
        <v>4665</v>
      </c>
      <c r="Q708" t="s">
        <v>619</v>
      </c>
      <c r="R708" t="s">
        <v>918</v>
      </c>
      <c r="S708">
        <v>37</v>
      </c>
      <c r="T708" s="29" t="str">
        <f t="shared" si="26"/>
        <v>2021.010B.R.Binomial_names.zip</v>
      </c>
      <c r="U708" s="29" t="str">
        <f>HYPERLINK("https://ictv.global/taxonomy/taxondetails?taxnode_id=202308443","ictv.global=202308443")</f>
        <v>ictv.global=202308443</v>
      </c>
    </row>
    <row r="709" spans="1:21">
      <c r="A709">
        <v>708</v>
      </c>
      <c r="B709" s="30" t="s">
        <v>1587</v>
      </c>
      <c r="D709" s="30" t="s">
        <v>1588</v>
      </c>
      <c r="F709" s="30" t="s">
        <v>1591</v>
      </c>
      <c r="H709" s="30" t="s">
        <v>1592</v>
      </c>
      <c r="L709" s="30" t="s">
        <v>1594</v>
      </c>
      <c r="M709" s="30" t="s">
        <v>1636</v>
      </c>
      <c r="N709" s="30" t="s">
        <v>1402</v>
      </c>
      <c r="P709" s="30" t="s">
        <v>4666</v>
      </c>
      <c r="Q709" t="s">
        <v>619</v>
      </c>
      <c r="R709" t="s">
        <v>918</v>
      </c>
      <c r="S709">
        <v>37</v>
      </c>
      <c r="T709" s="29" t="str">
        <f t="shared" si="26"/>
        <v>2021.010B.R.Binomial_names.zip</v>
      </c>
      <c r="U709" s="29" t="str">
        <f>HYPERLINK("https://ictv.global/taxonomy/taxondetails?taxnode_id=202308444","ictv.global=202308444")</f>
        <v>ictv.global=202308444</v>
      </c>
    </row>
    <row r="710" spans="1:21">
      <c r="A710">
        <v>709</v>
      </c>
      <c r="B710" s="30" t="s">
        <v>1587</v>
      </c>
      <c r="D710" s="30" t="s">
        <v>1588</v>
      </c>
      <c r="F710" s="30" t="s">
        <v>1591</v>
      </c>
      <c r="H710" s="30" t="s">
        <v>1592</v>
      </c>
      <c r="L710" s="30" t="s">
        <v>1594</v>
      </c>
      <c r="M710" s="30" t="s">
        <v>1636</v>
      </c>
      <c r="N710" s="30" t="s">
        <v>1402</v>
      </c>
      <c r="P710" s="30" t="s">
        <v>4667</v>
      </c>
      <c r="Q710" t="s">
        <v>619</v>
      </c>
      <c r="R710" t="s">
        <v>918</v>
      </c>
      <c r="S710">
        <v>37</v>
      </c>
      <c r="T710" s="29" t="str">
        <f t="shared" si="26"/>
        <v>2021.010B.R.Binomial_names.zip</v>
      </c>
      <c r="U710" s="29" t="str">
        <f>HYPERLINK("https://ictv.global/taxonomy/taxondetails?taxnode_id=202308446","ictv.global=202308446")</f>
        <v>ictv.global=202308446</v>
      </c>
    </row>
    <row r="711" spans="1:21">
      <c r="A711">
        <v>710</v>
      </c>
      <c r="B711" s="30" t="s">
        <v>1587</v>
      </c>
      <c r="D711" s="30" t="s">
        <v>1588</v>
      </c>
      <c r="F711" s="30" t="s">
        <v>1591</v>
      </c>
      <c r="H711" s="30" t="s">
        <v>1592</v>
      </c>
      <c r="L711" s="30" t="s">
        <v>1594</v>
      </c>
      <c r="M711" s="30" t="s">
        <v>1636</v>
      </c>
      <c r="N711" s="30" t="s">
        <v>1402</v>
      </c>
      <c r="P711" s="30" t="s">
        <v>4668</v>
      </c>
      <c r="Q711" t="s">
        <v>619</v>
      </c>
      <c r="R711" t="s">
        <v>918</v>
      </c>
      <c r="S711">
        <v>37</v>
      </c>
      <c r="T711" s="29" t="str">
        <f t="shared" si="26"/>
        <v>2021.010B.R.Binomial_names.zip</v>
      </c>
      <c r="U711" s="29" t="str">
        <f>HYPERLINK("https://ictv.global/taxonomy/taxondetails?taxnode_id=202300556","ictv.global=202300556")</f>
        <v>ictv.global=202300556</v>
      </c>
    </row>
    <row r="712" spans="1:21">
      <c r="A712">
        <v>711</v>
      </c>
      <c r="B712" s="30" t="s">
        <v>1587</v>
      </c>
      <c r="D712" s="30" t="s">
        <v>1588</v>
      </c>
      <c r="F712" s="30" t="s">
        <v>1591</v>
      </c>
      <c r="H712" s="30" t="s">
        <v>1592</v>
      </c>
      <c r="L712" s="30" t="s">
        <v>1594</v>
      </c>
      <c r="M712" s="30" t="s">
        <v>1636</v>
      </c>
      <c r="N712" s="30" t="s">
        <v>1402</v>
      </c>
      <c r="P712" s="30" t="s">
        <v>4669</v>
      </c>
      <c r="Q712" t="s">
        <v>619</v>
      </c>
      <c r="R712" t="s">
        <v>918</v>
      </c>
      <c r="S712">
        <v>37</v>
      </c>
      <c r="T712" s="29" t="str">
        <f t="shared" si="26"/>
        <v>2021.010B.R.Binomial_names.zip</v>
      </c>
      <c r="U712" s="29" t="str">
        <f>HYPERLINK("https://ictv.global/taxonomy/taxondetails?taxnode_id=202308431","ictv.global=202308431")</f>
        <v>ictv.global=202308431</v>
      </c>
    </row>
    <row r="713" spans="1:21">
      <c r="A713">
        <v>712</v>
      </c>
      <c r="B713" s="30" t="s">
        <v>1587</v>
      </c>
      <c r="D713" s="30" t="s">
        <v>1588</v>
      </c>
      <c r="F713" s="30" t="s">
        <v>1591</v>
      </c>
      <c r="H713" s="30" t="s">
        <v>1592</v>
      </c>
      <c r="L713" s="30" t="s">
        <v>1594</v>
      </c>
      <c r="M713" s="30" t="s">
        <v>1636</v>
      </c>
      <c r="N713" s="30" t="s">
        <v>1402</v>
      </c>
      <c r="P713" s="30" t="s">
        <v>4670</v>
      </c>
      <c r="Q713" t="s">
        <v>619</v>
      </c>
      <c r="R713" t="s">
        <v>918</v>
      </c>
      <c r="S713">
        <v>37</v>
      </c>
      <c r="T713" s="29" t="str">
        <f t="shared" si="26"/>
        <v>2021.010B.R.Binomial_names.zip</v>
      </c>
      <c r="U713" s="29" t="str">
        <f>HYPERLINK("https://ictv.global/taxonomy/taxondetails?taxnode_id=202308433","ictv.global=202308433")</f>
        <v>ictv.global=202308433</v>
      </c>
    </row>
    <row r="714" spans="1:21">
      <c r="A714">
        <v>713</v>
      </c>
      <c r="B714" s="30" t="s">
        <v>1587</v>
      </c>
      <c r="D714" s="30" t="s">
        <v>1588</v>
      </c>
      <c r="F714" s="30" t="s">
        <v>1591</v>
      </c>
      <c r="H714" s="30" t="s">
        <v>1592</v>
      </c>
      <c r="L714" s="30" t="s">
        <v>1594</v>
      </c>
      <c r="M714" s="30" t="s">
        <v>1636</v>
      </c>
      <c r="N714" s="30" t="s">
        <v>1402</v>
      </c>
      <c r="P714" s="30" t="s">
        <v>4671</v>
      </c>
      <c r="Q714" t="s">
        <v>619</v>
      </c>
      <c r="R714" t="s">
        <v>918</v>
      </c>
      <c r="S714">
        <v>37</v>
      </c>
      <c r="T714" s="29" t="str">
        <f t="shared" si="26"/>
        <v>2021.010B.R.Binomial_names.zip</v>
      </c>
      <c r="U714" s="29" t="str">
        <f>HYPERLINK("https://ictv.global/taxonomy/taxondetails?taxnode_id=202308432","ictv.global=202308432")</f>
        <v>ictv.global=202308432</v>
      </c>
    </row>
    <row r="715" spans="1:21">
      <c r="A715">
        <v>714</v>
      </c>
      <c r="B715" s="30" t="s">
        <v>1587</v>
      </c>
      <c r="D715" s="30" t="s">
        <v>1588</v>
      </c>
      <c r="F715" s="30" t="s">
        <v>1591</v>
      </c>
      <c r="H715" s="30" t="s">
        <v>1592</v>
      </c>
      <c r="L715" s="30" t="s">
        <v>1594</v>
      </c>
      <c r="M715" s="30" t="s">
        <v>1636</v>
      </c>
      <c r="N715" s="30" t="s">
        <v>1402</v>
      </c>
      <c r="P715" s="30" t="s">
        <v>11798</v>
      </c>
      <c r="Q715" t="s">
        <v>619</v>
      </c>
      <c r="R715" t="s">
        <v>917</v>
      </c>
      <c r="S715">
        <v>39</v>
      </c>
      <c r="T715" s="29" t="str">
        <f>HYPERLINK("https://ictv.global/ictv/proposals/2023.053B.Przondovirus_5ns.zip","2023.053B.Przondovirus_5ns.zip")</f>
        <v>2023.053B.Przondovirus_5ns.zip</v>
      </c>
      <c r="U715" s="29" t="str">
        <f>HYPERLINK("https://ictv.global/taxonomy/taxondetails?taxnode_id=202319237","ictv.global=202319237")</f>
        <v>ictv.global=202319237</v>
      </c>
    </row>
    <row r="716" spans="1:21">
      <c r="A716">
        <v>715</v>
      </c>
      <c r="B716" s="30" t="s">
        <v>1587</v>
      </c>
      <c r="D716" s="30" t="s">
        <v>1588</v>
      </c>
      <c r="F716" s="30" t="s">
        <v>1591</v>
      </c>
      <c r="H716" s="30" t="s">
        <v>1592</v>
      </c>
      <c r="L716" s="30" t="s">
        <v>1594</v>
      </c>
      <c r="M716" s="30" t="s">
        <v>1636</v>
      </c>
      <c r="N716" s="30" t="s">
        <v>1402</v>
      </c>
      <c r="P716" s="30" t="s">
        <v>4672</v>
      </c>
      <c r="Q716" t="s">
        <v>619</v>
      </c>
      <c r="R716" t="s">
        <v>918</v>
      </c>
      <c r="S716">
        <v>37</v>
      </c>
      <c r="T716" s="29" t="str">
        <f>HYPERLINK("https://ictv.global/ictv/proposals/2021.010B.R.Binomial_names.zip","2021.010B.R.Binomial_names.zip")</f>
        <v>2021.010B.R.Binomial_names.zip</v>
      </c>
      <c r="U716" s="29" t="str">
        <f>HYPERLINK("https://ictv.global/taxonomy/taxondetails?taxnode_id=202308448","ictv.global=202308448")</f>
        <v>ictv.global=202308448</v>
      </c>
    </row>
    <row r="717" spans="1:21">
      <c r="A717">
        <v>716</v>
      </c>
      <c r="B717" s="30" t="s">
        <v>1587</v>
      </c>
      <c r="D717" s="30" t="s">
        <v>1588</v>
      </c>
      <c r="F717" s="30" t="s">
        <v>1591</v>
      </c>
      <c r="H717" s="30" t="s">
        <v>1592</v>
      </c>
      <c r="L717" s="30" t="s">
        <v>1594</v>
      </c>
      <c r="M717" s="30" t="s">
        <v>1636</v>
      </c>
      <c r="N717" s="30" t="s">
        <v>1402</v>
      </c>
      <c r="P717" s="30" t="s">
        <v>4673</v>
      </c>
      <c r="Q717" t="s">
        <v>619</v>
      </c>
      <c r="R717" t="s">
        <v>918</v>
      </c>
      <c r="S717">
        <v>37</v>
      </c>
      <c r="T717" s="29" t="str">
        <f>HYPERLINK("https://ictv.global/ictv/proposals/2021.010B.R.Binomial_names.zip","2021.010B.R.Binomial_names.zip")</f>
        <v>2021.010B.R.Binomial_names.zip</v>
      </c>
      <c r="U717" s="29" t="str">
        <f>HYPERLINK("https://ictv.global/taxonomy/taxondetails?taxnode_id=202308436","ictv.global=202308436")</f>
        <v>ictv.global=202308436</v>
      </c>
    </row>
    <row r="718" spans="1:21">
      <c r="A718">
        <v>717</v>
      </c>
      <c r="B718" s="30" t="s">
        <v>1587</v>
      </c>
      <c r="D718" s="30" t="s">
        <v>1588</v>
      </c>
      <c r="F718" s="30" t="s">
        <v>1591</v>
      </c>
      <c r="H718" s="30" t="s">
        <v>1592</v>
      </c>
      <c r="L718" s="30" t="s">
        <v>1594</v>
      </c>
      <c r="M718" s="30" t="s">
        <v>1636</v>
      </c>
      <c r="N718" s="30" t="s">
        <v>1402</v>
      </c>
      <c r="P718" s="30" t="s">
        <v>11799</v>
      </c>
      <c r="Q718" t="s">
        <v>619</v>
      </c>
      <c r="R718" t="s">
        <v>917</v>
      </c>
      <c r="S718">
        <v>39</v>
      </c>
      <c r="T718" s="29" t="str">
        <f>HYPERLINK("https://ictv.global/ictv/proposals/2023.053B.Przondovirus_5ns.zip","2023.053B.Przondovirus_5ns.zip")</f>
        <v>2023.053B.Przondovirus_5ns.zip</v>
      </c>
      <c r="U718" s="29" t="str">
        <f>HYPERLINK("https://ictv.global/taxonomy/taxondetails?taxnode_id=202319238","ictv.global=202319238")</f>
        <v>ictv.global=202319238</v>
      </c>
    </row>
    <row r="719" spans="1:21">
      <c r="A719">
        <v>718</v>
      </c>
      <c r="B719" s="30" t="s">
        <v>1587</v>
      </c>
      <c r="D719" s="30" t="s">
        <v>1588</v>
      </c>
      <c r="F719" s="30" t="s">
        <v>1591</v>
      </c>
      <c r="H719" s="30" t="s">
        <v>1592</v>
      </c>
      <c r="L719" s="30" t="s">
        <v>1594</v>
      </c>
      <c r="M719" s="30" t="s">
        <v>1636</v>
      </c>
      <c r="N719" s="30" t="s">
        <v>1402</v>
      </c>
      <c r="P719" s="30" t="s">
        <v>4674</v>
      </c>
      <c r="Q719" t="s">
        <v>619</v>
      </c>
      <c r="R719" t="s">
        <v>918</v>
      </c>
      <c r="S719">
        <v>37</v>
      </c>
      <c r="T719" s="29" t="str">
        <f>HYPERLINK("https://ictv.global/ictv/proposals/2021.010B.R.Binomial_names.zip","2021.010B.R.Binomial_names.zip")</f>
        <v>2021.010B.R.Binomial_names.zip</v>
      </c>
      <c r="U719" s="29" t="str">
        <f>HYPERLINK("https://ictv.global/taxonomy/taxondetails?taxnode_id=202308449","ictv.global=202308449")</f>
        <v>ictv.global=202308449</v>
      </c>
    </row>
    <row r="720" spans="1:21">
      <c r="A720">
        <v>719</v>
      </c>
      <c r="B720" s="30" t="s">
        <v>1587</v>
      </c>
      <c r="D720" s="30" t="s">
        <v>1588</v>
      </c>
      <c r="F720" s="30" t="s">
        <v>1591</v>
      </c>
      <c r="H720" s="30" t="s">
        <v>1592</v>
      </c>
      <c r="L720" s="30" t="s">
        <v>1594</v>
      </c>
      <c r="M720" s="30" t="s">
        <v>1636</v>
      </c>
      <c r="N720" s="30" t="s">
        <v>1402</v>
      </c>
      <c r="P720" s="30" t="s">
        <v>4675</v>
      </c>
      <c r="Q720" t="s">
        <v>619</v>
      </c>
      <c r="R720" t="s">
        <v>918</v>
      </c>
      <c r="S720">
        <v>37</v>
      </c>
      <c r="T720" s="29" t="str">
        <f>HYPERLINK("https://ictv.global/ictv/proposals/2021.010B.R.Binomial_names.zip","2021.010B.R.Binomial_names.zip")</f>
        <v>2021.010B.R.Binomial_names.zip</v>
      </c>
      <c r="U720" s="29" t="str">
        <f>HYPERLINK("https://ictv.global/taxonomy/taxondetails?taxnode_id=202308440","ictv.global=202308440")</f>
        <v>ictv.global=202308440</v>
      </c>
    </row>
    <row r="721" spans="1:21">
      <c r="A721">
        <v>720</v>
      </c>
      <c r="B721" s="30" t="s">
        <v>1587</v>
      </c>
      <c r="D721" s="30" t="s">
        <v>1588</v>
      </c>
      <c r="F721" s="30" t="s">
        <v>1591</v>
      </c>
      <c r="H721" s="30" t="s">
        <v>1592</v>
      </c>
      <c r="L721" s="30" t="s">
        <v>1594</v>
      </c>
      <c r="M721" s="30" t="s">
        <v>1636</v>
      </c>
      <c r="N721" s="30" t="s">
        <v>1402</v>
      </c>
      <c r="P721" s="30" t="s">
        <v>11800</v>
      </c>
      <c r="Q721" t="s">
        <v>619</v>
      </c>
      <c r="R721" t="s">
        <v>917</v>
      </c>
      <c r="S721">
        <v>39</v>
      </c>
      <c r="T721" s="29" t="str">
        <f>HYPERLINK("https://ictv.global/ictv/proposals/2023.053B.Przondovirus_5ns.zip","2023.053B.Przondovirus_5ns.zip")</f>
        <v>2023.053B.Przondovirus_5ns.zip</v>
      </c>
      <c r="U721" s="29" t="str">
        <f>HYPERLINK("https://ictv.global/taxonomy/taxondetails?taxnode_id=202319241","ictv.global=202319241")</f>
        <v>ictv.global=202319241</v>
      </c>
    </row>
    <row r="722" spans="1:21">
      <c r="A722">
        <v>721</v>
      </c>
      <c r="B722" s="30" t="s">
        <v>1587</v>
      </c>
      <c r="D722" s="30" t="s">
        <v>1588</v>
      </c>
      <c r="F722" s="30" t="s">
        <v>1591</v>
      </c>
      <c r="H722" s="30" t="s">
        <v>1592</v>
      </c>
      <c r="L722" s="30" t="s">
        <v>1594</v>
      </c>
      <c r="M722" s="30" t="s">
        <v>1636</v>
      </c>
      <c r="N722" s="30" t="s">
        <v>1655</v>
      </c>
      <c r="P722" s="30" t="s">
        <v>4676</v>
      </c>
      <c r="Q722" t="s">
        <v>619</v>
      </c>
      <c r="R722" t="s">
        <v>918</v>
      </c>
      <c r="S722">
        <v>37</v>
      </c>
      <c r="T722" s="29" t="str">
        <f t="shared" ref="T722:T729" si="27">HYPERLINK("https://ictv.global/ictv/proposals/2021.010B.R.Binomial_names.zip","2021.010B.R.Binomial_names.zip")</f>
        <v>2021.010B.R.Binomial_names.zip</v>
      </c>
      <c r="U722" s="29" t="str">
        <f>HYPERLINK("https://ictv.global/taxonomy/taxondetails?taxnode_id=202308475","ictv.global=202308475")</f>
        <v>ictv.global=202308475</v>
      </c>
    </row>
    <row r="723" spans="1:21">
      <c r="A723">
        <v>722</v>
      </c>
      <c r="B723" s="30" t="s">
        <v>1587</v>
      </c>
      <c r="D723" s="30" t="s">
        <v>1588</v>
      </c>
      <c r="F723" s="30" t="s">
        <v>1591</v>
      </c>
      <c r="H723" s="30" t="s">
        <v>1592</v>
      </c>
      <c r="L723" s="30" t="s">
        <v>1594</v>
      </c>
      <c r="M723" s="30" t="s">
        <v>1636</v>
      </c>
      <c r="N723" s="30" t="s">
        <v>1655</v>
      </c>
      <c r="P723" s="30" t="s">
        <v>4677</v>
      </c>
      <c r="Q723" t="s">
        <v>619</v>
      </c>
      <c r="R723" t="s">
        <v>918</v>
      </c>
      <c r="S723">
        <v>37</v>
      </c>
      <c r="T723" s="29" t="str">
        <f t="shared" si="27"/>
        <v>2021.010B.R.Binomial_names.zip</v>
      </c>
      <c r="U723" s="29" t="str">
        <f>HYPERLINK("https://ictv.global/taxonomy/taxondetails?taxnode_id=202308465","ictv.global=202308465")</f>
        <v>ictv.global=202308465</v>
      </c>
    </row>
    <row r="724" spans="1:21">
      <c r="A724">
        <v>723</v>
      </c>
      <c r="B724" s="30" t="s">
        <v>1587</v>
      </c>
      <c r="D724" s="30" t="s">
        <v>1588</v>
      </c>
      <c r="F724" s="30" t="s">
        <v>1591</v>
      </c>
      <c r="H724" s="30" t="s">
        <v>1592</v>
      </c>
      <c r="L724" s="30" t="s">
        <v>1594</v>
      </c>
      <c r="M724" s="30" t="s">
        <v>1636</v>
      </c>
      <c r="N724" s="30" t="s">
        <v>1655</v>
      </c>
      <c r="P724" s="30" t="s">
        <v>4678</v>
      </c>
      <c r="Q724" t="s">
        <v>619</v>
      </c>
      <c r="R724" t="s">
        <v>918</v>
      </c>
      <c r="S724">
        <v>37</v>
      </c>
      <c r="T724" s="29" t="str">
        <f t="shared" si="27"/>
        <v>2021.010B.R.Binomial_names.zip</v>
      </c>
      <c r="U724" s="29" t="str">
        <f>HYPERLINK("https://ictv.global/taxonomy/taxondetails?taxnode_id=202308466","ictv.global=202308466")</f>
        <v>ictv.global=202308466</v>
      </c>
    </row>
    <row r="725" spans="1:21">
      <c r="A725">
        <v>724</v>
      </c>
      <c r="B725" s="30" t="s">
        <v>1587</v>
      </c>
      <c r="D725" s="30" t="s">
        <v>1588</v>
      </c>
      <c r="F725" s="30" t="s">
        <v>1591</v>
      </c>
      <c r="H725" s="30" t="s">
        <v>1592</v>
      </c>
      <c r="L725" s="30" t="s">
        <v>1594</v>
      </c>
      <c r="M725" s="30" t="s">
        <v>1636</v>
      </c>
      <c r="N725" s="30" t="s">
        <v>1655</v>
      </c>
      <c r="P725" s="30" t="s">
        <v>4679</v>
      </c>
      <c r="Q725" t="s">
        <v>619</v>
      </c>
      <c r="R725" t="s">
        <v>918</v>
      </c>
      <c r="S725">
        <v>37</v>
      </c>
      <c r="T725" s="29" t="str">
        <f t="shared" si="27"/>
        <v>2021.010B.R.Binomial_names.zip</v>
      </c>
      <c r="U725" s="29" t="str">
        <f>HYPERLINK("https://ictv.global/taxonomy/taxondetails?taxnode_id=202308467","ictv.global=202308467")</f>
        <v>ictv.global=202308467</v>
      </c>
    </row>
    <row r="726" spans="1:21">
      <c r="A726">
        <v>725</v>
      </c>
      <c r="B726" s="30" t="s">
        <v>1587</v>
      </c>
      <c r="D726" s="30" t="s">
        <v>1588</v>
      </c>
      <c r="F726" s="30" t="s">
        <v>1591</v>
      </c>
      <c r="H726" s="30" t="s">
        <v>1592</v>
      </c>
      <c r="L726" s="30" t="s">
        <v>1594</v>
      </c>
      <c r="M726" s="30" t="s">
        <v>1636</v>
      </c>
      <c r="N726" s="30" t="s">
        <v>1655</v>
      </c>
      <c r="P726" s="30" t="s">
        <v>4680</v>
      </c>
      <c r="Q726" t="s">
        <v>619</v>
      </c>
      <c r="R726" t="s">
        <v>918</v>
      </c>
      <c r="S726">
        <v>37</v>
      </c>
      <c r="T726" s="29" t="str">
        <f t="shared" si="27"/>
        <v>2021.010B.R.Binomial_names.zip</v>
      </c>
      <c r="U726" s="29" t="str">
        <f>HYPERLINK("https://ictv.global/taxonomy/taxondetails?taxnode_id=202308468","ictv.global=202308468")</f>
        <v>ictv.global=202308468</v>
      </c>
    </row>
    <row r="727" spans="1:21">
      <c r="A727">
        <v>726</v>
      </c>
      <c r="B727" s="30" t="s">
        <v>1587</v>
      </c>
      <c r="D727" s="30" t="s">
        <v>1588</v>
      </c>
      <c r="F727" s="30" t="s">
        <v>1591</v>
      </c>
      <c r="H727" s="30" t="s">
        <v>1592</v>
      </c>
      <c r="L727" s="30" t="s">
        <v>1594</v>
      </c>
      <c r="M727" s="30" t="s">
        <v>1636</v>
      </c>
      <c r="N727" s="30" t="s">
        <v>1655</v>
      </c>
      <c r="P727" s="30" t="s">
        <v>4681</v>
      </c>
      <c r="Q727" t="s">
        <v>619</v>
      </c>
      <c r="R727" t="s">
        <v>918</v>
      </c>
      <c r="S727">
        <v>37</v>
      </c>
      <c r="T727" s="29" t="str">
        <f t="shared" si="27"/>
        <v>2021.010B.R.Binomial_names.zip</v>
      </c>
      <c r="U727" s="29" t="str">
        <f>HYPERLINK("https://ictv.global/taxonomy/taxondetails?taxnode_id=202308472","ictv.global=202308472")</f>
        <v>ictv.global=202308472</v>
      </c>
    </row>
    <row r="728" spans="1:21">
      <c r="A728">
        <v>727</v>
      </c>
      <c r="B728" s="30" t="s">
        <v>1587</v>
      </c>
      <c r="D728" s="30" t="s">
        <v>1588</v>
      </c>
      <c r="F728" s="30" t="s">
        <v>1591</v>
      </c>
      <c r="H728" s="30" t="s">
        <v>1592</v>
      </c>
      <c r="L728" s="30" t="s">
        <v>1594</v>
      </c>
      <c r="M728" s="30" t="s">
        <v>1636</v>
      </c>
      <c r="N728" s="30" t="s">
        <v>1655</v>
      </c>
      <c r="P728" s="30" t="s">
        <v>4682</v>
      </c>
      <c r="Q728" t="s">
        <v>619</v>
      </c>
      <c r="R728" t="s">
        <v>918</v>
      </c>
      <c r="S728">
        <v>37</v>
      </c>
      <c r="T728" s="29" t="str">
        <f t="shared" si="27"/>
        <v>2021.010B.R.Binomial_names.zip</v>
      </c>
      <c r="U728" s="29" t="str">
        <f>HYPERLINK("https://ictv.global/taxonomy/taxondetails?taxnode_id=202308477","ictv.global=202308477")</f>
        <v>ictv.global=202308477</v>
      </c>
    </row>
    <row r="729" spans="1:21">
      <c r="A729">
        <v>728</v>
      </c>
      <c r="B729" s="30" t="s">
        <v>1587</v>
      </c>
      <c r="D729" s="30" t="s">
        <v>1588</v>
      </c>
      <c r="F729" s="30" t="s">
        <v>1591</v>
      </c>
      <c r="H729" s="30" t="s">
        <v>1592</v>
      </c>
      <c r="L729" s="30" t="s">
        <v>1594</v>
      </c>
      <c r="M729" s="30" t="s">
        <v>1636</v>
      </c>
      <c r="N729" s="30" t="s">
        <v>1655</v>
      </c>
      <c r="P729" s="30" t="s">
        <v>4683</v>
      </c>
      <c r="Q729" t="s">
        <v>619</v>
      </c>
      <c r="R729" t="s">
        <v>918</v>
      </c>
      <c r="S729">
        <v>37</v>
      </c>
      <c r="T729" s="29" t="str">
        <f t="shared" si="27"/>
        <v>2021.010B.R.Binomial_names.zip</v>
      </c>
      <c r="U729" s="29" t="str">
        <f>HYPERLINK("https://ictv.global/taxonomy/taxondetails?taxnode_id=202308476","ictv.global=202308476")</f>
        <v>ictv.global=202308476</v>
      </c>
    </row>
    <row r="730" spans="1:21">
      <c r="A730">
        <v>729</v>
      </c>
      <c r="B730" s="30" t="s">
        <v>1587</v>
      </c>
      <c r="D730" s="30" t="s">
        <v>1588</v>
      </c>
      <c r="F730" s="30" t="s">
        <v>1591</v>
      </c>
      <c r="H730" s="30" t="s">
        <v>1592</v>
      </c>
      <c r="L730" s="30" t="s">
        <v>1594</v>
      </c>
      <c r="M730" s="30" t="s">
        <v>1636</v>
      </c>
      <c r="N730" s="30" t="s">
        <v>1655</v>
      </c>
      <c r="P730" s="30" t="s">
        <v>4684</v>
      </c>
      <c r="Q730" t="s">
        <v>619</v>
      </c>
      <c r="R730" t="s">
        <v>917</v>
      </c>
      <c r="S730">
        <v>38</v>
      </c>
      <c r="T730" s="29" t="str">
        <f>HYPERLINK("https://ictv.global/ictv/proposals/2022.020B.Caudoviricetes_2nsp.zip","2022.020B.Caudoviricetes_2nsp.zip")</f>
        <v>2022.020B.Caudoviricetes_2nsp.zip</v>
      </c>
      <c r="U730" s="29" t="str">
        <f>HYPERLINK("https://ictv.global/taxonomy/taxondetails?taxnode_id=202314551","ictv.global=202314551")</f>
        <v>ictv.global=202314551</v>
      </c>
    </row>
    <row r="731" spans="1:21">
      <c r="A731">
        <v>730</v>
      </c>
      <c r="B731" s="30" t="s">
        <v>1587</v>
      </c>
      <c r="D731" s="30" t="s">
        <v>1588</v>
      </c>
      <c r="F731" s="30" t="s">
        <v>1591</v>
      </c>
      <c r="H731" s="30" t="s">
        <v>1592</v>
      </c>
      <c r="L731" s="30" t="s">
        <v>1594</v>
      </c>
      <c r="M731" s="30" t="s">
        <v>1636</v>
      </c>
      <c r="N731" s="30" t="s">
        <v>1655</v>
      </c>
      <c r="P731" s="30" t="s">
        <v>4685</v>
      </c>
      <c r="Q731" t="s">
        <v>619</v>
      </c>
      <c r="R731" t="s">
        <v>918</v>
      </c>
      <c r="S731">
        <v>37</v>
      </c>
      <c r="T731" s="29" t="str">
        <f t="shared" ref="T731:T763" si="28">HYPERLINK("https://ictv.global/ictv/proposals/2021.010B.R.Binomial_names.zip","2021.010B.R.Binomial_names.zip")</f>
        <v>2021.010B.R.Binomial_names.zip</v>
      </c>
      <c r="U731" s="29" t="str">
        <f>HYPERLINK("https://ictv.global/taxonomy/taxondetails?taxnode_id=202308463","ictv.global=202308463")</f>
        <v>ictv.global=202308463</v>
      </c>
    </row>
    <row r="732" spans="1:21">
      <c r="A732">
        <v>731</v>
      </c>
      <c r="B732" s="30" t="s">
        <v>1587</v>
      </c>
      <c r="D732" s="30" t="s">
        <v>1588</v>
      </c>
      <c r="F732" s="30" t="s">
        <v>1591</v>
      </c>
      <c r="H732" s="30" t="s">
        <v>1592</v>
      </c>
      <c r="L732" s="30" t="s">
        <v>1594</v>
      </c>
      <c r="M732" s="30" t="s">
        <v>1636</v>
      </c>
      <c r="N732" s="30" t="s">
        <v>1655</v>
      </c>
      <c r="P732" s="30" t="s">
        <v>4686</v>
      </c>
      <c r="Q732" t="s">
        <v>619</v>
      </c>
      <c r="R732" t="s">
        <v>918</v>
      </c>
      <c r="S732">
        <v>37</v>
      </c>
      <c r="T732" s="29" t="str">
        <f t="shared" si="28"/>
        <v>2021.010B.R.Binomial_names.zip</v>
      </c>
      <c r="U732" s="29" t="str">
        <f>HYPERLINK("https://ictv.global/taxonomy/taxondetails?taxnode_id=202308470","ictv.global=202308470")</f>
        <v>ictv.global=202308470</v>
      </c>
    </row>
    <row r="733" spans="1:21">
      <c r="A733">
        <v>732</v>
      </c>
      <c r="B733" s="30" t="s">
        <v>1587</v>
      </c>
      <c r="D733" s="30" t="s">
        <v>1588</v>
      </c>
      <c r="F733" s="30" t="s">
        <v>1591</v>
      </c>
      <c r="H733" s="30" t="s">
        <v>1592</v>
      </c>
      <c r="L733" s="30" t="s">
        <v>1594</v>
      </c>
      <c r="M733" s="30" t="s">
        <v>1636</v>
      </c>
      <c r="N733" s="30" t="s">
        <v>1655</v>
      </c>
      <c r="P733" s="30" t="s">
        <v>4687</v>
      </c>
      <c r="Q733" t="s">
        <v>619</v>
      </c>
      <c r="R733" t="s">
        <v>918</v>
      </c>
      <c r="S733">
        <v>37</v>
      </c>
      <c r="T733" s="29" t="str">
        <f t="shared" si="28"/>
        <v>2021.010B.R.Binomial_names.zip</v>
      </c>
      <c r="U733" s="29" t="str">
        <f>HYPERLINK("https://ictv.global/taxonomy/taxondetails?taxnode_id=202308471","ictv.global=202308471")</f>
        <v>ictv.global=202308471</v>
      </c>
    </row>
    <row r="734" spans="1:21">
      <c r="A734">
        <v>733</v>
      </c>
      <c r="B734" s="30" t="s">
        <v>1587</v>
      </c>
      <c r="D734" s="30" t="s">
        <v>1588</v>
      </c>
      <c r="F734" s="30" t="s">
        <v>1591</v>
      </c>
      <c r="H734" s="30" t="s">
        <v>1592</v>
      </c>
      <c r="L734" s="30" t="s">
        <v>1594</v>
      </c>
      <c r="M734" s="30" t="s">
        <v>1636</v>
      </c>
      <c r="N734" s="30" t="s">
        <v>1655</v>
      </c>
      <c r="P734" s="30" t="s">
        <v>4688</v>
      </c>
      <c r="Q734" t="s">
        <v>619</v>
      </c>
      <c r="R734" t="s">
        <v>918</v>
      </c>
      <c r="S734">
        <v>37</v>
      </c>
      <c r="T734" s="29" t="str">
        <f t="shared" si="28"/>
        <v>2021.010B.R.Binomial_names.zip</v>
      </c>
      <c r="U734" s="29" t="str">
        <f>HYPERLINK("https://ictv.global/taxonomy/taxondetails?taxnode_id=202308473","ictv.global=202308473")</f>
        <v>ictv.global=202308473</v>
      </c>
    </row>
    <row r="735" spans="1:21">
      <c r="A735">
        <v>734</v>
      </c>
      <c r="B735" s="30" t="s">
        <v>1587</v>
      </c>
      <c r="D735" s="30" t="s">
        <v>1588</v>
      </c>
      <c r="F735" s="30" t="s">
        <v>1591</v>
      </c>
      <c r="H735" s="30" t="s">
        <v>1592</v>
      </c>
      <c r="L735" s="30" t="s">
        <v>1594</v>
      </c>
      <c r="M735" s="30" t="s">
        <v>1636</v>
      </c>
      <c r="N735" s="30" t="s">
        <v>1655</v>
      </c>
      <c r="P735" s="30" t="s">
        <v>4689</v>
      </c>
      <c r="Q735" t="s">
        <v>619</v>
      </c>
      <c r="R735" t="s">
        <v>918</v>
      </c>
      <c r="S735">
        <v>37</v>
      </c>
      <c r="T735" s="29" t="str">
        <f t="shared" si="28"/>
        <v>2021.010B.R.Binomial_names.zip</v>
      </c>
      <c r="U735" s="29" t="str">
        <f>HYPERLINK("https://ictv.global/taxonomy/taxondetails?taxnode_id=202308460","ictv.global=202308460")</f>
        <v>ictv.global=202308460</v>
      </c>
    </row>
    <row r="736" spans="1:21">
      <c r="A736">
        <v>735</v>
      </c>
      <c r="B736" s="30" t="s">
        <v>1587</v>
      </c>
      <c r="D736" s="30" t="s">
        <v>1588</v>
      </c>
      <c r="F736" s="30" t="s">
        <v>1591</v>
      </c>
      <c r="H736" s="30" t="s">
        <v>1592</v>
      </c>
      <c r="L736" s="30" t="s">
        <v>1594</v>
      </c>
      <c r="M736" s="30" t="s">
        <v>1636</v>
      </c>
      <c r="N736" s="30" t="s">
        <v>1655</v>
      </c>
      <c r="P736" s="30" t="s">
        <v>4690</v>
      </c>
      <c r="Q736" t="s">
        <v>619</v>
      </c>
      <c r="R736" t="s">
        <v>918</v>
      </c>
      <c r="S736">
        <v>37</v>
      </c>
      <c r="T736" s="29" t="str">
        <f t="shared" si="28"/>
        <v>2021.010B.R.Binomial_names.zip</v>
      </c>
      <c r="U736" s="29" t="str">
        <f>HYPERLINK("https://ictv.global/taxonomy/taxondetails?taxnode_id=202308462","ictv.global=202308462")</f>
        <v>ictv.global=202308462</v>
      </c>
    </row>
    <row r="737" spans="1:21">
      <c r="A737">
        <v>736</v>
      </c>
      <c r="B737" s="30" t="s">
        <v>1587</v>
      </c>
      <c r="D737" s="30" t="s">
        <v>1588</v>
      </c>
      <c r="F737" s="30" t="s">
        <v>1591</v>
      </c>
      <c r="H737" s="30" t="s">
        <v>1592</v>
      </c>
      <c r="L737" s="30" t="s">
        <v>1594</v>
      </c>
      <c r="M737" s="30" t="s">
        <v>1636</v>
      </c>
      <c r="N737" s="30" t="s">
        <v>1655</v>
      </c>
      <c r="P737" s="30" t="s">
        <v>4691</v>
      </c>
      <c r="Q737" t="s">
        <v>619</v>
      </c>
      <c r="R737" t="s">
        <v>918</v>
      </c>
      <c r="S737">
        <v>37</v>
      </c>
      <c r="T737" s="29" t="str">
        <f t="shared" si="28"/>
        <v>2021.010B.R.Binomial_names.zip</v>
      </c>
      <c r="U737" s="29" t="str">
        <f>HYPERLINK("https://ictv.global/taxonomy/taxondetails?taxnode_id=202308464","ictv.global=202308464")</f>
        <v>ictv.global=202308464</v>
      </c>
    </row>
    <row r="738" spans="1:21">
      <c r="A738">
        <v>737</v>
      </c>
      <c r="B738" s="30" t="s">
        <v>1587</v>
      </c>
      <c r="D738" s="30" t="s">
        <v>1588</v>
      </c>
      <c r="F738" s="30" t="s">
        <v>1591</v>
      </c>
      <c r="H738" s="30" t="s">
        <v>1592</v>
      </c>
      <c r="L738" s="30" t="s">
        <v>1594</v>
      </c>
      <c r="M738" s="30" t="s">
        <v>1636</v>
      </c>
      <c r="N738" s="30" t="s">
        <v>1655</v>
      </c>
      <c r="P738" s="30" t="s">
        <v>4692</v>
      </c>
      <c r="Q738" t="s">
        <v>619</v>
      </c>
      <c r="R738" t="s">
        <v>918</v>
      </c>
      <c r="S738">
        <v>37</v>
      </c>
      <c r="T738" s="29" t="str">
        <f t="shared" si="28"/>
        <v>2021.010B.R.Binomial_names.zip</v>
      </c>
      <c r="U738" s="29" t="str">
        <f>HYPERLINK("https://ictv.global/taxonomy/taxondetails?taxnode_id=202308474","ictv.global=202308474")</f>
        <v>ictv.global=202308474</v>
      </c>
    </row>
    <row r="739" spans="1:21">
      <c r="A739">
        <v>738</v>
      </c>
      <c r="B739" s="30" t="s">
        <v>1587</v>
      </c>
      <c r="D739" s="30" t="s">
        <v>1588</v>
      </c>
      <c r="F739" s="30" t="s">
        <v>1591</v>
      </c>
      <c r="H739" s="30" t="s">
        <v>1592</v>
      </c>
      <c r="L739" s="30" t="s">
        <v>1594</v>
      </c>
      <c r="M739" s="30" t="s">
        <v>1636</v>
      </c>
      <c r="N739" s="30" t="s">
        <v>1655</v>
      </c>
      <c r="P739" s="30" t="s">
        <v>4693</v>
      </c>
      <c r="Q739" t="s">
        <v>619</v>
      </c>
      <c r="R739" t="s">
        <v>918</v>
      </c>
      <c r="S739">
        <v>37</v>
      </c>
      <c r="T739" s="29" t="str">
        <f t="shared" si="28"/>
        <v>2021.010B.R.Binomial_names.zip</v>
      </c>
      <c r="U739" s="29" t="str">
        <f>HYPERLINK("https://ictv.global/taxonomy/taxondetails?taxnode_id=202308469","ictv.global=202308469")</f>
        <v>ictv.global=202308469</v>
      </c>
    </row>
    <row r="740" spans="1:21">
      <c r="A740">
        <v>739</v>
      </c>
      <c r="B740" s="30" t="s">
        <v>1587</v>
      </c>
      <c r="D740" s="30" t="s">
        <v>1588</v>
      </c>
      <c r="F740" s="30" t="s">
        <v>1591</v>
      </c>
      <c r="H740" s="30" t="s">
        <v>1592</v>
      </c>
      <c r="L740" s="30" t="s">
        <v>1594</v>
      </c>
      <c r="M740" s="30" t="s">
        <v>1636</v>
      </c>
      <c r="N740" s="30" t="s">
        <v>1655</v>
      </c>
      <c r="P740" s="30" t="s">
        <v>4694</v>
      </c>
      <c r="Q740" t="s">
        <v>619</v>
      </c>
      <c r="R740" t="s">
        <v>918</v>
      </c>
      <c r="S740">
        <v>37</v>
      </c>
      <c r="T740" s="29" t="str">
        <f t="shared" si="28"/>
        <v>2021.010B.R.Binomial_names.zip</v>
      </c>
      <c r="U740" s="29" t="str">
        <f>HYPERLINK("https://ictv.global/taxonomy/taxondetails?taxnode_id=202308461","ictv.global=202308461")</f>
        <v>ictv.global=202308461</v>
      </c>
    </row>
    <row r="741" spans="1:21">
      <c r="A741">
        <v>740</v>
      </c>
      <c r="B741" s="30" t="s">
        <v>1587</v>
      </c>
      <c r="D741" s="30" t="s">
        <v>1588</v>
      </c>
      <c r="F741" s="30" t="s">
        <v>1591</v>
      </c>
      <c r="H741" s="30" t="s">
        <v>1592</v>
      </c>
      <c r="L741" s="30" t="s">
        <v>1594</v>
      </c>
      <c r="M741" s="30" t="s">
        <v>1636</v>
      </c>
      <c r="N741" s="30" t="s">
        <v>1403</v>
      </c>
      <c r="P741" s="30" t="s">
        <v>4695</v>
      </c>
      <c r="Q741" t="s">
        <v>619</v>
      </c>
      <c r="R741" t="s">
        <v>918</v>
      </c>
      <c r="S741">
        <v>37</v>
      </c>
      <c r="T741" s="29" t="str">
        <f t="shared" si="28"/>
        <v>2021.010B.R.Binomial_names.zip</v>
      </c>
      <c r="U741" s="29" t="str">
        <f>HYPERLINK("https://ictv.global/taxonomy/taxondetails?taxnode_id=202308478","ictv.global=202308478")</f>
        <v>ictv.global=202308478</v>
      </c>
    </row>
    <row r="742" spans="1:21">
      <c r="A742">
        <v>741</v>
      </c>
      <c r="B742" s="30" t="s">
        <v>1587</v>
      </c>
      <c r="D742" s="30" t="s">
        <v>1588</v>
      </c>
      <c r="F742" s="30" t="s">
        <v>1591</v>
      </c>
      <c r="H742" s="30" t="s">
        <v>1592</v>
      </c>
      <c r="L742" s="30" t="s">
        <v>1594</v>
      </c>
      <c r="M742" s="30" t="s">
        <v>1636</v>
      </c>
      <c r="N742" s="30" t="s">
        <v>1403</v>
      </c>
      <c r="P742" s="30" t="s">
        <v>4696</v>
      </c>
      <c r="Q742" t="s">
        <v>619</v>
      </c>
      <c r="R742" t="s">
        <v>918</v>
      </c>
      <c r="S742">
        <v>37</v>
      </c>
      <c r="T742" s="29" t="str">
        <f t="shared" si="28"/>
        <v>2021.010B.R.Binomial_names.zip</v>
      </c>
      <c r="U742" s="29" t="str">
        <f>HYPERLINK("https://ictv.global/taxonomy/taxondetails?taxnode_id=202308490","ictv.global=202308490")</f>
        <v>ictv.global=202308490</v>
      </c>
    </row>
    <row r="743" spans="1:21">
      <c r="A743">
        <v>742</v>
      </c>
      <c r="B743" s="30" t="s">
        <v>1587</v>
      </c>
      <c r="D743" s="30" t="s">
        <v>1588</v>
      </c>
      <c r="F743" s="30" t="s">
        <v>1591</v>
      </c>
      <c r="H743" s="30" t="s">
        <v>1592</v>
      </c>
      <c r="L743" s="30" t="s">
        <v>1594</v>
      </c>
      <c r="M743" s="30" t="s">
        <v>1636</v>
      </c>
      <c r="N743" s="30" t="s">
        <v>1403</v>
      </c>
      <c r="P743" s="30" t="s">
        <v>4697</v>
      </c>
      <c r="Q743" t="s">
        <v>619</v>
      </c>
      <c r="R743" t="s">
        <v>918</v>
      </c>
      <c r="S743">
        <v>37</v>
      </c>
      <c r="T743" s="29" t="str">
        <f t="shared" si="28"/>
        <v>2021.010B.R.Binomial_names.zip</v>
      </c>
      <c r="U743" s="29" t="str">
        <f>HYPERLINK("https://ictv.global/taxonomy/taxondetails?taxnode_id=202308483","ictv.global=202308483")</f>
        <v>ictv.global=202308483</v>
      </c>
    </row>
    <row r="744" spans="1:21">
      <c r="A744">
        <v>743</v>
      </c>
      <c r="B744" s="30" t="s">
        <v>1587</v>
      </c>
      <c r="D744" s="30" t="s">
        <v>1588</v>
      </c>
      <c r="F744" s="30" t="s">
        <v>1591</v>
      </c>
      <c r="H744" s="30" t="s">
        <v>1592</v>
      </c>
      <c r="L744" s="30" t="s">
        <v>1594</v>
      </c>
      <c r="M744" s="30" t="s">
        <v>1636</v>
      </c>
      <c r="N744" s="30" t="s">
        <v>1403</v>
      </c>
      <c r="P744" s="30" t="s">
        <v>4698</v>
      </c>
      <c r="Q744" t="s">
        <v>619</v>
      </c>
      <c r="R744" t="s">
        <v>918</v>
      </c>
      <c r="S744">
        <v>37</v>
      </c>
      <c r="T744" s="29" t="str">
        <f t="shared" si="28"/>
        <v>2021.010B.R.Binomial_names.zip</v>
      </c>
      <c r="U744" s="29" t="str">
        <f>HYPERLINK("https://ictv.global/taxonomy/taxondetails?taxnode_id=202308487","ictv.global=202308487")</f>
        <v>ictv.global=202308487</v>
      </c>
    </row>
    <row r="745" spans="1:21">
      <c r="A745">
        <v>744</v>
      </c>
      <c r="B745" s="30" t="s">
        <v>1587</v>
      </c>
      <c r="D745" s="30" t="s">
        <v>1588</v>
      </c>
      <c r="F745" s="30" t="s">
        <v>1591</v>
      </c>
      <c r="H745" s="30" t="s">
        <v>1592</v>
      </c>
      <c r="L745" s="30" t="s">
        <v>1594</v>
      </c>
      <c r="M745" s="30" t="s">
        <v>1636</v>
      </c>
      <c r="N745" s="30" t="s">
        <v>1403</v>
      </c>
      <c r="P745" s="30" t="s">
        <v>4699</v>
      </c>
      <c r="Q745" t="s">
        <v>619</v>
      </c>
      <c r="R745" t="s">
        <v>918</v>
      </c>
      <c r="S745">
        <v>37</v>
      </c>
      <c r="T745" s="29" t="str">
        <f t="shared" si="28"/>
        <v>2021.010B.R.Binomial_names.zip</v>
      </c>
      <c r="U745" s="29" t="str">
        <f>HYPERLINK("https://ictv.global/taxonomy/taxondetails?taxnode_id=202308485","ictv.global=202308485")</f>
        <v>ictv.global=202308485</v>
      </c>
    </row>
    <row r="746" spans="1:21">
      <c r="A746">
        <v>745</v>
      </c>
      <c r="B746" s="30" t="s">
        <v>1587</v>
      </c>
      <c r="D746" s="30" t="s">
        <v>1588</v>
      </c>
      <c r="F746" s="30" t="s">
        <v>1591</v>
      </c>
      <c r="H746" s="30" t="s">
        <v>1592</v>
      </c>
      <c r="L746" s="30" t="s">
        <v>1594</v>
      </c>
      <c r="M746" s="30" t="s">
        <v>1636</v>
      </c>
      <c r="N746" s="30" t="s">
        <v>1403</v>
      </c>
      <c r="P746" s="30" t="s">
        <v>4700</v>
      </c>
      <c r="Q746" t="s">
        <v>619</v>
      </c>
      <c r="R746" t="s">
        <v>918</v>
      </c>
      <c r="S746">
        <v>37</v>
      </c>
      <c r="T746" s="29" t="str">
        <f t="shared" si="28"/>
        <v>2021.010B.R.Binomial_names.zip</v>
      </c>
      <c r="U746" s="29" t="str">
        <f>HYPERLINK("https://ictv.global/taxonomy/taxondetails?taxnode_id=202308486","ictv.global=202308486")</f>
        <v>ictv.global=202308486</v>
      </c>
    </row>
    <row r="747" spans="1:21">
      <c r="A747">
        <v>746</v>
      </c>
      <c r="B747" s="30" t="s">
        <v>1587</v>
      </c>
      <c r="D747" s="30" t="s">
        <v>1588</v>
      </c>
      <c r="F747" s="30" t="s">
        <v>1591</v>
      </c>
      <c r="H747" s="30" t="s">
        <v>1592</v>
      </c>
      <c r="L747" s="30" t="s">
        <v>1594</v>
      </c>
      <c r="M747" s="30" t="s">
        <v>1636</v>
      </c>
      <c r="N747" s="30" t="s">
        <v>1403</v>
      </c>
      <c r="P747" s="30" t="s">
        <v>4701</v>
      </c>
      <c r="Q747" t="s">
        <v>619</v>
      </c>
      <c r="R747" t="s">
        <v>918</v>
      </c>
      <c r="S747">
        <v>37</v>
      </c>
      <c r="T747" s="29" t="str">
        <f t="shared" si="28"/>
        <v>2021.010B.R.Binomial_names.zip</v>
      </c>
      <c r="U747" s="29" t="str">
        <f>HYPERLINK("https://ictv.global/taxonomy/taxondetails?taxnode_id=202308492","ictv.global=202308492")</f>
        <v>ictv.global=202308492</v>
      </c>
    </row>
    <row r="748" spans="1:21">
      <c r="A748">
        <v>747</v>
      </c>
      <c r="B748" s="30" t="s">
        <v>1587</v>
      </c>
      <c r="D748" s="30" t="s">
        <v>1588</v>
      </c>
      <c r="F748" s="30" t="s">
        <v>1591</v>
      </c>
      <c r="H748" s="30" t="s">
        <v>1592</v>
      </c>
      <c r="L748" s="30" t="s">
        <v>1594</v>
      </c>
      <c r="M748" s="30" t="s">
        <v>1636</v>
      </c>
      <c r="N748" s="30" t="s">
        <v>1403</v>
      </c>
      <c r="P748" s="30" t="s">
        <v>4702</v>
      </c>
      <c r="Q748" t="s">
        <v>619</v>
      </c>
      <c r="R748" t="s">
        <v>918</v>
      </c>
      <c r="S748">
        <v>37</v>
      </c>
      <c r="T748" s="29" t="str">
        <f t="shared" si="28"/>
        <v>2021.010B.R.Binomial_names.zip</v>
      </c>
      <c r="U748" s="29" t="str">
        <f>HYPERLINK("https://ictv.global/taxonomy/taxondetails?taxnode_id=202308482","ictv.global=202308482")</f>
        <v>ictv.global=202308482</v>
      </c>
    </row>
    <row r="749" spans="1:21">
      <c r="A749">
        <v>748</v>
      </c>
      <c r="B749" s="30" t="s">
        <v>1587</v>
      </c>
      <c r="D749" s="30" t="s">
        <v>1588</v>
      </c>
      <c r="F749" s="30" t="s">
        <v>1591</v>
      </c>
      <c r="H749" s="30" t="s">
        <v>1592</v>
      </c>
      <c r="L749" s="30" t="s">
        <v>1594</v>
      </c>
      <c r="M749" s="30" t="s">
        <v>1636</v>
      </c>
      <c r="N749" s="30" t="s">
        <v>1403</v>
      </c>
      <c r="P749" s="30" t="s">
        <v>4703</v>
      </c>
      <c r="Q749" t="s">
        <v>619</v>
      </c>
      <c r="R749" t="s">
        <v>918</v>
      </c>
      <c r="S749">
        <v>37</v>
      </c>
      <c r="T749" s="29" t="str">
        <f t="shared" si="28"/>
        <v>2021.010B.R.Binomial_names.zip</v>
      </c>
      <c r="U749" s="29" t="str">
        <f>HYPERLINK("https://ictv.global/taxonomy/taxondetails?taxnode_id=202308491","ictv.global=202308491")</f>
        <v>ictv.global=202308491</v>
      </c>
    </row>
    <row r="750" spans="1:21">
      <c r="A750">
        <v>749</v>
      </c>
      <c r="B750" s="30" t="s">
        <v>1587</v>
      </c>
      <c r="D750" s="30" t="s">
        <v>1588</v>
      </c>
      <c r="F750" s="30" t="s">
        <v>1591</v>
      </c>
      <c r="H750" s="30" t="s">
        <v>1592</v>
      </c>
      <c r="L750" s="30" t="s">
        <v>1594</v>
      </c>
      <c r="M750" s="30" t="s">
        <v>1636</v>
      </c>
      <c r="N750" s="30" t="s">
        <v>1403</v>
      </c>
      <c r="P750" s="30" t="s">
        <v>4704</v>
      </c>
      <c r="Q750" t="s">
        <v>619</v>
      </c>
      <c r="R750" t="s">
        <v>918</v>
      </c>
      <c r="S750">
        <v>37</v>
      </c>
      <c r="T750" s="29" t="str">
        <f t="shared" si="28"/>
        <v>2021.010B.R.Binomial_names.zip</v>
      </c>
      <c r="U750" s="29" t="str">
        <f>HYPERLINK("https://ictv.global/taxonomy/taxondetails?taxnode_id=202308489","ictv.global=202308489")</f>
        <v>ictv.global=202308489</v>
      </c>
    </row>
    <row r="751" spans="1:21">
      <c r="A751">
        <v>750</v>
      </c>
      <c r="B751" s="30" t="s">
        <v>1587</v>
      </c>
      <c r="D751" s="30" t="s">
        <v>1588</v>
      </c>
      <c r="F751" s="30" t="s">
        <v>1591</v>
      </c>
      <c r="H751" s="30" t="s">
        <v>1592</v>
      </c>
      <c r="L751" s="30" t="s">
        <v>1594</v>
      </c>
      <c r="M751" s="30" t="s">
        <v>1636</v>
      </c>
      <c r="N751" s="30" t="s">
        <v>1403</v>
      </c>
      <c r="P751" s="30" t="s">
        <v>4705</v>
      </c>
      <c r="Q751" t="s">
        <v>619</v>
      </c>
      <c r="R751" t="s">
        <v>918</v>
      </c>
      <c r="S751">
        <v>37</v>
      </c>
      <c r="T751" s="29" t="str">
        <f t="shared" si="28"/>
        <v>2021.010B.R.Binomial_names.zip</v>
      </c>
      <c r="U751" s="29" t="str">
        <f>HYPERLINK("https://ictv.global/taxonomy/taxondetails?taxnode_id=202308493","ictv.global=202308493")</f>
        <v>ictv.global=202308493</v>
      </c>
    </row>
    <row r="752" spans="1:21">
      <c r="A752">
        <v>751</v>
      </c>
      <c r="B752" s="30" t="s">
        <v>1587</v>
      </c>
      <c r="D752" s="30" t="s">
        <v>1588</v>
      </c>
      <c r="F752" s="30" t="s">
        <v>1591</v>
      </c>
      <c r="H752" s="30" t="s">
        <v>1592</v>
      </c>
      <c r="L752" s="30" t="s">
        <v>1594</v>
      </c>
      <c r="M752" s="30" t="s">
        <v>1636</v>
      </c>
      <c r="N752" s="30" t="s">
        <v>1403</v>
      </c>
      <c r="P752" s="30" t="s">
        <v>4706</v>
      </c>
      <c r="Q752" t="s">
        <v>619</v>
      </c>
      <c r="R752" t="s">
        <v>918</v>
      </c>
      <c r="S752">
        <v>37</v>
      </c>
      <c r="T752" s="29" t="str">
        <f t="shared" si="28"/>
        <v>2021.010B.R.Binomial_names.zip</v>
      </c>
      <c r="U752" s="29" t="str">
        <f>HYPERLINK("https://ictv.global/taxonomy/taxondetails?taxnode_id=202300583","ictv.global=202300583")</f>
        <v>ictv.global=202300583</v>
      </c>
    </row>
    <row r="753" spans="1:21">
      <c r="A753">
        <v>752</v>
      </c>
      <c r="B753" s="30" t="s">
        <v>1587</v>
      </c>
      <c r="D753" s="30" t="s">
        <v>1588</v>
      </c>
      <c r="F753" s="30" t="s">
        <v>1591</v>
      </c>
      <c r="H753" s="30" t="s">
        <v>1592</v>
      </c>
      <c r="L753" s="30" t="s">
        <v>1594</v>
      </c>
      <c r="M753" s="30" t="s">
        <v>1636</v>
      </c>
      <c r="N753" s="30" t="s">
        <v>1403</v>
      </c>
      <c r="P753" s="30" t="s">
        <v>4707</v>
      </c>
      <c r="Q753" t="s">
        <v>619</v>
      </c>
      <c r="R753" t="s">
        <v>918</v>
      </c>
      <c r="S753">
        <v>37</v>
      </c>
      <c r="T753" s="29" t="str">
        <f t="shared" si="28"/>
        <v>2021.010B.R.Binomial_names.zip</v>
      </c>
      <c r="U753" s="29" t="str">
        <f>HYPERLINK("https://ictv.global/taxonomy/taxondetails?taxnode_id=202308488","ictv.global=202308488")</f>
        <v>ictv.global=202308488</v>
      </c>
    </row>
    <row r="754" spans="1:21">
      <c r="A754">
        <v>753</v>
      </c>
      <c r="B754" s="30" t="s">
        <v>1587</v>
      </c>
      <c r="D754" s="30" t="s">
        <v>1588</v>
      </c>
      <c r="F754" s="30" t="s">
        <v>1591</v>
      </c>
      <c r="H754" s="30" t="s">
        <v>1592</v>
      </c>
      <c r="L754" s="30" t="s">
        <v>1594</v>
      </c>
      <c r="M754" s="30" t="s">
        <v>1636</v>
      </c>
      <c r="N754" s="30" t="s">
        <v>1403</v>
      </c>
      <c r="P754" s="30" t="s">
        <v>4708</v>
      </c>
      <c r="Q754" t="s">
        <v>619</v>
      </c>
      <c r="R754" t="s">
        <v>918</v>
      </c>
      <c r="S754">
        <v>37</v>
      </c>
      <c r="T754" s="29" t="str">
        <f t="shared" si="28"/>
        <v>2021.010B.R.Binomial_names.zip</v>
      </c>
      <c r="U754" s="29" t="str">
        <f>HYPERLINK("https://ictv.global/taxonomy/taxondetails?taxnode_id=202308484","ictv.global=202308484")</f>
        <v>ictv.global=202308484</v>
      </c>
    </row>
    <row r="755" spans="1:21">
      <c r="A755">
        <v>754</v>
      </c>
      <c r="B755" s="30" t="s">
        <v>1587</v>
      </c>
      <c r="D755" s="30" t="s">
        <v>1588</v>
      </c>
      <c r="F755" s="30" t="s">
        <v>1591</v>
      </c>
      <c r="H755" s="30" t="s">
        <v>1592</v>
      </c>
      <c r="L755" s="30" t="s">
        <v>1594</v>
      </c>
      <c r="M755" s="30" t="s">
        <v>1636</v>
      </c>
      <c r="N755" s="30" t="s">
        <v>1403</v>
      </c>
      <c r="P755" s="30" t="s">
        <v>4709</v>
      </c>
      <c r="Q755" t="s">
        <v>619</v>
      </c>
      <c r="R755" t="s">
        <v>918</v>
      </c>
      <c r="S755">
        <v>37</v>
      </c>
      <c r="T755" s="29" t="str">
        <f t="shared" si="28"/>
        <v>2021.010B.R.Binomial_names.zip</v>
      </c>
      <c r="U755" s="29" t="str">
        <f>HYPERLINK("https://ictv.global/taxonomy/taxondetails?taxnode_id=202308479","ictv.global=202308479")</f>
        <v>ictv.global=202308479</v>
      </c>
    </row>
    <row r="756" spans="1:21">
      <c r="A756">
        <v>755</v>
      </c>
      <c r="B756" s="30" t="s">
        <v>1587</v>
      </c>
      <c r="D756" s="30" t="s">
        <v>1588</v>
      </c>
      <c r="F756" s="30" t="s">
        <v>1591</v>
      </c>
      <c r="H756" s="30" t="s">
        <v>1592</v>
      </c>
      <c r="L756" s="30" t="s">
        <v>1594</v>
      </c>
      <c r="M756" s="30" t="s">
        <v>1636</v>
      </c>
      <c r="N756" s="30" t="s">
        <v>1403</v>
      </c>
      <c r="P756" s="30" t="s">
        <v>4710</v>
      </c>
      <c r="Q756" t="s">
        <v>619</v>
      </c>
      <c r="R756" t="s">
        <v>918</v>
      </c>
      <c r="S756">
        <v>37</v>
      </c>
      <c r="T756" s="29" t="str">
        <f t="shared" si="28"/>
        <v>2021.010B.R.Binomial_names.zip</v>
      </c>
      <c r="U756" s="29" t="str">
        <f>HYPERLINK("https://ictv.global/taxonomy/taxondetails?taxnode_id=202308480","ictv.global=202308480")</f>
        <v>ictv.global=202308480</v>
      </c>
    </row>
    <row r="757" spans="1:21">
      <c r="A757">
        <v>756</v>
      </c>
      <c r="B757" s="30" t="s">
        <v>1587</v>
      </c>
      <c r="D757" s="30" t="s">
        <v>1588</v>
      </c>
      <c r="F757" s="30" t="s">
        <v>1591</v>
      </c>
      <c r="H757" s="30" t="s">
        <v>1592</v>
      </c>
      <c r="L757" s="30" t="s">
        <v>1594</v>
      </c>
      <c r="M757" s="30" t="s">
        <v>1636</v>
      </c>
      <c r="N757" s="30" t="s">
        <v>1403</v>
      </c>
      <c r="P757" s="30" t="s">
        <v>4711</v>
      </c>
      <c r="Q757" t="s">
        <v>619</v>
      </c>
      <c r="R757" t="s">
        <v>918</v>
      </c>
      <c r="S757">
        <v>37</v>
      </c>
      <c r="T757" s="29" t="str">
        <f t="shared" si="28"/>
        <v>2021.010B.R.Binomial_names.zip</v>
      </c>
      <c r="U757" s="29" t="str">
        <f>HYPERLINK("https://ictv.global/taxonomy/taxondetails?taxnode_id=202308481","ictv.global=202308481")</f>
        <v>ictv.global=202308481</v>
      </c>
    </row>
    <row r="758" spans="1:21">
      <c r="A758">
        <v>757</v>
      </c>
      <c r="B758" s="30" t="s">
        <v>1587</v>
      </c>
      <c r="D758" s="30" t="s">
        <v>1588</v>
      </c>
      <c r="F758" s="30" t="s">
        <v>1591</v>
      </c>
      <c r="H758" s="30" t="s">
        <v>1592</v>
      </c>
      <c r="L758" s="30" t="s">
        <v>1594</v>
      </c>
      <c r="M758" s="30" t="s">
        <v>1636</v>
      </c>
      <c r="N758" s="30" t="s">
        <v>1656</v>
      </c>
      <c r="P758" s="30" t="s">
        <v>4712</v>
      </c>
      <c r="Q758" t="s">
        <v>619</v>
      </c>
      <c r="R758" t="s">
        <v>918</v>
      </c>
      <c r="S758">
        <v>37</v>
      </c>
      <c r="T758" s="29" t="str">
        <f t="shared" si="28"/>
        <v>2021.010B.R.Binomial_names.zip</v>
      </c>
      <c r="U758" s="29" t="str">
        <f>HYPERLINK("https://ictv.global/taxonomy/taxondetails?taxnode_id=202308359","ictv.global=202308359")</f>
        <v>ictv.global=202308359</v>
      </c>
    </row>
    <row r="759" spans="1:21">
      <c r="A759">
        <v>758</v>
      </c>
      <c r="B759" s="30" t="s">
        <v>1587</v>
      </c>
      <c r="D759" s="30" t="s">
        <v>1588</v>
      </c>
      <c r="F759" s="30" t="s">
        <v>1591</v>
      </c>
      <c r="H759" s="30" t="s">
        <v>1592</v>
      </c>
      <c r="L759" s="30" t="s">
        <v>1594</v>
      </c>
      <c r="M759" s="30" t="s">
        <v>1636</v>
      </c>
      <c r="N759" s="30" t="s">
        <v>1657</v>
      </c>
      <c r="P759" s="30" t="s">
        <v>4713</v>
      </c>
      <c r="Q759" t="s">
        <v>619</v>
      </c>
      <c r="R759" t="s">
        <v>918</v>
      </c>
      <c r="S759">
        <v>37</v>
      </c>
      <c r="T759" s="29" t="str">
        <f t="shared" si="28"/>
        <v>2021.010B.R.Binomial_names.zip</v>
      </c>
      <c r="U759" s="29" t="str">
        <f>HYPERLINK("https://ictv.global/taxonomy/taxondetails?taxnode_id=202308456","ictv.global=202308456")</f>
        <v>ictv.global=202308456</v>
      </c>
    </row>
    <row r="760" spans="1:21">
      <c r="A760">
        <v>759</v>
      </c>
      <c r="B760" s="30" t="s">
        <v>1587</v>
      </c>
      <c r="D760" s="30" t="s">
        <v>1588</v>
      </c>
      <c r="F760" s="30" t="s">
        <v>1591</v>
      </c>
      <c r="H760" s="30" t="s">
        <v>1592</v>
      </c>
      <c r="L760" s="30" t="s">
        <v>1594</v>
      </c>
      <c r="M760" s="30" t="s">
        <v>1636</v>
      </c>
      <c r="N760" s="30" t="s">
        <v>2208</v>
      </c>
      <c r="P760" s="30" t="s">
        <v>4714</v>
      </c>
      <c r="Q760" t="s">
        <v>619</v>
      </c>
      <c r="R760" t="s">
        <v>918</v>
      </c>
      <c r="S760">
        <v>37</v>
      </c>
      <c r="T760" s="29" t="str">
        <f t="shared" si="28"/>
        <v>2021.010B.R.Binomial_names.zip</v>
      </c>
      <c r="U760" s="29" t="str">
        <f>HYPERLINK("https://ictv.global/taxonomy/taxondetails?taxnode_id=202312090","ictv.global=202312090")</f>
        <v>ictv.global=202312090</v>
      </c>
    </row>
    <row r="761" spans="1:21">
      <c r="A761">
        <v>760</v>
      </c>
      <c r="B761" s="30" t="s">
        <v>1587</v>
      </c>
      <c r="D761" s="30" t="s">
        <v>1588</v>
      </c>
      <c r="F761" s="30" t="s">
        <v>1591</v>
      </c>
      <c r="H761" s="30" t="s">
        <v>1592</v>
      </c>
      <c r="L761" s="30" t="s">
        <v>1594</v>
      </c>
      <c r="N761" s="30" t="s">
        <v>1658</v>
      </c>
      <c r="P761" s="30" t="s">
        <v>4715</v>
      </c>
      <c r="Q761" t="s">
        <v>619</v>
      </c>
      <c r="R761" t="s">
        <v>918</v>
      </c>
      <c r="S761">
        <v>37</v>
      </c>
      <c r="T761" s="29" t="str">
        <f t="shared" si="28"/>
        <v>2021.010B.R.Binomial_names.zip</v>
      </c>
      <c r="U761" s="29" t="str">
        <f>HYPERLINK("https://ictv.global/taxonomy/taxondetails?taxnode_id=202308235","ictv.global=202308235")</f>
        <v>ictv.global=202308235</v>
      </c>
    </row>
    <row r="762" spans="1:21">
      <c r="A762">
        <v>761</v>
      </c>
      <c r="B762" s="30" t="s">
        <v>1587</v>
      </c>
      <c r="D762" s="30" t="s">
        <v>1588</v>
      </c>
      <c r="F762" s="30" t="s">
        <v>1591</v>
      </c>
      <c r="H762" s="30" t="s">
        <v>1592</v>
      </c>
      <c r="L762" s="30" t="s">
        <v>1594</v>
      </c>
      <c r="N762" s="30" t="s">
        <v>2209</v>
      </c>
      <c r="P762" s="30" t="s">
        <v>4716</v>
      </c>
      <c r="Q762" t="s">
        <v>619</v>
      </c>
      <c r="R762" t="s">
        <v>918</v>
      </c>
      <c r="S762">
        <v>37</v>
      </c>
      <c r="T762" s="29" t="str">
        <f t="shared" si="28"/>
        <v>2021.010B.R.Binomial_names.zip</v>
      </c>
      <c r="U762" s="29" t="str">
        <f>HYPERLINK("https://ictv.global/taxonomy/taxondetails?taxnode_id=202311647","ictv.global=202311647")</f>
        <v>ictv.global=202311647</v>
      </c>
    </row>
    <row r="763" spans="1:21">
      <c r="A763">
        <v>762</v>
      </c>
      <c r="B763" s="30" t="s">
        <v>1587</v>
      </c>
      <c r="D763" s="30" t="s">
        <v>1588</v>
      </c>
      <c r="F763" s="30" t="s">
        <v>1591</v>
      </c>
      <c r="H763" s="30" t="s">
        <v>1592</v>
      </c>
      <c r="L763" s="30" t="s">
        <v>1594</v>
      </c>
      <c r="N763" s="30" t="s">
        <v>1412</v>
      </c>
      <c r="P763" s="30" t="s">
        <v>4717</v>
      </c>
      <c r="Q763" t="s">
        <v>619</v>
      </c>
      <c r="R763" t="s">
        <v>918</v>
      </c>
      <c r="S763">
        <v>37</v>
      </c>
      <c r="T763" s="29" t="str">
        <f t="shared" si="28"/>
        <v>2021.010B.R.Binomial_names.zip</v>
      </c>
      <c r="U763" s="29" t="str">
        <f>HYPERLINK("https://ictv.global/taxonomy/taxondetails?taxnode_id=202306761","ictv.global=202306761")</f>
        <v>ictv.global=202306761</v>
      </c>
    </row>
    <row r="764" spans="1:21">
      <c r="A764">
        <v>763</v>
      </c>
      <c r="B764" s="30" t="s">
        <v>1587</v>
      </c>
      <c r="D764" s="30" t="s">
        <v>1588</v>
      </c>
      <c r="F764" s="30" t="s">
        <v>1591</v>
      </c>
      <c r="H764" s="30" t="s">
        <v>1592</v>
      </c>
      <c r="L764" s="30" t="s">
        <v>1594</v>
      </c>
      <c r="N764" s="30" t="s">
        <v>1659</v>
      </c>
      <c r="P764" s="30" t="s">
        <v>1660</v>
      </c>
      <c r="Q764" t="s">
        <v>619</v>
      </c>
      <c r="R764" t="s">
        <v>919</v>
      </c>
      <c r="S764">
        <v>37</v>
      </c>
      <c r="T764" s="29" t="str">
        <f>HYPERLINK("https://ictv.global/ictv/proposals/2021.001B.R.abolish_Caudovirales.zip","2021.001B.R.abolish_Caudovirales.zip")</f>
        <v>2021.001B.R.abolish_Caudovirales.zip</v>
      </c>
      <c r="U764" s="29" t="str">
        <f>HYPERLINK("https://ictv.global/taxonomy/taxondetails?taxnode_id=202308245","ictv.global=202308245")</f>
        <v>ictv.global=202308245</v>
      </c>
    </row>
    <row r="765" spans="1:21">
      <c r="A765">
        <v>764</v>
      </c>
      <c r="B765" s="30" t="s">
        <v>1587</v>
      </c>
      <c r="D765" s="30" t="s">
        <v>1588</v>
      </c>
      <c r="F765" s="30" t="s">
        <v>1591</v>
      </c>
      <c r="H765" s="30" t="s">
        <v>1592</v>
      </c>
      <c r="L765" s="30" t="s">
        <v>1594</v>
      </c>
      <c r="N765" s="30" t="s">
        <v>1661</v>
      </c>
      <c r="P765" s="30" t="s">
        <v>4718</v>
      </c>
      <c r="Q765" t="s">
        <v>619</v>
      </c>
      <c r="R765" t="s">
        <v>918</v>
      </c>
      <c r="S765">
        <v>37</v>
      </c>
      <c r="T765" s="29" t="str">
        <f>HYPERLINK("https://ictv.global/ictv/proposals/2021.010B.R.Binomial_names.zip","2021.010B.R.Binomial_names.zip")</f>
        <v>2021.010B.R.Binomial_names.zip</v>
      </c>
      <c r="U765" s="29" t="str">
        <f>HYPERLINK("https://ictv.global/taxonomy/taxondetails?taxnode_id=202308213","ictv.global=202308213")</f>
        <v>ictv.global=202308213</v>
      </c>
    </row>
    <row r="766" spans="1:21">
      <c r="A766">
        <v>765</v>
      </c>
      <c r="B766" s="30" t="s">
        <v>1587</v>
      </c>
      <c r="D766" s="30" t="s">
        <v>1588</v>
      </c>
      <c r="F766" s="30" t="s">
        <v>1591</v>
      </c>
      <c r="H766" s="30" t="s">
        <v>1592</v>
      </c>
      <c r="L766" s="30" t="s">
        <v>1594</v>
      </c>
      <c r="N766" s="30" t="s">
        <v>1661</v>
      </c>
      <c r="P766" s="30" t="s">
        <v>4719</v>
      </c>
      <c r="Q766" t="s">
        <v>619</v>
      </c>
      <c r="R766" t="s">
        <v>918</v>
      </c>
      <c r="S766">
        <v>37</v>
      </c>
      <c r="T766" s="29" t="str">
        <f>HYPERLINK("https://ictv.global/ictv/proposals/2021.010B.R.Binomial_names.zip","2021.010B.R.Binomial_names.zip")</f>
        <v>2021.010B.R.Binomial_names.zip</v>
      </c>
      <c r="U766" s="29" t="str">
        <f>HYPERLINK("https://ictv.global/taxonomy/taxondetails?taxnode_id=202308214","ictv.global=202308214")</f>
        <v>ictv.global=202308214</v>
      </c>
    </row>
    <row r="767" spans="1:21">
      <c r="A767">
        <v>766</v>
      </c>
      <c r="B767" s="30" t="s">
        <v>1587</v>
      </c>
      <c r="D767" s="30" t="s">
        <v>1588</v>
      </c>
      <c r="F767" s="30" t="s">
        <v>1591</v>
      </c>
      <c r="H767" s="30" t="s">
        <v>1592</v>
      </c>
      <c r="L767" s="30" t="s">
        <v>1594</v>
      </c>
      <c r="N767" s="30" t="s">
        <v>1662</v>
      </c>
      <c r="P767" s="30" t="s">
        <v>4720</v>
      </c>
      <c r="Q767" t="s">
        <v>619</v>
      </c>
      <c r="R767" t="s">
        <v>918</v>
      </c>
      <c r="S767">
        <v>37</v>
      </c>
      <c r="T767" s="29" t="str">
        <f>HYPERLINK("https://ictv.global/ictv/proposals/2021.010B.R.Binomial_names.zip","2021.010B.R.Binomial_names.zip")</f>
        <v>2021.010B.R.Binomial_names.zip</v>
      </c>
      <c r="U767" s="29" t="str">
        <f>HYPERLINK("https://ictv.global/taxonomy/taxondetails?taxnode_id=202308249","ictv.global=202308249")</f>
        <v>ictv.global=202308249</v>
      </c>
    </row>
    <row r="768" spans="1:21">
      <c r="A768">
        <v>767</v>
      </c>
      <c r="B768" s="30" t="s">
        <v>1587</v>
      </c>
      <c r="D768" s="30" t="s">
        <v>1588</v>
      </c>
      <c r="F768" s="30" t="s">
        <v>1591</v>
      </c>
      <c r="H768" s="30" t="s">
        <v>1592</v>
      </c>
      <c r="L768" s="30" t="s">
        <v>1594</v>
      </c>
      <c r="N768" s="30" t="s">
        <v>1663</v>
      </c>
      <c r="P768" s="30" t="s">
        <v>1664</v>
      </c>
      <c r="Q768" t="s">
        <v>619</v>
      </c>
      <c r="R768" t="s">
        <v>919</v>
      </c>
      <c r="S768">
        <v>37</v>
      </c>
      <c r="T768" s="29" t="str">
        <f>HYPERLINK("https://ictv.global/ictv/proposals/2021.001B.R.abolish_Caudovirales.zip","2021.001B.R.abolish_Caudovirales.zip")</f>
        <v>2021.001B.R.abolish_Caudovirales.zip</v>
      </c>
      <c r="U768" s="29" t="str">
        <f>HYPERLINK("https://ictv.global/taxonomy/taxondetails?taxnode_id=202308284","ictv.global=202308284")</f>
        <v>ictv.global=202308284</v>
      </c>
    </row>
    <row r="769" spans="1:21">
      <c r="A769">
        <v>768</v>
      </c>
      <c r="B769" s="30" t="s">
        <v>1587</v>
      </c>
      <c r="D769" s="30" t="s">
        <v>1588</v>
      </c>
      <c r="F769" s="30" t="s">
        <v>1591</v>
      </c>
      <c r="H769" s="30" t="s">
        <v>1592</v>
      </c>
      <c r="L769" s="30" t="s">
        <v>1594</v>
      </c>
      <c r="N769" s="30" t="s">
        <v>1665</v>
      </c>
      <c r="P769" s="30" t="s">
        <v>4721</v>
      </c>
      <c r="Q769" t="s">
        <v>619</v>
      </c>
      <c r="R769" t="s">
        <v>918</v>
      </c>
      <c r="S769">
        <v>37</v>
      </c>
      <c r="T769" s="29" t="str">
        <f t="shared" ref="T769:T774" si="29">HYPERLINK("https://ictv.global/ictv/proposals/2021.010B.R.Binomial_names.zip","2021.010B.R.Binomial_names.zip")</f>
        <v>2021.010B.R.Binomial_names.zip</v>
      </c>
      <c r="U769" s="29" t="str">
        <f>HYPERLINK("https://ictv.global/taxonomy/taxondetails?taxnode_id=202308274","ictv.global=202308274")</f>
        <v>ictv.global=202308274</v>
      </c>
    </row>
    <row r="770" spans="1:21">
      <c r="A770">
        <v>769</v>
      </c>
      <c r="B770" s="30" t="s">
        <v>1587</v>
      </c>
      <c r="D770" s="30" t="s">
        <v>1588</v>
      </c>
      <c r="F770" s="30" t="s">
        <v>1591</v>
      </c>
      <c r="H770" s="30" t="s">
        <v>1592</v>
      </c>
      <c r="L770" s="30" t="s">
        <v>1594</v>
      </c>
      <c r="N770" s="30" t="s">
        <v>1414</v>
      </c>
      <c r="P770" s="30" t="s">
        <v>4722</v>
      </c>
      <c r="Q770" t="s">
        <v>619</v>
      </c>
      <c r="R770" t="s">
        <v>918</v>
      </c>
      <c r="S770">
        <v>37</v>
      </c>
      <c r="T770" s="29" t="str">
        <f t="shared" si="29"/>
        <v>2021.010B.R.Binomial_names.zip</v>
      </c>
      <c r="U770" s="29" t="str">
        <f>HYPERLINK("https://ictv.global/taxonomy/taxondetails?taxnode_id=202306804","ictv.global=202306804")</f>
        <v>ictv.global=202306804</v>
      </c>
    </row>
    <row r="771" spans="1:21">
      <c r="A771">
        <v>770</v>
      </c>
      <c r="B771" s="30" t="s">
        <v>1587</v>
      </c>
      <c r="D771" s="30" t="s">
        <v>1588</v>
      </c>
      <c r="F771" s="30" t="s">
        <v>1591</v>
      </c>
      <c r="H771" s="30" t="s">
        <v>1592</v>
      </c>
      <c r="L771" s="30" t="s">
        <v>1594</v>
      </c>
      <c r="N771" s="30" t="s">
        <v>1414</v>
      </c>
      <c r="P771" s="30" t="s">
        <v>4723</v>
      </c>
      <c r="Q771" t="s">
        <v>619</v>
      </c>
      <c r="R771" t="s">
        <v>918</v>
      </c>
      <c r="S771">
        <v>37</v>
      </c>
      <c r="T771" s="29" t="str">
        <f t="shared" si="29"/>
        <v>2021.010B.R.Binomial_names.zip</v>
      </c>
      <c r="U771" s="29" t="str">
        <f>HYPERLINK("https://ictv.global/taxonomy/taxondetails?taxnode_id=202306803","ictv.global=202306803")</f>
        <v>ictv.global=202306803</v>
      </c>
    </row>
    <row r="772" spans="1:21">
      <c r="A772">
        <v>771</v>
      </c>
      <c r="B772" s="30" t="s">
        <v>1587</v>
      </c>
      <c r="D772" s="30" t="s">
        <v>1588</v>
      </c>
      <c r="F772" s="30" t="s">
        <v>1591</v>
      </c>
      <c r="H772" s="30" t="s">
        <v>1592</v>
      </c>
      <c r="L772" s="30" t="s">
        <v>1594</v>
      </c>
      <c r="N772" s="30" t="s">
        <v>1666</v>
      </c>
      <c r="P772" s="30" t="s">
        <v>4724</v>
      </c>
      <c r="Q772" t="s">
        <v>619</v>
      </c>
      <c r="R772" t="s">
        <v>918</v>
      </c>
      <c r="S772">
        <v>37</v>
      </c>
      <c r="T772" s="29" t="str">
        <f t="shared" si="29"/>
        <v>2021.010B.R.Binomial_names.zip</v>
      </c>
      <c r="U772" s="29" t="str">
        <f>HYPERLINK("https://ictv.global/taxonomy/taxondetails?taxnode_id=202308229","ictv.global=202308229")</f>
        <v>ictv.global=202308229</v>
      </c>
    </row>
    <row r="773" spans="1:21">
      <c r="A773">
        <v>772</v>
      </c>
      <c r="B773" s="30" t="s">
        <v>1587</v>
      </c>
      <c r="D773" s="30" t="s">
        <v>1588</v>
      </c>
      <c r="F773" s="30" t="s">
        <v>1591</v>
      </c>
      <c r="H773" s="30" t="s">
        <v>1592</v>
      </c>
      <c r="L773" s="30" t="s">
        <v>1594</v>
      </c>
      <c r="N773" s="30" t="s">
        <v>1666</v>
      </c>
      <c r="P773" s="30" t="s">
        <v>4725</v>
      </c>
      <c r="Q773" t="s">
        <v>619</v>
      </c>
      <c r="R773" t="s">
        <v>918</v>
      </c>
      <c r="S773">
        <v>37</v>
      </c>
      <c r="T773" s="29" t="str">
        <f t="shared" si="29"/>
        <v>2021.010B.R.Binomial_names.zip</v>
      </c>
      <c r="U773" s="29" t="str">
        <f>HYPERLINK("https://ictv.global/taxonomy/taxondetails?taxnode_id=202308230","ictv.global=202308230")</f>
        <v>ictv.global=202308230</v>
      </c>
    </row>
    <row r="774" spans="1:21">
      <c r="A774">
        <v>773</v>
      </c>
      <c r="B774" s="30" t="s">
        <v>1587</v>
      </c>
      <c r="D774" s="30" t="s">
        <v>1588</v>
      </c>
      <c r="F774" s="30" t="s">
        <v>1591</v>
      </c>
      <c r="H774" s="30" t="s">
        <v>1592</v>
      </c>
      <c r="L774" s="30" t="s">
        <v>1594</v>
      </c>
      <c r="N774" s="30" t="s">
        <v>1667</v>
      </c>
      <c r="P774" s="30" t="s">
        <v>4726</v>
      </c>
      <c r="Q774" t="s">
        <v>619</v>
      </c>
      <c r="R774" t="s">
        <v>918</v>
      </c>
      <c r="S774">
        <v>37</v>
      </c>
      <c r="T774" s="29" t="str">
        <f t="shared" si="29"/>
        <v>2021.010B.R.Binomial_names.zip</v>
      </c>
      <c r="U774" s="29" t="str">
        <f>HYPERLINK("https://ictv.global/taxonomy/taxondetails?taxnode_id=202308316","ictv.global=202308316")</f>
        <v>ictv.global=202308316</v>
      </c>
    </row>
    <row r="775" spans="1:21">
      <c r="A775">
        <v>774</v>
      </c>
      <c r="B775" s="30" t="s">
        <v>1587</v>
      </c>
      <c r="D775" s="30" t="s">
        <v>1588</v>
      </c>
      <c r="F775" s="30" t="s">
        <v>1591</v>
      </c>
      <c r="H775" s="30" t="s">
        <v>1592</v>
      </c>
      <c r="L775" s="30" t="s">
        <v>1594</v>
      </c>
      <c r="N775" s="30" t="s">
        <v>1668</v>
      </c>
      <c r="P775" s="30" t="s">
        <v>1669</v>
      </c>
      <c r="Q775" t="s">
        <v>619</v>
      </c>
      <c r="R775" t="s">
        <v>919</v>
      </c>
      <c r="S775">
        <v>37</v>
      </c>
      <c r="T775" s="29" t="str">
        <f>HYPERLINK("https://ictv.global/ictv/proposals/2021.001B.R.abolish_Caudovirales.zip","2021.001B.R.abolish_Caudovirales.zip")</f>
        <v>2021.001B.R.abolish_Caudovirales.zip</v>
      </c>
      <c r="U775" s="29" t="str">
        <f>HYPERLINK("https://ictv.global/taxonomy/taxondetails?taxnode_id=202308314","ictv.global=202308314")</f>
        <v>ictv.global=202308314</v>
      </c>
    </row>
    <row r="776" spans="1:21">
      <c r="A776">
        <v>775</v>
      </c>
      <c r="B776" s="30" t="s">
        <v>1587</v>
      </c>
      <c r="D776" s="30" t="s">
        <v>1588</v>
      </c>
      <c r="F776" s="30" t="s">
        <v>1591</v>
      </c>
      <c r="H776" s="30" t="s">
        <v>1592</v>
      </c>
      <c r="L776" s="30" t="s">
        <v>1594</v>
      </c>
      <c r="N776" s="30" t="s">
        <v>1670</v>
      </c>
      <c r="P776" s="30" t="s">
        <v>4727</v>
      </c>
      <c r="Q776" t="s">
        <v>619</v>
      </c>
      <c r="R776" t="s">
        <v>918</v>
      </c>
      <c r="S776">
        <v>37</v>
      </c>
      <c r="T776" s="29" t="str">
        <f t="shared" ref="T776:T782" si="30">HYPERLINK("https://ictv.global/ictv/proposals/2021.010B.R.Binomial_names.zip","2021.010B.R.Binomial_names.zip")</f>
        <v>2021.010B.R.Binomial_names.zip</v>
      </c>
      <c r="U776" s="29" t="str">
        <f>HYPERLINK("https://ictv.global/taxonomy/taxondetails?taxnode_id=202308225","ictv.global=202308225")</f>
        <v>ictv.global=202308225</v>
      </c>
    </row>
    <row r="777" spans="1:21">
      <c r="A777">
        <v>776</v>
      </c>
      <c r="B777" s="30" t="s">
        <v>1587</v>
      </c>
      <c r="D777" s="30" t="s">
        <v>1588</v>
      </c>
      <c r="F777" s="30" t="s">
        <v>1591</v>
      </c>
      <c r="H777" s="30" t="s">
        <v>1592</v>
      </c>
      <c r="L777" s="30" t="s">
        <v>1594</v>
      </c>
      <c r="N777" s="30" t="s">
        <v>1670</v>
      </c>
      <c r="P777" s="30" t="s">
        <v>4728</v>
      </c>
      <c r="Q777" t="s">
        <v>619</v>
      </c>
      <c r="R777" t="s">
        <v>918</v>
      </c>
      <c r="S777">
        <v>37</v>
      </c>
      <c r="T777" s="29" t="str">
        <f t="shared" si="30"/>
        <v>2021.010B.R.Binomial_names.zip</v>
      </c>
      <c r="U777" s="29" t="str">
        <f>HYPERLINK("https://ictv.global/taxonomy/taxondetails?taxnode_id=202308226","ictv.global=202308226")</f>
        <v>ictv.global=202308226</v>
      </c>
    </row>
    <row r="778" spans="1:21">
      <c r="A778">
        <v>777</v>
      </c>
      <c r="B778" s="30" t="s">
        <v>1587</v>
      </c>
      <c r="D778" s="30" t="s">
        <v>1588</v>
      </c>
      <c r="F778" s="30" t="s">
        <v>1591</v>
      </c>
      <c r="H778" s="30" t="s">
        <v>1592</v>
      </c>
      <c r="L778" s="30" t="s">
        <v>1594</v>
      </c>
      <c r="N778" s="30" t="s">
        <v>1670</v>
      </c>
      <c r="P778" s="30" t="s">
        <v>4729</v>
      </c>
      <c r="Q778" t="s">
        <v>619</v>
      </c>
      <c r="R778" t="s">
        <v>918</v>
      </c>
      <c r="S778">
        <v>37</v>
      </c>
      <c r="T778" s="29" t="str">
        <f t="shared" si="30"/>
        <v>2021.010B.R.Binomial_names.zip</v>
      </c>
      <c r="U778" s="29" t="str">
        <f>HYPERLINK("https://ictv.global/taxonomy/taxondetails?taxnode_id=202308227","ictv.global=202308227")</f>
        <v>ictv.global=202308227</v>
      </c>
    </row>
    <row r="779" spans="1:21">
      <c r="A779">
        <v>778</v>
      </c>
      <c r="B779" s="30" t="s">
        <v>1587</v>
      </c>
      <c r="D779" s="30" t="s">
        <v>1588</v>
      </c>
      <c r="F779" s="30" t="s">
        <v>1591</v>
      </c>
      <c r="H779" s="30" t="s">
        <v>1592</v>
      </c>
      <c r="L779" s="30" t="s">
        <v>1594</v>
      </c>
      <c r="N779" s="30" t="s">
        <v>1671</v>
      </c>
      <c r="P779" s="30" t="s">
        <v>4730</v>
      </c>
      <c r="Q779" t="s">
        <v>619</v>
      </c>
      <c r="R779" t="s">
        <v>918</v>
      </c>
      <c r="S779">
        <v>37</v>
      </c>
      <c r="T779" s="29" t="str">
        <f t="shared" si="30"/>
        <v>2021.010B.R.Binomial_names.zip</v>
      </c>
      <c r="U779" s="29" t="str">
        <f>HYPERLINK("https://ictv.global/taxonomy/taxondetails?taxnode_id=202308310","ictv.global=202308310")</f>
        <v>ictv.global=202308310</v>
      </c>
    </row>
    <row r="780" spans="1:21">
      <c r="A780">
        <v>779</v>
      </c>
      <c r="B780" s="30" t="s">
        <v>1587</v>
      </c>
      <c r="D780" s="30" t="s">
        <v>1588</v>
      </c>
      <c r="F780" s="30" t="s">
        <v>1591</v>
      </c>
      <c r="H780" s="30" t="s">
        <v>1592</v>
      </c>
      <c r="L780" s="30" t="s">
        <v>1594</v>
      </c>
      <c r="N780" s="30" t="s">
        <v>1672</v>
      </c>
      <c r="P780" s="30" t="s">
        <v>4731</v>
      </c>
      <c r="Q780" t="s">
        <v>619</v>
      </c>
      <c r="R780" t="s">
        <v>918</v>
      </c>
      <c r="S780">
        <v>37</v>
      </c>
      <c r="T780" s="29" t="str">
        <f t="shared" si="30"/>
        <v>2021.010B.R.Binomial_names.zip</v>
      </c>
      <c r="U780" s="29" t="str">
        <f>HYPERLINK("https://ictv.global/taxonomy/taxondetails?taxnode_id=202308211","ictv.global=202308211")</f>
        <v>ictv.global=202308211</v>
      </c>
    </row>
    <row r="781" spans="1:21">
      <c r="A781">
        <v>780</v>
      </c>
      <c r="B781" s="30" t="s">
        <v>1587</v>
      </c>
      <c r="D781" s="30" t="s">
        <v>1588</v>
      </c>
      <c r="F781" s="30" t="s">
        <v>1591</v>
      </c>
      <c r="H781" s="30" t="s">
        <v>1592</v>
      </c>
      <c r="L781" s="30" t="s">
        <v>1594</v>
      </c>
      <c r="N781" s="30" t="s">
        <v>1672</v>
      </c>
      <c r="P781" s="30" t="s">
        <v>4732</v>
      </c>
      <c r="Q781" t="s">
        <v>619</v>
      </c>
      <c r="R781" t="s">
        <v>918</v>
      </c>
      <c r="S781">
        <v>37</v>
      </c>
      <c r="T781" s="29" t="str">
        <f t="shared" si="30"/>
        <v>2021.010B.R.Binomial_names.zip</v>
      </c>
      <c r="U781" s="29" t="str">
        <f>HYPERLINK("https://ictv.global/taxonomy/taxondetails?taxnode_id=202308210","ictv.global=202308210")</f>
        <v>ictv.global=202308210</v>
      </c>
    </row>
    <row r="782" spans="1:21">
      <c r="A782">
        <v>781</v>
      </c>
      <c r="B782" s="30" t="s">
        <v>1587</v>
      </c>
      <c r="D782" s="30" t="s">
        <v>1588</v>
      </c>
      <c r="F782" s="30" t="s">
        <v>1591</v>
      </c>
      <c r="H782" s="30" t="s">
        <v>1592</v>
      </c>
      <c r="L782" s="30" t="s">
        <v>1594</v>
      </c>
      <c r="N782" s="30" t="s">
        <v>1673</v>
      </c>
      <c r="P782" s="30" t="s">
        <v>4733</v>
      </c>
      <c r="Q782" t="s">
        <v>619</v>
      </c>
      <c r="R782" t="s">
        <v>918</v>
      </c>
      <c r="S782">
        <v>37</v>
      </c>
      <c r="T782" s="29" t="str">
        <f t="shared" si="30"/>
        <v>2021.010B.R.Binomial_names.zip</v>
      </c>
      <c r="U782" s="29" t="str">
        <f>HYPERLINK("https://ictv.global/taxonomy/taxondetails?taxnode_id=202308308","ictv.global=202308308")</f>
        <v>ictv.global=202308308</v>
      </c>
    </row>
    <row r="783" spans="1:21">
      <c r="A783">
        <v>782</v>
      </c>
      <c r="B783" s="30" t="s">
        <v>1587</v>
      </c>
      <c r="D783" s="30" t="s">
        <v>1588</v>
      </c>
      <c r="F783" s="30" t="s">
        <v>1591</v>
      </c>
      <c r="H783" s="30" t="s">
        <v>1592</v>
      </c>
      <c r="L783" s="30" t="s">
        <v>1594</v>
      </c>
      <c r="N783" s="30" t="s">
        <v>1674</v>
      </c>
      <c r="P783" s="30" t="s">
        <v>1675</v>
      </c>
      <c r="Q783" t="s">
        <v>619</v>
      </c>
      <c r="R783" t="s">
        <v>919</v>
      </c>
      <c r="S783">
        <v>37</v>
      </c>
      <c r="T783" s="29" t="str">
        <f>HYPERLINK("https://ictv.global/ictv/proposals/2021.001B.R.abolish_Caudovirales.zip","2021.001B.R.abolish_Caudovirales.zip")</f>
        <v>2021.001B.R.abolish_Caudovirales.zip</v>
      </c>
      <c r="U783" s="29" t="str">
        <f>HYPERLINK("https://ictv.global/taxonomy/taxondetails?taxnode_id=202308326","ictv.global=202308326")</f>
        <v>ictv.global=202308326</v>
      </c>
    </row>
    <row r="784" spans="1:21">
      <c r="A784">
        <v>783</v>
      </c>
      <c r="B784" s="30" t="s">
        <v>1587</v>
      </c>
      <c r="D784" s="30" t="s">
        <v>1588</v>
      </c>
      <c r="F784" s="30" t="s">
        <v>1591</v>
      </c>
      <c r="H784" s="30" t="s">
        <v>1592</v>
      </c>
      <c r="L784" s="30" t="s">
        <v>1594</v>
      </c>
      <c r="N784" s="30" t="s">
        <v>1676</v>
      </c>
      <c r="P784" s="30" t="s">
        <v>1677</v>
      </c>
      <c r="Q784" t="s">
        <v>619</v>
      </c>
      <c r="R784" t="s">
        <v>919</v>
      </c>
      <c r="S784">
        <v>37</v>
      </c>
      <c r="T784" s="29" t="str">
        <f>HYPERLINK("https://ictv.global/ictv/proposals/2021.001B.R.abolish_Caudovirales.zip","2021.001B.R.abolish_Caudovirales.zip")</f>
        <v>2021.001B.R.abolish_Caudovirales.zip</v>
      </c>
      <c r="U784" s="29" t="str">
        <f>HYPERLINK("https://ictv.global/taxonomy/taxondetails?taxnode_id=202308253","ictv.global=202308253")</f>
        <v>ictv.global=202308253</v>
      </c>
    </row>
    <row r="785" spans="1:21">
      <c r="A785">
        <v>784</v>
      </c>
      <c r="B785" s="30" t="s">
        <v>1587</v>
      </c>
      <c r="D785" s="30" t="s">
        <v>1588</v>
      </c>
      <c r="F785" s="30" t="s">
        <v>1591</v>
      </c>
      <c r="H785" s="30" t="s">
        <v>1592</v>
      </c>
      <c r="L785" s="30" t="s">
        <v>1594</v>
      </c>
      <c r="N785" s="30" t="s">
        <v>1678</v>
      </c>
      <c r="P785" s="30" t="s">
        <v>4734</v>
      </c>
      <c r="Q785" t="s">
        <v>619</v>
      </c>
      <c r="R785" t="s">
        <v>918</v>
      </c>
      <c r="S785">
        <v>37</v>
      </c>
      <c r="T785" s="29" t="str">
        <f>HYPERLINK("https://ictv.global/ictv/proposals/2021.010B.R.Binomial_names.zip","2021.010B.R.Binomial_names.zip")</f>
        <v>2021.010B.R.Binomial_names.zip</v>
      </c>
      <c r="U785" s="29" t="str">
        <f>HYPERLINK("https://ictv.global/taxonomy/taxondetails?taxnode_id=202308207","ictv.global=202308207")</f>
        <v>ictv.global=202308207</v>
      </c>
    </row>
    <row r="786" spans="1:21">
      <c r="A786">
        <v>785</v>
      </c>
      <c r="B786" s="30" t="s">
        <v>1587</v>
      </c>
      <c r="D786" s="30" t="s">
        <v>1588</v>
      </c>
      <c r="F786" s="30" t="s">
        <v>1591</v>
      </c>
      <c r="H786" s="30" t="s">
        <v>1592</v>
      </c>
      <c r="L786" s="30" t="s">
        <v>1594</v>
      </c>
      <c r="N786" s="30" t="s">
        <v>1678</v>
      </c>
      <c r="P786" s="30" t="s">
        <v>4735</v>
      </c>
      <c r="Q786" t="s">
        <v>619</v>
      </c>
      <c r="R786" t="s">
        <v>918</v>
      </c>
      <c r="S786">
        <v>37</v>
      </c>
      <c r="T786" s="29" t="str">
        <f>HYPERLINK("https://ictv.global/ictv/proposals/2021.010B.R.Binomial_names.zip","2021.010B.R.Binomial_names.zip")</f>
        <v>2021.010B.R.Binomial_names.zip</v>
      </c>
      <c r="U786" s="29" t="str">
        <f>HYPERLINK("https://ictv.global/taxonomy/taxondetails?taxnode_id=202308208","ictv.global=202308208")</f>
        <v>ictv.global=202308208</v>
      </c>
    </row>
    <row r="787" spans="1:21">
      <c r="A787">
        <v>786</v>
      </c>
      <c r="B787" s="30" t="s">
        <v>1587</v>
      </c>
      <c r="D787" s="30" t="s">
        <v>1588</v>
      </c>
      <c r="F787" s="30" t="s">
        <v>1591</v>
      </c>
      <c r="H787" s="30" t="s">
        <v>1592</v>
      </c>
      <c r="L787" s="30" t="s">
        <v>1594</v>
      </c>
      <c r="N787" s="30" t="s">
        <v>1679</v>
      </c>
      <c r="P787" s="30" t="s">
        <v>4736</v>
      </c>
      <c r="Q787" t="s">
        <v>619</v>
      </c>
      <c r="R787" t="s">
        <v>918</v>
      </c>
      <c r="S787">
        <v>37</v>
      </c>
      <c r="T787" s="29" t="str">
        <f>HYPERLINK("https://ictv.global/ictv/proposals/2021.010B.R.Binomial_names.zip","2021.010B.R.Binomial_names.zip")</f>
        <v>2021.010B.R.Binomial_names.zip</v>
      </c>
      <c r="U787" s="29" t="str">
        <f>HYPERLINK("https://ictv.global/taxonomy/taxondetails?taxnode_id=202308216","ictv.global=202308216")</f>
        <v>ictv.global=202308216</v>
      </c>
    </row>
    <row r="788" spans="1:21">
      <c r="A788">
        <v>787</v>
      </c>
      <c r="B788" s="30" t="s">
        <v>1587</v>
      </c>
      <c r="D788" s="30" t="s">
        <v>1588</v>
      </c>
      <c r="F788" s="30" t="s">
        <v>1591</v>
      </c>
      <c r="H788" s="30" t="s">
        <v>1592</v>
      </c>
      <c r="L788" s="30" t="s">
        <v>1594</v>
      </c>
      <c r="N788" s="30" t="s">
        <v>1679</v>
      </c>
      <c r="P788" s="30" t="s">
        <v>4737</v>
      </c>
      <c r="Q788" t="s">
        <v>619</v>
      </c>
      <c r="R788" t="s">
        <v>918</v>
      </c>
      <c r="S788">
        <v>37</v>
      </c>
      <c r="T788" s="29" t="str">
        <f>HYPERLINK("https://ictv.global/ictv/proposals/2021.010B.R.Binomial_names.zip","2021.010B.R.Binomial_names.zip")</f>
        <v>2021.010B.R.Binomial_names.zip</v>
      </c>
      <c r="U788" s="29" t="str">
        <f>HYPERLINK("https://ictv.global/taxonomy/taxondetails?taxnode_id=202308217","ictv.global=202308217")</f>
        <v>ictv.global=202308217</v>
      </c>
    </row>
    <row r="789" spans="1:21">
      <c r="A789">
        <v>788</v>
      </c>
      <c r="B789" s="30" t="s">
        <v>1587</v>
      </c>
      <c r="D789" s="30" t="s">
        <v>1588</v>
      </c>
      <c r="F789" s="30" t="s">
        <v>1591</v>
      </c>
      <c r="H789" s="30" t="s">
        <v>1592</v>
      </c>
      <c r="L789" s="30" t="s">
        <v>1594</v>
      </c>
      <c r="N789" s="30" t="s">
        <v>1680</v>
      </c>
      <c r="P789" s="30" t="s">
        <v>4738</v>
      </c>
      <c r="Q789" t="s">
        <v>619</v>
      </c>
      <c r="R789" t="s">
        <v>918</v>
      </c>
      <c r="S789">
        <v>37</v>
      </c>
      <c r="T789" s="29" t="str">
        <f>HYPERLINK("https://ictv.global/ictv/proposals/2021.010B.R.Binomial_names.zip","2021.010B.R.Binomial_names.zip")</f>
        <v>2021.010B.R.Binomial_names.zip</v>
      </c>
      <c r="U789" s="29" t="str">
        <f>HYPERLINK("https://ictv.global/taxonomy/taxondetails?taxnode_id=202308278","ictv.global=202308278")</f>
        <v>ictv.global=202308278</v>
      </c>
    </row>
    <row r="790" spans="1:21">
      <c r="A790">
        <v>789</v>
      </c>
      <c r="B790" s="30" t="s">
        <v>1587</v>
      </c>
      <c r="D790" s="30" t="s">
        <v>1588</v>
      </c>
      <c r="F790" s="30" t="s">
        <v>1591</v>
      </c>
      <c r="H790" s="30" t="s">
        <v>1592</v>
      </c>
      <c r="L790" s="30" t="s">
        <v>1594</v>
      </c>
      <c r="N790" s="30" t="s">
        <v>1681</v>
      </c>
      <c r="P790" s="30" t="s">
        <v>1682</v>
      </c>
      <c r="Q790" t="s">
        <v>619</v>
      </c>
      <c r="R790" t="s">
        <v>919</v>
      </c>
      <c r="S790">
        <v>37</v>
      </c>
      <c r="T790" s="29" t="str">
        <f>HYPERLINK("https://ictv.global/ictv/proposals/2021.001B.R.abolish_Caudovirales.zip","2021.001B.R.abolish_Caudovirales.zip")</f>
        <v>2021.001B.R.abolish_Caudovirales.zip</v>
      </c>
      <c r="U790" s="29" t="str">
        <f>HYPERLINK("https://ictv.global/taxonomy/taxondetails?taxnode_id=202308296","ictv.global=202308296")</f>
        <v>ictv.global=202308296</v>
      </c>
    </row>
    <row r="791" spans="1:21">
      <c r="A791">
        <v>790</v>
      </c>
      <c r="B791" s="30" t="s">
        <v>1587</v>
      </c>
      <c r="D791" s="30" t="s">
        <v>1588</v>
      </c>
      <c r="F791" s="30" t="s">
        <v>1591</v>
      </c>
      <c r="H791" s="30" t="s">
        <v>1592</v>
      </c>
      <c r="L791" s="30" t="s">
        <v>1594</v>
      </c>
      <c r="N791" s="30" t="s">
        <v>1683</v>
      </c>
      <c r="P791" s="30" t="s">
        <v>4739</v>
      </c>
      <c r="Q791" t="s">
        <v>619</v>
      </c>
      <c r="R791" t="s">
        <v>918</v>
      </c>
      <c r="S791">
        <v>37</v>
      </c>
      <c r="T791" s="29" t="str">
        <f t="shared" ref="T791:T797" si="31">HYPERLINK("https://ictv.global/ictv/proposals/2021.010B.R.Binomial_names.zip","2021.010B.R.Binomial_names.zip")</f>
        <v>2021.010B.R.Binomial_names.zip</v>
      </c>
      <c r="U791" s="29" t="str">
        <f>HYPERLINK("https://ictv.global/taxonomy/taxondetails?taxnode_id=202308247","ictv.global=202308247")</f>
        <v>ictv.global=202308247</v>
      </c>
    </row>
    <row r="792" spans="1:21">
      <c r="A792">
        <v>791</v>
      </c>
      <c r="B792" s="30" t="s">
        <v>1587</v>
      </c>
      <c r="D792" s="30" t="s">
        <v>1588</v>
      </c>
      <c r="F792" s="30" t="s">
        <v>1591</v>
      </c>
      <c r="H792" s="30" t="s">
        <v>1592</v>
      </c>
      <c r="L792" s="30" t="s">
        <v>1594</v>
      </c>
      <c r="N792" s="30" t="s">
        <v>1684</v>
      </c>
      <c r="P792" s="30" t="s">
        <v>4740</v>
      </c>
      <c r="Q792" t="s">
        <v>619</v>
      </c>
      <c r="R792" t="s">
        <v>918</v>
      </c>
      <c r="S792">
        <v>37</v>
      </c>
      <c r="T792" s="29" t="str">
        <f t="shared" si="31"/>
        <v>2021.010B.R.Binomial_names.zip</v>
      </c>
      <c r="U792" s="29" t="str">
        <f>HYPERLINK("https://ictv.global/taxonomy/taxondetails?taxnode_id=202308304","ictv.global=202308304")</f>
        <v>ictv.global=202308304</v>
      </c>
    </row>
    <row r="793" spans="1:21">
      <c r="A793">
        <v>792</v>
      </c>
      <c r="B793" s="30" t="s">
        <v>1587</v>
      </c>
      <c r="D793" s="30" t="s">
        <v>1588</v>
      </c>
      <c r="F793" s="30" t="s">
        <v>1591</v>
      </c>
      <c r="H793" s="30" t="s">
        <v>1592</v>
      </c>
      <c r="L793" s="30" t="s">
        <v>1594</v>
      </c>
      <c r="N793" s="30" t="s">
        <v>1685</v>
      </c>
      <c r="P793" s="30" t="s">
        <v>4741</v>
      </c>
      <c r="Q793" t="s">
        <v>619</v>
      </c>
      <c r="R793" t="s">
        <v>918</v>
      </c>
      <c r="S793">
        <v>37</v>
      </c>
      <c r="T793" s="29" t="str">
        <f t="shared" si="31"/>
        <v>2021.010B.R.Binomial_names.zip</v>
      </c>
      <c r="U793" s="29" t="str">
        <f>HYPERLINK("https://ictv.global/taxonomy/taxondetails?taxnode_id=202308322","ictv.global=202308322")</f>
        <v>ictv.global=202308322</v>
      </c>
    </row>
    <row r="794" spans="1:21">
      <c r="A794">
        <v>793</v>
      </c>
      <c r="B794" s="30" t="s">
        <v>1587</v>
      </c>
      <c r="D794" s="30" t="s">
        <v>1588</v>
      </c>
      <c r="F794" s="30" t="s">
        <v>1591</v>
      </c>
      <c r="H794" s="30" t="s">
        <v>1592</v>
      </c>
      <c r="L794" s="30" t="s">
        <v>1594</v>
      </c>
      <c r="N794" s="30" t="s">
        <v>1686</v>
      </c>
      <c r="P794" s="30" t="s">
        <v>4742</v>
      </c>
      <c r="Q794" t="s">
        <v>619</v>
      </c>
      <c r="R794" t="s">
        <v>918</v>
      </c>
      <c r="S794">
        <v>37</v>
      </c>
      <c r="T794" s="29" t="str">
        <f t="shared" si="31"/>
        <v>2021.010B.R.Binomial_names.zip</v>
      </c>
      <c r="U794" s="29" t="str">
        <f>HYPERLINK("https://ictv.global/taxonomy/taxondetails?taxnode_id=202308312","ictv.global=202308312")</f>
        <v>ictv.global=202308312</v>
      </c>
    </row>
    <row r="795" spans="1:21">
      <c r="A795">
        <v>794</v>
      </c>
      <c r="B795" s="30" t="s">
        <v>1587</v>
      </c>
      <c r="D795" s="30" t="s">
        <v>1588</v>
      </c>
      <c r="F795" s="30" t="s">
        <v>1591</v>
      </c>
      <c r="H795" s="30" t="s">
        <v>1592</v>
      </c>
      <c r="L795" s="30" t="s">
        <v>1594</v>
      </c>
      <c r="N795" s="30" t="s">
        <v>1687</v>
      </c>
      <c r="P795" s="30" t="s">
        <v>4743</v>
      </c>
      <c r="Q795" t="s">
        <v>619</v>
      </c>
      <c r="R795" t="s">
        <v>918</v>
      </c>
      <c r="S795">
        <v>37</v>
      </c>
      <c r="T795" s="29" t="str">
        <f t="shared" si="31"/>
        <v>2021.010B.R.Binomial_names.zip</v>
      </c>
      <c r="U795" s="29" t="str">
        <f>HYPERLINK("https://ictv.global/taxonomy/taxondetails?taxnode_id=202308265","ictv.global=202308265")</f>
        <v>ictv.global=202308265</v>
      </c>
    </row>
    <row r="796" spans="1:21">
      <c r="A796">
        <v>795</v>
      </c>
      <c r="B796" s="30" t="s">
        <v>1587</v>
      </c>
      <c r="D796" s="30" t="s">
        <v>1588</v>
      </c>
      <c r="F796" s="30" t="s">
        <v>1591</v>
      </c>
      <c r="H796" s="30" t="s">
        <v>1592</v>
      </c>
      <c r="L796" s="30" t="s">
        <v>1594</v>
      </c>
      <c r="N796" s="30" t="s">
        <v>1688</v>
      </c>
      <c r="P796" s="30" t="s">
        <v>4744</v>
      </c>
      <c r="Q796" t="s">
        <v>619</v>
      </c>
      <c r="R796" t="s">
        <v>918</v>
      </c>
      <c r="S796">
        <v>37</v>
      </c>
      <c r="T796" s="29" t="str">
        <f t="shared" si="31"/>
        <v>2021.010B.R.Binomial_names.zip</v>
      </c>
      <c r="U796" s="29" t="str">
        <f>HYPERLINK("https://ictv.global/taxonomy/taxondetails?taxnode_id=202308501","ictv.global=202308501")</f>
        <v>ictv.global=202308501</v>
      </c>
    </row>
    <row r="797" spans="1:21">
      <c r="A797">
        <v>796</v>
      </c>
      <c r="B797" s="30" t="s">
        <v>1587</v>
      </c>
      <c r="D797" s="30" t="s">
        <v>1588</v>
      </c>
      <c r="F797" s="30" t="s">
        <v>1591</v>
      </c>
      <c r="H797" s="30" t="s">
        <v>1592</v>
      </c>
      <c r="L797" s="30" t="s">
        <v>1594</v>
      </c>
      <c r="N797" s="30" t="s">
        <v>1689</v>
      </c>
      <c r="P797" s="30" t="s">
        <v>4745</v>
      </c>
      <c r="Q797" t="s">
        <v>619</v>
      </c>
      <c r="R797" t="s">
        <v>918</v>
      </c>
      <c r="S797">
        <v>37</v>
      </c>
      <c r="T797" s="29" t="str">
        <f t="shared" si="31"/>
        <v>2021.010B.R.Binomial_names.zip</v>
      </c>
      <c r="U797" s="29" t="str">
        <f>HYPERLINK("https://ictv.global/taxonomy/taxondetails?taxnode_id=202308276","ictv.global=202308276")</f>
        <v>ictv.global=202308276</v>
      </c>
    </row>
    <row r="798" spans="1:21">
      <c r="A798">
        <v>797</v>
      </c>
      <c r="B798" s="30" t="s">
        <v>1587</v>
      </c>
      <c r="D798" s="30" t="s">
        <v>1588</v>
      </c>
      <c r="F798" s="30" t="s">
        <v>1591</v>
      </c>
      <c r="H798" s="30" t="s">
        <v>1592</v>
      </c>
      <c r="L798" s="30" t="s">
        <v>1594</v>
      </c>
      <c r="N798" s="30" t="s">
        <v>1690</v>
      </c>
      <c r="P798" s="30" t="s">
        <v>1691</v>
      </c>
      <c r="Q798" t="s">
        <v>619</v>
      </c>
      <c r="R798" t="s">
        <v>919</v>
      </c>
      <c r="S798">
        <v>37</v>
      </c>
      <c r="T798" s="29" t="str">
        <f>HYPERLINK("https://ictv.global/ictv/proposals/2021.001B.R.abolish_Caudovirales.zip","2021.001B.R.abolish_Caudovirales.zip")</f>
        <v>2021.001B.R.abolish_Caudovirales.zip</v>
      </c>
      <c r="U798" s="29" t="str">
        <f>HYPERLINK("https://ictv.global/taxonomy/taxondetails?taxnode_id=202308292","ictv.global=202308292")</f>
        <v>ictv.global=202308292</v>
      </c>
    </row>
    <row r="799" spans="1:21">
      <c r="A799">
        <v>798</v>
      </c>
      <c r="B799" s="30" t="s">
        <v>1587</v>
      </c>
      <c r="D799" s="30" t="s">
        <v>1588</v>
      </c>
      <c r="F799" s="30" t="s">
        <v>1591</v>
      </c>
      <c r="H799" s="30" t="s">
        <v>1592</v>
      </c>
      <c r="L799" s="30" t="s">
        <v>1594</v>
      </c>
      <c r="N799" s="30" t="s">
        <v>1692</v>
      </c>
      <c r="P799" s="30" t="s">
        <v>4746</v>
      </c>
      <c r="Q799" t="s">
        <v>619</v>
      </c>
      <c r="R799" t="s">
        <v>918</v>
      </c>
      <c r="S799">
        <v>37</v>
      </c>
      <c r="T799" s="29" t="str">
        <f t="shared" ref="T799:T808" si="32">HYPERLINK("https://ictv.global/ictv/proposals/2021.010B.R.Binomial_names.zip","2021.010B.R.Binomial_names.zip")</f>
        <v>2021.010B.R.Binomial_names.zip</v>
      </c>
      <c r="U799" s="29" t="str">
        <f>HYPERLINK("https://ictv.global/taxonomy/taxondetails?taxnode_id=202308238","ictv.global=202308238")</f>
        <v>ictv.global=202308238</v>
      </c>
    </row>
    <row r="800" spans="1:21">
      <c r="A800">
        <v>799</v>
      </c>
      <c r="B800" s="30" t="s">
        <v>1587</v>
      </c>
      <c r="D800" s="30" t="s">
        <v>1588</v>
      </c>
      <c r="F800" s="30" t="s">
        <v>1591</v>
      </c>
      <c r="H800" s="30" t="s">
        <v>1592</v>
      </c>
      <c r="L800" s="30" t="s">
        <v>1594</v>
      </c>
      <c r="N800" s="30" t="s">
        <v>1693</v>
      </c>
      <c r="P800" s="30" t="s">
        <v>4747</v>
      </c>
      <c r="Q800" t="s">
        <v>619</v>
      </c>
      <c r="R800" t="s">
        <v>918</v>
      </c>
      <c r="S800">
        <v>37</v>
      </c>
      <c r="T800" s="29" t="str">
        <f t="shared" si="32"/>
        <v>2021.010B.R.Binomial_names.zip</v>
      </c>
      <c r="U800" s="29" t="str">
        <f>HYPERLINK("https://ictv.global/taxonomy/taxondetails?taxnode_id=202300568","ictv.global=202300568")</f>
        <v>ictv.global=202300568</v>
      </c>
    </row>
    <row r="801" spans="1:21">
      <c r="A801">
        <v>800</v>
      </c>
      <c r="B801" s="30" t="s">
        <v>1587</v>
      </c>
      <c r="D801" s="30" t="s">
        <v>1588</v>
      </c>
      <c r="F801" s="30" t="s">
        <v>1591</v>
      </c>
      <c r="H801" s="30" t="s">
        <v>1592</v>
      </c>
      <c r="L801" s="30" t="s">
        <v>1594</v>
      </c>
      <c r="N801" s="30" t="s">
        <v>1694</v>
      </c>
      <c r="P801" s="30" t="s">
        <v>4748</v>
      </c>
      <c r="Q801" t="s">
        <v>619</v>
      </c>
      <c r="R801" t="s">
        <v>918</v>
      </c>
      <c r="S801">
        <v>37</v>
      </c>
      <c r="T801" s="29" t="str">
        <f t="shared" si="32"/>
        <v>2021.010B.R.Binomial_names.zip</v>
      </c>
      <c r="U801" s="29" t="str">
        <f>HYPERLINK("https://ictv.global/taxonomy/taxondetails?taxnode_id=202308318","ictv.global=202308318")</f>
        <v>ictv.global=202308318</v>
      </c>
    </row>
    <row r="802" spans="1:21">
      <c r="A802">
        <v>801</v>
      </c>
      <c r="B802" s="30" t="s">
        <v>1587</v>
      </c>
      <c r="D802" s="30" t="s">
        <v>1588</v>
      </c>
      <c r="F802" s="30" t="s">
        <v>1591</v>
      </c>
      <c r="H802" s="30" t="s">
        <v>1592</v>
      </c>
      <c r="L802" s="30" t="s">
        <v>1594</v>
      </c>
      <c r="N802" s="30" t="s">
        <v>1695</v>
      </c>
      <c r="P802" s="30" t="s">
        <v>4749</v>
      </c>
      <c r="Q802" t="s">
        <v>619</v>
      </c>
      <c r="R802" t="s">
        <v>918</v>
      </c>
      <c r="S802">
        <v>37</v>
      </c>
      <c r="T802" s="29" t="str">
        <f t="shared" si="32"/>
        <v>2021.010B.R.Binomial_names.zip</v>
      </c>
      <c r="U802" s="29" t="str">
        <f>HYPERLINK("https://ictv.global/taxonomy/taxondetails?taxnode_id=202308320","ictv.global=202308320")</f>
        <v>ictv.global=202308320</v>
      </c>
    </row>
    <row r="803" spans="1:21">
      <c r="A803">
        <v>802</v>
      </c>
      <c r="B803" s="30" t="s">
        <v>1587</v>
      </c>
      <c r="D803" s="30" t="s">
        <v>1588</v>
      </c>
      <c r="F803" s="30" t="s">
        <v>1591</v>
      </c>
      <c r="H803" s="30" t="s">
        <v>1592</v>
      </c>
      <c r="L803" s="30" t="s">
        <v>1594</v>
      </c>
      <c r="N803" s="30" t="s">
        <v>1696</v>
      </c>
      <c r="P803" s="30" t="s">
        <v>4750</v>
      </c>
      <c r="Q803" t="s">
        <v>619</v>
      </c>
      <c r="R803" t="s">
        <v>918</v>
      </c>
      <c r="S803">
        <v>37</v>
      </c>
      <c r="T803" s="29" t="str">
        <f t="shared" si="32"/>
        <v>2021.010B.R.Binomial_names.zip</v>
      </c>
      <c r="U803" s="29" t="str">
        <f>HYPERLINK("https://ictv.global/taxonomy/taxondetails?taxnode_id=202308267","ictv.global=202308267")</f>
        <v>ictv.global=202308267</v>
      </c>
    </row>
    <row r="804" spans="1:21">
      <c r="A804">
        <v>803</v>
      </c>
      <c r="B804" s="30" t="s">
        <v>1587</v>
      </c>
      <c r="D804" s="30" t="s">
        <v>1588</v>
      </c>
      <c r="F804" s="30" t="s">
        <v>1591</v>
      </c>
      <c r="H804" s="30" t="s">
        <v>1592</v>
      </c>
      <c r="L804" s="30" t="s">
        <v>1594</v>
      </c>
      <c r="N804" s="30" t="s">
        <v>1697</v>
      </c>
      <c r="P804" s="30" t="s">
        <v>4751</v>
      </c>
      <c r="Q804" t="s">
        <v>619</v>
      </c>
      <c r="R804" t="s">
        <v>918</v>
      </c>
      <c r="S804">
        <v>37</v>
      </c>
      <c r="T804" s="29" t="str">
        <f t="shared" si="32"/>
        <v>2021.010B.R.Binomial_names.zip</v>
      </c>
      <c r="U804" s="29" t="str">
        <f>HYPERLINK("https://ictv.global/taxonomy/taxondetails?taxnode_id=202308198","ictv.global=202308198")</f>
        <v>ictv.global=202308198</v>
      </c>
    </row>
    <row r="805" spans="1:21">
      <c r="A805">
        <v>804</v>
      </c>
      <c r="B805" s="30" t="s">
        <v>1587</v>
      </c>
      <c r="D805" s="30" t="s">
        <v>1588</v>
      </c>
      <c r="F805" s="30" t="s">
        <v>1591</v>
      </c>
      <c r="H805" s="30" t="s">
        <v>1592</v>
      </c>
      <c r="L805" s="30" t="s">
        <v>1594</v>
      </c>
      <c r="N805" s="30" t="s">
        <v>1697</v>
      </c>
      <c r="P805" s="30" t="s">
        <v>4752</v>
      </c>
      <c r="Q805" t="s">
        <v>619</v>
      </c>
      <c r="R805" t="s">
        <v>918</v>
      </c>
      <c r="S805">
        <v>37</v>
      </c>
      <c r="T805" s="29" t="str">
        <f t="shared" si="32"/>
        <v>2021.010B.R.Binomial_names.zip</v>
      </c>
      <c r="U805" s="29" t="str">
        <f>HYPERLINK("https://ictv.global/taxonomy/taxondetails?taxnode_id=202308199","ictv.global=202308199")</f>
        <v>ictv.global=202308199</v>
      </c>
    </row>
    <row r="806" spans="1:21">
      <c r="A806">
        <v>805</v>
      </c>
      <c r="B806" s="30" t="s">
        <v>1587</v>
      </c>
      <c r="D806" s="30" t="s">
        <v>1588</v>
      </c>
      <c r="F806" s="30" t="s">
        <v>1591</v>
      </c>
      <c r="H806" s="30" t="s">
        <v>1592</v>
      </c>
      <c r="L806" s="30" t="s">
        <v>1594</v>
      </c>
      <c r="N806" s="30" t="s">
        <v>1697</v>
      </c>
      <c r="P806" s="30" t="s">
        <v>4753</v>
      </c>
      <c r="Q806" t="s">
        <v>619</v>
      </c>
      <c r="R806" t="s">
        <v>918</v>
      </c>
      <c r="S806">
        <v>37</v>
      </c>
      <c r="T806" s="29" t="str">
        <f t="shared" si="32"/>
        <v>2021.010B.R.Binomial_names.zip</v>
      </c>
      <c r="U806" s="29" t="str">
        <f>HYPERLINK("https://ictv.global/taxonomy/taxondetails?taxnode_id=202308200","ictv.global=202308200")</f>
        <v>ictv.global=202308200</v>
      </c>
    </row>
    <row r="807" spans="1:21">
      <c r="A807">
        <v>806</v>
      </c>
      <c r="B807" s="30" t="s">
        <v>1587</v>
      </c>
      <c r="D807" s="30" t="s">
        <v>1588</v>
      </c>
      <c r="F807" s="30" t="s">
        <v>1591</v>
      </c>
      <c r="H807" s="30" t="s">
        <v>1592</v>
      </c>
      <c r="L807" s="30" t="s">
        <v>1594</v>
      </c>
      <c r="N807" s="30" t="s">
        <v>1697</v>
      </c>
      <c r="P807" s="30" t="s">
        <v>4754</v>
      </c>
      <c r="Q807" t="s">
        <v>619</v>
      </c>
      <c r="R807" t="s">
        <v>918</v>
      </c>
      <c r="S807">
        <v>37</v>
      </c>
      <c r="T807" s="29" t="str">
        <f t="shared" si="32"/>
        <v>2021.010B.R.Binomial_names.zip</v>
      </c>
      <c r="U807" s="29" t="str">
        <f>HYPERLINK("https://ictv.global/taxonomy/taxondetails?taxnode_id=202308197","ictv.global=202308197")</f>
        <v>ictv.global=202308197</v>
      </c>
    </row>
    <row r="808" spans="1:21">
      <c r="A808">
        <v>807</v>
      </c>
      <c r="B808" s="30" t="s">
        <v>1587</v>
      </c>
      <c r="D808" s="30" t="s">
        <v>1588</v>
      </c>
      <c r="F808" s="30" t="s">
        <v>1591</v>
      </c>
      <c r="H808" s="30" t="s">
        <v>1592</v>
      </c>
      <c r="L808" s="30" t="s">
        <v>1594</v>
      </c>
      <c r="N808" s="30" t="s">
        <v>1399</v>
      </c>
      <c r="P808" s="30" t="s">
        <v>4755</v>
      </c>
      <c r="Q808" t="s">
        <v>619</v>
      </c>
      <c r="R808" t="s">
        <v>918</v>
      </c>
      <c r="S808">
        <v>37</v>
      </c>
      <c r="T808" s="29" t="str">
        <f t="shared" si="32"/>
        <v>2021.010B.R.Binomial_names.zip</v>
      </c>
      <c r="U808" s="29" t="str">
        <f>HYPERLINK("https://ictv.global/taxonomy/taxondetails?taxnode_id=202306881","ictv.global=202306881")</f>
        <v>ictv.global=202306881</v>
      </c>
    </row>
    <row r="809" spans="1:21">
      <c r="A809">
        <v>808</v>
      </c>
      <c r="B809" s="30" t="s">
        <v>1587</v>
      </c>
      <c r="D809" s="30" t="s">
        <v>1588</v>
      </c>
      <c r="F809" s="30" t="s">
        <v>1591</v>
      </c>
      <c r="H809" s="30" t="s">
        <v>1592</v>
      </c>
      <c r="L809" s="30" t="s">
        <v>1594</v>
      </c>
      <c r="N809" s="30" t="s">
        <v>1698</v>
      </c>
      <c r="P809" s="30" t="s">
        <v>1699</v>
      </c>
      <c r="Q809" t="s">
        <v>619</v>
      </c>
      <c r="R809" t="s">
        <v>919</v>
      </c>
      <c r="S809">
        <v>37</v>
      </c>
      <c r="T809" s="29" t="str">
        <f>HYPERLINK("https://ictv.global/ictv/proposals/2021.001B.R.abolish_Caudovirales.zip","2021.001B.R.abolish_Caudovirales.zip")</f>
        <v>2021.001B.R.abolish_Caudovirales.zip</v>
      </c>
      <c r="U809" s="29" t="str">
        <f>HYPERLINK("https://ictv.global/taxonomy/taxondetails?taxnode_id=202308288","ictv.global=202308288")</f>
        <v>ictv.global=202308288</v>
      </c>
    </row>
    <row r="810" spans="1:21">
      <c r="A810">
        <v>809</v>
      </c>
      <c r="B810" s="30" t="s">
        <v>1587</v>
      </c>
      <c r="D810" s="30" t="s">
        <v>1588</v>
      </c>
      <c r="F810" s="30" t="s">
        <v>1591</v>
      </c>
      <c r="H810" s="30" t="s">
        <v>1592</v>
      </c>
      <c r="L810" s="30" t="s">
        <v>1594</v>
      </c>
      <c r="N810" s="30" t="s">
        <v>1700</v>
      </c>
      <c r="P810" s="30" t="s">
        <v>1701</v>
      </c>
      <c r="Q810" t="s">
        <v>619</v>
      </c>
      <c r="R810" t="s">
        <v>919</v>
      </c>
      <c r="S810">
        <v>37</v>
      </c>
      <c r="T810" s="29" t="str">
        <f>HYPERLINK("https://ictv.global/ictv/proposals/2021.001B.R.abolish_Caudovirales.zip","2021.001B.R.abolish_Caudovirales.zip")</f>
        <v>2021.001B.R.abolish_Caudovirales.zip</v>
      </c>
      <c r="U810" s="29" t="str">
        <f>HYPERLINK("https://ictv.global/taxonomy/taxondetails?taxnode_id=202308286","ictv.global=202308286")</f>
        <v>ictv.global=202308286</v>
      </c>
    </row>
    <row r="811" spans="1:21">
      <c r="A811">
        <v>810</v>
      </c>
      <c r="B811" s="30" t="s">
        <v>1587</v>
      </c>
      <c r="D811" s="30" t="s">
        <v>1588</v>
      </c>
      <c r="F811" s="30" t="s">
        <v>1591</v>
      </c>
      <c r="H811" s="30" t="s">
        <v>1592</v>
      </c>
      <c r="L811" s="30" t="s">
        <v>1594</v>
      </c>
      <c r="N811" s="30" t="s">
        <v>1702</v>
      </c>
      <c r="P811" s="30" t="s">
        <v>4756</v>
      </c>
      <c r="Q811" t="s">
        <v>619</v>
      </c>
      <c r="R811" t="s">
        <v>918</v>
      </c>
      <c r="S811">
        <v>37</v>
      </c>
      <c r="T811" s="29" t="str">
        <f>HYPERLINK("https://ictv.global/ictv/proposals/2021.010B.R.Binomial_names.zip","2021.010B.R.Binomial_names.zip")</f>
        <v>2021.010B.R.Binomial_names.zip</v>
      </c>
      <c r="U811" s="29" t="str">
        <f>HYPERLINK("https://ictv.global/taxonomy/taxondetails?taxnode_id=202308257","ictv.global=202308257")</f>
        <v>ictv.global=202308257</v>
      </c>
    </row>
    <row r="812" spans="1:21">
      <c r="A812">
        <v>811</v>
      </c>
      <c r="B812" s="30" t="s">
        <v>1587</v>
      </c>
      <c r="D812" s="30" t="s">
        <v>1588</v>
      </c>
      <c r="F812" s="30" t="s">
        <v>1591</v>
      </c>
      <c r="H812" s="30" t="s">
        <v>1592</v>
      </c>
      <c r="L812" s="30" t="s">
        <v>1594</v>
      </c>
      <c r="N812" s="30" t="s">
        <v>1703</v>
      </c>
      <c r="P812" s="30" t="s">
        <v>1704</v>
      </c>
      <c r="Q812" t="s">
        <v>619</v>
      </c>
      <c r="R812" t="s">
        <v>919</v>
      </c>
      <c r="S812">
        <v>37</v>
      </c>
      <c r="T812" s="29" t="str">
        <f>HYPERLINK("https://ictv.global/ictv/proposals/2021.001B.R.abolish_Caudovirales.zip","2021.001B.R.abolish_Caudovirales.zip")</f>
        <v>2021.001B.R.abolish_Caudovirales.zip</v>
      </c>
      <c r="U812" s="29" t="str">
        <f>HYPERLINK("https://ictv.global/taxonomy/taxondetails?taxnode_id=202308302","ictv.global=202308302")</f>
        <v>ictv.global=202308302</v>
      </c>
    </row>
    <row r="813" spans="1:21">
      <c r="A813">
        <v>812</v>
      </c>
      <c r="B813" s="30" t="s">
        <v>1587</v>
      </c>
      <c r="D813" s="30" t="s">
        <v>1588</v>
      </c>
      <c r="F813" s="30" t="s">
        <v>1591</v>
      </c>
      <c r="H813" s="30" t="s">
        <v>1592</v>
      </c>
      <c r="L813" s="30" t="s">
        <v>1594</v>
      </c>
      <c r="N813" s="30" t="s">
        <v>1705</v>
      </c>
      <c r="P813" s="30" t="s">
        <v>4757</v>
      </c>
      <c r="Q813" t="s">
        <v>619</v>
      </c>
      <c r="R813" t="s">
        <v>918</v>
      </c>
      <c r="S813">
        <v>37</v>
      </c>
      <c r="T813" s="29" t="str">
        <f>HYPERLINK("https://ictv.global/ictv/proposals/2021.010B.R.Binomial_names.zip","2021.010B.R.Binomial_names.zip")</f>
        <v>2021.010B.R.Binomial_names.zip</v>
      </c>
      <c r="U813" s="29" t="str">
        <f>HYPERLINK("https://ictv.global/taxonomy/taxondetails?taxnode_id=202308259","ictv.global=202308259")</f>
        <v>ictv.global=202308259</v>
      </c>
    </row>
    <row r="814" spans="1:21">
      <c r="A814">
        <v>813</v>
      </c>
      <c r="B814" s="30" t="s">
        <v>1587</v>
      </c>
      <c r="D814" s="30" t="s">
        <v>1588</v>
      </c>
      <c r="F814" s="30" t="s">
        <v>1591</v>
      </c>
      <c r="H814" s="30" t="s">
        <v>1592</v>
      </c>
      <c r="L814" s="30" t="s">
        <v>1594</v>
      </c>
      <c r="N814" s="30" t="s">
        <v>1706</v>
      </c>
      <c r="P814" s="30" t="s">
        <v>1707</v>
      </c>
      <c r="Q814" t="s">
        <v>619</v>
      </c>
      <c r="R814" t="s">
        <v>919</v>
      </c>
      <c r="S814">
        <v>37</v>
      </c>
      <c r="T814" s="29" t="str">
        <f>HYPERLINK("https://ictv.global/ictv/proposals/2021.001B.R.abolish_Caudovirales.zip","2021.001B.R.abolish_Caudovirales.zip")</f>
        <v>2021.001B.R.abolish_Caudovirales.zip</v>
      </c>
      <c r="U814" s="29" t="str">
        <f>HYPERLINK("https://ictv.global/taxonomy/taxondetails?taxnode_id=202308324","ictv.global=202308324")</f>
        <v>ictv.global=202308324</v>
      </c>
    </row>
    <row r="815" spans="1:21">
      <c r="A815">
        <v>814</v>
      </c>
      <c r="B815" s="30" t="s">
        <v>1587</v>
      </c>
      <c r="D815" s="30" t="s">
        <v>1588</v>
      </c>
      <c r="F815" s="30" t="s">
        <v>1591</v>
      </c>
      <c r="H815" s="30" t="s">
        <v>1592</v>
      </c>
      <c r="L815" s="30" t="s">
        <v>1594</v>
      </c>
      <c r="N815" s="30" t="s">
        <v>1708</v>
      </c>
      <c r="P815" s="30" t="s">
        <v>1709</v>
      </c>
      <c r="Q815" t="s">
        <v>619</v>
      </c>
      <c r="R815" t="s">
        <v>919</v>
      </c>
      <c r="S815">
        <v>37</v>
      </c>
      <c r="T815" s="29" t="str">
        <f>HYPERLINK("https://ictv.global/ictv/proposals/2021.001B.R.abolish_Caudovirales.zip","2021.001B.R.abolish_Caudovirales.zip")</f>
        <v>2021.001B.R.abolish_Caudovirales.zip</v>
      </c>
      <c r="U815" s="29" t="str">
        <f>HYPERLINK("https://ictv.global/taxonomy/taxondetails?taxnode_id=202308298","ictv.global=202308298")</f>
        <v>ictv.global=202308298</v>
      </c>
    </row>
    <row r="816" spans="1:21">
      <c r="A816">
        <v>815</v>
      </c>
      <c r="B816" s="30" t="s">
        <v>1587</v>
      </c>
      <c r="D816" s="30" t="s">
        <v>1588</v>
      </c>
      <c r="F816" s="30" t="s">
        <v>1591</v>
      </c>
      <c r="H816" s="30" t="s">
        <v>1592</v>
      </c>
      <c r="L816" s="30" t="s">
        <v>1594</v>
      </c>
      <c r="N816" s="30" t="s">
        <v>1710</v>
      </c>
      <c r="P816" s="30" t="s">
        <v>4758</v>
      </c>
      <c r="Q816" t="s">
        <v>619</v>
      </c>
      <c r="R816" t="s">
        <v>918</v>
      </c>
      <c r="S816">
        <v>37</v>
      </c>
      <c r="T816" s="29" t="str">
        <f>HYPERLINK("https://ictv.global/ictv/proposals/2021.010B.R.Binomial_names.zip","2021.010B.R.Binomial_names.zip")</f>
        <v>2021.010B.R.Binomial_names.zip</v>
      </c>
      <c r="U816" s="29" t="str">
        <f>HYPERLINK("https://ictv.global/taxonomy/taxondetails?taxnode_id=202308232","ictv.global=202308232")</f>
        <v>ictv.global=202308232</v>
      </c>
    </row>
    <row r="817" spans="1:21">
      <c r="A817">
        <v>816</v>
      </c>
      <c r="B817" s="30" t="s">
        <v>1587</v>
      </c>
      <c r="D817" s="30" t="s">
        <v>1588</v>
      </c>
      <c r="F817" s="30" t="s">
        <v>1591</v>
      </c>
      <c r="H817" s="30" t="s">
        <v>1592</v>
      </c>
      <c r="L817" s="30" t="s">
        <v>1594</v>
      </c>
      <c r="N817" s="30" t="s">
        <v>1710</v>
      </c>
      <c r="P817" s="30" t="s">
        <v>1711</v>
      </c>
      <c r="Q817" t="s">
        <v>619</v>
      </c>
      <c r="R817" t="s">
        <v>919</v>
      </c>
      <c r="S817">
        <v>37</v>
      </c>
      <c r="T817" s="29" t="str">
        <f>HYPERLINK("https://ictv.global/ictv/proposals/2021.001B.R.abolish_Caudovirales.zip","2021.001B.R.abolish_Caudovirales.zip")</f>
        <v>2021.001B.R.abolish_Caudovirales.zip</v>
      </c>
      <c r="U817" s="29" t="str">
        <f>HYPERLINK("https://ictv.global/taxonomy/taxondetails?taxnode_id=202308233","ictv.global=202308233")</f>
        <v>ictv.global=202308233</v>
      </c>
    </row>
    <row r="818" spans="1:21">
      <c r="A818">
        <v>817</v>
      </c>
      <c r="B818" s="30" t="s">
        <v>1587</v>
      </c>
      <c r="D818" s="30" t="s">
        <v>1588</v>
      </c>
      <c r="F818" s="30" t="s">
        <v>1591</v>
      </c>
      <c r="H818" s="30" t="s">
        <v>1592</v>
      </c>
      <c r="L818" s="30" t="s">
        <v>1594</v>
      </c>
      <c r="N818" s="30" t="s">
        <v>1712</v>
      </c>
      <c r="P818" s="30" t="s">
        <v>4759</v>
      </c>
      <c r="Q818" t="s">
        <v>619</v>
      </c>
      <c r="R818" t="s">
        <v>918</v>
      </c>
      <c r="S818">
        <v>37</v>
      </c>
      <c r="T818" s="29" t="str">
        <f>HYPERLINK("https://ictv.global/ictv/proposals/2021.010B.R.Binomial_names.zip","2021.010B.R.Binomial_names.zip")</f>
        <v>2021.010B.R.Binomial_names.zip</v>
      </c>
      <c r="U818" s="29" t="str">
        <f>HYPERLINK("https://ictv.global/taxonomy/taxondetails?taxnode_id=202308263","ictv.global=202308263")</f>
        <v>ictv.global=202308263</v>
      </c>
    </row>
    <row r="819" spans="1:21">
      <c r="A819">
        <v>818</v>
      </c>
      <c r="B819" s="30" t="s">
        <v>1587</v>
      </c>
      <c r="D819" s="30" t="s">
        <v>1588</v>
      </c>
      <c r="F819" s="30" t="s">
        <v>1591</v>
      </c>
      <c r="H819" s="30" t="s">
        <v>1592</v>
      </c>
      <c r="L819" s="30" t="s">
        <v>1594</v>
      </c>
      <c r="N819" s="30" t="s">
        <v>1713</v>
      </c>
      <c r="P819" s="30" t="s">
        <v>4760</v>
      </c>
      <c r="Q819" t="s">
        <v>619</v>
      </c>
      <c r="R819" t="s">
        <v>918</v>
      </c>
      <c r="S819">
        <v>37</v>
      </c>
      <c r="T819" s="29" t="str">
        <f>HYPERLINK("https://ictv.global/ictv/proposals/2021.010B.R.Binomial_names.zip","2021.010B.R.Binomial_names.zip")</f>
        <v>2021.010B.R.Binomial_names.zip</v>
      </c>
      <c r="U819" s="29" t="str">
        <f>HYPERLINK("https://ictv.global/taxonomy/taxondetails?taxnode_id=202308261","ictv.global=202308261")</f>
        <v>ictv.global=202308261</v>
      </c>
    </row>
    <row r="820" spans="1:21">
      <c r="A820">
        <v>819</v>
      </c>
      <c r="B820" s="30" t="s">
        <v>1587</v>
      </c>
      <c r="D820" s="30" t="s">
        <v>1588</v>
      </c>
      <c r="F820" s="30" t="s">
        <v>1591</v>
      </c>
      <c r="H820" s="30" t="s">
        <v>1592</v>
      </c>
      <c r="L820" s="30" t="s">
        <v>1594</v>
      </c>
      <c r="N820" s="30" t="s">
        <v>1714</v>
      </c>
      <c r="P820" s="30" t="s">
        <v>1715</v>
      </c>
      <c r="Q820" t="s">
        <v>619</v>
      </c>
      <c r="R820" t="s">
        <v>919</v>
      </c>
      <c r="S820">
        <v>37</v>
      </c>
      <c r="T820" s="29" t="str">
        <f>HYPERLINK("https://ictv.global/ictv/proposals/2021.001B.R.abolish_Caudovirales.zip","2021.001B.R.abolish_Caudovirales.zip")</f>
        <v>2021.001B.R.abolish_Caudovirales.zip</v>
      </c>
      <c r="U820" s="29" t="str">
        <f>HYPERLINK("https://ictv.global/taxonomy/taxondetails?taxnode_id=202308300","ictv.global=202308300")</f>
        <v>ictv.global=202308300</v>
      </c>
    </row>
    <row r="821" spans="1:21">
      <c r="A821">
        <v>820</v>
      </c>
      <c r="B821" s="30" t="s">
        <v>1587</v>
      </c>
      <c r="D821" s="30" t="s">
        <v>1588</v>
      </c>
      <c r="F821" s="30" t="s">
        <v>1591</v>
      </c>
      <c r="H821" s="30" t="s">
        <v>1592</v>
      </c>
      <c r="L821" s="30" t="s">
        <v>1594</v>
      </c>
      <c r="N821" s="30" t="s">
        <v>1401</v>
      </c>
      <c r="P821" s="30" t="s">
        <v>4761</v>
      </c>
      <c r="Q821" t="s">
        <v>619</v>
      </c>
      <c r="R821" t="s">
        <v>918</v>
      </c>
      <c r="S821">
        <v>37</v>
      </c>
      <c r="T821" s="29" t="str">
        <f>HYPERLINK("https://ictv.global/ictv/proposals/2021.010B.R.Binomial_names.zip","2021.010B.R.Binomial_names.zip")</f>
        <v>2021.010B.R.Binomial_names.zip</v>
      </c>
      <c r="U821" s="29" t="str">
        <f>HYPERLINK("https://ictv.global/taxonomy/taxondetails?taxnode_id=202306861","ictv.global=202306861")</f>
        <v>ictv.global=202306861</v>
      </c>
    </row>
    <row r="822" spans="1:21">
      <c r="A822">
        <v>821</v>
      </c>
      <c r="B822" s="30" t="s">
        <v>1587</v>
      </c>
      <c r="D822" s="30" t="s">
        <v>1588</v>
      </c>
      <c r="F822" s="30" t="s">
        <v>1591</v>
      </c>
      <c r="H822" s="30" t="s">
        <v>1592</v>
      </c>
      <c r="L822" s="30" t="s">
        <v>1594</v>
      </c>
      <c r="N822" s="30" t="s">
        <v>1716</v>
      </c>
      <c r="P822" s="30" t="s">
        <v>4762</v>
      </c>
      <c r="Q822" t="s">
        <v>619</v>
      </c>
      <c r="R822" t="s">
        <v>918</v>
      </c>
      <c r="S822">
        <v>37</v>
      </c>
      <c r="T822" s="29" t="str">
        <f>HYPERLINK("https://ictv.global/ictv/proposals/2021.010B.R.Binomial_names.zip","2021.010B.R.Binomial_names.zip")</f>
        <v>2021.010B.R.Binomial_names.zip</v>
      </c>
      <c r="U822" s="29" t="str">
        <f>HYPERLINK("https://ictv.global/taxonomy/taxondetails?taxnode_id=202308202","ictv.global=202308202")</f>
        <v>ictv.global=202308202</v>
      </c>
    </row>
    <row r="823" spans="1:21">
      <c r="A823">
        <v>822</v>
      </c>
      <c r="B823" s="30" t="s">
        <v>1587</v>
      </c>
      <c r="D823" s="30" t="s">
        <v>1588</v>
      </c>
      <c r="F823" s="30" t="s">
        <v>1591</v>
      </c>
      <c r="H823" s="30" t="s">
        <v>1592</v>
      </c>
      <c r="L823" s="30" t="s">
        <v>1594</v>
      </c>
      <c r="N823" s="30" t="s">
        <v>1717</v>
      </c>
      <c r="P823" s="30" t="s">
        <v>1718</v>
      </c>
      <c r="Q823" t="s">
        <v>619</v>
      </c>
      <c r="R823" t="s">
        <v>919</v>
      </c>
      <c r="S823">
        <v>37</v>
      </c>
      <c r="T823" s="29" t="str">
        <f>HYPERLINK("https://ictv.global/ictv/proposals/2021.001B.R.abolish_Caudovirales.zip","2021.001B.R.abolish_Caudovirales.zip")</f>
        <v>2021.001B.R.abolish_Caudovirales.zip</v>
      </c>
      <c r="U823" s="29" t="str">
        <f>HYPERLINK("https://ictv.global/taxonomy/taxondetails?taxnode_id=202308272","ictv.global=202308272")</f>
        <v>ictv.global=202308272</v>
      </c>
    </row>
    <row r="824" spans="1:21">
      <c r="A824">
        <v>823</v>
      </c>
      <c r="B824" s="30" t="s">
        <v>1587</v>
      </c>
      <c r="D824" s="30" t="s">
        <v>1588</v>
      </c>
      <c r="F824" s="30" t="s">
        <v>1591</v>
      </c>
      <c r="H824" s="30" t="s">
        <v>1592</v>
      </c>
      <c r="L824" s="30" t="s">
        <v>1594</v>
      </c>
      <c r="N824" s="30" t="s">
        <v>851</v>
      </c>
      <c r="P824" s="30" t="s">
        <v>4763</v>
      </c>
      <c r="Q824" t="s">
        <v>619</v>
      </c>
      <c r="R824" t="s">
        <v>918</v>
      </c>
      <c r="S824">
        <v>37</v>
      </c>
      <c r="T824" s="29" t="str">
        <f t="shared" ref="T824:T832" si="33">HYPERLINK("https://ictv.global/ictv/proposals/2021.010B.R.Binomial_names.zip","2021.010B.R.Binomial_names.zip")</f>
        <v>2021.010B.R.Binomial_names.zip</v>
      </c>
      <c r="U824" s="29" t="str">
        <f>HYPERLINK("https://ictv.global/taxonomy/taxondetails?taxnode_id=202300573","ictv.global=202300573")</f>
        <v>ictv.global=202300573</v>
      </c>
    </row>
    <row r="825" spans="1:21">
      <c r="A825">
        <v>824</v>
      </c>
      <c r="B825" s="30" t="s">
        <v>1587</v>
      </c>
      <c r="D825" s="30" t="s">
        <v>1588</v>
      </c>
      <c r="F825" s="30" t="s">
        <v>1591</v>
      </c>
      <c r="H825" s="30" t="s">
        <v>1592</v>
      </c>
      <c r="L825" s="30" t="s">
        <v>1594</v>
      </c>
      <c r="N825" s="30" t="s">
        <v>851</v>
      </c>
      <c r="P825" s="30" t="s">
        <v>4764</v>
      </c>
      <c r="Q825" t="s">
        <v>619</v>
      </c>
      <c r="R825" t="s">
        <v>918</v>
      </c>
      <c r="S825">
        <v>37</v>
      </c>
      <c r="T825" s="29" t="str">
        <f t="shared" si="33"/>
        <v>2021.010B.R.Binomial_names.zip</v>
      </c>
      <c r="U825" s="29" t="str">
        <f>HYPERLINK("https://ictv.global/taxonomy/taxondetails?taxnode_id=202300574","ictv.global=202300574")</f>
        <v>ictv.global=202300574</v>
      </c>
    </row>
    <row r="826" spans="1:21">
      <c r="A826">
        <v>825</v>
      </c>
      <c r="B826" s="30" t="s">
        <v>1587</v>
      </c>
      <c r="D826" s="30" t="s">
        <v>1588</v>
      </c>
      <c r="F826" s="30" t="s">
        <v>1591</v>
      </c>
      <c r="H826" s="30" t="s">
        <v>1592</v>
      </c>
      <c r="L826" s="30" t="s">
        <v>1594</v>
      </c>
      <c r="N826" s="30" t="s">
        <v>851</v>
      </c>
      <c r="P826" s="30" t="s">
        <v>4765</v>
      </c>
      <c r="Q826" t="s">
        <v>619</v>
      </c>
      <c r="R826" t="s">
        <v>918</v>
      </c>
      <c r="S826">
        <v>37</v>
      </c>
      <c r="T826" s="29" t="str">
        <f t="shared" si="33"/>
        <v>2021.010B.R.Binomial_names.zip</v>
      </c>
      <c r="U826" s="29" t="str">
        <f>HYPERLINK("https://ictv.global/taxonomy/taxondetails?taxnode_id=202300575","ictv.global=202300575")</f>
        <v>ictv.global=202300575</v>
      </c>
    </row>
    <row r="827" spans="1:21">
      <c r="A827">
        <v>826</v>
      </c>
      <c r="B827" s="30" t="s">
        <v>1587</v>
      </c>
      <c r="D827" s="30" t="s">
        <v>1588</v>
      </c>
      <c r="F827" s="30" t="s">
        <v>1591</v>
      </c>
      <c r="H827" s="30" t="s">
        <v>1592</v>
      </c>
      <c r="L827" s="30" t="s">
        <v>1594</v>
      </c>
      <c r="N827" s="30" t="s">
        <v>851</v>
      </c>
      <c r="P827" s="30" t="s">
        <v>4766</v>
      </c>
      <c r="Q827" t="s">
        <v>619</v>
      </c>
      <c r="R827" t="s">
        <v>918</v>
      </c>
      <c r="S827">
        <v>37</v>
      </c>
      <c r="T827" s="29" t="str">
        <f t="shared" si="33"/>
        <v>2021.010B.R.Binomial_names.zip</v>
      </c>
      <c r="U827" s="29" t="str">
        <f>HYPERLINK("https://ictv.global/taxonomy/taxondetails?taxnode_id=202308242","ictv.global=202308242")</f>
        <v>ictv.global=202308242</v>
      </c>
    </row>
    <row r="828" spans="1:21">
      <c r="A828">
        <v>827</v>
      </c>
      <c r="B828" s="30" t="s">
        <v>1587</v>
      </c>
      <c r="D828" s="30" t="s">
        <v>1588</v>
      </c>
      <c r="F828" s="30" t="s">
        <v>1591</v>
      </c>
      <c r="H828" s="30" t="s">
        <v>1592</v>
      </c>
      <c r="L828" s="30" t="s">
        <v>1594</v>
      </c>
      <c r="N828" s="30" t="s">
        <v>851</v>
      </c>
      <c r="P828" s="30" t="s">
        <v>4767</v>
      </c>
      <c r="Q828" t="s">
        <v>619</v>
      </c>
      <c r="R828" t="s">
        <v>918</v>
      </c>
      <c r="S828">
        <v>37</v>
      </c>
      <c r="T828" s="29" t="str">
        <f t="shared" si="33"/>
        <v>2021.010B.R.Binomial_names.zip</v>
      </c>
      <c r="U828" s="29" t="str">
        <f>HYPERLINK("https://ictv.global/taxonomy/taxondetails?taxnode_id=202308243","ictv.global=202308243")</f>
        <v>ictv.global=202308243</v>
      </c>
    </row>
    <row r="829" spans="1:21">
      <c r="A829">
        <v>828</v>
      </c>
      <c r="B829" s="30" t="s">
        <v>1587</v>
      </c>
      <c r="D829" s="30" t="s">
        <v>1588</v>
      </c>
      <c r="F829" s="30" t="s">
        <v>1591</v>
      </c>
      <c r="H829" s="30" t="s">
        <v>1592</v>
      </c>
      <c r="L829" s="30" t="s">
        <v>1594</v>
      </c>
      <c r="N829" s="30" t="s">
        <v>1719</v>
      </c>
      <c r="P829" s="30" t="s">
        <v>4768</v>
      </c>
      <c r="Q829" t="s">
        <v>619</v>
      </c>
      <c r="R829" t="s">
        <v>918</v>
      </c>
      <c r="S829">
        <v>37</v>
      </c>
      <c r="T829" s="29" t="str">
        <f t="shared" si="33"/>
        <v>2021.010B.R.Binomial_names.zip</v>
      </c>
      <c r="U829" s="29" t="str">
        <f>HYPERLINK("https://ictv.global/taxonomy/taxondetails?taxnode_id=202308280","ictv.global=202308280")</f>
        <v>ictv.global=202308280</v>
      </c>
    </row>
    <row r="830" spans="1:21">
      <c r="A830">
        <v>829</v>
      </c>
      <c r="B830" s="30" t="s">
        <v>1587</v>
      </c>
      <c r="D830" s="30" t="s">
        <v>1588</v>
      </c>
      <c r="F830" s="30" t="s">
        <v>1591</v>
      </c>
      <c r="H830" s="30" t="s">
        <v>1592</v>
      </c>
      <c r="L830" s="30" t="s">
        <v>1594</v>
      </c>
      <c r="N830" s="30" t="s">
        <v>1720</v>
      </c>
      <c r="P830" s="30" t="s">
        <v>4769</v>
      </c>
      <c r="Q830" t="s">
        <v>619</v>
      </c>
      <c r="R830" t="s">
        <v>918</v>
      </c>
      <c r="S830">
        <v>37</v>
      </c>
      <c r="T830" s="29" t="str">
        <f t="shared" si="33"/>
        <v>2021.010B.R.Binomial_names.zip</v>
      </c>
      <c r="U830" s="29" t="str">
        <f>HYPERLINK("https://ictv.global/taxonomy/taxondetails?taxnode_id=202308269","ictv.global=202308269")</f>
        <v>ictv.global=202308269</v>
      </c>
    </row>
    <row r="831" spans="1:21">
      <c r="A831">
        <v>830</v>
      </c>
      <c r="B831" s="30" t="s">
        <v>1587</v>
      </c>
      <c r="D831" s="30" t="s">
        <v>1588</v>
      </c>
      <c r="F831" s="30" t="s">
        <v>1591</v>
      </c>
      <c r="H831" s="30" t="s">
        <v>1592</v>
      </c>
      <c r="L831" s="30" t="s">
        <v>1594</v>
      </c>
      <c r="N831" s="30" t="s">
        <v>1721</v>
      </c>
      <c r="P831" s="30" t="s">
        <v>4770</v>
      </c>
      <c r="Q831" t="s">
        <v>619</v>
      </c>
      <c r="R831" t="s">
        <v>918</v>
      </c>
      <c r="S831">
        <v>37</v>
      </c>
      <c r="T831" s="29" t="str">
        <f t="shared" si="33"/>
        <v>2021.010B.R.Binomial_names.zip</v>
      </c>
      <c r="U831" s="29" t="str">
        <f>HYPERLINK("https://ictv.global/taxonomy/taxondetails?taxnode_id=202308219","ictv.global=202308219")</f>
        <v>ictv.global=202308219</v>
      </c>
    </row>
    <row r="832" spans="1:21">
      <c r="A832">
        <v>831</v>
      </c>
      <c r="B832" s="30" t="s">
        <v>1587</v>
      </c>
      <c r="D832" s="30" t="s">
        <v>1588</v>
      </c>
      <c r="F832" s="30" t="s">
        <v>1591</v>
      </c>
      <c r="H832" s="30" t="s">
        <v>1592</v>
      </c>
      <c r="L832" s="30" t="s">
        <v>1594</v>
      </c>
      <c r="N832" s="30" t="s">
        <v>1722</v>
      </c>
      <c r="P832" s="30" t="s">
        <v>4771</v>
      </c>
      <c r="Q832" t="s">
        <v>619</v>
      </c>
      <c r="R832" t="s">
        <v>918</v>
      </c>
      <c r="S832">
        <v>37</v>
      </c>
      <c r="T832" s="29" t="str">
        <f t="shared" si="33"/>
        <v>2021.010B.R.Binomial_names.zip</v>
      </c>
      <c r="U832" s="29" t="str">
        <f>HYPERLINK("https://ictv.global/taxonomy/taxondetails?taxnode_id=202308499","ictv.global=202308499")</f>
        <v>ictv.global=202308499</v>
      </c>
    </row>
    <row r="833" spans="1:21">
      <c r="A833">
        <v>832</v>
      </c>
      <c r="B833" s="30" t="s">
        <v>1587</v>
      </c>
      <c r="D833" s="30" t="s">
        <v>1588</v>
      </c>
      <c r="F833" s="30" t="s">
        <v>1591</v>
      </c>
      <c r="H833" s="30" t="s">
        <v>1592</v>
      </c>
      <c r="L833" s="30" t="s">
        <v>1594</v>
      </c>
      <c r="N833" s="30" t="s">
        <v>1723</v>
      </c>
      <c r="P833" s="30" t="s">
        <v>1724</v>
      </c>
      <c r="Q833" t="s">
        <v>619</v>
      </c>
      <c r="R833" t="s">
        <v>919</v>
      </c>
      <c r="S833">
        <v>37</v>
      </c>
      <c r="T833" s="29" t="str">
        <f>HYPERLINK("https://ictv.global/ictv/proposals/2021.001B.R.abolish_Caudovirales.zip","2021.001B.R.abolish_Caudovirales.zip")</f>
        <v>2021.001B.R.abolish_Caudovirales.zip</v>
      </c>
      <c r="U833" s="29" t="str">
        <f>HYPERLINK("https://ictv.global/taxonomy/taxondetails?taxnode_id=202308328","ictv.global=202308328")</f>
        <v>ictv.global=202308328</v>
      </c>
    </row>
    <row r="834" spans="1:21">
      <c r="A834">
        <v>833</v>
      </c>
      <c r="B834" s="30" t="s">
        <v>1587</v>
      </c>
      <c r="D834" s="30" t="s">
        <v>1588</v>
      </c>
      <c r="F834" s="30" t="s">
        <v>1591</v>
      </c>
      <c r="H834" s="30" t="s">
        <v>1592</v>
      </c>
      <c r="L834" s="30" t="s">
        <v>1594</v>
      </c>
      <c r="N834" s="30" t="s">
        <v>1725</v>
      </c>
      <c r="P834" s="30" t="s">
        <v>4772</v>
      </c>
      <c r="Q834" t="s">
        <v>619</v>
      </c>
      <c r="R834" t="s">
        <v>918</v>
      </c>
      <c r="S834">
        <v>37</v>
      </c>
      <c r="T834" s="29" t="str">
        <f>HYPERLINK("https://ictv.global/ictv/proposals/2021.010B.R.Binomial_names.zip","2021.010B.R.Binomial_names.zip")</f>
        <v>2021.010B.R.Binomial_names.zip</v>
      </c>
      <c r="U834" s="29" t="str">
        <f>HYPERLINK("https://ictv.global/taxonomy/taxondetails?taxnode_id=202308503","ictv.global=202308503")</f>
        <v>ictv.global=202308503</v>
      </c>
    </row>
    <row r="835" spans="1:21">
      <c r="A835">
        <v>834</v>
      </c>
      <c r="B835" s="30" t="s">
        <v>1587</v>
      </c>
      <c r="D835" s="30" t="s">
        <v>1588</v>
      </c>
      <c r="F835" s="30" t="s">
        <v>1591</v>
      </c>
      <c r="H835" s="30" t="s">
        <v>1592</v>
      </c>
      <c r="L835" s="30" t="s">
        <v>1594</v>
      </c>
      <c r="N835" s="30" t="s">
        <v>1726</v>
      </c>
      <c r="P835" s="30" t="s">
        <v>1727</v>
      </c>
      <c r="Q835" t="s">
        <v>619</v>
      </c>
      <c r="R835" t="s">
        <v>919</v>
      </c>
      <c r="S835">
        <v>37</v>
      </c>
      <c r="T835" s="29" t="str">
        <f>HYPERLINK("https://ictv.global/ictv/proposals/2021.001B.R.abolish_Caudovirales.zip","2021.001B.R.abolish_Caudovirales.zip")</f>
        <v>2021.001B.R.abolish_Caudovirales.zip</v>
      </c>
      <c r="U835" s="29" t="str">
        <f>HYPERLINK("https://ictv.global/taxonomy/taxondetails?taxnode_id=202308290","ictv.global=202308290")</f>
        <v>ictv.global=202308290</v>
      </c>
    </row>
    <row r="836" spans="1:21">
      <c r="A836">
        <v>835</v>
      </c>
      <c r="B836" s="30" t="s">
        <v>1587</v>
      </c>
      <c r="D836" s="30" t="s">
        <v>1588</v>
      </c>
      <c r="F836" s="30" t="s">
        <v>1591</v>
      </c>
      <c r="H836" s="30" t="s">
        <v>1592</v>
      </c>
      <c r="L836" s="30" t="s">
        <v>1594</v>
      </c>
      <c r="N836" s="30" t="s">
        <v>1728</v>
      </c>
      <c r="P836" s="30" t="s">
        <v>4773</v>
      </c>
      <c r="Q836" t="s">
        <v>619</v>
      </c>
      <c r="R836" t="s">
        <v>918</v>
      </c>
      <c r="S836">
        <v>37</v>
      </c>
      <c r="T836" s="29" t="str">
        <f>HYPERLINK("https://ictv.global/ictv/proposals/2021.010B.R.Binomial_names.zip","2021.010B.R.Binomial_names.zip")</f>
        <v>2021.010B.R.Binomial_names.zip</v>
      </c>
      <c r="U836" s="29" t="str">
        <f>HYPERLINK("https://ictv.global/taxonomy/taxondetails?taxnode_id=202308251","ictv.global=202308251")</f>
        <v>ictv.global=202308251</v>
      </c>
    </row>
    <row r="837" spans="1:21">
      <c r="A837">
        <v>836</v>
      </c>
      <c r="B837" s="30" t="s">
        <v>1587</v>
      </c>
      <c r="D837" s="30" t="s">
        <v>1588</v>
      </c>
      <c r="F837" s="30" t="s">
        <v>1591</v>
      </c>
      <c r="H837" s="30" t="s">
        <v>1592</v>
      </c>
      <c r="L837" s="30" t="s">
        <v>1594</v>
      </c>
      <c r="N837" s="30" t="s">
        <v>1729</v>
      </c>
      <c r="P837" s="30" t="s">
        <v>1730</v>
      </c>
      <c r="Q837" t="s">
        <v>619</v>
      </c>
      <c r="R837" t="s">
        <v>919</v>
      </c>
      <c r="S837">
        <v>37</v>
      </c>
      <c r="T837" s="29" t="str">
        <f>HYPERLINK("https://ictv.global/ictv/proposals/2021.001B.R.abolish_Caudovirales.zip","2021.001B.R.abolish_Caudovirales.zip")</f>
        <v>2021.001B.R.abolish_Caudovirales.zip</v>
      </c>
      <c r="U837" s="29" t="str">
        <f>HYPERLINK("https://ictv.global/taxonomy/taxondetails?taxnode_id=202308255","ictv.global=202308255")</f>
        <v>ictv.global=202308255</v>
      </c>
    </row>
    <row r="838" spans="1:21">
      <c r="A838">
        <v>837</v>
      </c>
      <c r="B838" s="30" t="s">
        <v>1587</v>
      </c>
      <c r="D838" s="30" t="s">
        <v>1588</v>
      </c>
      <c r="F838" s="30" t="s">
        <v>1591</v>
      </c>
      <c r="H838" s="30" t="s">
        <v>1592</v>
      </c>
      <c r="L838" s="30" t="s">
        <v>1594</v>
      </c>
      <c r="N838" s="30" t="s">
        <v>1731</v>
      </c>
      <c r="P838" s="30" t="s">
        <v>4774</v>
      </c>
      <c r="Q838" t="s">
        <v>619</v>
      </c>
      <c r="R838" t="s">
        <v>918</v>
      </c>
      <c r="S838">
        <v>37</v>
      </c>
      <c r="T838" s="29" t="str">
        <f t="shared" ref="T838:T846" si="34">HYPERLINK("https://ictv.global/ictv/proposals/2021.010B.R.Binomial_names.zip","2021.010B.R.Binomial_names.zip")</f>
        <v>2021.010B.R.Binomial_names.zip</v>
      </c>
      <c r="U838" s="29" t="str">
        <f>HYPERLINK("https://ictv.global/taxonomy/taxondetails?taxnode_id=202308221","ictv.global=202308221")</f>
        <v>ictv.global=202308221</v>
      </c>
    </row>
    <row r="839" spans="1:21">
      <c r="A839">
        <v>838</v>
      </c>
      <c r="B839" s="30" t="s">
        <v>1587</v>
      </c>
      <c r="D839" s="30" t="s">
        <v>1588</v>
      </c>
      <c r="F839" s="30" t="s">
        <v>1591</v>
      </c>
      <c r="H839" s="30" t="s">
        <v>1592</v>
      </c>
      <c r="L839" s="30" t="s">
        <v>1594</v>
      </c>
      <c r="N839" s="30" t="s">
        <v>1731</v>
      </c>
      <c r="P839" s="30" t="s">
        <v>4775</v>
      </c>
      <c r="Q839" t="s">
        <v>619</v>
      </c>
      <c r="R839" t="s">
        <v>918</v>
      </c>
      <c r="S839">
        <v>37</v>
      </c>
      <c r="T839" s="29" t="str">
        <f t="shared" si="34"/>
        <v>2021.010B.R.Binomial_names.zip</v>
      </c>
      <c r="U839" s="29" t="str">
        <f>HYPERLINK("https://ictv.global/taxonomy/taxondetails?taxnode_id=202308222","ictv.global=202308222")</f>
        <v>ictv.global=202308222</v>
      </c>
    </row>
    <row r="840" spans="1:21">
      <c r="A840">
        <v>839</v>
      </c>
      <c r="B840" s="30" t="s">
        <v>1587</v>
      </c>
      <c r="D840" s="30" t="s">
        <v>1588</v>
      </c>
      <c r="F840" s="30" t="s">
        <v>1591</v>
      </c>
      <c r="H840" s="30" t="s">
        <v>1592</v>
      </c>
      <c r="L840" s="30" t="s">
        <v>1594</v>
      </c>
      <c r="N840" s="30" t="s">
        <v>1731</v>
      </c>
      <c r="P840" s="30" t="s">
        <v>4776</v>
      </c>
      <c r="Q840" t="s">
        <v>619</v>
      </c>
      <c r="R840" t="s">
        <v>918</v>
      </c>
      <c r="S840">
        <v>37</v>
      </c>
      <c r="T840" s="29" t="str">
        <f t="shared" si="34"/>
        <v>2021.010B.R.Binomial_names.zip</v>
      </c>
      <c r="U840" s="29" t="str">
        <f>HYPERLINK("https://ictv.global/taxonomy/taxondetails?taxnode_id=202308223","ictv.global=202308223")</f>
        <v>ictv.global=202308223</v>
      </c>
    </row>
    <row r="841" spans="1:21">
      <c r="A841">
        <v>840</v>
      </c>
      <c r="B841" s="30" t="s">
        <v>1587</v>
      </c>
      <c r="D841" s="30" t="s">
        <v>1588</v>
      </c>
      <c r="F841" s="30" t="s">
        <v>1591</v>
      </c>
      <c r="H841" s="30" t="s">
        <v>1592</v>
      </c>
      <c r="L841" s="30" t="s">
        <v>1594</v>
      </c>
      <c r="N841" s="30" t="s">
        <v>1732</v>
      </c>
      <c r="P841" s="30" t="s">
        <v>4777</v>
      </c>
      <c r="Q841" t="s">
        <v>619</v>
      </c>
      <c r="R841" t="s">
        <v>918</v>
      </c>
      <c r="S841">
        <v>37</v>
      </c>
      <c r="T841" s="29" t="str">
        <f t="shared" si="34"/>
        <v>2021.010B.R.Binomial_names.zip</v>
      </c>
      <c r="U841" s="29" t="str">
        <f>HYPERLINK("https://ictv.global/taxonomy/taxondetails?taxnode_id=202308306","ictv.global=202308306")</f>
        <v>ictv.global=202308306</v>
      </c>
    </row>
    <row r="842" spans="1:21">
      <c r="A842">
        <v>841</v>
      </c>
      <c r="B842" s="30" t="s">
        <v>1587</v>
      </c>
      <c r="D842" s="30" t="s">
        <v>1588</v>
      </c>
      <c r="F842" s="30" t="s">
        <v>1591</v>
      </c>
      <c r="H842" s="30" t="s">
        <v>1592</v>
      </c>
      <c r="L842" s="30" t="s">
        <v>1594</v>
      </c>
      <c r="N842" s="30" t="s">
        <v>1733</v>
      </c>
      <c r="P842" s="30" t="s">
        <v>4778</v>
      </c>
      <c r="Q842" t="s">
        <v>619</v>
      </c>
      <c r="R842" t="s">
        <v>918</v>
      </c>
      <c r="S842">
        <v>37</v>
      </c>
      <c r="T842" s="29" t="str">
        <f t="shared" si="34"/>
        <v>2021.010B.R.Binomial_names.zip</v>
      </c>
      <c r="U842" s="29" t="str">
        <f>HYPERLINK("https://ictv.global/taxonomy/taxondetails?taxnode_id=202300587","ictv.global=202300587")</f>
        <v>ictv.global=202300587</v>
      </c>
    </row>
    <row r="843" spans="1:21">
      <c r="A843">
        <v>842</v>
      </c>
      <c r="B843" s="30" t="s">
        <v>1587</v>
      </c>
      <c r="D843" s="30" t="s">
        <v>1588</v>
      </c>
      <c r="F843" s="30" t="s">
        <v>1591</v>
      </c>
      <c r="H843" s="30" t="s">
        <v>1592</v>
      </c>
      <c r="L843" s="30" t="s">
        <v>1594</v>
      </c>
      <c r="N843" s="30" t="s">
        <v>1734</v>
      </c>
      <c r="P843" s="30" t="s">
        <v>4779</v>
      </c>
      <c r="Q843" t="s">
        <v>619</v>
      </c>
      <c r="R843" t="s">
        <v>918</v>
      </c>
      <c r="S843">
        <v>37</v>
      </c>
      <c r="T843" s="29" t="str">
        <f t="shared" si="34"/>
        <v>2021.010B.R.Binomial_names.zip</v>
      </c>
      <c r="U843" s="29" t="str">
        <f>HYPERLINK("https://ictv.global/taxonomy/taxondetails?taxnode_id=202300588","ictv.global=202300588")</f>
        <v>ictv.global=202300588</v>
      </c>
    </row>
    <row r="844" spans="1:21">
      <c r="A844">
        <v>843</v>
      </c>
      <c r="B844" s="30" t="s">
        <v>1587</v>
      </c>
      <c r="D844" s="30" t="s">
        <v>1588</v>
      </c>
      <c r="F844" s="30" t="s">
        <v>1591</v>
      </c>
      <c r="H844" s="30" t="s">
        <v>1592</v>
      </c>
      <c r="L844" s="30" t="s">
        <v>1594</v>
      </c>
      <c r="N844" s="30" t="s">
        <v>1735</v>
      </c>
      <c r="P844" s="30" t="s">
        <v>4780</v>
      </c>
      <c r="Q844" t="s">
        <v>619</v>
      </c>
      <c r="R844" t="s">
        <v>918</v>
      </c>
      <c r="S844">
        <v>37</v>
      </c>
      <c r="T844" s="29" t="str">
        <f t="shared" si="34"/>
        <v>2021.010B.R.Binomial_names.zip</v>
      </c>
      <c r="U844" s="29" t="str">
        <f>HYPERLINK("https://ictv.global/taxonomy/taxondetails?taxnode_id=202308205","ictv.global=202308205")</f>
        <v>ictv.global=202308205</v>
      </c>
    </row>
    <row r="845" spans="1:21">
      <c r="A845">
        <v>844</v>
      </c>
      <c r="B845" s="30" t="s">
        <v>1587</v>
      </c>
      <c r="D845" s="30" t="s">
        <v>1588</v>
      </c>
      <c r="F845" s="30" t="s">
        <v>1591</v>
      </c>
      <c r="H845" s="30" t="s">
        <v>1592</v>
      </c>
      <c r="L845" s="30" t="s">
        <v>1594</v>
      </c>
      <c r="N845" s="30" t="s">
        <v>1735</v>
      </c>
      <c r="P845" s="30" t="s">
        <v>4781</v>
      </c>
      <c r="Q845" t="s">
        <v>619</v>
      </c>
      <c r="R845" t="s">
        <v>918</v>
      </c>
      <c r="S845">
        <v>37</v>
      </c>
      <c r="T845" s="29" t="str">
        <f t="shared" si="34"/>
        <v>2021.010B.R.Binomial_names.zip</v>
      </c>
      <c r="U845" s="29" t="str">
        <f>HYPERLINK("https://ictv.global/taxonomy/taxondetails?taxnode_id=202308204","ictv.global=202308204")</f>
        <v>ictv.global=202308204</v>
      </c>
    </row>
    <row r="846" spans="1:21">
      <c r="A846">
        <v>845</v>
      </c>
      <c r="B846" s="30" t="s">
        <v>1587</v>
      </c>
      <c r="D846" s="30" t="s">
        <v>1588</v>
      </c>
      <c r="F846" s="30" t="s">
        <v>1591</v>
      </c>
      <c r="H846" s="30" t="s">
        <v>1592</v>
      </c>
      <c r="L846" s="30" t="s">
        <v>1594</v>
      </c>
      <c r="N846" s="30" t="s">
        <v>1736</v>
      </c>
      <c r="P846" s="30" t="s">
        <v>4782</v>
      </c>
      <c r="Q846" t="s">
        <v>619</v>
      </c>
      <c r="R846" t="s">
        <v>918</v>
      </c>
      <c r="S846">
        <v>37</v>
      </c>
      <c r="T846" s="29" t="str">
        <f t="shared" si="34"/>
        <v>2021.010B.R.Binomial_names.zip</v>
      </c>
      <c r="U846" s="29" t="str">
        <f>HYPERLINK("https://ictv.global/taxonomy/taxondetails?taxnode_id=202300589","ictv.global=202300589")</f>
        <v>ictv.global=202300589</v>
      </c>
    </row>
    <row r="847" spans="1:21">
      <c r="A847">
        <v>846</v>
      </c>
      <c r="B847" s="30" t="s">
        <v>1587</v>
      </c>
      <c r="D847" s="30" t="s">
        <v>1588</v>
      </c>
      <c r="F847" s="30" t="s">
        <v>1591</v>
      </c>
      <c r="H847" s="30" t="s">
        <v>1592</v>
      </c>
      <c r="L847" s="30" t="s">
        <v>1594</v>
      </c>
      <c r="N847" s="30" t="s">
        <v>1737</v>
      </c>
      <c r="P847" s="30" t="s">
        <v>1738</v>
      </c>
      <c r="Q847" t="s">
        <v>619</v>
      </c>
      <c r="R847" t="s">
        <v>919</v>
      </c>
      <c r="S847">
        <v>37</v>
      </c>
      <c r="T847" s="29" t="str">
        <f>HYPERLINK("https://ictv.global/ictv/proposals/2021.001B.R.abolish_Caudovirales.zip","2021.001B.R.abolish_Caudovirales.zip")</f>
        <v>2021.001B.R.abolish_Caudovirales.zip</v>
      </c>
      <c r="U847" s="29" t="str">
        <f>HYPERLINK("https://ictv.global/taxonomy/taxondetails?taxnode_id=202308282","ictv.global=202308282")</f>
        <v>ictv.global=202308282</v>
      </c>
    </row>
    <row r="848" spans="1:21">
      <c r="A848">
        <v>847</v>
      </c>
      <c r="B848" s="30" t="s">
        <v>1587</v>
      </c>
      <c r="D848" s="30" t="s">
        <v>1588</v>
      </c>
      <c r="F848" s="30" t="s">
        <v>1591</v>
      </c>
      <c r="H848" s="30" t="s">
        <v>1592</v>
      </c>
      <c r="L848" s="30" t="s">
        <v>1594</v>
      </c>
      <c r="N848" s="30" t="s">
        <v>1739</v>
      </c>
      <c r="P848" s="30" t="s">
        <v>4783</v>
      </c>
      <c r="Q848" t="s">
        <v>619</v>
      </c>
      <c r="R848" t="s">
        <v>918</v>
      </c>
      <c r="S848">
        <v>37</v>
      </c>
      <c r="T848" s="29" t="str">
        <f>HYPERLINK("https://ictv.global/ictv/proposals/2021.010B.R.Binomial_names.zip","2021.010B.R.Binomial_names.zip")</f>
        <v>2021.010B.R.Binomial_names.zip</v>
      </c>
      <c r="U848" s="29" t="str">
        <f>HYPERLINK("https://ictv.global/taxonomy/taxondetails?taxnode_id=202300569","ictv.global=202300569")</f>
        <v>ictv.global=202300569</v>
      </c>
    </row>
    <row r="849" spans="1:21">
      <c r="A849">
        <v>848</v>
      </c>
      <c r="B849" s="30" t="s">
        <v>1587</v>
      </c>
      <c r="D849" s="30" t="s">
        <v>1588</v>
      </c>
      <c r="F849" s="30" t="s">
        <v>1591</v>
      </c>
      <c r="H849" s="30" t="s">
        <v>1592</v>
      </c>
      <c r="L849" s="30" t="s">
        <v>1594</v>
      </c>
      <c r="N849" s="30" t="s">
        <v>1740</v>
      </c>
      <c r="P849" s="30" t="s">
        <v>4784</v>
      </c>
      <c r="Q849" t="s">
        <v>619</v>
      </c>
      <c r="R849" t="s">
        <v>918</v>
      </c>
      <c r="S849">
        <v>37</v>
      </c>
      <c r="T849" s="29" t="str">
        <f>HYPERLINK("https://ictv.global/ictv/proposals/2021.010B.R.Binomial_names.zip","2021.010B.R.Binomial_names.zip")</f>
        <v>2021.010B.R.Binomial_names.zip</v>
      </c>
      <c r="U849" s="29" t="str">
        <f>HYPERLINK("https://ictv.global/taxonomy/taxondetails?taxnode_id=202308195","ictv.global=202308195")</f>
        <v>ictv.global=202308195</v>
      </c>
    </row>
    <row r="850" spans="1:21">
      <c r="A850">
        <v>849</v>
      </c>
      <c r="B850" s="30" t="s">
        <v>1587</v>
      </c>
      <c r="D850" s="30" t="s">
        <v>1588</v>
      </c>
      <c r="F850" s="30" t="s">
        <v>1591</v>
      </c>
      <c r="H850" s="30" t="s">
        <v>1592</v>
      </c>
      <c r="L850" s="30" t="s">
        <v>1594</v>
      </c>
      <c r="N850" s="30" t="s">
        <v>1740</v>
      </c>
      <c r="P850" s="30" t="s">
        <v>4785</v>
      </c>
      <c r="Q850" t="s">
        <v>619</v>
      </c>
      <c r="R850" t="s">
        <v>918</v>
      </c>
      <c r="S850">
        <v>37</v>
      </c>
      <c r="T850" s="29" t="str">
        <f>HYPERLINK("https://ictv.global/ictv/proposals/2021.010B.R.Binomial_names.zip","2021.010B.R.Binomial_names.zip")</f>
        <v>2021.010B.R.Binomial_names.zip</v>
      </c>
      <c r="U850" s="29" t="str">
        <f>HYPERLINK("https://ictv.global/taxonomy/taxondetails?taxnode_id=202308194","ictv.global=202308194")</f>
        <v>ictv.global=202308194</v>
      </c>
    </row>
    <row r="851" spans="1:21">
      <c r="A851">
        <v>850</v>
      </c>
      <c r="B851" s="30" t="s">
        <v>1587</v>
      </c>
      <c r="D851" s="30" t="s">
        <v>1588</v>
      </c>
      <c r="F851" s="30" t="s">
        <v>1591</v>
      </c>
      <c r="H851" s="30" t="s">
        <v>1592</v>
      </c>
      <c r="L851" s="30" t="s">
        <v>1594</v>
      </c>
      <c r="N851" s="30" t="s">
        <v>4786</v>
      </c>
      <c r="P851" s="30" t="s">
        <v>4787</v>
      </c>
      <c r="Q851" t="s">
        <v>619</v>
      </c>
      <c r="R851" t="s">
        <v>917</v>
      </c>
      <c r="S851">
        <v>38</v>
      </c>
      <c r="T851" s="29" t="str">
        <f>HYPERLINK("https://ictv.global/ictv/proposals/2022.095B.Youngvirus_ng.zip","2022.095B.Youngvirus_ng.zip")</f>
        <v>2022.095B.Youngvirus_ng.zip</v>
      </c>
      <c r="U851" s="29" t="str">
        <f>HYPERLINK("https://ictv.global/taxonomy/taxondetails?taxnode_id=202314978","ictv.global=202314978")</f>
        <v>ictv.global=202314978</v>
      </c>
    </row>
    <row r="852" spans="1:21">
      <c r="A852">
        <v>851</v>
      </c>
      <c r="B852" s="30" t="s">
        <v>1587</v>
      </c>
      <c r="D852" s="30" t="s">
        <v>1588</v>
      </c>
      <c r="F852" s="30" t="s">
        <v>1591</v>
      </c>
      <c r="H852" s="30" t="s">
        <v>1592</v>
      </c>
      <c r="L852" s="30" t="s">
        <v>4788</v>
      </c>
      <c r="N852" s="30" t="s">
        <v>1454</v>
      </c>
      <c r="P852" s="30" t="s">
        <v>1455</v>
      </c>
      <c r="Q852" t="s">
        <v>619</v>
      </c>
      <c r="R852" t="s">
        <v>919</v>
      </c>
      <c r="S852">
        <v>37</v>
      </c>
      <c r="T852" s="29" t="str">
        <f>HYPERLINK("https://ictv.global/ictv/proposals/2021.001B.R.abolish_Caudovirales.zip","2021.001B.R.abolish_Caudovirales.zip;2021.015B.A.v1.Casjensviridae.zip")</f>
        <v>2021.001B.R.abolish_Caudovirales.zip;2021.015B.A.v1.Casjensviridae.zip</v>
      </c>
      <c r="U852" s="29" t="str">
        <f>HYPERLINK("https://ictv.global/taxonomy/taxondetails?taxnode_id=202306759","ictv.global=202306759")</f>
        <v>ictv.global=202306759</v>
      </c>
    </row>
    <row r="853" spans="1:21">
      <c r="A853">
        <v>852</v>
      </c>
      <c r="B853" s="30" t="s">
        <v>1587</v>
      </c>
      <c r="D853" s="30" t="s">
        <v>1588</v>
      </c>
      <c r="F853" s="30" t="s">
        <v>1591</v>
      </c>
      <c r="H853" s="30" t="s">
        <v>1592</v>
      </c>
      <c r="L853" s="30" t="s">
        <v>4788</v>
      </c>
      <c r="N853" s="30" t="s">
        <v>4789</v>
      </c>
      <c r="P853" s="30" t="s">
        <v>4790</v>
      </c>
      <c r="Q853" t="s">
        <v>619</v>
      </c>
      <c r="R853" t="s">
        <v>917</v>
      </c>
      <c r="S853">
        <v>37</v>
      </c>
      <c r="T853" s="29" t="str">
        <f>HYPERLINK("https://ictv.global/ictv/proposals/2021.015B.R.Casjensviridae.zip","2021.015B.R.Casjensviridae.zip")</f>
        <v>2021.015B.R.Casjensviridae.zip</v>
      </c>
      <c r="U853" s="29" t="str">
        <f>HYPERLINK("https://ictv.global/taxonomy/taxondetails?taxnode_id=202312990","ictv.global=202312990")</f>
        <v>ictv.global=202312990</v>
      </c>
    </row>
    <row r="854" spans="1:21">
      <c r="A854">
        <v>853</v>
      </c>
      <c r="B854" s="30" t="s">
        <v>1587</v>
      </c>
      <c r="D854" s="30" t="s">
        <v>1588</v>
      </c>
      <c r="F854" s="30" t="s">
        <v>1591</v>
      </c>
      <c r="H854" s="30" t="s">
        <v>1592</v>
      </c>
      <c r="L854" s="30" t="s">
        <v>4788</v>
      </c>
      <c r="N854" s="30" t="s">
        <v>4791</v>
      </c>
      <c r="P854" s="30" t="s">
        <v>4792</v>
      </c>
      <c r="Q854" t="s">
        <v>619</v>
      </c>
      <c r="R854" t="s">
        <v>917</v>
      </c>
      <c r="S854">
        <v>37</v>
      </c>
      <c r="T854" s="29" t="str">
        <f>HYPERLINK("https://ictv.global/ictv/proposals/2021.015B.R.Casjensviridae.zip","2021.015B.R.Casjensviridae.zip")</f>
        <v>2021.015B.R.Casjensviridae.zip</v>
      </c>
      <c r="U854" s="29" t="str">
        <f>HYPERLINK("https://ictv.global/taxonomy/taxondetails?taxnode_id=202313003","ictv.global=202313003")</f>
        <v>ictv.global=202313003</v>
      </c>
    </row>
    <row r="855" spans="1:21">
      <c r="A855">
        <v>854</v>
      </c>
      <c r="B855" s="30" t="s">
        <v>1587</v>
      </c>
      <c r="D855" s="30" t="s">
        <v>1588</v>
      </c>
      <c r="F855" s="30" t="s">
        <v>1591</v>
      </c>
      <c r="H855" s="30" t="s">
        <v>1592</v>
      </c>
      <c r="L855" s="30" t="s">
        <v>4788</v>
      </c>
      <c r="N855" s="30" t="s">
        <v>687</v>
      </c>
      <c r="P855" s="30" t="s">
        <v>4793</v>
      </c>
      <c r="Q855" t="s">
        <v>619</v>
      </c>
      <c r="R855" t="s">
        <v>918</v>
      </c>
      <c r="S855">
        <v>37</v>
      </c>
      <c r="T855" s="29" t="str">
        <f>HYPERLINK("https://ictv.global/ictv/proposals/2021.010B.R.Binomial_names.zip","2021.010B.R.Binomial_names.zip")</f>
        <v>2021.010B.R.Binomial_names.zip</v>
      </c>
      <c r="U855" s="29" t="str">
        <f>HYPERLINK("https://ictv.global/taxonomy/taxondetails?taxnode_id=202309872","ictv.global=202309872")</f>
        <v>ictv.global=202309872</v>
      </c>
    </row>
    <row r="856" spans="1:21">
      <c r="A856">
        <v>855</v>
      </c>
      <c r="B856" s="30" t="s">
        <v>1587</v>
      </c>
      <c r="D856" s="30" t="s">
        <v>1588</v>
      </c>
      <c r="F856" s="30" t="s">
        <v>1591</v>
      </c>
      <c r="H856" s="30" t="s">
        <v>1592</v>
      </c>
      <c r="L856" s="30" t="s">
        <v>4788</v>
      </c>
      <c r="N856" s="30" t="s">
        <v>687</v>
      </c>
      <c r="P856" s="30" t="s">
        <v>4794</v>
      </c>
      <c r="Q856" t="s">
        <v>619</v>
      </c>
      <c r="R856" t="s">
        <v>918</v>
      </c>
      <c r="S856">
        <v>37</v>
      </c>
      <c r="T856" s="29" t="str">
        <f>HYPERLINK("https://ictv.global/ictv/proposals/2021.010B.R.Binomial_names.zip","2021.010B.R.Binomial_names.zip")</f>
        <v>2021.010B.R.Binomial_names.zip</v>
      </c>
      <c r="U856" s="29" t="str">
        <f>HYPERLINK("https://ictv.global/taxonomy/taxondetails?taxnode_id=202300924","ictv.global=202300924")</f>
        <v>ictv.global=202300924</v>
      </c>
    </row>
    <row r="857" spans="1:21">
      <c r="A857">
        <v>856</v>
      </c>
      <c r="B857" s="30" t="s">
        <v>1587</v>
      </c>
      <c r="D857" s="30" t="s">
        <v>1588</v>
      </c>
      <c r="F857" s="30" t="s">
        <v>1591</v>
      </c>
      <c r="H857" s="30" t="s">
        <v>1592</v>
      </c>
      <c r="L857" s="30" t="s">
        <v>4788</v>
      </c>
      <c r="N857" s="30" t="s">
        <v>687</v>
      </c>
      <c r="P857" s="30" t="s">
        <v>4795</v>
      </c>
      <c r="Q857" t="s">
        <v>619</v>
      </c>
      <c r="R857" t="s">
        <v>918</v>
      </c>
      <c r="S857">
        <v>37</v>
      </c>
      <c r="T857" s="29" t="str">
        <f>HYPERLINK("https://ictv.global/ictv/proposals/2021.010B.R.Binomial_names.zip","2021.010B.R.Binomial_names.zip")</f>
        <v>2021.010B.R.Binomial_names.zip</v>
      </c>
      <c r="U857" s="29" t="str">
        <f>HYPERLINK("https://ictv.global/taxonomy/taxondetails?taxnode_id=202309868","ictv.global=202309868")</f>
        <v>ictv.global=202309868</v>
      </c>
    </row>
    <row r="858" spans="1:21">
      <c r="A858">
        <v>857</v>
      </c>
      <c r="B858" s="30" t="s">
        <v>1587</v>
      </c>
      <c r="D858" s="30" t="s">
        <v>1588</v>
      </c>
      <c r="F858" s="30" t="s">
        <v>1591</v>
      </c>
      <c r="H858" s="30" t="s">
        <v>1592</v>
      </c>
      <c r="L858" s="30" t="s">
        <v>4788</v>
      </c>
      <c r="N858" s="30" t="s">
        <v>687</v>
      </c>
      <c r="P858" s="30" t="s">
        <v>4796</v>
      </c>
      <c r="Q858" t="s">
        <v>619</v>
      </c>
      <c r="R858" t="s">
        <v>918</v>
      </c>
      <c r="S858">
        <v>37</v>
      </c>
      <c r="T858" s="29" t="str">
        <f>HYPERLINK("https://ictv.global/ictv/proposals/2021.010B.R.Binomial_names.zip","2021.010B.R.Binomial_names.zip")</f>
        <v>2021.010B.R.Binomial_names.zip</v>
      </c>
      <c r="U858" s="29" t="str">
        <f>HYPERLINK("https://ictv.global/taxonomy/taxondetails?taxnode_id=202309866","ictv.global=202309866")</f>
        <v>ictv.global=202309866</v>
      </c>
    </row>
    <row r="859" spans="1:21">
      <c r="A859">
        <v>858</v>
      </c>
      <c r="B859" s="30" t="s">
        <v>1587</v>
      </c>
      <c r="D859" s="30" t="s">
        <v>1588</v>
      </c>
      <c r="F859" s="30" t="s">
        <v>1591</v>
      </c>
      <c r="H859" s="30" t="s">
        <v>1592</v>
      </c>
      <c r="L859" s="30" t="s">
        <v>4788</v>
      </c>
      <c r="N859" s="30" t="s">
        <v>687</v>
      </c>
      <c r="P859" s="30" t="s">
        <v>4797</v>
      </c>
      <c r="Q859" t="s">
        <v>619</v>
      </c>
      <c r="R859" t="s">
        <v>918</v>
      </c>
      <c r="S859">
        <v>37</v>
      </c>
      <c r="T859" s="29" t="str">
        <f>HYPERLINK("https://ictv.global/ictv/proposals/2021.010B.R.Binomial_names.zip","2021.010B.R.Binomial_names.zip")</f>
        <v>2021.010B.R.Binomial_names.zip</v>
      </c>
      <c r="U859" s="29" t="str">
        <f>HYPERLINK("https://ictv.global/taxonomy/taxondetails?taxnode_id=202309871","ictv.global=202309871")</f>
        <v>ictv.global=202309871</v>
      </c>
    </row>
    <row r="860" spans="1:21">
      <c r="A860">
        <v>859</v>
      </c>
      <c r="B860" s="30" t="s">
        <v>1587</v>
      </c>
      <c r="D860" s="30" t="s">
        <v>1588</v>
      </c>
      <c r="F860" s="30" t="s">
        <v>1591</v>
      </c>
      <c r="H860" s="30" t="s">
        <v>1592</v>
      </c>
      <c r="L860" s="30" t="s">
        <v>4788</v>
      </c>
      <c r="N860" s="30" t="s">
        <v>687</v>
      </c>
      <c r="P860" s="30" t="s">
        <v>4798</v>
      </c>
      <c r="Q860" t="s">
        <v>619</v>
      </c>
      <c r="R860" t="s">
        <v>917</v>
      </c>
      <c r="S860">
        <v>37</v>
      </c>
      <c r="T860" s="29" t="str">
        <f>HYPERLINK("https://ictv.global/ictv/proposals/2021.015B.R.Casjensviridae.zip","2021.015B.R.Casjensviridae.zip")</f>
        <v>2021.015B.R.Casjensviridae.zip</v>
      </c>
      <c r="U860" s="29" t="str">
        <f>HYPERLINK("https://ictv.global/taxonomy/taxondetails?taxnode_id=202312987","ictv.global=202312987")</f>
        <v>ictv.global=202312987</v>
      </c>
    </row>
    <row r="861" spans="1:21">
      <c r="A861">
        <v>860</v>
      </c>
      <c r="B861" s="30" t="s">
        <v>1587</v>
      </c>
      <c r="D861" s="30" t="s">
        <v>1588</v>
      </c>
      <c r="F861" s="30" t="s">
        <v>1591</v>
      </c>
      <c r="H861" s="30" t="s">
        <v>1592</v>
      </c>
      <c r="L861" s="30" t="s">
        <v>4788</v>
      </c>
      <c r="N861" s="30" t="s">
        <v>687</v>
      </c>
      <c r="P861" s="30" t="s">
        <v>4799</v>
      </c>
      <c r="Q861" t="s">
        <v>619</v>
      </c>
      <c r="R861" t="s">
        <v>918</v>
      </c>
      <c r="S861">
        <v>37</v>
      </c>
      <c r="T861" s="29" t="str">
        <f>HYPERLINK("https://ictv.global/ictv/proposals/2021.010B.R.Binomial_names.zip","2021.010B.R.Binomial_names.zip")</f>
        <v>2021.010B.R.Binomial_names.zip</v>
      </c>
      <c r="U861" s="29" t="str">
        <f>HYPERLINK("https://ictv.global/taxonomy/taxondetails?taxnode_id=202300925","ictv.global=202300925")</f>
        <v>ictv.global=202300925</v>
      </c>
    </row>
    <row r="862" spans="1:21">
      <c r="A862">
        <v>861</v>
      </c>
      <c r="B862" s="30" t="s">
        <v>1587</v>
      </c>
      <c r="D862" s="30" t="s">
        <v>1588</v>
      </c>
      <c r="F862" s="30" t="s">
        <v>1591</v>
      </c>
      <c r="H862" s="30" t="s">
        <v>1592</v>
      </c>
      <c r="L862" s="30" t="s">
        <v>4788</v>
      </c>
      <c r="N862" s="30" t="s">
        <v>687</v>
      </c>
      <c r="P862" s="30" t="s">
        <v>4800</v>
      </c>
      <c r="Q862" t="s">
        <v>619</v>
      </c>
      <c r="R862" t="s">
        <v>918</v>
      </c>
      <c r="S862">
        <v>37</v>
      </c>
      <c r="T862" s="29" t="str">
        <f>HYPERLINK("https://ictv.global/ictv/proposals/2021.010B.R.Binomial_names.zip","2021.010B.R.Binomial_names.zip")</f>
        <v>2021.010B.R.Binomial_names.zip</v>
      </c>
      <c r="U862" s="29" t="str">
        <f>HYPERLINK("https://ictv.global/taxonomy/taxondetails?taxnode_id=202300926","ictv.global=202300926")</f>
        <v>ictv.global=202300926</v>
      </c>
    </row>
    <row r="863" spans="1:21">
      <c r="A863">
        <v>862</v>
      </c>
      <c r="B863" s="30" t="s">
        <v>1587</v>
      </c>
      <c r="D863" s="30" t="s">
        <v>1588</v>
      </c>
      <c r="F863" s="30" t="s">
        <v>1591</v>
      </c>
      <c r="H863" s="30" t="s">
        <v>1592</v>
      </c>
      <c r="L863" s="30" t="s">
        <v>4788</v>
      </c>
      <c r="N863" s="30" t="s">
        <v>687</v>
      </c>
      <c r="P863" s="30" t="s">
        <v>4801</v>
      </c>
      <c r="Q863" t="s">
        <v>619</v>
      </c>
      <c r="R863" t="s">
        <v>918</v>
      </c>
      <c r="S863">
        <v>37</v>
      </c>
      <c r="T863" s="29" t="str">
        <f>HYPERLINK("https://ictv.global/ictv/proposals/2021.010B.R.Binomial_names.zip","2021.010B.R.Binomial_names.zip")</f>
        <v>2021.010B.R.Binomial_names.zip</v>
      </c>
      <c r="U863" s="29" t="str">
        <f>HYPERLINK("https://ictv.global/taxonomy/taxondetails?taxnode_id=202300927","ictv.global=202300927")</f>
        <v>ictv.global=202300927</v>
      </c>
    </row>
    <row r="864" spans="1:21">
      <c r="A864">
        <v>863</v>
      </c>
      <c r="B864" s="30" t="s">
        <v>1587</v>
      </c>
      <c r="D864" s="30" t="s">
        <v>1588</v>
      </c>
      <c r="F864" s="30" t="s">
        <v>1591</v>
      </c>
      <c r="H864" s="30" t="s">
        <v>1592</v>
      </c>
      <c r="L864" s="30" t="s">
        <v>4788</v>
      </c>
      <c r="N864" s="30" t="s">
        <v>687</v>
      </c>
      <c r="P864" s="30" t="s">
        <v>4802</v>
      </c>
      <c r="Q864" t="s">
        <v>619</v>
      </c>
      <c r="R864" t="s">
        <v>918</v>
      </c>
      <c r="S864">
        <v>37</v>
      </c>
      <c r="T864" s="29" t="str">
        <f>HYPERLINK("https://ictv.global/ictv/proposals/2021.010B.R.Binomial_names.zip","2021.010B.R.Binomial_names.zip")</f>
        <v>2021.010B.R.Binomial_names.zip</v>
      </c>
      <c r="U864" s="29" t="str">
        <f>HYPERLINK("https://ictv.global/taxonomy/taxondetails?taxnode_id=202309869","ictv.global=202309869")</f>
        <v>ictv.global=202309869</v>
      </c>
    </row>
    <row r="865" spans="1:21">
      <c r="A865">
        <v>864</v>
      </c>
      <c r="B865" s="30" t="s">
        <v>1587</v>
      </c>
      <c r="D865" s="30" t="s">
        <v>1588</v>
      </c>
      <c r="F865" s="30" t="s">
        <v>1591</v>
      </c>
      <c r="H865" s="30" t="s">
        <v>1592</v>
      </c>
      <c r="L865" s="30" t="s">
        <v>4788</v>
      </c>
      <c r="N865" s="30" t="s">
        <v>687</v>
      </c>
      <c r="P865" s="30" t="s">
        <v>4803</v>
      </c>
      <c r="Q865" t="s">
        <v>619</v>
      </c>
      <c r="R865" t="s">
        <v>917</v>
      </c>
      <c r="S865">
        <v>37</v>
      </c>
      <c r="T865" s="29" t="str">
        <f>HYPERLINK("https://ictv.global/ictv/proposals/2021.015B.R.Casjensviridae.zip","2021.015B.R.Casjensviridae.zip")</f>
        <v>2021.015B.R.Casjensviridae.zip</v>
      </c>
      <c r="U865" s="29" t="str">
        <f>HYPERLINK("https://ictv.global/taxonomy/taxondetails?taxnode_id=202312986","ictv.global=202312986")</f>
        <v>ictv.global=202312986</v>
      </c>
    </row>
    <row r="866" spans="1:21">
      <c r="A866">
        <v>865</v>
      </c>
      <c r="B866" s="30" t="s">
        <v>1587</v>
      </c>
      <c r="D866" s="30" t="s">
        <v>1588</v>
      </c>
      <c r="F866" s="30" t="s">
        <v>1591</v>
      </c>
      <c r="H866" s="30" t="s">
        <v>1592</v>
      </c>
      <c r="L866" s="30" t="s">
        <v>4788</v>
      </c>
      <c r="N866" s="30" t="s">
        <v>687</v>
      </c>
      <c r="P866" s="30" t="s">
        <v>4804</v>
      </c>
      <c r="Q866" t="s">
        <v>619</v>
      </c>
      <c r="R866" t="s">
        <v>917</v>
      </c>
      <c r="S866">
        <v>37</v>
      </c>
      <c r="T866" s="29" t="str">
        <f>HYPERLINK("https://ictv.global/ictv/proposals/2021.015B.R.Casjensviridae.zip","2021.015B.R.Casjensviridae.zip")</f>
        <v>2021.015B.R.Casjensviridae.zip</v>
      </c>
      <c r="U866" s="29" t="str">
        <f>HYPERLINK("https://ictv.global/taxonomy/taxondetails?taxnode_id=202312988","ictv.global=202312988")</f>
        <v>ictv.global=202312988</v>
      </c>
    </row>
    <row r="867" spans="1:21">
      <c r="A867">
        <v>866</v>
      </c>
      <c r="B867" s="30" t="s">
        <v>1587</v>
      </c>
      <c r="D867" s="30" t="s">
        <v>1588</v>
      </c>
      <c r="F867" s="30" t="s">
        <v>1591</v>
      </c>
      <c r="H867" s="30" t="s">
        <v>1592</v>
      </c>
      <c r="L867" s="30" t="s">
        <v>4788</v>
      </c>
      <c r="N867" s="30" t="s">
        <v>687</v>
      </c>
      <c r="P867" s="30" t="s">
        <v>4805</v>
      </c>
      <c r="Q867" t="s">
        <v>619</v>
      </c>
      <c r="R867" t="s">
        <v>918</v>
      </c>
      <c r="S867">
        <v>37</v>
      </c>
      <c r="T867" s="29" t="str">
        <f>HYPERLINK("https://ictv.global/ictv/proposals/2021.010B.R.Binomial_names.zip","2021.010B.R.Binomial_names.zip")</f>
        <v>2021.010B.R.Binomial_names.zip</v>
      </c>
      <c r="U867" s="29" t="str">
        <f>HYPERLINK("https://ictv.global/taxonomy/taxondetails?taxnode_id=202309873","ictv.global=202309873")</f>
        <v>ictv.global=202309873</v>
      </c>
    </row>
    <row r="868" spans="1:21">
      <c r="A868">
        <v>867</v>
      </c>
      <c r="B868" s="30" t="s">
        <v>1587</v>
      </c>
      <c r="D868" s="30" t="s">
        <v>1588</v>
      </c>
      <c r="F868" s="30" t="s">
        <v>1591</v>
      </c>
      <c r="H868" s="30" t="s">
        <v>1592</v>
      </c>
      <c r="L868" s="30" t="s">
        <v>4788</v>
      </c>
      <c r="N868" s="30" t="s">
        <v>687</v>
      </c>
      <c r="P868" s="30" t="s">
        <v>4806</v>
      </c>
      <c r="Q868" t="s">
        <v>619</v>
      </c>
      <c r="R868" t="s">
        <v>918</v>
      </c>
      <c r="S868">
        <v>37</v>
      </c>
      <c r="T868" s="29" t="str">
        <f>HYPERLINK("https://ictv.global/ictv/proposals/2021.010B.R.Binomial_names.zip","2021.010B.R.Binomial_names.zip")</f>
        <v>2021.010B.R.Binomial_names.zip</v>
      </c>
      <c r="U868" s="29" t="str">
        <f>HYPERLINK("https://ictv.global/taxonomy/taxondetails?taxnode_id=202300928","ictv.global=202300928")</f>
        <v>ictv.global=202300928</v>
      </c>
    </row>
    <row r="869" spans="1:21">
      <c r="A869">
        <v>868</v>
      </c>
      <c r="B869" s="30" t="s">
        <v>1587</v>
      </c>
      <c r="D869" s="30" t="s">
        <v>1588</v>
      </c>
      <c r="F869" s="30" t="s">
        <v>1591</v>
      </c>
      <c r="H869" s="30" t="s">
        <v>1592</v>
      </c>
      <c r="L869" s="30" t="s">
        <v>4788</v>
      </c>
      <c r="N869" s="30" t="s">
        <v>687</v>
      </c>
      <c r="P869" s="30" t="s">
        <v>4807</v>
      </c>
      <c r="Q869" t="s">
        <v>619</v>
      </c>
      <c r="R869" t="s">
        <v>918</v>
      </c>
      <c r="S869">
        <v>37</v>
      </c>
      <c r="T869" s="29" t="str">
        <f>HYPERLINK("https://ictv.global/ictv/proposals/2021.010B.R.Binomial_names.zip","2021.010B.R.Binomial_names.zip")</f>
        <v>2021.010B.R.Binomial_names.zip</v>
      </c>
      <c r="U869" s="29" t="str">
        <f>HYPERLINK("https://ictv.global/taxonomy/taxondetails?taxnode_id=202309867","ictv.global=202309867")</f>
        <v>ictv.global=202309867</v>
      </c>
    </row>
    <row r="870" spans="1:21">
      <c r="A870">
        <v>869</v>
      </c>
      <c r="B870" s="30" t="s">
        <v>1587</v>
      </c>
      <c r="D870" s="30" t="s">
        <v>1588</v>
      </c>
      <c r="F870" s="30" t="s">
        <v>1591</v>
      </c>
      <c r="H870" s="30" t="s">
        <v>1592</v>
      </c>
      <c r="L870" s="30" t="s">
        <v>4788</v>
      </c>
      <c r="N870" s="30" t="s">
        <v>687</v>
      </c>
      <c r="P870" s="30" t="s">
        <v>4808</v>
      </c>
      <c r="Q870" t="s">
        <v>619</v>
      </c>
      <c r="R870" t="s">
        <v>918</v>
      </c>
      <c r="S870">
        <v>37</v>
      </c>
      <c r="T870" s="29" t="str">
        <f>HYPERLINK("https://ictv.global/ictv/proposals/2021.010B.R.Binomial_names.zip","2021.010B.R.Binomial_names.zip")</f>
        <v>2021.010B.R.Binomial_names.zip</v>
      </c>
      <c r="U870" s="29" t="str">
        <f>HYPERLINK("https://ictv.global/taxonomy/taxondetails?taxnode_id=202309874","ictv.global=202309874")</f>
        <v>ictv.global=202309874</v>
      </c>
    </row>
    <row r="871" spans="1:21">
      <c r="A871">
        <v>870</v>
      </c>
      <c r="B871" s="30" t="s">
        <v>1587</v>
      </c>
      <c r="D871" s="30" t="s">
        <v>1588</v>
      </c>
      <c r="F871" s="30" t="s">
        <v>1591</v>
      </c>
      <c r="H871" s="30" t="s">
        <v>1592</v>
      </c>
      <c r="L871" s="30" t="s">
        <v>4788</v>
      </c>
      <c r="N871" s="30" t="s">
        <v>687</v>
      </c>
      <c r="P871" s="30" t="s">
        <v>2422</v>
      </c>
      <c r="Q871" t="s">
        <v>619</v>
      </c>
      <c r="R871" t="s">
        <v>919</v>
      </c>
      <c r="S871">
        <v>37</v>
      </c>
      <c r="T871" s="29" t="str">
        <f>HYPERLINK("https://ictv.global/ictv/proposals/2021.001B.R.abolish_Caudovirales.zip","2021.001B.R.abolish_Caudovirales.zip;2021.015B.A.v1.Casjensviridae.zip")</f>
        <v>2021.001B.R.abolish_Caudovirales.zip;2021.015B.A.v1.Casjensviridae.zip</v>
      </c>
      <c r="U871" s="29" t="str">
        <f>HYPERLINK("https://ictv.global/taxonomy/taxondetails?taxnode_id=202309870","ictv.global=202309870")</f>
        <v>ictv.global=202309870</v>
      </c>
    </row>
    <row r="872" spans="1:21">
      <c r="A872">
        <v>871</v>
      </c>
      <c r="B872" s="30" t="s">
        <v>1587</v>
      </c>
      <c r="D872" s="30" t="s">
        <v>1588</v>
      </c>
      <c r="F872" s="30" t="s">
        <v>1591</v>
      </c>
      <c r="H872" s="30" t="s">
        <v>1592</v>
      </c>
      <c r="L872" s="30" t="s">
        <v>4788</v>
      </c>
      <c r="N872" s="30" t="s">
        <v>4809</v>
      </c>
      <c r="P872" s="30" t="s">
        <v>4810</v>
      </c>
      <c r="Q872" t="s">
        <v>619</v>
      </c>
      <c r="R872" t="s">
        <v>917</v>
      </c>
      <c r="S872">
        <v>37</v>
      </c>
      <c r="T872" s="29" t="str">
        <f t="shared" ref="T872:T882" si="35">HYPERLINK("https://ictv.global/ictv/proposals/2021.015B.R.Casjensviridae.zip","2021.015B.R.Casjensviridae.zip")</f>
        <v>2021.015B.R.Casjensviridae.zip</v>
      </c>
      <c r="U872" s="29" t="str">
        <f>HYPERLINK("https://ictv.global/taxonomy/taxondetails?taxnode_id=202313023","ictv.global=202313023")</f>
        <v>ictv.global=202313023</v>
      </c>
    </row>
    <row r="873" spans="1:21">
      <c r="A873">
        <v>872</v>
      </c>
      <c r="B873" s="30" t="s">
        <v>1587</v>
      </c>
      <c r="D873" s="30" t="s">
        <v>1588</v>
      </c>
      <c r="F873" s="30" t="s">
        <v>1591</v>
      </c>
      <c r="H873" s="30" t="s">
        <v>1592</v>
      </c>
      <c r="L873" s="30" t="s">
        <v>4788</v>
      </c>
      <c r="N873" s="30" t="s">
        <v>4811</v>
      </c>
      <c r="P873" s="30" t="s">
        <v>4812</v>
      </c>
      <c r="Q873" t="s">
        <v>619</v>
      </c>
      <c r="R873" t="s">
        <v>917</v>
      </c>
      <c r="S873">
        <v>37</v>
      </c>
      <c r="T873" s="29" t="str">
        <f t="shared" si="35"/>
        <v>2021.015B.R.Casjensviridae.zip</v>
      </c>
      <c r="U873" s="29" t="str">
        <f>HYPERLINK("https://ictv.global/taxonomy/taxondetails?taxnode_id=202313033","ictv.global=202313033")</f>
        <v>ictv.global=202313033</v>
      </c>
    </row>
    <row r="874" spans="1:21">
      <c r="A874">
        <v>873</v>
      </c>
      <c r="B874" s="30" t="s">
        <v>1587</v>
      </c>
      <c r="D874" s="30" t="s">
        <v>1588</v>
      </c>
      <c r="F874" s="30" t="s">
        <v>1591</v>
      </c>
      <c r="H874" s="30" t="s">
        <v>1592</v>
      </c>
      <c r="L874" s="30" t="s">
        <v>4788</v>
      </c>
      <c r="N874" s="30" t="s">
        <v>4813</v>
      </c>
      <c r="P874" s="30" t="s">
        <v>4814</v>
      </c>
      <c r="Q874" t="s">
        <v>619</v>
      </c>
      <c r="R874" t="s">
        <v>917</v>
      </c>
      <c r="S874">
        <v>37</v>
      </c>
      <c r="T874" s="29" t="str">
        <f t="shared" si="35"/>
        <v>2021.015B.R.Casjensviridae.zip</v>
      </c>
      <c r="U874" s="29" t="str">
        <f>HYPERLINK("https://ictv.global/taxonomy/taxondetails?taxnode_id=202313027","ictv.global=202313027")</f>
        <v>ictv.global=202313027</v>
      </c>
    </row>
    <row r="875" spans="1:21">
      <c r="A875">
        <v>874</v>
      </c>
      <c r="B875" s="30" t="s">
        <v>1587</v>
      </c>
      <c r="D875" s="30" t="s">
        <v>1588</v>
      </c>
      <c r="F875" s="30" t="s">
        <v>1591</v>
      </c>
      <c r="H875" s="30" t="s">
        <v>1592</v>
      </c>
      <c r="L875" s="30" t="s">
        <v>4788</v>
      </c>
      <c r="N875" s="30" t="s">
        <v>4815</v>
      </c>
      <c r="P875" s="30" t="s">
        <v>4816</v>
      </c>
      <c r="Q875" t="s">
        <v>619</v>
      </c>
      <c r="R875" t="s">
        <v>917</v>
      </c>
      <c r="S875">
        <v>37</v>
      </c>
      <c r="T875" s="29" t="str">
        <f t="shared" si="35"/>
        <v>2021.015B.R.Casjensviridae.zip</v>
      </c>
      <c r="U875" s="29" t="str">
        <f>HYPERLINK("https://ictv.global/taxonomy/taxondetails?taxnode_id=202312996","ictv.global=202312996")</f>
        <v>ictv.global=202312996</v>
      </c>
    </row>
    <row r="876" spans="1:21">
      <c r="A876">
        <v>875</v>
      </c>
      <c r="B876" s="30" t="s">
        <v>1587</v>
      </c>
      <c r="D876" s="30" t="s">
        <v>1588</v>
      </c>
      <c r="F876" s="30" t="s">
        <v>1591</v>
      </c>
      <c r="H876" s="30" t="s">
        <v>1592</v>
      </c>
      <c r="L876" s="30" t="s">
        <v>4788</v>
      </c>
      <c r="N876" s="30" t="s">
        <v>4817</v>
      </c>
      <c r="P876" s="30" t="s">
        <v>4818</v>
      </c>
      <c r="Q876" t="s">
        <v>619</v>
      </c>
      <c r="R876" t="s">
        <v>917</v>
      </c>
      <c r="S876">
        <v>37</v>
      </c>
      <c r="T876" s="29" t="str">
        <f t="shared" si="35"/>
        <v>2021.015B.R.Casjensviridae.zip</v>
      </c>
      <c r="U876" s="29" t="str">
        <f>HYPERLINK("https://ictv.global/taxonomy/taxondetails?taxnode_id=202313025","ictv.global=202313025")</f>
        <v>ictv.global=202313025</v>
      </c>
    </row>
    <row r="877" spans="1:21">
      <c r="A877">
        <v>876</v>
      </c>
      <c r="B877" s="30" t="s">
        <v>1587</v>
      </c>
      <c r="D877" s="30" t="s">
        <v>1588</v>
      </c>
      <c r="F877" s="30" t="s">
        <v>1591</v>
      </c>
      <c r="H877" s="30" t="s">
        <v>1592</v>
      </c>
      <c r="L877" s="30" t="s">
        <v>4788</v>
      </c>
      <c r="N877" s="30" t="s">
        <v>4819</v>
      </c>
      <c r="P877" s="30" t="s">
        <v>4820</v>
      </c>
      <c r="Q877" t="s">
        <v>619</v>
      </c>
      <c r="R877" t="s">
        <v>917</v>
      </c>
      <c r="S877">
        <v>37</v>
      </c>
      <c r="T877" s="29" t="str">
        <f t="shared" si="35"/>
        <v>2021.015B.R.Casjensviridae.zip</v>
      </c>
      <c r="U877" s="29" t="str">
        <f>HYPERLINK("https://ictv.global/taxonomy/taxondetails?taxnode_id=202313015","ictv.global=202313015")</f>
        <v>ictv.global=202313015</v>
      </c>
    </row>
    <row r="878" spans="1:21">
      <c r="A878">
        <v>877</v>
      </c>
      <c r="B878" s="30" t="s">
        <v>1587</v>
      </c>
      <c r="D878" s="30" t="s">
        <v>1588</v>
      </c>
      <c r="F878" s="30" t="s">
        <v>1591</v>
      </c>
      <c r="H878" s="30" t="s">
        <v>1592</v>
      </c>
      <c r="L878" s="30" t="s">
        <v>4788</v>
      </c>
      <c r="N878" s="30" t="s">
        <v>4821</v>
      </c>
      <c r="P878" s="30" t="s">
        <v>4822</v>
      </c>
      <c r="Q878" t="s">
        <v>619</v>
      </c>
      <c r="R878" t="s">
        <v>917</v>
      </c>
      <c r="S878">
        <v>37</v>
      </c>
      <c r="T878" s="29" t="str">
        <f t="shared" si="35"/>
        <v>2021.015B.R.Casjensviridae.zip</v>
      </c>
      <c r="U878" s="29" t="str">
        <f>HYPERLINK("https://ictv.global/taxonomy/taxondetails?taxnode_id=202313005","ictv.global=202313005")</f>
        <v>ictv.global=202313005</v>
      </c>
    </row>
    <row r="879" spans="1:21">
      <c r="A879">
        <v>878</v>
      </c>
      <c r="B879" s="30" t="s">
        <v>1587</v>
      </c>
      <c r="D879" s="30" t="s">
        <v>1588</v>
      </c>
      <c r="F879" s="30" t="s">
        <v>1591</v>
      </c>
      <c r="H879" s="30" t="s">
        <v>1592</v>
      </c>
      <c r="L879" s="30" t="s">
        <v>4788</v>
      </c>
      <c r="N879" s="30" t="s">
        <v>4823</v>
      </c>
      <c r="P879" s="30" t="s">
        <v>4824</v>
      </c>
      <c r="Q879" t="s">
        <v>619</v>
      </c>
      <c r="R879" t="s">
        <v>917</v>
      </c>
      <c r="S879">
        <v>37</v>
      </c>
      <c r="T879" s="29" t="str">
        <f t="shared" si="35"/>
        <v>2021.015B.R.Casjensviridae.zip</v>
      </c>
      <c r="U879" s="29" t="str">
        <f>HYPERLINK("https://ictv.global/taxonomy/taxondetails?taxnode_id=202313009","ictv.global=202313009")</f>
        <v>ictv.global=202313009</v>
      </c>
    </row>
    <row r="880" spans="1:21">
      <c r="A880">
        <v>879</v>
      </c>
      <c r="B880" s="30" t="s">
        <v>1587</v>
      </c>
      <c r="D880" s="30" t="s">
        <v>1588</v>
      </c>
      <c r="F880" s="30" t="s">
        <v>1591</v>
      </c>
      <c r="H880" s="30" t="s">
        <v>1592</v>
      </c>
      <c r="L880" s="30" t="s">
        <v>4788</v>
      </c>
      <c r="N880" s="30" t="s">
        <v>4823</v>
      </c>
      <c r="P880" s="30" t="s">
        <v>4825</v>
      </c>
      <c r="Q880" t="s">
        <v>619</v>
      </c>
      <c r="R880" t="s">
        <v>917</v>
      </c>
      <c r="S880">
        <v>37</v>
      </c>
      <c r="T880" s="29" t="str">
        <f t="shared" si="35"/>
        <v>2021.015B.R.Casjensviridae.zip</v>
      </c>
      <c r="U880" s="29" t="str">
        <f>HYPERLINK("https://ictv.global/taxonomy/taxondetails?taxnode_id=202313007","ictv.global=202313007")</f>
        <v>ictv.global=202313007</v>
      </c>
    </row>
    <row r="881" spans="1:21">
      <c r="A881">
        <v>880</v>
      </c>
      <c r="B881" s="30" t="s">
        <v>1587</v>
      </c>
      <c r="D881" s="30" t="s">
        <v>1588</v>
      </c>
      <c r="F881" s="30" t="s">
        <v>1591</v>
      </c>
      <c r="H881" s="30" t="s">
        <v>1592</v>
      </c>
      <c r="L881" s="30" t="s">
        <v>4788</v>
      </c>
      <c r="N881" s="30" t="s">
        <v>4823</v>
      </c>
      <c r="P881" s="30" t="s">
        <v>4826</v>
      </c>
      <c r="Q881" t="s">
        <v>619</v>
      </c>
      <c r="R881" t="s">
        <v>917</v>
      </c>
      <c r="S881">
        <v>37</v>
      </c>
      <c r="T881" s="29" t="str">
        <f t="shared" si="35"/>
        <v>2021.015B.R.Casjensviridae.zip</v>
      </c>
      <c r="U881" s="29" t="str">
        <f>HYPERLINK("https://ictv.global/taxonomy/taxondetails?taxnode_id=202313008","ictv.global=202313008")</f>
        <v>ictv.global=202313008</v>
      </c>
    </row>
    <row r="882" spans="1:21">
      <c r="A882">
        <v>881</v>
      </c>
      <c r="B882" s="30" t="s">
        <v>1587</v>
      </c>
      <c r="D882" s="30" t="s">
        <v>1588</v>
      </c>
      <c r="F882" s="30" t="s">
        <v>1591</v>
      </c>
      <c r="H882" s="30" t="s">
        <v>1592</v>
      </c>
      <c r="L882" s="30" t="s">
        <v>4788</v>
      </c>
      <c r="N882" s="30" t="s">
        <v>4827</v>
      </c>
      <c r="P882" s="30" t="s">
        <v>4828</v>
      </c>
      <c r="Q882" t="s">
        <v>619</v>
      </c>
      <c r="R882" t="s">
        <v>917</v>
      </c>
      <c r="S882">
        <v>37</v>
      </c>
      <c r="T882" s="29" t="str">
        <f t="shared" si="35"/>
        <v>2021.015B.R.Casjensviridae.zip</v>
      </c>
      <c r="U882" s="29" t="str">
        <f>HYPERLINK("https://ictv.global/taxonomy/taxondetails?taxnode_id=202313029","ictv.global=202313029")</f>
        <v>ictv.global=202313029</v>
      </c>
    </row>
    <row r="883" spans="1:21">
      <c r="A883">
        <v>882</v>
      </c>
      <c r="B883" s="30" t="s">
        <v>1587</v>
      </c>
      <c r="D883" s="30" t="s">
        <v>1588</v>
      </c>
      <c r="F883" s="30" t="s">
        <v>1591</v>
      </c>
      <c r="H883" s="30" t="s">
        <v>1592</v>
      </c>
      <c r="L883" s="30" t="s">
        <v>4788</v>
      </c>
      <c r="N883" s="30" t="s">
        <v>1372</v>
      </c>
      <c r="P883" s="30" t="s">
        <v>1373</v>
      </c>
      <c r="Q883" t="s">
        <v>619</v>
      </c>
      <c r="R883" t="s">
        <v>919</v>
      </c>
      <c r="S883">
        <v>37</v>
      </c>
      <c r="T883" s="29" t="str">
        <f>HYPERLINK("https://ictv.global/ictv/proposals/2021.001B.R.abolish_Caudovirales.zip","2021.001B.R.abolish_Caudovirales.zip;2021.015B.A.v1.Casjensviridae.zip")</f>
        <v>2021.001B.R.abolish_Caudovirales.zip;2021.015B.A.v1.Casjensviridae.zip</v>
      </c>
      <c r="U883" s="29" t="str">
        <f>HYPERLINK("https://ictv.global/taxonomy/taxondetails?taxnode_id=202306776","ictv.global=202306776")</f>
        <v>ictv.global=202306776</v>
      </c>
    </row>
    <row r="884" spans="1:21">
      <c r="A884">
        <v>883</v>
      </c>
      <c r="B884" s="30" t="s">
        <v>1587</v>
      </c>
      <c r="D884" s="30" t="s">
        <v>1588</v>
      </c>
      <c r="F884" s="30" t="s">
        <v>1591</v>
      </c>
      <c r="H884" s="30" t="s">
        <v>1592</v>
      </c>
      <c r="L884" s="30" t="s">
        <v>4788</v>
      </c>
      <c r="N884" s="30" t="s">
        <v>4829</v>
      </c>
      <c r="P884" s="30" t="s">
        <v>4830</v>
      </c>
      <c r="Q884" t="s">
        <v>619</v>
      </c>
      <c r="R884" t="s">
        <v>917</v>
      </c>
      <c r="S884">
        <v>37</v>
      </c>
      <c r="T884" s="29" t="str">
        <f t="shared" ref="T884:T891" si="36">HYPERLINK("https://ictv.global/ictv/proposals/2021.015B.R.Casjensviridae.zip","2021.015B.R.Casjensviridae.zip")</f>
        <v>2021.015B.R.Casjensviridae.zip</v>
      </c>
      <c r="U884" s="29" t="str">
        <f>HYPERLINK("https://ictv.global/taxonomy/taxondetails?taxnode_id=202313031","ictv.global=202313031")</f>
        <v>ictv.global=202313031</v>
      </c>
    </row>
    <row r="885" spans="1:21">
      <c r="A885">
        <v>884</v>
      </c>
      <c r="B885" s="30" t="s">
        <v>1587</v>
      </c>
      <c r="D885" s="30" t="s">
        <v>1588</v>
      </c>
      <c r="F885" s="30" t="s">
        <v>1591</v>
      </c>
      <c r="H885" s="30" t="s">
        <v>1592</v>
      </c>
      <c r="L885" s="30" t="s">
        <v>4788</v>
      </c>
      <c r="N885" s="30" t="s">
        <v>4831</v>
      </c>
      <c r="P885" s="30" t="s">
        <v>4832</v>
      </c>
      <c r="Q885" t="s">
        <v>619</v>
      </c>
      <c r="R885" t="s">
        <v>917</v>
      </c>
      <c r="S885">
        <v>37</v>
      </c>
      <c r="T885" s="29" t="str">
        <f t="shared" si="36"/>
        <v>2021.015B.R.Casjensviridae.zip</v>
      </c>
      <c r="U885" s="29" t="str">
        <f>HYPERLINK("https://ictv.global/taxonomy/taxondetails?taxnode_id=202313000","ictv.global=202313000")</f>
        <v>ictv.global=202313000</v>
      </c>
    </row>
    <row r="886" spans="1:21">
      <c r="A886">
        <v>885</v>
      </c>
      <c r="B886" s="30" t="s">
        <v>1587</v>
      </c>
      <c r="D886" s="30" t="s">
        <v>1588</v>
      </c>
      <c r="F886" s="30" t="s">
        <v>1591</v>
      </c>
      <c r="H886" s="30" t="s">
        <v>1592</v>
      </c>
      <c r="L886" s="30" t="s">
        <v>4788</v>
      </c>
      <c r="N886" s="30" t="s">
        <v>4831</v>
      </c>
      <c r="P886" s="30" t="s">
        <v>4833</v>
      </c>
      <c r="Q886" t="s">
        <v>619</v>
      </c>
      <c r="R886" t="s">
        <v>917</v>
      </c>
      <c r="S886">
        <v>37</v>
      </c>
      <c r="T886" s="29" t="str">
        <f t="shared" si="36"/>
        <v>2021.015B.R.Casjensviridae.zip</v>
      </c>
      <c r="U886" s="29" t="str">
        <f>HYPERLINK("https://ictv.global/taxonomy/taxondetails?taxnode_id=202313001","ictv.global=202313001")</f>
        <v>ictv.global=202313001</v>
      </c>
    </row>
    <row r="887" spans="1:21">
      <c r="A887">
        <v>886</v>
      </c>
      <c r="B887" s="30" t="s">
        <v>1587</v>
      </c>
      <c r="D887" s="30" t="s">
        <v>1588</v>
      </c>
      <c r="F887" s="30" t="s">
        <v>1591</v>
      </c>
      <c r="H887" s="30" t="s">
        <v>1592</v>
      </c>
      <c r="L887" s="30" t="s">
        <v>4788</v>
      </c>
      <c r="N887" s="30" t="s">
        <v>4834</v>
      </c>
      <c r="P887" s="30" t="s">
        <v>4835</v>
      </c>
      <c r="Q887" t="s">
        <v>619</v>
      </c>
      <c r="R887" t="s">
        <v>917</v>
      </c>
      <c r="S887">
        <v>37</v>
      </c>
      <c r="T887" s="29" t="str">
        <f t="shared" si="36"/>
        <v>2021.015B.R.Casjensviridae.zip</v>
      </c>
      <c r="U887" s="29" t="str">
        <f>HYPERLINK("https://ictv.global/taxonomy/taxondetails?taxnode_id=202313020","ictv.global=202313020")</f>
        <v>ictv.global=202313020</v>
      </c>
    </row>
    <row r="888" spans="1:21">
      <c r="A888">
        <v>887</v>
      </c>
      <c r="B888" s="30" t="s">
        <v>1587</v>
      </c>
      <c r="D888" s="30" t="s">
        <v>1588</v>
      </c>
      <c r="F888" s="30" t="s">
        <v>1591</v>
      </c>
      <c r="H888" s="30" t="s">
        <v>1592</v>
      </c>
      <c r="L888" s="30" t="s">
        <v>4788</v>
      </c>
      <c r="N888" s="30" t="s">
        <v>4834</v>
      </c>
      <c r="P888" s="30" t="s">
        <v>4836</v>
      </c>
      <c r="Q888" t="s">
        <v>619</v>
      </c>
      <c r="R888" t="s">
        <v>917</v>
      </c>
      <c r="S888">
        <v>37</v>
      </c>
      <c r="T888" s="29" t="str">
        <f t="shared" si="36"/>
        <v>2021.015B.R.Casjensviridae.zip</v>
      </c>
      <c r="U888" s="29" t="str">
        <f>HYPERLINK("https://ictv.global/taxonomy/taxondetails?taxnode_id=202313019","ictv.global=202313019")</f>
        <v>ictv.global=202313019</v>
      </c>
    </row>
    <row r="889" spans="1:21">
      <c r="A889">
        <v>888</v>
      </c>
      <c r="B889" s="30" t="s">
        <v>1587</v>
      </c>
      <c r="D889" s="30" t="s">
        <v>1588</v>
      </c>
      <c r="F889" s="30" t="s">
        <v>1591</v>
      </c>
      <c r="H889" s="30" t="s">
        <v>1592</v>
      </c>
      <c r="L889" s="30" t="s">
        <v>4788</v>
      </c>
      <c r="N889" s="30" t="s">
        <v>4834</v>
      </c>
      <c r="P889" s="30" t="s">
        <v>4837</v>
      </c>
      <c r="Q889" t="s">
        <v>619</v>
      </c>
      <c r="R889" t="s">
        <v>917</v>
      </c>
      <c r="S889">
        <v>37</v>
      </c>
      <c r="T889" s="29" t="str">
        <f t="shared" si="36"/>
        <v>2021.015B.R.Casjensviridae.zip</v>
      </c>
      <c r="U889" s="29" t="str">
        <f>HYPERLINK("https://ictv.global/taxonomy/taxondetails?taxnode_id=202313021","ictv.global=202313021")</f>
        <v>ictv.global=202313021</v>
      </c>
    </row>
    <row r="890" spans="1:21">
      <c r="A890">
        <v>889</v>
      </c>
      <c r="B890" s="30" t="s">
        <v>1587</v>
      </c>
      <c r="D890" s="30" t="s">
        <v>1588</v>
      </c>
      <c r="F890" s="30" t="s">
        <v>1591</v>
      </c>
      <c r="H890" s="30" t="s">
        <v>1592</v>
      </c>
      <c r="L890" s="30" t="s">
        <v>4788</v>
      </c>
      <c r="N890" s="30" t="s">
        <v>4838</v>
      </c>
      <c r="P890" s="30" t="s">
        <v>4839</v>
      </c>
      <c r="Q890" t="s">
        <v>619</v>
      </c>
      <c r="R890" t="s">
        <v>917</v>
      </c>
      <c r="S890">
        <v>37</v>
      </c>
      <c r="T890" s="29" t="str">
        <f t="shared" si="36"/>
        <v>2021.015B.R.Casjensviridae.zip</v>
      </c>
      <c r="U890" s="29" t="str">
        <f>HYPERLINK("https://ictv.global/taxonomy/taxondetails?taxnode_id=202312994","ictv.global=202312994")</f>
        <v>ictv.global=202312994</v>
      </c>
    </row>
    <row r="891" spans="1:21">
      <c r="A891">
        <v>890</v>
      </c>
      <c r="B891" s="30" t="s">
        <v>1587</v>
      </c>
      <c r="D891" s="30" t="s">
        <v>1588</v>
      </c>
      <c r="F891" s="30" t="s">
        <v>1591</v>
      </c>
      <c r="H891" s="30" t="s">
        <v>1592</v>
      </c>
      <c r="L891" s="30" t="s">
        <v>4788</v>
      </c>
      <c r="N891" s="30" t="s">
        <v>4838</v>
      </c>
      <c r="P891" s="30" t="s">
        <v>4840</v>
      </c>
      <c r="Q891" t="s">
        <v>619</v>
      </c>
      <c r="R891" t="s">
        <v>918</v>
      </c>
      <c r="S891">
        <v>37</v>
      </c>
      <c r="T891" s="29" t="str">
        <f t="shared" si="36"/>
        <v>2021.015B.R.Casjensviridae.zip</v>
      </c>
      <c r="U891" s="29" t="str">
        <f>HYPERLINK("https://ictv.global/taxonomy/taxondetails?taxnode_id=202306884","ictv.global=202306884")</f>
        <v>ictv.global=202306884</v>
      </c>
    </row>
    <row r="892" spans="1:21">
      <c r="A892">
        <v>891</v>
      </c>
      <c r="B892" s="30" t="s">
        <v>1587</v>
      </c>
      <c r="D892" s="30" t="s">
        <v>1588</v>
      </c>
      <c r="F892" s="30" t="s">
        <v>1591</v>
      </c>
      <c r="H892" s="30" t="s">
        <v>1592</v>
      </c>
      <c r="L892" s="30" t="s">
        <v>4788</v>
      </c>
      <c r="N892" s="30" t="s">
        <v>1546</v>
      </c>
      <c r="P892" s="30" t="s">
        <v>1547</v>
      </c>
      <c r="Q892" t="s">
        <v>619</v>
      </c>
      <c r="R892" t="s">
        <v>919</v>
      </c>
      <c r="S892">
        <v>37</v>
      </c>
      <c r="T892" s="29" t="str">
        <f>HYPERLINK("https://ictv.global/ictv/proposals/2021.001B.R.abolish_Caudovirales.zip","2021.001B.R.abolish_Caudovirales.zip;2021.015B.A.v1.Casjensviridae.zip")</f>
        <v>2021.001B.R.abolish_Caudovirales.zip;2021.015B.A.v1.Casjensviridae.zip</v>
      </c>
      <c r="U892" s="29" t="str">
        <f>HYPERLINK("https://ictv.global/taxonomy/taxondetails?taxnode_id=202306883","ictv.global=202306883")</f>
        <v>ictv.global=202306883</v>
      </c>
    </row>
    <row r="893" spans="1:21">
      <c r="A893">
        <v>892</v>
      </c>
      <c r="B893" s="30" t="s">
        <v>1587</v>
      </c>
      <c r="D893" s="30" t="s">
        <v>1588</v>
      </c>
      <c r="F893" s="30" t="s">
        <v>1591</v>
      </c>
      <c r="H893" s="30" t="s">
        <v>1592</v>
      </c>
      <c r="L893" s="30" t="s">
        <v>4788</v>
      </c>
      <c r="N893" s="30" t="s">
        <v>4841</v>
      </c>
      <c r="P893" s="30" t="s">
        <v>4842</v>
      </c>
      <c r="Q893" t="s">
        <v>619</v>
      </c>
      <c r="R893" t="s">
        <v>917</v>
      </c>
      <c r="S893">
        <v>37</v>
      </c>
      <c r="T893" s="29" t="str">
        <f t="shared" ref="T893:T901" si="37">HYPERLINK("https://ictv.global/ictv/proposals/2021.015B.R.Casjensviridae.zip","2021.015B.R.Casjensviridae.zip")</f>
        <v>2021.015B.R.Casjensviridae.zip</v>
      </c>
      <c r="U893" s="29" t="str">
        <f>HYPERLINK("https://ictv.global/taxonomy/taxondetails?taxnode_id=202312998","ictv.global=202312998")</f>
        <v>ictv.global=202312998</v>
      </c>
    </row>
    <row r="894" spans="1:21">
      <c r="A894">
        <v>893</v>
      </c>
      <c r="B894" s="30" t="s">
        <v>1587</v>
      </c>
      <c r="D894" s="30" t="s">
        <v>1588</v>
      </c>
      <c r="F894" s="30" t="s">
        <v>1591</v>
      </c>
      <c r="H894" s="30" t="s">
        <v>1592</v>
      </c>
      <c r="L894" s="30" t="s">
        <v>4788</v>
      </c>
      <c r="N894" s="30" t="s">
        <v>4843</v>
      </c>
      <c r="P894" s="30" t="s">
        <v>4844</v>
      </c>
      <c r="Q894" t="s">
        <v>619</v>
      </c>
      <c r="R894" t="s">
        <v>917</v>
      </c>
      <c r="S894">
        <v>37</v>
      </c>
      <c r="T894" s="29" t="str">
        <f t="shared" si="37"/>
        <v>2021.015B.R.Casjensviridae.zip</v>
      </c>
      <c r="U894" s="29" t="str">
        <f>HYPERLINK("https://ictv.global/taxonomy/taxondetails?taxnode_id=202312992","ictv.global=202312992")</f>
        <v>ictv.global=202312992</v>
      </c>
    </row>
    <row r="895" spans="1:21">
      <c r="A895">
        <v>894</v>
      </c>
      <c r="B895" s="30" t="s">
        <v>1587</v>
      </c>
      <c r="D895" s="30" t="s">
        <v>1588</v>
      </c>
      <c r="F895" s="30" t="s">
        <v>1591</v>
      </c>
      <c r="H895" s="30" t="s">
        <v>1592</v>
      </c>
      <c r="L895" s="30" t="s">
        <v>4788</v>
      </c>
      <c r="N895" s="30" t="s">
        <v>4845</v>
      </c>
      <c r="P895" s="30" t="s">
        <v>4846</v>
      </c>
      <c r="Q895" t="s">
        <v>619</v>
      </c>
      <c r="R895" t="s">
        <v>917</v>
      </c>
      <c r="S895">
        <v>37</v>
      </c>
      <c r="T895" s="29" t="str">
        <f t="shared" si="37"/>
        <v>2021.015B.R.Casjensviridae.zip</v>
      </c>
      <c r="U895" s="29" t="str">
        <f>HYPERLINK("https://ictv.global/taxonomy/taxondetails?taxnode_id=202313013","ictv.global=202313013")</f>
        <v>ictv.global=202313013</v>
      </c>
    </row>
    <row r="896" spans="1:21">
      <c r="A896">
        <v>895</v>
      </c>
      <c r="B896" s="30" t="s">
        <v>1587</v>
      </c>
      <c r="D896" s="30" t="s">
        <v>1588</v>
      </c>
      <c r="F896" s="30" t="s">
        <v>1591</v>
      </c>
      <c r="H896" s="30" t="s">
        <v>1592</v>
      </c>
      <c r="L896" s="30" t="s">
        <v>4788</v>
      </c>
      <c r="N896" s="30" t="s">
        <v>4845</v>
      </c>
      <c r="P896" s="30" t="s">
        <v>4847</v>
      </c>
      <c r="Q896" t="s">
        <v>619</v>
      </c>
      <c r="R896" t="s">
        <v>917</v>
      </c>
      <c r="S896">
        <v>37</v>
      </c>
      <c r="T896" s="29" t="str">
        <f t="shared" si="37"/>
        <v>2021.015B.R.Casjensviridae.zip</v>
      </c>
      <c r="U896" s="29" t="str">
        <f>HYPERLINK("https://ictv.global/taxonomy/taxondetails?taxnode_id=202313012","ictv.global=202313012")</f>
        <v>ictv.global=202313012</v>
      </c>
    </row>
    <row r="897" spans="1:21">
      <c r="A897">
        <v>896</v>
      </c>
      <c r="B897" s="30" t="s">
        <v>1587</v>
      </c>
      <c r="D897" s="30" t="s">
        <v>1588</v>
      </c>
      <c r="F897" s="30" t="s">
        <v>1591</v>
      </c>
      <c r="H897" s="30" t="s">
        <v>1592</v>
      </c>
      <c r="L897" s="30" t="s">
        <v>4788</v>
      </c>
      <c r="N897" s="30" t="s">
        <v>4845</v>
      </c>
      <c r="P897" s="30" t="s">
        <v>4848</v>
      </c>
      <c r="Q897" t="s">
        <v>619</v>
      </c>
      <c r="R897" t="s">
        <v>917</v>
      </c>
      <c r="S897">
        <v>37</v>
      </c>
      <c r="T897" s="29" t="str">
        <f t="shared" si="37"/>
        <v>2021.015B.R.Casjensviridae.zip</v>
      </c>
      <c r="U897" s="29" t="str">
        <f>HYPERLINK("https://ictv.global/taxonomy/taxondetails?taxnode_id=202313011","ictv.global=202313011")</f>
        <v>ictv.global=202313011</v>
      </c>
    </row>
    <row r="898" spans="1:21">
      <c r="A898">
        <v>897</v>
      </c>
      <c r="B898" s="30" t="s">
        <v>1587</v>
      </c>
      <c r="D898" s="30" t="s">
        <v>1588</v>
      </c>
      <c r="F898" s="30" t="s">
        <v>1591</v>
      </c>
      <c r="H898" s="30" t="s">
        <v>1592</v>
      </c>
      <c r="L898" s="30" t="s">
        <v>4788</v>
      </c>
      <c r="N898" s="30" t="s">
        <v>2501</v>
      </c>
      <c r="P898" s="30" t="s">
        <v>4849</v>
      </c>
      <c r="Q898" t="s">
        <v>619</v>
      </c>
      <c r="R898" t="s">
        <v>918</v>
      </c>
      <c r="S898">
        <v>37</v>
      </c>
      <c r="T898" s="29" t="str">
        <f t="shared" si="37"/>
        <v>2021.015B.R.Casjensviridae.zip</v>
      </c>
      <c r="U898" s="29" t="str">
        <f>HYPERLINK("https://ictv.global/taxonomy/taxondetails?taxnode_id=202312126","ictv.global=202312126")</f>
        <v>ictv.global=202312126</v>
      </c>
    </row>
    <row r="899" spans="1:21">
      <c r="A899">
        <v>898</v>
      </c>
      <c r="B899" s="30" t="s">
        <v>1587</v>
      </c>
      <c r="D899" s="30" t="s">
        <v>1588</v>
      </c>
      <c r="F899" s="30" t="s">
        <v>1591</v>
      </c>
      <c r="H899" s="30" t="s">
        <v>1592</v>
      </c>
      <c r="L899" s="30" t="s">
        <v>4788</v>
      </c>
      <c r="N899" s="30" t="s">
        <v>2501</v>
      </c>
      <c r="P899" s="30" t="s">
        <v>4850</v>
      </c>
      <c r="Q899" t="s">
        <v>619</v>
      </c>
      <c r="R899" t="s">
        <v>918</v>
      </c>
      <c r="S899">
        <v>37</v>
      </c>
      <c r="T899" s="29" t="str">
        <f t="shared" si="37"/>
        <v>2021.015B.R.Casjensviridae.zip</v>
      </c>
      <c r="U899" s="29" t="str">
        <f>HYPERLINK("https://ictv.global/taxonomy/taxondetails?taxnode_id=202312127","ictv.global=202312127")</f>
        <v>ictv.global=202312127</v>
      </c>
    </row>
    <row r="900" spans="1:21">
      <c r="A900">
        <v>899</v>
      </c>
      <c r="B900" s="30" t="s">
        <v>1587</v>
      </c>
      <c r="D900" s="30" t="s">
        <v>1588</v>
      </c>
      <c r="F900" s="30" t="s">
        <v>1591</v>
      </c>
      <c r="H900" s="30" t="s">
        <v>1592</v>
      </c>
      <c r="L900" s="30" t="s">
        <v>4788</v>
      </c>
      <c r="N900" s="30" t="s">
        <v>2501</v>
      </c>
      <c r="P900" s="30" t="s">
        <v>4851</v>
      </c>
      <c r="Q900" t="s">
        <v>619</v>
      </c>
      <c r="R900" t="s">
        <v>918</v>
      </c>
      <c r="S900">
        <v>37</v>
      </c>
      <c r="T900" s="29" t="str">
        <f t="shared" si="37"/>
        <v>2021.015B.R.Casjensviridae.zip</v>
      </c>
      <c r="U900" s="29" t="str">
        <f>HYPERLINK("https://ictv.global/taxonomy/taxondetails?taxnode_id=202312128","ictv.global=202312128")</f>
        <v>ictv.global=202312128</v>
      </c>
    </row>
    <row r="901" spans="1:21">
      <c r="A901">
        <v>900</v>
      </c>
      <c r="B901" s="30" t="s">
        <v>1587</v>
      </c>
      <c r="D901" s="30" t="s">
        <v>1588</v>
      </c>
      <c r="F901" s="30" t="s">
        <v>1591</v>
      </c>
      <c r="H901" s="30" t="s">
        <v>1592</v>
      </c>
      <c r="L901" s="30" t="s">
        <v>4788</v>
      </c>
      <c r="N901" s="30" t="s">
        <v>4852</v>
      </c>
      <c r="P901" s="30" t="s">
        <v>4853</v>
      </c>
      <c r="Q901" t="s">
        <v>619</v>
      </c>
      <c r="R901" t="s">
        <v>917</v>
      </c>
      <c r="S901">
        <v>37</v>
      </c>
      <c r="T901" s="29" t="str">
        <f t="shared" si="37"/>
        <v>2021.015B.R.Casjensviridae.zip</v>
      </c>
      <c r="U901" s="29" t="str">
        <f>HYPERLINK("https://ictv.global/taxonomy/taxondetails?taxnode_id=202313017","ictv.global=202313017")</f>
        <v>ictv.global=202313017</v>
      </c>
    </row>
    <row r="902" spans="1:21">
      <c r="A902">
        <v>901</v>
      </c>
      <c r="B902" s="30" t="s">
        <v>1587</v>
      </c>
      <c r="D902" s="30" t="s">
        <v>1588</v>
      </c>
      <c r="F902" s="30" t="s">
        <v>1591</v>
      </c>
      <c r="H902" s="30" t="s">
        <v>1592</v>
      </c>
      <c r="L902" s="30" t="s">
        <v>1741</v>
      </c>
      <c r="M902" s="30" t="s">
        <v>2210</v>
      </c>
      <c r="N902" s="30" t="s">
        <v>1742</v>
      </c>
      <c r="P902" s="30" t="s">
        <v>11801</v>
      </c>
      <c r="Q902" t="s">
        <v>619</v>
      </c>
      <c r="R902" t="s">
        <v>917</v>
      </c>
      <c r="S902">
        <v>39</v>
      </c>
      <c r="T902" s="29" t="str">
        <f>HYPERLINK("https://ictv.global/ictv/proposals/2023.014B.Chaseviridae_4ng.zip","2023.014B.Chaseviridae_4ng.zip")</f>
        <v>2023.014B.Chaseviridae_4ng.zip</v>
      </c>
      <c r="U902" s="29" t="str">
        <f>HYPERLINK("https://ictv.global/taxonomy/taxondetails?taxnode_id=202318076","ictv.global=202318076")</f>
        <v>ictv.global=202318076</v>
      </c>
    </row>
    <row r="903" spans="1:21">
      <c r="A903">
        <v>902</v>
      </c>
      <c r="B903" s="30" t="s">
        <v>1587</v>
      </c>
      <c r="D903" s="30" t="s">
        <v>1588</v>
      </c>
      <c r="F903" s="30" t="s">
        <v>1591</v>
      </c>
      <c r="H903" s="30" t="s">
        <v>1592</v>
      </c>
      <c r="L903" s="30" t="s">
        <v>1741</v>
      </c>
      <c r="M903" s="30" t="s">
        <v>2210</v>
      </c>
      <c r="N903" s="30" t="s">
        <v>1742</v>
      </c>
      <c r="P903" s="30" t="s">
        <v>11802</v>
      </c>
      <c r="Q903" t="s">
        <v>619</v>
      </c>
      <c r="R903" t="s">
        <v>917</v>
      </c>
      <c r="S903">
        <v>39</v>
      </c>
      <c r="T903" s="29" t="str">
        <f>HYPERLINK("https://ictv.global/ictv/proposals/2023.014B.Chaseviridae_4ng.zip","2023.014B.Chaseviridae_4ng.zip")</f>
        <v>2023.014B.Chaseviridae_4ng.zip</v>
      </c>
      <c r="U903" s="29" t="str">
        <f>HYPERLINK("https://ictv.global/taxonomy/taxondetails?taxnode_id=202318077","ictv.global=202318077")</f>
        <v>ictv.global=202318077</v>
      </c>
    </row>
    <row r="904" spans="1:21">
      <c r="A904">
        <v>903</v>
      </c>
      <c r="B904" s="30" t="s">
        <v>1587</v>
      </c>
      <c r="D904" s="30" t="s">
        <v>1588</v>
      </c>
      <c r="F904" s="30" t="s">
        <v>1591</v>
      </c>
      <c r="H904" s="30" t="s">
        <v>1592</v>
      </c>
      <c r="L904" s="30" t="s">
        <v>1741</v>
      </c>
      <c r="M904" s="30" t="s">
        <v>2210</v>
      </c>
      <c r="N904" s="30" t="s">
        <v>1742</v>
      </c>
      <c r="P904" s="30" t="s">
        <v>11803</v>
      </c>
      <c r="Q904" t="s">
        <v>619</v>
      </c>
      <c r="R904" t="s">
        <v>917</v>
      </c>
      <c r="S904">
        <v>39</v>
      </c>
      <c r="T904" s="29" t="str">
        <f>HYPERLINK("https://ictv.global/ictv/proposals/2023.014B.Chaseviridae_4ng.zip","2023.014B.Chaseviridae_4ng.zip")</f>
        <v>2023.014B.Chaseviridae_4ng.zip</v>
      </c>
      <c r="U904" s="29" t="str">
        <f>HYPERLINK("https://ictv.global/taxonomy/taxondetails?taxnode_id=202318079","ictv.global=202318079")</f>
        <v>ictv.global=202318079</v>
      </c>
    </row>
    <row r="905" spans="1:21">
      <c r="A905">
        <v>904</v>
      </c>
      <c r="B905" s="30" t="s">
        <v>1587</v>
      </c>
      <c r="D905" s="30" t="s">
        <v>1588</v>
      </c>
      <c r="F905" s="30" t="s">
        <v>1591</v>
      </c>
      <c r="H905" s="30" t="s">
        <v>1592</v>
      </c>
      <c r="L905" s="30" t="s">
        <v>1741</v>
      </c>
      <c r="M905" s="30" t="s">
        <v>2210</v>
      </c>
      <c r="N905" s="30" t="s">
        <v>1742</v>
      </c>
      <c r="P905" s="30" t="s">
        <v>4854</v>
      </c>
      <c r="Q905" t="s">
        <v>619</v>
      </c>
      <c r="R905" t="s">
        <v>918</v>
      </c>
      <c r="S905">
        <v>37</v>
      </c>
      <c r="T905" s="29" t="str">
        <f>HYPERLINK("https://ictv.global/ictv/proposals/2021.010B.R.Binomial_names.zip","2021.010B.R.Binomial_names.zip")</f>
        <v>2021.010B.R.Binomial_names.zip</v>
      </c>
      <c r="U905" s="29" t="str">
        <f>HYPERLINK("https://ictv.global/taxonomy/taxondetails?taxnode_id=202309855","ictv.global=202309855")</f>
        <v>ictv.global=202309855</v>
      </c>
    </row>
    <row r="906" spans="1:21">
      <c r="A906">
        <v>905</v>
      </c>
      <c r="B906" s="30" t="s">
        <v>1587</v>
      </c>
      <c r="D906" s="30" t="s">
        <v>1588</v>
      </c>
      <c r="F906" s="30" t="s">
        <v>1591</v>
      </c>
      <c r="H906" s="30" t="s">
        <v>1592</v>
      </c>
      <c r="L906" s="30" t="s">
        <v>1741</v>
      </c>
      <c r="M906" s="30" t="s">
        <v>2210</v>
      </c>
      <c r="N906" s="30" t="s">
        <v>1742</v>
      </c>
      <c r="P906" s="30" t="s">
        <v>4855</v>
      </c>
      <c r="Q906" t="s">
        <v>619</v>
      </c>
      <c r="R906" t="s">
        <v>918</v>
      </c>
      <c r="S906">
        <v>37</v>
      </c>
      <c r="T906" s="29" t="str">
        <f>HYPERLINK("https://ictv.global/ictv/proposals/2021.010B.R.Binomial_names.zip","2021.010B.R.Binomial_names.zip")</f>
        <v>2021.010B.R.Binomial_names.zip</v>
      </c>
      <c r="U906" s="29" t="str">
        <f>HYPERLINK("https://ictv.global/taxonomy/taxondetails?taxnode_id=202307739","ictv.global=202307739")</f>
        <v>ictv.global=202307739</v>
      </c>
    </row>
    <row r="907" spans="1:21">
      <c r="A907">
        <v>906</v>
      </c>
      <c r="B907" s="30" t="s">
        <v>1587</v>
      </c>
      <c r="D907" s="30" t="s">
        <v>1588</v>
      </c>
      <c r="F907" s="30" t="s">
        <v>1591</v>
      </c>
      <c r="H907" s="30" t="s">
        <v>1592</v>
      </c>
      <c r="L907" s="30" t="s">
        <v>1741</v>
      </c>
      <c r="M907" s="30" t="s">
        <v>2210</v>
      </c>
      <c r="N907" s="30" t="s">
        <v>1742</v>
      </c>
      <c r="P907" s="30" t="s">
        <v>4856</v>
      </c>
      <c r="Q907" t="s">
        <v>619</v>
      </c>
      <c r="R907" t="s">
        <v>918</v>
      </c>
      <c r="S907">
        <v>37</v>
      </c>
      <c r="T907" s="29" t="str">
        <f>HYPERLINK("https://ictv.global/ictv/proposals/2021.010B.R.Binomial_names.zip","2021.010B.R.Binomial_names.zip")</f>
        <v>2021.010B.R.Binomial_names.zip</v>
      </c>
      <c r="U907" s="29" t="str">
        <f>HYPERLINK("https://ictv.global/taxonomy/taxondetails?taxnode_id=202309854","ictv.global=202309854")</f>
        <v>ictv.global=202309854</v>
      </c>
    </row>
    <row r="908" spans="1:21">
      <c r="A908">
        <v>907</v>
      </c>
      <c r="B908" s="30" t="s">
        <v>1587</v>
      </c>
      <c r="D908" s="30" t="s">
        <v>1588</v>
      </c>
      <c r="F908" s="30" t="s">
        <v>1591</v>
      </c>
      <c r="H908" s="30" t="s">
        <v>1592</v>
      </c>
      <c r="L908" s="30" t="s">
        <v>1741</v>
      </c>
      <c r="M908" s="30" t="s">
        <v>2210</v>
      </c>
      <c r="N908" s="30" t="s">
        <v>1742</v>
      </c>
      <c r="P908" s="30" t="s">
        <v>11804</v>
      </c>
      <c r="Q908" t="s">
        <v>619</v>
      </c>
      <c r="R908" t="s">
        <v>917</v>
      </c>
      <c r="S908">
        <v>39</v>
      </c>
      <c r="T908" s="29" t="str">
        <f t="shared" ref="T908:T914" si="38">HYPERLINK("https://ictv.global/ictv/proposals/2023.014B.Chaseviridae_4ng.zip","2023.014B.Chaseviridae_4ng.zip")</f>
        <v>2023.014B.Chaseviridae_4ng.zip</v>
      </c>
      <c r="U908" s="29" t="str">
        <f>HYPERLINK("https://ictv.global/taxonomy/taxondetails?taxnode_id=202318071","ictv.global=202318071")</f>
        <v>ictv.global=202318071</v>
      </c>
    </row>
    <row r="909" spans="1:21">
      <c r="A909">
        <v>908</v>
      </c>
      <c r="B909" s="30" t="s">
        <v>1587</v>
      </c>
      <c r="D909" s="30" t="s">
        <v>1588</v>
      </c>
      <c r="F909" s="30" t="s">
        <v>1591</v>
      </c>
      <c r="H909" s="30" t="s">
        <v>1592</v>
      </c>
      <c r="L909" s="30" t="s">
        <v>1741</v>
      </c>
      <c r="M909" s="30" t="s">
        <v>2210</v>
      </c>
      <c r="N909" s="30" t="s">
        <v>1742</v>
      </c>
      <c r="P909" s="30" t="s">
        <v>11805</v>
      </c>
      <c r="Q909" t="s">
        <v>619</v>
      </c>
      <c r="R909" t="s">
        <v>917</v>
      </c>
      <c r="S909">
        <v>39</v>
      </c>
      <c r="T909" s="29" t="str">
        <f t="shared" si="38"/>
        <v>2023.014B.Chaseviridae_4ng.zip</v>
      </c>
      <c r="U909" s="29" t="str">
        <f>HYPERLINK("https://ictv.global/taxonomy/taxondetails?taxnode_id=202318070","ictv.global=202318070")</f>
        <v>ictv.global=202318070</v>
      </c>
    </row>
    <row r="910" spans="1:21">
      <c r="A910">
        <v>909</v>
      </c>
      <c r="B910" s="30" t="s">
        <v>1587</v>
      </c>
      <c r="D910" s="30" t="s">
        <v>1588</v>
      </c>
      <c r="F910" s="30" t="s">
        <v>1591</v>
      </c>
      <c r="H910" s="30" t="s">
        <v>1592</v>
      </c>
      <c r="L910" s="30" t="s">
        <v>1741</v>
      </c>
      <c r="M910" s="30" t="s">
        <v>2210</v>
      </c>
      <c r="N910" s="30" t="s">
        <v>1742</v>
      </c>
      <c r="P910" s="30" t="s">
        <v>11806</v>
      </c>
      <c r="Q910" t="s">
        <v>619</v>
      </c>
      <c r="R910" t="s">
        <v>917</v>
      </c>
      <c r="S910">
        <v>39</v>
      </c>
      <c r="T910" s="29" t="str">
        <f t="shared" si="38"/>
        <v>2023.014B.Chaseviridae_4ng.zip</v>
      </c>
      <c r="U910" s="29" t="str">
        <f>HYPERLINK("https://ictv.global/taxonomy/taxondetails?taxnode_id=202318074","ictv.global=202318074")</f>
        <v>ictv.global=202318074</v>
      </c>
    </row>
    <row r="911" spans="1:21">
      <c r="A911">
        <v>910</v>
      </c>
      <c r="B911" s="30" t="s">
        <v>1587</v>
      </c>
      <c r="D911" s="30" t="s">
        <v>1588</v>
      </c>
      <c r="F911" s="30" t="s">
        <v>1591</v>
      </c>
      <c r="H911" s="30" t="s">
        <v>1592</v>
      </c>
      <c r="L911" s="30" t="s">
        <v>1741</v>
      </c>
      <c r="M911" s="30" t="s">
        <v>2210</v>
      </c>
      <c r="N911" s="30" t="s">
        <v>1742</v>
      </c>
      <c r="P911" s="30" t="s">
        <v>11807</v>
      </c>
      <c r="Q911" t="s">
        <v>619</v>
      </c>
      <c r="R911" t="s">
        <v>917</v>
      </c>
      <c r="S911">
        <v>39</v>
      </c>
      <c r="T911" s="29" t="str">
        <f t="shared" si="38"/>
        <v>2023.014B.Chaseviridae_4ng.zip</v>
      </c>
      <c r="U911" s="29" t="str">
        <f>HYPERLINK("https://ictv.global/taxonomy/taxondetails?taxnode_id=202318073","ictv.global=202318073")</f>
        <v>ictv.global=202318073</v>
      </c>
    </row>
    <row r="912" spans="1:21">
      <c r="A912">
        <v>911</v>
      </c>
      <c r="B912" s="30" t="s">
        <v>1587</v>
      </c>
      <c r="D912" s="30" t="s">
        <v>1588</v>
      </c>
      <c r="F912" s="30" t="s">
        <v>1591</v>
      </c>
      <c r="H912" s="30" t="s">
        <v>1592</v>
      </c>
      <c r="L912" s="30" t="s">
        <v>1741</v>
      </c>
      <c r="M912" s="30" t="s">
        <v>2210</v>
      </c>
      <c r="N912" s="30" t="s">
        <v>1742</v>
      </c>
      <c r="P912" s="30" t="s">
        <v>11808</v>
      </c>
      <c r="Q912" t="s">
        <v>619</v>
      </c>
      <c r="R912" t="s">
        <v>917</v>
      </c>
      <c r="S912">
        <v>39</v>
      </c>
      <c r="T912" s="29" t="str">
        <f t="shared" si="38"/>
        <v>2023.014B.Chaseviridae_4ng.zip</v>
      </c>
      <c r="U912" s="29" t="str">
        <f>HYPERLINK("https://ictv.global/taxonomy/taxondetails?taxnode_id=202318072","ictv.global=202318072")</f>
        <v>ictv.global=202318072</v>
      </c>
    </row>
    <row r="913" spans="1:21">
      <c r="A913">
        <v>912</v>
      </c>
      <c r="B913" s="30" t="s">
        <v>1587</v>
      </c>
      <c r="D913" s="30" t="s">
        <v>1588</v>
      </c>
      <c r="F913" s="30" t="s">
        <v>1591</v>
      </c>
      <c r="H913" s="30" t="s">
        <v>1592</v>
      </c>
      <c r="L913" s="30" t="s">
        <v>1741</v>
      </c>
      <c r="M913" s="30" t="s">
        <v>2210</v>
      </c>
      <c r="N913" s="30" t="s">
        <v>1742</v>
      </c>
      <c r="P913" s="30" t="s">
        <v>11809</v>
      </c>
      <c r="Q913" t="s">
        <v>619</v>
      </c>
      <c r="R913" t="s">
        <v>917</v>
      </c>
      <c r="S913">
        <v>39</v>
      </c>
      <c r="T913" s="29" t="str">
        <f t="shared" si="38"/>
        <v>2023.014B.Chaseviridae_4ng.zip</v>
      </c>
      <c r="U913" s="29" t="str">
        <f>HYPERLINK("https://ictv.global/taxonomy/taxondetails?taxnode_id=202318078","ictv.global=202318078")</f>
        <v>ictv.global=202318078</v>
      </c>
    </row>
    <row r="914" spans="1:21">
      <c r="A914">
        <v>913</v>
      </c>
      <c r="B914" s="30" t="s">
        <v>1587</v>
      </c>
      <c r="D914" s="30" t="s">
        <v>1588</v>
      </c>
      <c r="F914" s="30" t="s">
        <v>1591</v>
      </c>
      <c r="H914" s="30" t="s">
        <v>1592</v>
      </c>
      <c r="L914" s="30" t="s">
        <v>1741</v>
      </c>
      <c r="M914" s="30" t="s">
        <v>2210</v>
      </c>
      <c r="N914" s="30" t="s">
        <v>1742</v>
      </c>
      <c r="P914" s="30" t="s">
        <v>11810</v>
      </c>
      <c r="Q914" t="s">
        <v>619</v>
      </c>
      <c r="R914" t="s">
        <v>917</v>
      </c>
      <c r="S914">
        <v>39</v>
      </c>
      <c r="T914" s="29" t="str">
        <f t="shared" si="38"/>
        <v>2023.014B.Chaseviridae_4ng.zip</v>
      </c>
      <c r="U914" s="29" t="str">
        <f>HYPERLINK("https://ictv.global/taxonomy/taxondetails?taxnode_id=202318075","ictv.global=202318075")</f>
        <v>ictv.global=202318075</v>
      </c>
    </row>
    <row r="915" spans="1:21">
      <c r="A915">
        <v>914</v>
      </c>
      <c r="B915" s="30" t="s">
        <v>1587</v>
      </c>
      <c r="D915" s="30" t="s">
        <v>1588</v>
      </c>
      <c r="F915" s="30" t="s">
        <v>1591</v>
      </c>
      <c r="H915" s="30" t="s">
        <v>1592</v>
      </c>
      <c r="L915" s="30" t="s">
        <v>1741</v>
      </c>
      <c r="M915" s="30" t="s">
        <v>2210</v>
      </c>
      <c r="N915" s="30" t="s">
        <v>1742</v>
      </c>
      <c r="P915" s="30" t="s">
        <v>4857</v>
      </c>
      <c r="Q915" t="s">
        <v>619</v>
      </c>
      <c r="R915" t="s">
        <v>918</v>
      </c>
      <c r="S915">
        <v>37</v>
      </c>
      <c r="T915" s="29" t="str">
        <f>HYPERLINK("https://ictv.global/ictv/proposals/2021.010B.R.Binomial_names.zip","2021.010B.R.Binomial_names.zip")</f>
        <v>2021.010B.R.Binomial_names.zip</v>
      </c>
      <c r="U915" s="29" t="str">
        <f>HYPERLINK("https://ictv.global/taxonomy/taxondetails?taxnode_id=202307740","ictv.global=202307740")</f>
        <v>ictv.global=202307740</v>
      </c>
    </row>
    <row r="916" spans="1:21">
      <c r="A916">
        <v>915</v>
      </c>
      <c r="B916" s="30" t="s">
        <v>1587</v>
      </c>
      <c r="D916" s="30" t="s">
        <v>1588</v>
      </c>
      <c r="F916" s="30" t="s">
        <v>1591</v>
      </c>
      <c r="H916" s="30" t="s">
        <v>1592</v>
      </c>
      <c r="L916" s="30" t="s">
        <v>1741</v>
      </c>
      <c r="M916" s="30" t="s">
        <v>2210</v>
      </c>
      <c r="N916" s="30" t="s">
        <v>1743</v>
      </c>
      <c r="P916" s="30" t="s">
        <v>4858</v>
      </c>
      <c r="Q916" t="s">
        <v>619</v>
      </c>
      <c r="R916" t="s">
        <v>918</v>
      </c>
      <c r="S916">
        <v>37</v>
      </c>
      <c r="T916" s="29" t="str">
        <f>HYPERLINK("https://ictv.global/ictv/proposals/2021.010B.R.Binomial_names.zip","2021.010B.R.Binomial_names.zip")</f>
        <v>2021.010B.R.Binomial_names.zip</v>
      </c>
      <c r="U916" s="29" t="str">
        <f>HYPERLINK("https://ictv.global/taxonomy/taxondetails?taxnode_id=202307742","ictv.global=202307742")</f>
        <v>ictv.global=202307742</v>
      </c>
    </row>
    <row r="917" spans="1:21">
      <c r="A917">
        <v>916</v>
      </c>
      <c r="B917" s="30" t="s">
        <v>1587</v>
      </c>
      <c r="D917" s="30" t="s">
        <v>1588</v>
      </c>
      <c r="F917" s="30" t="s">
        <v>1591</v>
      </c>
      <c r="H917" s="30" t="s">
        <v>1592</v>
      </c>
      <c r="L917" s="30" t="s">
        <v>1741</v>
      </c>
      <c r="M917" s="30" t="s">
        <v>2210</v>
      </c>
      <c r="N917" s="30" t="s">
        <v>11811</v>
      </c>
      <c r="P917" s="30" t="s">
        <v>11812</v>
      </c>
      <c r="Q917" t="s">
        <v>619</v>
      </c>
      <c r="R917" t="s">
        <v>917</v>
      </c>
      <c r="S917">
        <v>39</v>
      </c>
      <c r="T917" s="29" t="str">
        <f>HYPERLINK("https://ictv.global/ictv/proposals/2023.014B.Chaseviridae_4ng.zip","2023.014B.Chaseviridae_4ng.zip")</f>
        <v>2023.014B.Chaseviridae_4ng.zip</v>
      </c>
      <c r="U917" s="29" t="str">
        <f>HYPERLINK("https://ictv.global/taxonomy/taxondetails?taxnode_id=202318069","ictv.global=202318069")</f>
        <v>ictv.global=202318069</v>
      </c>
    </row>
    <row r="918" spans="1:21">
      <c r="A918">
        <v>917</v>
      </c>
      <c r="B918" s="30" t="s">
        <v>1587</v>
      </c>
      <c r="D918" s="30" t="s">
        <v>1588</v>
      </c>
      <c r="F918" s="30" t="s">
        <v>1591</v>
      </c>
      <c r="H918" s="30" t="s">
        <v>1592</v>
      </c>
      <c r="L918" s="30" t="s">
        <v>1741</v>
      </c>
      <c r="M918" s="30" t="s">
        <v>2210</v>
      </c>
      <c r="N918" s="30" t="s">
        <v>1744</v>
      </c>
      <c r="P918" s="30" t="s">
        <v>4859</v>
      </c>
      <c r="Q918" t="s">
        <v>619</v>
      </c>
      <c r="R918" t="s">
        <v>918</v>
      </c>
      <c r="S918">
        <v>37</v>
      </c>
      <c r="T918" s="29" t="str">
        <f t="shared" ref="T918:T923" si="39">HYPERLINK("https://ictv.global/ictv/proposals/2021.010B.R.Binomial_names.zip","2021.010B.R.Binomial_names.zip")</f>
        <v>2021.010B.R.Binomial_names.zip</v>
      </c>
      <c r="U918" s="29" t="str">
        <f>HYPERLINK("https://ictv.global/taxonomy/taxondetails?taxnode_id=202309858","ictv.global=202309858")</f>
        <v>ictv.global=202309858</v>
      </c>
    </row>
    <row r="919" spans="1:21">
      <c r="A919">
        <v>918</v>
      </c>
      <c r="B919" s="30" t="s">
        <v>1587</v>
      </c>
      <c r="D919" s="30" t="s">
        <v>1588</v>
      </c>
      <c r="F919" s="30" t="s">
        <v>1591</v>
      </c>
      <c r="H919" s="30" t="s">
        <v>1592</v>
      </c>
      <c r="L919" s="30" t="s">
        <v>1741</v>
      </c>
      <c r="M919" s="30" t="s">
        <v>2210</v>
      </c>
      <c r="N919" s="30" t="s">
        <v>1744</v>
      </c>
      <c r="P919" s="30" t="s">
        <v>4860</v>
      </c>
      <c r="Q919" t="s">
        <v>619</v>
      </c>
      <c r="R919" t="s">
        <v>918</v>
      </c>
      <c r="S919">
        <v>37</v>
      </c>
      <c r="T919" s="29" t="str">
        <f t="shared" si="39"/>
        <v>2021.010B.R.Binomial_names.zip</v>
      </c>
      <c r="U919" s="29" t="str">
        <f>HYPERLINK("https://ictv.global/taxonomy/taxondetails?taxnode_id=202307752","ictv.global=202307752")</f>
        <v>ictv.global=202307752</v>
      </c>
    </row>
    <row r="920" spans="1:21">
      <c r="A920">
        <v>919</v>
      </c>
      <c r="B920" s="30" t="s">
        <v>1587</v>
      </c>
      <c r="D920" s="30" t="s">
        <v>1588</v>
      </c>
      <c r="F920" s="30" t="s">
        <v>1591</v>
      </c>
      <c r="H920" s="30" t="s">
        <v>1592</v>
      </c>
      <c r="L920" s="30" t="s">
        <v>1741</v>
      </c>
      <c r="M920" s="30" t="s">
        <v>2210</v>
      </c>
      <c r="N920" s="30" t="s">
        <v>2211</v>
      </c>
      <c r="P920" s="30" t="s">
        <v>4861</v>
      </c>
      <c r="Q920" t="s">
        <v>619</v>
      </c>
      <c r="R920" t="s">
        <v>918</v>
      </c>
      <c r="S920">
        <v>37</v>
      </c>
      <c r="T920" s="29" t="str">
        <f t="shared" si="39"/>
        <v>2021.010B.R.Binomial_names.zip</v>
      </c>
      <c r="U920" s="29" t="str">
        <f>HYPERLINK("https://ictv.global/taxonomy/taxondetails?taxnode_id=202309857","ictv.global=202309857")</f>
        <v>ictv.global=202309857</v>
      </c>
    </row>
    <row r="921" spans="1:21">
      <c r="A921">
        <v>920</v>
      </c>
      <c r="B921" s="30" t="s">
        <v>1587</v>
      </c>
      <c r="D921" s="30" t="s">
        <v>1588</v>
      </c>
      <c r="F921" s="30" t="s">
        <v>1591</v>
      </c>
      <c r="H921" s="30" t="s">
        <v>1592</v>
      </c>
      <c r="L921" s="30" t="s">
        <v>1741</v>
      </c>
      <c r="M921" s="30" t="s">
        <v>2210</v>
      </c>
      <c r="N921" s="30" t="s">
        <v>2212</v>
      </c>
      <c r="P921" s="30" t="s">
        <v>4862</v>
      </c>
      <c r="Q921" t="s">
        <v>619</v>
      </c>
      <c r="R921" t="s">
        <v>918</v>
      </c>
      <c r="S921">
        <v>37</v>
      </c>
      <c r="T921" s="29" t="str">
        <f t="shared" si="39"/>
        <v>2021.010B.R.Binomial_names.zip</v>
      </c>
      <c r="U921" s="29" t="str">
        <f>HYPERLINK("https://ictv.global/taxonomy/taxondetails?taxnode_id=202309860","ictv.global=202309860")</f>
        <v>ictv.global=202309860</v>
      </c>
    </row>
    <row r="922" spans="1:21">
      <c r="A922">
        <v>921</v>
      </c>
      <c r="B922" s="30" t="s">
        <v>1587</v>
      </c>
      <c r="D922" s="30" t="s">
        <v>1588</v>
      </c>
      <c r="F922" s="30" t="s">
        <v>1591</v>
      </c>
      <c r="H922" s="30" t="s">
        <v>1592</v>
      </c>
      <c r="L922" s="30" t="s">
        <v>1741</v>
      </c>
      <c r="M922" s="30" t="s">
        <v>2210</v>
      </c>
      <c r="N922" s="30" t="s">
        <v>1746</v>
      </c>
      <c r="P922" s="30" t="s">
        <v>4863</v>
      </c>
      <c r="Q922" t="s">
        <v>619</v>
      </c>
      <c r="R922" t="s">
        <v>918</v>
      </c>
      <c r="S922">
        <v>37</v>
      </c>
      <c r="T922" s="29" t="str">
        <f t="shared" si="39"/>
        <v>2021.010B.R.Binomial_names.zip</v>
      </c>
      <c r="U922" s="29" t="str">
        <f>HYPERLINK("https://ictv.global/taxonomy/taxondetails?taxnode_id=202307744","ictv.global=202307744")</f>
        <v>ictv.global=202307744</v>
      </c>
    </row>
    <row r="923" spans="1:21">
      <c r="A923">
        <v>922</v>
      </c>
      <c r="B923" s="30" t="s">
        <v>1587</v>
      </c>
      <c r="D923" s="30" t="s">
        <v>1588</v>
      </c>
      <c r="F923" s="30" t="s">
        <v>1591</v>
      </c>
      <c r="H923" s="30" t="s">
        <v>1592</v>
      </c>
      <c r="L923" s="30" t="s">
        <v>1741</v>
      </c>
      <c r="M923" s="30" t="s">
        <v>2210</v>
      </c>
      <c r="N923" s="30" t="s">
        <v>1746</v>
      </c>
      <c r="P923" s="30" t="s">
        <v>4864</v>
      </c>
      <c r="Q923" t="s">
        <v>619</v>
      </c>
      <c r="R923" t="s">
        <v>918</v>
      </c>
      <c r="S923">
        <v>37</v>
      </c>
      <c r="T923" s="29" t="str">
        <f t="shared" si="39"/>
        <v>2021.010B.R.Binomial_names.zip</v>
      </c>
      <c r="U923" s="29" t="str">
        <f>HYPERLINK("https://ictv.global/taxonomy/taxondetails?taxnode_id=202307745","ictv.global=202307745")</f>
        <v>ictv.global=202307745</v>
      </c>
    </row>
    <row r="924" spans="1:21">
      <c r="A924">
        <v>923</v>
      </c>
      <c r="B924" s="30" t="s">
        <v>1587</v>
      </c>
      <c r="D924" s="30" t="s">
        <v>1588</v>
      </c>
      <c r="F924" s="30" t="s">
        <v>1591</v>
      </c>
      <c r="H924" s="30" t="s">
        <v>1592</v>
      </c>
      <c r="L924" s="30" t="s">
        <v>1741</v>
      </c>
      <c r="M924" s="30" t="s">
        <v>2213</v>
      </c>
      <c r="N924" s="30" t="s">
        <v>11813</v>
      </c>
      <c r="P924" s="30" t="s">
        <v>11814</v>
      </c>
      <c r="Q924" t="s">
        <v>619</v>
      </c>
      <c r="R924" t="s">
        <v>917</v>
      </c>
      <c r="S924">
        <v>39</v>
      </c>
      <c r="T924" s="29" t="str">
        <f>HYPERLINK("https://ictv.global/ictv/proposals/2023.014B.Chaseviridae_4ng.zip","2023.014B.Chaseviridae_4ng.zip")</f>
        <v>2023.014B.Chaseviridae_4ng.zip</v>
      </c>
      <c r="U924" s="29" t="str">
        <f>HYPERLINK("https://ictv.global/taxonomy/taxondetails?taxnode_id=202318080","ictv.global=202318080")</f>
        <v>ictv.global=202318080</v>
      </c>
    </row>
    <row r="925" spans="1:21">
      <c r="A925">
        <v>924</v>
      </c>
      <c r="B925" s="30" t="s">
        <v>1587</v>
      </c>
      <c r="D925" s="30" t="s">
        <v>1588</v>
      </c>
      <c r="F925" s="30" t="s">
        <v>1591</v>
      </c>
      <c r="H925" s="30" t="s">
        <v>1592</v>
      </c>
      <c r="L925" s="30" t="s">
        <v>1741</v>
      </c>
      <c r="M925" s="30" t="s">
        <v>2213</v>
      </c>
      <c r="N925" s="30" t="s">
        <v>11815</v>
      </c>
      <c r="P925" s="30" t="s">
        <v>11816</v>
      </c>
      <c r="Q925" t="s">
        <v>619</v>
      </c>
      <c r="R925" t="s">
        <v>917</v>
      </c>
      <c r="S925">
        <v>39</v>
      </c>
      <c r="T925" s="29" t="str">
        <f>HYPERLINK("https://ictv.global/ictv/proposals/2023.014B.Chaseviridae_4ng.zip","2023.014B.Chaseviridae_4ng.zip")</f>
        <v>2023.014B.Chaseviridae_4ng.zip</v>
      </c>
      <c r="U925" s="29" t="str">
        <f>HYPERLINK("https://ictv.global/taxonomy/taxondetails?taxnode_id=202318081","ictv.global=202318081")</f>
        <v>ictv.global=202318081</v>
      </c>
    </row>
    <row r="926" spans="1:21">
      <c r="A926">
        <v>925</v>
      </c>
      <c r="B926" s="30" t="s">
        <v>1587</v>
      </c>
      <c r="D926" s="30" t="s">
        <v>1588</v>
      </c>
      <c r="F926" s="30" t="s">
        <v>1591</v>
      </c>
      <c r="H926" s="30" t="s">
        <v>1592</v>
      </c>
      <c r="L926" s="30" t="s">
        <v>1741</v>
      </c>
      <c r="M926" s="30" t="s">
        <v>2213</v>
      </c>
      <c r="N926" s="30" t="s">
        <v>1745</v>
      </c>
      <c r="P926" s="30" t="s">
        <v>4865</v>
      </c>
      <c r="Q926" t="s">
        <v>619</v>
      </c>
      <c r="R926" t="s">
        <v>918</v>
      </c>
      <c r="S926">
        <v>37</v>
      </c>
      <c r="T926" s="29" t="str">
        <f>HYPERLINK("https://ictv.global/ictv/proposals/2021.010B.R.Binomial_names.zip","2021.010B.R.Binomial_names.zip")</f>
        <v>2021.010B.R.Binomial_names.zip</v>
      </c>
      <c r="U926" s="29" t="str">
        <f>HYPERLINK("https://ictv.global/taxonomy/taxondetails?taxnode_id=202307750","ictv.global=202307750")</f>
        <v>ictv.global=202307750</v>
      </c>
    </row>
    <row r="927" spans="1:21">
      <c r="A927">
        <v>926</v>
      </c>
      <c r="B927" s="30" t="s">
        <v>1587</v>
      </c>
      <c r="D927" s="30" t="s">
        <v>1588</v>
      </c>
      <c r="F927" s="30" t="s">
        <v>1591</v>
      </c>
      <c r="H927" s="30" t="s">
        <v>1592</v>
      </c>
      <c r="L927" s="30" t="s">
        <v>1741</v>
      </c>
      <c r="M927" s="30" t="s">
        <v>2213</v>
      </c>
      <c r="N927" s="30" t="s">
        <v>11817</v>
      </c>
      <c r="P927" s="30" t="s">
        <v>11818</v>
      </c>
      <c r="Q927" t="s">
        <v>619</v>
      </c>
      <c r="R927" t="s">
        <v>917</v>
      </c>
      <c r="S927">
        <v>39</v>
      </c>
      <c r="T927" s="29" t="str">
        <f>HYPERLINK("https://ictv.global/ictv/proposals/2023.014B.Chaseviridae_4ng.zip","2023.014B.Chaseviridae_4ng.zip")</f>
        <v>2023.014B.Chaseviridae_4ng.zip</v>
      </c>
      <c r="U927" s="29" t="str">
        <f>HYPERLINK("https://ictv.global/taxonomy/taxondetails?taxnode_id=202318082","ictv.global=202318082")</f>
        <v>ictv.global=202318082</v>
      </c>
    </row>
    <row r="928" spans="1:21">
      <c r="A928">
        <v>927</v>
      </c>
      <c r="B928" s="30" t="s">
        <v>1587</v>
      </c>
      <c r="D928" s="30" t="s">
        <v>1588</v>
      </c>
      <c r="F928" s="30" t="s">
        <v>1591</v>
      </c>
      <c r="H928" s="30" t="s">
        <v>1592</v>
      </c>
      <c r="L928" s="30" t="s">
        <v>1741</v>
      </c>
      <c r="M928" s="30" t="s">
        <v>2213</v>
      </c>
      <c r="N928" s="30" t="s">
        <v>11817</v>
      </c>
      <c r="P928" s="30" t="s">
        <v>11819</v>
      </c>
      <c r="Q928" t="s">
        <v>619</v>
      </c>
      <c r="R928" t="s">
        <v>917</v>
      </c>
      <c r="S928">
        <v>39</v>
      </c>
      <c r="T928" s="29" t="str">
        <f>HYPERLINK("https://ictv.global/ictv/proposals/2023.014B.Chaseviridae_4ng.zip","2023.014B.Chaseviridae_4ng.zip")</f>
        <v>2023.014B.Chaseviridae_4ng.zip</v>
      </c>
      <c r="U928" s="29" t="str">
        <f>HYPERLINK("https://ictv.global/taxonomy/taxondetails?taxnode_id=202318083","ictv.global=202318083")</f>
        <v>ictv.global=202318083</v>
      </c>
    </row>
    <row r="929" spans="1:21">
      <c r="A929">
        <v>928</v>
      </c>
      <c r="B929" s="30" t="s">
        <v>1587</v>
      </c>
      <c r="D929" s="30" t="s">
        <v>1588</v>
      </c>
      <c r="F929" s="30" t="s">
        <v>1591</v>
      </c>
      <c r="H929" s="30" t="s">
        <v>1592</v>
      </c>
      <c r="L929" s="30" t="s">
        <v>1741</v>
      </c>
      <c r="M929" s="30" t="s">
        <v>2213</v>
      </c>
      <c r="N929" s="30" t="s">
        <v>4868</v>
      </c>
      <c r="P929" s="30" t="s">
        <v>4869</v>
      </c>
      <c r="Q929" t="s">
        <v>619</v>
      </c>
      <c r="R929" t="s">
        <v>919</v>
      </c>
      <c r="S929">
        <v>39</v>
      </c>
      <c r="T929" s="29" t="str">
        <f>HYPERLINK("https://ictv.global/ictv/proposals/2023.014B.Chaseviridae_4ng.zip","2023.014B.Chaseviridae_4ng.zip")</f>
        <v>2023.014B.Chaseviridae_4ng.zip</v>
      </c>
      <c r="U929" s="29" t="str">
        <f>HYPERLINK("https://ictv.global/taxonomy/taxondetails?taxnode_id=202314850","ictv.global=202314850")</f>
        <v>ictv.global=202314850</v>
      </c>
    </row>
    <row r="930" spans="1:21">
      <c r="A930">
        <v>929</v>
      </c>
      <c r="B930" s="30" t="s">
        <v>1587</v>
      </c>
      <c r="D930" s="30" t="s">
        <v>1588</v>
      </c>
      <c r="F930" s="30" t="s">
        <v>1591</v>
      </c>
      <c r="H930" s="30" t="s">
        <v>1592</v>
      </c>
      <c r="L930" s="30" t="s">
        <v>1741</v>
      </c>
      <c r="M930" s="30" t="s">
        <v>2213</v>
      </c>
      <c r="N930" s="30" t="s">
        <v>1747</v>
      </c>
      <c r="P930" s="30" t="s">
        <v>4866</v>
      </c>
      <c r="Q930" t="s">
        <v>619</v>
      </c>
      <c r="R930" t="s">
        <v>918</v>
      </c>
      <c r="S930">
        <v>37</v>
      </c>
      <c r="T930" s="29" t="str">
        <f>HYPERLINK("https://ictv.global/ictv/proposals/2021.010B.R.Binomial_names.zip","2021.010B.R.Binomial_names.zip")</f>
        <v>2021.010B.R.Binomial_names.zip</v>
      </c>
      <c r="U930" s="29" t="str">
        <f>HYPERLINK("https://ictv.global/taxonomy/taxondetails?taxnode_id=202307747","ictv.global=202307747")</f>
        <v>ictv.global=202307747</v>
      </c>
    </row>
    <row r="931" spans="1:21">
      <c r="A931">
        <v>930</v>
      </c>
      <c r="B931" s="30" t="s">
        <v>1587</v>
      </c>
      <c r="D931" s="30" t="s">
        <v>1588</v>
      </c>
      <c r="F931" s="30" t="s">
        <v>1591</v>
      </c>
      <c r="H931" s="30" t="s">
        <v>1592</v>
      </c>
      <c r="L931" s="30" t="s">
        <v>1741</v>
      </c>
      <c r="M931" s="30" t="s">
        <v>2213</v>
      </c>
      <c r="N931" s="30" t="s">
        <v>1747</v>
      </c>
      <c r="P931" s="30" t="s">
        <v>4867</v>
      </c>
      <c r="Q931" t="s">
        <v>619</v>
      </c>
      <c r="R931" t="s">
        <v>918</v>
      </c>
      <c r="S931">
        <v>37</v>
      </c>
      <c r="T931" s="29" t="str">
        <f>HYPERLINK("https://ictv.global/ictv/proposals/2021.010B.R.Binomial_names.zip","2021.010B.R.Binomial_names.zip")</f>
        <v>2021.010B.R.Binomial_names.zip</v>
      </c>
      <c r="U931" s="29" t="str">
        <f>HYPERLINK("https://ictv.global/taxonomy/taxondetails?taxnode_id=202307748","ictv.global=202307748")</f>
        <v>ictv.global=202307748</v>
      </c>
    </row>
    <row r="932" spans="1:21">
      <c r="A932">
        <v>931</v>
      </c>
      <c r="B932" s="30" t="s">
        <v>1587</v>
      </c>
      <c r="D932" s="30" t="s">
        <v>1588</v>
      </c>
      <c r="F932" s="30" t="s">
        <v>1591</v>
      </c>
      <c r="H932" s="30" t="s">
        <v>1592</v>
      </c>
      <c r="L932" s="30" t="s">
        <v>11820</v>
      </c>
      <c r="M932" s="30" t="s">
        <v>2242</v>
      </c>
      <c r="N932" s="30" t="s">
        <v>1347</v>
      </c>
      <c r="P932" s="30" t="s">
        <v>6398</v>
      </c>
      <c r="Q932" t="s">
        <v>619</v>
      </c>
      <c r="R932" t="s">
        <v>919</v>
      </c>
      <c r="S932">
        <v>39</v>
      </c>
      <c r="T932" s="29" t="str">
        <f t="shared" ref="T932:T964" si="40">HYPERLINK("https://ictv.global/ictv/proposals/2023.015B.Chimalliviridae_nf.zip","2023.015B.Chimalliviridae_nf.zip")</f>
        <v>2023.015B.Chimalliviridae_nf.zip</v>
      </c>
      <c r="U932" s="29" t="str">
        <f>HYPERLINK("https://ictv.global/taxonomy/taxondetails?taxnode_id=202306799","ictv.global=202306799")</f>
        <v>ictv.global=202306799</v>
      </c>
    </row>
    <row r="933" spans="1:21">
      <c r="A933">
        <v>932</v>
      </c>
      <c r="B933" s="30" t="s">
        <v>1587</v>
      </c>
      <c r="D933" s="30" t="s">
        <v>1588</v>
      </c>
      <c r="F933" s="30" t="s">
        <v>1591</v>
      </c>
      <c r="H933" s="30" t="s">
        <v>1592</v>
      </c>
      <c r="L933" s="30" t="s">
        <v>11820</v>
      </c>
      <c r="M933" s="30" t="s">
        <v>2242</v>
      </c>
      <c r="N933" s="30" t="s">
        <v>1347</v>
      </c>
      <c r="P933" s="30" t="s">
        <v>6399</v>
      </c>
      <c r="Q933" t="s">
        <v>619</v>
      </c>
      <c r="R933" t="s">
        <v>919</v>
      </c>
      <c r="S933">
        <v>39</v>
      </c>
      <c r="T933" s="29" t="str">
        <f t="shared" si="40"/>
        <v>2023.015B.Chimalliviridae_nf.zip</v>
      </c>
      <c r="U933" s="29" t="str">
        <f>HYPERLINK("https://ictv.global/taxonomy/taxondetails?taxnode_id=202310052","ictv.global=202310052")</f>
        <v>ictv.global=202310052</v>
      </c>
    </row>
    <row r="934" spans="1:21">
      <c r="A934">
        <v>933</v>
      </c>
      <c r="B934" s="30" t="s">
        <v>1587</v>
      </c>
      <c r="D934" s="30" t="s">
        <v>1588</v>
      </c>
      <c r="F934" s="30" t="s">
        <v>1591</v>
      </c>
      <c r="H934" s="30" t="s">
        <v>1592</v>
      </c>
      <c r="L934" s="30" t="s">
        <v>11820</v>
      </c>
      <c r="M934" s="30" t="s">
        <v>2242</v>
      </c>
      <c r="N934" s="30" t="s">
        <v>1347</v>
      </c>
      <c r="P934" s="30" t="s">
        <v>6400</v>
      </c>
      <c r="Q934" t="s">
        <v>619</v>
      </c>
      <c r="R934" t="s">
        <v>919</v>
      </c>
      <c r="S934">
        <v>39</v>
      </c>
      <c r="T934" s="29" t="str">
        <f t="shared" si="40"/>
        <v>2023.015B.Chimalliviridae_nf.zip</v>
      </c>
      <c r="U934" s="29" t="str">
        <f>HYPERLINK("https://ictv.global/taxonomy/taxondetails?taxnode_id=202310053","ictv.global=202310053")</f>
        <v>ictv.global=202310053</v>
      </c>
    </row>
    <row r="935" spans="1:21">
      <c r="A935">
        <v>934</v>
      </c>
      <c r="B935" s="30" t="s">
        <v>1587</v>
      </c>
      <c r="D935" s="30" t="s">
        <v>1588</v>
      </c>
      <c r="F935" s="30" t="s">
        <v>1591</v>
      </c>
      <c r="H935" s="30" t="s">
        <v>1592</v>
      </c>
      <c r="L935" s="30" t="s">
        <v>11820</v>
      </c>
      <c r="M935" s="30" t="s">
        <v>2242</v>
      </c>
      <c r="N935" s="30" t="s">
        <v>1347</v>
      </c>
      <c r="P935" s="30" t="s">
        <v>6401</v>
      </c>
      <c r="Q935" t="s">
        <v>619</v>
      </c>
      <c r="R935" t="s">
        <v>919</v>
      </c>
      <c r="S935">
        <v>39</v>
      </c>
      <c r="T935" s="29" t="str">
        <f t="shared" si="40"/>
        <v>2023.015B.Chimalliviridae_nf.zip</v>
      </c>
      <c r="U935" s="29" t="str">
        <f>HYPERLINK("https://ictv.global/taxonomy/taxondetails?taxnode_id=202310051","ictv.global=202310051")</f>
        <v>ictv.global=202310051</v>
      </c>
    </row>
    <row r="936" spans="1:21">
      <c r="A936">
        <v>935</v>
      </c>
      <c r="B936" s="30" t="s">
        <v>1587</v>
      </c>
      <c r="D936" s="30" t="s">
        <v>1588</v>
      </c>
      <c r="F936" s="30" t="s">
        <v>1591</v>
      </c>
      <c r="H936" s="30" t="s">
        <v>1592</v>
      </c>
      <c r="L936" s="30" t="s">
        <v>11820</v>
      </c>
      <c r="M936" s="30" t="s">
        <v>2242</v>
      </c>
      <c r="N936" s="30" t="s">
        <v>1392</v>
      </c>
      <c r="P936" s="30" t="s">
        <v>6402</v>
      </c>
      <c r="Q936" t="s">
        <v>619</v>
      </c>
      <c r="R936" t="s">
        <v>919</v>
      </c>
      <c r="S936">
        <v>39</v>
      </c>
      <c r="T936" s="29" t="str">
        <f t="shared" si="40"/>
        <v>2023.015B.Chimalliviridae_nf.zip</v>
      </c>
      <c r="U936" s="29" t="str">
        <f>HYPERLINK("https://ictv.global/taxonomy/taxondetails?taxnode_id=202306892","ictv.global=202306892")</f>
        <v>ictv.global=202306892</v>
      </c>
    </row>
    <row r="937" spans="1:21">
      <c r="A937">
        <v>936</v>
      </c>
      <c r="B937" s="30" t="s">
        <v>1587</v>
      </c>
      <c r="D937" s="30" t="s">
        <v>1588</v>
      </c>
      <c r="F937" s="30" t="s">
        <v>1591</v>
      </c>
      <c r="H937" s="30" t="s">
        <v>1592</v>
      </c>
      <c r="L937" s="30" t="s">
        <v>11820</v>
      </c>
      <c r="M937" s="30" t="s">
        <v>2242</v>
      </c>
      <c r="N937" s="30" t="s">
        <v>1392</v>
      </c>
      <c r="P937" s="30" t="s">
        <v>6403</v>
      </c>
      <c r="Q937" t="s">
        <v>619</v>
      </c>
      <c r="R937" t="s">
        <v>919</v>
      </c>
      <c r="S937">
        <v>39</v>
      </c>
      <c r="T937" s="29" t="str">
        <f t="shared" si="40"/>
        <v>2023.015B.Chimalliviridae_nf.zip</v>
      </c>
      <c r="U937" s="29" t="str">
        <f>HYPERLINK("https://ictv.global/taxonomy/taxondetails?taxnode_id=202306893","ictv.global=202306893")</f>
        <v>ictv.global=202306893</v>
      </c>
    </row>
    <row r="938" spans="1:21">
      <c r="A938">
        <v>937</v>
      </c>
      <c r="B938" s="30" t="s">
        <v>1587</v>
      </c>
      <c r="D938" s="30" t="s">
        <v>1588</v>
      </c>
      <c r="F938" s="30" t="s">
        <v>1591</v>
      </c>
      <c r="H938" s="30" t="s">
        <v>1592</v>
      </c>
      <c r="L938" s="30" t="s">
        <v>11820</v>
      </c>
      <c r="N938" s="30" t="s">
        <v>1345</v>
      </c>
      <c r="P938" s="30" t="s">
        <v>6841</v>
      </c>
      <c r="Q938" t="s">
        <v>619</v>
      </c>
      <c r="R938" t="s">
        <v>919</v>
      </c>
      <c r="S938">
        <v>39</v>
      </c>
      <c r="T938" s="29" t="str">
        <f t="shared" si="40"/>
        <v>2023.015B.Chimalliviridae_nf.zip</v>
      </c>
      <c r="U938" s="29" t="str">
        <f>HYPERLINK("https://ictv.global/taxonomy/taxondetails?taxnode_id=202300371","ictv.global=202300371")</f>
        <v>ictv.global=202300371</v>
      </c>
    </row>
    <row r="939" spans="1:21">
      <c r="A939">
        <v>938</v>
      </c>
      <c r="B939" s="30" t="s">
        <v>1587</v>
      </c>
      <c r="D939" s="30" t="s">
        <v>1588</v>
      </c>
      <c r="F939" s="30" t="s">
        <v>1591</v>
      </c>
      <c r="H939" s="30" t="s">
        <v>1592</v>
      </c>
      <c r="L939" s="30" t="s">
        <v>11820</v>
      </c>
      <c r="N939" s="30" t="s">
        <v>1345</v>
      </c>
      <c r="P939" s="30" t="s">
        <v>6842</v>
      </c>
      <c r="Q939" t="s">
        <v>619</v>
      </c>
      <c r="R939" t="s">
        <v>919</v>
      </c>
      <c r="S939">
        <v>39</v>
      </c>
      <c r="T939" s="29" t="str">
        <f t="shared" si="40"/>
        <v>2023.015B.Chimalliviridae_nf.zip</v>
      </c>
      <c r="U939" s="29" t="str">
        <f>HYPERLINK("https://ictv.global/taxonomy/taxondetails?taxnode_id=202306995","ictv.global=202306995")</f>
        <v>ictv.global=202306995</v>
      </c>
    </row>
    <row r="940" spans="1:21">
      <c r="A940">
        <v>939</v>
      </c>
      <c r="B940" s="30" t="s">
        <v>1587</v>
      </c>
      <c r="D940" s="30" t="s">
        <v>1588</v>
      </c>
      <c r="F940" s="30" t="s">
        <v>1591</v>
      </c>
      <c r="H940" s="30" t="s">
        <v>1592</v>
      </c>
      <c r="L940" s="30" t="s">
        <v>11820</v>
      </c>
      <c r="N940" s="30" t="s">
        <v>1345</v>
      </c>
      <c r="P940" s="30" t="s">
        <v>6843</v>
      </c>
      <c r="Q940" t="s">
        <v>619</v>
      </c>
      <c r="R940" t="s">
        <v>919</v>
      </c>
      <c r="S940">
        <v>39</v>
      </c>
      <c r="T940" s="29" t="str">
        <f t="shared" si="40"/>
        <v>2023.015B.Chimalliviridae_nf.zip</v>
      </c>
      <c r="U940" s="29" t="str">
        <f>HYPERLINK("https://ictv.global/taxonomy/taxondetails?taxnode_id=202300372","ictv.global=202300372")</f>
        <v>ictv.global=202300372</v>
      </c>
    </row>
    <row r="941" spans="1:21">
      <c r="A941">
        <v>940</v>
      </c>
      <c r="B941" s="30" t="s">
        <v>1587</v>
      </c>
      <c r="D941" s="30" t="s">
        <v>1588</v>
      </c>
      <c r="F941" s="30" t="s">
        <v>1591</v>
      </c>
      <c r="H941" s="30" t="s">
        <v>1592</v>
      </c>
      <c r="L941" s="30" t="s">
        <v>11820</v>
      </c>
      <c r="N941" s="30" t="s">
        <v>1345</v>
      </c>
      <c r="P941" s="30" t="s">
        <v>6844</v>
      </c>
      <c r="Q941" t="s">
        <v>619</v>
      </c>
      <c r="R941" t="s">
        <v>919</v>
      </c>
      <c r="S941">
        <v>39</v>
      </c>
      <c r="T941" s="29" t="str">
        <f t="shared" si="40"/>
        <v>2023.015B.Chimalliviridae_nf.zip</v>
      </c>
      <c r="U941" s="29" t="str">
        <f>HYPERLINK("https://ictv.global/taxonomy/taxondetails?taxnode_id=202300373","ictv.global=202300373")</f>
        <v>ictv.global=202300373</v>
      </c>
    </row>
    <row r="942" spans="1:21">
      <c r="A942">
        <v>941</v>
      </c>
      <c r="B942" s="30" t="s">
        <v>1587</v>
      </c>
      <c r="D942" s="30" t="s">
        <v>1588</v>
      </c>
      <c r="F942" s="30" t="s">
        <v>1591</v>
      </c>
      <c r="H942" s="30" t="s">
        <v>1592</v>
      </c>
      <c r="L942" s="30" t="s">
        <v>11820</v>
      </c>
      <c r="N942" s="30" t="s">
        <v>1345</v>
      </c>
      <c r="P942" s="30" t="s">
        <v>6845</v>
      </c>
      <c r="Q942" t="s">
        <v>619</v>
      </c>
      <c r="R942" t="s">
        <v>919</v>
      </c>
      <c r="S942">
        <v>39</v>
      </c>
      <c r="T942" s="29" t="str">
        <f t="shared" si="40"/>
        <v>2023.015B.Chimalliviridae_nf.zip</v>
      </c>
      <c r="U942" s="29" t="str">
        <f>HYPERLINK("https://ictv.global/taxonomy/taxondetails?taxnode_id=202300374","ictv.global=202300374")</f>
        <v>ictv.global=202300374</v>
      </c>
    </row>
    <row r="943" spans="1:21">
      <c r="A943">
        <v>942</v>
      </c>
      <c r="B943" s="30" t="s">
        <v>1587</v>
      </c>
      <c r="D943" s="30" t="s">
        <v>1588</v>
      </c>
      <c r="F943" s="30" t="s">
        <v>1591</v>
      </c>
      <c r="H943" s="30" t="s">
        <v>1592</v>
      </c>
      <c r="L943" s="30" t="s">
        <v>11820</v>
      </c>
      <c r="N943" s="30" t="s">
        <v>1345</v>
      </c>
      <c r="P943" s="30" t="s">
        <v>6846</v>
      </c>
      <c r="Q943" t="s">
        <v>619</v>
      </c>
      <c r="R943" t="s">
        <v>919</v>
      </c>
      <c r="S943">
        <v>39</v>
      </c>
      <c r="T943" s="29" t="str">
        <f t="shared" si="40"/>
        <v>2023.015B.Chimalliviridae_nf.zip</v>
      </c>
      <c r="U943" s="29" t="str">
        <f>HYPERLINK("https://ictv.global/taxonomy/taxondetails?taxnode_id=202300375","ictv.global=202300375")</f>
        <v>ictv.global=202300375</v>
      </c>
    </row>
    <row r="944" spans="1:21">
      <c r="A944">
        <v>943</v>
      </c>
      <c r="B944" s="30" t="s">
        <v>1587</v>
      </c>
      <c r="D944" s="30" t="s">
        <v>1588</v>
      </c>
      <c r="F944" s="30" t="s">
        <v>1591</v>
      </c>
      <c r="H944" s="30" t="s">
        <v>1592</v>
      </c>
      <c r="L944" s="30" t="s">
        <v>11820</v>
      </c>
      <c r="N944" s="30" t="s">
        <v>1354</v>
      </c>
      <c r="P944" s="30" t="s">
        <v>7120</v>
      </c>
      <c r="Q944" t="s">
        <v>619</v>
      </c>
      <c r="R944" t="s">
        <v>919</v>
      </c>
      <c r="S944">
        <v>39</v>
      </c>
      <c r="T944" s="29" t="str">
        <f t="shared" si="40"/>
        <v>2023.015B.Chimalliviridae_nf.zip</v>
      </c>
      <c r="U944" s="29" t="str">
        <f>HYPERLINK("https://ictv.global/taxonomy/taxondetails?taxnode_id=202300493","ictv.global=202300493")</f>
        <v>ictv.global=202300493</v>
      </c>
    </row>
    <row r="945" spans="1:21">
      <c r="A945">
        <v>944</v>
      </c>
      <c r="B945" s="30" t="s">
        <v>1587</v>
      </c>
      <c r="D945" s="30" t="s">
        <v>1588</v>
      </c>
      <c r="F945" s="30" t="s">
        <v>1591</v>
      </c>
      <c r="H945" s="30" t="s">
        <v>1592</v>
      </c>
      <c r="L945" s="30" t="s">
        <v>11820</v>
      </c>
      <c r="N945" s="30" t="s">
        <v>1354</v>
      </c>
      <c r="P945" s="30" t="s">
        <v>7121</v>
      </c>
      <c r="Q945" t="s">
        <v>619</v>
      </c>
      <c r="R945" t="s">
        <v>919</v>
      </c>
      <c r="S945">
        <v>39</v>
      </c>
      <c r="T945" s="29" t="str">
        <f t="shared" si="40"/>
        <v>2023.015B.Chimalliviridae_nf.zip</v>
      </c>
      <c r="U945" s="29" t="str">
        <f>HYPERLINK("https://ictv.global/taxonomy/taxondetails?taxnode_id=202300494","ictv.global=202300494")</f>
        <v>ictv.global=202300494</v>
      </c>
    </row>
    <row r="946" spans="1:21">
      <c r="A946">
        <v>945</v>
      </c>
      <c r="B946" s="30" t="s">
        <v>1587</v>
      </c>
      <c r="D946" s="30" t="s">
        <v>1588</v>
      </c>
      <c r="F946" s="30" t="s">
        <v>1591</v>
      </c>
      <c r="H946" s="30" t="s">
        <v>1592</v>
      </c>
      <c r="L946" s="30" t="s">
        <v>11820</v>
      </c>
      <c r="N946" s="30" t="s">
        <v>1815</v>
      </c>
      <c r="P946" s="30" t="s">
        <v>7180</v>
      </c>
      <c r="Q946" t="s">
        <v>619</v>
      </c>
      <c r="R946" t="s">
        <v>919</v>
      </c>
      <c r="S946">
        <v>39</v>
      </c>
      <c r="T946" s="29" t="str">
        <f t="shared" si="40"/>
        <v>2023.015B.Chimalliviridae_nf.zip</v>
      </c>
      <c r="U946" s="29" t="str">
        <f>HYPERLINK("https://ictv.global/taxonomy/taxondetails?taxnode_id=202307837","ictv.global=202307837")</f>
        <v>ictv.global=202307837</v>
      </c>
    </row>
    <row r="947" spans="1:21">
      <c r="A947">
        <v>946</v>
      </c>
      <c r="B947" s="30" t="s">
        <v>1587</v>
      </c>
      <c r="D947" s="30" t="s">
        <v>1588</v>
      </c>
      <c r="F947" s="30" t="s">
        <v>1591</v>
      </c>
      <c r="H947" s="30" t="s">
        <v>1592</v>
      </c>
      <c r="L947" s="30" t="s">
        <v>11820</v>
      </c>
      <c r="N947" s="30" t="s">
        <v>818</v>
      </c>
      <c r="P947" s="30" t="s">
        <v>7239</v>
      </c>
      <c r="Q947" t="s">
        <v>619</v>
      </c>
      <c r="R947" t="s">
        <v>919</v>
      </c>
      <c r="S947">
        <v>39</v>
      </c>
      <c r="T947" s="29" t="str">
        <f t="shared" si="40"/>
        <v>2023.015B.Chimalliviridae_nf.zip</v>
      </c>
      <c r="U947" s="29" t="str">
        <f>HYPERLINK("https://ictv.global/taxonomy/taxondetails?taxnode_id=202300432","ictv.global=202300432")</f>
        <v>ictv.global=202300432</v>
      </c>
    </row>
    <row r="948" spans="1:21">
      <c r="A948">
        <v>947</v>
      </c>
      <c r="B948" s="30" t="s">
        <v>1587</v>
      </c>
      <c r="D948" s="30" t="s">
        <v>1588</v>
      </c>
      <c r="F948" s="30" t="s">
        <v>1591</v>
      </c>
      <c r="H948" s="30" t="s">
        <v>1592</v>
      </c>
      <c r="L948" s="30" t="s">
        <v>11820</v>
      </c>
      <c r="N948" s="30" t="s">
        <v>1357</v>
      </c>
      <c r="P948" s="30" t="s">
        <v>7262</v>
      </c>
      <c r="Q948" t="s">
        <v>619</v>
      </c>
      <c r="R948" t="s">
        <v>919</v>
      </c>
      <c r="S948">
        <v>39</v>
      </c>
      <c r="T948" s="29" t="str">
        <f t="shared" si="40"/>
        <v>2023.015B.Chimalliviridae_nf.zip</v>
      </c>
      <c r="U948" s="29" t="str">
        <f>HYPERLINK("https://ictv.global/taxonomy/taxondetails?taxnode_id=202305480","ictv.global=202305480")</f>
        <v>ictv.global=202305480</v>
      </c>
    </row>
    <row r="949" spans="1:21">
      <c r="A949">
        <v>948</v>
      </c>
      <c r="B949" s="30" t="s">
        <v>1587</v>
      </c>
      <c r="D949" s="30" t="s">
        <v>1588</v>
      </c>
      <c r="F949" s="30" t="s">
        <v>1591</v>
      </c>
      <c r="H949" s="30" t="s">
        <v>1592</v>
      </c>
      <c r="L949" s="30" t="s">
        <v>11820</v>
      </c>
      <c r="N949" s="30" t="s">
        <v>1357</v>
      </c>
      <c r="P949" s="30" t="s">
        <v>7263</v>
      </c>
      <c r="Q949" t="s">
        <v>619</v>
      </c>
      <c r="R949" t="s">
        <v>919</v>
      </c>
      <c r="S949">
        <v>39</v>
      </c>
      <c r="T949" s="29" t="str">
        <f t="shared" si="40"/>
        <v>2023.015B.Chimalliviridae_nf.zip</v>
      </c>
      <c r="U949" s="29" t="str">
        <f>HYPERLINK("https://ictv.global/taxonomy/taxondetails?taxnode_id=202305481","ictv.global=202305481")</f>
        <v>ictv.global=202305481</v>
      </c>
    </row>
    <row r="950" spans="1:21">
      <c r="A950">
        <v>949</v>
      </c>
      <c r="B950" s="30" t="s">
        <v>1587</v>
      </c>
      <c r="D950" s="30" t="s">
        <v>1588</v>
      </c>
      <c r="F950" s="30" t="s">
        <v>1591</v>
      </c>
      <c r="H950" s="30" t="s">
        <v>1592</v>
      </c>
      <c r="L950" s="30" t="s">
        <v>11820</v>
      </c>
      <c r="N950" s="30" t="s">
        <v>1818</v>
      </c>
      <c r="P950" s="30" t="s">
        <v>7401</v>
      </c>
      <c r="Q950" t="s">
        <v>619</v>
      </c>
      <c r="R950" t="s">
        <v>919</v>
      </c>
      <c r="S950">
        <v>39</v>
      </c>
      <c r="T950" s="29" t="str">
        <f t="shared" si="40"/>
        <v>2023.015B.Chimalliviridae_nf.zip</v>
      </c>
      <c r="U950" s="29" t="str">
        <f>HYPERLINK("https://ictv.global/taxonomy/taxondetails?taxnode_id=202307371","ictv.global=202307371")</f>
        <v>ictv.global=202307371</v>
      </c>
    </row>
    <row r="951" spans="1:21">
      <c r="A951">
        <v>950</v>
      </c>
      <c r="B951" s="30" t="s">
        <v>1587</v>
      </c>
      <c r="D951" s="30" t="s">
        <v>1588</v>
      </c>
      <c r="F951" s="30" t="s">
        <v>1591</v>
      </c>
      <c r="H951" s="30" t="s">
        <v>1592</v>
      </c>
      <c r="L951" s="30" t="s">
        <v>11820</v>
      </c>
      <c r="N951" s="30" t="s">
        <v>1361</v>
      </c>
      <c r="P951" s="30" t="s">
        <v>7445</v>
      </c>
      <c r="Q951" t="s">
        <v>619</v>
      </c>
      <c r="R951" t="s">
        <v>919</v>
      </c>
      <c r="S951">
        <v>39</v>
      </c>
      <c r="T951" s="29" t="str">
        <f t="shared" si="40"/>
        <v>2023.015B.Chimalliviridae_nf.zip</v>
      </c>
      <c r="U951" s="29" t="str">
        <f>HYPERLINK("https://ictv.global/taxonomy/taxondetails?taxnode_id=202306317","ictv.global=202306317")</f>
        <v>ictv.global=202306317</v>
      </c>
    </row>
    <row r="952" spans="1:21">
      <c r="A952">
        <v>951</v>
      </c>
      <c r="B952" s="30" t="s">
        <v>1587</v>
      </c>
      <c r="D952" s="30" t="s">
        <v>1588</v>
      </c>
      <c r="F952" s="30" t="s">
        <v>1591</v>
      </c>
      <c r="H952" s="30" t="s">
        <v>1592</v>
      </c>
      <c r="L952" s="30" t="s">
        <v>11820</v>
      </c>
      <c r="N952" s="30" t="s">
        <v>925</v>
      </c>
      <c r="P952" s="30" t="s">
        <v>7655</v>
      </c>
      <c r="Q952" t="s">
        <v>619</v>
      </c>
      <c r="R952" t="s">
        <v>919</v>
      </c>
      <c r="S952">
        <v>39</v>
      </c>
      <c r="T952" s="29" t="str">
        <f t="shared" si="40"/>
        <v>2023.015B.Chimalliviridae_nf.zip</v>
      </c>
      <c r="U952" s="29" t="str">
        <f>HYPERLINK("https://ictv.global/taxonomy/taxondetails?taxnode_id=202305483","ictv.global=202305483")</f>
        <v>ictv.global=202305483</v>
      </c>
    </row>
    <row r="953" spans="1:21">
      <c r="A953">
        <v>952</v>
      </c>
      <c r="B953" s="30" t="s">
        <v>1587</v>
      </c>
      <c r="D953" s="30" t="s">
        <v>1588</v>
      </c>
      <c r="F953" s="30" t="s">
        <v>1591</v>
      </c>
      <c r="H953" s="30" t="s">
        <v>1592</v>
      </c>
      <c r="L953" s="30" t="s">
        <v>11820</v>
      </c>
      <c r="N953" s="30" t="s">
        <v>2277</v>
      </c>
      <c r="P953" s="30" t="s">
        <v>7716</v>
      </c>
      <c r="Q953" t="s">
        <v>619</v>
      </c>
      <c r="R953" t="s">
        <v>919</v>
      </c>
      <c r="S953">
        <v>39</v>
      </c>
      <c r="T953" s="29" t="str">
        <f t="shared" si="40"/>
        <v>2023.015B.Chimalliviridae_nf.zip</v>
      </c>
      <c r="U953" s="29" t="str">
        <f>HYPERLINK("https://ictv.global/taxonomy/taxondetails?taxnode_id=202311539","ictv.global=202311539")</f>
        <v>ictv.global=202311539</v>
      </c>
    </row>
    <row r="954" spans="1:21">
      <c r="A954">
        <v>953</v>
      </c>
      <c r="B954" s="30" t="s">
        <v>1587</v>
      </c>
      <c r="D954" s="30" t="s">
        <v>1588</v>
      </c>
      <c r="F954" s="30" t="s">
        <v>1591</v>
      </c>
      <c r="H954" s="30" t="s">
        <v>1592</v>
      </c>
      <c r="L954" s="30" t="s">
        <v>11820</v>
      </c>
      <c r="N954" s="30" t="s">
        <v>2277</v>
      </c>
      <c r="P954" s="30" t="s">
        <v>7717</v>
      </c>
      <c r="Q954" t="s">
        <v>619</v>
      </c>
      <c r="R954" t="s">
        <v>919</v>
      </c>
      <c r="S954">
        <v>39</v>
      </c>
      <c r="T954" s="29" t="str">
        <f t="shared" si="40"/>
        <v>2023.015B.Chimalliviridae_nf.zip</v>
      </c>
      <c r="U954" s="29" t="str">
        <f>HYPERLINK("https://ictv.global/taxonomy/taxondetails?taxnode_id=202311540","ictv.global=202311540")</f>
        <v>ictv.global=202311540</v>
      </c>
    </row>
    <row r="955" spans="1:21">
      <c r="A955">
        <v>954</v>
      </c>
      <c r="B955" s="30" t="s">
        <v>1587</v>
      </c>
      <c r="D955" s="30" t="s">
        <v>1588</v>
      </c>
      <c r="F955" s="30" t="s">
        <v>1591</v>
      </c>
      <c r="H955" s="30" t="s">
        <v>1592</v>
      </c>
      <c r="L955" s="30" t="s">
        <v>11820</v>
      </c>
      <c r="N955" s="30" t="s">
        <v>1375</v>
      </c>
      <c r="P955" s="30" t="s">
        <v>7793</v>
      </c>
      <c r="Q955" t="s">
        <v>619</v>
      </c>
      <c r="R955" t="s">
        <v>919</v>
      </c>
      <c r="S955">
        <v>39</v>
      </c>
      <c r="T955" s="29" t="str">
        <f t="shared" si="40"/>
        <v>2023.015B.Chimalliviridae_nf.zip</v>
      </c>
      <c r="U955" s="29" t="str">
        <f>HYPERLINK("https://ictv.global/taxonomy/taxondetails?taxnode_id=202306327","ictv.global=202306327")</f>
        <v>ictv.global=202306327</v>
      </c>
    </row>
    <row r="956" spans="1:21">
      <c r="A956">
        <v>955</v>
      </c>
      <c r="B956" s="30" t="s">
        <v>1587</v>
      </c>
      <c r="D956" s="30" t="s">
        <v>1588</v>
      </c>
      <c r="F956" s="30" t="s">
        <v>1591</v>
      </c>
      <c r="H956" s="30" t="s">
        <v>1592</v>
      </c>
      <c r="L956" s="30" t="s">
        <v>11820</v>
      </c>
      <c r="N956" s="30" t="s">
        <v>1835</v>
      </c>
      <c r="P956" s="30" t="s">
        <v>7961</v>
      </c>
      <c r="Q956" t="s">
        <v>619</v>
      </c>
      <c r="R956" t="s">
        <v>919</v>
      </c>
      <c r="S956">
        <v>39</v>
      </c>
      <c r="T956" s="29" t="str">
        <f t="shared" si="40"/>
        <v>2023.015B.Chimalliviridae_nf.zip</v>
      </c>
      <c r="U956" s="29" t="str">
        <f>HYPERLINK("https://ictv.global/taxonomy/taxondetails?taxnode_id=202307985","ictv.global=202307985")</f>
        <v>ictv.global=202307985</v>
      </c>
    </row>
    <row r="957" spans="1:21">
      <c r="A957">
        <v>956</v>
      </c>
      <c r="B957" s="30" t="s">
        <v>1587</v>
      </c>
      <c r="D957" s="30" t="s">
        <v>1588</v>
      </c>
      <c r="F957" s="30" t="s">
        <v>1591</v>
      </c>
      <c r="H957" s="30" t="s">
        <v>1592</v>
      </c>
      <c r="L957" s="30" t="s">
        <v>11820</v>
      </c>
      <c r="N957" s="30" t="s">
        <v>646</v>
      </c>
      <c r="P957" s="30" t="s">
        <v>7971</v>
      </c>
      <c r="Q957" t="s">
        <v>619</v>
      </c>
      <c r="R957" t="s">
        <v>919</v>
      </c>
      <c r="S957">
        <v>39</v>
      </c>
      <c r="T957" s="29" t="str">
        <f t="shared" si="40"/>
        <v>2023.015B.Chimalliviridae_nf.zip</v>
      </c>
      <c r="U957" s="29" t="str">
        <f>HYPERLINK("https://ictv.global/taxonomy/taxondetails?taxnode_id=202300488","ictv.global=202300488")</f>
        <v>ictv.global=202300488</v>
      </c>
    </row>
    <row r="958" spans="1:21">
      <c r="A958">
        <v>957</v>
      </c>
      <c r="B958" s="30" t="s">
        <v>1587</v>
      </c>
      <c r="D958" s="30" t="s">
        <v>1588</v>
      </c>
      <c r="F958" s="30" t="s">
        <v>1591</v>
      </c>
      <c r="H958" s="30" t="s">
        <v>1592</v>
      </c>
      <c r="L958" s="30" t="s">
        <v>11820</v>
      </c>
      <c r="N958" s="30" t="s">
        <v>646</v>
      </c>
      <c r="P958" s="30" t="s">
        <v>7972</v>
      </c>
      <c r="Q958" t="s">
        <v>619</v>
      </c>
      <c r="R958" t="s">
        <v>919</v>
      </c>
      <c r="S958">
        <v>39</v>
      </c>
      <c r="T958" s="29" t="str">
        <f t="shared" si="40"/>
        <v>2023.015B.Chimalliviridae_nf.zip</v>
      </c>
      <c r="U958" s="29" t="str">
        <f>HYPERLINK("https://ictv.global/taxonomy/taxondetails?taxnode_id=202300489","ictv.global=202300489")</f>
        <v>ictv.global=202300489</v>
      </c>
    </row>
    <row r="959" spans="1:21">
      <c r="A959">
        <v>958</v>
      </c>
      <c r="B959" s="30" t="s">
        <v>1587</v>
      </c>
      <c r="D959" s="30" t="s">
        <v>1588</v>
      </c>
      <c r="F959" s="30" t="s">
        <v>1591</v>
      </c>
      <c r="H959" s="30" t="s">
        <v>1592</v>
      </c>
      <c r="L959" s="30" t="s">
        <v>11820</v>
      </c>
      <c r="N959" s="30" t="s">
        <v>646</v>
      </c>
      <c r="P959" s="30" t="s">
        <v>7973</v>
      </c>
      <c r="Q959" t="s">
        <v>619</v>
      </c>
      <c r="R959" t="s">
        <v>919</v>
      </c>
      <c r="S959">
        <v>39</v>
      </c>
      <c r="T959" s="29" t="str">
        <f t="shared" si="40"/>
        <v>2023.015B.Chimalliviridae_nf.zip</v>
      </c>
      <c r="U959" s="29" t="str">
        <f>HYPERLINK("https://ictv.global/taxonomy/taxondetails?taxnode_id=202307032","ictv.global=202307032")</f>
        <v>ictv.global=202307032</v>
      </c>
    </row>
    <row r="960" spans="1:21">
      <c r="A960">
        <v>959</v>
      </c>
      <c r="B960" s="30" t="s">
        <v>1587</v>
      </c>
      <c r="D960" s="30" t="s">
        <v>1588</v>
      </c>
      <c r="F960" s="30" t="s">
        <v>1591</v>
      </c>
      <c r="H960" s="30" t="s">
        <v>1592</v>
      </c>
      <c r="L960" s="30" t="s">
        <v>11820</v>
      </c>
      <c r="N960" s="30" t="s">
        <v>1384</v>
      </c>
      <c r="P960" s="30" t="s">
        <v>8054</v>
      </c>
      <c r="Q960" t="s">
        <v>619</v>
      </c>
      <c r="R960" t="s">
        <v>919</v>
      </c>
      <c r="S960">
        <v>39</v>
      </c>
      <c r="T960" s="29" t="str">
        <f t="shared" si="40"/>
        <v>2023.015B.Chimalliviridae_nf.zip</v>
      </c>
      <c r="U960" s="29" t="str">
        <f>HYPERLINK("https://ictv.global/taxonomy/taxondetails?taxnode_id=202306865","ictv.global=202306865")</f>
        <v>ictv.global=202306865</v>
      </c>
    </row>
    <row r="961" spans="1:21">
      <c r="A961">
        <v>960</v>
      </c>
      <c r="B961" s="30" t="s">
        <v>1587</v>
      </c>
      <c r="D961" s="30" t="s">
        <v>1588</v>
      </c>
      <c r="F961" s="30" t="s">
        <v>1591</v>
      </c>
      <c r="H961" s="30" t="s">
        <v>1592</v>
      </c>
      <c r="L961" s="30" t="s">
        <v>11820</v>
      </c>
      <c r="N961" s="30" t="s">
        <v>1385</v>
      </c>
      <c r="P961" s="30" t="s">
        <v>8055</v>
      </c>
      <c r="Q961" t="s">
        <v>619</v>
      </c>
      <c r="R961" t="s">
        <v>919</v>
      </c>
      <c r="S961">
        <v>39</v>
      </c>
      <c r="T961" s="29" t="str">
        <f t="shared" si="40"/>
        <v>2023.015B.Chimalliviridae_nf.zip</v>
      </c>
      <c r="U961" s="29" t="str">
        <f>HYPERLINK("https://ictv.global/taxonomy/taxondetails?taxnode_id=202306867","ictv.global=202306867")</f>
        <v>ictv.global=202306867</v>
      </c>
    </row>
    <row r="962" spans="1:21">
      <c r="A962">
        <v>961</v>
      </c>
      <c r="B962" s="30" t="s">
        <v>1587</v>
      </c>
      <c r="D962" s="30" t="s">
        <v>1588</v>
      </c>
      <c r="F962" s="30" t="s">
        <v>1591</v>
      </c>
      <c r="H962" s="30" t="s">
        <v>1592</v>
      </c>
      <c r="L962" s="30" t="s">
        <v>11820</v>
      </c>
      <c r="N962" s="30" t="s">
        <v>1386</v>
      </c>
      <c r="P962" s="30" t="s">
        <v>8134</v>
      </c>
      <c r="Q962" t="s">
        <v>619</v>
      </c>
      <c r="R962" t="s">
        <v>919</v>
      </c>
      <c r="S962">
        <v>39</v>
      </c>
      <c r="T962" s="29" t="str">
        <f t="shared" si="40"/>
        <v>2023.015B.Chimalliviridae_nf.zip</v>
      </c>
      <c r="U962" s="29" t="str">
        <f>HYPERLINK("https://ictv.global/taxonomy/taxondetails?taxnode_id=202300508","ictv.global=202300508")</f>
        <v>ictv.global=202300508</v>
      </c>
    </row>
    <row r="963" spans="1:21">
      <c r="A963">
        <v>962</v>
      </c>
      <c r="B963" s="30" t="s">
        <v>1587</v>
      </c>
      <c r="D963" s="30" t="s">
        <v>1588</v>
      </c>
      <c r="F963" s="30" t="s">
        <v>1591</v>
      </c>
      <c r="H963" s="30" t="s">
        <v>1592</v>
      </c>
      <c r="L963" s="30" t="s">
        <v>11820</v>
      </c>
      <c r="N963" s="30" t="s">
        <v>2293</v>
      </c>
      <c r="P963" s="30" t="s">
        <v>8318</v>
      </c>
      <c r="Q963" t="s">
        <v>619</v>
      </c>
      <c r="R963" t="s">
        <v>919</v>
      </c>
      <c r="S963">
        <v>39</v>
      </c>
      <c r="T963" s="29" t="str">
        <f t="shared" si="40"/>
        <v>2023.015B.Chimalliviridae_nf.zip</v>
      </c>
      <c r="U963" s="29" t="str">
        <f>HYPERLINK("https://ictv.global/taxonomy/taxondetails?taxnode_id=202300514","ictv.global=202300514")</f>
        <v>ictv.global=202300514</v>
      </c>
    </row>
    <row r="964" spans="1:21">
      <c r="A964">
        <v>963</v>
      </c>
      <c r="B964" s="30" t="s">
        <v>1587</v>
      </c>
      <c r="D964" s="30" t="s">
        <v>1588</v>
      </c>
      <c r="F964" s="30" t="s">
        <v>1591</v>
      </c>
      <c r="H964" s="30" t="s">
        <v>1592</v>
      </c>
      <c r="L964" s="30" t="s">
        <v>11820</v>
      </c>
      <c r="N964" s="30" t="s">
        <v>1858</v>
      </c>
      <c r="P964" s="30" t="s">
        <v>8445</v>
      </c>
      <c r="Q964" t="s">
        <v>619</v>
      </c>
      <c r="R964" t="s">
        <v>919</v>
      </c>
      <c r="S964">
        <v>39</v>
      </c>
      <c r="T964" s="29" t="str">
        <f t="shared" si="40"/>
        <v>2023.015B.Chimalliviridae_nf.zip</v>
      </c>
      <c r="U964" s="29" t="str">
        <f>HYPERLINK("https://ictv.global/taxonomy/taxondetails?taxnode_id=202308072","ictv.global=202308072")</f>
        <v>ictv.global=202308072</v>
      </c>
    </row>
    <row r="965" spans="1:21">
      <c r="A965">
        <v>964</v>
      </c>
      <c r="B965" s="30" t="s">
        <v>1587</v>
      </c>
      <c r="D965" s="30" t="s">
        <v>1588</v>
      </c>
      <c r="F965" s="30" t="s">
        <v>1591</v>
      </c>
      <c r="H965" s="30" t="s">
        <v>1592</v>
      </c>
      <c r="L965" s="30" t="s">
        <v>11821</v>
      </c>
      <c r="N965" s="30" t="s">
        <v>11822</v>
      </c>
      <c r="P965" s="30" t="s">
        <v>11823</v>
      </c>
      <c r="Q965" t="s">
        <v>619</v>
      </c>
      <c r="R965" t="s">
        <v>917</v>
      </c>
      <c r="S965">
        <v>39</v>
      </c>
      <c r="T965" s="29" t="str">
        <f>HYPERLINK("https://ictv.global/ictv/proposals/2023.002A.Caudoviricetes_5nf_v2.zip","2023.002A.Caudoviricetes_5nf_v2.zip")</f>
        <v>2023.002A.Caudoviricetes_5nf_v2.zip</v>
      </c>
      <c r="U965" s="29" t="str">
        <f>HYPERLINK("https://ictv.global/taxonomy/taxondetails?taxnode_id=202317738","ictv.global=202317738")</f>
        <v>ictv.global=202317738</v>
      </c>
    </row>
    <row r="966" spans="1:21">
      <c r="A966">
        <v>965</v>
      </c>
      <c r="B966" s="30" t="s">
        <v>1587</v>
      </c>
      <c r="D966" s="30" t="s">
        <v>1588</v>
      </c>
      <c r="F966" s="30" t="s">
        <v>1591</v>
      </c>
      <c r="H966" s="30" t="s">
        <v>1592</v>
      </c>
      <c r="L966" s="30" t="s">
        <v>1748</v>
      </c>
      <c r="M966" s="30" t="s">
        <v>1749</v>
      </c>
      <c r="N966" s="30" t="s">
        <v>1472</v>
      </c>
      <c r="P966" s="30" t="s">
        <v>4870</v>
      </c>
      <c r="Q966" t="s">
        <v>619</v>
      </c>
      <c r="R966" t="s">
        <v>918</v>
      </c>
      <c r="S966">
        <v>37</v>
      </c>
      <c r="T966" s="29" t="str">
        <f>HYPERLINK("https://ictv.global/ictv/proposals/2021.010B.R.Binomial_names.zip","2021.010B.R.Binomial_names.zip")</f>
        <v>2021.010B.R.Binomial_names.zip</v>
      </c>
      <c r="U966" s="29" t="str">
        <f>HYPERLINK("https://ictv.global/taxonomy/taxondetails?taxnode_id=202307086","ictv.global=202307086")</f>
        <v>ictv.global=202307086</v>
      </c>
    </row>
    <row r="967" spans="1:21">
      <c r="A967">
        <v>966</v>
      </c>
      <c r="B967" s="30" t="s">
        <v>1587</v>
      </c>
      <c r="D967" s="30" t="s">
        <v>1588</v>
      </c>
      <c r="F967" s="30" t="s">
        <v>1591</v>
      </c>
      <c r="H967" s="30" t="s">
        <v>1592</v>
      </c>
      <c r="L967" s="30" t="s">
        <v>1748</v>
      </c>
      <c r="M967" s="30" t="s">
        <v>1749</v>
      </c>
      <c r="N967" s="30" t="s">
        <v>1507</v>
      </c>
      <c r="P967" s="30" t="s">
        <v>4871</v>
      </c>
      <c r="Q967" t="s">
        <v>619</v>
      </c>
      <c r="R967" t="s">
        <v>918</v>
      </c>
      <c r="S967">
        <v>37</v>
      </c>
      <c r="T967" s="29" t="str">
        <f>HYPERLINK("https://ictv.global/ictv/proposals/2021.010B.R.Binomial_names.zip","2021.010B.R.Binomial_names.zip")</f>
        <v>2021.010B.R.Binomial_names.zip</v>
      </c>
      <c r="U967" s="29" t="str">
        <f>HYPERLINK("https://ictv.global/taxonomy/taxondetails?taxnode_id=202306955","ictv.global=202306955")</f>
        <v>ictv.global=202306955</v>
      </c>
    </row>
    <row r="968" spans="1:21">
      <c r="A968">
        <v>967</v>
      </c>
      <c r="B968" s="30" t="s">
        <v>1587</v>
      </c>
      <c r="D968" s="30" t="s">
        <v>1588</v>
      </c>
      <c r="F968" s="30" t="s">
        <v>1591</v>
      </c>
      <c r="H968" s="30" t="s">
        <v>1592</v>
      </c>
      <c r="L968" s="30" t="s">
        <v>1748</v>
      </c>
      <c r="M968" s="30" t="s">
        <v>1749</v>
      </c>
      <c r="N968" s="30" t="s">
        <v>1507</v>
      </c>
      <c r="P968" s="30" t="s">
        <v>4872</v>
      </c>
      <c r="Q968" t="s">
        <v>619</v>
      </c>
      <c r="R968" t="s">
        <v>918</v>
      </c>
      <c r="S968">
        <v>37</v>
      </c>
      <c r="T968" s="29" t="str">
        <f>HYPERLINK("https://ictv.global/ictv/proposals/2021.010B.R.Binomial_names.zip","2021.010B.R.Binomial_names.zip")</f>
        <v>2021.010B.R.Binomial_names.zip</v>
      </c>
      <c r="U968" s="29" t="str">
        <f>HYPERLINK("https://ictv.global/taxonomy/taxondetails?taxnode_id=202308127","ictv.global=202308127")</f>
        <v>ictv.global=202308127</v>
      </c>
    </row>
    <row r="969" spans="1:21">
      <c r="A969">
        <v>968</v>
      </c>
      <c r="B969" s="30" t="s">
        <v>1587</v>
      </c>
      <c r="D969" s="30" t="s">
        <v>1588</v>
      </c>
      <c r="F969" s="30" t="s">
        <v>1591</v>
      </c>
      <c r="H969" s="30" t="s">
        <v>1592</v>
      </c>
      <c r="L969" s="30" t="s">
        <v>1748</v>
      </c>
      <c r="M969" s="30" t="s">
        <v>1749</v>
      </c>
      <c r="N969" s="30" t="s">
        <v>1507</v>
      </c>
      <c r="P969" s="30" t="s">
        <v>4873</v>
      </c>
      <c r="Q969" t="s">
        <v>619</v>
      </c>
      <c r="R969" t="s">
        <v>918</v>
      </c>
      <c r="S969">
        <v>37</v>
      </c>
      <c r="T969" s="29" t="str">
        <f>HYPERLINK("https://ictv.global/ictv/proposals/2021.010B.R.Binomial_names.zip","2021.010B.R.Binomial_names.zip")</f>
        <v>2021.010B.R.Binomial_names.zip</v>
      </c>
      <c r="U969" s="29" t="str">
        <f>HYPERLINK("https://ictv.global/taxonomy/taxondetails?taxnode_id=202306956","ictv.global=202306956")</f>
        <v>ictv.global=202306956</v>
      </c>
    </row>
    <row r="970" spans="1:21">
      <c r="A970">
        <v>969</v>
      </c>
      <c r="B970" s="30" t="s">
        <v>1587</v>
      </c>
      <c r="D970" s="30" t="s">
        <v>1588</v>
      </c>
      <c r="F970" s="30" t="s">
        <v>1591</v>
      </c>
      <c r="H970" s="30" t="s">
        <v>1592</v>
      </c>
      <c r="L970" s="30" t="s">
        <v>1748</v>
      </c>
      <c r="M970" s="30" t="s">
        <v>1749</v>
      </c>
      <c r="N970" s="30" t="s">
        <v>4874</v>
      </c>
      <c r="P970" s="30" t="s">
        <v>4875</v>
      </c>
      <c r="Q970" t="s">
        <v>619</v>
      </c>
      <c r="R970" t="s">
        <v>917</v>
      </c>
      <c r="S970">
        <v>37</v>
      </c>
      <c r="T970" s="29" t="str">
        <f t="shared" ref="T970:T981" si="41">HYPERLINK("https://ictv.global/ictv/proposals/2021.023B.R.Demerecviridae_new_genera.zip","2021.023B.R.Demerecviridae_new_genera.zip")</f>
        <v>2021.023B.R.Demerecviridae_new_genera.zip</v>
      </c>
      <c r="U970" s="29" t="str">
        <f>HYPERLINK("https://ictv.global/taxonomy/taxondetails?taxnode_id=202313507","ictv.global=202313507")</f>
        <v>ictv.global=202313507</v>
      </c>
    </row>
    <row r="971" spans="1:21">
      <c r="A971">
        <v>970</v>
      </c>
      <c r="B971" s="30" t="s">
        <v>1587</v>
      </c>
      <c r="D971" s="30" t="s">
        <v>1588</v>
      </c>
      <c r="F971" s="30" t="s">
        <v>1591</v>
      </c>
      <c r="H971" s="30" t="s">
        <v>1592</v>
      </c>
      <c r="L971" s="30" t="s">
        <v>1748</v>
      </c>
      <c r="M971" s="30" t="s">
        <v>1749</v>
      </c>
      <c r="N971" s="30" t="s">
        <v>4874</v>
      </c>
      <c r="P971" s="30" t="s">
        <v>4876</v>
      </c>
      <c r="Q971" t="s">
        <v>619</v>
      </c>
      <c r="R971" t="s">
        <v>917</v>
      </c>
      <c r="S971">
        <v>37</v>
      </c>
      <c r="T971" s="29" t="str">
        <f t="shared" si="41"/>
        <v>2021.023B.R.Demerecviridae_new_genera.zip</v>
      </c>
      <c r="U971" s="29" t="str">
        <f>HYPERLINK("https://ictv.global/taxonomy/taxondetails?taxnode_id=202313512","ictv.global=202313512")</f>
        <v>ictv.global=202313512</v>
      </c>
    </row>
    <row r="972" spans="1:21">
      <c r="A972">
        <v>971</v>
      </c>
      <c r="B972" s="30" t="s">
        <v>1587</v>
      </c>
      <c r="D972" s="30" t="s">
        <v>1588</v>
      </c>
      <c r="F972" s="30" t="s">
        <v>1591</v>
      </c>
      <c r="H972" s="30" t="s">
        <v>1592</v>
      </c>
      <c r="L972" s="30" t="s">
        <v>1748</v>
      </c>
      <c r="M972" s="30" t="s">
        <v>1749</v>
      </c>
      <c r="N972" s="30" t="s">
        <v>4874</v>
      </c>
      <c r="P972" s="30" t="s">
        <v>4877</v>
      </c>
      <c r="Q972" t="s">
        <v>619</v>
      </c>
      <c r="R972" t="s">
        <v>917</v>
      </c>
      <c r="S972">
        <v>37</v>
      </c>
      <c r="T972" s="29" t="str">
        <f t="shared" si="41"/>
        <v>2021.023B.R.Demerecviridae_new_genera.zip</v>
      </c>
      <c r="U972" s="29" t="str">
        <f>HYPERLINK("https://ictv.global/taxonomy/taxondetails?taxnode_id=202313510","ictv.global=202313510")</f>
        <v>ictv.global=202313510</v>
      </c>
    </row>
    <row r="973" spans="1:21">
      <c r="A973">
        <v>972</v>
      </c>
      <c r="B973" s="30" t="s">
        <v>1587</v>
      </c>
      <c r="D973" s="30" t="s">
        <v>1588</v>
      </c>
      <c r="F973" s="30" t="s">
        <v>1591</v>
      </c>
      <c r="H973" s="30" t="s">
        <v>1592</v>
      </c>
      <c r="L973" s="30" t="s">
        <v>1748</v>
      </c>
      <c r="M973" s="30" t="s">
        <v>1749</v>
      </c>
      <c r="N973" s="30" t="s">
        <v>4874</v>
      </c>
      <c r="P973" s="30" t="s">
        <v>4878</v>
      </c>
      <c r="Q973" t="s">
        <v>619</v>
      </c>
      <c r="R973" t="s">
        <v>917</v>
      </c>
      <c r="S973">
        <v>37</v>
      </c>
      <c r="T973" s="29" t="str">
        <f t="shared" si="41"/>
        <v>2021.023B.R.Demerecviridae_new_genera.zip</v>
      </c>
      <c r="U973" s="29" t="str">
        <f>HYPERLINK("https://ictv.global/taxonomy/taxondetails?taxnode_id=202313511","ictv.global=202313511")</f>
        <v>ictv.global=202313511</v>
      </c>
    </row>
    <row r="974" spans="1:21">
      <c r="A974">
        <v>973</v>
      </c>
      <c r="B974" s="30" t="s">
        <v>1587</v>
      </c>
      <c r="D974" s="30" t="s">
        <v>1588</v>
      </c>
      <c r="F974" s="30" t="s">
        <v>1591</v>
      </c>
      <c r="H974" s="30" t="s">
        <v>1592</v>
      </c>
      <c r="L974" s="30" t="s">
        <v>1748</v>
      </c>
      <c r="M974" s="30" t="s">
        <v>1749</v>
      </c>
      <c r="N974" s="30" t="s">
        <v>4874</v>
      </c>
      <c r="P974" s="30" t="s">
        <v>4879</v>
      </c>
      <c r="Q974" t="s">
        <v>619</v>
      </c>
      <c r="R974" t="s">
        <v>917</v>
      </c>
      <c r="S974">
        <v>37</v>
      </c>
      <c r="T974" s="29" t="str">
        <f t="shared" si="41"/>
        <v>2021.023B.R.Demerecviridae_new_genera.zip</v>
      </c>
      <c r="U974" s="29" t="str">
        <f>HYPERLINK("https://ictv.global/taxonomy/taxondetails?taxnode_id=202313508","ictv.global=202313508")</f>
        <v>ictv.global=202313508</v>
      </c>
    </row>
    <row r="975" spans="1:21">
      <c r="A975">
        <v>974</v>
      </c>
      <c r="B975" s="30" t="s">
        <v>1587</v>
      </c>
      <c r="D975" s="30" t="s">
        <v>1588</v>
      </c>
      <c r="F975" s="30" t="s">
        <v>1591</v>
      </c>
      <c r="H975" s="30" t="s">
        <v>1592</v>
      </c>
      <c r="L975" s="30" t="s">
        <v>1748</v>
      </c>
      <c r="M975" s="30" t="s">
        <v>1749</v>
      </c>
      <c r="N975" s="30" t="s">
        <v>4874</v>
      </c>
      <c r="P975" s="30" t="s">
        <v>4880</v>
      </c>
      <c r="Q975" t="s">
        <v>619</v>
      </c>
      <c r="R975" t="s">
        <v>917</v>
      </c>
      <c r="S975">
        <v>37</v>
      </c>
      <c r="T975" s="29" t="str">
        <f t="shared" si="41"/>
        <v>2021.023B.R.Demerecviridae_new_genera.zip</v>
      </c>
      <c r="U975" s="29" t="str">
        <f>HYPERLINK("https://ictv.global/taxonomy/taxondetails?taxnode_id=202313513","ictv.global=202313513")</f>
        <v>ictv.global=202313513</v>
      </c>
    </row>
    <row r="976" spans="1:21">
      <c r="A976">
        <v>975</v>
      </c>
      <c r="B976" s="30" t="s">
        <v>1587</v>
      </c>
      <c r="D976" s="30" t="s">
        <v>1588</v>
      </c>
      <c r="F976" s="30" t="s">
        <v>1591</v>
      </c>
      <c r="H976" s="30" t="s">
        <v>1592</v>
      </c>
      <c r="L976" s="30" t="s">
        <v>1748</v>
      </c>
      <c r="M976" s="30" t="s">
        <v>1749</v>
      </c>
      <c r="N976" s="30" t="s">
        <v>4874</v>
      </c>
      <c r="P976" s="30" t="s">
        <v>4881</v>
      </c>
      <c r="Q976" t="s">
        <v>619</v>
      </c>
      <c r="R976" t="s">
        <v>917</v>
      </c>
      <c r="S976">
        <v>37</v>
      </c>
      <c r="T976" s="29" t="str">
        <f t="shared" si="41"/>
        <v>2021.023B.R.Demerecviridae_new_genera.zip</v>
      </c>
      <c r="U976" s="29" t="str">
        <f>HYPERLINK("https://ictv.global/taxonomy/taxondetails?taxnode_id=202313515","ictv.global=202313515")</f>
        <v>ictv.global=202313515</v>
      </c>
    </row>
    <row r="977" spans="1:21">
      <c r="A977">
        <v>976</v>
      </c>
      <c r="B977" s="30" t="s">
        <v>1587</v>
      </c>
      <c r="D977" s="30" t="s">
        <v>1588</v>
      </c>
      <c r="F977" s="30" t="s">
        <v>1591</v>
      </c>
      <c r="H977" s="30" t="s">
        <v>1592</v>
      </c>
      <c r="L977" s="30" t="s">
        <v>1748</v>
      </c>
      <c r="M977" s="30" t="s">
        <v>1749</v>
      </c>
      <c r="N977" s="30" t="s">
        <v>4874</v>
      </c>
      <c r="P977" s="30" t="s">
        <v>4882</v>
      </c>
      <c r="Q977" t="s">
        <v>619</v>
      </c>
      <c r="R977" t="s">
        <v>917</v>
      </c>
      <c r="S977">
        <v>37</v>
      </c>
      <c r="T977" s="29" t="str">
        <f t="shared" si="41"/>
        <v>2021.023B.R.Demerecviridae_new_genera.zip</v>
      </c>
      <c r="U977" s="29" t="str">
        <f>HYPERLINK("https://ictv.global/taxonomy/taxondetails?taxnode_id=202313509","ictv.global=202313509")</f>
        <v>ictv.global=202313509</v>
      </c>
    </row>
    <row r="978" spans="1:21">
      <c r="A978">
        <v>977</v>
      </c>
      <c r="B978" s="30" t="s">
        <v>1587</v>
      </c>
      <c r="D978" s="30" t="s">
        <v>1588</v>
      </c>
      <c r="F978" s="30" t="s">
        <v>1591</v>
      </c>
      <c r="H978" s="30" t="s">
        <v>1592</v>
      </c>
      <c r="L978" s="30" t="s">
        <v>1748</v>
      </c>
      <c r="M978" s="30" t="s">
        <v>1749</v>
      </c>
      <c r="N978" s="30" t="s">
        <v>4874</v>
      </c>
      <c r="P978" s="30" t="s">
        <v>4883</v>
      </c>
      <c r="Q978" t="s">
        <v>619</v>
      </c>
      <c r="R978" t="s">
        <v>917</v>
      </c>
      <c r="S978">
        <v>37</v>
      </c>
      <c r="T978" s="29" t="str">
        <f t="shared" si="41"/>
        <v>2021.023B.R.Demerecviridae_new_genera.zip</v>
      </c>
      <c r="U978" s="29" t="str">
        <f>HYPERLINK("https://ictv.global/taxonomy/taxondetails?taxnode_id=202313506","ictv.global=202313506")</f>
        <v>ictv.global=202313506</v>
      </c>
    </row>
    <row r="979" spans="1:21">
      <c r="A979">
        <v>978</v>
      </c>
      <c r="B979" s="30" t="s">
        <v>1587</v>
      </c>
      <c r="D979" s="30" t="s">
        <v>1588</v>
      </c>
      <c r="F979" s="30" t="s">
        <v>1591</v>
      </c>
      <c r="H979" s="30" t="s">
        <v>1592</v>
      </c>
      <c r="L979" s="30" t="s">
        <v>1748</v>
      </c>
      <c r="M979" s="30" t="s">
        <v>1749</v>
      </c>
      <c r="N979" s="30" t="s">
        <v>4874</v>
      </c>
      <c r="P979" s="30" t="s">
        <v>4884</v>
      </c>
      <c r="Q979" t="s">
        <v>619</v>
      </c>
      <c r="R979" t="s">
        <v>917</v>
      </c>
      <c r="S979">
        <v>37</v>
      </c>
      <c r="T979" s="29" t="str">
        <f t="shared" si="41"/>
        <v>2021.023B.R.Demerecviridae_new_genera.zip</v>
      </c>
      <c r="U979" s="29" t="str">
        <f>HYPERLINK("https://ictv.global/taxonomy/taxondetails?taxnode_id=202313514","ictv.global=202313514")</f>
        <v>ictv.global=202313514</v>
      </c>
    </row>
    <row r="980" spans="1:21">
      <c r="A980">
        <v>979</v>
      </c>
      <c r="B980" s="30" t="s">
        <v>1587</v>
      </c>
      <c r="D980" s="30" t="s">
        <v>1588</v>
      </c>
      <c r="F980" s="30" t="s">
        <v>1591</v>
      </c>
      <c r="H980" s="30" t="s">
        <v>1592</v>
      </c>
      <c r="L980" s="30" t="s">
        <v>1748</v>
      </c>
      <c r="M980" s="30" t="s">
        <v>1749</v>
      </c>
      <c r="N980" s="30" t="s">
        <v>4874</v>
      </c>
      <c r="P980" s="30" t="s">
        <v>4885</v>
      </c>
      <c r="Q980" t="s">
        <v>619</v>
      </c>
      <c r="R980" t="s">
        <v>917</v>
      </c>
      <c r="S980">
        <v>37</v>
      </c>
      <c r="T980" s="29" t="str">
        <f t="shared" si="41"/>
        <v>2021.023B.R.Demerecviridae_new_genera.zip</v>
      </c>
      <c r="U980" s="29" t="str">
        <f>HYPERLINK("https://ictv.global/taxonomy/taxondetails?taxnode_id=202313505","ictv.global=202313505")</f>
        <v>ictv.global=202313505</v>
      </c>
    </row>
    <row r="981" spans="1:21">
      <c r="A981">
        <v>980</v>
      </c>
      <c r="B981" s="30" t="s">
        <v>1587</v>
      </c>
      <c r="D981" s="30" t="s">
        <v>1588</v>
      </c>
      <c r="F981" s="30" t="s">
        <v>1591</v>
      </c>
      <c r="H981" s="30" t="s">
        <v>1592</v>
      </c>
      <c r="L981" s="30" t="s">
        <v>1748</v>
      </c>
      <c r="M981" s="30" t="s">
        <v>1749</v>
      </c>
      <c r="N981" s="30" t="s">
        <v>4874</v>
      </c>
      <c r="P981" s="30" t="s">
        <v>4886</v>
      </c>
      <c r="Q981" t="s">
        <v>619</v>
      </c>
      <c r="R981" t="s">
        <v>918</v>
      </c>
      <c r="S981">
        <v>37</v>
      </c>
      <c r="T981" s="29" t="str">
        <f t="shared" si="41"/>
        <v>2021.023B.R.Demerecviridae_new_genera.zip</v>
      </c>
      <c r="U981" s="29" t="str">
        <f>HYPERLINK("https://ictv.global/taxonomy/taxondetails?taxnode_id=202307087","ictv.global=202307087")</f>
        <v>ictv.global=202307087</v>
      </c>
    </row>
    <row r="982" spans="1:21">
      <c r="A982">
        <v>981</v>
      </c>
      <c r="B982" s="30" t="s">
        <v>1587</v>
      </c>
      <c r="D982" s="30" t="s">
        <v>1588</v>
      </c>
      <c r="F982" s="30" t="s">
        <v>1591</v>
      </c>
      <c r="H982" s="30" t="s">
        <v>1592</v>
      </c>
      <c r="L982" s="30" t="s">
        <v>1748</v>
      </c>
      <c r="M982" s="30" t="s">
        <v>1749</v>
      </c>
      <c r="N982" s="30" t="s">
        <v>1750</v>
      </c>
      <c r="P982" s="30" t="s">
        <v>4887</v>
      </c>
      <c r="Q982" t="s">
        <v>619</v>
      </c>
      <c r="R982" t="s">
        <v>918</v>
      </c>
      <c r="S982">
        <v>37</v>
      </c>
      <c r="T982" s="29" t="str">
        <f>HYPERLINK("https://ictv.global/ictv/proposals/2021.010B.R.Binomial_names.zip","2021.010B.R.Binomial_names.zip")</f>
        <v>2021.010B.R.Binomial_names.zip</v>
      </c>
      <c r="U982" s="29" t="str">
        <f>HYPERLINK("https://ictv.global/taxonomy/taxondetails?taxnode_id=202307088","ictv.global=202307088")</f>
        <v>ictv.global=202307088</v>
      </c>
    </row>
    <row r="983" spans="1:21">
      <c r="A983">
        <v>982</v>
      </c>
      <c r="B983" s="30" t="s">
        <v>1587</v>
      </c>
      <c r="D983" s="30" t="s">
        <v>1588</v>
      </c>
      <c r="F983" s="30" t="s">
        <v>1591</v>
      </c>
      <c r="H983" s="30" t="s">
        <v>1592</v>
      </c>
      <c r="L983" s="30" t="s">
        <v>1748</v>
      </c>
      <c r="M983" s="30" t="s">
        <v>1751</v>
      </c>
      <c r="N983" s="30" t="s">
        <v>1752</v>
      </c>
      <c r="P983" s="30" t="s">
        <v>4888</v>
      </c>
      <c r="Q983" t="s">
        <v>619</v>
      </c>
      <c r="R983" t="s">
        <v>918</v>
      </c>
      <c r="S983">
        <v>37</v>
      </c>
      <c r="T983" s="29" t="str">
        <f>HYPERLINK("https://ictv.global/ictv/proposals/2021.010B.R.Binomial_names.zip","2021.010B.R.Binomial_names.zip")</f>
        <v>2021.010B.R.Binomial_names.zip</v>
      </c>
      <c r="U983" s="29" t="str">
        <f>HYPERLINK("https://ictv.global/taxonomy/taxondetails?taxnode_id=202309944","ictv.global=202309944")</f>
        <v>ictv.global=202309944</v>
      </c>
    </row>
    <row r="984" spans="1:21">
      <c r="A984">
        <v>983</v>
      </c>
      <c r="B984" s="30" t="s">
        <v>1587</v>
      </c>
      <c r="D984" s="30" t="s">
        <v>1588</v>
      </c>
      <c r="F984" s="30" t="s">
        <v>1591</v>
      </c>
      <c r="H984" s="30" t="s">
        <v>1592</v>
      </c>
      <c r="L984" s="30" t="s">
        <v>1748</v>
      </c>
      <c r="M984" s="30" t="s">
        <v>1751</v>
      </c>
      <c r="N984" s="30" t="s">
        <v>1752</v>
      </c>
      <c r="P984" s="30" t="s">
        <v>4889</v>
      </c>
      <c r="Q984" t="s">
        <v>619</v>
      </c>
      <c r="R984" t="s">
        <v>918</v>
      </c>
      <c r="S984">
        <v>37</v>
      </c>
      <c r="T984" s="29" t="str">
        <f>HYPERLINK("https://ictv.global/ictv/proposals/2021.010B.R.Binomial_names.zip","2021.010B.R.Binomial_names.zip")</f>
        <v>2021.010B.R.Binomial_names.zip</v>
      </c>
      <c r="U984" s="29" t="str">
        <f>HYPERLINK("https://ictv.global/taxonomy/taxondetails?taxnode_id=202301329","ictv.global=202301329")</f>
        <v>ictv.global=202301329</v>
      </c>
    </row>
    <row r="985" spans="1:21">
      <c r="A985">
        <v>984</v>
      </c>
      <c r="B985" s="30" t="s">
        <v>1587</v>
      </c>
      <c r="D985" s="30" t="s">
        <v>1588</v>
      </c>
      <c r="F985" s="30" t="s">
        <v>1591</v>
      </c>
      <c r="H985" s="30" t="s">
        <v>1592</v>
      </c>
      <c r="L985" s="30" t="s">
        <v>1748</v>
      </c>
      <c r="M985" s="30" t="s">
        <v>1751</v>
      </c>
      <c r="N985" s="30" t="s">
        <v>1752</v>
      </c>
      <c r="P985" s="30" t="s">
        <v>11824</v>
      </c>
      <c r="Q985" t="s">
        <v>619</v>
      </c>
      <c r="R985" t="s">
        <v>917</v>
      </c>
      <c r="S985">
        <v>39</v>
      </c>
      <c r="T985" s="29" t="str">
        <f>HYPERLINK("https://ictv.global/ictv/proposals/2023.023B.Epseptimavirus_41ns.zip","2023.023B.Epseptimavirus_41ns.zip")</f>
        <v>2023.023B.Epseptimavirus_41ns.zip</v>
      </c>
      <c r="U985" s="29" t="str">
        <f>HYPERLINK("https://ictv.global/taxonomy/taxondetails?taxnode_id=202318704","ictv.global=202318704")</f>
        <v>ictv.global=202318704</v>
      </c>
    </row>
    <row r="986" spans="1:21">
      <c r="A986">
        <v>985</v>
      </c>
      <c r="B986" s="30" t="s">
        <v>1587</v>
      </c>
      <c r="D986" s="30" t="s">
        <v>1588</v>
      </c>
      <c r="F986" s="30" t="s">
        <v>1591</v>
      </c>
      <c r="H986" s="30" t="s">
        <v>1592</v>
      </c>
      <c r="L986" s="30" t="s">
        <v>1748</v>
      </c>
      <c r="M986" s="30" t="s">
        <v>1751</v>
      </c>
      <c r="N986" s="30" t="s">
        <v>1752</v>
      </c>
      <c r="P986" s="30" t="s">
        <v>11825</v>
      </c>
      <c r="Q986" t="s">
        <v>619</v>
      </c>
      <c r="R986" t="s">
        <v>917</v>
      </c>
      <c r="S986">
        <v>39</v>
      </c>
      <c r="T986" s="29" t="str">
        <f>HYPERLINK("https://ictv.global/ictv/proposals/2023.023B.Epseptimavirus_41ns.zip","2023.023B.Epseptimavirus_41ns.zip")</f>
        <v>2023.023B.Epseptimavirus_41ns.zip</v>
      </c>
      <c r="U986" s="29" t="str">
        <f>HYPERLINK("https://ictv.global/taxonomy/taxondetails?taxnode_id=202318700","ictv.global=202318700")</f>
        <v>ictv.global=202318700</v>
      </c>
    </row>
    <row r="987" spans="1:21">
      <c r="A987">
        <v>986</v>
      </c>
      <c r="B987" s="30" t="s">
        <v>1587</v>
      </c>
      <c r="D987" s="30" t="s">
        <v>1588</v>
      </c>
      <c r="F987" s="30" t="s">
        <v>1591</v>
      </c>
      <c r="H987" s="30" t="s">
        <v>1592</v>
      </c>
      <c r="L987" s="30" t="s">
        <v>1748</v>
      </c>
      <c r="M987" s="30" t="s">
        <v>1751</v>
      </c>
      <c r="N987" s="30" t="s">
        <v>1752</v>
      </c>
      <c r="P987" s="30" t="s">
        <v>4890</v>
      </c>
      <c r="Q987" t="s">
        <v>619</v>
      </c>
      <c r="R987" t="s">
        <v>918</v>
      </c>
      <c r="S987">
        <v>37</v>
      </c>
      <c r="T987" s="29" t="str">
        <f>HYPERLINK("https://ictv.global/ictv/proposals/2021.010B.R.Binomial_names.zip","2021.010B.R.Binomial_names.zip")</f>
        <v>2021.010B.R.Binomial_names.zip</v>
      </c>
      <c r="U987" s="29" t="str">
        <f>HYPERLINK("https://ictv.global/taxonomy/taxondetails?taxnode_id=202309949","ictv.global=202309949")</f>
        <v>ictv.global=202309949</v>
      </c>
    </row>
    <row r="988" spans="1:21">
      <c r="A988">
        <v>987</v>
      </c>
      <c r="B988" s="30" t="s">
        <v>1587</v>
      </c>
      <c r="D988" s="30" t="s">
        <v>1588</v>
      </c>
      <c r="F988" s="30" t="s">
        <v>1591</v>
      </c>
      <c r="H988" s="30" t="s">
        <v>1592</v>
      </c>
      <c r="L988" s="30" t="s">
        <v>1748</v>
      </c>
      <c r="M988" s="30" t="s">
        <v>1751</v>
      </c>
      <c r="N988" s="30" t="s">
        <v>1752</v>
      </c>
      <c r="P988" s="30" t="s">
        <v>4891</v>
      </c>
      <c r="Q988" t="s">
        <v>619</v>
      </c>
      <c r="R988" t="s">
        <v>918</v>
      </c>
      <c r="S988">
        <v>37</v>
      </c>
      <c r="T988" s="29" t="str">
        <f>HYPERLINK("https://ictv.global/ictv/proposals/2021.010B.R.Binomial_names.zip","2021.010B.R.Binomial_names.zip")</f>
        <v>2021.010B.R.Binomial_names.zip</v>
      </c>
      <c r="U988" s="29" t="str">
        <f>HYPERLINK("https://ictv.global/taxonomy/taxondetails?taxnode_id=202309948","ictv.global=202309948")</f>
        <v>ictv.global=202309948</v>
      </c>
    </row>
    <row r="989" spans="1:21">
      <c r="A989">
        <v>988</v>
      </c>
      <c r="B989" s="30" t="s">
        <v>1587</v>
      </c>
      <c r="D989" s="30" t="s">
        <v>1588</v>
      </c>
      <c r="F989" s="30" t="s">
        <v>1591</v>
      </c>
      <c r="H989" s="30" t="s">
        <v>1592</v>
      </c>
      <c r="L989" s="30" t="s">
        <v>1748</v>
      </c>
      <c r="M989" s="30" t="s">
        <v>1751</v>
      </c>
      <c r="N989" s="30" t="s">
        <v>1752</v>
      </c>
      <c r="P989" s="30" t="s">
        <v>11826</v>
      </c>
      <c r="Q989" t="s">
        <v>619</v>
      </c>
      <c r="R989" t="s">
        <v>917</v>
      </c>
      <c r="S989">
        <v>39</v>
      </c>
      <c r="T989" s="29" t="str">
        <f>HYPERLINK("https://ictv.global/ictv/proposals/2023.023B.Epseptimavirus_41ns.zip","2023.023B.Epseptimavirus_41ns.zip")</f>
        <v>2023.023B.Epseptimavirus_41ns.zip</v>
      </c>
      <c r="U989" s="29" t="str">
        <f>HYPERLINK("https://ictv.global/taxonomy/taxondetails?taxnode_id=202318693","ictv.global=202318693")</f>
        <v>ictv.global=202318693</v>
      </c>
    </row>
    <row r="990" spans="1:21">
      <c r="A990">
        <v>989</v>
      </c>
      <c r="B990" s="30" t="s">
        <v>1587</v>
      </c>
      <c r="D990" s="30" t="s">
        <v>1588</v>
      </c>
      <c r="F990" s="30" t="s">
        <v>1591</v>
      </c>
      <c r="H990" s="30" t="s">
        <v>1592</v>
      </c>
      <c r="L990" s="30" t="s">
        <v>1748</v>
      </c>
      <c r="M990" s="30" t="s">
        <v>1751</v>
      </c>
      <c r="N990" s="30" t="s">
        <v>1752</v>
      </c>
      <c r="P990" s="30" t="s">
        <v>11827</v>
      </c>
      <c r="Q990" t="s">
        <v>619</v>
      </c>
      <c r="R990" t="s">
        <v>917</v>
      </c>
      <c r="S990">
        <v>39</v>
      </c>
      <c r="T990" s="29" t="str">
        <f>HYPERLINK("https://ictv.global/ictv/proposals/2023.023B.Epseptimavirus_41ns.zip","2023.023B.Epseptimavirus_41ns.zip")</f>
        <v>2023.023B.Epseptimavirus_41ns.zip</v>
      </c>
      <c r="U990" s="29" t="str">
        <f>HYPERLINK("https://ictv.global/taxonomy/taxondetails?taxnode_id=202318686","ictv.global=202318686")</f>
        <v>ictv.global=202318686</v>
      </c>
    </row>
    <row r="991" spans="1:21">
      <c r="A991">
        <v>990</v>
      </c>
      <c r="B991" s="30" t="s">
        <v>1587</v>
      </c>
      <c r="D991" s="30" t="s">
        <v>1588</v>
      </c>
      <c r="F991" s="30" t="s">
        <v>1591</v>
      </c>
      <c r="H991" s="30" t="s">
        <v>1592</v>
      </c>
      <c r="L991" s="30" t="s">
        <v>1748</v>
      </c>
      <c r="M991" s="30" t="s">
        <v>1751</v>
      </c>
      <c r="N991" s="30" t="s">
        <v>1752</v>
      </c>
      <c r="P991" s="30" t="s">
        <v>11828</v>
      </c>
      <c r="Q991" t="s">
        <v>619</v>
      </c>
      <c r="R991" t="s">
        <v>917</v>
      </c>
      <c r="S991">
        <v>39</v>
      </c>
      <c r="T991" s="29" t="str">
        <f>HYPERLINK("https://ictv.global/ictv/proposals/2023.023B.Epseptimavirus_41ns.zip","2023.023B.Epseptimavirus_41ns.zip")</f>
        <v>2023.023B.Epseptimavirus_41ns.zip</v>
      </c>
      <c r="U991" s="29" t="str">
        <f>HYPERLINK("https://ictv.global/taxonomy/taxondetails?taxnode_id=202318695","ictv.global=202318695")</f>
        <v>ictv.global=202318695</v>
      </c>
    </row>
    <row r="992" spans="1:21">
      <c r="A992">
        <v>991</v>
      </c>
      <c r="B992" s="30" t="s">
        <v>1587</v>
      </c>
      <c r="D992" s="30" t="s">
        <v>1588</v>
      </c>
      <c r="F992" s="30" t="s">
        <v>1591</v>
      </c>
      <c r="H992" s="30" t="s">
        <v>1592</v>
      </c>
      <c r="L992" s="30" t="s">
        <v>1748</v>
      </c>
      <c r="M992" s="30" t="s">
        <v>1751</v>
      </c>
      <c r="N992" s="30" t="s">
        <v>1752</v>
      </c>
      <c r="P992" s="30" t="s">
        <v>4892</v>
      </c>
      <c r="Q992" t="s">
        <v>619</v>
      </c>
      <c r="R992" t="s">
        <v>918</v>
      </c>
      <c r="S992">
        <v>37</v>
      </c>
      <c r="T992" s="29" t="str">
        <f>HYPERLINK("https://ictv.global/ictv/proposals/2021.010B.R.Binomial_names.zip","2021.010B.R.Binomial_names.zip")</f>
        <v>2021.010B.R.Binomial_names.zip</v>
      </c>
      <c r="U992" s="29" t="str">
        <f>HYPERLINK("https://ictv.global/taxonomy/taxondetails?taxnode_id=202309943","ictv.global=202309943")</f>
        <v>ictv.global=202309943</v>
      </c>
    </row>
    <row r="993" spans="1:21">
      <c r="A993">
        <v>992</v>
      </c>
      <c r="B993" s="30" t="s">
        <v>1587</v>
      </c>
      <c r="D993" s="30" t="s">
        <v>1588</v>
      </c>
      <c r="F993" s="30" t="s">
        <v>1591</v>
      </c>
      <c r="H993" s="30" t="s">
        <v>1592</v>
      </c>
      <c r="L993" s="30" t="s">
        <v>1748</v>
      </c>
      <c r="M993" s="30" t="s">
        <v>1751</v>
      </c>
      <c r="N993" s="30" t="s">
        <v>1752</v>
      </c>
      <c r="P993" s="30" t="s">
        <v>11829</v>
      </c>
      <c r="Q993" t="s">
        <v>619</v>
      </c>
      <c r="R993" t="s">
        <v>917</v>
      </c>
      <c r="S993">
        <v>39</v>
      </c>
      <c r="T993" s="29" t="str">
        <f>HYPERLINK("https://ictv.global/ictv/proposals/2023.023B.Epseptimavirus_41ns.zip","2023.023B.Epseptimavirus_41ns.zip")</f>
        <v>2023.023B.Epseptimavirus_41ns.zip</v>
      </c>
      <c r="U993" s="29" t="str">
        <f>HYPERLINK("https://ictv.global/taxonomy/taxondetails?taxnode_id=202318687","ictv.global=202318687")</f>
        <v>ictv.global=202318687</v>
      </c>
    </row>
    <row r="994" spans="1:21">
      <c r="A994">
        <v>993</v>
      </c>
      <c r="B994" s="30" t="s">
        <v>1587</v>
      </c>
      <c r="D994" s="30" t="s">
        <v>1588</v>
      </c>
      <c r="F994" s="30" t="s">
        <v>1591</v>
      </c>
      <c r="H994" s="30" t="s">
        <v>1592</v>
      </c>
      <c r="L994" s="30" t="s">
        <v>1748</v>
      </c>
      <c r="M994" s="30" t="s">
        <v>1751</v>
      </c>
      <c r="N994" s="30" t="s">
        <v>1752</v>
      </c>
      <c r="P994" s="30" t="s">
        <v>11830</v>
      </c>
      <c r="Q994" t="s">
        <v>619</v>
      </c>
      <c r="R994" t="s">
        <v>917</v>
      </c>
      <c r="S994">
        <v>39</v>
      </c>
      <c r="T994" s="29" t="str">
        <f>HYPERLINK("https://ictv.global/ictv/proposals/2023.023B.Epseptimavirus_41ns.zip","2023.023B.Epseptimavirus_41ns.zip")</f>
        <v>2023.023B.Epseptimavirus_41ns.zip</v>
      </c>
      <c r="U994" s="29" t="str">
        <f>HYPERLINK("https://ictv.global/taxonomy/taxondetails?taxnode_id=202318682","ictv.global=202318682")</f>
        <v>ictv.global=202318682</v>
      </c>
    </row>
    <row r="995" spans="1:21">
      <c r="A995">
        <v>994</v>
      </c>
      <c r="B995" s="30" t="s">
        <v>1587</v>
      </c>
      <c r="D995" s="30" t="s">
        <v>1588</v>
      </c>
      <c r="F995" s="30" t="s">
        <v>1591</v>
      </c>
      <c r="H995" s="30" t="s">
        <v>1592</v>
      </c>
      <c r="L995" s="30" t="s">
        <v>1748</v>
      </c>
      <c r="M995" s="30" t="s">
        <v>1751</v>
      </c>
      <c r="N995" s="30" t="s">
        <v>1752</v>
      </c>
      <c r="P995" s="30" t="s">
        <v>4893</v>
      </c>
      <c r="Q995" t="s">
        <v>619</v>
      </c>
      <c r="R995" t="s">
        <v>918</v>
      </c>
      <c r="S995">
        <v>37</v>
      </c>
      <c r="T995" s="29" t="str">
        <f>HYPERLINK("https://ictv.global/ictv/proposals/2021.010B.R.Binomial_names.zip","2021.010B.R.Binomial_names.zip")</f>
        <v>2021.010B.R.Binomial_names.zip</v>
      </c>
      <c r="U995" s="29" t="str">
        <f>HYPERLINK("https://ictv.global/taxonomy/taxondetails?taxnode_id=202301324","ictv.global=202301324")</f>
        <v>ictv.global=202301324</v>
      </c>
    </row>
    <row r="996" spans="1:21">
      <c r="A996">
        <v>995</v>
      </c>
      <c r="B996" s="30" t="s">
        <v>1587</v>
      </c>
      <c r="D996" s="30" t="s">
        <v>1588</v>
      </c>
      <c r="F996" s="30" t="s">
        <v>1591</v>
      </c>
      <c r="H996" s="30" t="s">
        <v>1592</v>
      </c>
      <c r="L996" s="30" t="s">
        <v>1748</v>
      </c>
      <c r="M996" s="30" t="s">
        <v>1751</v>
      </c>
      <c r="N996" s="30" t="s">
        <v>1752</v>
      </c>
      <c r="P996" s="30" t="s">
        <v>11831</v>
      </c>
      <c r="Q996" t="s">
        <v>619</v>
      </c>
      <c r="R996" t="s">
        <v>917</v>
      </c>
      <c r="S996">
        <v>39</v>
      </c>
      <c r="T996" s="29" t="str">
        <f>HYPERLINK("https://ictv.global/ictv/proposals/2023.023B.Epseptimavirus_41ns.zip","2023.023B.Epseptimavirus_41ns.zip")</f>
        <v>2023.023B.Epseptimavirus_41ns.zip</v>
      </c>
      <c r="U996" s="29" t="str">
        <f>HYPERLINK("https://ictv.global/taxonomy/taxondetails?taxnode_id=202318706","ictv.global=202318706")</f>
        <v>ictv.global=202318706</v>
      </c>
    </row>
    <row r="997" spans="1:21">
      <c r="A997">
        <v>996</v>
      </c>
      <c r="B997" s="30" t="s">
        <v>1587</v>
      </c>
      <c r="D997" s="30" t="s">
        <v>1588</v>
      </c>
      <c r="F997" s="30" t="s">
        <v>1591</v>
      </c>
      <c r="H997" s="30" t="s">
        <v>1592</v>
      </c>
      <c r="L997" s="30" t="s">
        <v>1748</v>
      </c>
      <c r="M997" s="30" t="s">
        <v>1751</v>
      </c>
      <c r="N997" s="30" t="s">
        <v>1752</v>
      </c>
      <c r="P997" s="30" t="s">
        <v>4894</v>
      </c>
      <c r="Q997" t="s">
        <v>619</v>
      </c>
      <c r="R997" t="s">
        <v>918</v>
      </c>
      <c r="S997">
        <v>37</v>
      </c>
      <c r="T997" s="29" t="str">
        <f>HYPERLINK("https://ictv.global/ictv/proposals/2021.010B.R.Binomial_names.zip","2021.010B.R.Binomial_names.zip")</f>
        <v>2021.010B.R.Binomial_names.zip</v>
      </c>
      <c r="U997" s="29" t="str">
        <f>HYPERLINK("https://ictv.global/taxonomy/taxondetails?taxnode_id=202309950","ictv.global=202309950")</f>
        <v>ictv.global=202309950</v>
      </c>
    </row>
    <row r="998" spans="1:21">
      <c r="A998">
        <v>997</v>
      </c>
      <c r="B998" s="30" t="s">
        <v>1587</v>
      </c>
      <c r="D998" s="30" t="s">
        <v>1588</v>
      </c>
      <c r="F998" s="30" t="s">
        <v>1591</v>
      </c>
      <c r="H998" s="30" t="s">
        <v>1592</v>
      </c>
      <c r="L998" s="30" t="s">
        <v>1748</v>
      </c>
      <c r="M998" s="30" t="s">
        <v>1751</v>
      </c>
      <c r="N998" s="30" t="s">
        <v>1752</v>
      </c>
      <c r="P998" s="30" t="s">
        <v>4895</v>
      </c>
      <c r="Q998" t="s">
        <v>619</v>
      </c>
      <c r="R998" t="s">
        <v>918</v>
      </c>
      <c r="S998">
        <v>37</v>
      </c>
      <c r="T998" s="29" t="str">
        <f>HYPERLINK("https://ictv.global/ictv/proposals/2021.010B.R.Binomial_names.zip","2021.010B.R.Binomial_names.zip")</f>
        <v>2021.010B.R.Binomial_names.zip</v>
      </c>
      <c r="U998" s="29" t="str">
        <f>HYPERLINK("https://ictv.global/taxonomy/taxondetails?taxnode_id=202309938","ictv.global=202309938")</f>
        <v>ictv.global=202309938</v>
      </c>
    </row>
    <row r="999" spans="1:21">
      <c r="A999">
        <v>998</v>
      </c>
      <c r="B999" s="30" t="s">
        <v>1587</v>
      </c>
      <c r="D999" s="30" t="s">
        <v>1588</v>
      </c>
      <c r="F999" s="30" t="s">
        <v>1591</v>
      </c>
      <c r="H999" s="30" t="s">
        <v>1592</v>
      </c>
      <c r="L999" s="30" t="s">
        <v>1748</v>
      </c>
      <c r="M999" s="30" t="s">
        <v>1751</v>
      </c>
      <c r="N999" s="30" t="s">
        <v>1752</v>
      </c>
      <c r="P999" s="30" t="s">
        <v>4896</v>
      </c>
      <c r="Q999" t="s">
        <v>619</v>
      </c>
      <c r="R999" t="s">
        <v>918</v>
      </c>
      <c r="S999">
        <v>37</v>
      </c>
      <c r="T999" s="29" t="str">
        <f>HYPERLINK("https://ictv.global/ictv/proposals/2021.010B.R.Binomial_names.zip","2021.010B.R.Binomial_names.zip")</f>
        <v>2021.010B.R.Binomial_names.zip</v>
      </c>
      <c r="U999" s="29" t="str">
        <f>HYPERLINK("https://ictv.global/taxonomy/taxondetails?taxnode_id=202308098","ictv.global=202308098")</f>
        <v>ictv.global=202308098</v>
      </c>
    </row>
    <row r="1000" spans="1:21">
      <c r="A1000">
        <v>999</v>
      </c>
      <c r="B1000" s="30" t="s">
        <v>1587</v>
      </c>
      <c r="D1000" s="30" t="s">
        <v>1588</v>
      </c>
      <c r="F1000" s="30" t="s">
        <v>1591</v>
      </c>
      <c r="H1000" s="30" t="s">
        <v>1592</v>
      </c>
      <c r="L1000" s="30" t="s">
        <v>1748</v>
      </c>
      <c r="M1000" s="30" t="s">
        <v>1751</v>
      </c>
      <c r="N1000" s="30" t="s">
        <v>1752</v>
      </c>
      <c r="P1000" s="30" t="s">
        <v>4897</v>
      </c>
      <c r="Q1000" t="s">
        <v>619</v>
      </c>
      <c r="R1000" t="s">
        <v>918</v>
      </c>
      <c r="S1000">
        <v>37</v>
      </c>
      <c r="T1000" s="29" t="str">
        <f>HYPERLINK("https://ictv.global/ictv/proposals/2021.010B.R.Binomial_names.zip","2021.010B.R.Binomial_names.zip")</f>
        <v>2021.010B.R.Binomial_names.zip</v>
      </c>
      <c r="U1000" s="29" t="str">
        <f>HYPERLINK("https://ictv.global/taxonomy/taxondetails?taxnode_id=202309937","ictv.global=202309937")</f>
        <v>ictv.global=202309937</v>
      </c>
    </row>
    <row r="1001" spans="1:21">
      <c r="A1001">
        <v>1000</v>
      </c>
      <c r="B1001" s="30" t="s">
        <v>1587</v>
      </c>
      <c r="D1001" s="30" t="s">
        <v>1588</v>
      </c>
      <c r="F1001" s="30" t="s">
        <v>1591</v>
      </c>
      <c r="H1001" s="30" t="s">
        <v>1592</v>
      </c>
      <c r="L1001" s="30" t="s">
        <v>1748</v>
      </c>
      <c r="M1001" s="30" t="s">
        <v>1751</v>
      </c>
      <c r="N1001" s="30" t="s">
        <v>1752</v>
      </c>
      <c r="P1001" s="30" t="s">
        <v>4898</v>
      </c>
      <c r="Q1001" t="s">
        <v>619</v>
      </c>
      <c r="R1001" t="s">
        <v>918</v>
      </c>
      <c r="S1001">
        <v>37</v>
      </c>
      <c r="T1001" s="29" t="str">
        <f>HYPERLINK("https://ictv.global/ictv/proposals/2021.010B.R.Binomial_names.zip","2021.010B.R.Binomial_names.zip")</f>
        <v>2021.010B.R.Binomial_names.zip</v>
      </c>
      <c r="U1001" s="29" t="str">
        <f>HYPERLINK("https://ictv.global/taxonomy/taxondetails?taxnode_id=202309936","ictv.global=202309936")</f>
        <v>ictv.global=202309936</v>
      </c>
    </row>
    <row r="1002" spans="1:21">
      <c r="A1002">
        <v>1001</v>
      </c>
      <c r="B1002" s="30" t="s">
        <v>1587</v>
      </c>
      <c r="D1002" s="30" t="s">
        <v>1588</v>
      </c>
      <c r="F1002" s="30" t="s">
        <v>1591</v>
      </c>
      <c r="H1002" s="30" t="s">
        <v>1592</v>
      </c>
      <c r="L1002" s="30" t="s">
        <v>1748</v>
      </c>
      <c r="M1002" s="30" t="s">
        <v>1751</v>
      </c>
      <c r="N1002" s="30" t="s">
        <v>1752</v>
      </c>
      <c r="P1002" s="30" t="s">
        <v>11832</v>
      </c>
      <c r="Q1002" t="s">
        <v>619</v>
      </c>
      <c r="R1002" t="s">
        <v>917</v>
      </c>
      <c r="S1002">
        <v>39</v>
      </c>
      <c r="T1002" s="29" t="str">
        <f>HYPERLINK("https://ictv.global/ictv/proposals/2023.023B.Epseptimavirus_41ns.zip","2023.023B.Epseptimavirus_41ns.zip")</f>
        <v>2023.023B.Epseptimavirus_41ns.zip</v>
      </c>
      <c r="U1002" s="29" t="str">
        <f>HYPERLINK("https://ictv.global/taxonomy/taxondetails?taxnode_id=202318683","ictv.global=202318683")</f>
        <v>ictv.global=202318683</v>
      </c>
    </row>
    <row r="1003" spans="1:21">
      <c r="A1003">
        <v>1002</v>
      </c>
      <c r="B1003" s="30" t="s">
        <v>1587</v>
      </c>
      <c r="D1003" s="30" t="s">
        <v>1588</v>
      </c>
      <c r="F1003" s="30" t="s">
        <v>1591</v>
      </c>
      <c r="H1003" s="30" t="s">
        <v>1592</v>
      </c>
      <c r="L1003" s="30" t="s">
        <v>1748</v>
      </c>
      <c r="M1003" s="30" t="s">
        <v>1751</v>
      </c>
      <c r="N1003" s="30" t="s">
        <v>1752</v>
      </c>
      <c r="P1003" s="30" t="s">
        <v>4899</v>
      </c>
      <c r="Q1003" t="s">
        <v>619</v>
      </c>
      <c r="R1003" t="s">
        <v>918</v>
      </c>
      <c r="S1003">
        <v>37</v>
      </c>
      <c r="T1003" s="29" t="str">
        <f>HYPERLINK("https://ictv.global/ictv/proposals/2021.010B.R.Binomial_names.zip","2021.010B.R.Binomial_names.zip")</f>
        <v>2021.010B.R.Binomial_names.zip</v>
      </c>
      <c r="U1003" s="29" t="str">
        <f>HYPERLINK("https://ictv.global/taxonomy/taxondetails?taxnode_id=202309941","ictv.global=202309941")</f>
        <v>ictv.global=202309941</v>
      </c>
    </row>
    <row r="1004" spans="1:21">
      <c r="A1004">
        <v>1003</v>
      </c>
      <c r="B1004" s="30" t="s">
        <v>1587</v>
      </c>
      <c r="D1004" s="30" t="s">
        <v>1588</v>
      </c>
      <c r="F1004" s="30" t="s">
        <v>1591</v>
      </c>
      <c r="H1004" s="30" t="s">
        <v>1592</v>
      </c>
      <c r="L1004" s="30" t="s">
        <v>1748</v>
      </c>
      <c r="M1004" s="30" t="s">
        <v>1751</v>
      </c>
      <c r="N1004" s="30" t="s">
        <v>1752</v>
      </c>
      <c r="P1004" s="30" t="s">
        <v>11833</v>
      </c>
      <c r="Q1004" t="s">
        <v>619</v>
      </c>
      <c r="R1004" t="s">
        <v>917</v>
      </c>
      <c r="S1004">
        <v>39</v>
      </c>
      <c r="T1004" s="29" t="str">
        <f>HYPERLINK("https://ictv.global/ictv/proposals/2023.023B.Epseptimavirus_41ns.zip","2023.023B.Epseptimavirus_41ns.zip")</f>
        <v>2023.023B.Epseptimavirus_41ns.zip</v>
      </c>
      <c r="U1004" s="29" t="str">
        <f>HYPERLINK("https://ictv.global/taxonomy/taxondetails?taxnode_id=202318689","ictv.global=202318689")</f>
        <v>ictv.global=202318689</v>
      </c>
    </row>
    <row r="1005" spans="1:21">
      <c r="A1005">
        <v>1004</v>
      </c>
      <c r="B1005" s="30" t="s">
        <v>1587</v>
      </c>
      <c r="D1005" s="30" t="s">
        <v>1588</v>
      </c>
      <c r="F1005" s="30" t="s">
        <v>1591</v>
      </c>
      <c r="H1005" s="30" t="s">
        <v>1592</v>
      </c>
      <c r="L1005" s="30" t="s">
        <v>1748</v>
      </c>
      <c r="M1005" s="30" t="s">
        <v>1751</v>
      </c>
      <c r="N1005" s="30" t="s">
        <v>1752</v>
      </c>
      <c r="P1005" s="30" t="s">
        <v>4900</v>
      </c>
      <c r="Q1005" t="s">
        <v>619</v>
      </c>
      <c r="R1005" t="s">
        <v>918</v>
      </c>
      <c r="S1005">
        <v>37</v>
      </c>
      <c r="T1005" s="29" t="str">
        <f>HYPERLINK("https://ictv.global/ictv/proposals/2021.010B.R.Binomial_names.zip","2021.010B.R.Binomial_names.zip")</f>
        <v>2021.010B.R.Binomial_names.zip</v>
      </c>
      <c r="U1005" s="29" t="str">
        <f>HYPERLINK("https://ictv.global/taxonomy/taxondetails?taxnode_id=202309940","ictv.global=202309940")</f>
        <v>ictv.global=202309940</v>
      </c>
    </row>
    <row r="1006" spans="1:21">
      <c r="A1006">
        <v>1005</v>
      </c>
      <c r="B1006" s="30" t="s">
        <v>1587</v>
      </c>
      <c r="D1006" s="30" t="s">
        <v>1588</v>
      </c>
      <c r="F1006" s="30" t="s">
        <v>1591</v>
      </c>
      <c r="H1006" s="30" t="s">
        <v>1592</v>
      </c>
      <c r="L1006" s="30" t="s">
        <v>1748</v>
      </c>
      <c r="M1006" s="30" t="s">
        <v>1751</v>
      </c>
      <c r="N1006" s="30" t="s">
        <v>1752</v>
      </c>
      <c r="P1006" s="30" t="s">
        <v>11834</v>
      </c>
      <c r="Q1006" t="s">
        <v>619</v>
      </c>
      <c r="R1006" t="s">
        <v>917</v>
      </c>
      <c r="S1006">
        <v>39</v>
      </c>
      <c r="T1006" s="29" t="str">
        <f t="shared" ref="T1006:T1013" si="42">HYPERLINK("https://ictv.global/ictv/proposals/2023.023B.Epseptimavirus_41ns.zip","2023.023B.Epseptimavirus_41ns.zip")</f>
        <v>2023.023B.Epseptimavirus_41ns.zip</v>
      </c>
      <c r="U1006" s="29" t="str">
        <f>HYPERLINK("https://ictv.global/taxonomy/taxondetails?taxnode_id=202318702","ictv.global=202318702")</f>
        <v>ictv.global=202318702</v>
      </c>
    </row>
    <row r="1007" spans="1:21">
      <c r="A1007">
        <v>1006</v>
      </c>
      <c r="B1007" s="30" t="s">
        <v>1587</v>
      </c>
      <c r="D1007" s="30" t="s">
        <v>1588</v>
      </c>
      <c r="F1007" s="30" t="s">
        <v>1591</v>
      </c>
      <c r="H1007" s="30" t="s">
        <v>1592</v>
      </c>
      <c r="L1007" s="30" t="s">
        <v>1748</v>
      </c>
      <c r="M1007" s="30" t="s">
        <v>1751</v>
      </c>
      <c r="N1007" s="30" t="s">
        <v>1752</v>
      </c>
      <c r="P1007" s="30" t="s">
        <v>11835</v>
      </c>
      <c r="Q1007" t="s">
        <v>619</v>
      </c>
      <c r="R1007" t="s">
        <v>917</v>
      </c>
      <c r="S1007">
        <v>39</v>
      </c>
      <c r="T1007" s="29" t="str">
        <f t="shared" si="42"/>
        <v>2023.023B.Epseptimavirus_41ns.zip</v>
      </c>
      <c r="U1007" s="29" t="str">
        <f>HYPERLINK("https://ictv.global/taxonomy/taxondetails?taxnode_id=202318696","ictv.global=202318696")</f>
        <v>ictv.global=202318696</v>
      </c>
    </row>
    <row r="1008" spans="1:21">
      <c r="A1008">
        <v>1007</v>
      </c>
      <c r="B1008" s="30" t="s">
        <v>1587</v>
      </c>
      <c r="D1008" s="30" t="s">
        <v>1588</v>
      </c>
      <c r="F1008" s="30" t="s">
        <v>1591</v>
      </c>
      <c r="H1008" s="30" t="s">
        <v>1592</v>
      </c>
      <c r="L1008" s="30" t="s">
        <v>1748</v>
      </c>
      <c r="M1008" s="30" t="s">
        <v>1751</v>
      </c>
      <c r="N1008" s="30" t="s">
        <v>1752</v>
      </c>
      <c r="P1008" s="30" t="s">
        <v>11836</v>
      </c>
      <c r="Q1008" t="s">
        <v>619</v>
      </c>
      <c r="R1008" t="s">
        <v>917</v>
      </c>
      <c r="S1008">
        <v>39</v>
      </c>
      <c r="T1008" s="29" t="str">
        <f t="shared" si="42"/>
        <v>2023.023B.Epseptimavirus_41ns.zip</v>
      </c>
      <c r="U1008" s="29" t="str">
        <f>HYPERLINK("https://ictv.global/taxonomy/taxondetails?taxnode_id=202318699","ictv.global=202318699")</f>
        <v>ictv.global=202318699</v>
      </c>
    </row>
    <row r="1009" spans="1:21">
      <c r="A1009">
        <v>1008</v>
      </c>
      <c r="B1009" s="30" t="s">
        <v>1587</v>
      </c>
      <c r="D1009" s="30" t="s">
        <v>1588</v>
      </c>
      <c r="F1009" s="30" t="s">
        <v>1591</v>
      </c>
      <c r="H1009" s="30" t="s">
        <v>1592</v>
      </c>
      <c r="L1009" s="30" t="s">
        <v>1748</v>
      </c>
      <c r="M1009" s="30" t="s">
        <v>1751</v>
      </c>
      <c r="N1009" s="30" t="s">
        <v>1752</v>
      </c>
      <c r="P1009" s="30" t="s">
        <v>11837</v>
      </c>
      <c r="Q1009" t="s">
        <v>619</v>
      </c>
      <c r="R1009" t="s">
        <v>917</v>
      </c>
      <c r="S1009">
        <v>39</v>
      </c>
      <c r="T1009" s="29" t="str">
        <f t="shared" si="42"/>
        <v>2023.023B.Epseptimavirus_41ns.zip</v>
      </c>
      <c r="U1009" s="29" t="str">
        <f>HYPERLINK("https://ictv.global/taxonomy/taxondetails?taxnode_id=202318671","ictv.global=202318671")</f>
        <v>ictv.global=202318671</v>
      </c>
    </row>
    <row r="1010" spans="1:21">
      <c r="A1010">
        <v>1009</v>
      </c>
      <c r="B1010" s="30" t="s">
        <v>1587</v>
      </c>
      <c r="D1010" s="30" t="s">
        <v>1588</v>
      </c>
      <c r="F1010" s="30" t="s">
        <v>1591</v>
      </c>
      <c r="H1010" s="30" t="s">
        <v>1592</v>
      </c>
      <c r="L1010" s="30" t="s">
        <v>1748</v>
      </c>
      <c r="M1010" s="30" t="s">
        <v>1751</v>
      </c>
      <c r="N1010" s="30" t="s">
        <v>1752</v>
      </c>
      <c r="P1010" s="30" t="s">
        <v>11838</v>
      </c>
      <c r="Q1010" t="s">
        <v>619</v>
      </c>
      <c r="R1010" t="s">
        <v>917</v>
      </c>
      <c r="S1010">
        <v>39</v>
      </c>
      <c r="T1010" s="29" t="str">
        <f t="shared" si="42"/>
        <v>2023.023B.Epseptimavirus_41ns.zip</v>
      </c>
      <c r="U1010" s="29" t="str">
        <f>HYPERLINK("https://ictv.global/taxonomy/taxondetails?taxnode_id=202318701","ictv.global=202318701")</f>
        <v>ictv.global=202318701</v>
      </c>
    </row>
    <row r="1011" spans="1:21">
      <c r="A1011">
        <v>1010</v>
      </c>
      <c r="B1011" s="30" t="s">
        <v>1587</v>
      </c>
      <c r="D1011" s="30" t="s">
        <v>1588</v>
      </c>
      <c r="F1011" s="30" t="s">
        <v>1591</v>
      </c>
      <c r="H1011" s="30" t="s">
        <v>1592</v>
      </c>
      <c r="L1011" s="30" t="s">
        <v>1748</v>
      </c>
      <c r="M1011" s="30" t="s">
        <v>1751</v>
      </c>
      <c r="N1011" s="30" t="s">
        <v>1752</v>
      </c>
      <c r="P1011" s="30" t="s">
        <v>11839</v>
      </c>
      <c r="Q1011" t="s">
        <v>619</v>
      </c>
      <c r="R1011" t="s">
        <v>917</v>
      </c>
      <c r="S1011">
        <v>39</v>
      </c>
      <c r="T1011" s="29" t="str">
        <f t="shared" si="42"/>
        <v>2023.023B.Epseptimavirus_41ns.zip</v>
      </c>
      <c r="U1011" s="29" t="str">
        <f>HYPERLINK("https://ictv.global/taxonomy/taxondetails?taxnode_id=202318694","ictv.global=202318694")</f>
        <v>ictv.global=202318694</v>
      </c>
    </row>
    <row r="1012" spans="1:21">
      <c r="A1012">
        <v>1011</v>
      </c>
      <c r="B1012" s="30" t="s">
        <v>1587</v>
      </c>
      <c r="D1012" s="30" t="s">
        <v>1588</v>
      </c>
      <c r="F1012" s="30" t="s">
        <v>1591</v>
      </c>
      <c r="H1012" s="30" t="s">
        <v>1592</v>
      </c>
      <c r="L1012" s="30" t="s">
        <v>1748</v>
      </c>
      <c r="M1012" s="30" t="s">
        <v>1751</v>
      </c>
      <c r="N1012" s="30" t="s">
        <v>1752</v>
      </c>
      <c r="P1012" s="30" t="s">
        <v>11840</v>
      </c>
      <c r="Q1012" t="s">
        <v>619</v>
      </c>
      <c r="R1012" t="s">
        <v>917</v>
      </c>
      <c r="S1012">
        <v>39</v>
      </c>
      <c r="T1012" s="29" t="str">
        <f t="shared" si="42"/>
        <v>2023.023B.Epseptimavirus_41ns.zip</v>
      </c>
      <c r="U1012" s="29" t="str">
        <f>HYPERLINK("https://ictv.global/taxonomy/taxondetails?taxnode_id=202318705","ictv.global=202318705")</f>
        <v>ictv.global=202318705</v>
      </c>
    </row>
    <row r="1013" spans="1:21">
      <c r="A1013">
        <v>1012</v>
      </c>
      <c r="B1013" s="30" t="s">
        <v>1587</v>
      </c>
      <c r="D1013" s="30" t="s">
        <v>1588</v>
      </c>
      <c r="F1013" s="30" t="s">
        <v>1591</v>
      </c>
      <c r="H1013" s="30" t="s">
        <v>1592</v>
      </c>
      <c r="L1013" s="30" t="s">
        <v>1748</v>
      </c>
      <c r="M1013" s="30" t="s">
        <v>1751</v>
      </c>
      <c r="N1013" s="30" t="s">
        <v>1752</v>
      </c>
      <c r="P1013" s="30" t="s">
        <v>11841</v>
      </c>
      <c r="Q1013" t="s">
        <v>619</v>
      </c>
      <c r="R1013" t="s">
        <v>917</v>
      </c>
      <c r="S1013">
        <v>39</v>
      </c>
      <c r="T1013" s="29" t="str">
        <f t="shared" si="42"/>
        <v>2023.023B.Epseptimavirus_41ns.zip</v>
      </c>
      <c r="U1013" s="29" t="str">
        <f>HYPERLINK("https://ictv.global/taxonomy/taxondetails?taxnode_id=202318676","ictv.global=202318676")</f>
        <v>ictv.global=202318676</v>
      </c>
    </row>
    <row r="1014" spans="1:21">
      <c r="A1014">
        <v>1013</v>
      </c>
      <c r="B1014" s="30" t="s">
        <v>1587</v>
      </c>
      <c r="D1014" s="30" t="s">
        <v>1588</v>
      </c>
      <c r="F1014" s="30" t="s">
        <v>1591</v>
      </c>
      <c r="H1014" s="30" t="s">
        <v>1592</v>
      </c>
      <c r="L1014" s="30" t="s">
        <v>1748</v>
      </c>
      <c r="M1014" s="30" t="s">
        <v>1751</v>
      </c>
      <c r="N1014" s="30" t="s">
        <v>1752</v>
      </c>
      <c r="P1014" s="30" t="s">
        <v>4901</v>
      </c>
      <c r="Q1014" t="s">
        <v>619</v>
      </c>
      <c r="R1014" t="s">
        <v>918</v>
      </c>
      <c r="S1014">
        <v>37</v>
      </c>
      <c r="T1014" s="29" t="str">
        <f>HYPERLINK("https://ictv.global/ictv/proposals/2021.010B.R.Binomial_names.zip","2021.010B.R.Binomial_names.zip")</f>
        <v>2021.010B.R.Binomial_names.zip</v>
      </c>
      <c r="U1014" s="29" t="str">
        <f>HYPERLINK("https://ictv.global/taxonomy/taxondetails?taxnode_id=202308112","ictv.global=202308112")</f>
        <v>ictv.global=202308112</v>
      </c>
    </row>
    <row r="1015" spans="1:21">
      <c r="A1015">
        <v>1014</v>
      </c>
      <c r="B1015" s="30" t="s">
        <v>1587</v>
      </c>
      <c r="D1015" s="30" t="s">
        <v>1588</v>
      </c>
      <c r="F1015" s="30" t="s">
        <v>1591</v>
      </c>
      <c r="H1015" s="30" t="s">
        <v>1592</v>
      </c>
      <c r="L1015" s="30" t="s">
        <v>1748</v>
      </c>
      <c r="M1015" s="30" t="s">
        <v>1751</v>
      </c>
      <c r="N1015" s="30" t="s">
        <v>1752</v>
      </c>
      <c r="P1015" s="30" t="s">
        <v>4902</v>
      </c>
      <c r="Q1015" t="s">
        <v>619</v>
      </c>
      <c r="R1015" t="s">
        <v>918</v>
      </c>
      <c r="S1015">
        <v>37</v>
      </c>
      <c r="T1015" s="29" t="str">
        <f>HYPERLINK("https://ictv.global/ictv/proposals/2021.010B.R.Binomial_names.zip","2021.010B.R.Binomial_names.zip")</f>
        <v>2021.010B.R.Binomial_names.zip</v>
      </c>
      <c r="U1015" s="29" t="str">
        <f>HYPERLINK("https://ictv.global/taxonomy/taxondetails?taxnode_id=202308097","ictv.global=202308097")</f>
        <v>ictv.global=202308097</v>
      </c>
    </row>
    <row r="1016" spans="1:21">
      <c r="A1016">
        <v>1015</v>
      </c>
      <c r="B1016" s="30" t="s">
        <v>1587</v>
      </c>
      <c r="D1016" s="30" t="s">
        <v>1588</v>
      </c>
      <c r="F1016" s="30" t="s">
        <v>1591</v>
      </c>
      <c r="H1016" s="30" t="s">
        <v>1592</v>
      </c>
      <c r="L1016" s="30" t="s">
        <v>1748</v>
      </c>
      <c r="M1016" s="30" t="s">
        <v>1751</v>
      </c>
      <c r="N1016" s="30" t="s">
        <v>1752</v>
      </c>
      <c r="P1016" s="30" t="s">
        <v>11842</v>
      </c>
      <c r="Q1016" t="s">
        <v>619</v>
      </c>
      <c r="R1016" t="s">
        <v>917</v>
      </c>
      <c r="S1016">
        <v>39</v>
      </c>
      <c r="T1016" s="29" t="str">
        <f>HYPERLINK("https://ictv.global/ictv/proposals/2023.023B.Epseptimavirus_41ns.zip","2023.023B.Epseptimavirus_41ns.zip")</f>
        <v>2023.023B.Epseptimavirus_41ns.zip</v>
      </c>
      <c r="U1016" s="29" t="str">
        <f>HYPERLINK("https://ictv.global/taxonomy/taxondetails?taxnode_id=202318678","ictv.global=202318678")</f>
        <v>ictv.global=202318678</v>
      </c>
    </row>
    <row r="1017" spans="1:21">
      <c r="A1017">
        <v>1016</v>
      </c>
      <c r="B1017" s="30" t="s">
        <v>1587</v>
      </c>
      <c r="D1017" s="30" t="s">
        <v>1588</v>
      </c>
      <c r="F1017" s="30" t="s">
        <v>1591</v>
      </c>
      <c r="H1017" s="30" t="s">
        <v>1592</v>
      </c>
      <c r="L1017" s="30" t="s">
        <v>1748</v>
      </c>
      <c r="M1017" s="30" t="s">
        <v>1751</v>
      </c>
      <c r="N1017" s="30" t="s">
        <v>1752</v>
      </c>
      <c r="P1017" s="30" t="s">
        <v>11843</v>
      </c>
      <c r="Q1017" t="s">
        <v>619</v>
      </c>
      <c r="R1017" t="s">
        <v>917</v>
      </c>
      <c r="S1017">
        <v>39</v>
      </c>
      <c r="T1017" s="29" t="str">
        <f>HYPERLINK("https://ictv.global/ictv/proposals/2023.023B.Epseptimavirus_41ns.zip","2023.023B.Epseptimavirus_41ns.zip")</f>
        <v>2023.023B.Epseptimavirus_41ns.zip</v>
      </c>
      <c r="U1017" s="29" t="str">
        <f>HYPERLINK("https://ictv.global/taxonomy/taxondetails?taxnode_id=202318677","ictv.global=202318677")</f>
        <v>ictv.global=202318677</v>
      </c>
    </row>
    <row r="1018" spans="1:21">
      <c r="A1018">
        <v>1017</v>
      </c>
      <c r="B1018" s="30" t="s">
        <v>1587</v>
      </c>
      <c r="D1018" s="30" t="s">
        <v>1588</v>
      </c>
      <c r="F1018" s="30" t="s">
        <v>1591</v>
      </c>
      <c r="H1018" s="30" t="s">
        <v>1592</v>
      </c>
      <c r="L1018" s="30" t="s">
        <v>1748</v>
      </c>
      <c r="M1018" s="30" t="s">
        <v>1751</v>
      </c>
      <c r="N1018" s="30" t="s">
        <v>1752</v>
      </c>
      <c r="P1018" s="30" t="s">
        <v>11844</v>
      </c>
      <c r="Q1018" t="s">
        <v>619</v>
      </c>
      <c r="R1018" t="s">
        <v>917</v>
      </c>
      <c r="S1018">
        <v>39</v>
      </c>
      <c r="T1018" s="29" t="str">
        <f>HYPERLINK("https://ictv.global/ictv/proposals/2023.023B.Epseptimavirus_41ns.zip","2023.023B.Epseptimavirus_41ns.zip")</f>
        <v>2023.023B.Epseptimavirus_41ns.zip</v>
      </c>
      <c r="U1018" s="29" t="str">
        <f>HYPERLINK("https://ictv.global/taxonomy/taxondetails?taxnode_id=202318672","ictv.global=202318672")</f>
        <v>ictv.global=202318672</v>
      </c>
    </row>
    <row r="1019" spans="1:21">
      <c r="A1019">
        <v>1018</v>
      </c>
      <c r="B1019" s="30" t="s">
        <v>1587</v>
      </c>
      <c r="D1019" s="30" t="s">
        <v>1588</v>
      </c>
      <c r="F1019" s="30" t="s">
        <v>1591</v>
      </c>
      <c r="H1019" s="30" t="s">
        <v>1592</v>
      </c>
      <c r="L1019" s="30" t="s">
        <v>1748</v>
      </c>
      <c r="M1019" s="30" t="s">
        <v>1751</v>
      </c>
      <c r="N1019" s="30" t="s">
        <v>1752</v>
      </c>
      <c r="P1019" s="30" t="s">
        <v>11845</v>
      </c>
      <c r="Q1019" t="s">
        <v>619</v>
      </c>
      <c r="R1019" t="s">
        <v>917</v>
      </c>
      <c r="S1019">
        <v>39</v>
      </c>
      <c r="T1019" s="29" t="str">
        <f>HYPERLINK("https://ictv.global/ictv/proposals/2023.023B.Epseptimavirus_41ns.zip","2023.023B.Epseptimavirus_41ns.zip")</f>
        <v>2023.023B.Epseptimavirus_41ns.zip</v>
      </c>
      <c r="U1019" s="29" t="str">
        <f>HYPERLINK("https://ictv.global/taxonomy/taxondetails?taxnode_id=202318673","ictv.global=202318673")</f>
        <v>ictv.global=202318673</v>
      </c>
    </row>
    <row r="1020" spans="1:21">
      <c r="A1020">
        <v>1019</v>
      </c>
      <c r="B1020" s="30" t="s">
        <v>1587</v>
      </c>
      <c r="D1020" s="30" t="s">
        <v>1588</v>
      </c>
      <c r="F1020" s="30" t="s">
        <v>1591</v>
      </c>
      <c r="H1020" s="30" t="s">
        <v>1592</v>
      </c>
      <c r="L1020" s="30" t="s">
        <v>1748</v>
      </c>
      <c r="M1020" s="30" t="s">
        <v>1751</v>
      </c>
      <c r="N1020" s="30" t="s">
        <v>1752</v>
      </c>
      <c r="P1020" s="30" t="s">
        <v>4903</v>
      </c>
      <c r="Q1020" t="s">
        <v>619</v>
      </c>
      <c r="R1020" t="s">
        <v>918</v>
      </c>
      <c r="S1020">
        <v>37</v>
      </c>
      <c r="T1020" s="29" t="str">
        <f>HYPERLINK("https://ictv.global/ictv/proposals/2021.010B.R.Binomial_names.zip","2021.010B.R.Binomial_names.zip")</f>
        <v>2021.010B.R.Binomial_names.zip</v>
      </c>
      <c r="U1020" s="29" t="str">
        <f>HYPERLINK("https://ictv.global/taxonomy/taxondetails?taxnode_id=202309939","ictv.global=202309939")</f>
        <v>ictv.global=202309939</v>
      </c>
    </row>
    <row r="1021" spans="1:21">
      <c r="A1021">
        <v>1020</v>
      </c>
      <c r="B1021" s="30" t="s">
        <v>1587</v>
      </c>
      <c r="D1021" s="30" t="s">
        <v>1588</v>
      </c>
      <c r="F1021" s="30" t="s">
        <v>1591</v>
      </c>
      <c r="H1021" s="30" t="s">
        <v>1592</v>
      </c>
      <c r="L1021" s="30" t="s">
        <v>1748</v>
      </c>
      <c r="M1021" s="30" t="s">
        <v>1751</v>
      </c>
      <c r="N1021" s="30" t="s">
        <v>1752</v>
      </c>
      <c r="P1021" s="30" t="s">
        <v>4904</v>
      </c>
      <c r="Q1021" t="s">
        <v>619</v>
      </c>
      <c r="R1021" t="s">
        <v>918</v>
      </c>
      <c r="S1021">
        <v>37</v>
      </c>
      <c r="T1021" s="29" t="str">
        <f>HYPERLINK("https://ictv.global/ictv/proposals/2021.010B.R.Binomial_names.zip","2021.010B.R.Binomial_names.zip")</f>
        <v>2021.010B.R.Binomial_names.zip</v>
      </c>
      <c r="U1021" s="29" t="str">
        <f>HYPERLINK("https://ictv.global/taxonomy/taxondetails?taxnode_id=202309935","ictv.global=202309935")</f>
        <v>ictv.global=202309935</v>
      </c>
    </row>
    <row r="1022" spans="1:21">
      <c r="A1022">
        <v>1021</v>
      </c>
      <c r="B1022" s="30" t="s">
        <v>1587</v>
      </c>
      <c r="D1022" s="30" t="s">
        <v>1588</v>
      </c>
      <c r="F1022" s="30" t="s">
        <v>1591</v>
      </c>
      <c r="H1022" s="30" t="s">
        <v>1592</v>
      </c>
      <c r="L1022" s="30" t="s">
        <v>1748</v>
      </c>
      <c r="M1022" s="30" t="s">
        <v>1751</v>
      </c>
      <c r="N1022" s="30" t="s">
        <v>1752</v>
      </c>
      <c r="P1022" s="30" t="s">
        <v>11846</v>
      </c>
      <c r="Q1022" t="s">
        <v>619</v>
      </c>
      <c r="R1022" t="s">
        <v>917</v>
      </c>
      <c r="S1022">
        <v>39</v>
      </c>
      <c r="T1022" s="29" t="str">
        <f>HYPERLINK("https://ictv.global/ictv/proposals/2023.023B.Epseptimavirus_41ns.zip","2023.023B.Epseptimavirus_41ns.zip")</f>
        <v>2023.023B.Epseptimavirus_41ns.zip</v>
      </c>
      <c r="U1022" s="29" t="str">
        <f>HYPERLINK("https://ictv.global/taxonomy/taxondetails?taxnode_id=202318688","ictv.global=202318688")</f>
        <v>ictv.global=202318688</v>
      </c>
    </row>
    <row r="1023" spans="1:21">
      <c r="A1023">
        <v>1022</v>
      </c>
      <c r="B1023" s="30" t="s">
        <v>1587</v>
      </c>
      <c r="D1023" s="30" t="s">
        <v>1588</v>
      </c>
      <c r="F1023" s="30" t="s">
        <v>1591</v>
      </c>
      <c r="H1023" s="30" t="s">
        <v>1592</v>
      </c>
      <c r="L1023" s="30" t="s">
        <v>1748</v>
      </c>
      <c r="M1023" s="30" t="s">
        <v>1751</v>
      </c>
      <c r="N1023" s="30" t="s">
        <v>1752</v>
      </c>
      <c r="P1023" s="30" t="s">
        <v>11847</v>
      </c>
      <c r="Q1023" t="s">
        <v>619</v>
      </c>
      <c r="R1023" t="s">
        <v>917</v>
      </c>
      <c r="S1023">
        <v>39</v>
      </c>
      <c r="T1023" s="29" t="str">
        <f>HYPERLINK("https://ictv.global/ictv/proposals/2023.023B.Epseptimavirus_41ns.zip","2023.023B.Epseptimavirus_41ns.zip")</f>
        <v>2023.023B.Epseptimavirus_41ns.zip</v>
      </c>
      <c r="U1023" s="29" t="str">
        <f>HYPERLINK("https://ictv.global/taxonomy/taxondetails?taxnode_id=202318681","ictv.global=202318681")</f>
        <v>ictv.global=202318681</v>
      </c>
    </row>
    <row r="1024" spans="1:21">
      <c r="A1024">
        <v>1023</v>
      </c>
      <c r="B1024" s="30" t="s">
        <v>1587</v>
      </c>
      <c r="D1024" s="30" t="s">
        <v>1588</v>
      </c>
      <c r="F1024" s="30" t="s">
        <v>1591</v>
      </c>
      <c r="H1024" s="30" t="s">
        <v>1592</v>
      </c>
      <c r="L1024" s="30" t="s">
        <v>1748</v>
      </c>
      <c r="M1024" s="30" t="s">
        <v>1751</v>
      </c>
      <c r="N1024" s="30" t="s">
        <v>1752</v>
      </c>
      <c r="P1024" s="30" t="s">
        <v>11848</v>
      </c>
      <c r="Q1024" t="s">
        <v>619</v>
      </c>
      <c r="R1024" t="s">
        <v>917</v>
      </c>
      <c r="S1024">
        <v>39</v>
      </c>
      <c r="T1024" s="29" t="str">
        <f>HYPERLINK("https://ictv.global/ictv/proposals/2023.023B.Epseptimavirus_41ns.zip","2023.023B.Epseptimavirus_41ns.zip")</f>
        <v>2023.023B.Epseptimavirus_41ns.zip</v>
      </c>
      <c r="U1024" s="29" t="str">
        <f>HYPERLINK("https://ictv.global/taxonomy/taxondetails?taxnode_id=202318707","ictv.global=202318707")</f>
        <v>ictv.global=202318707</v>
      </c>
    </row>
    <row r="1025" spans="1:21">
      <c r="A1025">
        <v>1024</v>
      </c>
      <c r="B1025" s="30" t="s">
        <v>1587</v>
      </c>
      <c r="D1025" s="30" t="s">
        <v>1588</v>
      </c>
      <c r="F1025" s="30" t="s">
        <v>1591</v>
      </c>
      <c r="H1025" s="30" t="s">
        <v>1592</v>
      </c>
      <c r="L1025" s="30" t="s">
        <v>1748</v>
      </c>
      <c r="M1025" s="30" t="s">
        <v>1751</v>
      </c>
      <c r="N1025" s="30" t="s">
        <v>1752</v>
      </c>
      <c r="P1025" s="30" t="s">
        <v>4905</v>
      </c>
      <c r="Q1025" t="s">
        <v>619</v>
      </c>
      <c r="R1025" t="s">
        <v>918</v>
      </c>
      <c r="S1025">
        <v>38</v>
      </c>
      <c r="T1025" s="29" t="str">
        <f>HYPERLINK("https://ictv.global/ictv/proposals/2022.003B.Abolish_Haartmanvirus.zip","2022.003B.Abolish_Haartmanvirus.zip")</f>
        <v>2022.003B.Abolish_Haartmanvirus.zip</v>
      </c>
      <c r="U1025" s="29" t="str">
        <f>HYPERLINK("https://ictv.global/taxonomy/taxondetails?taxnode_id=202308114","ictv.global=202308114")</f>
        <v>ictv.global=202308114</v>
      </c>
    </row>
    <row r="1026" spans="1:21">
      <c r="A1026">
        <v>1025</v>
      </c>
      <c r="B1026" s="30" t="s">
        <v>1587</v>
      </c>
      <c r="D1026" s="30" t="s">
        <v>1588</v>
      </c>
      <c r="F1026" s="30" t="s">
        <v>1591</v>
      </c>
      <c r="H1026" s="30" t="s">
        <v>1592</v>
      </c>
      <c r="L1026" s="30" t="s">
        <v>1748</v>
      </c>
      <c r="M1026" s="30" t="s">
        <v>1751</v>
      </c>
      <c r="N1026" s="30" t="s">
        <v>1752</v>
      </c>
      <c r="P1026" s="30" t="s">
        <v>4906</v>
      </c>
      <c r="Q1026" t="s">
        <v>619</v>
      </c>
      <c r="R1026" t="s">
        <v>917</v>
      </c>
      <c r="S1026">
        <v>38</v>
      </c>
      <c r="T1026" s="29" t="str">
        <f>HYPERLINK("https://ictv.global/ictv/proposals/2022.008B.Autographiviridae_2nsp.zip","2022.008B.Autographiviridae_2nsp.zip")</f>
        <v>2022.008B.Autographiviridae_2nsp.zip</v>
      </c>
      <c r="U1026" s="29" t="str">
        <f>HYPERLINK("https://ictv.global/taxonomy/taxondetails?taxnode_id=202314493","ictv.global=202314493")</f>
        <v>ictv.global=202314493</v>
      </c>
    </row>
    <row r="1027" spans="1:21">
      <c r="A1027">
        <v>1026</v>
      </c>
      <c r="B1027" s="30" t="s">
        <v>1587</v>
      </c>
      <c r="D1027" s="30" t="s">
        <v>1588</v>
      </c>
      <c r="F1027" s="30" t="s">
        <v>1591</v>
      </c>
      <c r="H1027" s="30" t="s">
        <v>1592</v>
      </c>
      <c r="L1027" s="30" t="s">
        <v>1748</v>
      </c>
      <c r="M1027" s="30" t="s">
        <v>1751</v>
      </c>
      <c r="N1027" s="30" t="s">
        <v>1752</v>
      </c>
      <c r="P1027" s="30" t="s">
        <v>4907</v>
      </c>
      <c r="Q1027" t="s">
        <v>619</v>
      </c>
      <c r="R1027" t="s">
        <v>918</v>
      </c>
      <c r="S1027">
        <v>37</v>
      </c>
      <c r="T1027" s="29" t="str">
        <f>HYPERLINK("https://ictv.global/ictv/proposals/2021.010B.R.Binomial_names.zip","2021.010B.R.Binomial_names.zip")</f>
        <v>2021.010B.R.Binomial_names.zip</v>
      </c>
      <c r="U1027" s="29" t="str">
        <f>HYPERLINK("https://ictv.global/taxonomy/taxondetails?taxnode_id=202309946","ictv.global=202309946")</f>
        <v>ictv.global=202309946</v>
      </c>
    </row>
    <row r="1028" spans="1:21">
      <c r="A1028">
        <v>1027</v>
      </c>
      <c r="B1028" s="30" t="s">
        <v>1587</v>
      </c>
      <c r="D1028" s="30" t="s">
        <v>1588</v>
      </c>
      <c r="F1028" s="30" t="s">
        <v>1591</v>
      </c>
      <c r="H1028" s="30" t="s">
        <v>1592</v>
      </c>
      <c r="L1028" s="30" t="s">
        <v>1748</v>
      </c>
      <c r="M1028" s="30" t="s">
        <v>1751</v>
      </c>
      <c r="N1028" s="30" t="s">
        <v>1752</v>
      </c>
      <c r="P1028" s="30" t="s">
        <v>11849</v>
      </c>
      <c r="Q1028" t="s">
        <v>619</v>
      </c>
      <c r="R1028" t="s">
        <v>917</v>
      </c>
      <c r="S1028">
        <v>39</v>
      </c>
      <c r="T1028" s="29" t="str">
        <f>HYPERLINK("https://ictv.global/ictv/proposals/2023.023B.Epseptimavirus_41ns.zip","2023.023B.Epseptimavirus_41ns.zip")</f>
        <v>2023.023B.Epseptimavirus_41ns.zip</v>
      </c>
      <c r="U1028" s="29" t="str">
        <f>HYPERLINK("https://ictv.global/taxonomy/taxondetails?taxnode_id=202318679","ictv.global=202318679")</f>
        <v>ictv.global=202318679</v>
      </c>
    </row>
    <row r="1029" spans="1:21">
      <c r="A1029">
        <v>1028</v>
      </c>
      <c r="B1029" s="30" t="s">
        <v>1587</v>
      </c>
      <c r="D1029" s="30" t="s">
        <v>1588</v>
      </c>
      <c r="F1029" s="30" t="s">
        <v>1591</v>
      </c>
      <c r="H1029" s="30" t="s">
        <v>1592</v>
      </c>
      <c r="L1029" s="30" t="s">
        <v>1748</v>
      </c>
      <c r="M1029" s="30" t="s">
        <v>1751</v>
      </c>
      <c r="N1029" s="30" t="s">
        <v>1752</v>
      </c>
      <c r="P1029" s="30" t="s">
        <v>4908</v>
      </c>
      <c r="Q1029" t="s">
        <v>619</v>
      </c>
      <c r="R1029" t="s">
        <v>918</v>
      </c>
      <c r="S1029">
        <v>37</v>
      </c>
      <c r="T1029" s="29" t="str">
        <f t="shared" ref="T1029:T1037" si="43">HYPERLINK("https://ictv.global/ictv/proposals/2021.010B.R.Binomial_names.zip","2021.010B.R.Binomial_names.zip")</f>
        <v>2021.010B.R.Binomial_names.zip</v>
      </c>
      <c r="U1029" s="29" t="str">
        <f>HYPERLINK("https://ictv.global/taxonomy/taxondetails?taxnode_id=202308100","ictv.global=202308100")</f>
        <v>ictv.global=202308100</v>
      </c>
    </row>
    <row r="1030" spans="1:21">
      <c r="A1030">
        <v>1029</v>
      </c>
      <c r="B1030" s="30" t="s">
        <v>1587</v>
      </c>
      <c r="D1030" s="30" t="s">
        <v>1588</v>
      </c>
      <c r="F1030" s="30" t="s">
        <v>1591</v>
      </c>
      <c r="H1030" s="30" t="s">
        <v>1592</v>
      </c>
      <c r="L1030" s="30" t="s">
        <v>1748</v>
      </c>
      <c r="M1030" s="30" t="s">
        <v>1751</v>
      </c>
      <c r="N1030" s="30" t="s">
        <v>1752</v>
      </c>
      <c r="P1030" s="30" t="s">
        <v>4909</v>
      </c>
      <c r="Q1030" t="s">
        <v>619</v>
      </c>
      <c r="R1030" t="s">
        <v>918</v>
      </c>
      <c r="S1030">
        <v>37</v>
      </c>
      <c r="T1030" s="29" t="str">
        <f t="shared" si="43"/>
        <v>2021.010B.R.Binomial_names.zip</v>
      </c>
      <c r="U1030" s="29" t="str">
        <f>HYPERLINK("https://ictv.global/taxonomy/taxondetails?taxnode_id=202308102","ictv.global=202308102")</f>
        <v>ictv.global=202308102</v>
      </c>
    </row>
    <row r="1031" spans="1:21">
      <c r="A1031">
        <v>1030</v>
      </c>
      <c r="B1031" s="30" t="s">
        <v>1587</v>
      </c>
      <c r="D1031" s="30" t="s">
        <v>1588</v>
      </c>
      <c r="F1031" s="30" t="s">
        <v>1591</v>
      </c>
      <c r="H1031" s="30" t="s">
        <v>1592</v>
      </c>
      <c r="L1031" s="30" t="s">
        <v>1748</v>
      </c>
      <c r="M1031" s="30" t="s">
        <v>1751</v>
      </c>
      <c r="N1031" s="30" t="s">
        <v>1752</v>
      </c>
      <c r="P1031" s="30" t="s">
        <v>4910</v>
      </c>
      <c r="Q1031" t="s">
        <v>619</v>
      </c>
      <c r="R1031" t="s">
        <v>918</v>
      </c>
      <c r="S1031">
        <v>37</v>
      </c>
      <c r="T1031" s="29" t="str">
        <f t="shared" si="43"/>
        <v>2021.010B.R.Binomial_names.zip</v>
      </c>
      <c r="U1031" s="29" t="str">
        <f>HYPERLINK("https://ictv.global/taxonomy/taxondetails?taxnode_id=202308106","ictv.global=202308106")</f>
        <v>ictv.global=202308106</v>
      </c>
    </row>
    <row r="1032" spans="1:21">
      <c r="A1032">
        <v>1031</v>
      </c>
      <c r="B1032" s="30" t="s">
        <v>1587</v>
      </c>
      <c r="D1032" s="30" t="s">
        <v>1588</v>
      </c>
      <c r="F1032" s="30" t="s">
        <v>1591</v>
      </c>
      <c r="H1032" s="30" t="s">
        <v>1592</v>
      </c>
      <c r="L1032" s="30" t="s">
        <v>1748</v>
      </c>
      <c r="M1032" s="30" t="s">
        <v>1751</v>
      </c>
      <c r="N1032" s="30" t="s">
        <v>1752</v>
      </c>
      <c r="P1032" s="30" t="s">
        <v>4911</v>
      </c>
      <c r="Q1032" t="s">
        <v>619</v>
      </c>
      <c r="R1032" t="s">
        <v>918</v>
      </c>
      <c r="S1032">
        <v>37</v>
      </c>
      <c r="T1032" s="29" t="str">
        <f t="shared" si="43"/>
        <v>2021.010B.R.Binomial_names.zip</v>
      </c>
      <c r="U1032" s="29" t="str">
        <f>HYPERLINK("https://ictv.global/taxonomy/taxondetails?taxnode_id=202308096","ictv.global=202308096")</f>
        <v>ictv.global=202308096</v>
      </c>
    </row>
    <row r="1033" spans="1:21">
      <c r="A1033">
        <v>1032</v>
      </c>
      <c r="B1033" s="30" t="s">
        <v>1587</v>
      </c>
      <c r="D1033" s="30" t="s">
        <v>1588</v>
      </c>
      <c r="F1033" s="30" t="s">
        <v>1591</v>
      </c>
      <c r="H1033" s="30" t="s">
        <v>1592</v>
      </c>
      <c r="L1033" s="30" t="s">
        <v>1748</v>
      </c>
      <c r="M1033" s="30" t="s">
        <v>1751</v>
      </c>
      <c r="N1033" s="30" t="s">
        <v>1752</v>
      </c>
      <c r="P1033" s="30" t="s">
        <v>4912</v>
      </c>
      <c r="Q1033" t="s">
        <v>619</v>
      </c>
      <c r="R1033" t="s">
        <v>918</v>
      </c>
      <c r="S1033">
        <v>37</v>
      </c>
      <c r="T1033" s="29" t="str">
        <f t="shared" si="43"/>
        <v>2021.010B.R.Binomial_names.zip</v>
      </c>
      <c r="U1033" s="29" t="str">
        <f>HYPERLINK("https://ictv.global/taxonomy/taxondetails?taxnode_id=202308099","ictv.global=202308099")</f>
        <v>ictv.global=202308099</v>
      </c>
    </row>
    <row r="1034" spans="1:21">
      <c r="A1034">
        <v>1033</v>
      </c>
      <c r="B1034" s="30" t="s">
        <v>1587</v>
      </c>
      <c r="D1034" s="30" t="s">
        <v>1588</v>
      </c>
      <c r="F1034" s="30" t="s">
        <v>1591</v>
      </c>
      <c r="H1034" s="30" t="s">
        <v>1592</v>
      </c>
      <c r="L1034" s="30" t="s">
        <v>1748</v>
      </c>
      <c r="M1034" s="30" t="s">
        <v>1751</v>
      </c>
      <c r="N1034" s="30" t="s">
        <v>1752</v>
      </c>
      <c r="P1034" s="30" t="s">
        <v>4913</v>
      </c>
      <c r="Q1034" t="s">
        <v>619</v>
      </c>
      <c r="R1034" t="s">
        <v>918</v>
      </c>
      <c r="S1034">
        <v>37</v>
      </c>
      <c r="T1034" s="29" t="str">
        <f t="shared" si="43"/>
        <v>2021.010B.R.Binomial_names.zip</v>
      </c>
      <c r="U1034" s="29" t="str">
        <f>HYPERLINK("https://ictv.global/taxonomy/taxondetails?taxnode_id=202308109","ictv.global=202308109")</f>
        <v>ictv.global=202308109</v>
      </c>
    </row>
    <row r="1035" spans="1:21">
      <c r="A1035">
        <v>1034</v>
      </c>
      <c r="B1035" s="30" t="s">
        <v>1587</v>
      </c>
      <c r="D1035" s="30" t="s">
        <v>1588</v>
      </c>
      <c r="F1035" s="30" t="s">
        <v>1591</v>
      </c>
      <c r="H1035" s="30" t="s">
        <v>1592</v>
      </c>
      <c r="L1035" s="30" t="s">
        <v>1748</v>
      </c>
      <c r="M1035" s="30" t="s">
        <v>1751</v>
      </c>
      <c r="N1035" s="30" t="s">
        <v>1752</v>
      </c>
      <c r="P1035" s="30" t="s">
        <v>4914</v>
      </c>
      <c r="Q1035" t="s">
        <v>619</v>
      </c>
      <c r="R1035" t="s">
        <v>918</v>
      </c>
      <c r="S1035">
        <v>37</v>
      </c>
      <c r="T1035" s="29" t="str">
        <f t="shared" si="43"/>
        <v>2021.010B.R.Binomial_names.zip</v>
      </c>
      <c r="U1035" s="29" t="str">
        <f>HYPERLINK("https://ictv.global/taxonomy/taxondetails?taxnode_id=202308103","ictv.global=202308103")</f>
        <v>ictv.global=202308103</v>
      </c>
    </row>
    <row r="1036" spans="1:21">
      <c r="A1036">
        <v>1035</v>
      </c>
      <c r="B1036" s="30" t="s">
        <v>1587</v>
      </c>
      <c r="D1036" s="30" t="s">
        <v>1588</v>
      </c>
      <c r="F1036" s="30" t="s">
        <v>1591</v>
      </c>
      <c r="H1036" s="30" t="s">
        <v>1592</v>
      </c>
      <c r="L1036" s="30" t="s">
        <v>1748</v>
      </c>
      <c r="M1036" s="30" t="s">
        <v>1751</v>
      </c>
      <c r="N1036" s="30" t="s">
        <v>1752</v>
      </c>
      <c r="P1036" s="30" t="s">
        <v>4915</v>
      </c>
      <c r="Q1036" t="s">
        <v>619</v>
      </c>
      <c r="R1036" t="s">
        <v>918</v>
      </c>
      <c r="S1036">
        <v>37</v>
      </c>
      <c r="T1036" s="29" t="str">
        <f t="shared" si="43"/>
        <v>2021.010B.R.Binomial_names.zip</v>
      </c>
      <c r="U1036" s="29" t="str">
        <f>HYPERLINK("https://ictv.global/taxonomy/taxondetails?taxnode_id=202308101","ictv.global=202308101")</f>
        <v>ictv.global=202308101</v>
      </c>
    </row>
    <row r="1037" spans="1:21">
      <c r="A1037">
        <v>1036</v>
      </c>
      <c r="B1037" s="30" t="s">
        <v>1587</v>
      </c>
      <c r="D1037" s="30" t="s">
        <v>1588</v>
      </c>
      <c r="F1037" s="30" t="s">
        <v>1591</v>
      </c>
      <c r="H1037" s="30" t="s">
        <v>1592</v>
      </c>
      <c r="L1037" s="30" t="s">
        <v>1748</v>
      </c>
      <c r="M1037" s="30" t="s">
        <v>1751</v>
      </c>
      <c r="N1037" s="30" t="s">
        <v>1752</v>
      </c>
      <c r="P1037" s="30" t="s">
        <v>4916</v>
      </c>
      <c r="Q1037" t="s">
        <v>619</v>
      </c>
      <c r="R1037" t="s">
        <v>918</v>
      </c>
      <c r="S1037">
        <v>37</v>
      </c>
      <c r="T1037" s="29" t="str">
        <f t="shared" si="43"/>
        <v>2021.010B.R.Binomial_names.zip</v>
      </c>
      <c r="U1037" s="29" t="str">
        <f>HYPERLINK("https://ictv.global/taxonomy/taxondetails?taxnode_id=202308111","ictv.global=202308111")</f>
        <v>ictv.global=202308111</v>
      </c>
    </row>
    <row r="1038" spans="1:21">
      <c r="A1038">
        <v>1037</v>
      </c>
      <c r="B1038" s="30" t="s">
        <v>1587</v>
      </c>
      <c r="D1038" s="30" t="s">
        <v>1588</v>
      </c>
      <c r="F1038" s="30" t="s">
        <v>1591</v>
      </c>
      <c r="H1038" s="30" t="s">
        <v>1592</v>
      </c>
      <c r="L1038" s="30" t="s">
        <v>1748</v>
      </c>
      <c r="M1038" s="30" t="s">
        <v>1751</v>
      </c>
      <c r="N1038" s="30" t="s">
        <v>1752</v>
      </c>
      <c r="P1038" s="30" t="s">
        <v>11850</v>
      </c>
      <c r="Q1038" t="s">
        <v>619</v>
      </c>
      <c r="R1038" t="s">
        <v>917</v>
      </c>
      <c r="S1038">
        <v>39</v>
      </c>
      <c r="T1038" s="29" t="str">
        <f>HYPERLINK("https://ictv.global/ictv/proposals/2023.023B.Epseptimavirus_41ns.zip","2023.023B.Epseptimavirus_41ns.zip")</f>
        <v>2023.023B.Epseptimavirus_41ns.zip</v>
      </c>
      <c r="U1038" s="29" t="str">
        <f>HYPERLINK("https://ictv.global/taxonomy/taxondetails?taxnode_id=202318698","ictv.global=202318698")</f>
        <v>ictv.global=202318698</v>
      </c>
    </row>
    <row r="1039" spans="1:21">
      <c r="A1039">
        <v>1038</v>
      </c>
      <c r="B1039" s="30" t="s">
        <v>1587</v>
      </c>
      <c r="D1039" s="30" t="s">
        <v>1588</v>
      </c>
      <c r="F1039" s="30" t="s">
        <v>1591</v>
      </c>
      <c r="H1039" s="30" t="s">
        <v>1592</v>
      </c>
      <c r="L1039" s="30" t="s">
        <v>1748</v>
      </c>
      <c r="M1039" s="30" t="s">
        <v>1751</v>
      </c>
      <c r="N1039" s="30" t="s">
        <v>1752</v>
      </c>
      <c r="P1039" s="30" t="s">
        <v>11851</v>
      </c>
      <c r="Q1039" t="s">
        <v>619</v>
      </c>
      <c r="R1039" t="s">
        <v>917</v>
      </c>
      <c r="S1039">
        <v>39</v>
      </c>
      <c r="T1039" s="29" t="str">
        <f>HYPERLINK("https://ictv.global/ictv/proposals/2023.023B.Epseptimavirus_41ns.zip","2023.023B.Epseptimavirus_41ns.zip")</f>
        <v>2023.023B.Epseptimavirus_41ns.zip</v>
      </c>
      <c r="U1039" s="29" t="str">
        <f>HYPERLINK("https://ictv.global/taxonomy/taxondetails?taxnode_id=202318709","ictv.global=202318709")</f>
        <v>ictv.global=202318709</v>
      </c>
    </row>
    <row r="1040" spans="1:21">
      <c r="A1040">
        <v>1039</v>
      </c>
      <c r="B1040" s="30" t="s">
        <v>1587</v>
      </c>
      <c r="D1040" s="30" t="s">
        <v>1588</v>
      </c>
      <c r="F1040" s="30" t="s">
        <v>1591</v>
      </c>
      <c r="H1040" s="30" t="s">
        <v>1592</v>
      </c>
      <c r="L1040" s="30" t="s">
        <v>1748</v>
      </c>
      <c r="M1040" s="30" t="s">
        <v>1751</v>
      </c>
      <c r="N1040" s="30" t="s">
        <v>1752</v>
      </c>
      <c r="P1040" s="30" t="s">
        <v>4917</v>
      </c>
      <c r="Q1040" t="s">
        <v>619</v>
      </c>
      <c r="R1040" t="s">
        <v>918</v>
      </c>
      <c r="S1040">
        <v>37</v>
      </c>
      <c r="T1040" s="29" t="str">
        <f>HYPERLINK("https://ictv.global/ictv/proposals/2021.010B.R.Binomial_names.zip","2021.010B.R.Binomial_names.zip")</f>
        <v>2021.010B.R.Binomial_names.zip</v>
      </c>
      <c r="U1040" s="29" t="str">
        <f>HYPERLINK("https://ictv.global/taxonomy/taxondetails?taxnode_id=202309942","ictv.global=202309942")</f>
        <v>ictv.global=202309942</v>
      </c>
    </row>
    <row r="1041" spans="1:21">
      <c r="A1041">
        <v>1040</v>
      </c>
      <c r="B1041" s="30" t="s">
        <v>1587</v>
      </c>
      <c r="D1041" s="30" t="s">
        <v>1588</v>
      </c>
      <c r="F1041" s="30" t="s">
        <v>1591</v>
      </c>
      <c r="H1041" s="30" t="s">
        <v>1592</v>
      </c>
      <c r="L1041" s="30" t="s">
        <v>1748</v>
      </c>
      <c r="M1041" s="30" t="s">
        <v>1751</v>
      </c>
      <c r="N1041" s="30" t="s">
        <v>1752</v>
      </c>
      <c r="P1041" s="30" t="s">
        <v>11852</v>
      </c>
      <c r="Q1041" t="s">
        <v>619</v>
      </c>
      <c r="R1041" t="s">
        <v>917</v>
      </c>
      <c r="S1041">
        <v>39</v>
      </c>
      <c r="T1041" s="29" t="str">
        <f>HYPERLINK("https://ictv.global/ictv/proposals/2023.023B.Epseptimavirus_41ns.zip","2023.023B.Epseptimavirus_41ns.zip")</f>
        <v>2023.023B.Epseptimavirus_41ns.zip</v>
      </c>
      <c r="U1041" s="29" t="str">
        <f>HYPERLINK("https://ictv.global/taxonomy/taxondetails?taxnode_id=202318708","ictv.global=202318708")</f>
        <v>ictv.global=202318708</v>
      </c>
    </row>
    <row r="1042" spans="1:21">
      <c r="A1042">
        <v>1041</v>
      </c>
      <c r="B1042" s="30" t="s">
        <v>1587</v>
      </c>
      <c r="D1042" s="30" t="s">
        <v>1588</v>
      </c>
      <c r="F1042" s="30" t="s">
        <v>1591</v>
      </c>
      <c r="H1042" s="30" t="s">
        <v>1592</v>
      </c>
      <c r="L1042" s="30" t="s">
        <v>1748</v>
      </c>
      <c r="M1042" s="30" t="s">
        <v>1751</v>
      </c>
      <c r="N1042" s="30" t="s">
        <v>1752</v>
      </c>
      <c r="P1042" s="30" t="s">
        <v>11853</v>
      </c>
      <c r="Q1042" t="s">
        <v>619</v>
      </c>
      <c r="R1042" t="s">
        <v>917</v>
      </c>
      <c r="S1042">
        <v>39</v>
      </c>
      <c r="T1042" s="29" t="str">
        <f>HYPERLINK("https://ictv.global/ictv/proposals/2023.023B.Epseptimavirus_41ns.zip","2023.023B.Epseptimavirus_41ns.zip")</f>
        <v>2023.023B.Epseptimavirus_41ns.zip</v>
      </c>
      <c r="U1042" s="29" t="str">
        <f>HYPERLINK("https://ictv.global/taxonomy/taxondetails?taxnode_id=202318690","ictv.global=202318690")</f>
        <v>ictv.global=202318690</v>
      </c>
    </row>
    <row r="1043" spans="1:21">
      <c r="A1043">
        <v>1042</v>
      </c>
      <c r="B1043" s="30" t="s">
        <v>1587</v>
      </c>
      <c r="D1043" s="30" t="s">
        <v>1588</v>
      </c>
      <c r="F1043" s="30" t="s">
        <v>1591</v>
      </c>
      <c r="H1043" s="30" t="s">
        <v>1592</v>
      </c>
      <c r="L1043" s="30" t="s">
        <v>1748</v>
      </c>
      <c r="M1043" s="30" t="s">
        <v>1751</v>
      </c>
      <c r="N1043" s="30" t="s">
        <v>1752</v>
      </c>
      <c r="P1043" s="30" t="s">
        <v>4918</v>
      </c>
      <c r="Q1043" t="s">
        <v>619</v>
      </c>
      <c r="R1043" t="s">
        <v>918</v>
      </c>
      <c r="S1043">
        <v>37</v>
      </c>
      <c r="T1043" s="29" t="str">
        <f>HYPERLINK("https://ictv.global/ictv/proposals/2021.010B.R.Binomial_names.zip","2021.010B.R.Binomial_names.zip")</f>
        <v>2021.010B.R.Binomial_names.zip</v>
      </c>
      <c r="U1043" s="29" t="str">
        <f>HYPERLINK("https://ictv.global/taxonomy/taxondetails?taxnode_id=202309947","ictv.global=202309947")</f>
        <v>ictv.global=202309947</v>
      </c>
    </row>
    <row r="1044" spans="1:21">
      <c r="A1044">
        <v>1043</v>
      </c>
      <c r="B1044" s="30" t="s">
        <v>1587</v>
      </c>
      <c r="D1044" s="30" t="s">
        <v>1588</v>
      </c>
      <c r="F1044" s="30" t="s">
        <v>1591</v>
      </c>
      <c r="H1044" s="30" t="s">
        <v>1592</v>
      </c>
      <c r="L1044" s="30" t="s">
        <v>1748</v>
      </c>
      <c r="M1044" s="30" t="s">
        <v>1751</v>
      </c>
      <c r="N1044" s="30" t="s">
        <v>1752</v>
      </c>
      <c r="P1044" s="30" t="s">
        <v>4919</v>
      </c>
      <c r="Q1044" t="s">
        <v>619</v>
      </c>
      <c r="R1044" t="s">
        <v>918</v>
      </c>
      <c r="S1044">
        <v>37</v>
      </c>
      <c r="T1044" s="29" t="str">
        <f>HYPERLINK("https://ictv.global/ictv/proposals/2021.010B.R.Binomial_names.zip","2021.010B.R.Binomial_names.zip")</f>
        <v>2021.010B.R.Binomial_names.zip</v>
      </c>
      <c r="U1044" s="29" t="str">
        <f>HYPERLINK("https://ictv.global/taxonomy/taxondetails?taxnode_id=202308104","ictv.global=202308104")</f>
        <v>ictv.global=202308104</v>
      </c>
    </row>
    <row r="1045" spans="1:21">
      <c r="A1045">
        <v>1044</v>
      </c>
      <c r="B1045" s="30" t="s">
        <v>1587</v>
      </c>
      <c r="D1045" s="30" t="s">
        <v>1588</v>
      </c>
      <c r="F1045" s="30" t="s">
        <v>1591</v>
      </c>
      <c r="H1045" s="30" t="s">
        <v>1592</v>
      </c>
      <c r="L1045" s="30" t="s">
        <v>1748</v>
      </c>
      <c r="M1045" s="30" t="s">
        <v>1751</v>
      </c>
      <c r="N1045" s="30" t="s">
        <v>1752</v>
      </c>
      <c r="P1045" s="30" t="s">
        <v>4920</v>
      </c>
      <c r="Q1045" t="s">
        <v>619</v>
      </c>
      <c r="R1045" t="s">
        <v>918</v>
      </c>
      <c r="S1045">
        <v>37</v>
      </c>
      <c r="T1045" s="29" t="str">
        <f>HYPERLINK("https://ictv.global/ictv/proposals/2021.010B.R.Binomial_names.zip","2021.010B.R.Binomial_names.zip")</f>
        <v>2021.010B.R.Binomial_names.zip</v>
      </c>
      <c r="U1045" s="29" t="str">
        <f>HYPERLINK("https://ictv.global/taxonomy/taxondetails?taxnode_id=202309945","ictv.global=202309945")</f>
        <v>ictv.global=202309945</v>
      </c>
    </row>
    <row r="1046" spans="1:21">
      <c r="A1046">
        <v>1045</v>
      </c>
      <c r="B1046" s="30" t="s">
        <v>1587</v>
      </c>
      <c r="D1046" s="30" t="s">
        <v>1588</v>
      </c>
      <c r="F1046" s="30" t="s">
        <v>1591</v>
      </c>
      <c r="H1046" s="30" t="s">
        <v>1592</v>
      </c>
      <c r="L1046" s="30" t="s">
        <v>1748</v>
      </c>
      <c r="M1046" s="30" t="s">
        <v>1751</v>
      </c>
      <c r="N1046" s="30" t="s">
        <v>1752</v>
      </c>
      <c r="P1046" s="30" t="s">
        <v>4921</v>
      </c>
      <c r="Q1046" t="s">
        <v>619</v>
      </c>
      <c r="R1046" t="s">
        <v>918</v>
      </c>
      <c r="S1046">
        <v>37</v>
      </c>
      <c r="T1046" s="29" t="str">
        <f>HYPERLINK("https://ictv.global/ictv/proposals/2021.010B.R.Binomial_names.zip","2021.010B.R.Binomial_names.zip")</f>
        <v>2021.010B.R.Binomial_names.zip</v>
      </c>
      <c r="U1046" s="29" t="str">
        <f>HYPERLINK("https://ictv.global/taxonomy/taxondetails?taxnode_id=202308107","ictv.global=202308107")</f>
        <v>ictv.global=202308107</v>
      </c>
    </row>
    <row r="1047" spans="1:21">
      <c r="A1047">
        <v>1046</v>
      </c>
      <c r="B1047" s="30" t="s">
        <v>1587</v>
      </c>
      <c r="D1047" s="30" t="s">
        <v>1588</v>
      </c>
      <c r="F1047" s="30" t="s">
        <v>1591</v>
      </c>
      <c r="H1047" s="30" t="s">
        <v>1592</v>
      </c>
      <c r="L1047" s="30" t="s">
        <v>1748</v>
      </c>
      <c r="M1047" s="30" t="s">
        <v>1751</v>
      </c>
      <c r="N1047" s="30" t="s">
        <v>1752</v>
      </c>
      <c r="P1047" s="30" t="s">
        <v>11854</v>
      </c>
      <c r="Q1047" t="s">
        <v>619</v>
      </c>
      <c r="R1047" t="s">
        <v>917</v>
      </c>
      <c r="S1047">
        <v>39</v>
      </c>
      <c r="T1047" s="29" t="str">
        <f>HYPERLINK("https://ictv.global/ictv/proposals/2023.023B.Epseptimavirus_41ns.zip","2023.023B.Epseptimavirus_41ns.zip")</f>
        <v>2023.023B.Epseptimavirus_41ns.zip</v>
      </c>
      <c r="U1047" s="29" t="str">
        <f>HYPERLINK("https://ictv.global/taxonomy/taxondetails?taxnode_id=202318675","ictv.global=202318675")</f>
        <v>ictv.global=202318675</v>
      </c>
    </row>
    <row r="1048" spans="1:21">
      <c r="A1048">
        <v>1047</v>
      </c>
      <c r="B1048" s="30" t="s">
        <v>1587</v>
      </c>
      <c r="D1048" s="30" t="s">
        <v>1588</v>
      </c>
      <c r="F1048" s="30" t="s">
        <v>1591</v>
      </c>
      <c r="H1048" s="30" t="s">
        <v>1592</v>
      </c>
      <c r="L1048" s="30" t="s">
        <v>1748</v>
      </c>
      <c r="M1048" s="30" t="s">
        <v>1751</v>
      </c>
      <c r="N1048" s="30" t="s">
        <v>1752</v>
      </c>
      <c r="P1048" s="30" t="s">
        <v>11855</v>
      </c>
      <c r="Q1048" t="s">
        <v>619</v>
      </c>
      <c r="R1048" t="s">
        <v>917</v>
      </c>
      <c r="S1048">
        <v>39</v>
      </c>
      <c r="T1048" s="29" t="str">
        <f>HYPERLINK("https://ictv.global/ictv/proposals/2023.023B.Epseptimavirus_41ns.zip","2023.023B.Epseptimavirus_41ns.zip")</f>
        <v>2023.023B.Epseptimavirus_41ns.zip</v>
      </c>
      <c r="U1048" s="29" t="str">
        <f>HYPERLINK("https://ictv.global/taxonomy/taxondetails?taxnode_id=202318692","ictv.global=202318692")</f>
        <v>ictv.global=202318692</v>
      </c>
    </row>
    <row r="1049" spans="1:21">
      <c r="A1049">
        <v>1048</v>
      </c>
      <c r="B1049" s="30" t="s">
        <v>1587</v>
      </c>
      <c r="D1049" s="30" t="s">
        <v>1588</v>
      </c>
      <c r="F1049" s="30" t="s">
        <v>1591</v>
      </c>
      <c r="H1049" s="30" t="s">
        <v>1592</v>
      </c>
      <c r="L1049" s="30" t="s">
        <v>1748</v>
      </c>
      <c r="M1049" s="30" t="s">
        <v>1751</v>
      </c>
      <c r="N1049" s="30" t="s">
        <v>1752</v>
      </c>
      <c r="P1049" s="30" t="s">
        <v>4922</v>
      </c>
      <c r="Q1049" t="s">
        <v>619</v>
      </c>
      <c r="R1049" t="s">
        <v>918</v>
      </c>
      <c r="S1049">
        <v>37</v>
      </c>
      <c r="T1049" s="29" t="str">
        <f>HYPERLINK("https://ictv.global/ictv/proposals/2021.010B.R.Binomial_names.zip","2021.010B.R.Binomial_names.zip")</f>
        <v>2021.010B.R.Binomial_names.zip</v>
      </c>
      <c r="U1049" s="29" t="str">
        <f>HYPERLINK("https://ictv.global/taxonomy/taxondetails?taxnode_id=202308110","ictv.global=202308110")</f>
        <v>ictv.global=202308110</v>
      </c>
    </row>
    <row r="1050" spans="1:21">
      <c r="A1050">
        <v>1049</v>
      </c>
      <c r="B1050" s="30" t="s">
        <v>1587</v>
      </c>
      <c r="D1050" s="30" t="s">
        <v>1588</v>
      </c>
      <c r="F1050" s="30" t="s">
        <v>1591</v>
      </c>
      <c r="H1050" s="30" t="s">
        <v>1592</v>
      </c>
      <c r="L1050" s="30" t="s">
        <v>1748</v>
      </c>
      <c r="M1050" s="30" t="s">
        <v>1751</v>
      </c>
      <c r="N1050" s="30" t="s">
        <v>1752</v>
      </c>
      <c r="P1050" s="30" t="s">
        <v>4923</v>
      </c>
      <c r="Q1050" t="s">
        <v>619</v>
      </c>
      <c r="R1050" t="s">
        <v>918</v>
      </c>
      <c r="S1050">
        <v>37</v>
      </c>
      <c r="T1050" s="29" t="str">
        <f>HYPERLINK("https://ictv.global/ictv/proposals/2021.010B.R.Binomial_names.zip","2021.010B.R.Binomial_names.zip")</f>
        <v>2021.010B.R.Binomial_names.zip</v>
      </c>
      <c r="U1050" s="29" t="str">
        <f>HYPERLINK("https://ictv.global/taxonomy/taxondetails?taxnode_id=202301332","ictv.global=202301332")</f>
        <v>ictv.global=202301332</v>
      </c>
    </row>
    <row r="1051" spans="1:21">
      <c r="A1051">
        <v>1050</v>
      </c>
      <c r="B1051" s="30" t="s">
        <v>1587</v>
      </c>
      <c r="D1051" s="30" t="s">
        <v>1588</v>
      </c>
      <c r="F1051" s="30" t="s">
        <v>1591</v>
      </c>
      <c r="H1051" s="30" t="s">
        <v>1592</v>
      </c>
      <c r="L1051" s="30" t="s">
        <v>1748</v>
      </c>
      <c r="M1051" s="30" t="s">
        <v>1751</v>
      </c>
      <c r="N1051" s="30" t="s">
        <v>1752</v>
      </c>
      <c r="P1051" s="30" t="s">
        <v>11856</v>
      </c>
      <c r="Q1051" t="s">
        <v>619</v>
      </c>
      <c r="R1051" t="s">
        <v>917</v>
      </c>
      <c r="S1051">
        <v>39</v>
      </c>
      <c r="T1051" s="29" t="str">
        <f>HYPERLINK("https://ictv.global/ictv/proposals/2023.023B.Epseptimavirus_41ns.zip","2023.023B.Epseptimavirus_41ns.zip")</f>
        <v>2023.023B.Epseptimavirus_41ns.zip</v>
      </c>
      <c r="U1051" s="29" t="str">
        <f>HYPERLINK("https://ictv.global/taxonomy/taxondetails?taxnode_id=202318674","ictv.global=202318674")</f>
        <v>ictv.global=202318674</v>
      </c>
    </row>
    <row r="1052" spans="1:21">
      <c r="A1052">
        <v>1051</v>
      </c>
      <c r="B1052" s="30" t="s">
        <v>1587</v>
      </c>
      <c r="D1052" s="30" t="s">
        <v>1588</v>
      </c>
      <c r="F1052" s="30" t="s">
        <v>1591</v>
      </c>
      <c r="H1052" s="30" t="s">
        <v>1592</v>
      </c>
      <c r="L1052" s="30" t="s">
        <v>1748</v>
      </c>
      <c r="M1052" s="30" t="s">
        <v>1751</v>
      </c>
      <c r="N1052" s="30" t="s">
        <v>1752</v>
      </c>
      <c r="P1052" s="30" t="s">
        <v>11857</v>
      </c>
      <c r="Q1052" t="s">
        <v>619</v>
      </c>
      <c r="R1052" t="s">
        <v>917</v>
      </c>
      <c r="S1052">
        <v>39</v>
      </c>
      <c r="T1052" s="29" t="str">
        <f>HYPERLINK("https://ictv.global/ictv/proposals/2023.023B.Epseptimavirus_41ns.zip","2023.023B.Epseptimavirus_41ns.zip")</f>
        <v>2023.023B.Epseptimavirus_41ns.zip</v>
      </c>
      <c r="U1052" s="29" t="str">
        <f>HYPERLINK("https://ictv.global/taxonomy/taxondetails?taxnode_id=202318697","ictv.global=202318697")</f>
        <v>ictv.global=202318697</v>
      </c>
    </row>
    <row r="1053" spans="1:21">
      <c r="A1053">
        <v>1052</v>
      </c>
      <c r="B1053" s="30" t="s">
        <v>1587</v>
      </c>
      <c r="D1053" s="30" t="s">
        <v>1588</v>
      </c>
      <c r="F1053" s="30" t="s">
        <v>1591</v>
      </c>
      <c r="H1053" s="30" t="s">
        <v>1592</v>
      </c>
      <c r="L1053" s="30" t="s">
        <v>1748</v>
      </c>
      <c r="M1053" s="30" t="s">
        <v>1751</v>
      </c>
      <c r="N1053" s="30" t="s">
        <v>1752</v>
      </c>
      <c r="P1053" s="30" t="s">
        <v>11858</v>
      </c>
      <c r="Q1053" t="s">
        <v>619</v>
      </c>
      <c r="R1053" t="s">
        <v>917</v>
      </c>
      <c r="S1053">
        <v>39</v>
      </c>
      <c r="T1053" s="29" t="str">
        <f>HYPERLINK("https://ictv.global/ictv/proposals/2023.023B.Epseptimavirus_41ns.zip","2023.023B.Epseptimavirus_41ns.zip")</f>
        <v>2023.023B.Epseptimavirus_41ns.zip</v>
      </c>
      <c r="U1053" s="29" t="str">
        <f>HYPERLINK("https://ictv.global/taxonomy/taxondetails?taxnode_id=202318691","ictv.global=202318691")</f>
        <v>ictv.global=202318691</v>
      </c>
    </row>
    <row r="1054" spans="1:21">
      <c r="A1054">
        <v>1053</v>
      </c>
      <c r="B1054" s="30" t="s">
        <v>1587</v>
      </c>
      <c r="D1054" s="30" t="s">
        <v>1588</v>
      </c>
      <c r="F1054" s="30" t="s">
        <v>1591</v>
      </c>
      <c r="H1054" s="30" t="s">
        <v>1592</v>
      </c>
      <c r="L1054" s="30" t="s">
        <v>1748</v>
      </c>
      <c r="M1054" s="30" t="s">
        <v>1751</v>
      </c>
      <c r="N1054" s="30" t="s">
        <v>1752</v>
      </c>
      <c r="P1054" s="30" t="s">
        <v>4924</v>
      </c>
      <c r="Q1054" t="s">
        <v>619</v>
      </c>
      <c r="R1054" t="s">
        <v>918</v>
      </c>
      <c r="S1054">
        <v>37</v>
      </c>
      <c r="T1054" s="29" t="str">
        <f>HYPERLINK("https://ictv.global/ictv/proposals/2021.010B.R.Binomial_names.zip","2021.010B.R.Binomial_names.zip")</f>
        <v>2021.010B.R.Binomial_names.zip</v>
      </c>
      <c r="U1054" s="29" t="str">
        <f>HYPERLINK("https://ictv.global/taxonomy/taxondetails?taxnode_id=202308108","ictv.global=202308108")</f>
        <v>ictv.global=202308108</v>
      </c>
    </row>
    <row r="1055" spans="1:21">
      <c r="A1055">
        <v>1054</v>
      </c>
      <c r="B1055" s="30" t="s">
        <v>1587</v>
      </c>
      <c r="D1055" s="30" t="s">
        <v>1588</v>
      </c>
      <c r="F1055" s="30" t="s">
        <v>1591</v>
      </c>
      <c r="H1055" s="30" t="s">
        <v>1592</v>
      </c>
      <c r="L1055" s="30" t="s">
        <v>1748</v>
      </c>
      <c r="M1055" s="30" t="s">
        <v>1751</v>
      </c>
      <c r="N1055" s="30" t="s">
        <v>1752</v>
      </c>
      <c r="P1055" s="30" t="s">
        <v>11859</v>
      </c>
      <c r="Q1055" t="s">
        <v>619</v>
      </c>
      <c r="R1055" t="s">
        <v>917</v>
      </c>
      <c r="S1055">
        <v>39</v>
      </c>
      <c r="T1055" s="29" t="str">
        <f t="shared" ref="T1055:T1060" si="44">HYPERLINK("https://ictv.global/ictv/proposals/2023.023B.Epseptimavirus_41ns.zip","2023.023B.Epseptimavirus_41ns.zip")</f>
        <v>2023.023B.Epseptimavirus_41ns.zip</v>
      </c>
      <c r="U1055" s="29" t="str">
        <f>HYPERLINK("https://ictv.global/taxonomy/taxondetails?taxnode_id=202318685","ictv.global=202318685")</f>
        <v>ictv.global=202318685</v>
      </c>
    </row>
    <row r="1056" spans="1:21">
      <c r="A1056">
        <v>1055</v>
      </c>
      <c r="B1056" s="30" t="s">
        <v>1587</v>
      </c>
      <c r="D1056" s="30" t="s">
        <v>1588</v>
      </c>
      <c r="F1056" s="30" t="s">
        <v>1591</v>
      </c>
      <c r="H1056" s="30" t="s">
        <v>1592</v>
      </c>
      <c r="L1056" s="30" t="s">
        <v>1748</v>
      </c>
      <c r="M1056" s="30" t="s">
        <v>1751</v>
      </c>
      <c r="N1056" s="30" t="s">
        <v>1752</v>
      </c>
      <c r="P1056" s="30" t="s">
        <v>11860</v>
      </c>
      <c r="Q1056" t="s">
        <v>619</v>
      </c>
      <c r="R1056" t="s">
        <v>917</v>
      </c>
      <c r="S1056">
        <v>39</v>
      </c>
      <c r="T1056" s="29" t="str">
        <f t="shared" si="44"/>
        <v>2023.023B.Epseptimavirus_41ns.zip</v>
      </c>
      <c r="U1056" s="29" t="str">
        <f>HYPERLINK("https://ictv.global/taxonomy/taxondetails?taxnode_id=202318669","ictv.global=202318669")</f>
        <v>ictv.global=202318669</v>
      </c>
    </row>
    <row r="1057" spans="1:21">
      <c r="A1057">
        <v>1056</v>
      </c>
      <c r="B1057" s="30" t="s">
        <v>1587</v>
      </c>
      <c r="D1057" s="30" t="s">
        <v>1588</v>
      </c>
      <c r="F1057" s="30" t="s">
        <v>1591</v>
      </c>
      <c r="H1057" s="30" t="s">
        <v>1592</v>
      </c>
      <c r="L1057" s="30" t="s">
        <v>1748</v>
      </c>
      <c r="M1057" s="30" t="s">
        <v>1751</v>
      </c>
      <c r="N1057" s="30" t="s">
        <v>1752</v>
      </c>
      <c r="P1057" s="30" t="s">
        <v>11861</v>
      </c>
      <c r="Q1057" t="s">
        <v>619</v>
      </c>
      <c r="R1057" t="s">
        <v>917</v>
      </c>
      <c r="S1057">
        <v>39</v>
      </c>
      <c r="T1057" s="29" t="str">
        <f t="shared" si="44"/>
        <v>2023.023B.Epseptimavirus_41ns.zip</v>
      </c>
      <c r="U1057" s="29" t="str">
        <f>HYPERLINK("https://ictv.global/taxonomy/taxondetails?taxnode_id=202318684","ictv.global=202318684")</f>
        <v>ictv.global=202318684</v>
      </c>
    </row>
    <row r="1058" spans="1:21">
      <c r="A1058">
        <v>1057</v>
      </c>
      <c r="B1058" s="30" t="s">
        <v>1587</v>
      </c>
      <c r="D1058" s="30" t="s">
        <v>1588</v>
      </c>
      <c r="F1058" s="30" t="s">
        <v>1591</v>
      </c>
      <c r="H1058" s="30" t="s">
        <v>1592</v>
      </c>
      <c r="L1058" s="30" t="s">
        <v>1748</v>
      </c>
      <c r="M1058" s="30" t="s">
        <v>1751</v>
      </c>
      <c r="N1058" s="30" t="s">
        <v>1752</v>
      </c>
      <c r="P1058" s="30" t="s">
        <v>11862</v>
      </c>
      <c r="Q1058" t="s">
        <v>619</v>
      </c>
      <c r="R1058" t="s">
        <v>917</v>
      </c>
      <c r="S1058">
        <v>39</v>
      </c>
      <c r="T1058" s="29" t="str">
        <f t="shared" si="44"/>
        <v>2023.023B.Epseptimavirus_41ns.zip</v>
      </c>
      <c r="U1058" s="29" t="str">
        <f>HYPERLINK("https://ictv.global/taxonomy/taxondetails?taxnode_id=202318670","ictv.global=202318670")</f>
        <v>ictv.global=202318670</v>
      </c>
    </row>
    <row r="1059" spans="1:21">
      <c r="A1059">
        <v>1058</v>
      </c>
      <c r="B1059" s="30" t="s">
        <v>1587</v>
      </c>
      <c r="D1059" s="30" t="s">
        <v>1588</v>
      </c>
      <c r="F1059" s="30" t="s">
        <v>1591</v>
      </c>
      <c r="H1059" s="30" t="s">
        <v>1592</v>
      </c>
      <c r="L1059" s="30" t="s">
        <v>1748</v>
      </c>
      <c r="M1059" s="30" t="s">
        <v>1751</v>
      </c>
      <c r="N1059" s="30" t="s">
        <v>1752</v>
      </c>
      <c r="P1059" s="30" t="s">
        <v>11863</v>
      </c>
      <c r="Q1059" t="s">
        <v>619</v>
      </c>
      <c r="R1059" t="s">
        <v>917</v>
      </c>
      <c r="S1059">
        <v>39</v>
      </c>
      <c r="T1059" s="29" t="str">
        <f t="shared" si="44"/>
        <v>2023.023B.Epseptimavirus_41ns.zip</v>
      </c>
      <c r="U1059" s="29" t="str">
        <f>HYPERLINK("https://ictv.global/taxonomy/taxondetails?taxnode_id=202318703","ictv.global=202318703")</f>
        <v>ictv.global=202318703</v>
      </c>
    </row>
    <row r="1060" spans="1:21">
      <c r="A1060">
        <v>1059</v>
      </c>
      <c r="B1060" s="30" t="s">
        <v>1587</v>
      </c>
      <c r="D1060" s="30" t="s">
        <v>1588</v>
      </c>
      <c r="F1060" s="30" t="s">
        <v>1591</v>
      </c>
      <c r="H1060" s="30" t="s">
        <v>1592</v>
      </c>
      <c r="L1060" s="30" t="s">
        <v>1748</v>
      </c>
      <c r="M1060" s="30" t="s">
        <v>1751</v>
      </c>
      <c r="N1060" s="30" t="s">
        <v>1752</v>
      </c>
      <c r="P1060" s="30" t="s">
        <v>11864</v>
      </c>
      <c r="Q1060" t="s">
        <v>619</v>
      </c>
      <c r="R1060" t="s">
        <v>917</v>
      </c>
      <c r="S1060">
        <v>39</v>
      </c>
      <c r="T1060" s="29" t="str">
        <f t="shared" si="44"/>
        <v>2023.023B.Epseptimavirus_41ns.zip</v>
      </c>
      <c r="U1060" s="29" t="str">
        <f>HYPERLINK("https://ictv.global/taxonomy/taxondetails?taxnode_id=202318680","ictv.global=202318680")</f>
        <v>ictv.global=202318680</v>
      </c>
    </row>
    <row r="1061" spans="1:21">
      <c r="A1061">
        <v>1060</v>
      </c>
      <c r="B1061" s="30" t="s">
        <v>1587</v>
      </c>
      <c r="D1061" s="30" t="s">
        <v>1588</v>
      </c>
      <c r="F1061" s="30" t="s">
        <v>1591</v>
      </c>
      <c r="H1061" s="30" t="s">
        <v>1592</v>
      </c>
      <c r="L1061" s="30" t="s">
        <v>1748</v>
      </c>
      <c r="M1061" s="30" t="s">
        <v>1751</v>
      </c>
      <c r="N1061" s="30" t="s">
        <v>1558</v>
      </c>
      <c r="P1061" s="30" t="s">
        <v>11865</v>
      </c>
      <c r="Q1061" t="s">
        <v>619</v>
      </c>
      <c r="R1061" t="s">
        <v>917</v>
      </c>
      <c r="S1061">
        <v>39</v>
      </c>
      <c r="T1061" s="29" t="str">
        <f>HYPERLINK("https://ictv.global/ictv/proposals/2023.067B.Tequintavirus_35ns.zip","2023.067B.Tequintavirus_35ns.zip")</f>
        <v>2023.067B.Tequintavirus_35ns.zip</v>
      </c>
      <c r="U1061" s="29" t="str">
        <f>HYPERLINK("https://ictv.global/taxonomy/taxondetails?taxnode_id=202319360","ictv.global=202319360")</f>
        <v>ictv.global=202319360</v>
      </c>
    </row>
    <row r="1062" spans="1:21">
      <c r="A1062">
        <v>1061</v>
      </c>
      <c r="B1062" s="30" t="s">
        <v>1587</v>
      </c>
      <c r="D1062" s="30" t="s">
        <v>1588</v>
      </c>
      <c r="F1062" s="30" t="s">
        <v>1591</v>
      </c>
      <c r="H1062" s="30" t="s">
        <v>1592</v>
      </c>
      <c r="L1062" s="30" t="s">
        <v>1748</v>
      </c>
      <c r="M1062" s="30" t="s">
        <v>1751</v>
      </c>
      <c r="N1062" s="30" t="s">
        <v>1558</v>
      </c>
      <c r="P1062" s="30" t="s">
        <v>11866</v>
      </c>
      <c r="Q1062" t="s">
        <v>619</v>
      </c>
      <c r="R1062" t="s">
        <v>917</v>
      </c>
      <c r="S1062">
        <v>39</v>
      </c>
      <c r="T1062" s="29" t="str">
        <f>HYPERLINK("https://ictv.global/ictv/proposals/2023.067B.Tequintavirus_35ns.zip","2023.067B.Tequintavirus_35ns.zip")</f>
        <v>2023.067B.Tequintavirus_35ns.zip</v>
      </c>
      <c r="U1062" s="29" t="str">
        <f>HYPERLINK("https://ictv.global/taxonomy/taxondetails?taxnode_id=202319356","ictv.global=202319356")</f>
        <v>ictv.global=202319356</v>
      </c>
    </row>
    <row r="1063" spans="1:21">
      <c r="A1063">
        <v>1062</v>
      </c>
      <c r="B1063" s="30" t="s">
        <v>1587</v>
      </c>
      <c r="D1063" s="30" t="s">
        <v>1588</v>
      </c>
      <c r="F1063" s="30" t="s">
        <v>1591</v>
      </c>
      <c r="H1063" s="30" t="s">
        <v>1592</v>
      </c>
      <c r="L1063" s="30" t="s">
        <v>1748</v>
      </c>
      <c r="M1063" s="30" t="s">
        <v>1751</v>
      </c>
      <c r="N1063" s="30" t="s">
        <v>1558</v>
      </c>
      <c r="P1063" s="30" t="s">
        <v>4925</v>
      </c>
      <c r="Q1063" t="s">
        <v>619</v>
      </c>
      <c r="R1063" t="s">
        <v>918</v>
      </c>
      <c r="S1063">
        <v>37</v>
      </c>
      <c r="T1063" s="29" t="str">
        <f>HYPERLINK("https://ictv.global/ictv/proposals/2021.010B.R.Binomial_names.zip","2021.010B.R.Binomial_names.zip")</f>
        <v>2021.010B.R.Binomial_names.zip</v>
      </c>
      <c r="U1063" s="29" t="str">
        <f>HYPERLINK("https://ictv.global/taxonomy/taxondetails?taxnode_id=202301321","ictv.global=202301321")</f>
        <v>ictv.global=202301321</v>
      </c>
    </row>
    <row r="1064" spans="1:21">
      <c r="A1064">
        <v>1063</v>
      </c>
      <c r="B1064" s="30" t="s">
        <v>1587</v>
      </c>
      <c r="D1064" s="30" t="s">
        <v>1588</v>
      </c>
      <c r="F1064" s="30" t="s">
        <v>1591</v>
      </c>
      <c r="H1064" s="30" t="s">
        <v>1592</v>
      </c>
      <c r="L1064" s="30" t="s">
        <v>1748</v>
      </c>
      <c r="M1064" s="30" t="s">
        <v>1751</v>
      </c>
      <c r="N1064" s="30" t="s">
        <v>1558</v>
      </c>
      <c r="P1064" s="30" t="s">
        <v>4926</v>
      </c>
      <c r="Q1064" t="s">
        <v>619</v>
      </c>
      <c r="R1064" t="s">
        <v>918</v>
      </c>
      <c r="S1064">
        <v>37</v>
      </c>
      <c r="T1064" s="29" t="str">
        <f>HYPERLINK("https://ictv.global/ictv/proposals/2021.010B.R.Binomial_names.zip","2021.010B.R.Binomial_names.zip")</f>
        <v>2021.010B.R.Binomial_names.zip</v>
      </c>
      <c r="U1064" s="29" t="str">
        <f>HYPERLINK("https://ictv.global/taxonomy/taxondetails?taxnode_id=202308092","ictv.global=202308092")</f>
        <v>ictv.global=202308092</v>
      </c>
    </row>
    <row r="1065" spans="1:21">
      <c r="A1065">
        <v>1064</v>
      </c>
      <c r="B1065" s="30" t="s">
        <v>1587</v>
      </c>
      <c r="D1065" s="30" t="s">
        <v>1588</v>
      </c>
      <c r="F1065" s="30" t="s">
        <v>1591</v>
      </c>
      <c r="H1065" s="30" t="s">
        <v>1592</v>
      </c>
      <c r="L1065" s="30" t="s">
        <v>1748</v>
      </c>
      <c r="M1065" s="30" t="s">
        <v>1751</v>
      </c>
      <c r="N1065" s="30" t="s">
        <v>1558</v>
      </c>
      <c r="P1065" s="30" t="s">
        <v>11867</v>
      </c>
      <c r="Q1065" t="s">
        <v>619</v>
      </c>
      <c r="R1065" t="s">
        <v>917</v>
      </c>
      <c r="S1065">
        <v>39</v>
      </c>
      <c r="T1065" s="29" t="str">
        <f>HYPERLINK("https://ictv.global/ictv/proposals/2023.067B.Tequintavirus_35ns.zip","2023.067B.Tequintavirus_35ns.zip")</f>
        <v>2023.067B.Tequintavirus_35ns.zip</v>
      </c>
      <c r="U1065" s="29" t="str">
        <f>HYPERLINK("https://ictv.global/taxonomy/taxondetails?taxnode_id=202319380","ictv.global=202319380")</f>
        <v>ictv.global=202319380</v>
      </c>
    </row>
    <row r="1066" spans="1:21">
      <c r="A1066">
        <v>1065</v>
      </c>
      <c r="B1066" s="30" t="s">
        <v>1587</v>
      </c>
      <c r="D1066" s="30" t="s">
        <v>1588</v>
      </c>
      <c r="F1066" s="30" t="s">
        <v>1591</v>
      </c>
      <c r="H1066" s="30" t="s">
        <v>1592</v>
      </c>
      <c r="L1066" s="30" t="s">
        <v>1748</v>
      </c>
      <c r="M1066" s="30" t="s">
        <v>1751</v>
      </c>
      <c r="N1066" s="30" t="s">
        <v>1558</v>
      </c>
      <c r="P1066" s="30" t="s">
        <v>4927</v>
      </c>
      <c r="Q1066" t="s">
        <v>619</v>
      </c>
      <c r="R1066" t="s">
        <v>918</v>
      </c>
      <c r="S1066">
        <v>37</v>
      </c>
      <c r="T1066" s="29" t="str">
        <f>HYPERLINK("https://ictv.global/ictv/proposals/2021.010B.R.Binomial_names.zip","2021.010B.R.Binomial_names.zip")</f>
        <v>2021.010B.R.Binomial_names.zip</v>
      </c>
      <c r="U1066" s="29" t="str">
        <f>HYPERLINK("https://ictv.global/taxonomy/taxondetails?taxnode_id=202301322","ictv.global=202301322")</f>
        <v>ictv.global=202301322</v>
      </c>
    </row>
    <row r="1067" spans="1:21">
      <c r="A1067">
        <v>1066</v>
      </c>
      <c r="B1067" s="30" t="s">
        <v>1587</v>
      </c>
      <c r="D1067" s="30" t="s">
        <v>1588</v>
      </c>
      <c r="F1067" s="30" t="s">
        <v>1591</v>
      </c>
      <c r="H1067" s="30" t="s">
        <v>1592</v>
      </c>
      <c r="L1067" s="30" t="s">
        <v>1748</v>
      </c>
      <c r="M1067" s="30" t="s">
        <v>1751</v>
      </c>
      <c r="N1067" s="30" t="s">
        <v>1558</v>
      </c>
      <c r="P1067" s="30" t="s">
        <v>4928</v>
      </c>
      <c r="Q1067" t="s">
        <v>619</v>
      </c>
      <c r="R1067" t="s">
        <v>918</v>
      </c>
      <c r="S1067">
        <v>37</v>
      </c>
      <c r="T1067" s="29" t="str">
        <f>HYPERLINK("https://ictv.global/ictv/proposals/2021.010B.R.Binomial_names.zip","2021.010B.R.Binomial_names.zip")</f>
        <v>2021.010B.R.Binomial_names.zip</v>
      </c>
      <c r="U1067" s="29" t="str">
        <f>HYPERLINK("https://ictv.global/taxonomy/taxondetails?taxnode_id=202308093","ictv.global=202308093")</f>
        <v>ictv.global=202308093</v>
      </c>
    </row>
    <row r="1068" spans="1:21">
      <c r="A1068">
        <v>1067</v>
      </c>
      <c r="B1068" s="30" t="s">
        <v>1587</v>
      </c>
      <c r="D1068" s="30" t="s">
        <v>1588</v>
      </c>
      <c r="F1068" s="30" t="s">
        <v>1591</v>
      </c>
      <c r="H1068" s="30" t="s">
        <v>1592</v>
      </c>
      <c r="L1068" s="30" t="s">
        <v>1748</v>
      </c>
      <c r="M1068" s="30" t="s">
        <v>1751</v>
      </c>
      <c r="N1068" s="30" t="s">
        <v>1558</v>
      </c>
      <c r="P1068" s="30" t="s">
        <v>11868</v>
      </c>
      <c r="Q1068" t="s">
        <v>619</v>
      </c>
      <c r="R1068" t="s">
        <v>917</v>
      </c>
      <c r="S1068">
        <v>39</v>
      </c>
      <c r="T1068" s="29" t="str">
        <f>HYPERLINK("https://ictv.global/ictv/proposals/2023.067B.Tequintavirus_35ns.zip","2023.067B.Tequintavirus_35ns.zip")</f>
        <v>2023.067B.Tequintavirus_35ns.zip</v>
      </c>
      <c r="U1068" s="29" t="str">
        <f>HYPERLINK("https://ictv.global/taxonomy/taxondetails?taxnode_id=202319352","ictv.global=202319352")</f>
        <v>ictv.global=202319352</v>
      </c>
    </row>
    <row r="1069" spans="1:21">
      <c r="A1069">
        <v>1068</v>
      </c>
      <c r="B1069" s="30" t="s">
        <v>1587</v>
      </c>
      <c r="D1069" s="30" t="s">
        <v>1588</v>
      </c>
      <c r="F1069" s="30" t="s">
        <v>1591</v>
      </c>
      <c r="H1069" s="30" t="s">
        <v>1592</v>
      </c>
      <c r="L1069" s="30" t="s">
        <v>1748</v>
      </c>
      <c r="M1069" s="30" t="s">
        <v>1751</v>
      </c>
      <c r="N1069" s="30" t="s">
        <v>1558</v>
      </c>
      <c r="P1069" s="30" t="s">
        <v>4929</v>
      </c>
      <c r="Q1069" t="s">
        <v>619</v>
      </c>
      <c r="R1069" t="s">
        <v>918</v>
      </c>
      <c r="S1069">
        <v>37</v>
      </c>
      <c r="T1069" s="29" t="str">
        <f>HYPERLINK("https://ictv.global/ictv/proposals/2021.010B.R.Binomial_names.zip","2021.010B.R.Binomial_names.zip")</f>
        <v>2021.010B.R.Binomial_names.zip</v>
      </c>
      <c r="U1069" s="29" t="str">
        <f>HYPERLINK("https://ictv.global/taxonomy/taxondetails?taxnode_id=202308083","ictv.global=202308083")</f>
        <v>ictv.global=202308083</v>
      </c>
    </row>
    <row r="1070" spans="1:21">
      <c r="A1070">
        <v>1069</v>
      </c>
      <c r="B1070" s="30" t="s">
        <v>1587</v>
      </c>
      <c r="D1070" s="30" t="s">
        <v>1588</v>
      </c>
      <c r="F1070" s="30" t="s">
        <v>1591</v>
      </c>
      <c r="H1070" s="30" t="s">
        <v>1592</v>
      </c>
      <c r="L1070" s="30" t="s">
        <v>1748</v>
      </c>
      <c r="M1070" s="30" t="s">
        <v>1751</v>
      </c>
      <c r="N1070" s="30" t="s">
        <v>1558</v>
      </c>
      <c r="P1070" s="30" t="s">
        <v>4930</v>
      </c>
      <c r="Q1070" t="s">
        <v>619</v>
      </c>
      <c r="R1070" t="s">
        <v>918</v>
      </c>
      <c r="S1070">
        <v>37</v>
      </c>
      <c r="T1070" s="29" t="str">
        <f>HYPERLINK("https://ictv.global/ictv/proposals/2021.010B.R.Binomial_names.zip","2021.010B.R.Binomial_names.zip")</f>
        <v>2021.010B.R.Binomial_names.zip</v>
      </c>
      <c r="U1070" s="29" t="str">
        <f>HYPERLINK("https://ictv.global/taxonomy/taxondetails?taxnode_id=202301323","ictv.global=202301323")</f>
        <v>ictv.global=202301323</v>
      </c>
    </row>
    <row r="1071" spans="1:21">
      <c r="A1071">
        <v>1070</v>
      </c>
      <c r="B1071" s="30" t="s">
        <v>1587</v>
      </c>
      <c r="D1071" s="30" t="s">
        <v>1588</v>
      </c>
      <c r="F1071" s="30" t="s">
        <v>1591</v>
      </c>
      <c r="H1071" s="30" t="s">
        <v>1592</v>
      </c>
      <c r="L1071" s="30" t="s">
        <v>1748</v>
      </c>
      <c r="M1071" s="30" t="s">
        <v>1751</v>
      </c>
      <c r="N1071" s="30" t="s">
        <v>1558</v>
      </c>
      <c r="P1071" s="30" t="s">
        <v>11869</v>
      </c>
      <c r="Q1071" t="s">
        <v>619</v>
      </c>
      <c r="R1071" t="s">
        <v>917</v>
      </c>
      <c r="S1071">
        <v>39</v>
      </c>
      <c r="T1071" s="29" t="str">
        <f t="shared" ref="T1071:T1077" si="45">HYPERLINK("https://ictv.global/ictv/proposals/2023.067B.Tequintavirus_35ns.zip","2023.067B.Tequintavirus_35ns.zip")</f>
        <v>2023.067B.Tequintavirus_35ns.zip</v>
      </c>
      <c r="U1071" s="29" t="str">
        <f>HYPERLINK("https://ictv.global/taxonomy/taxondetails?taxnode_id=202319358","ictv.global=202319358")</f>
        <v>ictv.global=202319358</v>
      </c>
    </row>
    <row r="1072" spans="1:21">
      <c r="A1072">
        <v>1071</v>
      </c>
      <c r="B1072" s="30" t="s">
        <v>1587</v>
      </c>
      <c r="D1072" s="30" t="s">
        <v>1588</v>
      </c>
      <c r="F1072" s="30" t="s">
        <v>1591</v>
      </c>
      <c r="H1072" s="30" t="s">
        <v>1592</v>
      </c>
      <c r="L1072" s="30" t="s">
        <v>1748</v>
      </c>
      <c r="M1072" s="30" t="s">
        <v>1751</v>
      </c>
      <c r="N1072" s="30" t="s">
        <v>1558</v>
      </c>
      <c r="P1072" s="30" t="s">
        <v>11870</v>
      </c>
      <c r="Q1072" t="s">
        <v>619</v>
      </c>
      <c r="R1072" t="s">
        <v>917</v>
      </c>
      <c r="S1072">
        <v>39</v>
      </c>
      <c r="T1072" s="29" t="str">
        <f t="shared" si="45"/>
        <v>2023.067B.Tequintavirus_35ns.zip</v>
      </c>
      <c r="U1072" s="29" t="str">
        <f>HYPERLINK("https://ictv.global/taxonomy/taxondetails?taxnode_id=202319362","ictv.global=202319362")</f>
        <v>ictv.global=202319362</v>
      </c>
    </row>
    <row r="1073" spans="1:21">
      <c r="A1073">
        <v>1072</v>
      </c>
      <c r="B1073" s="30" t="s">
        <v>1587</v>
      </c>
      <c r="D1073" s="30" t="s">
        <v>1588</v>
      </c>
      <c r="F1073" s="30" t="s">
        <v>1591</v>
      </c>
      <c r="H1073" s="30" t="s">
        <v>1592</v>
      </c>
      <c r="L1073" s="30" t="s">
        <v>1748</v>
      </c>
      <c r="M1073" s="30" t="s">
        <v>1751</v>
      </c>
      <c r="N1073" s="30" t="s">
        <v>1558</v>
      </c>
      <c r="P1073" s="30" t="s">
        <v>11871</v>
      </c>
      <c r="Q1073" t="s">
        <v>619</v>
      </c>
      <c r="R1073" t="s">
        <v>917</v>
      </c>
      <c r="S1073">
        <v>39</v>
      </c>
      <c r="T1073" s="29" t="str">
        <f t="shared" si="45"/>
        <v>2023.067B.Tequintavirus_35ns.zip</v>
      </c>
      <c r="U1073" s="29" t="str">
        <f>HYPERLINK("https://ictv.global/taxonomy/taxondetails?taxnode_id=202319363","ictv.global=202319363")</f>
        <v>ictv.global=202319363</v>
      </c>
    </row>
    <row r="1074" spans="1:21">
      <c r="A1074">
        <v>1073</v>
      </c>
      <c r="B1074" s="30" t="s">
        <v>1587</v>
      </c>
      <c r="D1074" s="30" t="s">
        <v>1588</v>
      </c>
      <c r="F1074" s="30" t="s">
        <v>1591</v>
      </c>
      <c r="H1074" s="30" t="s">
        <v>1592</v>
      </c>
      <c r="L1074" s="30" t="s">
        <v>1748</v>
      </c>
      <c r="M1074" s="30" t="s">
        <v>1751</v>
      </c>
      <c r="N1074" s="30" t="s">
        <v>1558</v>
      </c>
      <c r="P1074" s="30" t="s">
        <v>11872</v>
      </c>
      <c r="Q1074" t="s">
        <v>619</v>
      </c>
      <c r="R1074" t="s">
        <v>917</v>
      </c>
      <c r="S1074">
        <v>39</v>
      </c>
      <c r="T1074" s="29" t="str">
        <f t="shared" si="45"/>
        <v>2023.067B.Tequintavirus_35ns.zip</v>
      </c>
      <c r="U1074" s="29" t="str">
        <f>HYPERLINK("https://ictv.global/taxonomy/taxondetails?taxnode_id=202319354","ictv.global=202319354")</f>
        <v>ictv.global=202319354</v>
      </c>
    </row>
    <row r="1075" spans="1:21">
      <c r="A1075">
        <v>1074</v>
      </c>
      <c r="B1075" s="30" t="s">
        <v>1587</v>
      </c>
      <c r="D1075" s="30" t="s">
        <v>1588</v>
      </c>
      <c r="F1075" s="30" t="s">
        <v>1591</v>
      </c>
      <c r="H1075" s="30" t="s">
        <v>1592</v>
      </c>
      <c r="L1075" s="30" t="s">
        <v>1748</v>
      </c>
      <c r="M1075" s="30" t="s">
        <v>1751</v>
      </c>
      <c r="N1075" s="30" t="s">
        <v>1558</v>
      </c>
      <c r="P1075" s="30" t="s">
        <v>11873</v>
      </c>
      <c r="Q1075" t="s">
        <v>619</v>
      </c>
      <c r="R1075" t="s">
        <v>917</v>
      </c>
      <c r="S1075">
        <v>39</v>
      </c>
      <c r="T1075" s="29" t="str">
        <f t="shared" si="45"/>
        <v>2023.067B.Tequintavirus_35ns.zip</v>
      </c>
      <c r="U1075" s="29" t="str">
        <f>HYPERLINK("https://ictv.global/taxonomy/taxondetails?taxnode_id=202319372","ictv.global=202319372")</f>
        <v>ictv.global=202319372</v>
      </c>
    </row>
    <row r="1076" spans="1:21">
      <c r="A1076">
        <v>1075</v>
      </c>
      <c r="B1076" s="30" t="s">
        <v>1587</v>
      </c>
      <c r="D1076" s="30" t="s">
        <v>1588</v>
      </c>
      <c r="F1076" s="30" t="s">
        <v>1591</v>
      </c>
      <c r="H1076" s="30" t="s">
        <v>1592</v>
      </c>
      <c r="L1076" s="30" t="s">
        <v>1748</v>
      </c>
      <c r="M1076" s="30" t="s">
        <v>1751</v>
      </c>
      <c r="N1076" s="30" t="s">
        <v>1558</v>
      </c>
      <c r="P1076" s="30" t="s">
        <v>11874</v>
      </c>
      <c r="Q1076" t="s">
        <v>619</v>
      </c>
      <c r="R1076" t="s">
        <v>917</v>
      </c>
      <c r="S1076">
        <v>39</v>
      </c>
      <c r="T1076" s="29" t="str">
        <f t="shared" si="45"/>
        <v>2023.067B.Tequintavirus_35ns.zip</v>
      </c>
      <c r="U1076" s="29" t="str">
        <f>HYPERLINK("https://ictv.global/taxonomy/taxondetails?taxnode_id=202319369","ictv.global=202319369")</f>
        <v>ictv.global=202319369</v>
      </c>
    </row>
    <row r="1077" spans="1:21">
      <c r="A1077">
        <v>1076</v>
      </c>
      <c r="B1077" s="30" t="s">
        <v>1587</v>
      </c>
      <c r="D1077" s="30" t="s">
        <v>1588</v>
      </c>
      <c r="F1077" s="30" t="s">
        <v>1591</v>
      </c>
      <c r="H1077" s="30" t="s">
        <v>1592</v>
      </c>
      <c r="L1077" s="30" t="s">
        <v>1748</v>
      </c>
      <c r="M1077" s="30" t="s">
        <v>1751</v>
      </c>
      <c r="N1077" s="30" t="s">
        <v>1558</v>
      </c>
      <c r="P1077" s="30" t="s">
        <v>11875</v>
      </c>
      <c r="Q1077" t="s">
        <v>619</v>
      </c>
      <c r="R1077" t="s">
        <v>917</v>
      </c>
      <c r="S1077">
        <v>39</v>
      </c>
      <c r="T1077" s="29" t="str">
        <f t="shared" si="45"/>
        <v>2023.067B.Tequintavirus_35ns.zip</v>
      </c>
      <c r="U1077" s="29" t="str">
        <f>HYPERLINK("https://ictv.global/taxonomy/taxondetails?taxnode_id=202319351","ictv.global=202319351")</f>
        <v>ictv.global=202319351</v>
      </c>
    </row>
    <row r="1078" spans="1:21">
      <c r="A1078">
        <v>1077</v>
      </c>
      <c r="B1078" s="30" t="s">
        <v>1587</v>
      </c>
      <c r="D1078" s="30" t="s">
        <v>1588</v>
      </c>
      <c r="F1078" s="30" t="s">
        <v>1591</v>
      </c>
      <c r="H1078" s="30" t="s">
        <v>1592</v>
      </c>
      <c r="L1078" s="30" t="s">
        <v>1748</v>
      </c>
      <c r="M1078" s="30" t="s">
        <v>1751</v>
      </c>
      <c r="N1078" s="30" t="s">
        <v>1558</v>
      </c>
      <c r="P1078" s="30" t="s">
        <v>4931</v>
      </c>
      <c r="Q1078" t="s">
        <v>619</v>
      </c>
      <c r="R1078" t="s">
        <v>918</v>
      </c>
      <c r="S1078">
        <v>37</v>
      </c>
      <c r="T1078" s="29" t="str">
        <f>HYPERLINK("https://ictv.global/ictv/proposals/2021.010B.R.Binomial_names.zip","2021.010B.R.Binomial_names.zip")</f>
        <v>2021.010B.R.Binomial_names.zip</v>
      </c>
      <c r="U1078" s="29" t="str">
        <f>HYPERLINK("https://ictv.global/taxonomy/taxondetails?taxnode_id=202301325","ictv.global=202301325")</f>
        <v>ictv.global=202301325</v>
      </c>
    </row>
    <row r="1079" spans="1:21">
      <c r="A1079">
        <v>1078</v>
      </c>
      <c r="B1079" s="30" t="s">
        <v>1587</v>
      </c>
      <c r="D1079" s="30" t="s">
        <v>1588</v>
      </c>
      <c r="F1079" s="30" t="s">
        <v>1591</v>
      </c>
      <c r="H1079" s="30" t="s">
        <v>1592</v>
      </c>
      <c r="L1079" s="30" t="s">
        <v>1748</v>
      </c>
      <c r="M1079" s="30" t="s">
        <v>1751</v>
      </c>
      <c r="N1079" s="30" t="s">
        <v>1558</v>
      </c>
      <c r="P1079" s="30" t="s">
        <v>4932</v>
      </c>
      <c r="Q1079" t="s">
        <v>619</v>
      </c>
      <c r="R1079" t="s">
        <v>918</v>
      </c>
      <c r="S1079">
        <v>37</v>
      </c>
      <c r="T1079" s="29" t="str">
        <f>HYPERLINK("https://ictv.global/ictv/proposals/2021.010B.R.Binomial_names.zip","2021.010B.R.Binomial_names.zip")</f>
        <v>2021.010B.R.Binomial_names.zip</v>
      </c>
      <c r="U1079" s="29" t="str">
        <f>HYPERLINK("https://ictv.global/taxonomy/taxondetails?taxnode_id=202309961","ictv.global=202309961")</f>
        <v>ictv.global=202309961</v>
      </c>
    </row>
    <row r="1080" spans="1:21">
      <c r="A1080">
        <v>1079</v>
      </c>
      <c r="B1080" s="30" t="s">
        <v>1587</v>
      </c>
      <c r="D1080" s="30" t="s">
        <v>1588</v>
      </c>
      <c r="F1080" s="30" t="s">
        <v>1591</v>
      </c>
      <c r="H1080" s="30" t="s">
        <v>1592</v>
      </c>
      <c r="L1080" s="30" t="s">
        <v>1748</v>
      </c>
      <c r="M1080" s="30" t="s">
        <v>1751</v>
      </c>
      <c r="N1080" s="30" t="s">
        <v>1558</v>
      </c>
      <c r="P1080" s="30" t="s">
        <v>4933</v>
      </c>
      <c r="Q1080" t="s">
        <v>619</v>
      </c>
      <c r="R1080" t="s">
        <v>918</v>
      </c>
      <c r="S1080">
        <v>37</v>
      </c>
      <c r="T1080" s="29" t="str">
        <f>HYPERLINK("https://ictv.global/ictv/proposals/2021.010B.R.Binomial_names.zip","2021.010B.R.Binomial_names.zip")</f>
        <v>2021.010B.R.Binomial_names.zip</v>
      </c>
      <c r="U1080" s="29" t="str">
        <f>HYPERLINK("https://ictv.global/taxonomy/taxondetails?taxnode_id=202308082","ictv.global=202308082")</f>
        <v>ictv.global=202308082</v>
      </c>
    </row>
    <row r="1081" spans="1:21">
      <c r="A1081">
        <v>1080</v>
      </c>
      <c r="B1081" s="30" t="s">
        <v>1587</v>
      </c>
      <c r="D1081" s="30" t="s">
        <v>1588</v>
      </c>
      <c r="F1081" s="30" t="s">
        <v>1591</v>
      </c>
      <c r="H1081" s="30" t="s">
        <v>1592</v>
      </c>
      <c r="L1081" s="30" t="s">
        <v>1748</v>
      </c>
      <c r="M1081" s="30" t="s">
        <v>1751</v>
      </c>
      <c r="N1081" s="30" t="s">
        <v>1558</v>
      </c>
      <c r="P1081" s="30" t="s">
        <v>11876</v>
      </c>
      <c r="Q1081" t="s">
        <v>619</v>
      </c>
      <c r="R1081" t="s">
        <v>917</v>
      </c>
      <c r="S1081">
        <v>39</v>
      </c>
      <c r="T1081" s="29" t="str">
        <f>HYPERLINK("https://ictv.global/ictv/proposals/2023.067B.Tequintavirus_35ns.zip","2023.067B.Tequintavirus_35ns.zip")</f>
        <v>2023.067B.Tequintavirus_35ns.zip</v>
      </c>
      <c r="U1081" s="29" t="str">
        <f>HYPERLINK("https://ictv.global/taxonomy/taxondetails?taxnode_id=202319357","ictv.global=202319357")</f>
        <v>ictv.global=202319357</v>
      </c>
    </row>
    <row r="1082" spans="1:21">
      <c r="A1082">
        <v>1081</v>
      </c>
      <c r="B1082" s="30" t="s">
        <v>1587</v>
      </c>
      <c r="D1082" s="30" t="s">
        <v>1588</v>
      </c>
      <c r="F1082" s="30" t="s">
        <v>1591</v>
      </c>
      <c r="H1082" s="30" t="s">
        <v>1592</v>
      </c>
      <c r="L1082" s="30" t="s">
        <v>1748</v>
      </c>
      <c r="M1082" s="30" t="s">
        <v>1751</v>
      </c>
      <c r="N1082" s="30" t="s">
        <v>1558</v>
      </c>
      <c r="P1082" s="30" t="s">
        <v>4934</v>
      </c>
      <c r="Q1082" t="s">
        <v>619</v>
      </c>
      <c r="R1082" t="s">
        <v>918</v>
      </c>
      <c r="S1082">
        <v>37</v>
      </c>
      <c r="T1082" s="29" t="str">
        <f>HYPERLINK("https://ictv.global/ictv/proposals/2021.010B.R.Binomial_names.zip","2021.010B.R.Binomial_names.zip")</f>
        <v>2021.010B.R.Binomial_names.zip</v>
      </c>
      <c r="U1082" s="29" t="str">
        <f>HYPERLINK("https://ictv.global/taxonomy/taxondetails?taxnode_id=202301326","ictv.global=202301326")</f>
        <v>ictv.global=202301326</v>
      </c>
    </row>
    <row r="1083" spans="1:21">
      <c r="A1083">
        <v>1082</v>
      </c>
      <c r="B1083" s="30" t="s">
        <v>1587</v>
      </c>
      <c r="D1083" s="30" t="s">
        <v>1588</v>
      </c>
      <c r="F1083" s="30" t="s">
        <v>1591</v>
      </c>
      <c r="H1083" s="30" t="s">
        <v>1592</v>
      </c>
      <c r="L1083" s="30" t="s">
        <v>1748</v>
      </c>
      <c r="M1083" s="30" t="s">
        <v>1751</v>
      </c>
      <c r="N1083" s="30" t="s">
        <v>1558</v>
      </c>
      <c r="P1083" s="30" t="s">
        <v>11877</v>
      </c>
      <c r="Q1083" t="s">
        <v>619</v>
      </c>
      <c r="R1083" t="s">
        <v>917</v>
      </c>
      <c r="S1083">
        <v>39</v>
      </c>
      <c r="T1083" s="29" t="str">
        <f>HYPERLINK("https://ictv.global/ictv/proposals/2023.067B.Tequintavirus_35ns.zip","2023.067B.Tequintavirus_35ns.zip")</f>
        <v>2023.067B.Tequintavirus_35ns.zip</v>
      </c>
      <c r="U1083" s="29" t="str">
        <f>HYPERLINK("https://ictv.global/taxonomy/taxondetails?taxnode_id=202319379","ictv.global=202319379")</f>
        <v>ictv.global=202319379</v>
      </c>
    </row>
    <row r="1084" spans="1:21">
      <c r="A1084">
        <v>1083</v>
      </c>
      <c r="B1084" s="30" t="s">
        <v>1587</v>
      </c>
      <c r="D1084" s="30" t="s">
        <v>1588</v>
      </c>
      <c r="F1084" s="30" t="s">
        <v>1591</v>
      </c>
      <c r="H1084" s="30" t="s">
        <v>1592</v>
      </c>
      <c r="L1084" s="30" t="s">
        <v>1748</v>
      </c>
      <c r="M1084" s="30" t="s">
        <v>1751</v>
      </c>
      <c r="N1084" s="30" t="s">
        <v>1558</v>
      </c>
      <c r="P1084" s="30" t="s">
        <v>4935</v>
      </c>
      <c r="Q1084" t="s">
        <v>619</v>
      </c>
      <c r="R1084" t="s">
        <v>918</v>
      </c>
      <c r="S1084">
        <v>37</v>
      </c>
      <c r="T1084" s="29" t="str">
        <f>HYPERLINK("https://ictv.global/ictv/proposals/2021.010B.R.Binomial_names.zip","2021.010B.R.Binomial_names.zip")</f>
        <v>2021.010B.R.Binomial_names.zip</v>
      </c>
      <c r="U1084" s="29" t="str">
        <f>HYPERLINK("https://ictv.global/taxonomy/taxondetails?taxnode_id=202309954","ictv.global=202309954")</f>
        <v>ictv.global=202309954</v>
      </c>
    </row>
    <row r="1085" spans="1:21">
      <c r="A1085">
        <v>1084</v>
      </c>
      <c r="B1085" s="30" t="s">
        <v>1587</v>
      </c>
      <c r="D1085" s="30" t="s">
        <v>1588</v>
      </c>
      <c r="F1085" s="30" t="s">
        <v>1591</v>
      </c>
      <c r="H1085" s="30" t="s">
        <v>1592</v>
      </c>
      <c r="L1085" s="30" t="s">
        <v>1748</v>
      </c>
      <c r="M1085" s="30" t="s">
        <v>1751</v>
      </c>
      <c r="N1085" s="30" t="s">
        <v>1558</v>
      </c>
      <c r="P1085" s="30" t="s">
        <v>11878</v>
      </c>
      <c r="Q1085" t="s">
        <v>619</v>
      </c>
      <c r="R1085" t="s">
        <v>917</v>
      </c>
      <c r="S1085">
        <v>39</v>
      </c>
      <c r="T1085" s="29" t="str">
        <f t="shared" ref="T1085:T1090" si="46">HYPERLINK("https://ictv.global/ictv/proposals/2023.067B.Tequintavirus_35ns.zip","2023.067B.Tequintavirus_35ns.zip")</f>
        <v>2023.067B.Tequintavirus_35ns.zip</v>
      </c>
      <c r="U1085" s="29" t="str">
        <f>HYPERLINK("https://ictv.global/taxonomy/taxondetails?taxnode_id=202319370","ictv.global=202319370")</f>
        <v>ictv.global=202319370</v>
      </c>
    </row>
    <row r="1086" spans="1:21">
      <c r="A1086">
        <v>1085</v>
      </c>
      <c r="B1086" s="30" t="s">
        <v>1587</v>
      </c>
      <c r="D1086" s="30" t="s">
        <v>1588</v>
      </c>
      <c r="F1086" s="30" t="s">
        <v>1591</v>
      </c>
      <c r="H1086" s="30" t="s">
        <v>1592</v>
      </c>
      <c r="L1086" s="30" t="s">
        <v>1748</v>
      </c>
      <c r="M1086" s="30" t="s">
        <v>1751</v>
      </c>
      <c r="N1086" s="30" t="s">
        <v>1558</v>
      </c>
      <c r="P1086" s="30" t="s">
        <v>11879</v>
      </c>
      <c r="Q1086" t="s">
        <v>619</v>
      </c>
      <c r="R1086" t="s">
        <v>917</v>
      </c>
      <c r="S1086">
        <v>39</v>
      </c>
      <c r="T1086" s="29" t="str">
        <f t="shared" si="46"/>
        <v>2023.067B.Tequintavirus_35ns.zip</v>
      </c>
      <c r="U1086" s="29" t="str">
        <f>HYPERLINK("https://ictv.global/taxonomy/taxondetails?taxnode_id=202319365","ictv.global=202319365")</f>
        <v>ictv.global=202319365</v>
      </c>
    </row>
    <row r="1087" spans="1:21">
      <c r="A1087">
        <v>1086</v>
      </c>
      <c r="B1087" s="30" t="s">
        <v>1587</v>
      </c>
      <c r="D1087" s="30" t="s">
        <v>1588</v>
      </c>
      <c r="F1087" s="30" t="s">
        <v>1591</v>
      </c>
      <c r="H1087" s="30" t="s">
        <v>1592</v>
      </c>
      <c r="L1087" s="30" t="s">
        <v>1748</v>
      </c>
      <c r="M1087" s="30" t="s">
        <v>1751</v>
      </c>
      <c r="N1087" s="30" t="s">
        <v>1558</v>
      </c>
      <c r="P1087" s="30" t="s">
        <v>11880</v>
      </c>
      <c r="Q1087" t="s">
        <v>619</v>
      </c>
      <c r="R1087" t="s">
        <v>917</v>
      </c>
      <c r="S1087">
        <v>39</v>
      </c>
      <c r="T1087" s="29" t="str">
        <f t="shared" si="46"/>
        <v>2023.067B.Tequintavirus_35ns.zip</v>
      </c>
      <c r="U1087" s="29" t="str">
        <f>HYPERLINK("https://ictv.global/taxonomy/taxondetails?taxnode_id=202319350","ictv.global=202319350")</f>
        <v>ictv.global=202319350</v>
      </c>
    </row>
    <row r="1088" spans="1:21">
      <c r="A1088">
        <v>1087</v>
      </c>
      <c r="B1088" s="30" t="s">
        <v>1587</v>
      </c>
      <c r="D1088" s="30" t="s">
        <v>1588</v>
      </c>
      <c r="F1088" s="30" t="s">
        <v>1591</v>
      </c>
      <c r="H1088" s="30" t="s">
        <v>1592</v>
      </c>
      <c r="L1088" s="30" t="s">
        <v>1748</v>
      </c>
      <c r="M1088" s="30" t="s">
        <v>1751</v>
      </c>
      <c r="N1088" s="30" t="s">
        <v>1558</v>
      </c>
      <c r="P1088" s="30" t="s">
        <v>11881</v>
      </c>
      <c r="Q1088" t="s">
        <v>619</v>
      </c>
      <c r="R1088" t="s">
        <v>917</v>
      </c>
      <c r="S1088">
        <v>39</v>
      </c>
      <c r="T1088" s="29" t="str">
        <f t="shared" si="46"/>
        <v>2023.067B.Tequintavirus_35ns.zip</v>
      </c>
      <c r="U1088" s="29" t="str">
        <f>HYPERLINK("https://ictv.global/taxonomy/taxondetails?taxnode_id=202319364","ictv.global=202319364")</f>
        <v>ictv.global=202319364</v>
      </c>
    </row>
    <row r="1089" spans="1:21">
      <c r="A1089">
        <v>1088</v>
      </c>
      <c r="B1089" s="30" t="s">
        <v>1587</v>
      </c>
      <c r="D1089" s="30" t="s">
        <v>1588</v>
      </c>
      <c r="F1089" s="30" t="s">
        <v>1591</v>
      </c>
      <c r="H1089" s="30" t="s">
        <v>1592</v>
      </c>
      <c r="L1089" s="30" t="s">
        <v>1748</v>
      </c>
      <c r="M1089" s="30" t="s">
        <v>1751</v>
      </c>
      <c r="N1089" s="30" t="s">
        <v>1558</v>
      </c>
      <c r="P1089" s="30" t="s">
        <v>11882</v>
      </c>
      <c r="Q1089" t="s">
        <v>619</v>
      </c>
      <c r="R1089" t="s">
        <v>917</v>
      </c>
      <c r="S1089">
        <v>39</v>
      </c>
      <c r="T1089" s="29" t="str">
        <f t="shared" si="46"/>
        <v>2023.067B.Tequintavirus_35ns.zip</v>
      </c>
      <c r="U1089" s="29" t="str">
        <f>HYPERLINK("https://ictv.global/taxonomy/taxondetails?taxnode_id=202319349","ictv.global=202319349")</f>
        <v>ictv.global=202319349</v>
      </c>
    </row>
    <row r="1090" spans="1:21">
      <c r="A1090">
        <v>1089</v>
      </c>
      <c r="B1090" s="30" t="s">
        <v>1587</v>
      </c>
      <c r="D1090" s="30" t="s">
        <v>1588</v>
      </c>
      <c r="F1090" s="30" t="s">
        <v>1591</v>
      </c>
      <c r="H1090" s="30" t="s">
        <v>1592</v>
      </c>
      <c r="L1090" s="30" t="s">
        <v>1748</v>
      </c>
      <c r="M1090" s="30" t="s">
        <v>1751</v>
      </c>
      <c r="N1090" s="30" t="s">
        <v>1558</v>
      </c>
      <c r="P1090" s="30" t="s">
        <v>11883</v>
      </c>
      <c r="Q1090" t="s">
        <v>619</v>
      </c>
      <c r="R1090" t="s">
        <v>917</v>
      </c>
      <c r="S1090">
        <v>39</v>
      </c>
      <c r="T1090" s="29" t="str">
        <f t="shared" si="46"/>
        <v>2023.067B.Tequintavirus_35ns.zip</v>
      </c>
      <c r="U1090" s="29" t="str">
        <f>HYPERLINK("https://ictv.global/taxonomy/taxondetails?taxnode_id=202319355","ictv.global=202319355")</f>
        <v>ictv.global=202319355</v>
      </c>
    </row>
    <row r="1091" spans="1:21">
      <c r="A1091">
        <v>1090</v>
      </c>
      <c r="B1091" s="30" t="s">
        <v>1587</v>
      </c>
      <c r="D1091" s="30" t="s">
        <v>1588</v>
      </c>
      <c r="F1091" s="30" t="s">
        <v>1591</v>
      </c>
      <c r="H1091" s="30" t="s">
        <v>1592</v>
      </c>
      <c r="L1091" s="30" t="s">
        <v>1748</v>
      </c>
      <c r="M1091" s="30" t="s">
        <v>1751</v>
      </c>
      <c r="N1091" s="30" t="s">
        <v>1558</v>
      </c>
      <c r="P1091" s="30" t="s">
        <v>4936</v>
      </c>
      <c r="Q1091" t="s">
        <v>619</v>
      </c>
      <c r="R1091" t="s">
        <v>918</v>
      </c>
      <c r="S1091">
        <v>37</v>
      </c>
      <c r="T1091" s="29" t="str">
        <f>HYPERLINK("https://ictv.global/ictv/proposals/2021.010B.R.Binomial_names.zip","2021.010B.R.Binomial_names.zip")</f>
        <v>2021.010B.R.Binomial_names.zip</v>
      </c>
      <c r="U1091" s="29" t="str">
        <f>HYPERLINK("https://ictv.global/taxonomy/taxondetails?taxnode_id=202309959","ictv.global=202309959")</f>
        <v>ictv.global=202309959</v>
      </c>
    </row>
    <row r="1092" spans="1:21">
      <c r="A1092">
        <v>1091</v>
      </c>
      <c r="B1092" s="30" t="s">
        <v>1587</v>
      </c>
      <c r="D1092" s="30" t="s">
        <v>1588</v>
      </c>
      <c r="F1092" s="30" t="s">
        <v>1591</v>
      </c>
      <c r="H1092" s="30" t="s">
        <v>1592</v>
      </c>
      <c r="L1092" s="30" t="s">
        <v>1748</v>
      </c>
      <c r="M1092" s="30" t="s">
        <v>1751</v>
      </c>
      <c r="N1092" s="30" t="s">
        <v>1558</v>
      </c>
      <c r="P1092" s="30" t="s">
        <v>11884</v>
      </c>
      <c r="Q1092" t="s">
        <v>619</v>
      </c>
      <c r="R1092" t="s">
        <v>917</v>
      </c>
      <c r="S1092">
        <v>39</v>
      </c>
      <c r="T1092" s="29" t="str">
        <f>HYPERLINK("https://ictv.global/ictv/proposals/2023.067B.Tequintavirus_35ns.zip","2023.067B.Tequintavirus_35ns.zip")</f>
        <v>2023.067B.Tequintavirus_35ns.zip</v>
      </c>
      <c r="U1092" s="29" t="str">
        <f>HYPERLINK("https://ictv.global/taxonomy/taxondetails?taxnode_id=202319366","ictv.global=202319366")</f>
        <v>ictv.global=202319366</v>
      </c>
    </row>
    <row r="1093" spans="1:21">
      <c r="A1093">
        <v>1092</v>
      </c>
      <c r="B1093" s="30" t="s">
        <v>1587</v>
      </c>
      <c r="D1093" s="30" t="s">
        <v>1588</v>
      </c>
      <c r="F1093" s="30" t="s">
        <v>1591</v>
      </c>
      <c r="H1093" s="30" t="s">
        <v>1592</v>
      </c>
      <c r="L1093" s="30" t="s">
        <v>1748</v>
      </c>
      <c r="M1093" s="30" t="s">
        <v>1751</v>
      </c>
      <c r="N1093" s="30" t="s">
        <v>1558</v>
      </c>
      <c r="P1093" s="30" t="s">
        <v>4937</v>
      </c>
      <c r="Q1093" t="s">
        <v>619</v>
      </c>
      <c r="R1093" t="s">
        <v>918</v>
      </c>
      <c r="S1093">
        <v>37</v>
      </c>
      <c r="T1093" s="29" t="str">
        <f>HYPERLINK("https://ictv.global/ictv/proposals/2021.010B.R.Binomial_names.zip","2021.010B.R.Binomial_names.zip")</f>
        <v>2021.010B.R.Binomial_names.zip</v>
      </c>
      <c r="U1093" s="29" t="str">
        <f>HYPERLINK("https://ictv.global/taxonomy/taxondetails?taxnode_id=202308089","ictv.global=202308089")</f>
        <v>ictv.global=202308089</v>
      </c>
    </row>
    <row r="1094" spans="1:21">
      <c r="A1094">
        <v>1093</v>
      </c>
      <c r="B1094" s="30" t="s">
        <v>1587</v>
      </c>
      <c r="D1094" s="30" t="s">
        <v>1588</v>
      </c>
      <c r="F1094" s="30" t="s">
        <v>1591</v>
      </c>
      <c r="H1094" s="30" t="s">
        <v>1592</v>
      </c>
      <c r="L1094" s="30" t="s">
        <v>1748</v>
      </c>
      <c r="M1094" s="30" t="s">
        <v>1751</v>
      </c>
      <c r="N1094" s="30" t="s">
        <v>1558</v>
      </c>
      <c r="P1094" s="30" t="s">
        <v>11885</v>
      </c>
      <c r="Q1094" t="s">
        <v>619</v>
      </c>
      <c r="R1094" t="s">
        <v>917</v>
      </c>
      <c r="S1094">
        <v>39</v>
      </c>
      <c r="T1094" s="29" t="str">
        <f>HYPERLINK("https://ictv.global/ictv/proposals/2023.067B.Tequintavirus_35ns.zip","2023.067B.Tequintavirus_35ns.zip")</f>
        <v>2023.067B.Tequintavirus_35ns.zip</v>
      </c>
      <c r="U1094" s="29" t="str">
        <f>HYPERLINK("https://ictv.global/taxonomy/taxondetails?taxnode_id=202319377","ictv.global=202319377")</f>
        <v>ictv.global=202319377</v>
      </c>
    </row>
    <row r="1095" spans="1:21">
      <c r="A1095">
        <v>1094</v>
      </c>
      <c r="B1095" s="30" t="s">
        <v>1587</v>
      </c>
      <c r="D1095" s="30" t="s">
        <v>1588</v>
      </c>
      <c r="F1095" s="30" t="s">
        <v>1591</v>
      </c>
      <c r="H1095" s="30" t="s">
        <v>1592</v>
      </c>
      <c r="L1095" s="30" t="s">
        <v>1748</v>
      </c>
      <c r="M1095" s="30" t="s">
        <v>1751</v>
      </c>
      <c r="N1095" s="30" t="s">
        <v>1558</v>
      </c>
      <c r="P1095" s="30" t="s">
        <v>4938</v>
      </c>
      <c r="Q1095" t="s">
        <v>619</v>
      </c>
      <c r="R1095" t="s">
        <v>918</v>
      </c>
      <c r="S1095">
        <v>37</v>
      </c>
      <c r="T1095" s="29" t="str">
        <f>HYPERLINK("https://ictv.global/ictv/proposals/2021.010B.R.Binomial_names.zip","2021.010B.R.Binomial_names.zip")</f>
        <v>2021.010B.R.Binomial_names.zip</v>
      </c>
      <c r="U1095" s="29" t="str">
        <f>HYPERLINK("https://ictv.global/taxonomy/taxondetails?taxnode_id=202308088","ictv.global=202308088")</f>
        <v>ictv.global=202308088</v>
      </c>
    </row>
    <row r="1096" spans="1:21">
      <c r="A1096">
        <v>1095</v>
      </c>
      <c r="B1096" s="30" t="s">
        <v>1587</v>
      </c>
      <c r="D1096" s="30" t="s">
        <v>1588</v>
      </c>
      <c r="F1096" s="30" t="s">
        <v>1591</v>
      </c>
      <c r="H1096" s="30" t="s">
        <v>1592</v>
      </c>
      <c r="L1096" s="30" t="s">
        <v>1748</v>
      </c>
      <c r="M1096" s="30" t="s">
        <v>1751</v>
      </c>
      <c r="N1096" s="30" t="s">
        <v>1558</v>
      </c>
      <c r="P1096" s="30" t="s">
        <v>11886</v>
      </c>
      <c r="Q1096" t="s">
        <v>619</v>
      </c>
      <c r="R1096" t="s">
        <v>917</v>
      </c>
      <c r="S1096">
        <v>39</v>
      </c>
      <c r="T1096" s="29" t="str">
        <f>HYPERLINK("https://ictv.global/ictv/proposals/2023.067B.Tequintavirus_35ns.zip","2023.067B.Tequintavirus_35ns.zip")</f>
        <v>2023.067B.Tequintavirus_35ns.zip</v>
      </c>
      <c r="U1096" s="29" t="str">
        <f>HYPERLINK("https://ictv.global/taxonomy/taxondetails?taxnode_id=202319374","ictv.global=202319374")</f>
        <v>ictv.global=202319374</v>
      </c>
    </row>
    <row r="1097" spans="1:21">
      <c r="A1097">
        <v>1096</v>
      </c>
      <c r="B1097" s="30" t="s">
        <v>1587</v>
      </c>
      <c r="D1097" s="30" t="s">
        <v>1588</v>
      </c>
      <c r="F1097" s="30" t="s">
        <v>1591</v>
      </c>
      <c r="H1097" s="30" t="s">
        <v>1592</v>
      </c>
      <c r="L1097" s="30" t="s">
        <v>1748</v>
      </c>
      <c r="M1097" s="30" t="s">
        <v>1751</v>
      </c>
      <c r="N1097" s="30" t="s">
        <v>1558</v>
      </c>
      <c r="P1097" s="30" t="s">
        <v>4939</v>
      </c>
      <c r="Q1097" t="s">
        <v>619</v>
      </c>
      <c r="R1097" t="s">
        <v>918</v>
      </c>
      <c r="S1097">
        <v>37</v>
      </c>
      <c r="T1097" s="29" t="str">
        <f t="shared" ref="T1097:T1103" si="47">HYPERLINK("https://ictv.global/ictv/proposals/2021.010B.R.Binomial_names.zip","2021.010B.R.Binomial_names.zip")</f>
        <v>2021.010B.R.Binomial_names.zip</v>
      </c>
      <c r="U1097" s="29" t="str">
        <f>HYPERLINK("https://ictv.global/taxonomy/taxondetails?taxnode_id=202309955","ictv.global=202309955")</f>
        <v>ictv.global=202309955</v>
      </c>
    </row>
    <row r="1098" spans="1:21">
      <c r="A1098">
        <v>1097</v>
      </c>
      <c r="B1098" s="30" t="s">
        <v>1587</v>
      </c>
      <c r="D1098" s="30" t="s">
        <v>1588</v>
      </c>
      <c r="F1098" s="30" t="s">
        <v>1591</v>
      </c>
      <c r="H1098" s="30" t="s">
        <v>1592</v>
      </c>
      <c r="L1098" s="30" t="s">
        <v>1748</v>
      </c>
      <c r="M1098" s="30" t="s">
        <v>1751</v>
      </c>
      <c r="N1098" s="30" t="s">
        <v>1558</v>
      </c>
      <c r="P1098" s="30" t="s">
        <v>4940</v>
      </c>
      <c r="Q1098" t="s">
        <v>619</v>
      </c>
      <c r="R1098" t="s">
        <v>918</v>
      </c>
      <c r="S1098">
        <v>37</v>
      </c>
      <c r="T1098" s="29" t="str">
        <f t="shared" si="47"/>
        <v>2021.010B.R.Binomial_names.zip</v>
      </c>
      <c r="U1098" s="29" t="str">
        <f>HYPERLINK("https://ictv.global/taxonomy/taxondetails?taxnode_id=202309958","ictv.global=202309958")</f>
        <v>ictv.global=202309958</v>
      </c>
    </row>
    <row r="1099" spans="1:21">
      <c r="A1099">
        <v>1098</v>
      </c>
      <c r="B1099" s="30" t="s">
        <v>1587</v>
      </c>
      <c r="D1099" s="30" t="s">
        <v>1588</v>
      </c>
      <c r="F1099" s="30" t="s">
        <v>1591</v>
      </c>
      <c r="H1099" s="30" t="s">
        <v>1592</v>
      </c>
      <c r="L1099" s="30" t="s">
        <v>1748</v>
      </c>
      <c r="M1099" s="30" t="s">
        <v>1751</v>
      </c>
      <c r="N1099" s="30" t="s">
        <v>1558</v>
      </c>
      <c r="P1099" s="30" t="s">
        <v>4941</v>
      </c>
      <c r="Q1099" t="s">
        <v>619</v>
      </c>
      <c r="R1099" t="s">
        <v>918</v>
      </c>
      <c r="S1099">
        <v>37</v>
      </c>
      <c r="T1099" s="29" t="str">
        <f t="shared" si="47"/>
        <v>2021.010B.R.Binomial_names.zip</v>
      </c>
      <c r="U1099" s="29" t="str">
        <f>HYPERLINK("https://ictv.global/taxonomy/taxondetails?taxnode_id=202309951","ictv.global=202309951")</f>
        <v>ictv.global=202309951</v>
      </c>
    </row>
    <row r="1100" spans="1:21">
      <c r="A1100">
        <v>1099</v>
      </c>
      <c r="B1100" s="30" t="s">
        <v>1587</v>
      </c>
      <c r="D1100" s="30" t="s">
        <v>1588</v>
      </c>
      <c r="F1100" s="30" t="s">
        <v>1591</v>
      </c>
      <c r="H1100" s="30" t="s">
        <v>1592</v>
      </c>
      <c r="L1100" s="30" t="s">
        <v>1748</v>
      </c>
      <c r="M1100" s="30" t="s">
        <v>1751</v>
      </c>
      <c r="N1100" s="30" t="s">
        <v>1558</v>
      </c>
      <c r="P1100" s="30" t="s">
        <v>4942</v>
      </c>
      <c r="Q1100" t="s">
        <v>619</v>
      </c>
      <c r="R1100" t="s">
        <v>918</v>
      </c>
      <c r="S1100">
        <v>37</v>
      </c>
      <c r="T1100" s="29" t="str">
        <f t="shared" si="47"/>
        <v>2021.010B.R.Binomial_names.zip</v>
      </c>
      <c r="U1100" s="29" t="str">
        <f>HYPERLINK("https://ictv.global/taxonomy/taxondetails?taxnode_id=202309962","ictv.global=202309962")</f>
        <v>ictv.global=202309962</v>
      </c>
    </row>
    <row r="1101" spans="1:21">
      <c r="A1101">
        <v>1100</v>
      </c>
      <c r="B1101" s="30" t="s">
        <v>1587</v>
      </c>
      <c r="D1101" s="30" t="s">
        <v>1588</v>
      </c>
      <c r="F1101" s="30" t="s">
        <v>1591</v>
      </c>
      <c r="H1101" s="30" t="s">
        <v>1592</v>
      </c>
      <c r="L1101" s="30" t="s">
        <v>1748</v>
      </c>
      <c r="M1101" s="30" t="s">
        <v>1751</v>
      </c>
      <c r="N1101" s="30" t="s">
        <v>1558</v>
      </c>
      <c r="P1101" s="30" t="s">
        <v>4943</v>
      </c>
      <c r="Q1101" t="s">
        <v>619</v>
      </c>
      <c r="R1101" t="s">
        <v>918</v>
      </c>
      <c r="S1101">
        <v>37</v>
      </c>
      <c r="T1101" s="29" t="str">
        <f t="shared" si="47"/>
        <v>2021.010B.R.Binomial_names.zip</v>
      </c>
      <c r="U1101" s="29" t="str">
        <f>HYPERLINK("https://ictv.global/taxonomy/taxondetails?taxnode_id=202308084","ictv.global=202308084")</f>
        <v>ictv.global=202308084</v>
      </c>
    </row>
    <row r="1102" spans="1:21">
      <c r="A1102">
        <v>1101</v>
      </c>
      <c r="B1102" s="30" t="s">
        <v>1587</v>
      </c>
      <c r="D1102" s="30" t="s">
        <v>1588</v>
      </c>
      <c r="F1102" s="30" t="s">
        <v>1591</v>
      </c>
      <c r="H1102" s="30" t="s">
        <v>1592</v>
      </c>
      <c r="L1102" s="30" t="s">
        <v>1748</v>
      </c>
      <c r="M1102" s="30" t="s">
        <v>1751</v>
      </c>
      <c r="N1102" s="30" t="s">
        <v>1558</v>
      </c>
      <c r="P1102" s="30" t="s">
        <v>4944</v>
      </c>
      <c r="Q1102" t="s">
        <v>619</v>
      </c>
      <c r="R1102" t="s">
        <v>918</v>
      </c>
      <c r="S1102">
        <v>37</v>
      </c>
      <c r="T1102" s="29" t="str">
        <f t="shared" si="47"/>
        <v>2021.010B.R.Binomial_names.zip</v>
      </c>
      <c r="U1102" s="29" t="str">
        <f>HYPERLINK("https://ictv.global/taxonomy/taxondetails?taxnode_id=202309952","ictv.global=202309952")</f>
        <v>ictv.global=202309952</v>
      </c>
    </row>
    <row r="1103" spans="1:21">
      <c r="A1103">
        <v>1102</v>
      </c>
      <c r="B1103" s="30" t="s">
        <v>1587</v>
      </c>
      <c r="D1103" s="30" t="s">
        <v>1588</v>
      </c>
      <c r="F1103" s="30" t="s">
        <v>1591</v>
      </c>
      <c r="H1103" s="30" t="s">
        <v>1592</v>
      </c>
      <c r="L1103" s="30" t="s">
        <v>1748</v>
      </c>
      <c r="M1103" s="30" t="s">
        <v>1751</v>
      </c>
      <c r="N1103" s="30" t="s">
        <v>1558</v>
      </c>
      <c r="P1103" s="30" t="s">
        <v>4945</v>
      </c>
      <c r="Q1103" t="s">
        <v>619</v>
      </c>
      <c r="R1103" t="s">
        <v>918</v>
      </c>
      <c r="S1103">
        <v>37</v>
      </c>
      <c r="T1103" s="29" t="str">
        <f t="shared" si="47"/>
        <v>2021.010B.R.Binomial_names.zip</v>
      </c>
      <c r="U1103" s="29" t="str">
        <f>HYPERLINK("https://ictv.global/taxonomy/taxondetails?taxnode_id=202308091","ictv.global=202308091")</f>
        <v>ictv.global=202308091</v>
      </c>
    </row>
    <row r="1104" spans="1:21">
      <c r="A1104">
        <v>1103</v>
      </c>
      <c r="B1104" s="30" t="s">
        <v>1587</v>
      </c>
      <c r="D1104" s="30" t="s">
        <v>1588</v>
      </c>
      <c r="F1104" s="30" t="s">
        <v>1591</v>
      </c>
      <c r="H1104" s="30" t="s">
        <v>1592</v>
      </c>
      <c r="L1104" s="30" t="s">
        <v>1748</v>
      </c>
      <c r="M1104" s="30" t="s">
        <v>1751</v>
      </c>
      <c r="N1104" s="30" t="s">
        <v>1558</v>
      </c>
      <c r="P1104" s="30" t="s">
        <v>11887</v>
      </c>
      <c r="Q1104" t="s">
        <v>619</v>
      </c>
      <c r="R1104" t="s">
        <v>917</v>
      </c>
      <c r="S1104">
        <v>39</v>
      </c>
      <c r="T1104" s="29" t="str">
        <f t="shared" ref="T1104:T1109" si="48">HYPERLINK("https://ictv.global/ictv/proposals/2023.067B.Tequintavirus_35ns.zip","2023.067B.Tequintavirus_35ns.zip")</f>
        <v>2023.067B.Tequintavirus_35ns.zip</v>
      </c>
      <c r="U1104" s="29" t="str">
        <f>HYPERLINK("https://ictv.global/taxonomy/taxondetails?taxnode_id=202319378","ictv.global=202319378")</f>
        <v>ictv.global=202319378</v>
      </c>
    </row>
    <row r="1105" spans="1:21">
      <c r="A1105">
        <v>1104</v>
      </c>
      <c r="B1105" s="30" t="s">
        <v>1587</v>
      </c>
      <c r="D1105" s="30" t="s">
        <v>1588</v>
      </c>
      <c r="F1105" s="30" t="s">
        <v>1591</v>
      </c>
      <c r="H1105" s="30" t="s">
        <v>1592</v>
      </c>
      <c r="L1105" s="30" t="s">
        <v>1748</v>
      </c>
      <c r="M1105" s="30" t="s">
        <v>1751</v>
      </c>
      <c r="N1105" s="30" t="s">
        <v>1558</v>
      </c>
      <c r="P1105" s="30" t="s">
        <v>11888</v>
      </c>
      <c r="Q1105" t="s">
        <v>619</v>
      </c>
      <c r="R1105" t="s">
        <v>917</v>
      </c>
      <c r="S1105">
        <v>39</v>
      </c>
      <c r="T1105" s="29" t="str">
        <f t="shared" si="48"/>
        <v>2023.067B.Tequintavirus_35ns.zip</v>
      </c>
      <c r="U1105" s="29" t="str">
        <f>HYPERLINK("https://ictv.global/taxonomy/taxondetails?taxnode_id=202319347","ictv.global=202319347")</f>
        <v>ictv.global=202319347</v>
      </c>
    </row>
    <row r="1106" spans="1:21">
      <c r="A1106">
        <v>1105</v>
      </c>
      <c r="B1106" s="30" t="s">
        <v>1587</v>
      </c>
      <c r="D1106" s="30" t="s">
        <v>1588</v>
      </c>
      <c r="F1106" s="30" t="s">
        <v>1591</v>
      </c>
      <c r="H1106" s="30" t="s">
        <v>1592</v>
      </c>
      <c r="L1106" s="30" t="s">
        <v>1748</v>
      </c>
      <c r="M1106" s="30" t="s">
        <v>1751</v>
      </c>
      <c r="N1106" s="30" t="s">
        <v>1558</v>
      </c>
      <c r="P1106" s="30" t="s">
        <v>11889</v>
      </c>
      <c r="Q1106" t="s">
        <v>619</v>
      </c>
      <c r="R1106" t="s">
        <v>917</v>
      </c>
      <c r="S1106">
        <v>39</v>
      </c>
      <c r="T1106" s="29" t="str">
        <f t="shared" si="48"/>
        <v>2023.067B.Tequintavirus_35ns.zip</v>
      </c>
      <c r="U1106" s="29" t="str">
        <f>HYPERLINK("https://ictv.global/taxonomy/taxondetails?taxnode_id=202319367","ictv.global=202319367")</f>
        <v>ictv.global=202319367</v>
      </c>
    </row>
    <row r="1107" spans="1:21">
      <c r="A1107">
        <v>1106</v>
      </c>
      <c r="B1107" s="30" t="s">
        <v>1587</v>
      </c>
      <c r="D1107" s="30" t="s">
        <v>1588</v>
      </c>
      <c r="F1107" s="30" t="s">
        <v>1591</v>
      </c>
      <c r="H1107" s="30" t="s">
        <v>1592</v>
      </c>
      <c r="L1107" s="30" t="s">
        <v>1748</v>
      </c>
      <c r="M1107" s="30" t="s">
        <v>1751</v>
      </c>
      <c r="N1107" s="30" t="s">
        <v>1558</v>
      </c>
      <c r="P1107" s="30" t="s">
        <v>11890</v>
      </c>
      <c r="Q1107" t="s">
        <v>619</v>
      </c>
      <c r="R1107" t="s">
        <v>917</v>
      </c>
      <c r="S1107">
        <v>39</v>
      </c>
      <c r="T1107" s="29" t="str">
        <f t="shared" si="48"/>
        <v>2023.067B.Tequintavirus_35ns.zip</v>
      </c>
      <c r="U1107" s="29" t="str">
        <f>HYPERLINK("https://ictv.global/taxonomy/taxondetails?taxnode_id=202319368","ictv.global=202319368")</f>
        <v>ictv.global=202319368</v>
      </c>
    </row>
    <row r="1108" spans="1:21">
      <c r="A1108">
        <v>1107</v>
      </c>
      <c r="B1108" s="30" t="s">
        <v>1587</v>
      </c>
      <c r="D1108" s="30" t="s">
        <v>1588</v>
      </c>
      <c r="F1108" s="30" t="s">
        <v>1591</v>
      </c>
      <c r="H1108" s="30" t="s">
        <v>1592</v>
      </c>
      <c r="L1108" s="30" t="s">
        <v>1748</v>
      </c>
      <c r="M1108" s="30" t="s">
        <v>1751</v>
      </c>
      <c r="N1108" s="30" t="s">
        <v>1558</v>
      </c>
      <c r="P1108" s="30" t="s">
        <v>11891</v>
      </c>
      <c r="Q1108" t="s">
        <v>619</v>
      </c>
      <c r="R1108" t="s">
        <v>917</v>
      </c>
      <c r="S1108">
        <v>39</v>
      </c>
      <c r="T1108" s="29" t="str">
        <f t="shared" si="48"/>
        <v>2023.067B.Tequintavirus_35ns.zip</v>
      </c>
      <c r="U1108" s="29" t="str">
        <f>HYPERLINK("https://ictv.global/taxonomy/taxondetails?taxnode_id=202319361","ictv.global=202319361")</f>
        <v>ictv.global=202319361</v>
      </c>
    </row>
    <row r="1109" spans="1:21">
      <c r="A1109">
        <v>1108</v>
      </c>
      <c r="B1109" s="30" t="s">
        <v>1587</v>
      </c>
      <c r="D1109" s="30" t="s">
        <v>1588</v>
      </c>
      <c r="F1109" s="30" t="s">
        <v>1591</v>
      </c>
      <c r="H1109" s="30" t="s">
        <v>1592</v>
      </c>
      <c r="L1109" s="30" t="s">
        <v>1748</v>
      </c>
      <c r="M1109" s="30" t="s">
        <v>1751</v>
      </c>
      <c r="N1109" s="30" t="s">
        <v>1558</v>
      </c>
      <c r="P1109" s="30" t="s">
        <v>11892</v>
      </c>
      <c r="Q1109" t="s">
        <v>619</v>
      </c>
      <c r="R1109" t="s">
        <v>917</v>
      </c>
      <c r="S1109">
        <v>39</v>
      </c>
      <c r="T1109" s="29" t="str">
        <f t="shared" si="48"/>
        <v>2023.067B.Tequintavirus_35ns.zip</v>
      </c>
      <c r="U1109" s="29" t="str">
        <f>HYPERLINK("https://ictv.global/taxonomy/taxondetails?taxnode_id=202319359","ictv.global=202319359")</f>
        <v>ictv.global=202319359</v>
      </c>
    </row>
    <row r="1110" spans="1:21">
      <c r="A1110">
        <v>1109</v>
      </c>
      <c r="B1110" s="30" t="s">
        <v>1587</v>
      </c>
      <c r="D1110" s="30" t="s">
        <v>1588</v>
      </c>
      <c r="F1110" s="30" t="s">
        <v>1591</v>
      </c>
      <c r="H1110" s="30" t="s">
        <v>1592</v>
      </c>
      <c r="L1110" s="30" t="s">
        <v>1748</v>
      </c>
      <c r="M1110" s="30" t="s">
        <v>1751</v>
      </c>
      <c r="N1110" s="30" t="s">
        <v>1558</v>
      </c>
      <c r="P1110" s="30" t="s">
        <v>4946</v>
      </c>
      <c r="Q1110" t="s">
        <v>619</v>
      </c>
      <c r="R1110" t="s">
        <v>918</v>
      </c>
      <c r="S1110">
        <v>37</v>
      </c>
      <c r="T1110" s="29" t="str">
        <f>HYPERLINK("https://ictv.global/ictv/proposals/2021.010B.R.Binomial_names.zip","2021.010B.R.Binomial_names.zip")</f>
        <v>2021.010B.R.Binomial_names.zip</v>
      </c>
      <c r="U1110" s="29" t="str">
        <f>HYPERLINK("https://ictv.global/taxonomy/taxondetails?taxnode_id=202308090","ictv.global=202308090")</f>
        <v>ictv.global=202308090</v>
      </c>
    </row>
    <row r="1111" spans="1:21">
      <c r="A1111">
        <v>1110</v>
      </c>
      <c r="B1111" s="30" t="s">
        <v>1587</v>
      </c>
      <c r="D1111" s="30" t="s">
        <v>1588</v>
      </c>
      <c r="F1111" s="30" t="s">
        <v>1591</v>
      </c>
      <c r="H1111" s="30" t="s">
        <v>1592</v>
      </c>
      <c r="L1111" s="30" t="s">
        <v>1748</v>
      </c>
      <c r="M1111" s="30" t="s">
        <v>1751</v>
      </c>
      <c r="N1111" s="30" t="s">
        <v>1558</v>
      </c>
      <c r="P1111" s="30" t="s">
        <v>11893</v>
      </c>
      <c r="Q1111" t="s">
        <v>619</v>
      </c>
      <c r="R1111" t="s">
        <v>917</v>
      </c>
      <c r="S1111">
        <v>39</v>
      </c>
      <c r="T1111" s="29" t="str">
        <f>HYPERLINK("https://ictv.global/ictv/proposals/2023.067B.Tequintavirus_35ns.zip","2023.067B.Tequintavirus_35ns.zip")</f>
        <v>2023.067B.Tequintavirus_35ns.zip</v>
      </c>
      <c r="U1111" s="29" t="str">
        <f>HYPERLINK("https://ictv.global/taxonomy/taxondetails?taxnode_id=202319348","ictv.global=202319348")</f>
        <v>ictv.global=202319348</v>
      </c>
    </row>
    <row r="1112" spans="1:21">
      <c r="A1112">
        <v>1111</v>
      </c>
      <c r="B1112" s="30" t="s">
        <v>1587</v>
      </c>
      <c r="D1112" s="30" t="s">
        <v>1588</v>
      </c>
      <c r="F1112" s="30" t="s">
        <v>1591</v>
      </c>
      <c r="H1112" s="30" t="s">
        <v>1592</v>
      </c>
      <c r="L1112" s="30" t="s">
        <v>1748</v>
      </c>
      <c r="M1112" s="30" t="s">
        <v>1751</v>
      </c>
      <c r="N1112" s="30" t="s">
        <v>1558</v>
      </c>
      <c r="P1112" s="30" t="s">
        <v>4947</v>
      </c>
      <c r="Q1112" t="s">
        <v>619</v>
      </c>
      <c r="R1112" t="s">
        <v>918</v>
      </c>
      <c r="S1112">
        <v>37</v>
      </c>
      <c r="T1112" s="29" t="str">
        <f>HYPERLINK("https://ictv.global/ictv/proposals/2021.010B.R.Binomial_names.zip","2021.010B.R.Binomial_names.zip")</f>
        <v>2021.010B.R.Binomial_names.zip</v>
      </c>
      <c r="U1112" s="29" t="str">
        <f>HYPERLINK("https://ictv.global/taxonomy/taxondetails?taxnode_id=202309963","ictv.global=202309963")</f>
        <v>ictv.global=202309963</v>
      </c>
    </row>
    <row r="1113" spans="1:21">
      <c r="A1113">
        <v>1112</v>
      </c>
      <c r="B1113" s="30" t="s">
        <v>1587</v>
      </c>
      <c r="D1113" s="30" t="s">
        <v>1588</v>
      </c>
      <c r="F1113" s="30" t="s">
        <v>1591</v>
      </c>
      <c r="H1113" s="30" t="s">
        <v>1592</v>
      </c>
      <c r="L1113" s="30" t="s">
        <v>1748</v>
      </c>
      <c r="M1113" s="30" t="s">
        <v>1751</v>
      </c>
      <c r="N1113" s="30" t="s">
        <v>1558</v>
      </c>
      <c r="P1113" s="30" t="s">
        <v>11894</v>
      </c>
      <c r="Q1113" t="s">
        <v>619</v>
      </c>
      <c r="R1113" t="s">
        <v>917</v>
      </c>
      <c r="S1113">
        <v>39</v>
      </c>
      <c r="T1113" s="29" t="str">
        <f>HYPERLINK("https://ictv.global/ictv/proposals/2023.067B.Tequintavirus_35ns.zip","2023.067B.Tequintavirus_35ns.zip")</f>
        <v>2023.067B.Tequintavirus_35ns.zip</v>
      </c>
      <c r="U1113" s="29" t="str">
        <f>HYPERLINK("https://ictv.global/taxonomy/taxondetails?taxnode_id=202319346","ictv.global=202319346")</f>
        <v>ictv.global=202319346</v>
      </c>
    </row>
    <row r="1114" spans="1:21">
      <c r="A1114">
        <v>1113</v>
      </c>
      <c r="B1114" s="30" t="s">
        <v>1587</v>
      </c>
      <c r="D1114" s="30" t="s">
        <v>1588</v>
      </c>
      <c r="F1114" s="30" t="s">
        <v>1591</v>
      </c>
      <c r="H1114" s="30" t="s">
        <v>1592</v>
      </c>
      <c r="L1114" s="30" t="s">
        <v>1748</v>
      </c>
      <c r="M1114" s="30" t="s">
        <v>1751</v>
      </c>
      <c r="N1114" s="30" t="s">
        <v>1558</v>
      </c>
      <c r="P1114" s="30" t="s">
        <v>4948</v>
      </c>
      <c r="Q1114" t="s">
        <v>619</v>
      </c>
      <c r="R1114" t="s">
        <v>918</v>
      </c>
      <c r="S1114">
        <v>37</v>
      </c>
      <c r="T1114" s="29" t="str">
        <f t="shared" ref="T1114:T1123" si="49">HYPERLINK("https://ictv.global/ictv/proposals/2021.010B.R.Binomial_names.zip","2021.010B.R.Binomial_names.zip")</f>
        <v>2021.010B.R.Binomial_names.zip</v>
      </c>
      <c r="U1114" s="29" t="str">
        <f>HYPERLINK("https://ictv.global/taxonomy/taxondetails?taxnode_id=202301330","ictv.global=202301330")</f>
        <v>ictv.global=202301330</v>
      </c>
    </row>
    <row r="1115" spans="1:21">
      <c r="A1115">
        <v>1114</v>
      </c>
      <c r="B1115" s="30" t="s">
        <v>1587</v>
      </c>
      <c r="D1115" s="30" t="s">
        <v>1588</v>
      </c>
      <c r="F1115" s="30" t="s">
        <v>1591</v>
      </c>
      <c r="H1115" s="30" t="s">
        <v>1592</v>
      </c>
      <c r="L1115" s="30" t="s">
        <v>1748</v>
      </c>
      <c r="M1115" s="30" t="s">
        <v>1751</v>
      </c>
      <c r="N1115" s="30" t="s">
        <v>1558</v>
      </c>
      <c r="P1115" s="30" t="s">
        <v>4949</v>
      </c>
      <c r="Q1115" t="s">
        <v>619</v>
      </c>
      <c r="R1115" t="s">
        <v>918</v>
      </c>
      <c r="S1115">
        <v>37</v>
      </c>
      <c r="T1115" s="29" t="str">
        <f t="shared" si="49"/>
        <v>2021.010B.R.Binomial_names.zip</v>
      </c>
      <c r="U1115" s="29" t="str">
        <f>HYPERLINK("https://ictv.global/taxonomy/taxondetails?taxnode_id=202308094","ictv.global=202308094")</f>
        <v>ictv.global=202308094</v>
      </c>
    </row>
    <row r="1116" spans="1:21">
      <c r="A1116">
        <v>1115</v>
      </c>
      <c r="B1116" s="30" t="s">
        <v>1587</v>
      </c>
      <c r="D1116" s="30" t="s">
        <v>1588</v>
      </c>
      <c r="F1116" s="30" t="s">
        <v>1591</v>
      </c>
      <c r="H1116" s="30" t="s">
        <v>1592</v>
      </c>
      <c r="L1116" s="30" t="s">
        <v>1748</v>
      </c>
      <c r="M1116" s="30" t="s">
        <v>1751</v>
      </c>
      <c r="N1116" s="30" t="s">
        <v>1558</v>
      </c>
      <c r="P1116" s="30" t="s">
        <v>4950</v>
      </c>
      <c r="Q1116" t="s">
        <v>619</v>
      </c>
      <c r="R1116" t="s">
        <v>918</v>
      </c>
      <c r="S1116">
        <v>37</v>
      </c>
      <c r="T1116" s="29" t="str">
        <f t="shared" si="49"/>
        <v>2021.010B.R.Binomial_names.zip</v>
      </c>
      <c r="U1116" s="29" t="str">
        <f>HYPERLINK("https://ictv.global/taxonomy/taxondetails?taxnode_id=202301327","ictv.global=202301327")</f>
        <v>ictv.global=202301327</v>
      </c>
    </row>
    <row r="1117" spans="1:21">
      <c r="A1117">
        <v>1116</v>
      </c>
      <c r="B1117" s="30" t="s">
        <v>1587</v>
      </c>
      <c r="D1117" s="30" t="s">
        <v>1588</v>
      </c>
      <c r="F1117" s="30" t="s">
        <v>1591</v>
      </c>
      <c r="H1117" s="30" t="s">
        <v>1592</v>
      </c>
      <c r="L1117" s="30" t="s">
        <v>1748</v>
      </c>
      <c r="M1117" s="30" t="s">
        <v>1751</v>
      </c>
      <c r="N1117" s="30" t="s">
        <v>1558</v>
      </c>
      <c r="P1117" s="30" t="s">
        <v>4951</v>
      </c>
      <c r="Q1117" t="s">
        <v>619</v>
      </c>
      <c r="R1117" t="s">
        <v>918</v>
      </c>
      <c r="S1117">
        <v>37</v>
      </c>
      <c r="T1117" s="29" t="str">
        <f t="shared" si="49"/>
        <v>2021.010B.R.Binomial_names.zip</v>
      </c>
      <c r="U1117" s="29" t="str">
        <f>HYPERLINK("https://ictv.global/taxonomy/taxondetails?taxnode_id=202308086","ictv.global=202308086")</f>
        <v>ictv.global=202308086</v>
      </c>
    </row>
    <row r="1118" spans="1:21">
      <c r="A1118">
        <v>1117</v>
      </c>
      <c r="B1118" s="30" t="s">
        <v>1587</v>
      </c>
      <c r="D1118" s="30" t="s">
        <v>1588</v>
      </c>
      <c r="F1118" s="30" t="s">
        <v>1591</v>
      </c>
      <c r="H1118" s="30" t="s">
        <v>1592</v>
      </c>
      <c r="L1118" s="30" t="s">
        <v>1748</v>
      </c>
      <c r="M1118" s="30" t="s">
        <v>1751</v>
      </c>
      <c r="N1118" s="30" t="s">
        <v>1558</v>
      </c>
      <c r="P1118" s="30" t="s">
        <v>4952</v>
      </c>
      <c r="Q1118" t="s">
        <v>619</v>
      </c>
      <c r="R1118" t="s">
        <v>918</v>
      </c>
      <c r="S1118">
        <v>37</v>
      </c>
      <c r="T1118" s="29" t="str">
        <f t="shared" si="49"/>
        <v>2021.010B.R.Binomial_names.zip</v>
      </c>
      <c r="U1118" s="29" t="str">
        <f>HYPERLINK("https://ictv.global/taxonomy/taxondetails?taxnode_id=202308085","ictv.global=202308085")</f>
        <v>ictv.global=202308085</v>
      </c>
    </row>
    <row r="1119" spans="1:21">
      <c r="A1119">
        <v>1118</v>
      </c>
      <c r="B1119" s="30" t="s">
        <v>1587</v>
      </c>
      <c r="D1119" s="30" t="s">
        <v>1588</v>
      </c>
      <c r="F1119" s="30" t="s">
        <v>1591</v>
      </c>
      <c r="H1119" s="30" t="s">
        <v>1592</v>
      </c>
      <c r="L1119" s="30" t="s">
        <v>1748</v>
      </c>
      <c r="M1119" s="30" t="s">
        <v>1751</v>
      </c>
      <c r="N1119" s="30" t="s">
        <v>1558</v>
      </c>
      <c r="P1119" s="30" t="s">
        <v>4953</v>
      </c>
      <c r="Q1119" t="s">
        <v>619</v>
      </c>
      <c r="R1119" t="s">
        <v>918</v>
      </c>
      <c r="S1119">
        <v>37</v>
      </c>
      <c r="T1119" s="29" t="str">
        <f t="shared" si="49"/>
        <v>2021.010B.R.Binomial_names.zip</v>
      </c>
      <c r="U1119" s="29" t="str">
        <f>HYPERLINK("https://ictv.global/taxonomy/taxondetails?taxnode_id=202309960","ictv.global=202309960")</f>
        <v>ictv.global=202309960</v>
      </c>
    </row>
    <row r="1120" spans="1:21">
      <c r="A1120">
        <v>1119</v>
      </c>
      <c r="B1120" s="30" t="s">
        <v>1587</v>
      </c>
      <c r="D1120" s="30" t="s">
        <v>1588</v>
      </c>
      <c r="F1120" s="30" t="s">
        <v>1591</v>
      </c>
      <c r="H1120" s="30" t="s">
        <v>1592</v>
      </c>
      <c r="L1120" s="30" t="s">
        <v>1748</v>
      </c>
      <c r="M1120" s="30" t="s">
        <v>1751</v>
      </c>
      <c r="N1120" s="30" t="s">
        <v>1558</v>
      </c>
      <c r="P1120" s="30" t="s">
        <v>4954</v>
      </c>
      <c r="Q1120" t="s">
        <v>619</v>
      </c>
      <c r="R1120" t="s">
        <v>918</v>
      </c>
      <c r="S1120">
        <v>37</v>
      </c>
      <c r="T1120" s="29" t="str">
        <f t="shared" si="49"/>
        <v>2021.010B.R.Binomial_names.zip</v>
      </c>
      <c r="U1120" s="29" t="str">
        <f>HYPERLINK("https://ictv.global/taxonomy/taxondetails?taxnode_id=202301331","ictv.global=202301331")</f>
        <v>ictv.global=202301331</v>
      </c>
    </row>
    <row r="1121" spans="1:21">
      <c r="A1121">
        <v>1120</v>
      </c>
      <c r="B1121" s="30" t="s">
        <v>1587</v>
      </c>
      <c r="D1121" s="30" t="s">
        <v>1588</v>
      </c>
      <c r="F1121" s="30" t="s">
        <v>1591</v>
      </c>
      <c r="H1121" s="30" t="s">
        <v>1592</v>
      </c>
      <c r="L1121" s="30" t="s">
        <v>1748</v>
      </c>
      <c r="M1121" s="30" t="s">
        <v>1751</v>
      </c>
      <c r="N1121" s="30" t="s">
        <v>1558</v>
      </c>
      <c r="P1121" s="30" t="s">
        <v>4955</v>
      </c>
      <c r="Q1121" t="s">
        <v>619</v>
      </c>
      <c r="R1121" t="s">
        <v>918</v>
      </c>
      <c r="S1121">
        <v>37</v>
      </c>
      <c r="T1121" s="29" t="str">
        <f t="shared" si="49"/>
        <v>2021.010B.R.Binomial_names.zip</v>
      </c>
      <c r="U1121" s="29" t="str">
        <f>HYPERLINK("https://ictv.global/taxonomy/taxondetails?taxnode_id=202308087","ictv.global=202308087")</f>
        <v>ictv.global=202308087</v>
      </c>
    </row>
    <row r="1122" spans="1:21">
      <c r="A1122">
        <v>1121</v>
      </c>
      <c r="B1122" s="30" t="s">
        <v>1587</v>
      </c>
      <c r="D1122" s="30" t="s">
        <v>1588</v>
      </c>
      <c r="F1122" s="30" t="s">
        <v>1591</v>
      </c>
      <c r="H1122" s="30" t="s">
        <v>1592</v>
      </c>
      <c r="L1122" s="30" t="s">
        <v>1748</v>
      </c>
      <c r="M1122" s="30" t="s">
        <v>1751</v>
      </c>
      <c r="N1122" s="30" t="s">
        <v>1558</v>
      </c>
      <c r="P1122" s="30" t="s">
        <v>4956</v>
      </c>
      <c r="Q1122" t="s">
        <v>619</v>
      </c>
      <c r="R1122" t="s">
        <v>918</v>
      </c>
      <c r="S1122">
        <v>37</v>
      </c>
      <c r="T1122" s="29" t="str">
        <f t="shared" si="49"/>
        <v>2021.010B.R.Binomial_names.zip</v>
      </c>
      <c r="U1122" s="29" t="str">
        <f>HYPERLINK("https://ictv.global/taxonomy/taxondetails?taxnode_id=202301328","ictv.global=202301328")</f>
        <v>ictv.global=202301328</v>
      </c>
    </row>
    <row r="1123" spans="1:21">
      <c r="A1123">
        <v>1122</v>
      </c>
      <c r="B1123" s="30" t="s">
        <v>1587</v>
      </c>
      <c r="D1123" s="30" t="s">
        <v>1588</v>
      </c>
      <c r="F1123" s="30" t="s">
        <v>1591</v>
      </c>
      <c r="H1123" s="30" t="s">
        <v>1592</v>
      </c>
      <c r="L1123" s="30" t="s">
        <v>1748</v>
      </c>
      <c r="M1123" s="30" t="s">
        <v>1751</v>
      </c>
      <c r="N1123" s="30" t="s">
        <v>1558</v>
      </c>
      <c r="P1123" s="30" t="s">
        <v>4957</v>
      </c>
      <c r="Q1123" t="s">
        <v>619</v>
      </c>
      <c r="R1123" t="s">
        <v>918</v>
      </c>
      <c r="S1123">
        <v>37</v>
      </c>
      <c r="T1123" s="29" t="str">
        <f t="shared" si="49"/>
        <v>2021.010B.R.Binomial_names.zip</v>
      </c>
      <c r="U1123" s="29" t="str">
        <f>HYPERLINK("https://ictv.global/taxonomy/taxondetails?taxnode_id=202309953","ictv.global=202309953")</f>
        <v>ictv.global=202309953</v>
      </c>
    </row>
    <row r="1124" spans="1:21">
      <c r="A1124">
        <v>1123</v>
      </c>
      <c r="B1124" s="30" t="s">
        <v>1587</v>
      </c>
      <c r="D1124" s="30" t="s">
        <v>1588</v>
      </c>
      <c r="F1124" s="30" t="s">
        <v>1591</v>
      </c>
      <c r="H1124" s="30" t="s">
        <v>1592</v>
      </c>
      <c r="L1124" s="30" t="s">
        <v>1748</v>
      </c>
      <c r="M1124" s="30" t="s">
        <v>1751</v>
      </c>
      <c r="N1124" s="30" t="s">
        <v>1558</v>
      </c>
      <c r="P1124" s="30" t="s">
        <v>11895</v>
      </c>
      <c r="Q1124" t="s">
        <v>619</v>
      </c>
      <c r="R1124" t="s">
        <v>917</v>
      </c>
      <c r="S1124">
        <v>39</v>
      </c>
      <c r="T1124" s="29" t="str">
        <f>HYPERLINK("https://ictv.global/ictv/proposals/2023.067B.Tequintavirus_35ns.zip","2023.067B.Tequintavirus_35ns.zip")</f>
        <v>2023.067B.Tequintavirus_35ns.zip</v>
      </c>
      <c r="U1124" s="29" t="str">
        <f>HYPERLINK("https://ictv.global/taxonomy/taxondetails?taxnode_id=202319353","ictv.global=202319353")</f>
        <v>ictv.global=202319353</v>
      </c>
    </row>
    <row r="1125" spans="1:21">
      <c r="A1125">
        <v>1124</v>
      </c>
      <c r="B1125" s="30" t="s">
        <v>1587</v>
      </c>
      <c r="D1125" s="30" t="s">
        <v>1588</v>
      </c>
      <c r="F1125" s="30" t="s">
        <v>1591</v>
      </c>
      <c r="H1125" s="30" t="s">
        <v>1592</v>
      </c>
      <c r="L1125" s="30" t="s">
        <v>1748</v>
      </c>
      <c r="M1125" s="30" t="s">
        <v>1751</v>
      </c>
      <c r="N1125" s="30" t="s">
        <v>1558</v>
      </c>
      <c r="P1125" s="30" t="s">
        <v>11896</v>
      </c>
      <c r="Q1125" t="s">
        <v>619</v>
      </c>
      <c r="R1125" t="s">
        <v>917</v>
      </c>
      <c r="S1125">
        <v>39</v>
      </c>
      <c r="T1125" s="29" t="str">
        <f>HYPERLINK("https://ictv.global/ictv/proposals/2023.067B.Tequintavirus_35ns.zip","2023.067B.Tequintavirus_35ns.zip")</f>
        <v>2023.067B.Tequintavirus_35ns.zip</v>
      </c>
      <c r="U1125" s="29" t="str">
        <f>HYPERLINK("https://ictv.global/taxonomy/taxondetails?taxnode_id=202319375","ictv.global=202319375")</f>
        <v>ictv.global=202319375</v>
      </c>
    </row>
    <row r="1126" spans="1:21">
      <c r="A1126">
        <v>1125</v>
      </c>
      <c r="B1126" s="30" t="s">
        <v>1587</v>
      </c>
      <c r="D1126" s="30" t="s">
        <v>1588</v>
      </c>
      <c r="F1126" s="30" t="s">
        <v>1591</v>
      </c>
      <c r="H1126" s="30" t="s">
        <v>1592</v>
      </c>
      <c r="L1126" s="30" t="s">
        <v>1748</v>
      </c>
      <c r="M1126" s="30" t="s">
        <v>1751</v>
      </c>
      <c r="N1126" s="30" t="s">
        <v>1558</v>
      </c>
      <c r="P1126" s="30" t="s">
        <v>11897</v>
      </c>
      <c r="Q1126" t="s">
        <v>619</v>
      </c>
      <c r="R1126" t="s">
        <v>917</v>
      </c>
      <c r="S1126">
        <v>39</v>
      </c>
      <c r="T1126" s="29" t="str">
        <f>HYPERLINK("https://ictv.global/ictv/proposals/2023.067B.Tequintavirus_35ns.zip","2023.067B.Tequintavirus_35ns.zip")</f>
        <v>2023.067B.Tequintavirus_35ns.zip</v>
      </c>
      <c r="U1126" s="29" t="str">
        <f>HYPERLINK("https://ictv.global/taxonomy/taxondetails?taxnode_id=202319376","ictv.global=202319376")</f>
        <v>ictv.global=202319376</v>
      </c>
    </row>
    <row r="1127" spans="1:21">
      <c r="A1127">
        <v>1126</v>
      </c>
      <c r="B1127" s="30" t="s">
        <v>1587</v>
      </c>
      <c r="D1127" s="30" t="s">
        <v>1588</v>
      </c>
      <c r="F1127" s="30" t="s">
        <v>1591</v>
      </c>
      <c r="H1127" s="30" t="s">
        <v>1592</v>
      </c>
      <c r="L1127" s="30" t="s">
        <v>1748</v>
      </c>
      <c r="M1127" s="30" t="s">
        <v>1751</v>
      </c>
      <c r="N1127" s="30" t="s">
        <v>1558</v>
      </c>
      <c r="P1127" s="30" t="s">
        <v>11898</v>
      </c>
      <c r="Q1127" t="s">
        <v>619</v>
      </c>
      <c r="R1127" t="s">
        <v>917</v>
      </c>
      <c r="S1127">
        <v>39</v>
      </c>
      <c r="T1127" s="29" t="str">
        <f>HYPERLINK("https://ictv.global/ictv/proposals/2023.067B.Tequintavirus_35ns.zip","2023.067B.Tequintavirus_35ns.zip")</f>
        <v>2023.067B.Tequintavirus_35ns.zip</v>
      </c>
      <c r="U1127" s="29" t="str">
        <f>HYPERLINK("https://ictv.global/taxonomy/taxondetails?taxnode_id=202319373","ictv.global=202319373")</f>
        <v>ictv.global=202319373</v>
      </c>
    </row>
    <row r="1128" spans="1:21">
      <c r="A1128">
        <v>1127</v>
      </c>
      <c r="B1128" s="30" t="s">
        <v>1587</v>
      </c>
      <c r="D1128" s="30" t="s">
        <v>1588</v>
      </c>
      <c r="F1128" s="30" t="s">
        <v>1591</v>
      </c>
      <c r="H1128" s="30" t="s">
        <v>1592</v>
      </c>
      <c r="L1128" s="30" t="s">
        <v>1748</v>
      </c>
      <c r="M1128" s="30" t="s">
        <v>1751</v>
      </c>
      <c r="N1128" s="30" t="s">
        <v>1558</v>
      </c>
      <c r="P1128" s="30" t="s">
        <v>4958</v>
      </c>
      <c r="Q1128" t="s">
        <v>619</v>
      </c>
      <c r="R1128" t="s">
        <v>918</v>
      </c>
      <c r="S1128">
        <v>37</v>
      </c>
      <c r="T1128" s="29" t="str">
        <f>HYPERLINK("https://ictv.global/ictv/proposals/2021.010B.R.Binomial_names.zip","2021.010B.R.Binomial_names.zip")</f>
        <v>2021.010B.R.Binomial_names.zip</v>
      </c>
      <c r="U1128" s="29" t="str">
        <f>HYPERLINK("https://ictv.global/taxonomy/taxondetails?taxnode_id=202309956","ictv.global=202309956")</f>
        <v>ictv.global=202309956</v>
      </c>
    </row>
    <row r="1129" spans="1:21">
      <c r="A1129">
        <v>1128</v>
      </c>
      <c r="B1129" s="30" t="s">
        <v>1587</v>
      </c>
      <c r="D1129" s="30" t="s">
        <v>1588</v>
      </c>
      <c r="F1129" s="30" t="s">
        <v>1591</v>
      </c>
      <c r="H1129" s="30" t="s">
        <v>1592</v>
      </c>
      <c r="L1129" s="30" t="s">
        <v>1748</v>
      </c>
      <c r="M1129" s="30" t="s">
        <v>1751</v>
      </c>
      <c r="N1129" s="30" t="s">
        <v>1558</v>
      </c>
      <c r="P1129" s="30" t="s">
        <v>4959</v>
      </c>
      <c r="Q1129" t="s">
        <v>619</v>
      </c>
      <c r="R1129" t="s">
        <v>918</v>
      </c>
      <c r="S1129">
        <v>37</v>
      </c>
      <c r="T1129" s="29" t="str">
        <f>HYPERLINK("https://ictv.global/ictv/proposals/2021.010B.R.Binomial_names.zip","2021.010B.R.Binomial_names.zip")</f>
        <v>2021.010B.R.Binomial_names.zip</v>
      </c>
      <c r="U1129" s="29" t="str">
        <f>HYPERLINK("https://ictv.global/taxonomy/taxondetails?taxnode_id=202309957","ictv.global=202309957")</f>
        <v>ictv.global=202309957</v>
      </c>
    </row>
    <row r="1130" spans="1:21">
      <c r="A1130">
        <v>1129</v>
      </c>
      <c r="B1130" s="30" t="s">
        <v>1587</v>
      </c>
      <c r="D1130" s="30" t="s">
        <v>1588</v>
      </c>
      <c r="F1130" s="30" t="s">
        <v>1591</v>
      </c>
      <c r="H1130" s="30" t="s">
        <v>1592</v>
      </c>
      <c r="L1130" s="30" t="s">
        <v>1748</v>
      </c>
      <c r="M1130" s="30" t="s">
        <v>1751</v>
      </c>
      <c r="N1130" s="30" t="s">
        <v>1558</v>
      </c>
      <c r="P1130" s="30" t="s">
        <v>11899</v>
      </c>
      <c r="Q1130" t="s">
        <v>619</v>
      </c>
      <c r="R1130" t="s">
        <v>917</v>
      </c>
      <c r="S1130">
        <v>39</v>
      </c>
      <c r="T1130" s="29" t="str">
        <f>HYPERLINK("https://ictv.global/ictv/proposals/2023.067B.Tequintavirus_35ns.zip","2023.067B.Tequintavirus_35ns.zip")</f>
        <v>2023.067B.Tequintavirus_35ns.zip</v>
      </c>
      <c r="U1130" s="29" t="str">
        <f>HYPERLINK("https://ictv.global/taxonomy/taxondetails?taxnode_id=202319371","ictv.global=202319371")</f>
        <v>ictv.global=202319371</v>
      </c>
    </row>
    <row r="1131" spans="1:21">
      <c r="A1131">
        <v>1130</v>
      </c>
      <c r="B1131" s="30" t="s">
        <v>1587</v>
      </c>
      <c r="D1131" s="30" t="s">
        <v>1588</v>
      </c>
      <c r="F1131" s="30" t="s">
        <v>1591</v>
      </c>
      <c r="H1131" s="30" t="s">
        <v>1592</v>
      </c>
      <c r="L1131" s="30" t="s">
        <v>1748</v>
      </c>
      <c r="M1131" s="30" t="s">
        <v>1753</v>
      </c>
      <c r="N1131" s="30" t="s">
        <v>1754</v>
      </c>
      <c r="P1131" s="30" t="s">
        <v>4960</v>
      </c>
      <c r="Q1131" t="s">
        <v>619</v>
      </c>
      <c r="R1131" t="s">
        <v>918</v>
      </c>
      <c r="S1131">
        <v>37</v>
      </c>
      <c r="T1131" s="29" t="str">
        <f>HYPERLINK("https://ictv.global/ictv/proposals/2021.010B.R.Binomial_names.zip","2021.010B.R.Binomial_names.zip")</f>
        <v>2021.010B.R.Binomial_names.zip</v>
      </c>
      <c r="U1131" s="29" t="str">
        <f>HYPERLINK("https://ictv.global/taxonomy/taxondetails?taxnode_id=202308124","ictv.global=202308124")</f>
        <v>ictv.global=202308124</v>
      </c>
    </row>
    <row r="1132" spans="1:21">
      <c r="A1132">
        <v>1131</v>
      </c>
      <c r="B1132" s="30" t="s">
        <v>1587</v>
      </c>
      <c r="D1132" s="30" t="s">
        <v>1588</v>
      </c>
      <c r="F1132" s="30" t="s">
        <v>1591</v>
      </c>
      <c r="H1132" s="30" t="s">
        <v>1592</v>
      </c>
      <c r="L1132" s="30" t="s">
        <v>1748</v>
      </c>
      <c r="M1132" s="30" t="s">
        <v>1753</v>
      </c>
      <c r="N1132" s="30" t="s">
        <v>1523</v>
      </c>
      <c r="P1132" s="30" t="s">
        <v>4961</v>
      </c>
      <c r="Q1132" t="s">
        <v>619</v>
      </c>
      <c r="R1132" t="s">
        <v>918</v>
      </c>
      <c r="S1132">
        <v>37</v>
      </c>
      <c r="T1132" s="29" t="str">
        <f>HYPERLINK("https://ictv.global/ictv/proposals/2021.010B.R.Binomial_names.zip","2021.010B.R.Binomial_names.zip")</f>
        <v>2021.010B.R.Binomial_names.zip</v>
      </c>
      <c r="U1132" s="29" t="str">
        <f>HYPERLINK("https://ictv.global/taxonomy/taxondetails?taxnode_id=202307058","ictv.global=202307058")</f>
        <v>ictv.global=202307058</v>
      </c>
    </row>
    <row r="1133" spans="1:21">
      <c r="A1133">
        <v>1132</v>
      </c>
      <c r="B1133" s="30" t="s">
        <v>1587</v>
      </c>
      <c r="D1133" s="30" t="s">
        <v>1588</v>
      </c>
      <c r="F1133" s="30" t="s">
        <v>1591</v>
      </c>
      <c r="H1133" s="30" t="s">
        <v>1592</v>
      </c>
      <c r="L1133" s="30" t="s">
        <v>1748</v>
      </c>
      <c r="N1133" s="30" t="s">
        <v>11900</v>
      </c>
      <c r="P1133" s="30" t="s">
        <v>11901</v>
      </c>
      <c r="Q1133" t="s">
        <v>619</v>
      </c>
      <c r="R1133" t="s">
        <v>917</v>
      </c>
      <c r="S1133">
        <v>39</v>
      </c>
      <c r="T1133" s="29" t="str">
        <f>HYPERLINK("https://ictv.global/ictv/proposals/2023.041B.Keyvirus_ng.zip","2023.041B.Keyvirus_ng.zip")</f>
        <v>2023.041B.Keyvirus_ng.zip</v>
      </c>
      <c r="U1133" s="29" t="str">
        <f>HYPERLINK("https://ictv.global/taxonomy/taxondetails?taxnode_id=202319186","ictv.global=202319186")</f>
        <v>ictv.global=202319186</v>
      </c>
    </row>
    <row r="1134" spans="1:21">
      <c r="A1134">
        <v>1133</v>
      </c>
      <c r="B1134" s="30" t="s">
        <v>1587</v>
      </c>
      <c r="D1134" s="30" t="s">
        <v>1588</v>
      </c>
      <c r="F1134" s="30" t="s">
        <v>1591</v>
      </c>
      <c r="H1134" s="30" t="s">
        <v>1592</v>
      </c>
      <c r="L1134" s="30" t="s">
        <v>1748</v>
      </c>
      <c r="N1134" s="30" t="s">
        <v>11900</v>
      </c>
      <c r="P1134" s="30" t="s">
        <v>11902</v>
      </c>
      <c r="Q1134" t="s">
        <v>619</v>
      </c>
      <c r="R1134" t="s">
        <v>917</v>
      </c>
      <c r="S1134">
        <v>39</v>
      </c>
      <c r="T1134" s="29" t="str">
        <f>HYPERLINK("https://ictv.global/ictv/proposals/2023.041B.Keyvirus_ng.zip","2023.041B.Keyvirus_ng.zip")</f>
        <v>2023.041B.Keyvirus_ng.zip</v>
      </c>
      <c r="U1134" s="29" t="str">
        <f>HYPERLINK("https://ictv.global/taxonomy/taxondetails?taxnode_id=202319187","ictv.global=202319187")</f>
        <v>ictv.global=202319187</v>
      </c>
    </row>
    <row r="1135" spans="1:21">
      <c r="A1135">
        <v>1134</v>
      </c>
      <c r="B1135" s="30" t="s">
        <v>1587</v>
      </c>
      <c r="D1135" s="30" t="s">
        <v>1588</v>
      </c>
      <c r="F1135" s="30" t="s">
        <v>1591</v>
      </c>
      <c r="H1135" s="30" t="s">
        <v>1592</v>
      </c>
      <c r="L1135" s="30" t="s">
        <v>1748</v>
      </c>
      <c r="N1135" s="30" t="s">
        <v>1527</v>
      </c>
      <c r="P1135" s="30" t="s">
        <v>4962</v>
      </c>
      <c r="Q1135" t="s">
        <v>619</v>
      </c>
      <c r="R1135" t="s">
        <v>918</v>
      </c>
      <c r="S1135">
        <v>37</v>
      </c>
      <c r="T1135" s="29" t="str">
        <f>HYPERLINK("https://ictv.global/ictv/proposals/2021.010B.R.Binomial_names.zip","2021.010B.R.Binomial_names.zip")</f>
        <v>2021.010B.R.Binomial_names.zip</v>
      </c>
      <c r="U1135" s="29" t="str">
        <f>HYPERLINK("https://ictv.global/taxonomy/taxondetails?taxnode_id=202307060","ictv.global=202307060")</f>
        <v>ictv.global=202307060</v>
      </c>
    </row>
    <row r="1136" spans="1:21">
      <c r="A1136">
        <v>1135</v>
      </c>
      <c r="B1136" s="30" t="s">
        <v>1587</v>
      </c>
      <c r="D1136" s="30" t="s">
        <v>1588</v>
      </c>
      <c r="F1136" s="30" t="s">
        <v>1591</v>
      </c>
      <c r="H1136" s="30" t="s">
        <v>1592</v>
      </c>
      <c r="L1136" s="30" t="s">
        <v>1748</v>
      </c>
      <c r="N1136" s="30" t="s">
        <v>1527</v>
      </c>
      <c r="P1136" s="30" t="s">
        <v>4963</v>
      </c>
      <c r="Q1136" t="s">
        <v>619</v>
      </c>
      <c r="R1136" t="s">
        <v>918</v>
      </c>
      <c r="S1136">
        <v>37</v>
      </c>
      <c r="T1136" s="29" t="str">
        <f>HYPERLINK("https://ictv.global/ictv/proposals/2021.010B.R.Binomial_names.zip","2021.010B.R.Binomial_names.zip")</f>
        <v>2021.010B.R.Binomial_names.zip</v>
      </c>
      <c r="U1136" s="29" t="str">
        <f>HYPERLINK("https://ictv.global/taxonomy/taxondetails?taxnode_id=202308118","ictv.global=202308118")</f>
        <v>ictv.global=202308118</v>
      </c>
    </row>
    <row r="1137" spans="1:21">
      <c r="A1137">
        <v>1136</v>
      </c>
      <c r="B1137" s="30" t="s">
        <v>1587</v>
      </c>
      <c r="D1137" s="30" t="s">
        <v>1588</v>
      </c>
      <c r="F1137" s="30" t="s">
        <v>1591</v>
      </c>
      <c r="H1137" s="30" t="s">
        <v>1592</v>
      </c>
      <c r="L1137" s="30" t="s">
        <v>1748</v>
      </c>
      <c r="N1137" s="30" t="s">
        <v>1755</v>
      </c>
      <c r="P1137" s="30" t="s">
        <v>4964</v>
      </c>
      <c r="Q1137" t="s">
        <v>619</v>
      </c>
      <c r="R1137" t="s">
        <v>918</v>
      </c>
      <c r="S1137">
        <v>37</v>
      </c>
      <c r="T1137" s="29" t="str">
        <f>HYPERLINK("https://ictv.global/ictv/proposals/2021.010B.R.Binomial_names.zip","2021.010B.R.Binomial_names.zip")</f>
        <v>2021.010B.R.Binomial_names.zip</v>
      </c>
      <c r="U1137" s="29" t="str">
        <f>HYPERLINK("https://ictv.global/taxonomy/taxondetails?taxnode_id=202308120","ictv.global=202308120")</f>
        <v>ictv.global=202308120</v>
      </c>
    </row>
    <row r="1138" spans="1:21">
      <c r="A1138">
        <v>1137</v>
      </c>
      <c r="B1138" s="30" t="s">
        <v>1587</v>
      </c>
      <c r="D1138" s="30" t="s">
        <v>1588</v>
      </c>
      <c r="F1138" s="30" t="s">
        <v>1591</v>
      </c>
      <c r="H1138" s="30" t="s">
        <v>1592</v>
      </c>
      <c r="L1138" s="30" t="s">
        <v>1748</v>
      </c>
      <c r="N1138" s="30" t="s">
        <v>1755</v>
      </c>
      <c r="P1138" s="30" t="s">
        <v>4965</v>
      </c>
      <c r="Q1138" t="s">
        <v>619</v>
      </c>
      <c r="R1138" t="s">
        <v>918</v>
      </c>
      <c r="S1138">
        <v>37</v>
      </c>
      <c r="T1138" s="29" t="str">
        <f>HYPERLINK("https://ictv.global/ictv/proposals/2021.010B.R.Binomial_names.zip","2021.010B.R.Binomial_names.zip")</f>
        <v>2021.010B.R.Binomial_names.zip</v>
      </c>
      <c r="U1138" s="29" t="str">
        <f>HYPERLINK("https://ictv.global/taxonomy/taxondetails?taxnode_id=202308121","ictv.global=202308121")</f>
        <v>ictv.global=202308121</v>
      </c>
    </row>
    <row r="1139" spans="1:21">
      <c r="A1139">
        <v>1138</v>
      </c>
      <c r="B1139" s="30" t="s">
        <v>1587</v>
      </c>
      <c r="D1139" s="30" t="s">
        <v>1588</v>
      </c>
      <c r="F1139" s="30" t="s">
        <v>1591</v>
      </c>
      <c r="H1139" s="30" t="s">
        <v>1592</v>
      </c>
      <c r="L1139" s="30" t="s">
        <v>1748</v>
      </c>
      <c r="N1139" s="30" t="s">
        <v>1537</v>
      </c>
      <c r="P1139" s="30" t="s">
        <v>4966</v>
      </c>
      <c r="Q1139" t="s">
        <v>619</v>
      </c>
      <c r="R1139" t="s">
        <v>918</v>
      </c>
      <c r="S1139">
        <v>37</v>
      </c>
      <c r="T1139" s="29" t="str">
        <f>HYPERLINK("https://ictv.global/ictv/proposals/2021.023B.R.Demerecviridae_new_genera.zip","2021.023B.R.Demerecviridae_new_genera.zip")</f>
        <v>2021.023B.R.Demerecviridae_new_genera.zip</v>
      </c>
      <c r="U1139" s="29" t="str">
        <f>HYPERLINK("https://ictv.global/taxonomy/taxondetails?taxnode_id=202307062","ictv.global=202307062")</f>
        <v>ictv.global=202307062</v>
      </c>
    </row>
    <row r="1140" spans="1:21">
      <c r="A1140">
        <v>1139</v>
      </c>
      <c r="B1140" s="30" t="s">
        <v>1587</v>
      </c>
      <c r="D1140" s="30" t="s">
        <v>1588</v>
      </c>
      <c r="F1140" s="30" t="s">
        <v>1591</v>
      </c>
      <c r="H1140" s="30" t="s">
        <v>1592</v>
      </c>
      <c r="L1140" s="30" t="s">
        <v>1748</v>
      </c>
      <c r="N1140" s="30" t="s">
        <v>1537</v>
      </c>
      <c r="P1140" s="30" t="s">
        <v>4967</v>
      </c>
      <c r="Q1140" t="s">
        <v>619</v>
      </c>
      <c r="R1140" t="s">
        <v>917</v>
      </c>
      <c r="S1140">
        <v>37</v>
      </c>
      <c r="T1140" s="29" t="str">
        <f>HYPERLINK("https://ictv.global/ictv/proposals/2021.023B.R.Demerecviridae_new_genera.zip","2021.023B.R.Demerecviridae_new_genera.zip")</f>
        <v>2021.023B.R.Demerecviridae_new_genera.zip</v>
      </c>
      <c r="U1140" s="29" t="str">
        <f>HYPERLINK("https://ictv.global/taxonomy/taxondetails?taxnode_id=202313516","ictv.global=202313516")</f>
        <v>ictv.global=202313516</v>
      </c>
    </row>
    <row r="1141" spans="1:21">
      <c r="A1141">
        <v>1140</v>
      </c>
      <c r="B1141" s="30" t="s">
        <v>1587</v>
      </c>
      <c r="D1141" s="30" t="s">
        <v>1588</v>
      </c>
      <c r="F1141" s="30" t="s">
        <v>1591</v>
      </c>
      <c r="H1141" s="30" t="s">
        <v>1592</v>
      </c>
      <c r="L1141" s="30" t="s">
        <v>1748</v>
      </c>
      <c r="N1141" s="30" t="s">
        <v>1756</v>
      </c>
      <c r="P1141" s="30" t="s">
        <v>4968</v>
      </c>
      <c r="Q1141" t="s">
        <v>619</v>
      </c>
      <c r="R1141" t="s">
        <v>918</v>
      </c>
      <c r="S1141">
        <v>37</v>
      </c>
      <c r="T1141" s="29" t="str">
        <f>HYPERLINK("https://ictv.global/ictv/proposals/2021.010B.R.Binomial_names.zip","2021.010B.R.Binomial_names.zip")</f>
        <v>2021.010B.R.Binomial_names.zip</v>
      </c>
      <c r="U1141" s="29" t="str">
        <f>HYPERLINK("https://ictv.global/taxonomy/taxondetails?taxnode_id=202308117","ictv.global=202308117")</f>
        <v>ictv.global=202308117</v>
      </c>
    </row>
    <row r="1142" spans="1:21">
      <c r="A1142">
        <v>1141</v>
      </c>
      <c r="B1142" s="30" t="s">
        <v>1587</v>
      </c>
      <c r="D1142" s="30" t="s">
        <v>1588</v>
      </c>
      <c r="F1142" s="30" t="s">
        <v>1591</v>
      </c>
      <c r="H1142" s="30" t="s">
        <v>1592</v>
      </c>
      <c r="L1142" s="30" t="s">
        <v>1748</v>
      </c>
      <c r="N1142" s="30" t="s">
        <v>1756</v>
      </c>
      <c r="P1142" s="30" t="s">
        <v>4969</v>
      </c>
      <c r="Q1142" t="s">
        <v>619</v>
      </c>
      <c r="R1142" t="s">
        <v>918</v>
      </c>
      <c r="S1142">
        <v>37</v>
      </c>
      <c r="T1142" s="29" t="str">
        <f>HYPERLINK("https://ictv.global/ictv/proposals/2021.010B.R.Binomial_names.zip","2021.010B.R.Binomial_names.zip")</f>
        <v>2021.010B.R.Binomial_names.zip</v>
      </c>
      <c r="U1142" s="29" t="str">
        <f>HYPERLINK("https://ictv.global/taxonomy/taxondetails?taxnode_id=202308116","ictv.global=202308116")</f>
        <v>ictv.global=202308116</v>
      </c>
    </row>
    <row r="1143" spans="1:21">
      <c r="A1143">
        <v>1142</v>
      </c>
      <c r="B1143" s="30" t="s">
        <v>1587</v>
      </c>
      <c r="D1143" s="30" t="s">
        <v>1588</v>
      </c>
      <c r="F1143" s="30" t="s">
        <v>1591</v>
      </c>
      <c r="H1143" s="30" t="s">
        <v>1592</v>
      </c>
      <c r="L1143" s="30" t="s">
        <v>1748</v>
      </c>
      <c r="N1143" s="30" t="s">
        <v>1557</v>
      </c>
      <c r="P1143" s="30" t="s">
        <v>11903</v>
      </c>
      <c r="Q1143" t="s">
        <v>619</v>
      </c>
      <c r="R1143" t="s">
        <v>917</v>
      </c>
      <c r="S1143">
        <v>39</v>
      </c>
      <c r="T1143" s="29" t="str">
        <f>HYPERLINK("https://ictv.global/ictv/proposals/2023.064B.Sugarlandvirus_16ns.zip","2023.064B.Sugarlandvirus_16ns.zip")</f>
        <v>2023.064B.Sugarlandvirus_16ns.zip</v>
      </c>
      <c r="U1143" s="29" t="str">
        <f>HYPERLINK("https://ictv.global/taxonomy/taxondetails?taxnode_id=202319298","ictv.global=202319298")</f>
        <v>ictv.global=202319298</v>
      </c>
    </row>
    <row r="1144" spans="1:21">
      <c r="A1144">
        <v>1143</v>
      </c>
      <c r="B1144" s="30" t="s">
        <v>1587</v>
      </c>
      <c r="D1144" s="30" t="s">
        <v>1588</v>
      </c>
      <c r="F1144" s="30" t="s">
        <v>1591</v>
      </c>
      <c r="H1144" s="30" t="s">
        <v>1592</v>
      </c>
      <c r="L1144" s="30" t="s">
        <v>1748</v>
      </c>
      <c r="N1144" s="30" t="s">
        <v>1557</v>
      </c>
      <c r="P1144" s="30" t="s">
        <v>11904</v>
      </c>
      <c r="Q1144" t="s">
        <v>619</v>
      </c>
      <c r="R1144" t="s">
        <v>917</v>
      </c>
      <c r="S1144">
        <v>39</v>
      </c>
      <c r="T1144" s="29" t="str">
        <f>HYPERLINK("https://ictv.global/ictv/proposals/2023.064B.Sugarlandvirus_16ns.zip","2023.064B.Sugarlandvirus_16ns.zip")</f>
        <v>2023.064B.Sugarlandvirus_16ns.zip</v>
      </c>
      <c r="U1144" s="29" t="str">
        <f>HYPERLINK("https://ictv.global/taxonomy/taxondetails?taxnode_id=202319306","ictv.global=202319306")</f>
        <v>ictv.global=202319306</v>
      </c>
    </row>
    <row r="1145" spans="1:21">
      <c r="A1145">
        <v>1144</v>
      </c>
      <c r="B1145" s="30" t="s">
        <v>1587</v>
      </c>
      <c r="D1145" s="30" t="s">
        <v>1588</v>
      </c>
      <c r="F1145" s="30" t="s">
        <v>1591</v>
      </c>
      <c r="H1145" s="30" t="s">
        <v>1592</v>
      </c>
      <c r="L1145" s="30" t="s">
        <v>1748</v>
      </c>
      <c r="N1145" s="30" t="s">
        <v>1557</v>
      </c>
      <c r="P1145" s="30" t="s">
        <v>11905</v>
      </c>
      <c r="Q1145" t="s">
        <v>619</v>
      </c>
      <c r="R1145" t="s">
        <v>917</v>
      </c>
      <c r="S1145">
        <v>39</v>
      </c>
      <c r="T1145" s="29" t="str">
        <f>HYPERLINK("https://ictv.global/ictv/proposals/2023.064B.Sugarlandvirus_16ns.zip","2023.064B.Sugarlandvirus_16ns.zip")</f>
        <v>2023.064B.Sugarlandvirus_16ns.zip</v>
      </c>
      <c r="U1145" s="29" t="str">
        <f>HYPERLINK("https://ictv.global/taxonomy/taxondetails?taxnode_id=202319307","ictv.global=202319307")</f>
        <v>ictv.global=202319307</v>
      </c>
    </row>
    <row r="1146" spans="1:21">
      <c r="A1146">
        <v>1145</v>
      </c>
      <c r="B1146" s="30" t="s">
        <v>1587</v>
      </c>
      <c r="D1146" s="30" t="s">
        <v>1588</v>
      </c>
      <c r="F1146" s="30" t="s">
        <v>1591</v>
      </c>
      <c r="H1146" s="30" t="s">
        <v>1592</v>
      </c>
      <c r="L1146" s="30" t="s">
        <v>1748</v>
      </c>
      <c r="N1146" s="30" t="s">
        <v>1557</v>
      </c>
      <c r="P1146" s="30" t="s">
        <v>11906</v>
      </c>
      <c r="Q1146" t="s">
        <v>619</v>
      </c>
      <c r="R1146" t="s">
        <v>917</v>
      </c>
      <c r="S1146">
        <v>39</v>
      </c>
      <c r="T1146" s="29" t="str">
        <f>HYPERLINK("https://ictv.global/ictv/proposals/2023.064B.Sugarlandvirus_16ns.zip","2023.064B.Sugarlandvirus_16ns.zip")</f>
        <v>2023.064B.Sugarlandvirus_16ns.zip</v>
      </c>
      <c r="U1146" s="29" t="str">
        <f>HYPERLINK("https://ictv.global/taxonomy/taxondetails?taxnode_id=202319311","ictv.global=202319311")</f>
        <v>ictv.global=202319311</v>
      </c>
    </row>
    <row r="1147" spans="1:21">
      <c r="A1147">
        <v>1146</v>
      </c>
      <c r="B1147" s="30" t="s">
        <v>1587</v>
      </c>
      <c r="D1147" s="30" t="s">
        <v>1588</v>
      </c>
      <c r="F1147" s="30" t="s">
        <v>1591</v>
      </c>
      <c r="H1147" s="30" t="s">
        <v>1592</v>
      </c>
      <c r="L1147" s="30" t="s">
        <v>1748</v>
      </c>
      <c r="N1147" s="30" t="s">
        <v>1557</v>
      </c>
      <c r="P1147" s="30" t="s">
        <v>11907</v>
      </c>
      <c r="Q1147" t="s">
        <v>619</v>
      </c>
      <c r="R1147" t="s">
        <v>917</v>
      </c>
      <c r="S1147">
        <v>39</v>
      </c>
      <c r="T1147" s="29" t="str">
        <f>HYPERLINK("https://ictv.global/ictv/proposals/2023.064B.Sugarlandvirus_16ns.zip","2023.064B.Sugarlandvirus_16ns.zip")</f>
        <v>2023.064B.Sugarlandvirus_16ns.zip</v>
      </c>
      <c r="U1147" s="29" t="str">
        <f>HYPERLINK("https://ictv.global/taxonomy/taxondetails?taxnode_id=202319299","ictv.global=202319299")</f>
        <v>ictv.global=202319299</v>
      </c>
    </row>
    <row r="1148" spans="1:21">
      <c r="A1148">
        <v>1147</v>
      </c>
      <c r="B1148" s="30" t="s">
        <v>1587</v>
      </c>
      <c r="D1148" s="30" t="s">
        <v>1588</v>
      </c>
      <c r="F1148" s="30" t="s">
        <v>1591</v>
      </c>
      <c r="H1148" s="30" t="s">
        <v>1592</v>
      </c>
      <c r="L1148" s="30" t="s">
        <v>1748</v>
      </c>
      <c r="N1148" s="30" t="s">
        <v>1557</v>
      </c>
      <c r="P1148" s="30" t="s">
        <v>4970</v>
      </c>
      <c r="Q1148" t="s">
        <v>619</v>
      </c>
      <c r="R1148" t="s">
        <v>918</v>
      </c>
      <c r="S1148">
        <v>37</v>
      </c>
      <c r="T1148" s="29" t="str">
        <f>HYPERLINK("https://ictv.global/ictv/proposals/2021.010B.R.Binomial_names.zip","2021.010B.R.Binomial_names.zip")</f>
        <v>2021.010B.R.Binomial_names.zip</v>
      </c>
      <c r="U1148" s="29" t="str">
        <f>HYPERLINK("https://ictv.global/taxonomy/taxondetails?taxnode_id=202307065","ictv.global=202307065")</f>
        <v>ictv.global=202307065</v>
      </c>
    </row>
    <row r="1149" spans="1:21">
      <c r="A1149">
        <v>1148</v>
      </c>
      <c r="B1149" s="30" t="s">
        <v>1587</v>
      </c>
      <c r="D1149" s="30" t="s">
        <v>1588</v>
      </c>
      <c r="F1149" s="30" t="s">
        <v>1591</v>
      </c>
      <c r="H1149" s="30" t="s">
        <v>1592</v>
      </c>
      <c r="L1149" s="30" t="s">
        <v>1748</v>
      </c>
      <c r="N1149" s="30" t="s">
        <v>1557</v>
      </c>
      <c r="P1149" s="30" t="s">
        <v>11908</v>
      </c>
      <c r="Q1149" t="s">
        <v>619</v>
      </c>
      <c r="R1149" t="s">
        <v>917</v>
      </c>
      <c r="S1149">
        <v>39</v>
      </c>
      <c r="T1149" s="29" t="str">
        <f t="shared" ref="T1149:T1154" si="50">HYPERLINK("https://ictv.global/ictv/proposals/2023.064B.Sugarlandvirus_16ns.zip","2023.064B.Sugarlandvirus_16ns.zip")</f>
        <v>2023.064B.Sugarlandvirus_16ns.zip</v>
      </c>
      <c r="U1149" s="29" t="str">
        <f>HYPERLINK("https://ictv.global/taxonomy/taxondetails?taxnode_id=202319301","ictv.global=202319301")</f>
        <v>ictv.global=202319301</v>
      </c>
    </row>
    <row r="1150" spans="1:21">
      <c r="A1150">
        <v>1149</v>
      </c>
      <c r="B1150" s="30" t="s">
        <v>1587</v>
      </c>
      <c r="D1150" s="30" t="s">
        <v>1588</v>
      </c>
      <c r="F1150" s="30" t="s">
        <v>1591</v>
      </c>
      <c r="H1150" s="30" t="s">
        <v>1592</v>
      </c>
      <c r="L1150" s="30" t="s">
        <v>1748</v>
      </c>
      <c r="N1150" s="30" t="s">
        <v>1557</v>
      </c>
      <c r="P1150" s="30" t="s">
        <v>11909</v>
      </c>
      <c r="Q1150" t="s">
        <v>619</v>
      </c>
      <c r="R1150" t="s">
        <v>917</v>
      </c>
      <c r="S1150">
        <v>39</v>
      </c>
      <c r="T1150" s="29" t="str">
        <f t="shared" si="50"/>
        <v>2023.064B.Sugarlandvirus_16ns.zip</v>
      </c>
      <c r="U1150" s="29" t="str">
        <f>HYPERLINK("https://ictv.global/taxonomy/taxondetails?taxnode_id=202319303","ictv.global=202319303")</f>
        <v>ictv.global=202319303</v>
      </c>
    </row>
    <row r="1151" spans="1:21">
      <c r="A1151">
        <v>1150</v>
      </c>
      <c r="B1151" s="30" t="s">
        <v>1587</v>
      </c>
      <c r="D1151" s="30" t="s">
        <v>1588</v>
      </c>
      <c r="F1151" s="30" t="s">
        <v>1591</v>
      </c>
      <c r="H1151" s="30" t="s">
        <v>1592</v>
      </c>
      <c r="L1151" s="30" t="s">
        <v>1748</v>
      </c>
      <c r="N1151" s="30" t="s">
        <v>1557</v>
      </c>
      <c r="P1151" s="30" t="s">
        <v>11910</v>
      </c>
      <c r="Q1151" t="s">
        <v>619</v>
      </c>
      <c r="R1151" t="s">
        <v>917</v>
      </c>
      <c r="S1151">
        <v>39</v>
      </c>
      <c r="T1151" s="29" t="str">
        <f t="shared" si="50"/>
        <v>2023.064B.Sugarlandvirus_16ns.zip</v>
      </c>
      <c r="U1151" s="29" t="str">
        <f>HYPERLINK("https://ictv.global/taxonomy/taxondetails?taxnode_id=202319300","ictv.global=202319300")</f>
        <v>ictv.global=202319300</v>
      </c>
    </row>
    <row r="1152" spans="1:21">
      <c r="A1152">
        <v>1151</v>
      </c>
      <c r="B1152" s="30" t="s">
        <v>1587</v>
      </c>
      <c r="D1152" s="30" t="s">
        <v>1588</v>
      </c>
      <c r="F1152" s="30" t="s">
        <v>1591</v>
      </c>
      <c r="H1152" s="30" t="s">
        <v>1592</v>
      </c>
      <c r="L1152" s="30" t="s">
        <v>1748</v>
      </c>
      <c r="N1152" s="30" t="s">
        <v>1557</v>
      </c>
      <c r="P1152" s="30" t="s">
        <v>11911</v>
      </c>
      <c r="Q1152" t="s">
        <v>619</v>
      </c>
      <c r="R1152" t="s">
        <v>917</v>
      </c>
      <c r="S1152">
        <v>39</v>
      </c>
      <c r="T1152" s="29" t="str">
        <f t="shared" si="50"/>
        <v>2023.064B.Sugarlandvirus_16ns.zip</v>
      </c>
      <c r="U1152" s="29" t="str">
        <f>HYPERLINK("https://ictv.global/taxonomy/taxondetails?taxnode_id=202319312","ictv.global=202319312")</f>
        <v>ictv.global=202319312</v>
      </c>
    </row>
    <row r="1153" spans="1:21">
      <c r="A1153">
        <v>1152</v>
      </c>
      <c r="B1153" s="30" t="s">
        <v>1587</v>
      </c>
      <c r="D1153" s="30" t="s">
        <v>1588</v>
      </c>
      <c r="F1153" s="30" t="s">
        <v>1591</v>
      </c>
      <c r="H1153" s="30" t="s">
        <v>1592</v>
      </c>
      <c r="L1153" s="30" t="s">
        <v>1748</v>
      </c>
      <c r="N1153" s="30" t="s">
        <v>1557</v>
      </c>
      <c r="P1153" s="30" t="s">
        <v>11912</v>
      </c>
      <c r="Q1153" t="s">
        <v>619</v>
      </c>
      <c r="R1153" t="s">
        <v>917</v>
      </c>
      <c r="S1153">
        <v>39</v>
      </c>
      <c r="T1153" s="29" t="str">
        <f t="shared" si="50"/>
        <v>2023.064B.Sugarlandvirus_16ns.zip</v>
      </c>
      <c r="U1153" s="29" t="str">
        <f>HYPERLINK("https://ictv.global/taxonomy/taxondetails?taxnode_id=202319308","ictv.global=202319308")</f>
        <v>ictv.global=202319308</v>
      </c>
    </row>
    <row r="1154" spans="1:21">
      <c r="A1154">
        <v>1153</v>
      </c>
      <c r="B1154" s="30" t="s">
        <v>1587</v>
      </c>
      <c r="D1154" s="30" t="s">
        <v>1588</v>
      </c>
      <c r="F1154" s="30" t="s">
        <v>1591</v>
      </c>
      <c r="H1154" s="30" t="s">
        <v>1592</v>
      </c>
      <c r="L1154" s="30" t="s">
        <v>1748</v>
      </c>
      <c r="N1154" s="30" t="s">
        <v>1557</v>
      </c>
      <c r="P1154" s="30" t="s">
        <v>11913</v>
      </c>
      <c r="Q1154" t="s">
        <v>619</v>
      </c>
      <c r="R1154" t="s">
        <v>917</v>
      </c>
      <c r="S1154">
        <v>39</v>
      </c>
      <c r="T1154" s="29" t="str">
        <f t="shared" si="50"/>
        <v>2023.064B.Sugarlandvirus_16ns.zip</v>
      </c>
      <c r="U1154" s="29" t="str">
        <f>HYPERLINK("https://ictv.global/taxonomy/taxondetails?taxnode_id=202319305","ictv.global=202319305")</f>
        <v>ictv.global=202319305</v>
      </c>
    </row>
    <row r="1155" spans="1:21">
      <c r="A1155">
        <v>1154</v>
      </c>
      <c r="B1155" s="30" t="s">
        <v>1587</v>
      </c>
      <c r="D1155" s="30" t="s">
        <v>1588</v>
      </c>
      <c r="F1155" s="30" t="s">
        <v>1591</v>
      </c>
      <c r="H1155" s="30" t="s">
        <v>1592</v>
      </c>
      <c r="L1155" s="30" t="s">
        <v>1748</v>
      </c>
      <c r="N1155" s="30" t="s">
        <v>1557</v>
      </c>
      <c r="P1155" s="30" t="s">
        <v>4971</v>
      </c>
      <c r="Q1155" t="s">
        <v>619</v>
      </c>
      <c r="R1155" t="s">
        <v>918</v>
      </c>
      <c r="S1155">
        <v>37</v>
      </c>
      <c r="T1155" s="29" t="str">
        <f>HYPERLINK("https://ictv.global/ictv/proposals/2021.010B.R.Binomial_names.zip","2021.010B.R.Binomial_names.zip")</f>
        <v>2021.010B.R.Binomial_names.zip</v>
      </c>
      <c r="U1155" s="29" t="str">
        <f>HYPERLINK("https://ictv.global/taxonomy/taxondetails?taxnode_id=202307064","ictv.global=202307064")</f>
        <v>ictv.global=202307064</v>
      </c>
    </row>
    <row r="1156" spans="1:21">
      <c r="A1156">
        <v>1155</v>
      </c>
      <c r="B1156" s="30" t="s">
        <v>1587</v>
      </c>
      <c r="D1156" s="30" t="s">
        <v>1588</v>
      </c>
      <c r="F1156" s="30" t="s">
        <v>1591</v>
      </c>
      <c r="H1156" s="30" t="s">
        <v>1592</v>
      </c>
      <c r="L1156" s="30" t="s">
        <v>1748</v>
      </c>
      <c r="N1156" s="30" t="s">
        <v>1557</v>
      </c>
      <c r="P1156" s="30" t="s">
        <v>11914</v>
      </c>
      <c r="Q1156" t="s">
        <v>619</v>
      </c>
      <c r="R1156" t="s">
        <v>917</v>
      </c>
      <c r="S1156">
        <v>39</v>
      </c>
      <c r="T1156" s="29" t="str">
        <f>HYPERLINK("https://ictv.global/ictv/proposals/2023.064B.Sugarlandvirus_16ns.zip","2023.064B.Sugarlandvirus_16ns.zip")</f>
        <v>2023.064B.Sugarlandvirus_16ns.zip</v>
      </c>
      <c r="U1156" s="29" t="str">
        <f>HYPERLINK("https://ictv.global/taxonomy/taxondetails?taxnode_id=202319304","ictv.global=202319304")</f>
        <v>ictv.global=202319304</v>
      </c>
    </row>
    <row r="1157" spans="1:21">
      <c r="A1157">
        <v>1156</v>
      </c>
      <c r="B1157" s="30" t="s">
        <v>1587</v>
      </c>
      <c r="D1157" s="30" t="s">
        <v>1588</v>
      </c>
      <c r="F1157" s="30" t="s">
        <v>1591</v>
      </c>
      <c r="H1157" s="30" t="s">
        <v>1592</v>
      </c>
      <c r="L1157" s="30" t="s">
        <v>1748</v>
      </c>
      <c r="N1157" s="30" t="s">
        <v>1557</v>
      </c>
      <c r="P1157" s="30" t="s">
        <v>11915</v>
      </c>
      <c r="Q1157" t="s">
        <v>619</v>
      </c>
      <c r="R1157" t="s">
        <v>917</v>
      </c>
      <c r="S1157">
        <v>39</v>
      </c>
      <c r="T1157" s="29" t="str">
        <f>HYPERLINK("https://ictv.global/ictv/proposals/2023.064B.Sugarlandvirus_16ns.zip","2023.064B.Sugarlandvirus_16ns.zip")</f>
        <v>2023.064B.Sugarlandvirus_16ns.zip</v>
      </c>
      <c r="U1157" s="29" t="str">
        <f>HYPERLINK("https://ictv.global/taxonomy/taxondetails?taxnode_id=202319310","ictv.global=202319310")</f>
        <v>ictv.global=202319310</v>
      </c>
    </row>
    <row r="1158" spans="1:21">
      <c r="A1158">
        <v>1157</v>
      </c>
      <c r="B1158" s="30" t="s">
        <v>1587</v>
      </c>
      <c r="D1158" s="30" t="s">
        <v>1588</v>
      </c>
      <c r="F1158" s="30" t="s">
        <v>1591</v>
      </c>
      <c r="H1158" s="30" t="s">
        <v>1592</v>
      </c>
      <c r="L1158" s="30" t="s">
        <v>1748</v>
      </c>
      <c r="N1158" s="30" t="s">
        <v>1557</v>
      </c>
      <c r="P1158" s="30" t="s">
        <v>11916</v>
      </c>
      <c r="Q1158" t="s">
        <v>619</v>
      </c>
      <c r="R1158" t="s">
        <v>917</v>
      </c>
      <c r="S1158">
        <v>39</v>
      </c>
      <c r="T1158" s="29" t="str">
        <f>HYPERLINK("https://ictv.global/ictv/proposals/2023.064B.Sugarlandvirus_16ns.zip","2023.064B.Sugarlandvirus_16ns.zip")</f>
        <v>2023.064B.Sugarlandvirus_16ns.zip</v>
      </c>
      <c r="U1158" s="29" t="str">
        <f>HYPERLINK("https://ictv.global/taxonomy/taxondetails?taxnode_id=202319309","ictv.global=202319309")</f>
        <v>ictv.global=202319309</v>
      </c>
    </row>
    <row r="1159" spans="1:21">
      <c r="A1159">
        <v>1158</v>
      </c>
      <c r="B1159" s="30" t="s">
        <v>1587</v>
      </c>
      <c r="D1159" s="30" t="s">
        <v>1588</v>
      </c>
      <c r="F1159" s="30" t="s">
        <v>1591</v>
      </c>
      <c r="H1159" s="30" t="s">
        <v>1592</v>
      </c>
      <c r="L1159" s="30" t="s">
        <v>1748</v>
      </c>
      <c r="N1159" s="30" t="s">
        <v>1557</v>
      </c>
      <c r="P1159" s="30" t="s">
        <v>11917</v>
      </c>
      <c r="Q1159" t="s">
        <v>619</v>
      </c>
      <c r="R1159" t="s">
        <v>917</v>
      </c>
      <c r="S1159">
        <v>39</v>
      </c>
      <c r="T1159" s="29" t="str">
        <f>HYPERLINK("https://ictv.global/ictv/proposals/2023.064B.Sugarlandvirus_16ns.zip","2023.064B.Sugarlandvirus_16ns.zip")</f>
        <v>2023.064B.Sugarlandvirus_16ns.zip</v>
      </c>
      <c r="U1159" s="29" t="str">
        <f>HYPERLINK("https://ictv.global/taxonomy/taxondetails?taxnode_id=202319302","ictv.global=202319302")</f>
        <v>ictv.global=202319302</v>
      </c>
    </row>
    <row r="1160" spans="1:21">
      <c r="A1160">
        <v>1159</v>
      </c>
      <c r="B1160" s="30" t="s">
        <v>1587</v>
      </c>
      <c r="D1160" s="30" t="s">
        <v>1588</v>
      </c>
      <c r="F1160" s="30" t="s">
        <v>1591</v>
      </c>
      <c r="H1160" s="30" t="s">
        <v>1592</v>
      </c>
      <c r="L1160" s="30" t="s">
        <v>1748</v>
      </c>
      <c r="N1160" s="30" t="s">
        <v>1557</v>
      </c>
      <c r="P1160" s="30" t="s">
        <v>11918</v>
      </c>
      <c r="Q1160" t="s">
        <v>619</v>
      </c>
      <c r="R1160" t="s">
        <v>917</v>
      </c>
      <c r="S1160">
        <v>39</v>
      </c>
      <c r="T1160" s="29" t="str">
        <f>HYPERLINK("https://ictv.global/ictv/proposals/2023.064B.Sugarlandvirus_16ns.zip","2023.064B.Sugarlandvirus_16ns.zip")</f>
        <v>2023.064B.Sugarlandvirus_16ns.zip</v>
      </c>
      <c r="U1160" s="29" t="str">
        <f>HYPERLINK("https://ictv.global/taxonomy/taxondetails?taxnode_id=202319297","ictv.global=202319297")</f>
        <v>ictv.global=202319297</v>
      </c>
    </row>
    <row r="1161" spans="1:21">
      <c r="A1161">
        <v>1160</v>
      </c>
      <c r="B1161" s="30" t="s">
        <v>1587</v>
      </c>
      <c r="D1161" s="30" t="s">
        <v>1588</v>
      </c>
      <c r="F1161" s="30" t="s">
        <v>1591</v>
      </c>
      <c r="H1161" s="30" t="s">
        <v>1592</v>
      </c>
      <c r="L1161" s="30" t="s">
        <v>1757</v>
      </c>
      <c r="M1161" s="30" t="s">
        <v>1758</v>
      </c>
      <c r="N1161" s="30" t="s">
        <v>11919</v>
      </c>
      <c r="P1161" s="30" t="s">
        <v>11920</v>
      </c>
      <c r="Q1161" t="s">
        <v>619</v>
      </c>
      <c r="R1161" t="s">
        <v>917</v>
      </c>
      <c r="S1161">
        <v>39</v>
      </c>
      <c r="T1161" s="29" t="str">
        <f>HYPERLINK("https://ictv.global/ictv/proposals/2023.011B.Braunvirinae_3ng.zip","2023.011B.Braunvirinae_3ng.zip")</f>
        <v>2023.011B.Braunvirinae_3ng.zip</v>
      </c>
      <c r="U1161" s="29" t="str">
        <f>HYPERLINK("https://ictv.global/taxonomy/taxondetails?taxnode_id=202317952","ictv.global=202317952")</f>
        <v>ictv.global=202317952</v>
      </c>
    </row>
    <row r="1162" spans="1:21">
      <c r="A1162">
        <v>1161</v>
      </c>
      <c r="B1162" s="30" t="s">
        <v>1587</v>
      </c>
      <c r="D1162" s="30" t="s">
        <v>1588</v>
      </c>
      <c r="F1162" s="30" t="s">
        <v>1591</v>
      </c>
      <c r="H1162" s="30" t="s">
        <v>1592</v>
      </c>
      <c r="L1162" s="30" t="s">
        <v>1757</v>
      </c>
      <c r="M1162" s="30" t="s">
        <v>1758</v>
      </c>
      <c r="N1162" s="30" t="s">
        <v>1759</v>
      </c>
      <c r="P1162" s="30" t="s">
        <v>4972</v>
      </c>
      <c r="Q1162" t="s">
        <v>619</v>
      </c>
      <c r="R1162" t="s">
        <v>918</v>
      </c>
      <c r="S1162">
        <v>37</v>
      </c>
      <c r="T1162" s="29" t="str">
        <f>HYPERLINK("https://ictv.global/ictv/proposals/2021.010B.R.Binomial_names.zip","2021.010B.R.Binomial_names.zip")</f>
        <v>2021.010B.R.Binomial_names.zip</v>
      </c>
      <c r="U1162" s="29" t="str">
        <f>HYPERLINK("https://ictv.global/taxonomy/taxondetails?taxnode_id=202308146","ictv.global=202308146")</f>
        <v>ictv.global=202308146</v>
      </c>
    </row>
    <row r="1163" spans="1:21">
      <c r="A1163">
        <v>1162</v>
      </c>
      <c r="B1163" s="30" t="s">
        <v>1587</v>
      </c>
      <c r="D1163" s="30" t="s">
        <v>1588</v>
      </c>
      <c r="F1163" s="30" t="s">
        <v>1591</v>
      </c>
      <c r="H1163" s="30" t="s">
        <v>1592</v>
      </c>
      <c r="L1163" s="30" t="s">
        <v>1757</v>
      </c>
      <c r="M1163" s="30" t="s">
        <v>1758</v>
      </c>
      <c r="N1163" s="30" t="s">
        <v>1760</v>
      </c>
      <c r="P1163" s="30" t="s">
        <v>4973</v>
      </c>
      <c r="Q1163" t="s">
        <v>619</v>
      </c>
      <c r="R1163" t="s">
        <v>918</v>
      </c>
      <c r="S1163">
        <v>37</v>
      </c>
      <c r="T1163" s="29" t="str">
        <f>HYPERLINK("https://ictv.global/ictv/proposals/2021.010B.R.Binomial_names.zip","2021.010B.R.Binomial_names.zip")</f>
        <v>2021.010B.R.Binomial_names.zip</v>
      </c>
      <c r="U1163" s="29" t="str">
        <f>HYPERLINK("https://ictv.global/taxonomy/taxondetails?taxnode_id=202300822","ictv.global=202300822")</f>
        <v>ictv.global=202300822</v>
      </c>
    </row>
    <row r="1164" spans="1:21">
      <c r="A1164">
        <v>1163</v>
      </c>
      <c r="B1164" s="30" t="s">
        <v>1587</v>
      </c>
      <c r="D1164" s="30" t="s">
        <v>1588</v>
      </c>
      <c r="F1164" s="30" t="s">
        <v>1591</v>
      </c>
      <c r="H1164" s="30" t="s">
        <v>1592</v>
      </c>
      <c r="L1164" s="30" t="s">
        <v>1757</v>
      </c>
      <c r="M1164" s="30" t="s">
        <v>1758</v>
      </c>
      <c r="N1164" s="30" t="s">
        <v>1760</v>
      </c>
      <c r="P1164" s="30" t="s">
        <v>11921</v>
      </c>
      <c r="Q1164" t="s">
        <v>619</v>
      </c>
      <c r="R1164" t="s">
        <v>917</v>
      </c>
      <c r="S1164">
        <v>39</v>
      </c>
      <c r="T1164" s="29" t="str">
        <f>HYPERLINK("https://ictv.global/ictv/proposals/2023.011B.Braunvirinae_3ng.zip","2023.011B.Braunvirinae_3ng.zip")</f>
        <v>2023.011B.Braunvirinae_3ng.zip</v>
      </c>
      <c r="U1164" s="29" t="str">
        <f>HYPERLINK("https://ictv.global/taxonomy/taxondetails?taxnode_id=202317959","ictv.global=202317959")</f>
        <v>ictv.global=202317959</v>
      </c>
    </row>
    <row r="1165" spans="1:21">
      <c r="A1165">
        <v>1164</v>
      </c>
      <c r="B1165" s="30" t="s">
        <v>1587</v>
      </c>
      <c r="D1165" s="30" t="s">
        <v>1588</v>
      </c>
      <c r="F1165" s="30" t="s">
        <v>1591</v>
      </c>
      <c r="H1165" s="30" t="s">
        <v>1592</v>
      </c>
      <c r="L1165" s="30" t="s">
        <v>1757</v>
      </c>
      <c r="M1165" s="30" t="s">
        <v>1758</v>
      </c>
      <c r="N1165" s="30" t="s">
        <v>11922</v>
      </c>
      <c r="P1165" s="30" t="s">
        <v>11923</v>
      </c>
      <c r="Q1165" t="s">
        <v>619</v>
      </c>
      <c r="R1165" t="s">
        <v>917</v>
      </c>
      <c r="S1165">
        <v>39</v>
      </c>
      <c r="T1165" s="29" t="str">
        <f>HYPERLINK("https://ictv.global/ictv/proposals/2023.011B.Braunvirinae_3ng.zip","2023.011B.Braunvirinae_3ng.zip")</f>
        <v>2023.011B.Braunvirinae_3ng.zip</v>
      </c>
      <c r="U1165" s="29" t="str">
        <f>HYPERLINK("https://ictv.global/taxonomy/taxondetails?taxnode_id=202317951","ictv.global=202317951")</f>
        <v>ictv.global=202317951</v>
      </c>
    </row>
    <row r="1166" spans="1:21">
      <c r="A1166">
        <v>1165</v>
      </c>
      <c r="B1166" s="30" t="s">
        <v>1587</v>
      </c>
      <c r="D1166" s="30" t="s">
        <v>1588</v>
      </c>
      <c r="F1166" s="30" t="s">
        <v>1591</v>
      </c>
      <c r="H1166" s="30" t="s">
        <v>1592</v>
      </c>
      <c r="L1166" s="30" t="s">
        <v>1757</v>
      </c>
      <c r="M1166" s="30" t="s">
        <v>1758</v>
      </c>
      <c r="N1166" s="30" t="s">
        <v>11924</v>
      </c>
      <c r="P1166" s="30" t="s">
        <v>11925</v>
      </c>
      <c r="Q1166" t="s">
        <v>619</v>
      </c>
      <c r="R1166" t="s">
        <v>917</v>
      </c>
      <c r="S1166">
        <v>39</v>
      </c>
      <c r="T1166" s="29" t="str">
        <f>HYPERLINK("https://ictv.global/ictv/proposals/2023.011B.Braunvirinae_3ng.zip","2023.011B.Braunvirinae_3ng.zip")</f>
        <v>2023.011B.Braunvirinae_3ng.zip</v>
      </c>
      <c r="U1166" s="29" t="str">
        <f>HYPERLINK("https://ictv.global/taxonomy/taxondetails?taxnode_id=202317953","ictv.global=202317953")</f>
        <v>ictv.global=202317953</v>
      </c>
    </row>
    <row r="1167" spans="1:21">
      <c r="A1167">
        <v>1166</v>
      </c>
      <c r="B1167" s="30" t="s">
        <v>1587</v>
      </c>
      <c r="D1167" s="30" t="s">
        <v>1588</v>
      </c>
      <c r="F1167" s="30" t="s">
        <v>1591</v>
      </c>
      <c r="H1167" s="30" t="s">
        <v>1592</v>
      </c>
      <c r="L1167" s="30" t="s">
        <v>1757</v>
      </c>
      <c r="M1167" s="30" t="s">
        <v>1758</v>
      </c>
      <c r="N1167" s="30" t="s">
        <v>1761</v>
      </c>
      <c r="P1167" s="30" t="s">
        <v>4974</v>
      </c>
      <c r="Q1167" t="s">
        <v>619</v>
      </c>
      <c r="R1167" t="s">
        <v>918</v>
      </c>
      <c r="S1167">
        <v>37</v>
      </c>
      <c r="T1167" s="29" t="str">
        <f>HYPERLINK("https://ictv.global/ictv/proposals/2021.010B.R.Binomial_names.zip","2021.010B.R.Binomial_names.zip")</f>
        <v>2021.010B.R.Binomial_names.zip</v>
      </c>
      <c r="U1167" s="29" t="str">
        <f>HYPERLINK("https://ictv.global/taxonomy/taxondetails?taxnode_id=202308148","ictv.global=202308148")</f>
        <v>ictv.global=202308148</v>
      </c>
    </row>
    <row r="1168" spans="1:21">
      <c r="A1168">
        <v>1167</v>
      </c>
      <c r="B1168" s="30" t="s">
        <v>1587</v>
      </c>
      <c r="D1168" s="30" t="s">
        <v>1588</v>
      </c>
      <c r="F1168" s="30" t="s">
        <v>1591</v>
      </c>
      <c r="H1168" s="30" t="s">
        <v>1592</v>
      </c>
      <c r="L1168" s="30" t="s">
        <v>1757</v>
      </c>
      <c r="M1168" s="30" t="s">
        <v>1758</v>
      </c>
      <c r="N1168" s="30" t="s">
        <v>1761</v>
      </c>
      <c r="P1168" s="30" t="s">
        <v>11926</v>
      </c>
      <c r="Q1168" t="s">
        <v>619</v>
      </c>
      <c r="R1168" t="s">
        <v>918</v>
      </c>
      <c r="S1168">
        <v>39</v>
      </c>
      <c r="T1168" s="29" t="str">
        <f>HYPERLINK("https://ictv.global/ictv/proposals/2023.011B.Braunvirinae_3ng.zip","2023.011B.Braunvirinae_3ng.zip")</f>
        <v>2023.011B.Braunvirinae_3ng.zip</v>
      </c>
      <c r="U1168" s="29" t="str">
        <f>HYPERLINK("https://ictv.global/taxonomy/taxondetails?taxnode_id=202308150","ictv.global=202308150")</f>
        <v>ictv.global=202308150</v>
      </c>
    </row>
    <row r="1169" spans="1:21">
      <c r="A1169">
        <v>1168</v>
      </c>
      <c r="B1169" s="30" t="s">
        <v>1587</v>
      </c>
      <c r="D1169" s="30" t="s">
        <v>1588</v>
      </c>
      <c r="F1169" s="30" t="s">
        <v>1591</v>
      </c>
      <c r="H1169" s="30" t="s">
        <v>1592</v>
      </c>
      <c r="L1169" s="30" t="s">
        <v>1757</v>
      </c>
      <c r="M1169" s="30" t="s">
        <v>1758</v>
      </c>
      <c r="N1169" s="30" t="s">
        <v>655</v>
      </c>
      <c r="P1169" s="30" t="s">
        <v>4975</v>
      </c>
      <c r="Q1169" t="s">
        <v>619</v>
      </c>
      <c r="R1169" t="s">
        <v>918</v>
      </c>
      <c r="S1169">
        <v>37</v>
      </c>
      <c r="T1169" s="29" t="str">
        <f>HYPERLINK("https://ictv.global/ictv/proposals/2021.010B.R.Binomial_names.zip","2021.010B.R.Binomial_names.zip")</f>
        <v>2021.010B.R.Binomial_names.zip</v>
      </c>
      <c r="U1169" s="29" t="str">
        <f>HYPERLINK("https://ictv.global/taxonomy/taxondetails?taxnode_id=202308144","ictv.global=202308144")</f>
        <v>ictv.global=202308144</v>
      </c>
    </row>
    <row r="1170" spans="1:21">
      <c r="A1170">
        <v>1169</v>
      </c>
      <c r="B1170" s="30" t="s">
        <v>1587</v>
      </c>
      <c r="D1170" s="30" t="s">
        <v>1588</v>
      </c>
      <c r="F1170" s="30" t="s">
        <v>1591</v>
      </c>
      <c r="H1170" s="30" t="s">
        <v>1592</v>
      </c>
      <c r="L1170" s="30" t="s">
        <v>1757</v>
      </c>
      <c r="M1170" s="30" t="s">
        <v>1758</v>
      </c>
      <c r="N1170" s="30" t="s">
        <v>655</v>
      </c>
      <c r="P1170" s="30" t="s">
        <v>4976</v>
      </c>
      <c r="Q1170" t="s">
        <v>619</v>
      </c>
      <c r="R1170" t="s">
        <v>918</v>
      </c>
      <c r="S1170">
        <v>37</v>
      </c>
      <c r="T1170" s="29" t="str">
        <f>HYPERLINK("https://ictv.global/ictv/proposals/2021.010B.R.Binomial_names.zip","2021.010B.R.Binomial_names.zip")</f>
        <v>2021.010B.R.Binomial_names.zip</v>
      </c>
      <c r="U1170" s="29" t="str">
        <f>HYPERLINK("https://ictv.global/taxonomy/taxondetails?taxnode_id=202300823","ictv.global=202300823")</f>
        <v>ictv.global=202300823</v>
      </c>
    </row>
    <row r="1171" spans="1:21">
      <c r="A1171">
        <v>1170</v>
      </c>
      <c r="B1171" s="30" t="s">
        <v>1587</v>
      </c>
      <c r="D1171" s="30" t="s">
        <v>1588</v>
      </c>
      <c r="F1171" s="30" t="s">
        <v>1591</v>
      </c>
      <c r="H1171" s="30" t="s">
        <v>1592</v>
      </c>
      <c r="L1171" s="30" t="s">
        <v>1757</v>
      </c>
      <c r="M1171" s="30" t="s">
        <v>1758</v>
      </c>
      <c r="N1171" s="30" t="s">
        <v>655</v>
      </c>
      <c r="P1171" s="30" t="s">
        <v>11927</v>
      </c>
      <c r="Q1171" t="s">
        <v>619</v>
      </c>
      <c r="R1171" t="s">
        <v>917</v>
      </c>
      <c r="S1171">
        <v>39</v>
      </c>
      <c r="T1171" s="29" t="str">
        <f>HYPERLINK("https://ictv.global/ictv/proposals/2023.011B.Braunvirinae_3ng.zip","2023.011B.Braunvirinae_3ng.zip")</f>
        <v>2023.011B.Braunvirinae_3ng.zip</v>
      </c>
      <c r="U1171" s="29" t="str">
        <f>HYPERLINK("https://ictv.global/taxonomy/taxondetails?taxnode_id=202317954","ictv.global=202317954")</f>
        <v>ictv.global=202317954</v>
      </c>
    </row>
    <row r="1172" spans="1:21">
      <c r="A1172">
        <v>1171</v>
      </c>
      <c r="B1172" s="30" t="s">
        <v>1587</v>
      </c>
      <c r="D1172" s="30" t="s">
        <v>1588</v>
      </c>
      <c r="F1172" s="30" t="s">
        <v>1591</v>
      </c>
      <c r="H1172" s="30" t="s">
        <v>1592</v>
      </c>
      <c r="L1172" s="30" t="s">
        <v>1757</v>
      </c>
      <c r="M1172" s="30" t="s">
        <v>1758</v>
      </c>
      <c r="N1172" s="30" t="s">
        <v>2214</v>
      </c>
      <c r="P1172" s="30" t="s">
        <v>11928</v>
      </c>
      <c r="Q1172" t="s">
        <v>619</v>
      </c>
      <c r="R1172" t="s">
        <v>917</v>
      </c>
      <c r="S1172">
        <v>39</v>
      </c>
      <c r="T1172" s="29" t="str">
        <f>HYPERLINK("https://ictv.global/ictv/proposals/2023.011B.Braunvirinae_3ng.zip","2023.011B.Braunvirinae_3ng.zip")</f>
        <v>2023.011B.Braunvirinae_3ng.zip</v>
      </c>
      <c r="U1172" s="29" t="str">
        <f>HYPERLINK("https://ictv.global/taxonomy/taxondetails?taxnode_id=202317955","ictv.global=202317955")</f>
        <v>ictv.global=202317955</v>
      </c>
    </row>
    <row r="1173" spans="1:21">
      <c r="A1173">
        <v>1172</v>
      </c>
      <c r="B1173" s="30" t="s">
        <v>1587</v>
      </c>
      <c r="D1173" s="30" t="s">
        <v>1588</v>
      </c>
      <c r="F1173" s="30" t="s">
        <v>1591</v>
      </c>
      <c r="H1173" s="30" t="s">
        <v>1592</v>
      </c>
      <c r="L1173" s="30" t="s">
        <v>1757</v>
      </c>
      <c r="M1173" s="30" t="s">
        <v>1758</v>
      </c>
      <c r="N1173" s="30" t="s">
        <v>2214</v>
      </c>
      <c r="P1173" s="30" t="s">
        <v>11929</v>
      </c>
      <c r="Q1173" t="s">
        <v>619</v>
      </c>
      <c r="R1173" t="s">
        <v>917</v>
      </c>
      <c r="S1173">
        <v>39</v>
      </c>
      <c r="T1173" s="29" t="str">
        <f>HYPERLINK("https://ictv.global/ictv/proposals/2023.011B.Braunvirinae_3ng.zip","2023.011B.Braunvirinae_3ng.zip")</f>
        <v>2023.011B.Braunvirinae_3ng.zip</v>
      </c>
      <c r="U1173" s="29" t="str">
        <f>HYPERLINK("https://ictv.global/taxonomy/taxondetails?taxnode_id=202317956","ictv.global=202317956")</f>
        <v>ictv.global=202317956</v>
      </c>
    </row>
    <row r="1174" spans="1:21">
      <c r="A1174">
        <v>1173</v>
      </c>
      <c r="B1174" s="30" t="s">
        <v>1587</v>
      </c>
      <c r="D1174" s="30" t="s">
        <v>1588</v>
      </c>
      <c r="F1174" s="30" t="s">
        <v>1591</v>
      </c>
      <c r="H1174" s="30" t="s">
        <v>1592</v>
      </c>
      <c r="L1174" s="30" t="s">
        <v>1757</v>
      </c>
      <c r="M1174" s="30" t="s">
        <v>1758</v>
      </c>
      <c r="N1174" s="30" t="s">
        <v>2214</v>
      </c>
      <c r="P1174" s="30" t="s">
        <v>11930</v>
      </c>
      <c r="Q1174" t="s">
        <v>619</v>
      </c>
      <c r="R1174" t="s">
        <v>917</v>
      </c>
      <c r="S1174">
        <v>39</v>
      </c>
      <c r="T1174" s="29" t="str">
        <f>HYPERLINK("https://ictv.global/ictv/proposals/2023.011B.Braunvirinae_3ng.zip","2023.011B.Braunvirinae_3ng.zip")</f>
        <v>2023.011B.Braunvirinae_3ng.zip</v>
      </c>
      <c r="U1174" s="29" t="str">
        <f>HYPERLINK("https://ictv.global/taxonomy/taxondetails?taxnode_id=202317958","ictv.global=202317958")</f>
        <v>ictv.global=202317958</v>
      </c>
    </row>
    <row r="1175" spans="1:21">
      <c r="A1175">
        <v>1174</v>
      </c>
      <c r="B1175" s="30" t="s">
        <v>1587</v>
      </c>
      <c r="D1175" s="30" t="s">
        <v>1588</v>
      </c>
      <c r="F1175" s="30" t="s">
        <v>1591</v>
      </c>
      <c r="H1175" s="30" t="s">
        <v>1592</v>
      </c>
      <c r="L1175" s="30" t="s">
        <v>1757</v>
      </c>
      <c r="M1175" s="30" t="s">
        <v>1758</v>
      </c>
      <c r="N1175" s="30" t="s">
        <v>2214</v>
      </c>
      <c r="P1175" s="30" t="s">
        <v>4977</v>
      </c>
      <c r="Q1175" t="s">
        <v>619</v>
      </c>
      <c r="R1175" t="s">
        <v>918</v>
      </c>
      <c r="S1175">
        <v>37</v>
      </c>
      <c r="T1175" s="29" t="str">
        <f>HYPERLINK("https://ictv.global/ictv/proposals/2021.010B.R.Binomial_names.zip","2021.010B.R.Binomial_names.zip")</f>
        <v>2021.010B.R.Binomial_names.zip</v>
      </c>
      <c r="U1175" s="29" t="str">
        <f>HYPERLINK("https://ictv.global/taxonomy/taxondetails?taxnode_id=202312086","ictv.global=202312086")</f>
        <v>ictv.global=202312086</v>
      </c>
    </row>
    <row r="1176" spans="1:21">
      <c r="A1176">
        <v>1175</v>
      </c>
      <c r="B1176" s="30" t="s">
        <v>1587</v>
      </c>
      <c r="D1176" s="30" t="s">
        <v>1588</v>
      </c>
      <c r="F1176" s="30" t="s">
        <v>1591</v>
      </c>
      <c r="H1176" s="30" t="s">
        <v>1592</v>
      </c>
      <c r="L1176" s="30" t="s">
        <v>1757</v>
      </c>
      <c r="M1176" s="30" t="s">
        <v>1758</v>
      </c>
      <c r="N1176" s="30" t="s">
        <v>2214</v>
      </c>
      <c r="P1176" s="30" t="s">
        <v>11931</v>
      </c>
      <c r="Q1176" t="s">
        <v>619</v>
      </c>
      <c r="R1176" t="s">
        <v>917</v>
      </c>
      <c r="S1176">
        <v>39</v>
      </c>
      <c r="T1176" s="29" t="str">
        <f>HYPERLINK("https://ictv.global/ictv/proposals/2023.011B.Braunvirinae_3ng.zip","2023.011B.Braunvirinae_3ng.zip")</f>
        <v>2023.011B.Braunvirinae_3ng.zip</v>
      </c>
      <c r="U1176" s="29" t="str">
        <f>HYPERLINK("https://ictv.global/taxonomy/taxondetails?taxnode_id=202317957","ictv.global=202317957")</f>
        <v>ictv.global=202317957</v>
      </c>
    </row>
    <row r="1177" spans="1:21">
      <c r="A1177">
        <v>1176</v>
      </c>
      <c r="B1177" s="30" t="s">
        <v>1587</v>
      </c>
      <c r="D1177" s="30" t="s">
        <v>1588</v>
      </c>
      <c r="F1177" s="30" t="s">
        <v>1591</v>
      </c>
      <c r="H1177" s="30" t="s">
        <v>1592</v>
      </c>
      <c r="L1177" s="30" t="s">
        <v>1757</v>
      </c>
      <c r="M1177" s="30" t="s">
        <v>1762</v>
      </c>
      <c r="N1177" s="30" t="s">
        <v>1763</v>
      </c>
      <c r="P1177" s="30" t="s">
        <v>4978</v>
      </c>
      <c r="Q1177" t="s">
        <v>619</v>
      </c>
      <c r="R1177" t="s">
        <v>918</v>
      </c>
      <c r="S1177">
        <v>37</v>
      </c>
      <c r="T1177" s="29" t="str">
        <f>HYPERLINK("https://ictv.global/ictv/proposals/2021.010B.R.Binomial_names.zip","2021.010B.R.Binomial_names.zip")</f>
        <v>2021.010B.R.Binomial_names.zip</v>
      </c>
      <c r="U1177" s="29" t="str">
        <f>HYPERLINK("https://ictv.global/taxonomy/taxondetails?taxnode_id=202308154","ictv.global=202308154")</f>
        <v>ictv.global=202308154</v>
      </c>
    </row>
    <row r="1178" spans="1:21">
      <c r="A1178">
        <v>1177</v>
      </c>
      <c r="B1178" s="30" t="s">
        <v>1587</v>
      </c>
      <c r="D1178" s="30" t="s">
        <v>1588</v>
      </c>
      <c r="F1178" s="30" t="s">
        <v>1591</v>
      </c>
      <c r="H1178" s="30" t="s">
        <v>1592</v>
      </c>
      <c r="L1178" s="30" t="s">
        <v>1757</v>
      </c>
      <c r="M1178" s="30" t="s">
        <v>1762</v>
      </c>
      <c r="N1178" s="30" t="s">
        <v>1764</v>
      </c>
      <c r="P1178" s="30" t="s">
        <v>4979</v>
      </c>
      <c r="Q1178" t="s">
        <v>619</v>
      </c>
      <c r="R1178" t="s">
        <v>918</v>
      </c>
      <c r="S1178">
        <v>37</v>
      </c>
      <c r="T1178" s="29" t="str">
        <f>HYPERLINK("https://ictv.global/ictv/proposals/2021.010B.R.Binomial_names.zip","2021.010B.R.Binomial_names.zip")</f>
        <v>2021.010B.R.Binomial_names.zip</v>
      </c>
      <c r="U1178" s="29" t="str">
        <f>HYPERLINK("https://ictv.global/taxonomy/taxondetails?taxnode_id=202308158","ictv.global=202308158")</f>
        <v>ictv.global=202308158</v>
      </c>
    </row>
    <row r="1179" spans="1:21">
      <c r="A1179">
        <v>1178</v>
      </c>
      <c r="B1179" s="30" t="s">
        <v>1587</v>
      </c>
      <c r="D1179" s="30" t="s">
        <v>1588</v>
      </c>
      <c r="F1179" s="30" t="s">
        <v>1591</v>
      </c>
      <c r="H1179" s="30" t="s">
        <v>1592</v>
      </c>
      <c r="L1179" s="30" t="s">
        <v>1757</v>
      </c>
      <c r="M1179" s="30" t="s">
        <v>1762</v>
      </c>
      <c r="N1179" s="30" t="s">
        <v>1449</v>
      </c>
      <c r="P1179" s="30" t="s">
        <v>4980</v>
      </c>
      <c r="Q1179" t="s">
        <v>619</v>
      </c>
      <c r="R1179" t="s">
        <v>918</v>
      </c>
      <c r="S1179">
        <v>37</v>
      </c>
      <c r="T1179" s="29" t="str">
        <f>HYPERLINK("https://ictv.global/ictv/proposals/2021.010B.R.Binomial_names.zip","2021.010B.R.Binomial_names.zip")</f>
        <v>2021.010B.R.Binomial_names.zip</v>
      </c>
      <c r="U1179" s="29" t="str">
        <f>HYPERLINK("https://ictv.global/taxonomy/taxondetails?taxnode_id=202300812","ictv.global=202300812")</f>
        <v>ictv.global=202300812</v>
      </c>
    </row>
    <row r="1180" spans="1:21">
      <c r="A1180">
        <v>1179</v>
      </c>
      <c r="B1180" s="30" t="s">
        <v>1587</v>
      </c>
      <c r="D1180" s="30" t="s">
        <v>1588</v>
      </c>
      <c r="F1180" s="30" t="s">
        <v>1591</v>
      </c>
      <c r="H1180" s="30" t="s">
        <v>1592</v>
      </c>
      <c r="L1180" s="30" t="s">
        <v>1757</v>
      </c>
      <c r="M1180" s="30" t="s">
        <v>1762</v>
      </c>
      <c r="N1180" s="30" t="s">
        <v>1449</v>
      </c>
      <c r="P1180" s="30" t="s">
        <v>4981</v>
      </c>
      <c r="Q1180" t="s">
        <v>619</v>
      </c>
      <c r="R1180" t="s">
        <v>918</v>
      </c>
      <c r="S1180">
        <v>37</v>
      </c>
      <c r="T1180" s="29" t="str">
        <f>HYPERLINK("https://ictv.global/ictv/proposals/2021.010B.R.Binomial_names.zip","2021.010B.R.Binomial_names.zip")</f>
        <v>2021.010B.R.Binomial_names.zip</v>
      </c>
      <c r="U1180" s="29" t="str">
        <f>HYPERLINK("https://ictv.global/taxonomy/taxondetails?taxnode_id=202300813","ictv.global=202300813")</f>
        <v>ictv.global=202300813</v>
      </c>
    </row>
    <row r="1181" spans="1:21">
      <c r="A1181">
        <v>1180</v>
      </c>
      <c r="B1181" s="30" t="s">
        <v>1587</v>
      </c>
      <c r="D1181" s="30" t="s">
        <v>1588</v>
      </c>
      <c r="F1181" s="30" t="s">
        <v>1591</v>
      </c>
      <c r="H1181" s="30" t="s">
        <v>1592</v>
      </c>
      <c r="L1181" s="30" t="s">
        <v>1757</v>
      </c>
      <c r="M1181" s="30" t="s">
        <v>1762</v>
      </c>
      <c r="N1181" s="30" t="s">
        <v>1449</v>
      </c>
      <c r="P1181" s="30" t="s">
        <v>4982</v>
      </c>
      <c r="Q1181" t="s">
        <v>619</v>
      </c>
      <c r="R1181" t="s">
        <v>918</v>
      </c>
      <c r="S1181">
        <v>37</v>
      </c>
      <c r="T1181" s="29" t="str">
        <f>HYPERLINK("https://ictv.global/ictv/proposals/2021.010B.R.Binomial_names.zip","2021.010B.R.Binomial_names.zip")</f>
        <v>2021.010B.R.Binomial_names.zip</v>
      </c>
      <c r="U1181" s="29" t="str">
        <f>HYPERLINK("https://ictv.global/taxonomy/taxondetails?taxnode_id=202300814","ictv.global=202300814")</f>
        <v>ictv.global=202300814</v>
      </c>
    </row>
    <row r="1182" spans="1:21">
      <c r="A1182">
        <v>1181</v>
      </c>
      <c r="B1182" s="30" t="s">
        <v>1587</v>
      </c>
      <c r="D1182" s="30" t="s">
        <v>1588</v>
      </c>
      <c r="F1182" s="30" t="s">
        <v>1591</v>
      </c>
      <c r="H1182" s="30" t="s">
        <v>1592</v>
      </c>
      <c r="L1182" s="30" t="s">
        <v>1757</v>
      </c>
      <c r="M1182" s="30" t="s">
        <v>1762</v>
      </c>
      <c r="N1182" s="30" t="s">
        <v>1449</v>
      </c>
      <c r="P1182" s="30" t="s">
        <v>11932</v>
      </c>
      <c r="Q1182" t="s">
        <v>619</v>
      </c>
      <c r="R1182" t="s">
        <v>917</v>
      </c>
      <c r="S1182">
        <v>39</v>
      </c>
      <c r="T1182" s="29" t="str">
        <f>HYPERLINK("https://ictv.global/ictv/proposals/2023.055B.Rogunavirinae_2ns_1ng.zip","2023.055B.Rogunavirinae_2ns_1ng.zip")</f>
        <v>2023.055B.Rogunavirinae_2ns_1ng.zip</v>
      </c>
      <c r="U1182" s="29" t="str">
        <f>HYPERLINK("https://ictv.global/taxonomy/taxondetails?taxnode_id=202319249","ictv.global=202319249")</f>
        <v>ictv.global=202319249</v>
      </c>
    </row>
    <row r="1183" spans="1:21">
      <c r="A1183">
        <v>1182</v>
      </c>
      <c r="B1183" s="30" t="s">
        <v>1587</v>
      </c>
      <c r="D1183" s="30" t="s">
        <v>1588</v>
      </c>
      <c r="F1183" s="30" t="s">
        <v>1591</v>
      </c>
      <c r="H1183" s="30" t="s">
        <v>1592</v>
      </c>
      <c r="L1183" s="30" t="s">
        <v>1757</v>
      </c>
      <c r="M1183" s="30" t="s">
        <v>1762</v>
      </c>
      <c r="N1183" s="30" t="s">
        <v>1449</v>
      </c>
      <c r="P1183" s="30" t="s">
        <v>4983</v>
      </c>
      <c r="Q1183" t="s">
        <v>619</v>
      </c>
      <c r="R1183" t="s">
        <v>918</v>
      </c>
      <c r="S1183">
        <v>37</v>
      </c>
      <c r="T1183" s="29" t="str">
        <f t="shared" ref="T1183:T1188" si="51">HYPERLINK("https://ictv.global/ictv/proposals/2021.010B.R.Binomial_names.zip","2021.010B.R.Binomial_names.zip")</f>
        <v>2021.010B.R.Binomial_names.zip</v>
      </c>
      <c r="U1183" s="29" t="str">
        <f>HYPERLINK("https://ictv.global/taxonomy/taxondetails?taxnode_id=202300815","ictv.global=202300815")</f>
        <v>ictv.global=202300815</v>
      </c>
    </row>
    <row r="1184" spans="1:21">
      <c r="A1184">
        <v>1183</v>
      </c>
      <c r="B1184" s="30" t="s">
        <v>1587</v>
      </c>
      <c r="D1184" s="30" t="s">
        <v>1588</v>
      </c>
      <c r="F1184" s="30" t="s">
        <v>1591</v>
      </c>
      <c r="H1184" s="30" t="s">
        <v>1592</v>
      </c>
      <c r="L1184" s="30" t="s">
        <v>1757</v>
      </c>
      <c r="M1184" s="30" t="s">
        <v>1762</v>
      </c>
      <c r="N1184" s="30" t="s">
        <v>1449</v>
      </c>
      <c r="P1184" s="30" t="s">
        <v>4984</v>
      </c>
      <c r="Q1184" t="s">
        <v>619</v>
      </c>
      <c r="R1184" t="s">
        <v>918</v>
      </c>
      <c r="S1184">
        <v>37</v>
      </c>
      <c r="T1184" s="29" t="str">
        <f t="shared" si="51"/>
        <v>2021.010B.R.Binomial_names.zip</v>
      </c>
      <c r="U1184" s="29" t="str">
        <f>HYPERLINK("https://ictv.global/taxonomy/taxondetails?taxnode_id=202300816","ictv.global=202300816")</f>
        <v>ictv.global=202300816</v>
      </c>
    </row>
    <row r="1185" spans="1:21">
      <c r="A1185">
        <v>1184</v>
      </c>
      <c r="B1185" s="30" t="s">
        <v>1587</v>
      </c>
      <c r="D1185" s="30" t="s">
        <v>1588</v>
      </c>
      <c r="F1185" s="30" t="s">
        <v>1591</v>
      </c>
      <c r="H1185" s="30" t="s">
        <v>1592</v>
      </c>
      <c r="L1185" s="30" t="s">
        <v>1757</v>
      </c>
      <c r="M1185" s="30" t="s">
        <v>1762</v>
      </c>
      <c r="N1185" s="30" t="s">
        <v>1449</v>
      </c>
      <c r="P1185" s="30" t="s">
        <v>4985</v>
      </c>
      <c r="Q1185" t="s">
        <v>619</v>
      </c>
      <c r="R1185" t="s">
        <v>918</v>
      </c>
      <c r="S1185">
        <v>37</v>
      </c>
      <c r="T1185" s="29" t="str">
        <f t="shared" si="51"/>
        <v>2021.010B.R.Binomial_names.zip</v>
      </c>
      <c r="U1185" s="29" t="str">
        <f>HYPERLINK("https://ictv.global/taxonomy/taxondetails?taxnode_id=202300818","ictv.global=202300818")</f>
        <v>ictv.global=202300818</v>
      </c>
    </row>
    <row r="1186" spans="1:21">
      <c r="A1186">
        <v>1185</v>
      </c>
      <c r="B1186" s="30" t="s">
        <v>1587</v>
      </c>
      <c r="D1186" s="30" t="s">
        <v>1588</v>
      </c>
      <c r="F1186" s="30" t="s">
        <v>1591</v>
      </c>
      <c r="H1186" s="30" t="s">
        <v>1592</v>
      </c>
      <c r="L1186" s="30" t="s">
        <v>1757</v>
      </c>
      <c r="M1186" s="30" t="s">
        <v>1762</v>
      </c>
      <c r="N1186" s="30" t="s">
        <v>1449</v>
      </c>
      <c r="P1186" s="30" t="s">
        <v>4986</v>
      </c>
      <c r="Q1186" t="s">
        <v>619</v>
      </c>
      <c r="R1186" t="s">
        <v>918</v>
      </c>
      <c r="S1186">
        <v>37</v>
      </c>
      <c r="T1186" s="29" t="str">
        <f t="shared" si="51"/>
        <v>2021.010B.R.Binomial_names.zip</v>
      </c>
      <c r="U1186" s="29" t="str">
        <f>HYPERLINK("https://ictv.global/taxonomy/taxondetails?taxnode_id=202308152","ictv.global=202308152")</f>
        <v>ictv.global=202308152</v>
      </c>
    </row>
    <row r="1187" spans="1:21">
      <c r="A1187">
        <v>1186</v>
      </c>
      <c r="B1187" s="30" t="s">
        <v>1587</v>
      </c>
      <c r="D1187" s="30" t="s">
        <v>1588</v>
      </c>
      <c r="F1187" s="30" t="s">
        <v>1591</v>
      </c>
      <c r="H1187" s="30" t="s">
        <v>1592</v>
      </c>
      <c r="L1187" s="30" t="s">
        <v>1757</v>
      </c>
      <c r="M1187" s="30" t="s">
        <v>1762</v>
      </c>
      <c r="N1187" s="30" t="s">
        <v>1449</v>
      </c>
      <c r="P1187" s="30" t="s">
        <v>4987</v>
      </c>
      <c r="Q1187" t="s">
        <v>619</v>
      </c>
      <c r="R1187" t="s">
        <v>918</v>
      </c>
      <c r="S1187">
        <v>37</v>
      </c>
      <c r="T1187" s="29" t="str">
        <f t="shared" si="51"/>
        <v>2021.010B.R.Binomial_names.zip</v>
      </c>
      <c r="U1187" s="29" t="str">
        <f>HYPERLINK("https://ictv.global/taxonomy/taxondetails?taxnode_id=202300819","ictv.global=202300819")</f>
        <v>ictv.global=202300819</v>
      </c>
    </row>
    <row r="1188" spans="1:21">
      <c r="A1188">
        <v>1187</v>
      </c>
      <c r="B1188" s="30" t="s">
        <v>1587</v>
      </c>
      <c r="D1188" s="30" t="s">
        <v>1588</v>
      </c>
      <c r="F1188" s="30" t="s">
        <v>1591</v>
      </c>
      <c r="H1188" s="30" t="s">
        <v>1592</v>
      </c>
      <c r="L1188" s="30" t="s">
        <v>1757</v>
      </c>
      <c r="M1188" s="30" t="s">
        <v>1762</v>
      </c>
      <c r="N1188" s="30" t="s">
        <v>1449</v>
      </c>
      <c r="P1188" s="30" t="s">
        <v>4988</v>
      </c>
      <c r="Q1188" t="s">
        <v>619</v>
      </c>
      <c r="R1188" t="s">
        <v>918</v>
      </c>
      <c r="S1188">
        <v>37</v>
      </c>
      <c r="T1188" s="29" t="str">
        <f t="shared" si="51"/>
        <v>2021.010B.R.Binomial_names.zip</v>
      </c>
      <c r="U1188" s="29" t="str">
        <f>HYPERLINK("https://ictv.global/taxonomy/taxondetails?taxnode_id=202300820","ictv.global=202300820")</f>
        <v>ictv.global=202300820</v>
      </c>
    </row>
    <row r="1189" spans="1:21">
      <c r="A1189">
        <v>1188</v>
      </c>
      <c r="B1189" s="30" t="s">
        <v>1587</v>
      </c>
      <c r="D1189" s="30" t="s">
        <v>1588</v>
      </c>
      <c r="F1189" s="30" t="s">
        <v>1591</v>
      </c>
      <c r="H1189" s="30" t="s">
        <v>1592</v>
      </c>
      <c r="L1189" s="30" t="s">
        <v>1757</v>
      </c>
      <c r="M1189" s="30" t="s">
        <v>1762</v>
      </c>
      <c r="N1189" s="30" t="s">
        <v>1449</v>
      </c>
      <c r="P1189" s="30" t="s">
        <v>11933</v>
      </c>
      <c r="Q1189" t="s">
        <v>619</v>
      </c>
      <c r="R1189" t="s">
        <v>917</v>
      </c>
      <c r="S1189">
        <v>39</v>
      </c>
      <c r="T1189" s="29" t="str">
        <f>HYPERLINK("https://ictv.global/ictv/proposals/2023.055B.Rogunavirinae_2ns_1ng.zip","2023.055B.Rogunavirinae_2ns_1ng.zip")</f>
        <v>2023.055B.Rogunavirinae_2ns_1ng.zip</v>
      </c>
      <c r="U1189" s="29" t="str">
        <f>HYPERLINK("https://ictv.global/taxonomy/taxondetails?taxnode_id=202319250","ictv.global=202319250")</f>
        <v>ictv.global=202319250</v>
      </c>
    </row>
    <row r="1190" spans="1:21">
      <c r="A1190">
        <v>1189</v>
      </c>
      <c r="B1190" s="30" t="s">
        <v>1587</v>
      </c>
      <c r="D1190" s="30" t="s">
        <v>1588</v>
      </c>
      <c r="F1190" s="30" t="s">
        <v>1591</v>
      </c>
      <c r="H1190" s="30" t="s">
        <v>1592</v>
      </c>
      <c r="L1190" s="30" t="s">
        <v>1757</v>
      </c>
      <c r="M1190" s="30" t="s">
        <v>1762</v>
      </c>
      <c r="N1190" s="30" t="s">
        <v>11934</v>
      </c>
      <c r="P1190" s="30" t="s">
        <v>11935</v>
      </c>
      <c r="Q1190" t="s">
        <v>619</v>
      </c>
      <c r="R1190" t="s">
        <v>917</v>
      </c>
      <c r="S1190">
        <v>39</v>
      </c>
      <c r="T1190" s="29" t="str">
        <f>HYPERLINK("https://ictv.global/ictv/proposals/2023.055B.Rogunavirinae_2ns_1ng.zip","2023.055B.Rogunavirinae_2ns_1ng.zip")</f>
        <v>2023.055B.Rogunavirinae_2ns_1ng.zip</v>
      </c>
      <c r="U1190" s="29" t="str">
        <f>HYPERLINK("https://ictv.global/taxonomy/taxondetails?taxnode_id=202319251","ictv.global=202319251")</f>
        <v>ictv.global=202319251</v>
      </c>
    </row>
    <row r="1191" spans="1:21">
      <c r="A1191">
        <v>1190</v>
      </c>
      <c r="B1191" s="30" t="s">
        <v>1587</v>
      </c>
      <c r="D1191" s="30" t="s">
        <v>1588</v>
      </c>
      <c r="F1191" s="30" t="s">
        <v>1591</v>
      </c>
      <c r="H1191" s="30" t="s">
        <v>1592</v>
      </c>
      <c r="L1191" s="30" t="s">
        <v>1757</v>
      </c>
      <c r="M1191" s="30" t="s">
        <v>1762</v>
      </c>
      <c r="N1191" s="30" t="s">
        <v>1765</v>
      </c>
      <c r="P1191" s="30" t="s">
        <v>4989</v>
      </c>
      <c r="Q1191" t="s">
        <v>619</v>
      </c>
      <c r="R1191" t="s">
        <v>918</v>
      </c>
      <c r="S1191">
        <v>37</v>
      </c>
      <c r="T1191" s="29" t="str">
        <f>HYPERLINK("https://ictv.global/ictv/proposals/2021.010B.R.Binomial_names.zip","2021.010B.R.Binomial_names.zip")</f>
        <v>2021.010B.R.Binomial_names.zip</v>
      </c>
      <c r="U1191" s="29" t="str">
        <f>HYPERLINK("https://ictv.global/taxonomy/taxondetails?taxnode_id=202308156","ictv.global=202308156")</f>
        <v>ictv.global=202308156</v>
      </c>
    </row>
    <row r="1192" spans="1:21">
      <c r="A1192">
        <v>1191</v>
      </c>
      <c r="B1192" s="30" t="s">
        <v>1587</v>
      </c>
      <c r="D1192" s="30" t="s">
        <v>1588</v>
      </c>
      <c r="F1192" s="30" t="s">
        <v>1591</v>
      </c>
      <c r="H1192" s="30" t="s">
        <v>1592</v>
      </c>
      <c r="L1192" s="30" t="s">
        <v>1757</v>
      </c>
      <c r="M1192" s="30" t="s">
        <v>1766</v>
      </c>
      <c r="N1192" s="30" t="s">
        <v>11936</v>
      </c>
      <c r="P1192" s="30" t="s">
        <v>11937</v>
      </c>
      <c r="Q1192" t="s">
        <v>619</v>
      </c>
      <c r="R1192" t="s">
        <v>918</v>
      </c>
      <c r="S1192">
        <v>39</v>
      </c>
      <c r="T1192" s="29" t="str">
        <f>HYPERLINK("https://ictv.global/ictv/proposals/2023.065B.Tempevirinae_4ng_33ns.zip","2023.065B.Tempevirinae_4ng_33ns.zip")</f>
        <v>2023.065B.Tempevirinae_4ng_33ns.zip</v>
      </c>
      <c r="U1192" s="29" t="str">
        <f>HYPERLINK("https://ictv.global/taxonomy/taxondetails?taxnode_id=202309975","ictv.global=202309975")</f>
        <v>ictv.global=202309975</v>
      </c>
    </row>
    <row r="1193" spans="1:21">
      <c r="A1193">
        <v>1192</v>
      </c>
      <c r="B1193" s="30" t="s">
        <v>1587</v>
      </c>
      <c r="D1193" s="30" t="s">
        <v>1588</v>
      </c>
      <c r="F1193" s="30" t="s">
        <v>1591</v>
      </c>
      <c r="H1193" s="30" t="s">
        <v>1592</v>
      </c>
      <c r="L1193" s="30" t="s">
        <v>1757</v>
      </c>
      <c r="M1193" s="30" t="s">
        <v>1766</v>
      </c>
      <c r="N1193" s="30" t="s">
        <v>2215</v>
      </c>
      <c r="P1193" s="30" t="s">
        <v>11938</v>
      </c>
      <c r="Q1193" t="s">
        <v>619</v>
      </c>
      <c r="R1193" t="s">
        <v>917</v>
      </c>
      <c r="S1193">
        <v>39</v>
      </c>
      <c r="T1193" s="29" t="str">
        <f>HYPERLINK("https://ictv.global/ictv/proposals/2023.065B.Tempevirinae_4ng_33ns.zip","2023.065B.Tempevirinae_4ng_33ns.zip")</f>
        <v>2023.065B.Tempevirinae_4ng_33ns.zip</v>
      </c>
      <c r="U1193" s="29" t="str">
        <f>HYPERLINK("https://ictv.global/taxonomy/taxondetails?taxnode_id=202319341","ictv.global=202319341")</f>
        <v>ictv.global=202319341</v>
      </c>
    </row>
    <row r="1194" spans="1:21">
      <c r="A1194">
        <v>1193</v>
      </c>
      <c r="B1194" s="30" t="s">
        <v>1587</v>
      </c>
      <c r="D1194" s="30" t="s">
        <v>1588</v>
      </c>
      <c r="F1194" s="30" t="s">
        <v>1591</v>
      </c>
      <c r="H1194" s="30" t="s">
        <v>1592</v>
      </c>
      <c r="L1194" s="30" t="s">
        <v>1757</v>
      </c>
      <c r="M1194" s="30" t="s">
        <v>1766</v>
      </c>
      <c r="N1194" s="30" t="s">
        <v>2215</v>
      </c>
      <c r="P1194" s="30" t="s">
        <v>4990</v>
      </c>
      <c r="Q1194" t="s">
        <v>619</v>
      </c>
      <c r="R1194" t="s">
        <v>918</v>
      </c>
      <c r="S1194">
        <v>37</v>
      </c>
      <c r="T1194" s="29" t="str">
        <f>HYPERLINK("https://ictv.global/ictv/proposals/2021.010B.R.Binomial_names.zip","2021.010B.R.Binomial_names.zip")</f>
        <v>2021.010B.R.Binomial_names.zip</v>
      </c>
      <c r="U1194" s="29" t="str">
        <f>HYPERLINK("https://ictv.global/taxonomy/taxondetails?taxnode_id=202309974","ictv.global=202309974")</f>
        <v>ictv.global=202309974</v>
      </c>
    </row>
    <row r="1195" spans="1:21">
      <c r="A1195">
        <v>1194</v>
      </c>
      <c r="B1195" s="30" t="s">
        <v>1587</v>
      </c>
      <c r="D1195" s="30" t="s">
        <v>1588</v>
      </c>
      <c r="F1195" s="30" t="s">
        <v>1591</v>
      </c>
      <c r="H1195" s="30" t="s">
        <v>1592</v>
      </c>
      <c r="L1195" s="30" t="s">
        <v>1757</v>
      </c>
      <c r="M1195" s="30" t="s">
        <v>1766</v>
      </c>
      <c r="N1195" s="30" t="s">
        <v>1448</v>
      </c>
      <c r="P1195" s="30" t="s">
        <v>4991</v>
      </c>
      <c r="Q1195" t="s">
        <v>619</v>
      </c>
      <c r="R1195" t="s">
        <v>918</v>
      </c>
      <c r="S1195">
        <v>37</v>
      </c>
      <c r="T1195" s="29" t="str">
        <f>HYPERLINK("https://ictv.global/ictv/proposals/2021.010B.R.Binomial_names.zip","2021.010B.R.Binomial_names.zip")</f>
        <v>2021.010B.R.Binomial_names.zip</v>
      </c>
      <c r="U1195" s="29" t="str">
        <f>HYPERLINK("https://ictv.global/taxonomy/taxondetails?taxnode_id=202310090","ictv.global=202310090")</f>
        <v>ictv.global=202310090</v>
      </c>
    </row>
    <row r="1196" spans="1:21">
      <c r="A1196">
        <v>1195</v>
      </c>
      <c r="B1196" s="30" t="s">
        <v>1587</v>
      </c>
      <c r="D1196" s="30" t="s">
        <v>1588</v>
      </c>
      <c r="F1196" s="30" t="s">
        <v>1591</v>
      </c>
      <c r="H1196" s="30" t="s">
        <v>1592</v>
      </c>
      <c r="L1196" s="30" t="s">
        <v>1757</v>
      </c>
      <c r="M1196" s="30" t="s">
        <v>1766</v>
      </c>
      <c r="N1196" s="30" t="s">
        <v>1448</v>
      </c>
      <c r="P1196" s="30" t="s">
        <v>4992</v>
      </c>
      <c r="Q1196" t="s">
        <v>619</v>
      </c>
      <c r="R1196" t="s">
        <v>918</v>
      </c>
      <c r="S1196">
        <v>37</v>
      </c>
      <c r="T1196" s="29" t="str">
        <f>HYPERLINK("https://ictv.global/ictv/proposals/2021.010B.R.Binomial_names.zip","2021.010B.R.Binomial_names.zip")</f>
        <v>2021.010B.R.Binomial_names.zip</v>
      </c>
      <c r="U1196" s="29" t="str">
        <f>HYPERLINK("https://ictv.global/taxonomy/taxondetails?taxnode_id=202310087","ictv.global=202310087")</f>
        <v>ictv.global=202310087</v>
      </c>
    </row>
    <row r="1197" spans="1:21">
      <c r="A1197">
        <v>1196</v>
      </c>
      <c r="B1197" s="30" t="s">
        <v>1587</v>
      </c>
      <c r="D1197" s="30" t="s">
        <v>1588</v>
      </c>
      <c r="F1197" s="30" t="s">
        <v>1591</v>
      </c>
      <c r="H1197" s="30" t="s">
        <v>1592</v>
      </c>
      <c r="L1197" s="30" t="s">
        <v>1757</v>
      </c>
      <c r="M1197" s="30" t="s">
        <v>1766</v>
      </c>
      <c r="N1197" s="30" t="s">
        <v>1448</v>
      </c>
      <c r="P1197" s="30" t="s">
        <v>4993</v>
      </c>
      <c r="Q1197" t="s">
        <v>619</v>
      </c>
      <c r="R1197" t="s">
        <v>918</v>
      </c>
      <c r="S1197">
        <v>37</v>
      </c>
      <c r="T1197" s="29" t="str">
        <f>HYPERLINK("https://ictv.global/ictv/proposals/2021.010B.R.Binomial_names.zip","2021.010B.R.Binomial_names.zip")</f>
        <v>2021.010B.R.Binomial_names.zip</v>
      </c>
      <c r="U1197" s="29" t="str">
        <f>HYPERLINK("https://ictv.global/taxonomy/taxondetails?taxnode_id=202310088","ictv.global=202310088")</f>
        <v>ictv.global=202310088</v>
      </c>
    </row>
    <row r="1198" spans="1:21">
      <c r="A1198">
        <v>1197</v>
      </c>
      <c r="B1198" s="30" t="s">
        <v>1587</v>
      </c>
      <c r="D1198" s="30" t="s">
        <v>1588</v>
      </c>
      <c r="F1198" s="30" t="s">
        <v>1591</v>
      </c>
      <c r="H1198" s="30" t="s">
        <v>1592</v>
      </c>
      <c r="L1198" s="30" t="s">
        <v>1757</v>
      </c>
      <c r="M1198" s="30" t="s">
        <v>1766</v>
      </c>
      <c r="N1198" s="30" t="s">
        <v>1448</v>
      </c>
      <c r="P1198" s="30" t="s">
        <v>11939</v>
      </c>
      <c r="Q1198" t="s">
        <v>619</v>
      </c>
      <c r="R1198" t="s">
        <v>917</v>
      </c>
      <c r="S1198">
        <v>39</v>
      </c>
      <c r="T1198" s="29" t="str">
        <f>HYPERLINK("https://ictv.global/ictv/proposals/2023.065B.Tempevirinae_4ng_33ns.zip","2023.065B.Tempevirinae_4ng_33ns.zip")</f>
        <v>2023.065B.Tempevirinae_4ng_33ns.zip</v>
      </c>
      <c r="U1198" s="29" t="str">
        <f>HYPERLINK("https://ictv.global/taxonomy/taxondetails?taxnode_id=202319329","ictv.global=202319329")</f>
        <v>ictv.global=202319329</v>
      </c>
    </row>
    <row r="1199" spans="1:21">
      <c r="A1199">
        <v>1198</v>
      </c>
      <c r="B1199" s="30" t="s">
        <v>1587</v>
      </c>
      <c r="D1199" s="30" t="s">
        <v>1588</v>
      </c>
      <c r="F1199" s="30" t="s">
        <v>1591</v>
      </c>
      <c r="H1199" s="30" t="s">
        <v>1592</v>
      </c>
      <c r="L1199" s="30" t="s">
        <v>1757</v>
      </c>
      <c r="M1199" s="30" t="s">
        <v>1766</v>
      </c>
      <c r="N1199" s="30" t="s">
        <v>1448</v>
      </c>
      <c r="P1199" s="30" t="s">
        <v>4994</v>
      </c>
      <c r="Q1199" t="s">
        <v>619</v>
      </c>
      <c r="R1199" t="s">
        <v>918</v>
      </c>
      <c r="S1199">
        <v>37</v>
      </c>
      <c r="T1199" s="29" t="str">
        <f>HYPERLINK("https://ictv.global/ictv/proposals/2021.010B.R.Binomial_names.zip","2021.010B.R.Binomial_names.zip")</f>
        <v>2021.010B.R.Binomial_names.zip</v>
      </c>
      <c r="U1199" s="29" t="str">
        <f>HYPERLINK("https://ictv.global/taxonomy/taxondetails?taxnode_id=202310084","ictv.global=202310084")</f>
        <v>ictv.global=202310084</v>
      </c>
    </row>
    <row r="1200" spans="1:21">
      <c r="A1200">
        <v>1199</v>
      </c>
      <c r="B1200" s="30" t="s">
        <v>1587</v>
      </c>
      <c r="D1200" s="30" t="s">
        <v>1588</v>
      </c>
      <c r="F1200" s="30" t="s">
        <v>1591</v>
      </c>
      <c r="H1200" s="30" t="s">
        <v>1592</v>
      </c>
      <c r="L1200" s="30" t="s">
        <v>1757</v>
      </c>
      <c r="M1200" s="30" t="s">
        <v>1766</v>
      </c>
      <c r="N1200" s="30" t="s">
        <v>1448</v>
      </c>
      <c r="P1200" s="30" t="s">
        <v>11940</v>
      </c>
      <c r="Q1200" t="s">
        <v>619</v>
      </c>
      <c r="R1200" t="s">
        <v>917</v>
      </c>
      <c r="S1200">
        <v>39</v>
      </c>
      <c r="T1200" s="29" t="str">
        <f>HYPERLINK("https://ictv.global/ictv/proposals/2023.065B.Tempevirinae_4ng_33ns.zip","2023.065B.Tempevirinae_4ng_33ns.zip")</f>
        <v>2023.065B.Tempevirinae_4ng_33ns.zip</v>
      </c>
      <c r="U1200" s="29" t="str">
        <f>HYPERLINK("https://ictv.global/taxonomy/taxondetails?taxnode_id=202319331","ictv.global=202319331")</f>
        <v>ictv.global=202319331</v>
      </c>
    </row>
    <row r="1201" spans="1:21">
      <c r="A1201">
        <v>1200</v>
      </c>
      <c r="B1201" s="30" t="s">
        <v>1587</v>
      </c>
      <c r="D1201" s="30" t="s">
        <v>1588</v>
      </c>
      <c r="F1201" s="30" t="s">
        <v>1591</v>
      </c>
      <c r="H1201" s="30" t="s">
        <v>1592</v>
      </c>
      <c r="L1201" s="30" t="s">
        <v>1757</v>
      </c>
      <c r="M1201" s="30" t="s">
        <v>1766</v>
      </c>
      <c r="N1201" s="30" t="s">
        <v>1448</v>
      </c>
      <c r="P1201" s="30" t="s">
        <v>4995</v>
      </c>
      <c r="Q1201" t="s">
        <v>619</v>
      </c>
      <c r="R1201" t="s">
        <v>918</v>
      </c>
      <c r="S1201">
        <v>37</v>
      </c>
      <c r="T1201" s="29" t="str">
        <f t="shared" ref="T1201:T1206" si="52">HYPERLINK("https://ictv.global/ictv/proposals/2021.010B.R.Binomial_names.zip","2021.010B.R.Binomial_names.zip")</f>
        <v>2021.010B.R.Binomial_names.zip</v>
      </c>
      <c r="U1201" s="29" t="str">
        <f>HYPERLINK("https://ictv.global/taxonomy/taxondetails?taxnode_id=202310081","ictv.global=202310081")</f>
        <v>ictv.global=202310081</v>
      </c>
    </row>
    <row r="1202" spans="1:21">
      <c r="A1202">
        <v>1201</v>
      </c>
      <c r="B1202" s="30" t="s">
        <v>1587</v>
      </c>
      <c r="D1202" s="30" t="s">
        <v>1588</v>
      </c>
      <c r="F1202" s="30" t="s">
        <v>1591</v>
      </c>
      <c r="H1202" s="30" t="s">
        <v>1592</v>
      </c>
      <c r="L1202" s="30" t="s">
        <v>1757</v>
      </c>
      <c r="M1202" s="30" t="s">
        <v>1766</v>
      </c>
      <c r="N1202" s="30" t="s">
        <v>1448</v>
      </c>
      <c r="P1202" s="30" t="s">
        <v>4996</v>
      </c>
      <c r="Q1202" t="s">
        <v>619</v>
      </c>
      <c r="R1202" t="s">
        <v>918</v>
      </c>
      <c r="S1202">
        <v>37</v>
      </c>
      <c r="T1202" s="29" t="str">
        <f t="shared" si="52"/>
        <v>2021.010B.R.Binomial_names.zip</v>
      </c>
      <c r="U1202" s="29" t="str">
        <f>HYPERLINK("https://ictv.global/taxonomy/taxondetails?taxnode_id=202310086","ictv.global=202310086")</f>
        <v>ictv.global=202310086</v>
      </c>
    </row>
    <row r="1203" spans="1:21">
      <c r="A1203">
        <v>1202</v>
      </c>
      <c r="B1203" s="30" t="s">
        <v>1587</v>
      </c>
      <c r="D1203" s="30" t="s">
        <v>1588</v>
      </c>
      <c r="F1203" s="30" t="s">
        <v>1591</v>
      </c>
      <c r="H1203" s="30" t="s">
        <v>1592</v>
      </c>
      <c r="L1203" s="30" t="s">
        <v>1757</v>
      </c>
      <c r="M1203" s="30" t="s">
        <v>1766</v>
      </c>
      <c r="N1203" s="30" t="s">
        <v>1448</v>
      </c>
      <c r="P1203" s="30" t="s">
        <v>4997</v>
      </c>
      <c r="Q1203" t="s">
        <v>619</v>
      </c>
      <c r="R1203" t="s">
        <v>918</v>
      </c>
      <c r="S1203">
        <v>37</v>
      </c>
      <c r="T1203" s="29" t="str">
        <f t="shared" si="52"/>
        <v>2021.010B.R.Binomial_names.zip</v>
      </c>
      <c r="U1203" s="29" t="str">
        <f>HYPERLINK("https://ictv.global/taxonomy/taxondetails?taxnode_id=202310089","ictv.global=202310089")</f>
        <v>ictv.global=202310089</v>
      </c>
    </row>
    <row r="1204" spans="1:21">
      <c r="A1204">
        <v>1203</v>
      </c>
      <c r="B1204" s="30" t="s">
        <v>1587</v>
      </c>
      <c r="D1204" s="30" t="s">
        <v>1588</v>
      </c>
      <c r="F1204" s="30" t="s">
        <v>1591</v>
      </c>
      <c r="H1204" s="30" t="s">
        <v>1592</v>
      </c>
      <c r="L1204" s="30" t="s">
        <v>1757</v>
      </c>
      <c r="M1204" s="30" t="s">
        <v>1766</v>
      </c>
      <c r="N1204" s="30" t="s">
        <v>1448</v>
      </c>
      <c r="P1204" s="30" t="s">
        <v>4998</v>
      </c>
      <c r="Q1204" t="s">
        <v>619</v>
      </c>
      <c r="R1204" t="s">
        <v>918</v>
      </c>
      <c r="S1204">
        <v>37</v>
      </c>
      <c r="T1204" s="29" t="str">
        <f t="shared" si="52"/>
        <v>2021.010B.R.Binomial_names.zip</v>
      </c>
      <c r="U1204" s="29" t="str">
        <f>HYPERLINK("https://ictv.global/taxonomy/taxondetails?taxnode_id=202310085","ictv.global=202310085")</f>
        <v>ictv.global=202310085</v>
      </c>
    </row>
    <row r="1205" spans="1:21">
      <c r="A1205">
        <v>1204</v>
      </c>
      <c r="B1205" s="30" t="s">
        <v>1587</v>
      </c>
      <c r="D1205" s="30" t="s">
        <v>1588</v>
      </c>
      <c r="F1205" s="30" t="s">
        <v>1591</v>
      </c>
      <c r="H1205" s="30" t="s">
        <v>1592</v>
      </c>
      <c r="L1205" s="30" t="s">
        <v>1757</v>
      </c>
      <c r="M1205" s="30" t="s">
        <v>1766</v>
      </c>
      <c r="N1205" s="30" t="s">
        <v>1448</v>
      </c>
      <c r="P1205" s="30" t="s">
        <v>4999</v>
      </c>
      <c r="Q1205" t="s">
        <v>619</v>
      </c>
      <c r="R1205" t="s">
        <v>918</v>
      </c>
      <c r="S1205">
        <v>37</v>
      </c>
      <c r="T1205" s="29" t="str">
        <f t="shared" si="52"/>
        <v>2021.010B.R.Binomial_names.zip</v>
      </c>
      <c r="U1205" s="29" t="str">
        <f>HYPERLINK("https://ictv.global/taxonomy/taxondetails?taxnode_id=202310082","ictv.global=202310082")</f>
        <v>ictv.global=202310082</v>
      </c>
    </row>
    <row r="1206" spans="1:21">
      <c r="A1206">
        <v>1205</v>
      </c>
      <c r="B1206" s="30" t="s">
        <v>1587</v>
      </c>
      <c r="D1206" s="30" t="s">
        <v>1588</v>
      </c>
      <c r="F1206" s="30" t="s">
        <v>1591</v>
      </c>
      <c r="H1206" s="30" t="s">
        <v>1592</v>
      </c>
      <c r="L1206" s="30" t="s">
        <v>1757</v>
      </c>
      <c r="M1206" s="30" t="s">
        <v>1766</v>
      </c>
      <c r="N1206" s="30" t="s">
        <v>1448</v>
      </c>
      <c r="P1206" s="30" t="s">
        <v>5000</v>
      </c>
      <c r="Q1206" t="s">
        <v>619</v>
      </c>
      <c r="R1206" t="s">
        <v>918</v>
      </c>
      <c r="S1206">
        <v>37</v>
      </c>
      <c r="T1206" s="29" t="str">
        <f t="shared" si="52"/>
        <v>2021.010B.R.Binomial_names.zip</v>
      </c>
      <c r="U1206" s="29" t="str">
        <f>HYPERLINK("https://ictv.global/taxonomy/taxondetails?taxnode_id=202310079","ictv.global=202310079")</f>
        <v>ictv.global=202310079</v>
      </c>
    </row>
    <row r="1207" spans="1:21">
      <c r="A1207">
        <v>1206</v>
      </c>
      <c r="B1207" s="30" t="s">
        <v>1587</v>
      </c>
      <c r="D1207" s="30" t="s">
        <v>1588</v>
      </c>
      <c r="F1207" s="30" t="s">
        <v>1591</v>
      </c>
      <c r="H1207" s="30" t="s">
        <v>1592</v>
      </c>
      <c r="L1207" s="30" t="s">
        <v>1757</v>
      </c>
      <c r="M1207" s="30" t="s">
        <v>1766</v>
      </c>
      <c r="N1207" s="30" t="s">
        <v>1448</v>
      </c>
      <c r="P1207" s="30" t="s">
        <v>11941</v>
      </c>
      <c r="Q1207" t="s">
        <v>619</v>
      </c>
      <c r="R1207" t="s">
        <v>917</v>
      </c>
      <c r="S1207">
        <v>39</v>
      </c>
      <c r="T1207" s="29" t="str">
        <f>HYPERLINK("https://ictv.global/ictv/proposals/2023.065B.Tempevirinae_4ng_33ns.zip","2023.065B.Tempevirinae_4ng_33ns.zip")</f>
        <v>2023.065B.Tempevirinae_4ng_33ns.zip</v>
      </c>
      <c r="U1207" s="29" t="str">
        <f>HYPERLINK("https://ictv.global/taxonomy/taxondetails?taxnode_id=202319330","ictv.global=202319330")</f>
        <v>ictv.global=202319330</v>
      </c>
    </row>
    <row r="1208" spans="1:21">
      <c r="A1208">
        <v>1207</v>
      </c>
      <c r="B1208" s="30" t="s">
        <v>1587</v>
      </c>
      <c r="D1208" s="30" t="s">
        <v>1588</v>
      </c>
      <c r="F1208" s="30" t="s">
        <v>1591</v>
      </c>
      <c r="H1208" s="30" t="s">
        <v>1592</v>
      </c>
      <c r="L1208" s="30" t="s">
        <v>1757</v>
      </c>
      <c r="M1208" s="30" t="s">
        <v>1766</v>
      </c>
      <c r="N1208" s="30" t="s">
        <v>1448</v>
      </c>
      <c r="P1208" s="30" t="s">
        <v>11942</v>
      </c>
      <c r="Q1208" t="s">
        <v>619</v>
      </c>
      <c r="R1208" t="s">
        <v>917</v>
      </c>
      <c r="S1208">
        <v>39</v>
      </c>
      <c r="T1208" s="29" t="str">
        <f>HYPERLINK("https://ictv.global/ictv/proposals/2023.065B.Tempevirinae_4ng_33ns.zip","2023.065B.Tempevirinae_4ng_33ns.zip")</f>
        <v>2023.065B.Tempevirinae_4ng_33ns.zip</v>
      </c>
      <c r="U1208" s="29" t="str">
        <f>HYPERLINK("https://ictv.global/taxonomy/taxondetails?taxnode_id=202319333","ictv.global=202319333")</f>
        <v>ictv.global=202319333</v>
      </c>
    </row>
    <row r="1209" spans="1:21">
      <c r="A1209">
        <v>1208</v>
      </c>
      <c r="B1209" s="30" t="s">
        <v>1587</v>
      </c>
      <c r="D1209" s="30" t="s">
        <v>1588</v>
      </c>
      <c r="F1209" s="30" t="s">
        <v>1591</v>
      </c>
      <c r="H1209" s="30" t="s">
        <v>1592</v>
      </c>
      <c r="L1209" s="30" t="s">
        <v>1757</v>
      </c>
      <c r="M1209" s="30" t="s">
        <v>1766</v>
      </c>
      <c r="N1209" s="30" t="s">
        <v>1448</v>
      </c>
      <c r="P1209" s="30" t="s">
        <v>11943</v>
      </c>
      <c r="Q1209" t="s">
        <v>619</v>
      </c>
      <c r="R1209" t="s">
        <v>917</v>
      </c>
      <c r="S1209">
        <v>39</v>
      </c>
      <c r="T1209" s="29" t="str">
        <f>HYPERLINK("https://ictv.global/ictv/proposals/2023.065B.Tempevirinae_4ng_33ns.zip","2023.065B.Tempevirinae_4ng_33ns.zip")</f>
        <v>2023.065B.Tempevirinae_4ng_33ns.zip</v>
      </c>
      <c r="U1209" s="29" t="str">
        <f>HYPERLINK("https://ictv.global/taxonomy/taxondetails?taxnode_id=202319332","ictv.global=202319332")</f>
        <v>ictv.global=202319332</v>
      </c>
    </row>
    <row r="1210" spans="1:21">
      <c r="A1210">
        <v>1209</v>
      </c>
      <c r="B1210" s="30" t="s">
        <v>1587</v>
      </c>
      <c r="D1210" s="30" t="s">
        <v>1588</v>
      </c>
      <c r="F1210" s="30" t="s">
        <v>1591</v>
      </c>
      <c r="H1210" s="30" t="s">
        <v>1592</v>
      </c>
      <c r="L1210" s="30" t="s">
        <v>1757</v>
      </c>
      <c r="M1210" s="30" t="s">
        <v>1766</v>
      </c>
      <c r="N1210" s="30" t="s">
        <v>1448</v>
      </c>
      <c r="P1210" s="30" t="s">
        <v>5001</v>
      </c>
      <c r="Q1210" t="s">
        <v>619</v>
      </c>
      <c r="R1210" t="s">
        <v>918</v>
      </c>
      <c r="S1210">
        <v>37</v>
      </c>
      <c r="T1210" s="29" t="str">
        <f>HYPERLINK("https://ictv.global/ictv/proposals/2021.010B.R.Binomial_names.zip","2021.010B.R.Binomial_names.zip")</f>
        <v>2021.010B.R.Binomial_names.zip</v>
      </c>
      <c r="U1210" s="29" t="str">
        <f>HYPERLINK("https://ictv.global/taxonomy/taxondetails?taxnode_id=202310091","ictv.global=202310091")</f>
        <v>ictv.global=202310091</v>
      </c>
    </row>
    <row r="1211" spans="1:21">
      <c r="A1211">
        <v>1210</v>
      </c>
      <c r="B1211" s="30" t="s">
        <v>1587</v>
      </c>
      <c r="D1211" s="30" t="s">
        <v>1588</v>
      </c>
      <c r="F1211" s="30" t="s">
        <v>1591</v>
      </c>
      <c r="H1211" s="30" t="s">
        <v>1592</v>
      </c>
      <c r="L1211" s="30" t="s">
        <v>1757</v>
      </c>
      <c r="M1211" s="30" t="s">
        <v>1766</v>
      </c>
      <c r="N1211" s="30" t="s">
        <v>1448</v>
      </c>
      <c r="P1211" s="30" t="s">
        <v>5002</v>
      </c>
      <c r="Q1211" t="s">
        <v>619</v>
      </c>
      <c r="R1211" t="s">
        <v>918</v>
      </c>
      <c r="S1211">
        <v>37</v>
      </c>
      <c r="T1211" s="29" t="str">
        <f>HYPERLINK("https://ictv.global/ictv/proposals/2021.010B.R.Binomial_names.zip","2021.010B.R.Binomial_names.zip")</f>
        <v>2021.010B.R.Binomial_names.zip</v>
      </c>
      <c r="U1211" s="29" t="str">
        <f>HYPERLINK("https://ictv.global/taxonomy/taxondetails?taxnode_id=202307069","ictv.global=202307069")</f>
        <v>ictv.global=202307069</v>
      </c>
    </row>
    <row r="1212" spans="1:21">
      <c r="A1212">
        <v>1211</v>
      </c>
      <c r="B1212" s="30" t="s">
        <v>1587</v>
      </c>
      <c r="D1212" s="30" t="s">
        <v>1588</v>
      </c>
      <c r="F1212" s="30" t="s">
        <v>1591</v>
      </c>
      <c r="H1212" s="30" t="s">
        <v>1592</v>
      </c>
      <c r="L1212" s="30" t="s">
        <v>1757</v>
      </c>
      <c r="M1212" s="30" t="s">
        <v>1766</v>
      </c>
      <c r="N1212" s="30" t="s">
        <v>1448</v>
      </c>
      <c r="P1212" s="30" t="s">
        <v>11944</v>
      </c>
      <c r="Q1212" t="s">
        <v>619</v>
      </c>
      <c r="R1212" t="s">
        <v>917</v>
      </c>
      <c r="S1212">
        <v>39</v>
      </c>
      <c r="T1212" s="29" t="str">
        <f>HYPERLINK("https://ictv.global/ictv/proposals/2023.065B.Tempevirinae_4ng_33ns.zip","2023.065B.Tempevirinae_4ng_33ns.zip")</f>
        <v>2023.065B.Tempevirinae_4ng_33ns.zip</v>
      </c>
      <c r="U1212" s="29" t="str">
        <f>HYPERLINK("https://ictv.global/taxonomy/taxondetails?taxnode_id=202319334","ictv.global=202319334")</f>
        <v>ictv.global=202319334</v>
      </c>
    </row>
    <row r="1213" spans="1:21">
      <c r="A1213">
        <v>1212</v>
      </c>
      <c r="B1213" s="30" t="s">
        <v>1587</v>
      </c>
      <c r="D1213" s="30" t="s">
        <v>1588</v>
      </c>
      <c r="F1213" s="30" t="s">
        <v>1591</v>
      </c>
      <c r="H1213" s="30" t="s">
        <v>1592</v>
      </c>
      <c r="L1213" s="30" t="s">
        <v>1757</v>
      </c>
      <c r="M1213" s="30" t="s">
        <v>1766</v>
      </c>
      <c r="N1213" s="30" t="s">
        <v>1448</v>
      </c>
      <c r="P1213" s="30" t="s">
        <v>5003</v>
      </c>
      <c r="Q1213" t="s">
        <v>619</v>
      </c>
      <c r="R1213" t="s">
        <v>918</v>
      </c>
      <c r="S1213">
        <v>37</v>
      </c>
      <c r="T1213" s="29" t="str">
        <f>HYPERLINK("https://ictv.global/ictv/proposals/2021.010B.R.Binomial_names.zip","2021.010B.R.Binomial_names.zip")</f>
        <v>2021.010B.R.Binomial_names.zip</v>
      </c>
      <c r="U1213" s="29" t="str">
        <f>HYPERLINK("https://ictv.global/taxonomy/taxondetails?taxnode_id=202310080","ictv.global=202310080")</f>
        <v>ictv.global=202310080</v>
      </c>
    </row>
    <row r="1214" spans="1:21">
      <c r="A1214">
        <v>1213</v>
      </c>
      <c r="B1214" s="30" t="s">
        <v>1587</v>
      </c>
      <c r="D1214" s="30" t="s">
        <v>1588</v>
      </c>
      <c r="F1214" s="30" t="s">
        <v>1591</v>
      </c>
      <c r="H1214" s="30" t="s">
        <v>1592</v>
      </c>
      <c r="L1214" s="30" t="s">
        <v>1757</v>
      </c>
      <c r="M1214" s="30" t="s">
        <v>1766</v>
      </c>
      <c r="N1214" s="30" t="s">
        <v>1448</v>
      </c>
      <c r="P1214" s="30" t="s">
        <v>5004</v>
      </c>
      <c r="Q1214" t="s">
        <v>619</v>
      </c>
      <c r="R1214" t="s">
        <v>918</v>
      </c>
      <c r="S1214">
        <v>37</v>
      </c>
      <c r="T1214" s="29" t="str">
        <f>HYPERLINK("https://ictv.global/ictv/proposals/2021.010B.R.Binomial_names.zip","2021.010B.R.Binomial_names.zip")</f>
        <v>2021.010B.R.Binomial_names.zip</v>
      </c>
      <c r="U1214" s="29" t="str">
        <f>HYPERLINK("https://ictv.global/taxonomy/taxondetails?taxnode_id=202310083","ictv.global=202310083")</f>
        <v>ictv.global=202310083</v>
      </c>
    </row>
    <row r="1215" spans="1:21">
      <c r="A1215">
        <v>1214</v>
      </c>
      <c r="B1215" s="30" t="s">
        <v>1587</v>
      </c>
      <c r="D1215" s="30" t="s">
        <v>1588</v>
      </c>
      <c r="F1215" s="30" t="s">
        <v>1591</v>
      </c>
      <c r="H1215" s="30" t="s">
        <v>1592</v>
      </c>
      <c r="L1215" s="30" t="s">
        <v>1757</v>
      </c>
      <c r="M1215" s="30" t="s">
        <v>1766</v>
      </c>
      <c r="N1215" s="30" t="s">
        <v>2216</v>
      </c>
      <c r="P1215" s="30" t="s">
        <v>5005</v>
      </c>
      <c r="Q1215" t="s">
        <v>619</v>
      </c>
      <c r="R1215" t="s">
        <v>918</v>
      </c>
      <c r="S1215">
        <v>37</v>
      </c>
      <c r="T1215" s="29" t="str">
        <f>HYPERLINK("https://ictv.global/ictv/proposals/2021.010B.R.Binomial_names.zip","2021.010B.R.Binomial_names.zip")</f>
        <v>2021.010B.R.Binomial_names.zip</v>
      </c>
      <c r="U1215" s="29" t="str">
        <f>HYPERLINK("https://ictv.global/taxonomy/taxondetails?taxnode_id=202309972","ictv.global=202309972")</f>
        <v>ictv.global=202309972</v>
      </c>
    </row>
    <row r="1216" spans="1:21">
      <c r="A1216">
        <v>1215</v>
      </c>
      <c r="B1216" s="30" t="s">
        <v>1587</v>
      </c>
      <c r="D1216" s="30" t="s">
        <v>1588</v>
      </c>
      <c r="F1216" s="30" t="s">
        <v>1591</v>
      </c>
      <c r="H1216" s="30" t="s">
        <v>1592</v>
      </c>
      <c r="L1216" s="30" t="s">
        <v>1757</v>
      </c>
      <c r="M1216" s="30" t="s">
        <v>1766</v>
      </c>
      <c r="N1216" s="30" t="s">
        <v>2216</v>
      </c>
      <c r="P1216" s="30" t="s">
        <v>11945</v>
      </c>
      <c r="Q1216" t="s">
        <v>619</v>
      </c>
      <c r="R1216" t="s">
        <v>917</v>
      </c>
      <c r="S1216">
        <v>39</v>
      </c>
      <c r="T1216" s="29" t="str">
        <f t="shared" ref="T1216:T1224" si="53">HYPERLINK("https://ictv.global/ictv/proposals/2023.065B.Tempevirinae_4ng_33ns.zip","2023.065B.Tempevirinae_4ng_33ns.zip")</f>
        <v>2023.065B.Tempevirinae_4ng_33ns.zip</v>
      </c>
      <c r="U1216" s="29" t="str">
        <f>HYPERLINK("https://ictv.global/taxonomy/taxondetails?taxnode_id=202319342","ictv.global=202319342")</f>
        <v>ictv.global=202319342</v>
      </c>
    </row>
    <row r="1217" spans="1:21">
      <c r="A1217">
        <v>1216</v>
      </c>
      <c r="B1217" s="30" t="s">
        <v>1587</v>
      </c>
      <c r="D1217" s="30" t="s">
        <v>1588</v>
      </c>
      <c r="F1217" s="30" t="s">
        <v>1591</v>
      </c>
      <c r="H1217" s="30" t="s">
        <v>1592</v>
      </c>
      <c r="L1217" s="30" t="s">
        <v>1757</v>
      </c>
      <c r="M1217" s="30" t="s">
        <v>1766</v>
      </c>
      <c r="N1217" s="30" t="s">
        <v>2216</v>
      </c>
      <c r="P1217" s="30" t="s">
        <v>11946</v>
      </c>
      <c r="Q1217" t="s">
        <v>619</v>
      </c>
      <c r="R1217" t="s">
        <v>917</v>
      </c>
      <c r="S1217">
        <v>39</v>
      </c>
      <c r="T1217" s="29" t="str">
        <f t="shared" si="53"/>
        <v>2023.065B.Tempevirinae_4ng_33ns.zip</v>
      </c>
      <c r="U1217" s="29" t="str">
        <f>HYPERLINK("https://ictv.global/taxonomy/taxondetails?taxnode_id=202319343","ictv.global=202319343")</f>
        <v>ictv.global=202319343</v>
      </c>
    </row>
    <row r="1218" spans="1:21">
      <c r="A1218">
        <v>1217</v>
      </c>
      <c r="B1218" s="30" t="s">
        <v>1587</v>
      </c>
      <c r="D1218" s="30" t="s">
        <v>1588</v>
      </c>
      <c r="F1218" s="30" t="s">
        <v>1591</v>
      </c>
      <c r="H1218" s="30" t="s">
        <v>1592</v>
      </c>
      <c r="L1218" s="30" t="s">
        <v>1757</v>
      </c>
      <c r="M1218" s="30" t="s">
        <v>1766</v>
      </c>
      <c r="N1218" s="30" t="s">
        <v>2216</v>
      </c>
      <c r="P1218" s="30" t="s">
        <v>11947</v>
      </c>
      <c r="Q1218" t="s">
        <v>619</v>
      </c>
      <c r="R1218" t="s">
        <v>917</v>
      </c>
      <c r="S1218">
        <v>39</v>
      </c>
      <c r="T1218" s="29" t="str">
        <f t="shared" si="53"/>
        <v>2023.065B.Tempevirinae_4ng_33ns.zip</v>
      </c>
      <c r="U1218" s="29" t="str">
        <f>HYPERLINK("https://ictv.global/taxonomy/taxondetails?taxnode_id=202319344","ictv.global=202319344")</f>
        <v>ictv.global=202319344</v>
      </c>
    </row>
    <row r="1219" spans="1:21">
      <c r="A1219">
        <v>1218</v>
      </c>
      <c r="B1219" s="30" t="s">
        <v>1587</v>
      </c>
      <c r="D1219" s="30" t="s">
        <v>1588</v>
      </c>
      <c r="F1219" s="30" t="s">
        <v>1591</v>
      </c>
      <c r="H1219" s="30" t="s">
        <v>1592</v>
      </c>
      <c r="L1219" s="30" t="s">
        <v>1757</v>
      </c>
      <c r="M1219" s="30" t="s">
        <v>1766</v>
      </c>
      <c r="N1219" s="30" t="s">
        <v>11948</v>
      </c>
      <c r="P1219" s="30" t="s">
        <v>11949</v>
      </c>
      <c r="Q1219" t="s">
        <v>619</v>
      </c>
      <c r="R1219" t="s">
        <v>917</v>
      </c>
      <c r="S1219">
        <v>39</v>
      </c>
      <c r="T1219" s="29" t="str">
        <f t="shared" si="53"/>
        <v>2023.065B.Tempevirinae_4ng_33ns.zip</v>
      </c>
      <c r="U1219" s="29" t="str">
        <f>HYPERLINK("https://ictv.global/taxonomy/taxondetails?taxnode_id=202319315","ictv.global=202319315")</f>
        <v>ictv.global=202319315</v>
      </c>
    </row>
    <row r="1220" spans="1:21">
      <c r="A1220">
        <v>1219</v>
      </c>
      <c r="B1220" s="30" t="s">
        <v>1587</v>
      </c>
      <c r="D1220" s="30" t="s">
        <v>1588</v>
      </c>
      <c r="F1220" s="30" t="s">
        <v>1591</v>
      </c>
      <c r="H1220" s="30" t="s">
        <v>1592</v>
      </c>
      <c r="L1220" s="30" t="s">
        <v>1757</v>
      </c>
      <c r="M1220" s="30" t="s">
        <v>1766</v>
      </c>
      <c r="N1220" s="30" t="s">
        <v>11950</v>
      </c>
      <c r="P1220" s="30" t="s">
        <v>11951</v>
      </c>
      <c r="Q1220" t="s">
        <v>619</v>
      </c>
      <c r="R1220" t="s">
        <v>917</v>
      </c>
      <c r="S1220">
        <v>39</v>
      </c>
      <c r="T1220" s="29" t="str">
        <f t="shared" si="53"/>
        <v>2023.065B.Tempevirinae_4ng_33ns.zip</v>
      </c>
      <c r="U1220" s="29" t="str">
        <f>HYPERLINK("https://ictv.global/taxonomy/taxondetails?taxnode_id=202319314","ictv.global=202319314")</f>
        <v>ictv.global=202319314</v>
      </c>
    </row>
    <row r="1221" spans="1:21">
      <c r="A1221">
        <v>1220</v>
      </c>
      <c r="B1221" s="30" t="s">
        <v>1587</v>
      </c>
      <c r="D1221" s="30" t="s">
        <v>1588</v>
      </c>
      <c r="F1221" s="30" t="s">
        <v>1591</v>
      </c>
      <c r="H1221" s="30" t="s">
        <v>1592</v>
      </c>
      <c r="L1221" s="30" t="s">
        <v>1757</v>
      </c>
      <c r="M1221" s="30" t="s">
        <v>1766</v>
      </c>
      <c r="N1221" s="30" t="s">
        <v>11952</v>
      </c>
      <c r="P1221" s="30" t="s">
        <v>11953</v>
      </c>
      <c r="Q1221" t="s">
        <v>619</v>
      </c>
      <c r="R1221" t="s">
        <v>917</v>
      </c>
      <c r="S1221">
        <v>39</v>
      </c>
      <c r="T1221" s="29" t="str">
        <f t="shared" si="53"/>
        <v>2023.065B.Tempevirinae_4ng_33ns.zip</v>
      </c>
      <c r="U1221" s="29" t="str">
        <f>HYPERLINK("https://ictv.global/taxonomy/taxondetails?taxnode_id=202319313","ictv.global=202319313")</f>
        <v>ictv.global=202319313</v>
      </c>
    </row>
    <row r="1222" spans="1:21">
      <c r="A1222">
        <v>1221</v>
      </c>
      <c r="B1222" s="30" t="s">
        <v>1587</v>
      </c>
      <c r="D1222" s="30" t="s">
        <v>1588</v>
      </c>
      <c r="F1222" s="30" t="s">
        <v>1591</v>
      </c>
      <c r="H1222" s="30" t="s">
        <v>1592</v>
      </c>
      <c r="L1222" s="30" t="s">
        <v>1757</v>
      </c>
      <c r="M1222" s="30" t="s">
        <v>1766</v>
      </c>
      <c r="N1222" s="30" t="s">
        <v>656</v>
      </c>
      <c r="P1222" s="30" t="s">
        <v>11954</v>
      </c>
      <c r="Q1222" t="s">
        <v>619</v>
      </c>
      <c r="R1222" t="s">
        <v>917</v>
      </c>
      <c r="S1222">
        <v>39</v>
      </c>
      <c r="T1222" s="29" t="str">
        <f t="shared" si="53"/>
        <v>2023.065B.Tempevirinae_4ng_33ns.zip</v>
      </c>
      <c r="U1222" s="29" t="str">
        <f>HYPERLINK("https://ictv.global/taxonomy/taxondetails?taxnode_id=202319322","ictv.global=202319322")</f>
        <v>ictv.global=202319322</v>
      </c>
    </row>
    <row r="1223" spans="1:21">
      <c r="A1223">
        <v>1222</v>
      </c>
      <c r="B1223" s="30" t="s">
        <v>1587</v>
      </c>
      <c r="D1223" s="30" t="s">
        <v>1588</v>
      </c>
      <c r="F1223" s="30" t="s">
        <v>1591</v>
      </c>
      <c r="H1223" s="30" t="s">
        <v>1592</v>
      </c>
      <c r="L1223" s="30" t="s">
        <v>1757</v>
      </c>
      <c r="M1223" s="30" t="s">
        <v>1766</v>
      </c>
      <c r="N1223" s="30" t="s">
        <v>656</v>
      </c>
      <c r="P1223" s="30" t="s">
        <v>11955</v>
      </c>
      <c r="Q1223" t="s">
        <v>619</v>
      </c>
      <c r="R1223" t="s">
        <v>917</v>
      </c>
      <c r="S1223">
        <v>39</v>
      </c>
      <c r="T1223" s="29" t="str">
        <f t="shared" si="53"/>
        <v>2023.065B.Tempevirinae_4ng_33ns.zip</v>
      </c>
      <c r="U1223" s="29" t="str">
        <f>HYPERLINK("https://ictv.global/taxonomy/taxondetails?taxnode_id=202319325","ictv.global=202319325")</f>
        <v>ictv.global=202319325</v>
      </c>
    </row>
    <row r="1224" spans="1:21">
      <c r="A1224">
        <v>1223</v>
      </c>
      <c r="B1224" s="30" t="s">
        <v>1587</v>
      </c>
      <c r="D1224" s="30" t="s">
        <v>1588</v>
      </c>
      <c r="F1224" s="30" t="s">
        <v>1591</v>
      </c>
      <c r="H1224" s="30" t="s">
        <v>1592</v>
      </c>
      <c r="L1224" s="30" t="s">
        <v>1757</v>
      </c>
      <c r="M1224" s="30" t="s">
        <v>1766</v>
      </c>
      <c r="N1224" s="30" t="s">
        <v>656</v>
      </c>
      <c r="P1224" s="30" t="s">
        <v>11956</v>
      </c>
      <c r="Q1224" t="s">
        <v>619</v>
      </c>
      <c r="R1224" t="s">
        <v>917</v>
      </c>
      <c r="S1224">
        <v>39</v>
      </c>
      <c r="T1224" s="29" t="str">
        <f t="shared" si="53"/>
        <v>2023.065B.Tempevirinae_4ng_33ns.zip</v>
      </c>
      <c r="U1224" s="29" t="str">
        <f>HYPERLINK("https://ictv.global/taxonomy/taxondetails?taxnode_id=202319327","ictv.global=202319327")</f>
        <v>ictv.global=202319327</v>
      </c>
    </row>
    <row r="1225" spans="1:21">
      <c r="A1225">
        <v>1224</v>
      </c>
      <c r="B1225" s="30" t="s">
        <v>1587</v>
      </c>
      <c r="D1225" s="30" t="s">
        <v>1588</v>
      </c>
      <c r="F1225" s="30" t="s">
        <v>1591</v>
      </c>
      <c r="H1225" s="30" t="s">
        <v>1592</v>
      </c>
      <c r="L1225" s="30" t="s">
        <v>1757</v>
      </c>
      <c r="M1225" s="30" t="s">
        <v>1766</v>
      </c>
      <c r="N1225" s="30" t="s">
        <v>656</v>
      </c>
      <c r="P1225" s="30" t="s">
        <v>5006</v>
      </c>
      <c r="Q1225" t="s">
        <v>619</v>
      </c>
      <c r="R1225" t="s">
        <v>918</v>
      </c>
      <c r="S1225">
        <v>37</v>
      </c>
      <c r="T1225" s="29" t="str">
        <f>HYPERLINK("https://ictv.global/ictv/proposals/2021.010B.R.Binomial_names.zip","2021.010B.R.Binomial_names.zip")</f>
        <v>2021.010B.R.Binomial_names.zip</v>
      </c>
      <c r="U1225" s="29" t="str">
        <f>HYPERLINK("https://ictv.global/taxonomy/taxondetails?taxnode_id=202308140","ictv.global=202308140")</f>
        <v>ictv.global=202308140</v>
      </c>
    </row>
    <row r="1226" spans="1:21">
      <c r="A1226">
        <v>1225</v>
      </c>
      <c r="B1226" s="30" t="s">
        <v>1587</v>
      </c>
      <c r="D1226" s="30" t="s">
        <v>1588</v>
      </c>
      <c r="F1226" s="30" t="s">
        <v>1591</v>
      </c>
      <c r="H1226" s="30" t="s">
        <v>1592</v>
      </c>
      <c r="L1226" s="30" t="s">
        <v>1757</v>
      </c>
      <c r="M1226" s="30" t="s">
        <v>1766</v>
      </c>
      <c r="N1226" s="30" t="s">
        <v>656</v>
      </c>
      <c r="P1226" s="30" t="s">
        <v>11957</v>
      </c>
      <c r="Q1226" t="s">
        <v>619</v>
      </c>
      <c r="R1226" t="s">
        <v>917</v>
      </c>
      <c r="S1226">
        <v>39</v>
      </c>
      <c r="T1226" s="29" t="str">
        <f>HYPERLINK("https://ictv.global/ictv/proposals/2023.065B.Tempevirinae_4ng_33ns.zip","2023.065B.Tempevirinae_4ng_33ns.zip")</f>
        <v>2023.065B.Tempevirinae_4ng_33ns.zip</v>
      </c>
      <c r="U1226" s="29" t="str">
        <f>HYPERLINK("https://ictv.global/taxonomy/taxondetails?taxnode_id=202319320","ictv.global=202319320")</f>
        <v>ictv.global=202319320</v>
      </c>
    </row>
    <row r="1227" spans="1:21">
      <c r="A1227">
        <v>1226</v>
      </c>
      <c r="B1227" s="30" t="s">
        <v>1587</v>
      </c>
      <c r="D1227" s="30" t="s">
        <v>1588</v>
      </c>
      <c r="F1227" s="30" t="s">
        <v>1591</v>
      </c>
      <c r="H1227" s="30" t="s">
        <v>1592</v>
      </c>
      <c r="L1227" s="30" t="s">
        <v>1757</v>
      </c>
      <c r="M1227" s="30" t="s">
        <v>1766</v>
      </c>
      <c r="N1227" s="30" t="s">
        <v>656</v>
      </c>
      <c r="P1227" s="30" t="s">
        <v>11958</v>
      </c>
      <c r="Q1227" t="s">
        <v>619</v>
      </c>
      <c r="R1227" t="s">
        <v>917</v>
      </c>
      <c r="S1227">
        <v>39</v>
      </c>
      <c r="T1227" s="29" t="str">
        <f>HYPERLINK("https://ictv.global/ictv/proposals/2023.065B.Tempevirinae_4ng_33ns.zip","2023.065B.Tempevirinae_4ng_33ns.zip")</f>
        <v>2023.065B.Tempevirinae_4ng_33ns.zip</v>
      </c>
      <c r="U1227" s="29" t="str">
        <f>HYPERLINK("https://ictv.global/taxonomy/taxondetails?taxnode_id=202319316","ictv.global=202319316")</f>
        <v>ictv.global=202319316</v>
      </c>
    </row>
    <row r="1228" spans="1:21">
      <c r="A1228">
        <v>1227</v>
      </c>
      <c r="B1228" s="30" t="s">
        <v>1587</v>
      </c>
      <c r="D1228" s="30" t="s">
        <v>1588</v>
      </c>
      <c r="F1228" s="30" t="s">
        <v>1591</v>
      </c>
      <c r="H1228" s="30" t="s">
        <v>1592</v>
      </c>
      <c r="L1228" s="30" t="s">
        <v>1757</v>
      </c>
      <c r="M1228" s="30" t="s">
        <v>1766</v>
      </c>
      <c r="N1228" s="30" t="s">
        <v>656</v>
      </c>
      <c r="P1228" s="30" t="s">
        <v>11959</v>
      </c>
      <c r="Q1228" t="s">
        <v>619</v>
      </c>
      <c r="R1228" t="s">
        <v>917</v>
      </c>
      <c r="S1228">
        <v>39</v>
      </c>
      <c r="T1228" s="29" t="str">
        <f>HYPERLINK("https://ictv.global/ictv/proposals/2023.065B.Tempevirinae_4ng_33ns.zip","2023.065B.Tempevirinae_4ng_33ns.zip")</f>
        <v>2023.065B.Tempevirinae_4ng_33ns.zip</v>
      </c>
      <c r="U1228" s="29" t="str">
        <f>HYPERLINK("https://ictv.global/taxonomy/taxondetails?taxnode_id=202319323","ictv.global=202319323")</f>
        <v>ictv.global=202319323</v>
      </c>
    </row>
    <row r="1229" spans="1:21">
      <c r="A1229">
        <v>1228</v>
      </c>
      <c r="B1229" s="30" t="s">
        <v>1587</v>
      </c>
      <c r="D1229" s="30" t="s">
        <v>1588</v>
      </c>
      <c r="F1229" s="30" t="s">
        <v>1591</v>
      </c>
      <c r="H1229" s="30" t="s">
        <v>1592</v>
      </c>
      <c r="L1229" s="30" t="s">
        <v>1757</v>
      </c>
      <c r="M1229" s="30" t="s">
        <v>1766</v>
      </c>
      <c r="N1229" s="30" t="s">
        <v>656</v>
      </c>
      <c r="P1229" s="30" t="s">
        <v>5007</v>
      </c>
      <c r="Q1229" t="s">
        <v>619</v>
      </c>
      <c r="R1229" t="s">
        <v>918</v>
      </c>
      <c r="S1229">
        <v>37</v>
      </c>
      <c r="T1229" s="29" t="str">
        <f>HYPERLINK("https://ictv.global/ictv/proposals/2021.010B.R.Binomial_names.zip","2021.010B.R.Binomial_names.zip")</f>
        <v>2021.010B.R.Binomial_names.zip</v>
      </c>
      <c r="U1229" s="29" t="str">
        <f>HYPERLINK("https://ictv.global/taxonomy/taxondetails?taxnode_id=202308139","ictv.global=202308139")</f>
        <v>ictv.global=202308139</v>
      </c>
    </row>
    <row r="1230" spans="1:21">
      <c r="A1230">
        <v>1229</v>
      </c>
      <c r="B1230" s="30" t="s">
        <v>1587</v>
      </c>
      <c r="D1230" s="30" t="s">
        <v>1588</v>
      </c>
      <c r="F1230" s="30" t="s">
        <v>1591</v>
      </c>
      <c r="H1230" s="30" t="s">
        <v>1592</v>
      </c>
      <c r="L1230" s="30" t="s">
        <v>1757</v>
      </c>
      <c r="M1230" s="30" t="s">
        <v>1766</v>
      </c>
      <c r="N1230" s="30" t="s">
        <v>656</v>
      </c>
      <c r="P1230" s="30" t="s">
        <v>11960</v>
      </c>
      <c r="Q1230" t="s">
        <v>619</v>
      </c>
      <c r="R1230" t="s">
        <v>917</v>
      </c>
      <c r="S1230">
        <v>39</v>
      </c>
      <c r="T1230" s="29" t="str">
        <f>HYPERLINK("https://ictv.global/ictv/proposals/2023.065B.Tempevirinae_4ng_33ns.zip","2023.065B.Tempevirinae_4ng_33ns.zip")</f>
        <v>2023.065B.Tempevirinae_4ng_33ns.zip</v>
      </c>
      <c r="U1230" s="29" t="str">
        <f>HYPERLINK("https://ictv.global/taxonomy/taxondetails?taxnode_id=202319321","ictv.global=202319321")</f>
        <v>ictv.global=202319321</v>
      </c>
    </row>
    <row r="1231" spans="1:21">
      <c r="A1231">
        <v>1230</v>
      </c>
      <c r="B1231" s="30" t="s">
        <v>1587</v>
      </c>
      <c r="D1231" s="30" t="s">
        <v>1588</v>
      </c>
      <c r="F1231" s="30" t="s">
        <v>1591</v>
      </c>
      <c r="H1231" s="30" t="s">
        <v>1592</v>
      </c>
      <c r="L1231" s="30" t="s">
        <v>1757</v>
      </c>
      <c r="M1231" s="30" t="s">
        <v>1766</v>
      </c>
      <c r="N1231" s="30" t="s">
        <v>656</v>
      </c>
      <c r="P1231" s="30" t="s">
        <v>5008</v>
      </c>
      <c r="Q1231" t="s">
        <v>619</v>
      </c>
      <c r="R1231" t="s">
        <v>918</v>
      </c>
      <c r="S1231">
        <v>37</v>
      </c>
      <c r="T1231" s="29" t="str">
        <f>HYPERLINK("https://ictv.global/ictv/proposals/2021.010B.R.Binomial_names.zip","2021.010B.R.Binomial_names.zip")</f>
        <v>2021.010B.R.Binomial_names.zip</v>
      </c>
      <c r="U1231" s="29" t="str">
        <f>HYPERLINK("https://ictv.global/taxonomy/taxondetails?taxnode_id=202308137","ictv.global=202308137")</f>
        <v>ictv.global=202308137</v>
      </c>
    </row>
    <row r="1232" spans="1:21">
      <c r="A1232">
        <v>1231</v>
      </c>
      <c r="B1232" s="30" t="s">
        <v>1587</v>
      </c>
      <c r="D1232" s="30" t="s">
        <v>1588</v>
      </c>
      <c r="F1232" s="30" t="s">
        <v>1591</v>
      </c>
      <c r="H1232" s="30" t="s">
        <v>1592</v>
      </c>
      <c r="L1232" s="30" t="s">
        <v>1757</v>
      </c>
      <c r="M1232" s="30" t="s">
        <v>1766</v>
      </c>
      <c r="N1232" s="30" t="s">
        <v>656</v>
      </c>
      <c r="P1232" s="30" t="s">
        <v>5009</v>
      </c>
      <c r="Q1232" t="s">
        <v>619</v>
      </c>
      <c r="R1232" t="s">
        <v>918</v>
      </c>
      <c r="S1232">
        <v>37</v>
      </c>
      <c r="T1232" s="29" t="str">
        <f>HYPERLINK("https://ictv.global/ictv/proposals/2021.010B.R.Binomial_names.zip","2021.010B.R.Binomial_names.zip")</f>
        <v>2021.010B.R.Binomial_names.zip</v>
      </c>
      <c r="U1232" s="29" t="str">
        <f>HYPERLINK("https://ictv.global/taxonomy/taxondetails?taxnode_id=202308141","ictv.global=202308141")</f>
        <v>ictv.global=202308141</v>
      </c>
    </row>
    <row r="1233" spans="1:21">
      <c r="A1233">
        <v>1232</v>
      </c>
      <c r="B1233" s="30" t="s">
        <v>1587</v>
      </c>
      <c r="D1233" s="30" t="s">
        <v>1588</v>
      </c>
      <c r="F1233" s="30" t="s">
        <v>1591</v>
      </c>
      <c r="H1233" s="30" t="s">
        <v>1592</v>
      </c>
      <c r="L1233" s="30" t="s">
        <v>1757</v>
      </c>
      <c r="M1233" s="30" t="s">
        <v>1766</v>
      </c>
      <c r="N1233" s="30" t="s">
        <v>656</v>
      </c>
      <c r="P1233" s="30" t="s">
        <v>5010</v>
      </c>
      <c r="Q1233" t="s">
        <v>619</v>
      </c>
      <c r="R1233" t="s">
        <v>918</v>
      </c>
      <c r="S1233">
        <v>37</v>
      </c>
      <c r="T1233" s="29" t="str">
        <f>HYPERLINK("https://ictv.global/ictv/proposals/2021.010B.R.Binomial_names.zip","2021.010B.R.Binomial_names.zip")</f>
        <v>2021.010B.R.Binomial_names.zip</v>
      </c>
      <c r="U1233" s="29" t="str">
        <f>HYPERLINK("https://ictv.global/taxonomy/taxondetails?taxnode_id=202308142","ictv.global=202308142")</f>
        <v>ictv.global=202308142</v>
      </c>
    </row>
    <row r="1234" spans="1:21">
      <c r="A1234">
        <v>1233</v>
      </c>
      <c r="B1234" s="30" t="s">
        <v>1587</v>
      </c>
      <c r="D1234" s="30" t="s">
        <v>1588</v>
      </c>
      <c r="F1234" s="30" t="s">
        <v>1591</v>
      </c>
      <c r="H1234" s="30" t="s">
        <v>1592</v>
      </c>
      <c r="L1234" s="30" t="s">
        <v>1757</v>
      </c>
      <c r="M1234" s="30" t="s">
        <v>1766</v>
      </c>
      <c r="N1234" s="30" t="s">
        <v>656</v>
      </c>
      <c r="P1234" s="30" t="s">
        <v>11961</v>
      </c>
      <c r="Q1234" t="s">
        <v>619</v>
      </c>
      <c r="R1234" t="s">
        <v>917</v>
      </c>
      <c r="S1234">
        <v>39</v>
      </c>
      <c r="T1234" s="29" t="str">
        <f>HYPERLINK("https://ictv.global/ictv/proposals/2023.065B.Tempevirinae_4ng_33ns.zip","2023.065B.Tempevirinae_4ng_33ns.zip")</f>
        <v>2023.065B.Tempevirinae_4ng_33ns.zip</v>
      </c>
      <c r="U1234" s="29" t="str">
        <f>HYPERLINK("https://ictv.global/taxonomy/taxondetails?taxnode_id=202319328","ictv.global=202319328")</f>
        <v>ictv.global=202319328</v>
      </c>
    </row>
    <row r="1235" spans="1:21">
      <c r="A1235">
        <v>1234</v>
      </c>
      <c r="B1235" s="30" t="s">
        <v>1587</v>
      </c>
      <c r="D1235" s="30" t="s">
        <v>1588</v>
      </c>
      <c r="F1235" s="30" t="s">
        <v>1591</v>
      </c>
      <c r="H1235" s="30" t="s">
        <v>1592</v>
      </c>
      <c r="L1235" s="30" t="s">
        <v>1757</v>
      </c>
      <c r="M1235" s="30" t="s">
        <v>1766</v>
      </c>
      <c r="N1235" s="30" t="s">
        <v>656</v>
      </c>
      <c r="P1235" s="30" t="s">
        <v>5011</v>
      </c>
      <c r="Q1235" t="s">
        <v>619</v>
      </c>
      <c r="R1235" t="s">
        <v>918</v>
      </c>
      <c r="S1235">
        <v>37</v>
      </c>
      <c r="T1235" s="29" t="str">
        <f>HYPERLINK("https://ictv.global/ictv/proposals/2021.010B.R.Binomial_names.zip","2021.010B.R.Binomial_names.zip")</f>
        <v>2021.010B.R.Binomial_names.zip</v>
      </c>
      <c r="U1235" s="29" t="str">
        <f>HYPERLINK("https://ictv.global/taxonomy/taxondetails?taxnode_id=202300834","ictv.global=202300834")</f>
        <v>ictv.global=202300834</v>
      </c>
    </row>
    <row r="1236" spans="1:21">
      <c r="A1236">
        <v>1235</v>
      </c>
      <c r="B1236" s="30" t="s">
        <v>1587</v>
      </c>
      <c r="D1236" s="30" t="s">
        <v>1588</v>
      </c>
      <c r="F1236" s="30" t="s">
        <v>1591</v>
      </c>
      <c r="H1236" s="30" t="s">
        <v>1592</v>
      </c>
      <c r="L1236" s="30" t="s">
        <v>1757</v>
      </c>
      <c r="M1236" s="30" t="s">
        <v>1766</v>
      </c>
      <c r="N1236" s="30" t="s">
        <v>656</v>
      </c>
      <c r="P1236" s="30" t="s">
        <v>5012</v>
      </c>
      <c r="Q1236" t="s">
        <v>619</v>
      </c>
      <c r="R1236" t="s">
        <v>918</v>
      </c>
      <c r="S1236">
        <v>37</v>
      </c>
      <c r="T1236" s="29" t="str">
        <f>HYPERLINK("https://ictv.global/ictv/proposals/2021.010B.R.Binomial_names.zip","2021.010B.R.Binomial_names.zip")</f>
        <v>2021.010B.R.Binomial_names.zip</v>
      </c>
      <c r="U1236" s="29" t="str">
        <f>HYPERLINK("https://ictv.global/taxonomy/taxondetails?taxnode_id=202300832","ictv.global=202300832")</f>
        <v>ictv.global=202300832</v>
      </c>
    </row>
    <row r="1237" spans="1:21">
      <c r="A1237">
        <v>1236</v>
      </c>
      <c r="B1237" s="30" t="s">
        <v>1587</v>
      </c>
      <c r="D1237" s="30" t="s">
        <v>1588</v>
      </c>
      <c r="F1237" s="30" t="s">
        <v>1591</v>
      </c>
      <c r="H1237" s="30" t="s">
        <v>1592</v>
      </c>
      <c r="L1237" s="30" t="s">
        <v>1757</v>
      </c>
      <c r="M1237" s="30" t="s">
        <v>1766</v>
      </c>
      <c r="N1237" s="30" t="s">
        <v>656</v>
      </c>
      <c r="P1237" s="30" t="s">
        <v>11962</v>
      </c>
      <c r="Q1237" t="s">
        <v>619</v>
      </c>
      <c r="R1237" t="s">
        <v>917</v>
      </c>
      <c r="S1237">
        <v>39</v>
      </c>
      <c r="T1237" s="29" t="str">
        <f>HYPERLINK("https://ictv.global/ictv/proposals/2023.065B.Tempevirinae_4ng_33ns.zip","2023.065B.Tempevirinae_4ng_33ns.zip")</f>
        <v>2023.065B.Tempevirinae_4ng_33ns.zip</v>
      </c>
      <c r="U1237" s="29" t="str">
        <f>HYPERLINK("https://ictv.global/taxonomy/taxondetails?taxnode_id=202319317","ictv.global=202319317")</f>
        <v>ictv.global=202319317</v>
      </c>
    </row>
    <row r="1238" spans="1:21">
      <c r="A1238">
        <v>1237</v>
      </c>
      <c r="B1238" s="30" t="s">
        <v>1587</v>
      </c>
      <c r="D1238" s="30" t="s">
        <v>1588</v>
      </c>
      <c r="F1238" s="30" t="s">
        <v>1591</v>
      </c>
      <c r="H1238" s="30" t="s">
        <v>1592</v>
      </c>
      <c r="L1238" s="30" t="s">
        <v>1757</v>
      </c>
      <c r="M1238" s="30" t="s">
        <v>1766</v>
      </c>
      <c r="N1238" s="30" t="s">
        <v>656</v>
      </c>
      <c r="P1238" s="30" t="s">
        <v>5013</v>
      </c>
      <c r="Q1238" t="s">
        <v>619</v>
      </c>
      <c r="R1238" t="s">
        <v>918</v>
      </c>
      <c r="S1238">
        <v>37</v>
      </c>
      <c r="T1238" s="29" t="str">
        <f>HYPERLINK("https://ictv.global/ictv/proposals/2021.010B.R.Binomial_names.zip","2021.010B.R.Binomial_names.zip")</f>
        <v>2021.010B.R.Binomial_names.zip</v>
      </c>
      <c r="U1238" s="29" t="str">
        <f>HYPERLINK("https://ictv.global/taxonomy/taxondetails?taxnode_id=202300833","ictv.global=202300833")</f>
        <v>ictv.global=202300833</v>
      </c>
    </row>
    <row r="1239" spans="1:21">
      <c r="A1239">
        <v>1238</v>
      </c>
      <c r="B1239" s="30" t="s">
        <v>1587</v>
      </c>
      <c r="D1239" s="30" t="s">
        <v>1588</v>
      </c>
      <c r="F1239" s="30" t="s">
        <v>1591</v>
      </c>
      <c r="H1239" s="30" t="s">
        <v>1592</v>
      </c>
      <c r="L1239" s="30" t="s">
        <v>1757</v>
      </c>
      <c r="M1239" s="30" t="s">
        <v>1766</v>
      </c>
      <c r="N1239" s="30" t="s">
        <v>656</v>
      </c>
      <c r="P1239" s="30" t="s">
        <v>11963</v>
      </c>
      <c r="Q1239" t="s">
        <v>619</v>
      </c>
      <c r="R1239" t="s">
        <v>917</v>
      </c>
      <c r="S1239">
        <v>39</v>
      </c>
      <c r="T1239" s="29" t="str">
        <f>HYPERLINK("https://ictv.global/ictv/proposals/2023.065B.Tempevirinae_4ng_33ns.zip","2023.065B.Tempevirinae_4ng_33ns.zip")</f>
        <v>2023.065B.Tempevirinae_4ng_33ns.zip</v>
      </c>
      <c r="U1239" s="29" t="str">
        <f>HYPERLINK("https://ictv.global/taxonomy/taxondetails?taxnode_id=202319326","ictv.global=202319326")</f>
        <v>ictv.global=202319326</v>
      </c>
    </row>
    <row r="1240" spans="1:21">
      <c r="A1240">
        <v>1239</v>
      </c>
      <c r="B1240" s="30" t="s">
        <v>1587</v>
      </c>
      <c r="D1240" s="30" t="s">
        <v>1588</v>
      </c>
      <c r="F1240" s="30" t="s">
        <v>1591</v>
      </c>
      <c r="H1240" s="30" t="s">
        <v>1592</v>
      </c>
      <c r="L1240" s="30" t="s">
        <v>1757</v>
      </c>
      <c r="M1240" s="30" t="s">
        <v>1766</v>
      </c>
      <c r="N1240" s="30" t="s">
        <v>656</v>
      </c>
      <c r="P1240" s="30" t="s">
        <v>11964</v>
      </c>
      <c r="Q1240" t="s">
        <v>619</v>
      </c>
      <c r="R1240" t="s">
        <v>917</v>
      </c>
      <c r="S1240">
        <v>39</v>
      </c>
      <c r="T1240" s="29" t="str">
        <f>HYPERLINK("https://ictv.global/ictv/proposals/2023.065B.Tempevirinae_4ng_33ns.zip","2023.065B.Tempevirinae_4ng_33ns.zip")</f>
        <v>2023.065B.Tempevirinae_4ng_33ns.zip</v>
      </c>
      <c r="U1240" s="29" t="str">
        <f>HYPERLINK("https://ictv.global/taxonomy/taxondetails?taxnode_id=202319318","ictv.global=202319318")</f>
        <v>ictv.global=202319318</v>
      </c>
    </row>
    <row r="1241" spans="1:21">
      <c r="A1241">
        <v>1240</v>
      </c>
      <c r="B1241" s="30" t="s">
        <v>1587</v>
      </c>
      <c r="D1241" s="30" t="s">
        <v>1588</v>
      </c>
      <c r="F1241" s="30" t="s">
        <v>1591</v>
      </c>
      <c r="H1241" s="30" t="s">
        <v>1592</v>
      </c>
      <c r="L1241" s="30" t="s">
        <v>1757</v>
      </c>
      <c r="M1241" s="30" t="s">
        <v>1766</v>
      </c>
      <c r="N1241" s="30" t="s">
        <v>656</v>
      </c>
      <c r="P1241" s="30" t="s">
        <v>11965</v>
      </c>
      <c r="Q1241" t="s">
        <v>619</v>
      </c>
      <c r="R1241" t="s">
        <v>917</v>
      </c>
      <c r="S1241">
        <v>39</v>
      </c>
      <c r="T1241" s="29" t="str">
        <f>HYPERLINK("https://ictv.global/ictv/proposals/2023.065B.Tempevirinae_4ng_33ns.zip","2023.065B.Tempevirinae_4ng_33ns.zip")</f>
        <v>2023.065B.Tempevirinae_4ng_33ns.zip</v>
      </c>
      <c r="U1241" s="29" t="str">
        <f>HYPERLINK("https://ictv.global/taxonomy/taxondetails?taxnode_id=202319319","ictv.global=202319319")</f>
        <v>ictv.global=202319319</v>
      </c>
    </row>
    <row r="1242" spans="1:21">
      <c r="A1242">
        <v>1241</v>
      </c>
      <c r="B1242" s="30" t="s">
        <v>1587</v>
      </c>
      <c r="D1242" s="30" t="s">
        <v>1588</v>
      </c>
      <c r="F1242" s="30" t="s">
        <v>1591</v>
      </c>
      <c r="H1242" s="30" t="s">
        <v>1592</v>
      </c>
      <c r="L1242" s="30" t="s">
        <v>1757</v>
      </c>
      <c r="M1242" s="30" t="s">
        <v>1766</v>
      </c>
      <c r="N1242" s="30" t="s">
        <v>656</v>
      </c>
      <c r="P1242" s="30" t="s">
        <v>11966</v>
      </c>
      <c r="Q1242" t="s">
        <v>619</v>
      </c>
      <c r="R1242" t="s">
        <v>917</v>
      </c>
      <c r="S1242">
        <v>39</v>
      </c>
      <c r="T1242" s="29" t="str">
        <f>HYPERLINK("https://ictv.global/ictv/proposals/2023.065B.Tempevirinae_4ng_33ns.zip","2023.065B.Tempevirinae_4ng_33ns.zip")</f>
        <v>2023.065B.Tempevirinae_4ng_33ns.zip</v>
      </c>
      <c r="U1242" s="29" t="str">
        <f>HYPERLINK("https://ictv.global/taxonomy/taxondetails?taxnode_id=202319324","ictv.global=202319324")</f>
        <v>ictv.global=202319324</v>
      </c>
    </row>
    <row r="1243" spans="1:21">
      <c r="A1243">
        <v>1242</v>
      </c>
      <c r="B1243" s="30" t="s">
        <v>1587</v>
      </c>
      <c r="D1243" s="30" t="s">
        <v>1588</v>
      </c>
      <c r="F1243" s="30" t="s">
        <v>1591</v>
      </c>
      <c r="H1243" s="30" t="s">
        <v>1592</v>
      </c>
      <c r="L1243" s="30" t="s">
        <v>1757</v>
      </c>
      <c r="M1243" s="30" t="s">
        <v>1766</v>
      </c>
      <c r="N1243" s="30" t="s">
        <v>656</v>
      </c>
      <c r="P1243" s="30" t="s">
        <v>5014</v>
      </c>
      <c r="Q1243" t="s">
        <v>619</v>
      </c>
      <c r="R1243" t="s">
        <v>918</v>
      </c>
      <c r="S1243">
        <v>37</v>
      </c>
      <c r="T1243" s="29" t="str">
        <f>HYPERLINK("https://ictv.global/ictv/proposals/2021.010B.R.Binomial_names.zip","2021.010B.R.Binomial_names.zip")</f>
        <v>2021.010B.R.Binomial_names.zip</v>
      </c>
      <c r="U1243" s="29" t="str">
        <f>HYPERLINK("https://ictv.global/taxonomy/taxondetails?taxnode_id=202308138","ictv.global=202308138")</f>
        <v>ictv.global=202308138</v>
      </c>
    </row>
    <row r="1244" spans="1:21">
      <c r="A1244">
        <v>1243</v>
      </c>
      <c r="B1244" s="30" t="s">
        <v>1587</v>
      </c>
      <c r="D1244" s="30" t="s">
        <v>1588</v>
      </c>
      <c r="F1244" s="30" t="s">
        <v>1591</v>
      </c>
      <c r="H1244" s="30" t="s">
        <v>1592</v>
      </c>
      <c r="L1244" s="30" t="s">
        <v>1757</v>
      </c>
      <c r="M1244" s="30" t="s">
        <v>1766</v>
      </c>
      <c r="N1244" s="30" t="s">
        <v>1767</v>
      </c>
      <c r="P1244" s="30" t="s">
        <v>5015</v>
      </c>
      <c r="Q1244" t="s">
        <v>619</v>
      </c>
      <c r="R1244" t="s">
        <v>918</v>
      </c>
      <c r="S1244">
        <v>37</v>
      </c>
      <c r="T1244" s="29" t="str">
        <f>HYPERLINK("https://ictv.global/ictv/proposals/2021.010B.R.Binomial_names.zip","2021.010B.R.Binomial_names.zip")</f>
        <v>2021.010B.R.Binomial_names.zip</v>
      </c>
      <c r="U1244" s="29" t="str">
        <f>HYPERLINK("https://ictv.global/taxonomy/taxondetails?taxnode_id=202312096","ictv.global=202312096")</f>
        <v>ictv.global=202312096</v>
      </c>
    </row>
    <row r="1245" spans="1:21">
      <c r="A1245">
        <v>1244</v>
      </c>
      <c r="B1245" s="30" t="s">
        <v>1587</v>
      </c>
      <c r="D1245" s="30" t="s">
        <v>1588</v>
      </c>
      <c r="F1245" s="30" t="s">
        <v>1591</v>
      </c>
      <c r="H1245" s="30" t="s">
        <v>1592</v>
      </c>
      <c r="L1245" s="30" t="s">
        <v>1757</v>
      </c>
      <c r="M1245" s="30" t="s">
        <v>1766</v>
      </c>
      <c r="N1245" s="30" t="s">
        <v>1767</v>
      </c>
      <c r="P1245" s="30" t="s">
        <v>11967</v>
      </c>
      <c r="Q1245" t="s">
        <v>619</v>
      </c>
      <c r="R1245" t="s">
        <v>917</v>
      </c>
      <c r="S1245">
        <v>39</v>
      </c>
      <c r="T1245" s="29" t="str">
        <f>HYPERLINK("https://ictv.global/ictv/proposals/2023.065B.Tempevirinae_4ng_33ns.zip","2023.065B.Tempevirinae_4ng_33ns.zip")</f>
        <v>2023.065B.Tempevirinae_4ng_33ns.zip</v>
      </c>
      <c r="U1245" s="29" t="str">
        <f>HYPERLINK("https://ictv.global/taxonomy/taxondetails?taxnode_id=202319335","ictv.global=202319335")</f>
        <v>ictv.global=202319335</v>
      </c>
    </row>
    <row r="1246" spans="1:21">
      <c r="A1246">
        <v>1245</v>
      </c>
      <c r="B1246" s="30" t="s">
        <v>1587</v>
      </c>
      <c r="D1246" s="30" t="s">
        <v>1588</v>
      </c>
      <c r="F1246" s="30" t="s">
        <v>1591</v>
      </c>
      <c r="H1246" s="30" t="s">
        <v>1592</v>
      </c>
      <c r="L1246" s="30" t="s">
        <v>1757</v>
      </c>
      <c r="M1246" s="30" t="s">
        <v>1766</v>
      </c>
      <c r="N1246" s="30" t="s">
        <v>1767</v>
      </c>
      <c r="P1246" s="30" t="s">
        <v>5016</v>
      </c>
      <c r="Q1246" t="s">
        <v>619</v>
      </c>
      <c r="R1246" t="s">
        <v>918</v>
      </c>
      <c r="S1246">
        <v>37</v>
      </c>
      <c r="T1246" s="29" t="str">
        <f>HYPERLINK("https://ictv.global/ictv/proposals/2021.010B.R.Binomial_names.zip","2021.010B.R.Binomial_names.zip")</f>
        <v>2021.010B.R.Binomial_names.zip</v>
      </c>
      <c r="U1246" s="29" t="str">
        <f>HYPERLINK("https://ictv.global/taxonomy/taxondetails?taxnode_id=202312091","ictv.global=202312091")</f>
        <v>ictv.global=202312091</v>
      </c>
    </row>
    <row r="1247" spans="1:21">
      <c r="A1247">
        <v>1246</v>
      </c>
      <c r="B1247" s="30" t="s">
        <v>1587</v>
      </c>
      <c r="D1247" s="30" t="s">
        <v>1588</v>
      </c>
      <c r="F1247" s="30" t="s">
        <v>1591</v>
      </c>
      <c r="H1247" s="30" t="s">
        <v>1592</v>
      </c>
      <c r="L1247" s="30" t="s">
        <v>1757</v>
      </c>
      <c r="M1247" s="30" t="s">
        <v>1766</v>
      </c>
      <c r="N1247" s="30" t="s">
        <v>1767</v>
      </c>
      <c r="P1247" s="30" t="s">
        <v>11968</v>
      </c>
      <c r="Q1247" t="s">
        <v>619</v>
      </c>
      <c r="R1247" t="s">
        <v>917</v>
      </c>
      <c r="S1247">
        <v>39</v>
      </c>
      <c r="T1247" s="29" t="str">
        <f>HYPERLINK("https://ictv.global/ictv/proposals/2023.065B.Tempevirinae_4ng_33ns.zip","2023.065B.Tempevirinae_4ng_33ns.zip")</f>
        <v>2023.065B.Tempevirinae_4ng_33ns.zip</v>
      </c>
      <c r="U1247" s="29" t="str">
        <f>HYPERLINK("https://ictv.global/taxonomy/taxondetails?taxnode_id=202319337","ictv.global=202319337")</f>
        <v>ictv.global=202319337</v>
      </c>
    </row>
    <row r="1248" spans="1:21">
      <c r="A1248">
        <v>1247</v>
      </c>
      <c r="B1248" s="30" t="s">
        <v>1587</v>
      </c>
      <c r="D1248" s="30" t="s">
        <v>1588</v>
      </c>
      <c r="F1248" s="30" t="s">
        <v>1591</v>
      </c>
      <c r="H1248" s="30" t="s">
        <v>1592</v>
      </c>
      <c r="L1248" s="30" t="s">
        <v>1757</v>
      </c>
      <c r="M1248" s="30" t="s">
        <v>1766</v>
      </c>
      <c r="N1248" s="30" t="s">
        <v>1767</v>
      </c>
      <c r="P1248" s="30" t="s">
        <v>11969</v>
      </c>
      <c r="Q1248" t="s">
        <v>619</v>
      </c>
      <c r="R1248" t="s">
        <v>917</v>
      </c>
      <c r="S1248">
        <v>39</v>
      </c>
      <c r="T1248" s="29" t="str">
        <f>HYPERLINK("https://ictv.global/ictv/proposals/2023.065B.Tempevirinae_4ng_33ns.zip","2023.065B.Tempevirinae_4ng_33ns.zip")</f>
        <v>2023.065B.Tempevirinae_4ng_33ns.zip</v>
      </c>
      <c r="U1248" s="29" t="str">
        <f>HYPERLINK("https://ictv.global/taxonomy/taxondetails?taxnode_id=202319338","ictv.global=202319338")</f>
        <v>ictv.global=202319338</v>
      </c>
    </row>
    <row r="1249" spans="1:21">
      <c r="A1249">
        <v>1248</v>
      </c>
      <c r="B1249" s="30" t="s">
        <v>1587</v>
      </c>
      <c r="D1249" s="30" t="s">
        <v>1588</v>
      </c>
      <c r="F1249" s="30" t="s">
        <v>1591</v>
      </c>
      <c r="H1249" s="30" t="s">
        <v>1592</v>
      </c>
      <c r="L1249" s="30" t="s">
        <v>1757</v>
      </c>
      <c r="M1249" s="30" t="s">
        <v>1766</v>
      </c>
      <c r="N1249" s="30" t="s">
        <v>1767</v>
      </c>
      <c r="P1249" s="30" t="s">
        <v>5017</v>
      </c>
      <c r="Q1249" t="s">
        <v>619</v>
      </c>
      <c r="R1249" t="s">
        <v>918</v>
      </c>
      <c r="S1249">
        <v>37</v>
      </c>
      <c r="T1249" s="29" t="str">
        <f>HYPERLINK("https://ictv.global/ictv/proposals/2021.010B.R.Binomial_names.zip","2021.010B.R.Binomial_names.zip")</f>
        <v>2021.010B.R.Binomial_names.zip</v>
      </c>
      <c r="U1249" s="29" t="str">
        <f>HYPERLINK("https://ictv.global/taxonomy/taxondetails?taxnode_id=202308134","ictv.global=202308134")</f>
        <v>ictv.global=202308134</v>
      </c>
    </row>
    <row r="1250" spans="1:21">
      <c r="A1250">
        <v>1249</v>
      </c>
      <c r="B1250" s="30" t="s">
        <v>1587</v>
      </c>
      <c r="D1250" s="30" t="s">
        <v>1588</v>
      </c>
      <c r="F1250" s="30" t="s">
        <v>1591</v>
      </c>
      <c r="H1250" s="30" t="s">
        <v>1592</v>
      </c>
      <c r="L1250" s="30" t="s">
        <v>1757</v>
      </c>
      <c r="M1250" s="30" t="s">
        <v>1766</v>
      </c>
      <c r="N1250" s="30" t="s">
        <v>1767</v>
      </c>
      <c r="P1250" s="30" t="s">
        <v>11970</v>
      </c>
      <c r="Q1250" t="s">
        <v>619</v>
      </c>
      <c r="R1250" t="s">
        <v>917</v>
      </c>
      <c r="S1250">
        <v>39</v>
      </c>
      <c r="T1250" s="29" t="str">
        <f>HYPERLINK("https://ictv.global/ictv/proposals/2023.065B.Tempevirinae_4ng_33ns.zip","2023.065B.Tempevirinae_4ng_33ns.zip")</f>
        <v>2023.065B.Tempevirinae_4ng_33ns.zip</v>
      </c>
      <c r="U1250" s="29" t="str">
        <f>HYPERLINK("https://ictv.global/taxonomy/taxondetails?taxnode_id=202319336","ictv.global=202319336")</f>
        <v>ictv.global=202319336</v>
      </c>
    </row>
    <row r="1251" spans="1:21">
      <c r="A1251">
        <v>1250</v>
      </c>
      <c r="B1251" s="30" t="s">
        <v>1587</v>
      </c>
      <c r="D1251" s="30" t="s">
        <v>1588</v>
      </c>
      <c r="F1251" s="30" t="s">
        <v>1591</v>
      </c>
      <c r="H1251" s="30" t="s">
        <v>1592</v>
      </c>
      <c r="L1251" s="30" t="s">
        <v>1757</v>
      </c>
      <c r="M1251" s="30" t="s">
        <v>1766</v>
      </c>
      <c r="N1251" s="30" t="s">
        <v>1767</v>
      </c>
      <c r="P1251" s="30" t="s">
        <v>11971</v>
      </c>
      <c r="Q1251" t="s">
        <v>619</v>
      </c>
      <c r="R1251" t="s">
        <v>917</v>
      </c>
      <c r="S1251">
        <v>39</v>
      </c>
      <c r="T1251" s="29" t="str">
        <f>HYPERLINK("https://ictv.global/ictv/proposals/2023.065B.Tempevirinae_4ng_33ns.zip","2023.065B.Tempevirinae_4ng_33ns.zip")</f>
        <v>2023.065B.Tempevirinae_4ng_33ns.zip</v>
      </c>
      <c r="U1251" s="29" t="str">
        <f>HYPERLINK("https://ictv.global/taxonomy/taxondetails?taxnode_id=202319339","ictv.global=202319339")</f>
        <v>ictv.global=202319339</v>
      </c>
    </row>
    <row r="1252" spans="1:21">
      <c r="A1252">
        <v>1251</v>
      </c>
      <c r="B1252" s="30" t="s">
        <v>1587</v>
      </c>
      <c r="D1252" s="30" t="s">
        <v>1588</v>
      </c>
      <c r="F1252" s="30" t="s">
        <v>1591</v>
      </c>
      <c r="H1252" s="30" t="s">
        <v>1592</v>
      </c>
      <c r="L1252" s="30" t="s">
        <v>1757</v>
      </c>
      <c r="M1252" s="30" t="s">
        <v>1766</v>
      </c>
      <c r="N1252" s="30" t="s">
        <v>1767</v>
      </c>
      <c r="P1252" s="30" t="s">
        <v>5018</v>
      </c>
      <c r="Q1252" t="s">
        <v>619</v>
      </c>
      <c r="R1252" t="s">
        <v>918</v>
      </c>
      <c r="S1252">
        <v>37</v>
      </c>
      <c r="T1252" s="29" t="str">
        <f>HYPERLINK("https://ictv.global/ictv/proposals/2021.010B.R.Binomial_names.zip","2021.010B.R.Binomial_names.zip")</f>
        <v>2021.010B.R.Binomial_names.zip</v>
      </c>
      <c r="U1252" s="29" t="str">
        <f>HYPERLINK("https://ictv.global/taxonomy/taxondetails?taxnode_id=202308133","ictv.global=202308133")</f>
        <v>ictv.global=202308133</v>
      </c>
    </row>
    <row r="1253" spans="1:21">
      <c r="A1253">
        <v>1252</v>
      </c>
      <c r="B1253" s="30" t="s">
        <v>1587</v>
      </c>
      <c r="D1253" s="30" t="s">
        <v>1588</v>
      </c>
      <c r="F1253" s="30" t="s">
        <v>1591</v>
      </c>
      <c r="H1253" s="30" t="s">
        <v>1592</v>
      </c>
      <c r="L1253" s="30" t="s">
        <v>1757</v>
      </c>
      <c r="M1253" s="30" t="s">
        <v>1766</v>
      </c>
      <c r="N1253" s="30" t="s">
        <v>1767</v>
      </c>
      <c r="P1253" s="30" t="s">
        <v>11972</v>
      </c>
      <c r="Q1253" t="s">
        <v>619</v>
      </c>
      <c r="R1253" t="s">
        <v>917</v>
      </c>
      <c r="S1253">
        <v>39</v>
      </c>
      <c r="T1253" s="29" t="str">
        <f>HYPERLINK("https://ictv.global/ictv/proposals/2023.065B.Tempevirinae_4ng_33ns.zip","2023.065B.Tempevirinae_4ng_33ns.zip")</f>
        <v>2023.065B.Tempevirinae_4ng_33ns.zip</v>
      </c>
      <c r="U1253" s="29" t="str">
        <f>HYPERLINK("https://ictv.global/taxonomy/taxondetails?taxnode_id=202319340","ictv.global=202319340")</f>
        <v>ictv.global=202319340</v>
      </c>
    </row>
    <row r="1254" spans="1:21">
      <c r="A1254">
        <v>1253</v>
      </c>
      <c r="B1254" s="30" t="s">
        <v>1587</v>
      </c>
      <c r="D1254" s="30" t="s">
        <v>1588</v>
      </c>
      <c r="F1254" s="30" t="s">
        <v>1591</v>
      </c>
      <c r="H1254" s="30" t="s">
        <v>1592</v>
      </c>
      <c r="L1254" s="30" t="s">
        <v>1757</v>
      </c>
      <c r="M1254" s="30" t="s">
        <v>1766</v>
      </c>
      <c r="N1254" s="30" t="s">
        <v>1767</v>
      </c>
      <c r="P1254" s="30" t="s">
        <v>5019</v>
      </c>
      <c r="Q1254" t="s">
        <v>619</v>
      </c>
      <c r="R1254" t="s">
        <v>918</v>
      </c>
      <c r="S1254">
        <v>37</v>
      </c>
      <c r="T1254" s="29" t="str">
        <f t="shared" ref="T1254:T1262" si="54">HYPERLINK("https://ictv.global/ictv/proposals/2021.010B.R.Binomial_names.zip","2021.010B.R.Binomial_names.zip")</f>
        <v>2021.010B.R.Binomial_names.zip</v>
      </c>
      <c r="U1254" s="29" t="str">
        <f>HYPERLINK("https://ictv.global/taxonomy/taxondetails?taxnode_id=202312098","ictv.global=202312098")</f>
        <v>ictv.global=202312098</v>
      </c>
    </row>
    <row r="1255" spans="1:21">
      <c r="A1255">
        <v>1254</v>
      </c>
      <c r="B1255" s="30" t="s">
        <v>1587</v>
      </c>
      <c r="D1255" s="30" t="s">
        <v>1588</v>
      </c>
      <c r="F1255" s="30" t="s">
        <v>1591</v>
      </c>
      <c r="H1255" s="30" t="s">
        <v>1592</v>
      </c>
      <c r="L1255" s="30" t="s">
        <v>1757</v>
      </c>
      <c r="M1255" s="30" t="s">
        <v>1766</v>
      </c>
      <c r="N1255" s="30" t="s">
        <v>1767</v>
      </c>
      <c r="P1255" s="30" t="s">
        <v>5020</v>
      </c>
      <c r="Q1255" t="s">
        <v>619</v>
      </c>
      <c r="R1255" t="s">
        <v>918</v>
      </c>
      <c r="S1255">
        <v>37</v>
      </c>
      <c r="T1255" s="29" t="str">
        <f t="shared" si="54"/>
        <v>2021.010B.R.Binomial_names.zip</v>
      </c>
      <c r="U1255" s="29" t="str">
        <f>HYPERLINK("https://ictv.global/taxonomy/taxondetails?taxnode_id=202308131","ictv.global=202308131")</f>
        <v>ictv.global=202308131</v>
      </c>
    </row>
    <row r="1256" spans="1:21">
      <c r="A1256">
        <v>1255</v>
      </c>
      <c r="B1256" s="30" t="s">
        <v>1587</v>
      </c>
      <c r="D1256" s="30" t="s">
        <v>1588</v>
      </c>
      <c r="F1256" s="30" t="s">
        <v>1591</v>
      </c>
      <c r="H1256" s="30" t="s">
        <v>1592</v>
      </c>
      <c r="L1256" s="30" t="s">
        <v>1757</v>
      </c>
      <c r="M1256" s="30" t="s">
        <v>1766</v>
      </c>
      <c r="N1256" s="30" t="s">
        <v>1767</v>
      </c>
      <c r="P1256" s="30" t="s">
        <v>5021</v>
      </c>
      <c r="Q1256" t="s">
        <v>619</v>
      </c>
      <c r="R1256" t="s">
        <v>918</v>
      </c>
      <c r="S1256">
        <v>37</v>
      </c>
      <c r="T1256" s="29" t="str">
        <f t="shared" si="54"/>
        <v>2021.010B.R.Binomial_names.zip</v>
      </c>
      <c r="U1256" s="29" t="str">
        <f>HYPERLINK("https://ictv.global/taxonomy/taxondetails?taxnode_id=202312097","ictv.global=202312097")</f>
        <v>ictv.global=202312097</v>
      </c>
    </row>
    <row r="1257" spans="1:21">
      <c r="A1257">
        <v>1256</v>
      </c>
      <c r="B1257" s="30" t="s">
        <v>1587</v>
      </c>
      <c r="D1257" s="30" t="s">
        <v>1588</v>
      </c>
      <c r="F1257" s="30" t="s">
        <v>1591</v>
      </c>
      <c r="H1257" s="30" t="s">
        <v>1592</v>
      </c>
      <c r="L1257" s="30" t="s">
        <v>1757</v>
      </c>
      <c r="M1257" s="30" t="s">
        <v>1766</v>
      </c>
      <c r="N1257" s="30" t="s">
        <v>1767</v>
      </c>
      <c r="P1257" s="30" t="s">
        <v>5022</v>
      </c>
      <c r="Q1257" t="s">
        <v>619</v>
      </c>
      <c r="R1257" t="s">
        <v>918</v>
      </c>
      <c r="S1257">
        <v>37</v>
      </c>
      <c r="T1257" s="29" t="str">
        <f t="shared" si="54"/>
        <v>2021.010B.R.Binomial_names.zip</v>
      </c>
      <c r="U1257" s="29" t="str">
        <f>HYPERLINK("https://ictv.global/taxonomy/taxondetails?taxnode_id=202312095","ictv.global=202312095")</f>
        <v>ictv.global=202312095</v>
      </c>
    </row>
    <row r="1258" spans="1:21">
      <c r="A1258">
        <v>1257</v>
      </c>
      <c r="B1258" s="30" t="s">
        <v>1587</v>
      </c>
      <c r="D1258" s="30" t="s">
        <v>1588</v>
      </c>
      <c r="F1258" s="30" t="s">
        <v>1591</v>
      </c>
      <c r="H1258" s="30" t="s">
        <v>1592</v>
      </c>
      <c r="L1258" s="30" t="s">
        <v>1757</v>
      </c>
      <c r="M1258" s="30" t="s">
        <v>1766</v>
      </c>
      <c r="N1258" s="30" t="s">
        <v>1767</v>
      </c>
      <c r="P1258" s="30" t="s">
        <v>5023</v>
      </c>
      <c r="Q1258" t="s">
        <v>619</v>
      </c>
      <c r="R1258" t="s">
        <v>918</v>
      </c>
      <c r="S1258">
        <v>37</v>
      </c>
      <c r="T1258" s="29" t="str">
        <f t="shared" si="54"/>
        <v>2021.010B.R.Binomial_names.zip</v>
      </c>
      <c r="U1258" s="29" t="str">
        <f>HYPERLINK("https://ictv.global/taxonomy/taxondetails?taxnode_id=202312092","ictv.global=202312092")</f>
        <v>ictv.global=202312092</v>
      </c>
    </row>
    <row r="1259" spans="1:21">
      <c r="A1259">
        <v>1258</v>
      </c>
      <c r="B1259" s="30" t="s">
        <v>1587</v>
      </c>
      <c r="D1259" s="30" t="s">
        <v>1588</v>
      </c>
      <c r="F1259" s="30" t="s">
        <v>1591</v>
      </c>
      <c r="H1259" s="30" t="s">
        <v>1592</v>
      </c>
      <c r="L1259" s="30" t="s">
        <v>1757</v>
      </c>
      <c r="M1259" s="30" t="s">
        <v>1766</v>
      </c>
      <c r="N1259" s="30" t="s">
        <v>1767</v>
      </c>
      <c r="P1259" s="30" t="s">
        <v>5024</v>
      </c>
      <c r="Q1259" t="s">
        <v>619</v>
      </c>
      <c r="R1259" t="s">
        <v>918</v>
      </c>
      <c r="S1259">
        <v>37</v>
      </c>
      <c r="T1259" s="29" t="str">
        <f t="shared" si="54"/>
        <v>2021.010B.R.Binomial_names.zip</v>
      </c>
      <c r="U1259" s="29" t="str">
        <f>HYPERLINK("https://ictv.global/taxonomy/taxondetails?taxnode_id=202312094","ictv.global=202312094")</f>
        <v>ictv.global=202312094</v>
      </c>
    </row>
    <row r="1260" spans="1:21">
      <c r="A1260">
        <v>1259</v>
      </c>
      <c r="B1260" s="30" t="s">
        <v>1587</v>
      </c>
      <c r="D1260" s="30" t="s">
        <v>1588</v>
      </c>
      <c r="F1260" s="30" t="s">
        <v>1591</v>
      </c>
      <c r="H1260" s="30" t="s">
        <v>1592</v>
      </c>
      <c r="L1260" s="30" t="s">
        <v>1757</v>
      </c>
      <c r="M1260" s="30" t="s">
        <v>1766</v>
      </c>
      <c r="N1260" s="30" t="s">
        <v>1767</v>
      </c>
      <c r="P1260" s="30" t="s">
        <v>5025</v>
      </c>
      <c r="Q1260" t="s">
        <v>619</v>
      </c>
      <c r="R1260" t="s">
        <v>918</v>
      </c>
      <c r="S1260">
        <v>37</v>
      </c>
      <c r="T1260" s="29" t="str">
        <f t="shared" si="54"/>
        <v>2021.010B.R.Binomial_names.zip</v>
      </c>
      <c r="U1260" s="29" t="str">
        <f>HYPERLINK("https://ictv.global/taxonomy/taxondetails?taxnode_id=202312093","ictv.global=202312093")</f>
        <v>ictv.global=202312093</v>
      </c>
    </row>
    <row r="1261" spans="1:21">
      <c r="A1261">
        <v>1260</v>
      </c>
      <c r="B1261" s="30" t="s">
        <v>1587</v>
      </c>
      <c r="D1261" s="30" t="s">
        <v>1588</v>
      </c>
      <c r="F1261" s="30" t="s">
        <v>1591</v>
      </c>
      <c r="H1261" s="30" t="s">
        <v>1592</v>
      </c>
      <c r="L1261" s="30" t="s">
        <v>1757</v>
      </c>
      <c r="M1261" s="30" t="s">
        <v>1766</v>
      </c>
      <c r="N1261" s="30" t="s">
        <v>1767</v>
      </c>
      <c r="P1261" s="30" t="s">
        <v>5026</v>
      </c>
      <c r="Q1261" t="s">
        <v>619</v>
      </c>
      <c r="R1261" t="s">
        <v>918</v>
      </c>
      <c r="S1261">
        <v>37</v>
      </c>
      <c r="T1261" s="29" t="str">
        <f t="shared" si="54"/>
        <v>2021.010B.R.Binomial_names.zip</v>
      </c>
      <c r="U1261" s="29" t="str">
        <f>HYPERLINK("https://ictv.global/taxonomy/taxondetails?taxnode_id=202308132","ictv.global=202308132")</f>
        <v>ictv.global=202308132</v>
      </c>
    </row>
    <row r="1262" spans="1:21">
      <c r="A1262">
        <v>1261</v>
      </c>
      <c r="B1262" s="30" t="s">
        <v>1587</v>
      </c>
      <c r="D1262" s="30" t="s">
        <v>1588</v>
      </c>
      <c r="F1262" s="30" t="s">
        <v>1591</v>
      </c>
      <c r="H1262" s="30" t="s">
        <v>1592</v>
      </c>
      <c r="L1262" s="30" t="s">
        <v>1757</v>
      </c>
      <c r="M1262" s="30" t="s">
        <v>654</v>
      </c>
      <c r="N1262" s="30" t="s">
        <v>1768</v>
      </c>
      <c r="P1262" s="30" t="s">
        <v>5027</v>
      </c>
      <c r="Q1262" t="s">
        <v>619</v>
      </c>
      <c r="R1262" t="s">
        <v>918</v>
      </c>
      <c r="S1262">
        <v>37</v>
      </c>
      <c r="T1262" s="29" t="str">
        <f t="shared" si="54"/>
        <v>2021.010B.R.Binomial_names.zip</v>
      </c>
      <c r="U1262" s="29" t="str">
        <f>HYPERLINK("https://ictv.global/taxonomy/taxondetails?taxnode_id=202308167","ictv.global=202308167")</f>
        <v>ictv.global=202308167</v>
      </c>
    </row>
    <row r="1263" spans="1:21">
      <c r="A1263">
        <v>1262</v>
      </c>
      <c r="B1263" s="30" t="s">
        <v>1587</v>
      </c>
      <c r="D1263" s="30" t="s">
        <v>1588</v>
      </c>
      <c r="F1263" s="30" t="s">
        <v>1591</v>
      </c>
      <c r="H1263" s="30" t="s">
        <v>1592</v>
      </c>
      <c r="L1263" s="30" t="s">
        <v>1757</v>
      </c>
      <c r="M1263" s="30" t="s">
        <v>654</v>
      </c>
      <c r="N1263" s="30" t="s">
        <v>1450</v>
      </c>
      <c r="P1263" s="30" t="s">
        <v>11973</v>
      </c>
      <c r="Q1263" t="s">
        <v>619</v>
      </c>
      <c r="R1263" t="s">
        <v>917</v>
      </c>
      <c r="S1263">
        <v>39</v>
      </c>
      <c r="T1263" s="29" t="str">
        <f>HYPERLINK("https://ictv.global/ictv/proposals/2023.071B.Tunavirinae_10ns.zip","2023.071B.Tunavirinae_10ns.zip")</f>
        <v>2023.071B.Tunavirinae_10ns.zip</v>
      </c>
      <c r="U1263" s="29" t="str">
        <f>HYPERLINK("https://ictv.global/taxonomy/taxondetails?taxnode_id=202319408","ictv.global=202319408")</f>
        <v>ictv.global=202319408</v>
      </c>
    </row>
    <row r="1264" spans="1:21">
      <c r="A1264">
        <v>1263</v>
      </c>
      <c r="B1264" s="30" t="s">
        <v>1587</v>
      </c>
      <c r="D1264" s="30" t="s">
        <v>1588</v>
      </c>
      <c r="F1264" s="30" t="s">
        <v>1591</v>
      </c>
      <c r="H1264" s="30" t="s">
        <v>1592</v>
      </c>
      <c r="L1264" s="30" t="s">
        <v>1757</v>
      </c>
      <c r="M1264" s="30" t="s">
        <v>654</v>
      </c>
      <c r="N1264" s="30" t="s">
        <v>1450</v>
      </c>
      <c r="P1264" s="30" t="s">
        <v>5028</v>
      </c>
      <c r="Q1264" t="s">
        <v>619</v>
      </c>
      <c r="R1264" t="s">
        <v>918</v>
      </c>
      <c r="S1264">
        <v>37</v>
      </c>
      <c r="T1264" s="29" t="str">
        <f>HYPERLINK("https://ictv.global/ictv/proposals/2021.010B.R.Binomial_names.zip","2021.010B.R.Binomial_names.zip")</f>
        <v>2021.010B.R.Binomial_names.zip</v>
      </c>
      <c r="U1264" s="29" t="str">
        <f>HYPERLINK("https://ictv.global/taxonomy/taxondetails?taxnode_id=202307071","ictv.global=202307071")</f>
        <v>ictv.global=202307071</v>
      </c>
    </row>
    <row r="1265" spans="1:21">
      <c r="A1265">
        <v>1264</v>
      </c>
      <c r="B1265" s="30" t="s">
        <v>1587</v>
      </c>
      <c r="D1265" s="30" t="s">
        <v>1588</v>
      </c>
      <c r="F1265" s="30" t="s">
        <v>1591</v>
      </c>
      <c r="H1265" s="30" t="s">
        <v>1592</v>
      </c>
      <c r="L1265" s="30" t="s">
        <v>1757</v>
      </c>
      <c r="M1265" s="30" t="s">
        <v>654</v>
      </c>
      <c r="N1265" s="30" t="s">
        <v>1451</v>
      </c>
      <c r="P1265" s="30" t="s">
        <v>5029</v>
      </c>
      <c r="Q1265" t="s">
        <v>619</v>
      </c>
      <c r="R1265" t="s">
        <v>918</v>
      </c>
      <c r="S1265">
        <v>37</v>
      </c>
      <c r="T1265" s="29" t="str">
        <f>HYPERLINK("https://ictv.global/ictv/proposals/2021.010B.R.Binomial_names.zip","2021.010B.R.Binomial_names.zip")</f>
        <v>2021.010B.R.Binomial_names.zip</v>
      </c>
      <c r="U1265" s="29" t="str">
        <f>HYPERLINK("https://ictv.global/taxonomy/taxondetails?taxnode_id=202300825","ictv.global=202300825")</f>
        <v>ictv.global=202300825</v>
      </c>
    </row>
    <row r="1266" spans="1:21">
      <c r="A1266">
        <v>1265</v>
      </c>
      <c r="B1266" s="30" t="s">
        <v>1587</v>
      </c>
      <c r="D1266" s="30" t="s">
        <v>1588</v>
      </c>
      <c r="F1266" s="30" t="s">
        <v>1591</v>
      </c>
      <c r="H1266" s="30" t="s">
        <v>1592</v>
      </c>
      <c r="L1266" s="30" t="s">
        <v>1757</v>
      </c>
      <c r="M1266" s="30" t="s">
        <v>654</v>
      </c>
      <c r="N1266" s="30" t="s">
        <v>1451</v>
      </c>
      <c r="P1266" s="30" t="s">
        <v>5030</v>
      </c>
      <c r="Q1266" t="s">
        <v>619</v>
      </c>
      <c r="R1266" t="s">
        <v>918</v>
      </c>
      <c r="S1266">
        <v>37</v>
      </c>
      <c r="T1266" s="29" t="str">
        <f>HYPERLINK("https://ictv.global/ictv/proposals/2021.010B.R.Binomial_names.zip","2021.010B.R.Binomial_names.zip")</f>
        <v>2021.010B.R.Binomial_names.zip</v>
      </c>
      <c r="U1266" s="29" t="str">
        <f>HYPERLINK("https://ictv.global/taxonomy/taxondetails?taxnode_id=202308160","ictv.global=202308160")</f>
        <v>ictv.global=202308160</v>
      </c>
    </row>
    <row r="1267" spans="1:21">
      <c r="A1267">
        <v>1266</v>
      </c>
      <c r="B1267" s="30" t="s">
        <v>1587</v>
      </c>
      <c r="D1267" s="30" t="s">
        <v>1588</v>
      </c>
      <c r="F1267" s="30" t="s">
        <v>1591</v>
      </c>
      <c r="H1267" s="30" t="s">
        <v>1592</v>
      </c>
      <c r="L1267" s="30" t="s">
        <v>1757</v>
      </c>
      <c r="M1267" s="30" t="s">
        <v>654</v>
      </c>
      <c r="N1267" s="30" t="s">
        <v>1451</v>
      </c>
      <c r="P1267" s="30" t="s">
        <v>11974</v>
      </c>
      <c r="Q1267" t="s">
        <v>619</v>
      </c>
      <c r="R1267" t="s">
        <v>917</v>
      </c>
      <c r="S1267">
        <v>39</v>
      </c>
      <c r="T1267" s="29" t="str">
        <f>HYPERLINK("https://ictv.global/ictv/proposals/2023.071B.Tunavirinae_10ns.zip","2023.071B.Tunavirinae_10ns.zip")</f>
        <v>2023.071B.Tunavirinae_10ns.zip</v>
      </c>
      <c r="U1267" s="29" t="str">
        <f>HYPERLINK("https://ictv.global/taxonomy/taxondetails?taxnode_id=202319400","ictv.global=202319400")</f>
        <v>ictv.global=202319400</v>
      </c>
    </row>
    <row r="1268" spans="1:21">
      <c r="A1268">
        <v>1267</v>
      </c>
      <c r="B1268" s="30" t="s">
        <v>1587</v>
      </c>
      <c r="D1268" s="30" t="s">
        <v>1588</v>
      </c>
      <c r="F1268" s="30" t="s">
        <v>1591</v>
      </c>
      <c r="H1268" s="30" t="s">
        <v>1592</v>
      </c>
      <c r="L1268" s="30" t="s">
        <v>1757</v>
      </c>
      <c r="M1268" s="30" t="s">
        <v>654</v>
      </c>
      <c r="N1268" s="30" t="s">
        <v>1451</v>
      </c>
      <c r="P1268" s="30" t="s">
        <v>11975</v>
      </c>
      <c r="Q1268" t="s">
        <v>619</v>
      </c>
      <c r="R1268" t="s">
        <v>917</v>
      </c>
      <c r="S1268">
        <v>39</v>
      </c>
      <c r="T1268" s="29" t="str">
        <f>HYPERLINK("https://ictv.global/ictv/proposals/2023.071B.Tunavirinae_10ns.zip","2023.071B.Tunavirinae_10ns.zip")</f>
        <v>2023.071B.Tunavirinae_10ns.zip</v>
      </c>
      <c r="U1268" s="29" t="str">
        <f>HYPERLINK("https://ictv.global/taxonomy/taxondetails?taxnode_id=202319406","ictv.global=202319406")</f>
        <v>ictv.global=202319406</v>
      </c>
    </row>
    <row r="1269" spans="1:21">
      <c r="A1269">
        <v>1268</v>
      </c>
      <c r="B1269" s="30" t="s">
        <v>1587</v>
      </c>
      <c r="D1269" s="30" t="s">
        <v>1588</v>
      </c>
      <c r="F1269" s="30" t="s">
        <v>1591</v>
      </c>
      <c r="H1269" s="30" t="s">
        <v>1592</v>
      </c>
      <c r="L1269" s="30" t="s">
        <v>1757</v>
      </c>
      <c r="M1269" s="30" t="s">
        <v>654</v>
      </c>
      <c r="N1269" s="30" t="s">
        <v>1451</v>
      </c>
      <c r="P1269" s="30" t="s">
        <v>5031</v>
      </c>
      <c r="Q1269" t="s">
        <v>619</v>
      </c>
      <c r="R1269" t="s">
        <v>918</v>
      </c>
      <c r="S1269">
        <v>37</v>
      </c>
      <c r="T1269" s="29" t="str">
        <f t="shared" ref="T1269:T1274" si="55">HYPERLINK("https://ictv.global/ictv/proposals/2021.010B.R.Binomial_names.zip","2021.010B.R.Binomial_names.zip")</f>
        <v>2021.010B.R.Binomial_names.zip</v>
      </c>
      <c r="U1269" s="29" t="str">
        <f>HYPERLINK("https://ictv.global/taxonomy/taxondetails?taxnode_id=202312057","ictv.global=202312057")</f>
        <v>ictv.global=202312057</v>
      </c>
    </row>
    <row r="1270" spans="1:21">
      <c r="A1270">
        <v>1269</v>
      </c>
      <c r="B1270" s="30" t="s">
        <v>1587</v>
      </c>
      <c r="D1270" s="30" t="s">
        <v>1588</v>
      </c>
      <c r="F1270" s="30" t="s">
        <v>1591</v>
      </c>
      <c r="H1270" s="30" t="s">
        <v>1592</v>
      </c>
      <c r="L1270" s="30" t="s">
        <v>1757</v>
      </c>
      <c r="M1270" s="30" t="s">
        <v>654</v>
      </c>
      <c r="N1270" s="30" t="s">
        <v>1451</v>
      </c>
      <c r="P1270" s="30" t="s">
        <v>5032</v>
      </c>
      <c r="Q1270" t="s">
        <v>619</v>
      </c>
      <c r="R1270" t="s">
        <v>918</v>
      </c>
      <c r="S1270">
        <v>37</v>
      </c>
      <c r="T1270" s="29" t="str">
        <f t="shared" si="55"/>
        <v>2021.010B.R.Binomial_names.zip</v>
      </c>
      <c r="U1270" s="29" t="str">
        <f>HYPERLINK("https://ictv.global/taxonomy/taxondetails?taxnode_id=202308164","ictv.global=202308164")</f>
        <v>ictv.global=202308164</v>
      </c>
    </row>
    <row r="1271" spans="1:21">
      <c r="A1271">
        <v>1270</v>
      </c>
      <c r="B1271" s="30" t="s">
        <v>1587</v>
      </c>
      <c r="D1271" s="30" t="s">
        <v>1588</v>
      </c>
      <c r="F1271" s="30" t="s">
        <v>1591</v>
      </c>
      <c r="H1271" s="30" t="s">
        <v>1592</v>
      </c>
      <c r="L1271" s="30" t="s">
        <v>1757</v>
      </c>
      <c r="M1271" s="30" t="s">
        <v>654</v>
      </c>
      <c r="N1271" s="30" t="s">
        <v>1451</v>
      </c>
      <c r="P1271" s="30" t="s">
        <v>5033</v>
      </c>
      <c r="Q1271" t="s">
        <v>619</v>
      </c>
      <c r="R1271" t="s">
        <v>918</v>
      </c>
      <c r="S1271">
        <v>37</v>
      </c>
      <c r="T1271" s="29" t="str">
        <f t="shared" si="55"/>
        <v>2021.010B.R.Binomial_names.zip</v>
      </c>
      <c r="U1271" s="29" t="str">
        <f>HYPERLINK("https://ictv.global/taxonomy/taxondetails?taxnode_id=202308161","ictv.global=202308161")</f>
        <v>ictv.global=202308161</v>
      </c>
    </row>
    <row r="1272" spans="1:21">
      <c r="A1272">
        <v>1271</v>
      </c>
      <c r="B1272" s="30" t="s">
        <v>1587</v>
      </c>
      <c r="D1272" s="30" t="s">
        <v>1588</v>
      </c>
      <c r="F1272" s="30" t="s">
        <v>1591</v>
      </c>
      <c r="H1272" s="30" t="s">
        <v>1592</v>
      </c>
      <c r="L1272" s="30" t="s">
        <v>1757</v>
      </c>
      <c r="M1272" s="30" t="s">
        <v>654</v>
      </c>
      <c r="N1272" s="30" t="s">
        <v>1451</v>
      </c>
      <c r="P1272" s="30" t="s">
        <v>5034</v>
      </c>
      <c r="Q1272" t="s">
        <v>619</v>
      </c>
      <c r="R1272" t="s">
        <v>918</v>
      </c>
      <c r="S1272">
        <v>37</v>
      </c>
      <c r="T1272" s="29" t="str">
        <f t="shared" si="55"/>
        <v>2021.010B.R.Binomial_names.zip</v>
      </c>
      <c r="U1272" s="29" t="str">
        <f>HYPERLINK("https://ictv.global/taxonomy/taxondetails?taxnode_id=202307089","ictv.global=202307089")</f>
        <v>ictv.global=202307089</v>
      </c>
    </row>
    <row r="1273" spans="1:21">
      <c r="A1273">
        <v>1272</v>
      </c>
      <c r="B1273" s="30" t="s">
        <v>1587</v>
      </c>
      <c r="D1273" s="30" t="s">
        <v>1588</v>
      </c>
      <c r="F1273" s="30" t="s">
        <v>1591</v>
      </c>
      <c r="H1273" s="30" t="s">
        <v>1592</v>
      </c>
      <c r="L1273" s="30" t="s">
        <v>1757</v>
      </c>
      <c r="M1273" s="30" t="s">
        <v>654</v>
      </c>
      <c r="N1273" s="30" t="s">
        <v>1451</v>
      </c>
      <c r="P1273" s="30" t="s">
        <v>5035</v>
      </c>
      <c r="Q1273" t="s">
        <v>619</v>
      </c>
      <c r="R1273" t="s">
        <v>918</v>
      </c>
      <c r="S1273">
        <v>37</v>
      </c>
      <c r="T1273" s="29" t="str">
        <f t="shared" si="55"/>
        <v>2021.010B.R.Binomial_names.zip</v>
      </c>
      <c r="U1273" s="29" t="str">
        <f>HYPERLINK("https://ictv.global/taxonomy/taxondetails?taxnode_id=202300826","ictv.global=202300826")</f>
        <v>ictv.global=202300826</v>
      </c>
    </row>
    <row r="1274" spans="1:21">
      <c r="A1274">
        <v>1273</v>
      </c>
      <c r="B1274" s="30" t="s">
        <v>1587</v>
      </c>
      <c r="D1274" s="30" t="s">
        <v>1588</v>
      </c>
      <c r="F1274" s="30" t="s">
        <v>1591</v>
      </c>
      <c r="H1274" s="30" t="s">
        <v>1592</v>
      </c>
      <c r="L1274" s="30" t="s">
        <v>1757</v>
      </c>
      <c r="M1274" s="30" t="s">
        <v>654</v>
      </c>
      <c r="N1274" s="30" t="s">
        <v>1451</v>
      </c>
      <c r="P1274" s="30" t="s">
        <v>5036</v>
      </c>
      <c r="Q1274" t="s">
        <v>619</v>
      </c>
      <c r="R1274" t="s">
        <v>918</v>
      </c>
      <c r="S1274">
        <v>37</v>
      </c>
      <c r="T1274" s="29" t="str">
        <f t="shared" si="55"/>
        <v>2021.010B.R.Binomial_names.zip</v>
      </c>
      <c r="U1274" s="29" t="str">
        <f>HYPERLINK("https://ictv.global/taxonomy/taxondetails?taxnode_id=202300827","ictv.global=202300827")</f>
        <v>ictv.global=202300827</v>
      </c>
    </row>
    <row r="1275" spans="1:21">
      <c r="A1275">
        <v>1274</v>
      </c>
      <c r="B1275" s="30" t="s">
        <v>1587</v>
      </c>
      <c r="D1275" s="30" t="s">
        <v>1588</v>
      </c>
      <c r="F1275" s="30" t="s">
        <v>1591</v>
      </c>
      <c r="H1275" s="30" t="s">
        <v>1592</v>
      </c>
      <c r="L1275" s="30" t="s">
        <v>1757</v>
      </c>
      <c r="M1275" s="30" t="s">
        <v>654</v>
      </c>
      <c r="N1275" s="30" t="s">
        <v>1451</v>
      </c>
      <c r="P1275" s="30" t="s">
        <v>11976</v>
      </c>
      <c r="Q1275" t="s">
        <v>619</v>
      </c>
      <c r="R1275" t="s">
        <v>917</v>
      </c>
      <c r="S1275">
        <v>39</v>
      </c>
      <c r="T1275" s="29" t="str">
        <f>HYPERLINK("https://ictv.global/ictv/proposals/2023.071B.Tunavirinae_10ns.zip","2023.071B.Tunavirinae_10ns.zip")</f>
        <v>2023.071B.Tunavirinae_10ns.zip</v>
      </c>
      <c r="U1275" s="29" t="str">
        <f>HYPERLINK("https://ictv.global/taxonomy/taxondetails?taxnode_id=202319407","ictv.global=202319407")</f>
        <v>ictv.global=202319407</v>
      </c>
    </row>
    <row r="1276" spans="1:21">
      <c r="A1276">
        <v>1275</v>
      </c>
      <c r="B1276" s="30" t="s">
        <v>1587</v>
      </c>
      <c r="D1276" s="30" t="s">
        <v>1588</v>
      </c>
      <c r="F1276" s="30" t="s">
        <v>1591</v>
      </c>
      <c r="H1276" s="30" t="s">
        <v>1592</v>
      </c>
      <c r="L1276" s="30" t="s">
        <v>1757</v>
      </c>
      <c r="M1276" s="30" t="s">
        <v>654</v>
      </c>
      <c r="N1276" s="30" t="s">
        <v>1451</v>
      </c>
      <c r="P1276" s="30" t="s">
        <v>11977</v>
      </c>
      <c r="Q1276" t="s">
        <v>619</v>
      </c>
      <c r="R1276" t="s">
        <v>917</v>
      </c>
      <c r="S1276">
        <v>39</v>
      </c>
      <c r="T1276" s="29" t="str">
        <f>HYPERLINK("https://ictv.global/ictv/proposals/2023.071B.Tunavirinae_10ns.zip","2023.071B.Tunavirinae_10ns.zip")</f>
        <v>2023.071B.Tunavirinae_10ns.zip</v>
      </c>
      <c r="U1276" s="29" t="str">
        <f>HYPERLINK("https://ictv.global/taxonomy/taxondetails?taxnode_id=202319404","ictv.global=202319404")</f>
        <v>ictv.global=202319404</v>
      </c>
    </row>
    <row r="1277" spans="1:21">
      <c r="A1277">
        <v>1276</v>
      </c>
      <c r="B1277" s="30" t="s">
        <v>1587</v>
      </c>
      <c r="D1277" s="30" t="s">
        <v>1588</v>
      </c>
      <c r="F1277" s="30" t="s">
        <v>1591</v>
      </c>
      <c r="H1277" s="30" t="s">
        <v>1592</v>
      </c>
      <c r="L1277" s="30" t="s">
        <v>1757</v>
      </c>
      <c r="M1277" s="30" t="s">
        <v>654</v>
      </c>
      <c r="N1277" s="30" t="s">
        <v>1451</v>
      </c>
      <c r="P1277" s="30" t="s">
        <v>11978</v>
      </c>
      <c r="Q1277" t="s">
        <v>619</v>
      </c>
      <c r="R1277" t="s">
        <v>917</v>
      </c>
      <c r="S1277">
        <v>39</v>
      </c>
      <c r="T1277" s="29" t="str">
        <f>HYPERLINK("https://ictv.global/ictv/proposals/2023.071B.Tunavirinae_10ns.zip","2023.071B.Tunavirinae_10ns.zip")</f>
        <v>2023.071B.Tunavirinae_10ns.zip</v>
      </c>
      <c r="U1277" s="29" t="str">
        <f>HYPERLINK("https://ictv.global/taxonomy/taxondetails?taxnode_id=202319405","ictv.global=202319405")</f>
        <v>ictv.global=202319405</v>
      </c>
    </row>
    <row r="1278" spans="1:21">
      <c r="A1278">
        <v>1277</v>
      </c>
      <c r="B1278" s="30" t="s">
        <v>1587</v>
      </c>
      <c r="D1278" s="30" t="s">
        <v>1588</v>
      </c>
      <c r="F1278" s="30" t="s">
        <v>1591</v>
      </c>
      <c r="H1278" s="30" t="s">
        <v>1592</v>
      </c>
      <c r="L1278" s="30" t="s">
        <v>1757</v>
      </c>
      <c r="M1278" s="30" t="s">
        <v>654</v>
      </c>
      <c r="N1278" s="30" t="s">
        <v>1451</v>
      </c>
      <c r="P1278" s="30" t="s">
        <v>5037</v>
      </c>
      <c r="Q1278" t="s">
        <v>619</v>
      </c>
      <c r="R1278" t="s">
        <v>918</v>
      </c>
      <c r="S1278">
        <v>37</v>
      </c>
      <c r="T1278" s="29" t="str">
        <f>HYPERLINK("https://ictv.global/ictv/proposals/2021.010B.R.Binomial_names.zip","2021.010B.R.Binomial_names.zip")</f>
        <v>2021.010B.R.Binomial_names.zip</v>
      </c>
      <c r="U1278" s="29" t="str">
        <f>HYPERLINK("https://ictv.global/taxonomy/taxondetails?taxnode_id=202300829","ictv.global=202300829")</f>
        <v>ictv.global=202300829</v>
      </c>
    </row>
    <row r="1279" spans="1:21">
      <c r="A1279">
        <v>1278</v>
      </c>
      <c r="B1279" s="30" t="s">
        <v>1587</v>
      </c>
      <c r="D1279" s="30" t="s">
        <v>1588</v>
      </c>
      <c r="F1279" s="30" t="s">
        <v>1591</v>
      </c>
      <c r="H1279" s="30" t="s">
        <v>1592</v>
      </c>
      <c r="L1279" s="30" t="s">
        <v>1757</v>
      </c>
      <c r="M1279" s="30" t="s">
        <v>654</v>
      </c>
      <c r="N1279" s="30" t="s">
        <v>1451</v>
      </c>
      <c r="P1279" s="30" t="s">
        <v>11979</v>
      </c>
      <c r="Q1279" t="s">
        <v>619</v>
      </c>
      <c r="R1279" t="s">
        <v>917</v>
      </c>
      <c r="S1279">
        <v>39</v>
      </c>
      <c r="T1279" s="29" t="str">
        <f>HYPERLINK("https://ictv.global/ictv/proposals/2023.071B.Tunavirinae_10ns.zip","2023.071B.Tunavirinae_10ns.zip")</f>
        <v>2023.071B.Tunavirinae_10ns.zip</v>
      </c>
      <c r="U1279" s="29" t="str">
        <f>HYPERLINK("https://ictv.global/taxonomy/taxondetails?taxnode_id=202319403","ictv.global=202319403")</f>
        <v>ictv.global=202319403</v>
      </c>
    </row>
    <row r="1280" spans="1:21">
      <c r="A1280">
        <v>1279</v>
      </c>
      <c r="B1280" s="30" t="s">
        <v>1587</v>
      </c>
      <c r="D1280" s="30" t="s">
        <v>1588</v>
      </c>
      <c r="F1280" s="30" t="s">
        <v>1591</v>
      </c>
      <c r="H1280" s="30" t="s">
        <v>1592</v>
      </c>
      <c r="L1280" s="30" t="s">
        <v>1757</v>
      </c>
      <c r="M1280" s="30" t="s">
        <v>654</v>
      </c>
      <c r="N1280" s="30" t="s">
        <v>1451</v>
      </c>
      <c r="P1280" s="30" t="s">
        <v>11980</v>
      </c>
      <c r="Q1280" t="s">
        <v>619</v>
      </c>
      <c r="R1280" t="s">
        <v>917</v>
      </c>
      <c r="S1280">
        <v>39</v>
      </c>
      <c r="T1280" s="29" t="str">
        <f>HYPERLINK("https://ictv.global/ictv/proposals/2023.071B.Tunavirinae_10ns.zip","2023.071B.Tunavirinae_10ns.zip")</f>
        <v>2023.071B.Tunavirinae_10ns.zip</v>
      </c>
      <c r="U1280" s="29" t="str">
        <f>HYPERLINK("https://ictv.global/taxonomy/taxondetails?taxnode_id=202319399","ictv.global=202319399")</f>
        <v>ictv.global=202319399</v>
      </c>
    </row>
    <row r="1281" spans="1:21">
      <c r="A1281">
        <v>1280</v>
      </c>
      <c r="B1281" s="30" t="s">
        <v>1587</v>
      </c>
      <c r="D1281" s="30" t="s">
        <v>1588</v>
      </c>
      <c r="F1281" s="30" t="s">
        <v>1591</v>
      </c>
      <c r="H1281" s="30" t="s">
        <v>1592</v>
      </c>
      <c r="L1281" s="30" t="s">
        <v>1757</v>
      </c>
      <c r="M1281" s="30" t="s">
        <v>654</v>
      </c>
      <c r="N1281" s="30" t="s">
        <v>1451</v>
      </c>
      <c r="P1281" s="30" t="s">
        <v>11981</v>
      </c>
      <c r="Q1281" t="s">
        <v>619</v>
      </c>
      <c r="R1281" t="s">
        <v>917</v>
      </c>
      <c r="S1281">
        <v>39</v>
      </c>
      <c r="T1281" s="29" t="str">
        <f>HYPERLINK("https://ictv.global/ictv/proposals/2023.071B.Tunavirinae_10ns.zip","2023.071B.Tunavirinae_10ns.zip")</f>
        <v>2023.071B.Tunavirinae_10ns.zip</v>
      </c>
      <c r="U1281" s="29" t="str">
        <f>HYPERLINK("https://ictv.global/taxonomy/taxondetails?taxnode_id=202319401","ictv.global=202319401")</f>
        <v>ictv.global=202319401</v>
      </c>
    </row>
    <row r="1282" spans="1:21">
      <c r="A1282">
        <v>1281</v>
      </c>
      <c r="B1282" s="30" t="s">
        <v>1587</v>
      </c>
      <c r="D1282" s="30" t="s">
        <v>1588</v>
      </c>
      <c r="F1282" s="30" t="s">
        <v>1591</v>
      </c>
      <c r="H1282" s="30" t="s">
        <v>1592</v>
      </c>
      <c r="L1282" s="30" t="s">
        <v>1757</v>
      </c>
      <c r="M1282" s="30" t="s">
        <v>654</v>
      </c>
      <c r="N1282" s="30" t="s">
        <v>1451</v>
      </c>
      <c r="P1282" s="30" t="s">
        <v>11982</v>
      </c>
      <c r="Q1282" t="s">
        <v>619</v>
      </c>
      <c r="R1282" t="s">
        <v>917</v>
      </c>
      <c r="S1282">
        <v>39</v>
      </c>
      <c r="T1282" s="29" t="str">
        <f>HYPERLINK("https://ictv.global/ictv/proposals/2023.071B.Tunavirinae_10ns.zip","2023.071B.Tunavirinae_10ns.zip")</f>
        <v>2023.071B.Tunavirinae_10ns.zip</v>
      </c>
      <c r="U1282" s="29" t="str">
        <f>HYPERLINK("https://ictv.global/taxonomy/taxondetails?taxnode_id=202319402","ictv.global=202319402")</f>
        <v>ictv.global=202319402</v>
      </c>
    </row>
    <row r="1283" spans="1:21">
      <c r="A1283">
        <v>1282</v>
      </c>
      <c r="B1283" s="30" t="s">
        <v>1587</v>
      </c>
      <c r="D1283" s="30" t="s">
        <v>1588</v>
      </c>
      <c r="F1283" s="30" t="s">
        <v>1591</v>
      </c>
      <c r="H1283" s="30" t="s">
        <v>1592</v>
      </c>
      <c r="L1283" s="30" t="s">
        <v>1757</v>
      </c>
      <c r="M1283" s="30" t="s">
        <v>654</v>
      </c>
      <c r="N1283" s="30" t="s">
        <v>1451</v>
      </c>
      <c r="P1283" s="30" t="s">
        <v>5038</v>
      </c>
      <c r="Q1283" t="s">
        <v>619</v>
      </c>
      <c r="R1283" t="s">
        <v>918</v>
      </c>
      <c r="S1283">
        <v>37</v>
      </c>
      <c r="T1283" s="29" t="str">
        <f t="shared" ref="T1283:T1296" si="56">HYPERLINK("https://ictv.global/ictv/proposals/2021.010B.R.Binomial_names.zip","2021.010B.R.Binomial_names.zip")</f>
        <v>2021.010B.R.Binomial_names.zip</v>
      </c>
      <c r="U1283" s="29" t="str">
        <f>HYPERLINK("https://ictv.global/taxonomy/taxondetails?taxnode_id=202308163","ictv.global=202308163")</f>
        <v>ictv.global=202308163</v>
      </c>
    </row>
    <row r="1284" spans="1:21">
      <c r="A1284">
        <v>1283</v>
      </c>
      <c r="B1284" s="30" t="s">
        <v>1587</v>
      </c>
      <c r="D1284" s="30" t="s">
        <v>1588</v>
      </c>
      <c r="F1284" s="30" t="s">
        <v>1591</v>
      </c>
      <c r="H1284" s="30" t="s">
        <v>1592</v>
      </c>
      <c r="L1284" s="30" t="s">
        <v>1757</v>
      </c>
      <c r="M1284" s="30" t="s">
        <v>654</v>
      </c>
      <c r="N1284" s="30" t="s">
        <v>1451</v>
      </c>
      <c r="P1284" s="30" t="s">
        <v>5039</v>
      </c>
      <c r="Q1284" t="s">
        <v>619</v>
      </c>
      <c r="R1284" t="s">
        <v>918</v>
      </c>
      <c r="S1284">
        <v>37</v>
      </c>
      <c r="T1284" s="29" t="str">
        <f t="shared" si="56"/>
        <v>2021.010B.R.Binomial_names.zip</v>
      </c>
      <c r="U1284" s="29" t="str">
        <f>HYPERLINK("https://ictv.global/taxonomy/taxondetails?taxnode_id=202312056","ictv.global=202312056")</f>
        <v>ictv.global=202312056</v>
      </c>
    </row>
    <row r="1285" spans="1:21">
      <c r="A1285">
        <v>1284</v>
      </c>
      <c r="B1285" s="30" t="s">
        <v>1587</v>
      </c>
      <c r="D1285" s="30" t="s">
        <v>1588</v>
      </c>
      <c r="F1285" s="30" t="s">
        <v>1591</v>
      </c>
      <c r="H1285" s="30" t="s">
        <v>1592</v>
      </c>
      <c r="L1285" s="30" t="s">
        <v>1757</v>
      </c>
      <c r="M1285" s="30" t="s">
        <v>654</v>
      </c>
      <c r="N1285" s="30" t="s">
        <v>1451</v>
      </c>
      <c r="P1285" s="30" t="s">
        <v>5040</v>
      </c>
      <c r="Q1285" t="s">
        <v>619</v>
      </c>
      <c r="R1285" t="s">
        <v>918</v>
      </c>
      <c r="S1285">
        <v>37</v>
      </c>
      <c r="T1285" s="29" t="str">
        <f t="shared" si="56"/>
        <v>2021.010B.R.Binomial_names.zip</v>
      </c>
      <c r="U1285" s="29" t="str">
        <f>HYPERLINK("https://ictv.global/taxonomy/taxondetails?taxnode_id=202308165","ictv.global=202308165")</f>
        <v>ictv.global=202308165</v>
      </c>
    </row>
    <row r="1286" spans="1:21">
      <c r="A1286">
        <v>1285</v>
      </c>
      <c r="B1286" s="30" t="s">
        <v>1587</v>
      </c>
      <c r="D1286" s="30" t="s">
        <v>1588</v>
      </c>
      <c r="F1286" s="30" t="s">
        <v>1591</v>
      </c>
      <c r="H1286" s="30" t="s">
        <v>1592</v>
      </c>
      <c r="L1286" s="30" t="s">
        <v>1757</v>
      </c>
      <c r="M1286" s="30" t="s">
        <v>654</v>
      </c>
      <c r="N1286" s="30" t="s">
        <v>1451</v>
      </c>
      <c r="P1286" s="30" t="s">
        <v>5041</v>
      </c>
      <c r="Q1286" t="s">
        <v>619</v>
      </c>
      <c r="R1286" t="s">
        <v>918</v>
      </c>
      <c r="S1286">
        <v>37</v>
      </c>
      <c r="T1286" s="29" t="str">
        <f t="shared" si="56"/>
        <v>2021.010B.R.Binomial_names.zip</v>
      </c>
      <c r="U1286" s="29" t="str">
        <f>HYPERLINK("https://ictv.global/taxonomy/taxondetails?taxnode_id=202308159","ictv.global=202308159")</f>
        <v>ictv.global=202308159</v>
      </c>
    </row>
    <row r="1287" spans="1:21">
      <c r="A1287">
        <v>1286</v>
      </c>
      <c r="B1287" s="30" t="s">
        <v>1587</v>
      </c>
      <c r="D1287" s="30" t="s">
        <v>1588</v>
      </c>
      <c r="F1287" s="30" t="s">
        <v>1591</v>
      </c>
      <c r="H1287" s="30" t="s">
        <v>1592</v>
      </c>
      <c r="L1287" s="30" t="s">
        <v>1757</v>
      </c>
      <c r="M1287" s="30" t="s">
        <v>654</v>
      </c>
      <c r="N1287" s="30" t="s">
        <v>1451</v>
      </c>
      <c r="P1287" s="30" t="s">
        <v>5042</v>
      </c>
      <c r="Q1287" t="s">
        <v>619</v>
      </c>
      <c r="R1287" t="s">
        <v>918</v>
      </c>
      <c r="S1287">
        <v>37</v>
      </c>
      <c r="T1287" s="29" t="str">
        <f t="shared" si="56"/>
        <v>2021.010B.R.Binomial_names.zip</v>
      </c>
      <c r="U1287" s="29" t="str">
        <f>HYPERLINK("https://ictv.global/taxonomy/taxondetails?taxnode_id=202300830","ictv.global=202300830")</f>
        <v>ictv.global=202300830</v>
      </c>
    </row>
    <row r="1288" spans="1:21">
      <c r="A1288">
        <v>1287</v>
      </c>
      <c r="B1288" s="30" t="s">
        <v>1587</v>
      </c>
      <c r="D1288" s="30" t="s">
        <v>1588</v>
      </c>
      <c r="F1288" s="30" t="s">
        <v>1591</v>
      </c>
      <c r="H1288" s="30" t="s">
        <v>1592</v>
      </c>
      <c r="L1288" s="30" t="s">
        <v>1757</v>
      </c>
      <c r="M1288" s="30" t="s">
        <v>654</v>
      </c>
      <c r="N1288" s="30" t="s">
        <v>1451</v>
      </c>
      <c r="P1288" s="30" t="s">
        <v>5043</v>
      </c>
      <c r="Q1288" t="s">
        <v>619</v>
      </c>
      <c r="R1288" t="s">
        <v>918</v>
      </c>
      <c r="S1288">
        <v>37</v>
      </c>
      <c r="T1288" s="29" t="str">
        <f t="shared" si="56"/>
        <v>2021.010B.R.Binomial_names.zip</v>
      </c>
      <c r="U1288" s="29" t="str">
        <f>HYPERLINK("https://ictv.global/taxonomy/taxondetails?taxnode_id=202300828","ictv.global=202300828")</f>
        <v>ictv.global=202300828</v>
      </c>
    </row>
    <row r="1289" spans="1:21">
      <c r="A1289">
        <v>1288</v>
      </c>
      <c r="B1289" s="30" t="s">
        <v>1587</v>
      </c>
      <c r="D1289" s="30" t="s">
        <v>1588</v>
      </c>
      <c r="F1289" s="30" t="s">
        <v>1591</v>
      </c>
      <c r="H1289" s="30" t="s">
        <v>1592</v>
      </c>
      <c r="L1289" s="30" t="s">
        <v>1757</v>
      </c>
      <c r="N1289" s="30" t="s">
        <v>1447</v>
      </c>
      <c r="P1289" s="30" t="s">
        <v>5044</v>
      </c>
      <c r="Q1289" t="s">
        <v>619</v>
      </c>
      <c r="R1289" t="s">
        <v>918</v>
      </c>
      <c r="S1289">
        <v>37</v>
      </c>
      <c r="T1289" s="29" t="str">
        <f t="shared" si="56"/>
        <v>2021.010B.R.Binomial_names.zip</v>
      </c>
      <c r="U1289" s="29" t="str">
        <f>HYPERLINK("https://ictv.global/taxonomy/taxondetails?taxnode_id=202307067","ictv.global=202307067")</f>
        <v>ictv.global=202307067</v>
      </c>
    </row>
    <row r="1290" spans="1:21">
      <c r="A1290">
        <v>1289</v>
      </c>
      <c r="B1290" s="30" t="s">
        <v>1587</v>
      </c>
      <c r="D1290" s="30" t="s">
        <v>1588</v>
      </c>
      <c r="F1290" s="30" t="s">
        <v>1591</v>
      </c>
      <c r="H1290" s="30" t="s">
        <v>1592</v>
      </c>
      <c r="L1290" s="30" t="s">
        <v>1757</v>
      </c>
      <c r="N1290" s="30" t="s">
        <v>2217</v>
      </c>
      <c r="P1290" s="30" t="s">
        <v>5045</v>
      </c>
      <c r="Q1290" t="s">
        <v>619</v>
      </c>
      <c r="R1290" t="s">
        <v>918</v>
      </c>
      <c r="S1290">
        <v>37</v>
      </c>
      <c r="T1290" s="29" t="str">
        <f t="shared" si="56"/>
        <v>2021.010B.R.Binomial_names.zip</v>
      </c>
      <c r="U1290" s="29" t="str">
        <f>HYPERLINK("https://ictv.global/taxonomy/taxondetails?taxnode_id=202309977","ictv.global=202309977")</f>
        <v>ictv.global=202309977</v>
      </c>
    </row>
    <row r="1291" spans="1:21">
      <c r="A1291">
        <v>1290</v>
      </c>
      <c r="B1291" s="30" t="s">
        <v>1587</v>
      </c>
      <c r="D1291" s="30" t="s">
        <v>1588</v>
      </c>
      <c r="F1291" s="30" t="s">
        <v>1591</v>
      </c>
      <c r="H1291" s="30" t="s">
        <v>1592</v>
      </c>
      <c r="L1291" s="30" t="s">
        <v>1757</v>
      </c>
      <c r="N1291" s="30" t="s">
        <v>2218</v>
      </c>
      <c r="P1291" s="30" t="s">
        <v>5046</v>
      </c>
      <c r="Q1291" t="s">
        <v>619</v>
      </c>
      <c r="R1291" t="s">
        <v>918</v>
      </c>
      <c r="S1291">
        <v>37</v>
      </c>
      <c r="T1291" s="29" t="str">
        <f t="shared" si="56"/>
        <v>2021.010B.R.Binomial_names.zip</v>
      </c>
      <c r="U1291" s="29" t="str">
        <f>HYPERLINK("https://ictv.global/taxonomy/taxondetails?taxnode_id=202309979","ictv.global=202309979")</f>
        <v>ictv.global=202309979</v>
      </c>
    </row>
    <row r="1292" spans="1:21">
      <c r="A1292">
        <v>1291</v>
      </c>
      <c r="B1292" s="30" t="s">
        <v>1587</v>
      </c>
      <c r="D1292" s="30" t="s">
        <v>1588</v>
      </c>
      <c r="F1292" s="30" t="s">
        <v>1591</v>
      </c>
      <c r="H1292" s="30" t="s">
        <v>1592</v>
      </c>
      <c r="L1292" s="30" t="s">
        <v>1757</v>
      </c>
      <c r="N1292" s="30" t="s">
        <v>2219</v>
      </c>
      <c r="P1292" s="30" t="s">
        <v>5047</v>
      </c>
      <c r="Q1292" t="s">
        <v>619</v>
      </c>
      <c r="R1292" t="s">
        <v>918</v>
      </c>
      <c r="S1292">
        <v>37</v>
      </c>
      <c r="T1292" s="29" t="str">
        <f t="shared" si="56"/>
        <v>2021.010B.R.Binomial_names.zip</v>
      </c>
      <c r="U1292" s="29" t="str">
        <f>HYPERLINK("https://ictv.global/taxonomy/taxondetails?taxnode_id=202309981","ictv.global=202309981")</f>
        <v>ictv.global=202309981</v>
      </c>
    </row>
    <row r="1293" spans="1:21">
      <c r="A1293">
        <v>1292</v>
      </c>
      <c r="B1293" s="30" t="s">
        <v>1587</v>
      </c>
      <c r="D1293" s="30" t="s">
        <v>1588</v>
      </c>
      <c r="F1293" s="30" t="s">
        <v>1591</v>
      </c>
      <c r="H1293" s="30" t="s">
        <v>1592</v>
      </c>
      <c r="L1293" s="30" t="s">
        <v>1757</v>
      </c>
      <c r="N1293" s="30" t="s">
        <v>2219</v>
      </c>
      <c r="P1293" s="30" t="s">
        <v>5048</v>
      </c>
      <c r="Q1293" t="s">
        <v>619</v>
      </c>
      <c r="R1293" t="s">
        <v>918</v>
      </c>
      <c r="S1293">
        <v>37</v>
      </c>
      <c r="T1293" s="29" t="str">
        <f t="shared" si="56"/>
        <v>2021.010B.R.Binomial_names.zip</v>
      </c>
      <c r="U1293" s="29" t="str">
        <f>HYPERLINK("https://ictv.global/taxonomy/taxondetails?taxnode_id=202300836","ictv.global=202300836")</f>
        <v>ictv.global=202300836</v>
      </c>
    </row>
    <row r="1294" spans="1:21">
      <c r="A1294">
        <v>1293</v>
      </c>
      <c r="B1294" s="30" t="s">
        <v>1587</v>
      </c>
      <c r="D1294" s="30" t="s">
        <v>1588</v>
      </c>
      <c r="F1294" s="30" t="s">
        <v>1591</v>
      </c>
      <c r="H1294" s="30" t="s">
        <v>1592</v>
      </c>
      <c r="L1294" s="30" t="s">
        <v>1757</v>
      </c>
      <c r="N1294" s="30" t="s">
        <v>1769</v>
      </c>
      <c r="P1294" s="30" t="s">
        <v>5049</v>
      </c>
      <c r="Q1294" t="s">
        <v>619</v>
      </c>
      <c r="R1294" t="s">
        <v>918</v>
      </c>
      <c r="S1294">
        <v>37</v>
      </c>
      <c r="T1294" s="29" t="str">
        <f t="shared" si="56"/>
        <v>2021.010B.R.Binomial_names.zip</v>
      </c>
      <c r="U1294" s="29" t="str">
        <f>HYPERLINK("https://ictv.global/taxonomy/taxondetails?taxnode_id=202308172","ictv.global=202308172")</f>
        <v>ictv.global=202308172</v>
      </c>
    </row>
    <row r="1295" spans="1:21">
      <c r="A1295">
        <v>1294</v>
      </c>
      <c r="B1295" s="30" t="s">
        <v>1587</v>
      </c>
      <c r="D1295" s="30" t="s">
        <v>1588</v>
      </c>
      <c r="F1295" s="30" t="s">
        <v>1591</v>
      </c>
      <c r="H1295" s="30" t="s">
        <v>1592</v>
      </c>
      <c r="L1295" s="30" t="s">
        <v>1757</v>
      </c>
      <c r="N1295" s="30" t="s">
        <v>1770</v>
      </c>
      <c r="P1295" s="30" t="s">
        <v>5050</v>
      </c>
      <c r="Q1295" t="s">
        <v>619</v>
      </c>
      <c r="R1295" t="s">
        <v>918</v>
      </c>
      <c r="S1295">
        <v>37</v>
      </c>
      <c r="T1295" s="29" t="str">
        <f t="shared" si="56"/>
        <v>2021.010B.R.Binomial_names.zip</v>
      </c>
      <c r="U1295" s="29" t="str">
        <f>HYPERLINK("https://ictv.global/taxonomy/taxondetails?taxnode_id=202308174","ictv.global=202308174")</f>
        <v>ictv.global=202308174</v>
      </c>
    </row>
    <row r="1296" spans="1:21">
      <c r="A1296">
        <v>1295</v>
      </c>
      <c r="B1296" s="30" t="s">
        <v>1587</v>
      </c>
      <c r="D1296" s="30" t="s">
        <v>1588</v>
      </c>
      <c r="F1296" s="30" t="s">
        <v>1591</v>
      </c>
      <c r="H1296" s="30" t="s">
        <v>1592</v>
      </c>
      <c r="L1296" s="30" t="s">
        <v>1757</v>
      </c>
      <c r="N1296" s="30" t="s">
        <v>1771</v>
      </c>
      <c r="P1296" s="30" t="s">
        <v>5051</v>
      </c>
      <c r="Q1296" t="s">
        <v>619</v>
      </c>
      <c r="R1296" t="s">
        <v>918</v>
      </c>
      <c r="S1296">
        <v>37</v>
      </c>
      <c r="T1296" s="29" t="str">
        <f t="shared" si="56"/>
        <v>2021.010B.R.Binomial_names.zip</v>
      </c>
      <c r="U1296" s="29" t="str">
        <f>HYPERLINK("https://ictv.global/taxonomy/taxondetails?taxnode_id=202308717","ictv.global=202308717")</f>
        <v>ictv.global=202308717</v>
      </c>
    </row>
    <row r="1297" spans="1:21">
      <c r="A1297">
        <v>1296</v>
      </c>
      <c r="B1297" s="30" t="s">
        <v>1587</v>
      </c>
      <c r="D1297" s="30" t="s">
        <v>1588</v>
      </c>
      <c r="F1297" s="30" t="s">
        <v>1591</v>
      </c>
      <c r="H1297" s="30" t="s">
        <v>1592</v>
      </c>
      <c r="L1297" s="30" t="s">
        <v>1757</v>
      </c>
      <c r="N1297" s="30" t="s">
        <v>1452</v>
      </c>
      <c r="P1297" s="30" t="s">
        <v>11983</v>
      </c>
      <c r="Q1297" t="s">
        <v>619</v>
      </c>
      <c r="R1297" t="s">
        <v>917</v>
      </c>
      <c r="S1297">
        <v>39</v>
      </c>
      <c r="T1297" s="29" t="str">
        <f>HYPERLINK("https://ictv.global/ictv/proposals/2023.077B.Webervirus_68ns.zip","2023.077B.Webervirus_68ns.zip")</f>
        <v>2023.077B.Webervirus_68ns.zip</v>
      </c>
      <c r="U1297" s="29" t="str">
        <f>HYPERLINK("https://ictv.global/taxonomy/taxondetails?taxnode_id=202319565","ictv.global=202319565")</f>
        <v>ictv.global=202319565</v>
      </c>
    </row>
    <row r="1298" spans="1:21">
      <c r="A1298">
        <v>1297</v>
      </c>
      <c r="B1298" s="30" t="s">
        <v>1587</v>
      </c>
      <c r="D1298" s="30" t="s">
        <v>1588</v>
      </c>
      <c r="F1298" s="30" t="s">
        <v>1591</v>
      </c>
      <c r="H1298" s="30" t="s">
        <v>1592</v>
      </c>
      <c r="L1298" s="30" t="s">
        <v>1757</v>
      </c>
      <c r="N1298" s="30" t="s">
        <v>1452</v>
      </c>
      <c r="P1298" s="30" t="s">
        <v>11984</v>
      </c>
      <c r="Q1298" t="s">
        <v>619</v>
      </c>
      <c r="R1298" t="s">
        <v>917</v>
      </c>
      <c r="S1298">
        <v>39</v>
      </c>
      <c r="T1298" s="29" t="str">
        <f>HYPERLINK("https://ictv.global/ictv/proposals/2023.077B.Webervirus_68ns.zip","2023.077B.Webervirus_68ns.zip")</f>
        <v>2023.077B.Webervirus_68ns.zip</v>
      </c>
      <c r="U1298" s="29" t="str">
        <f>HYPERLINK("https://ictv.global/taxonomy/taxondetails?taxnode_id=202319560","ictv.global=202319560")</f>
        <v>ictv.global=202319560</v>
      </c>
    </row>
    <row r="1299" spans="1:21">
      <c r="A1299">
        <v>1298</v>
      </c>
      <c r="B1299" s="30" t="s">
        <v>1587</v>
      </c>
      <c r="D1299" s="30" t="s">
        <v>1588</v>
      </c>
      <c r="F1299" s="30" t="s">
        <v>1591</v>
      </c>
      <c r="H1299" s="30" t="s">
        <v>1592</v>
      </c>
      <c r="L1299" s="30" t="s">
        <v>1757</v>
      </c>
      <c r="N1299" s="30" t="s">
        <v>1452</v>
      </c>
      <c r="P1299" s="30" t="s">
        <v>11985</v>
      </c>
      <c r="Q1299" t="s">
        <v>619</v>
      </c>
      <c r="R1299" t="s">
        <v>917</v>
      </c>
      <c r="S1299">
        <v>39</v>
      </c>
      <c r="T1299" s="29" t="str">
        <f>HYPERLINK("https://ictv.global/ictv/proposals/2023.077B.Webervirus_68ns.zip","2023.077B.Webervirus_68ns.zip")</f>
        <v>2023.077B.Webervirus_68ns.zip</v>
      </c>
      <c r="U1299" s="29" t="str">
        <f>HYPERLINK("https://ictv.global/taxonomy/taxondetails?taxnode_id=202319540","ictv.global=202319540")</f>
        <v>ictv.global=202319540</v>
      </c>
    </row>
    <row r="1300" spans="1:21">
      <c r="A1300">
        <v>1299</v>
      </c>
      <c r="B1300" s="30" t="s">
        <v>1587</v>
      </c>
      <c r="D1300" s="30" t="s">
        <v>1588</v>
      </c>
      <c r="F1300" s="30" t="s">
        <v>1591</v>
      </c>
      <c r="H1300" s="30" t="s">
        <v>1592</v>
      </c>
      <c r="L1300" s="30" t="s">
        <v>1757</v>
      </c>
      <c r="N1300" s="30" t="s">
        <v>1452</v>
      </c>
      <c r="P1300" s="30" t="s">
        <v>5052</v>
      </c>
      <c r="Q1300" t="s">
        <v>619</v>
      </c>
      <c r="R1300" t="s">
        <v>918</v>
      </c>
      <c r="S1300">
        <v>37</v>
      </c>
      <c r="T1300" s="29" t="str">
        <f>HYPERLINK("https://ictv.global/ictv/proposals/2021.010B.R.Binomial_names.zip","2021.010B.R.Binomial_names.zip")</f>
        <v>2021.010B.R.Binomial_names.zip</v>
      </c>
      <c r="U1300" s="29" t="str">
        <f>HYPERLINK("https://ictv.global/taxonomy/taxondetails?taxnode_id=202312106","ictv.global=202312106")</f>
        <v>ictv.global=202312106</v>
      </c>
    </row>
    <row r="1301" spans="1:21">
      <c r="A1301">
        <v>1300</v>
      </c>
      <c r="B1301" s="30" t="s">
        <v>1587</v>
      </c>
      <c r="D1301" s="30" t="s">
        <v>1588</v>
      </c>
      <c r="F1301" s="30" t="s">
        <v>1591</v>
      </c>
      <c r="H1301" s="30" t="s">
        <v>1592</v>
      </c>
      <c r="L1301" s="30" t="s">
        <v>1757</v>
      </c>
      <c r="N1301" s="30" t="s">
        <v>1452</v>
      </c>
      <c r="P1301" s="30" t="s">
        <v>11986</v>
      </c>
      <c r="Q1301" t="s">
        <v>619</v>
      </c>
      <c r="R1301" t="s">
        <v>917</v>
      </c>
      <c r="S1301">
        <v>39</v>
      </c>
      <c r="T1301" s="29" t="str">
        <f>HYPERLINK("https://ictv.global/ictv/proposals/2023.077B.Webervirus_68ns.zip","2023.077B.Webervirus_68ns.zip")</f>
        <v>2023.077B.Webervirus_68ns.zip</v>
      </c>
      <c r="U1301" s="29" t="str">
        <f>HYPERLINK("https://ictv.global/taxonomy/taxondetails?taxnode_id=202319523","ictv.global=202319523")</f>
        <v>ictv.global=202319523</v>
      </c>
    </row>
    <row r="1302" spans="1:21">
      <c r="A1302">
        <v>1301</v>
      </c>
      <c r="B1302" s="30" t="s">
        <v>1587</v>
      </c>
      <c r="D1302" s="30" t="s">
        <v>1588</v>
      </c>
      <c r="F1302" s="30" t="s">
        <v>1591</v>
      </c>
      <c r="H1302" s="30" t="s">
        <v>1592</v>
      </c>
      <c r="L1302" s="30" t="s">
        <v>1757</v>
      </c>
      <c r="N1302" s="30" t="s">
        <v>1452</v>
      </c>
      <c r="P1302" s="30" t="s">
        <v>11987</v>
      </c>
      <c r="Q1302" t="s">
        <v>619</v>
      </c>
      <c r="R1302" t="s">
        <v>917</v>
      </c>
      <c r="S1302">
        <v>39</v>
      </c>
      <c r="T1302" s="29" t="str">
        <f>HYPERLINK("https://ictv.global/ictv/proposals/2023.077B.Webervirus_68ns.zip","2023.077B.Webervirus_68ns.zip")</f>
        <v>2023.077B.Webervirus_68ns.zip</v>
      </c>
      <c r="U1302" s="29" t="str">
        <f>HYPERLINK("https://ictv.global/taxonomy/taxondetails?taxnode_id=202319524","ictv.global=202319524")</f>
        <v>ictv.global=202319524</v>
      </c>
    </row>
    <row r="1303" spans="1:21">
      <c r="A1303">
        <v>1302</v>
      </c>
      <c r="B1303" s="30" t="s">
        <v>1587</v>
      </c>
      <c r="D1303" s="30" t="s">
        <v>1588</v>
      </c>
      <c r="F1303" s="30" t="s">
        <v>1591</v>
      </c>
      <c r="H1303" s="30" t="s">
        <v>1592</v>
      </c>
      <c r="L1303" s="30" t="s">
        <v>1757</v>
      </c>
      <c r="N1303" s="30" t="s">
        <v>1452</v>
      </c>
      <c r="P1303" s="30" t="s">
        <v>11988</v>
      </c>
      <c r="Q1303" t="s">
        <v>619</v>
      </c>
      <c r="R1303" t="s">
        <v>917</v>
      </c>
      <c r="S1303">
        <v>39</v>
      </c>
      <c r="T1303" s="29" t="str">
        <f>HYPERLINK("https://ictv.global/ictv/proposals/2023.077B.Webervirus_68ns.zip","2023.077B.Webervirus_68ns.zip")</f>
        <v>2023.077B.Webervirus_68ns.zip</v>
      </c>
      <c r="U1303" s="29" t="str">
        <f>HYPERLINK("https://ictv.global/taxonomy/taxondetails?taxnode_id=202319566","ictv.global=202319566")</f>
        <v>ictv.global=202319566</v>
      </c>
    </row>
    <row r="1304" spans="1:21">
      <c r="A1304">
        <v>1303</v>
      </c>
      <c r="B1304" s="30" t="s">
        <v>1587</v>
      </c>
      <c r="D1304" s="30" t="s">
        <v>1588</v>
      </c>
      <c r="F1304" s="30" t="s">
        <v>1591</v>
      </c>
      <c r="H1304" s="30" t="s">
        <v>1592</v>
      </c>
      <c r="L1304" s="30" t="s">
        <v>1757</v>
      </c>
      <c r="N1304" s="30" t="s">
        <v>1452</v>
      </c>
      <c r="P1304" s="30" t="s">
        <v>11989</v>
      </c>
      <c r="Q1304" t="s">
        <v>619</v>
      </c>
      <c r="R1304" t="s">
        <v>917</v>
      </c>
      <c r="S1304">
        <v>39</v>
      </c>
      <c r="T1304" s="29" t="str">
        <f>HYPERLINK("https://ictv.global/ictv/proposals/2023.077B.Webervirus_68ns.zip","2023.077B.Webervirus_68ns.zip")</f>
        <v>2023.077B.Webervirus_68ns.zip</v>
      </c>
      <c r="U1304" s="29" t="str">
        <f>HYPERLINK("https://ictv.global/taxonomy/taxondetails?taxnode_id=202319527","ictv.global=202319527")</f>
        <v>ictv.global=202319527</v>
      </c>
    </row>
    <row r="1305" spans="1:21">
      <c r="A1305">
        <v>1304</v>
      </c>
      <c r="B1305" s="30" t="s">
        <v>1587</v>
      </c>
      <c r="D1305" s="30" t="s">
        <v>1588</v>
      </c>
      <c r="F1305" s="30" t="s">
        <v>1591</v>
      </c>
      <c r="H1305" s="30" t="s">
        <v>1592</v>
      </c>
      <c r="L1305" s="30" t="s">
        <v>1757</v>
      </c>
      <c r="N1305" s="30" t="s">
        <v>1452</v>
      </c>
      <c r="P1305" s="30" t="s">
        <v>5053</v>
      </c>
      <c r="Q1305" t="s">
        <v>619</v>
      </c>
      <c r="R1305" t="s">
        <v>918</v>
      </c>
      <c r="S1305">
        <v>37</v>
      </c>
      <c r="T1305" s="29" t="str">
        <f>HYPERLINK("https://ictv.global/ictv/proposals/2021.010B.R.Binomial_names.zip","2021.010B.R.Binomial_names.zip")</f>
        <v>2021.010B.R.Binomial_names.zip</v>
      </c>
      <c r="U1305" s="29" t="str">
        <f>HYPERLINK("https://ictv.global/taxonomy/taxondetails?taxnode_id=202312105","ictv.global=202312105")</f>
        <v>ictv.global=202312105</v>
      </c>
    </row>
    <row r="1306" spans="1:21">
      <c r="A1306">
        <v>1305</v>
      </c>
      <c r="B1306" s="30" t="s">
        <v>1587</v>
      </c>
      <c r="D1306" s="30" t="s">
        <v>1588</v>
      </c>
      <c r="F1306" s="30" t="s">
        <v>1591</v>
      </c>
      <c r="H1306" s="30" t="s">
        <v>1592</v>
      </c>
      <c r="L1306" s="30" t="s">
        <v>1757</v>
      </c>
      <c r="N1306" s="30" t="s">
        <v>1452</v>
      </c>
      <c r="P1306" s="30" t="s">
        <v>11990</v>
      </c>
      <c r="Q1306" t="s">
        <v>619</v>
      </c>
      <c r="R1306" t="s">
        <v>917</v>
      </c>
      <c r="S1306">
        <v>39</v>
      </c>
      <c r="T1306" s="29" t="str">
        <f>HYPERLINK("https://ictv.global/ictv/proposals/2023.077B.Webervirus_68ns.zip","2023.077B.Webervirus_68ns.zip")</f>
        <v>2023.077B.Webervirus_68ns.zip</v>
      </c>
      <c r="U1306" s="29" t="str">
        <f>HYPERLINK("https://ictv.global/taxonomy/taxondetails?taxnode_id=202319517","ictv.global=202319517")</f>
        <v>ictv.global=202319517</v>
      </c>
    </row>
    <row r="1307" spans="1:21">
      <c r="A1307">
        <v>1306</v>
      </c>
      <c r="B1307" s="30" t="s">
        <v>1587</v>
      </c>
      <c r="D1307" s="30" t="s">
        <v>1588</v>
      </c>
      <c r="F1307" s="30" t="s">
        <v>1591</v>
      </c>
      <c r="H1307" s="30" t="s">
        <v>1592</v>
      </c>
      <c r="L1307" s="30" t="s">
        <v>1757</v>
      </c>
      <c r="N1307" s="30" t="s">
        <v>1452</v>
      </c>
      <c r="P1307" s="30" t="s">
        <v>11991</v>
      </c>
      <c r="Q1307" t="s">
        <v>619</v>
      </c>
      <c r="R1307" t="s">
        <v>917</v>
      </c>
      <c r="S1307">
        <v>39</v>
      </c>
      <c r="T1307" s="29" t="str">
        <f>HYPERLINK("https://ictv.global/ictv/proposals/2023.077B.Webervirus_68ns.zip","2023.077B.Webervirus_68ns.zip")</f>
        <v>2023.077B.Webervirus_68ns.zip</v>
      </c>
      <c r="U1307" s="29" t="str">
        <f>HYPERLINK("https://ictv.global/taxonomy/taxondetails?taxnode_id=202319520","ictv.global=202319520")</f>
        <v>ictv.global=202319520</v>
      </c>
    </row>
    <row r="1308" spans="1:21">
      <c r="A1308">
        <v>1307</v>
      </c>
      <c r="B1308" s="30" t="s">
        <v>1587</v>
      </c>
      <c r="D1308" s="30" t="s">
        <v>1588</v>
      </c>
      <c r="F1308" s="30" t="s">
        <v>1591</v>
      </c>
      <c r="H1308" s="30" t="s">
        <v>1592</v>
      </c>
      <c r="L1308" s="30" t="s">
        <v>1757</v>
      </c>
      <c r="N1308" s="30" t="s">
        <v>1452</v>
      </c>
      <c r="P1308" s="30" t="s">
        <v>11992</v>
      </c>
      <c r="Q1308" t="s">
        <v>619</v>
      </c>
      <c r="R1308" t="s">
        <v>917</v>
      </c>
      <c r="S1308">
        <v>39</v>
      </c>
      <c r="T1308" s="29" t="str">
        <f>HYPERLINK("https://ictv.global/ictv/proposals/2023.077B.Webervirus_68ns.zip","2023.077B.Webervirus_68ns.zip")</f>
        <v>2023.077B.Webervirus_68ns.zip</v>
      </c>
      <c r="U1308" s="29" t="str">
        <f>HYPERLINK("https://ictv.global/taxonomy/taxondetails?taxnode_id=202319519","ictv.global=202319519")</f>
        <v>ictv.global=202319519</v>
      </c>
    </row>
    <row r="1309" spans="1:21">
      <c r="A1309">
        <v>1308</v>
      </c>
      <c r="B1309" s="30" t="s">
        <v>1587</v>
      </c>
      <c r="D1309" s="30" t="s">
        <v>1588</v>
      </c>
      <c r="F1309" s="30" t="s">
        <v>1591</v>
      </c>
      <c r="H1309" s="30" t="s">
        <v>1592</v>
      </c>
      <c r="L1309" s="30" t="s">
        <v>1757</v>
      </c>
      <c r="N1309" s="30" t="s">
        <v>1452</v>
      </c>
      <c r="P1309" s="30" t="s">
        <v>11993</v>
      </c>
      <c r="Q1309" t="s">
        <v>619</v>
      </c>
      <c r="R1309" t="s">
        <v>917</v>
      </c>
      <c r="S1309">
        <v>39</v>
      </c>
      <c r="T1309" s="29" t="str">
        <f>HYPERLINK("https://ictv.global/ictv/proposals/2023.077B.Webervirus_68ns.zip","2023.077B.Webervirus_68ns.zip")</f>
        <v>2023.077B.Webervirus_68ns.zip</v>
      </c>
      <c r="U1309" s="29" t="str">
        <f>HYPERLINK("https://ictv.global/taxonomy/taxondetails?taxnode_id=202319568","ictv.global=202319568")</f>
        <v>ictv.global=202319568</v>
      </c>
    </row>
    <row r="1310" spans="1:21">
      <c r="A1310">
        <v>1309</v>
      </c>
      <c r="B1310" s="30" t="s">
        <v>1587</v>
      </c>
      <c r="D1310" s="30" t="s">
        <v>1588</v>
      </c>
      <c r="F1310" s="30" t="s">
        <v>1591</v>
      </c>
      <c r="H1310" s="30" t="s">
        <v>1592</v>
      </c>
      <c r="L1310" s="30" t="s">
        <v>1757</v>
      </c>
      <c r="N1310" s="30" t="s">
        <v>1452</v>
      </c>
      <c r="P1310" s="30" t="s">
        <v>11994</v>
      </c>
      <c r="Q1310" t="s">
        <v>619</v>
      </c>
      <c r="R1310" t="s">
        <v>917</v>
      </c>
      <c r="S1310">
        <v>39</v>
      </c>
      <c r="T1310" s="29" t="str">
        <f>HYPERLINK("https://ictv.global/ictv/proposals/2023.077B.Webervirus_68ns.zip","2023.077B.Webervirus_68ns.zip")</f>
        <v>2023.077B.Webervirus_68ns.zip</v>
      </c>
      <c r="U1310" s="29" t="str">
        <f>HYPERLINK("https://ictv.global/taxonomy/taxondetails?taxnode_id=202319564","ictv.global=202319564")</f>
        <v>ictv.global=202319564</v>
      </c>
    </row>
    <row r="1311" spans="1:21">
      <c r="A1311">
        <v>1310</v>
      </c>
      <c r="B1311" s="30" t="s">
        <v>1587</v>
      </c>
      <c r="D1311" s="30" t="s">
        <v>1588</v>
      </c>
      <c r="F1311" s="30" t="s">
        <v>1591</v>
      </c>
      <c r="H1311" s="30" t="s">
        <v>1592</v>
      </c>
      <c r="L1311" s="30" t="s">
        <v>1757</v>
      </c>
      <c r="N1311" s="30" t="s">
        <v>1452</v>
      </c>
      <c r="P1311" s="30" t="s">
        <v>5054</v>
      </c>
      <c r="Q1311" t="s">
        <v>619</v>
      </c>
      <c r="R1311" t="s">
        <v>918</v>
      </c>
      <c r="S1311">
        <v>37</v>
      </c>
      <c r="T1311" s="29" t="str">
        <f>HYPERLINK("https://ictv.global/ictv/proposals/2021.010B.R.Binomial_names.zip","2021.010B.R.Binomial_names.zip")</f>
        <v>2021.010B.R.Binomial_names.zip</v>
      </c>
      <c r="U1311" s="29" t="str">
        <f>HYPERLINK("https://ictv.global/taxonomy/taxondetails?taxnode_id=202312104","ictv.global=202312104")</f>
        <v>ictv.global=202312104</v>
      </c>
    </row>
    <row r="1312" spans="1:21">
      <c r="A1312">
        <v>1311</v>
      </c>
      <c r="B1312" s="30" t="s">
        <v>1587</v>
      </c>
      <c r="D1312" s="30" t="s">
        <v>1588</v>
      </c>
      <c r="F1312" s="30" t="s">
        <v>1591</v>
      </c>
      <c r="H1312" s="30" t="s">
        <v>1592</v>
      </c>
      <c r="L1312" s="30" t="s">
        <v>1757</v>
      </c>
      <c r="N1312" s="30" t="s">
        <v>1452</v>
      </c>
      <c r="P1312" s="30" t="s">
        <v>5055</v>
      </c>
      <c r="Q1312" t="s">
        <v>619</v>
      </c>
      <c r="R1312" t="s">
        <v>918</v>
      </c>
      <c r="S1312">
        <v>37</v>
      </c>
      <c r="T1312" s="29" t="str">
        <f>HYPERLINK("https://ictv.global/ictv/proposals/2021.010B.R.Binomial_names.zip","2021.010B.R.Binomial_names.zip")</f>
        <v>2021.010B.R.Binomial_names.zip</v>
      </c>
      <c r="U1312" s="29" t="str">
        <f>HYPERLINK("https://ictv.global/taxonomy/taxondetails?taxnode_id=202300805","ictv.global=202300805")</f>
        <v>ictv.global=202300805</v>
      </c>
    </row>
    <row r="1313" spans="1:21">
      <c r="A1313">
        <v>1312</v>
      </c>
      <c r="B1313" s="30" t="s">
        <v>1587</v>
      </c>
      <c r="D1313" s="30" t="s">
        <v>1588</v>
      </c>
      <c r="F1313" s="30" t="s">
        <v>1591</v>
      </c>
      <c r="H1313" s="30" t="s">
        <v>1592</v>
      </c>
      <c r="L1313" s="30" t="s">
        <v>1757</v>
      </c>
      <c r="N1313" s="30" t="s">
        <v>1452</v>
      </c>
      <c r="P1313" s="30" t="s">
        <v>11995</v>
      </c>
      <c r="Q1313" t="s">
        <v>619</v>
      </c>
      <c r="R1313" t="s">
        <v>917</v>
      </c>
      <c r="S1313">
        <v>39</v>
      </c>
      <c r="T1313" s="29" t="str">
        <f>HYPERLINK("https://ictv.global/ictv/proposals/2023.077B.Webervirus_68ns.zip","2023.077B.Webervirus_68ns.zip")</f>
        <v>2023.077B.Webervirus_68ns.zip</v>
      </c>
      <c r="U1313" s="29" t="str">
        <f>HYPERLINK("https://ictv.global/taxonomy/taxondetails?taxnode_id=202319550","ictv.global=202319550")</f>
        <v>ictv.global=202319550</v>
      </c>
    </row>
    <row r="1314" spans="1:21">
      <c r="A1314">
        <v>1313</v>
      </c>
      <c r="B1314" s="30" t="s">
        <v>1587</v>
      </c>
      <c r="D1314" s="30" t="s">
        <v>1588</v>
      </c>
      <c r="F1314" s="30" t="s">
        <v>1591</v>
      </c>
      <c r="H1314" s="30" t="s">
        <v>1592</v>
      </c>
      <c r="L1314" s="30" t="s">
        <v>1757</v>
      </c>
      <c r="N1314" s="30" t="s">
        <v>1452</v>
      </c>
      <c r="P1314" s="30" t="s">
        <v>11996</v>
      </c>
      <c r="Q1314" t="s">
        <v>619</v>
      </c>
      <c r="R1314" t="s">
        <v>917</v>
      </c>
      <c r="S1314">
        <v>39</v>
      </c>
      <c r="T1314" s="29" t="str">
        <f>HYPERLINK("https://ictv.global/ictv/proposals/2023.077B.Webervirus_68ns.zip","2023.077B.Webervirus_68ns.zip")</f>
        <v>2023.077B.Webervirus_68ns.zip</v>
      </c>
      <c r="U1314" s="29" t="str">
        <f>HYPERLINK("https://ictv.global/taxonomy/taxondetails?taxnode_id=202319551","ictv.global=202319551")</f>
        <v>ictv.global=202319551</v>
      </c>
    </row>
    <row r="1315" spans="1:21">
      <c r="A1315">
        <v>1314</v>
      </c>
      <c r="B1315" s="30" t="s">
        <v>1587</v>
      </c>
      <c r="D1315" s="30" t="s">
        <v>1588</v>
      </c>
      <c r="F1315" s="30" t="s">
        <v>1591</v>
      </c>
      <c r="H1315" s="30" t="s">
        <v>1592</v>
      </c>
      <c r="L1315" s="30" t="s">
        <v>1757</v>
      </c>
      <c r="N1315" s="30" t="s">
        <v>1452</v>
      </c>
      <c r="P1315" s="30" t="s">
        <v>11997</v>
      </c>
      <c r="Q1315" t="s">
        <v>619</v>
      </c>
      <c r="R1315" t="s">
        <v>917</v>
      </c>
      <c r="S1315">
        <v>39</v>
      </c>
      <c r="T1315" s="29" t="str">
        <f>HYPERLINK("https://ictv.global/ictv/proposals/2023.077B.Webervirus_68ns.zip","2023.077B.Webervirus_68ns.zip")</f>
        <v>2023.077B.Webervirus_68ns.zip</v>
      </c>
      <c r="U1315" s="29" t="str">
        <f>HYPERLINK("https://ictv.global/taxonomy/taxondetails?taxnode_id=202319535","ictv.global=202319535")</f>
        <v>ictv.global=202319535</v>
      </c>
    </row>
    <row r="1316" spans="1:21">
      <c r="A1316">
        <v>1315</v>
      </c>
      <c r="B1316" s="30" t="s">
        <v>1587</v>
      </c>
      <c r="D1316" s="30" t="s">
        <v>1588</v>
      </c>
      <c r="F1316" s="30" t="s">
        <v>1591</v>
      </c>
      <c r="H1316" s="30" t="s">
        <v>1592</v>
      </c>
      <c r="L1316" s="30" t="s">
        <v>1757</v>
      </c>
      <c r="N1316" s="30" t="s">
        <v>1452</v>
      </c>
      <c r="P1316" s="30" t="s">
        <v>5056</v>
      </c>
      <c r="Q1316" t="s">
        <v>619</v>
      </c>
      <c r="R1316" t="s">
        <v>918</v>
      </c>
      <c r="S1316">
        <v>37</v>
      </c>
      <c r="T1316" s="29" t="str">
        <f>HYPERLINK("https://ictv.global/ictv/proposals/2021.010B.R.Binomial_names.zip","2021.010B.R.Binomial_names.zip")</f>
        <v>2021.010B.R.Binomial_names.zip</v>
      </c>
      <c r="U1316" s="29" t="str">
        <f>HYPERLINK("https://ictv.global/taxonomy/taxondetails?taxnode_id=202312109","ictv.global=202312109")</f>
        <v>ictv.global=202312109</v>
      </c>
    </row>
    <row r="1317" spans="1:21">
      <c r="A1317">
        <v>1316</v>
      </c>
      <c r="B1317" s="30" t="s">
        <v>1587</v>
      </c>
      <c r="D1317" s="30" t="s">
        <v>1588</v>
      </c>
      <c r="F1317" s="30" t="s">
        <v>1591</v>
      </c>
      <c r="H1317" s="30" t="s">
        <v>1592</v>
      </c>
      <c r="L1317" s="30" t="s">
        <v>1757</v>
      </c>
      <c r="N1317" s="30" t="s">
        <v>1452</v>
      </c>
      <c r="P1317" s="30" t="s">
        <v>5057</v>
      </c>
      <c r="Q1317" t="s">
        <v>619</v>
      </c>
      <c r="R1317" t="s">
        <v>918</v>
      </c>
      <c r="S1317">
        <v>37</v>
      </c>
      <c r="T1317" s="29" t="str">
        <f>HYPERLINK("https://ictv.global/ictv/proposals/2021.010B.R.Binomial_names.zip","2021.010B.R.Binomial_names.zip")</f>
        <v>2021.010B.R.Binomial_names.zip</v>
      </c>
      <c r="U1317" s="29" t="str">
        <f>HYPERLINK("https://ictv.global/taxonomy/taxondetails?taxnode_id=202308186","ictv.global=202308186")</f>
        <v>ictv.global=202308186</v>
      </c>
    </row>
    <row r="1318" spans="1:21">
      <c r="A1318">
        <v>1317</v>
      </c>
      <c r="B1318" s="30" t="s">
        <v>1587</v>
      </c>
      <c r="D1318" s="30" t="s">
        <v>1588</v>
      </c>
      <c r="F1318" s="30" t="s">
        <v>1591</v>
      </c>
      <c r="H1318" s="30" t="s">
        <v>1592</v>
      </c>
      <c r="L1318" s="30" t="s">
        <v>1757</v>
      </c>
      <c r="N1318" s="30" t="s">
        <v>1452</v>
      </c>
      <c r="P1318" s="30" t="s">
        <v>11998</v>
      </c>
      <c r="Q1318" t="s">
        <v>619</v>
      </c>
      <c r="R1318" t="s">
        <v>917</v>
      </c>
      <c r="S1318">
        <v>39</v>
      </c>
      <c r="T1318" s="29" t="str">
        <f>HYPERLINK("https://ictv.global/ictv/proposals/2023.077B.Webervirus_68ns.zip","2023.077B.Webervirus_68ns.zip")</f>
        <v>2023.077B.Webervirus_68ns.zip</v>
      </c>
      <c r="U1318" s="29" t="str">
        <f>HYPERLINK("https://ictv.global/taxonomy/taxondetails?taxnode_id=202319521","ictv.global=202319521")</f>
        <v>ictv.global=202319521</v>
      </c>
    </row>
    <row r="1319" spans="1:21">
      <c r="A1319">
        <v>1318</v>
      </c>
      <c r="B1319" s="30" t="s">
        <v>1587</v>
      </c>
      <c r="D1319" s="30" t="s">
        <v>1588</v>
      </c>
      <c r="F1319" s="30" t="s">
        <v>1591</v>
      </c>
      <c r="H1319" s="30" t="s">
        <v>1592</v>
      </c>
      <c r="L1319" s="30" t="s">
        <v>1757</v>
      </c>
      <c r="N1319" s="30" t="s">
        <v>1452</v>
      </c>
      <c r="P1319" s="30" t="s">
        <v>11999</v>
      </c>
      <c r="Q1319" t="s">
        <v>619</v>
      </c>
      <c r="R1319" t="s">
        <v>917</v>
      </c>
      <c r="S1319">
        <v>39</v>
      </c>
      <c r="T1319" s="29" t="str">
        <f>HYPERLINK("https://ictv.global/ictv/proposals/2023.077B.Webervirus_68ns.zip","2023.077B.Webervirus_68ns.zip")</f>
        <v>2023.077B.Webervirus_68ns.zip</v>
      </c>
      <c r="U1319" s="29" t="str">
        <f>HYPERLINK("https://ictv.global/taxonomy/taxondetails?taxnode_id=202319548","ictv.global=202319548")</f>
        <v>ictv.global=202319548</v>
      </c>
    </row>
    <row r="1320" spans="1:21">
      <c r="A1320">
        <v>1319</v>
      </c>
      <c r="B1320" s="30" t="s">
        <v>1587</v>
      </c>
      <c r="D1320" s="30" t="s">
        <v>1588</v>
      </c>
      <c r="F1320" s="30" t="s">
        <v>1591</v>
      </c>
      <c r="H1320" s="30" t="s">
        <v>1592</v>
      </c>
      <c r="L1320" s="30" t="s">
        <v>1757</v>
      </c>
      <c r="N1320" s="30" t="s">
        <v>1452</v>
      </c>
      <c r="P1320" s="30" t="s">
        <v>12000</v>
      </c>
      <c r="Q1320" t="s">
        <v>619</v>
      </c>
      <c r="R1320" t="s">
        <v>917</v>
      </c>
      <c r="S1320">
        <v>39</v>
      </c>
      <c r="T1320" s="29" t="str">
        <f>HYPERLINK("https://ictv.global/ictv/proposals/2023.077B.Webervirus_68ns.zip","2023.077B.Webervirus_68ns.zip")</f>
        <v>2023.077B.Webervirus_68ns.zip</v>
      </c>
      <c r="U1320" s="29" t="str">
        <f>HYPERLINK("https://ictv.global/taxonomy/taxondetails?taxnode_id=202319547","ictv.global=202319547")</f>
        <v>ictv.global=202319547</v>
      </c>
    </row>
    <row r="1321" spans="1:21">
      <c r="A1321">
        <v>1320</v>
      </c>
      <c r="B1321" s="30" t="s">
        <v>1587</v>
      </c>
      <c r="D1321" s="30" t="s">
        <v>1588</v>
      </c>
      <c r="F1321" s="30" t="s">
        <v>1591</v>
      </c>
      <c r="H1321" s="30" t="s">
        <v>1592</v>
      </c>
      <c r="L1321" s="30" t="s">
        <v>1757</v>
      </c>
      <c r="N1321" s="30" t="s">
        <v>1452</v>
      </c>
      <c r="P1321" s="30" t="s">
        <v>5058</v>
      </c>
      <c r="Q1321" t="s">
        <v>619</v>
      </c>
      <c r="R1321" t="s">
        <v>918</v>
      </c>
      <c r="S1321">
        <v>37</v>
      </c>
      <c r="T1321" s="29" t="str">
        <f>HYPERLINK("https://ictv.global/ictv/proposals/2021.010B.R.Binomial_names.zip","2021.010B.R.Binomial_names.zip")</f>
        <v>2021.010B.R.Binomial_names.zip</v>
      </c>
      <c r="U1321" s="29" t="str">
        <f>HYPERLINK("https://ictv.global/taxonomy/taxondetails?taxnode_id=202312103","ictv.global=202312103")</f>
        <v>ictv.global=202312103</v>
      </c>
    </row>
    <row r="1322" spans="1:21">
      <c r="A1322">
        <v>1321</v>
      </c>
      <c r="B1322" s="30" t="s">
        <v>1587</v>
      </c>
      <c r="D1322" s="30" t="s">
        <v>1588</v>
      </c>
      <c r="F1322" s="30" t="s">
        <v>1591</v>
      </c>
      <c r="H1322" s="30" t="s">
        <v>1592</v>
      </c>
      <c r="L1322" s="30" t="s">
        <v>1757</v>
      </c>
      <c r="N1322" s="30" t="s">
        <v>1452</v>
      </c>
      <c r="P1322" s="30" t="s">
        <v>5059</v>
      </c>
      <c r="Q1322" t="s">
        <v>619</v>
      </c>
      <c r="R1322" t="s">
        <v>918</v>
      </c>
      <c r="S1322">
        <v>37</v>
      </c>
      <c r="T1322" s="29" t="str">
        <f>HYPERLINK("https://ictv.global/ictv/proposals/2021.010B.R.Binomial_names.zip","2021.010B.R.Binomial_names.zip")</f>
        <v>2021.010B.R.Binomial_names.zip</v>
      </c>
      <c r="U1322" s="29" t="str">
        <f>HYPERLINK("https://ictv.global/taxonomy/taxondetails?taxnode_id=202312112","ictv.global=202312112")</f>
        <v>ictv.global=202312112</v>
      </c>
    </row>
    <row r="1323" spans="1:21">
      <c r="A1323">
        <v>1322</v>
      </c>
      <c r="B1323" s="30" t="s">
        <v>1587</v>
      </c>
      <c r="D1323" s="30" t="s">
        <v>1588</v>
      </c>
      <c r="F1323" s="30" t="s">
        <v>1591</v>
      </c>
      <c r="H1323" s="30" t="s">
        <v>1592</v>
      </c>
      <c r="L1323" s="30" t="s">
        <v>1757</v>
      </c>
      <c r="N1323" s="30" t="s">
        <v>1452</v>
      </c>
      <c r="P1323" s="30" t="s">
        <v>12001</v>
      </c>
      <c r="Q1323" t="s">
        <v>619</v>
      </c>
      <c r="R1323" t="s">
        <v>917</v>
      </c>
      <c r="S1323">
        <v>39</v>
      </c>
      <c r="T1323" s="29" t="str">
        <f>HYPERLINK("https://ictv.global/ictv/proposals/2023.077B.Webervirus_68ns.zip","2023.077B.Webervirus_68ns.zip")</f>
        <v>2023.077B.Webervirus_68ns.zip</v>
      </c>
      <c r="U1323" s="29" t="str">
        <f>HYPERLINK("https://ictv.global/taxonomy/taxondetails?taxnode_id=202319554","ictv.global=202319554")</f>
        <v>ictv.global=202319554</v>
      </c>
    </row>
    <row r="1324" spans="1:21">
      <c r="A1324">
        <v>1323</v>
      </c>
      <c r="B1324" s="30" t="s">
        <v>1587</v>
      </c>
      <c r="D1324" s="30" t="s">
        <v>1588</v>
      </c>
      <c r="F1324" s="30" t="s">
        <v>1591</v>
      </c>
      <c r="H1324" s="30" t="s">
        <v>1592</v>
      </c>
      <c r="L1324" s="30" t="s">
        <v>1757</v>
      </c>
      <c r="N1324" s="30" t="s">
        <v>1452</v>
      </c>
      <c r="P1324" s="30" t="s">
        <v>5060</v>
      </c>
      <c r="Q1324" t="s">
        <v>619</v>
      </c>
      <c r="R1324" t="s">
        <v>918</v>
      </c>
      <c r="S1324">
        <v>37</v>
      </c>
      <c r="T1324" s="29" t="str">
        <f>HYPERLINK("https://ictv.global/ictv/proposals/2021.010B.R.Binomial_names.zip","2021.010B.R.Binomial_names.zip")</f>
        <v>2021.010B.R.Binomial_names.zip</v>
      </c>
      <c r="U1324" s="29" t="str">
        <f>HYPERLINK("https://ictv.global/taxonomy/taxondetails?taxnode_id=202312107","ictv.global=202312107")</f>
        <v>ictv.global=202312107</v>
      </c>
    </row>
    <row r="1325" spans="1:21">
      <c r="A1325">
        <v>1324</v>
      </c>
      <c r="B1325" s="30" t="s">
        <v>1587</v>
      </c>
      <c r="D1325" s="30" t="s">
        <v>1588</v>
      </c>
      <c r="F1325" s="30" t="s">
        <v>1591</v>
      </c>
      <c r="H1325" s="30" t="s">
        <v>1592</v>
      </c>
      <c r="L1325" s="30" t="s">
        <v>1757</v>
      </c>
      <c r="N1325" s="30" t="s">
        <v>1452</v>
      </c>
      <c r="P1325" s="30" t="s">
        <v>5061</v>
      </c>
      <c r="Q1325" t="s">
        <v>619</v>
      </c>
      <c r="R1325" t="s">
        <v>918</v>
      </c>
      <c r="S1325">
        <v>37</v>
      </c>
      <c r="T1325" s="29" t="str">
        <f>HYPERLINK("https://ictv.global/ictv/proposals/2021.010B.R.Binomial_names.zip","2021.010B.R.Binomial_names.zip")</f>
        <v>2021.010B.R.Binomial_names.zip</v>
      </c>
      <c r="U1325" s="29" t="str">
        <f>HYPERLINK("https://ictv.global/taxonomy/taxondetails?taxnode_id=202300807","ictv.global=202300807")</f>
        <v>ictv.global=202300807</v>
      </c>
    </row>
    <row r="1326" spans="1:21">
      <c r="A1326">
        <v>1325</v>
      </c>
      <c r="B1326" s="30" t="s">
        <v>1587</v>
      </c>
      <c r="D1326" s="30" t="s">
        <v>1588</v>
      </c>
      <c r="F1326" s="30" t="s">
        <v>1591</v>
      </c>
      <c r="H1326" s="30" t="s">
        <v>1592</v>
      </c>
      <c r="L1326" s="30" t="s">
        <v>1757</v>
      </c>
      <c r="N1326" s="30" t="s">
        <v>1452</v>
      </c>
      <c r="P1326" s="30" t="s">
        <v>5062</v>
      </c>
      <c r="Q1326" t="s">
        <v>619</v>
      </c>
      <c r="R1326" t="s">
        <v>918</v>
      </c>
      <c r="S1326">
        <v>37</v>
      </c>
      <c r="T1326" s="29" t="str">
        <f>HYPERLINK("https://ictv.global/ictv/proposals/2021.010B.R.Binomial_names.zip","2021.010B.R.Binomial_names.zip")</f>
        <v>2021.010B.R.Binomial_names.zip</v>
      </c>
      <c r="U1326" s="29" t="str">
        <f>HYPERLINK("https://ictv.global/taxonomy/taxondetails?taxnode_id=202312111","ictv.global=202312111")</f>
        <v>ictv.global=202312111</v>
      </c>
    </row>
    <row r="1327" spans="1:21">
      <c r="A1327">
        <v>1326</v>
      </c>
      <c r="B1327" s="30" t="s">
        <v>1587</v>
      </c>
      <c r="D1327" s="30" t="s">
        <v>1588</v>
      </c>
      <c r="F1327" s="30" t="s">
        <v>1591</v>
      </c>
      <c r="H1327" s="30" t="s">
        <v>1592</v>
      </c>
      <c r="L1327" s="30" t="s">
        <v>1757</v>
      </c>
      <c r="N1327" s="30" t="s">
        <v>1452</v>
      </c>
      <c r="P1327" s="30" t="s">
        <v>5063</v>
      </c>
      <c r="Q1327" t="s">
        <v>619</v>
      </c>
      <c r="R1327" t="s">
        <v>918</v>
      </c>
      <c r="S1327">
        <v>37</v>
      </c>
      <c r="T1327" s="29" t="str">
        <f>HYPERLINK("https://ictv.global/ictv/proposals/2021.010B.R.Binomial_names.zip","2021.010B.R.Binomial_names.zip")</f>
        <v>2021.010B.R.Binomial_names.zip</v>
      </c>
      <c r="U1327" s="29" t="str">
        <f>HYPERLINK("https://ictv.global/taxonomy/taxondetails?taxnode_id=202308176","ictv.global=202308176")</f>
        <v>ictv.global=202308176</v>
      </c>
    </row>
    <row r="1328" spans="1:21">
      <c r="A1328">
        <v>1327</v>
      </c>
      <c r="B1328" s="30" t="s">
        <v>1587</v>
      </c>
      <c r="D1328" s="30" t="s">
        <v>1588</v>
      </c>
      <c r="F1328" s="30" t="s">
        <v>1591</v>
      </c>
      <c r="H1328" s="30" t="s">
        <v>1592</v>
      </c>
      <c r="L1328" s="30" t="s">
        <v>1757</v>
      </c>
      <c r="N1328" s="30" t="s">
        <v>1452</v>
      </c>
      <c r="P1328" s="30" t="s">
        <v>5064</v>
      </c>
      <c r="Q1328" t="s">
        <v>619</v>
      </c>
      <c r="R1328" t="s">
        <v>918</v>
      </c>
      <c r="S1328">
        <v>37</v>
      </c>
      <c r="T1328" s="29" t="str">
        <f>HYPERLINK("https://ictv.global/ictv/proposals/2021.010B.R.Binomial_names.zip","2021.010B.R.Binomial_names.zip")</f>
        <v>2021.010B.R.Binomial_names.zip</v>
      </c>
      <c r="U1328" s="29" t="str">
        <f>HYPERLINK("https://ictv.global/taxonomy/taxondetails?taxnode_id=202300808","ictv.global=202300808")</f>
        <v>ictv.global=202300808</v>
      </c>
    </row>
    <row r="1329" spans="1:21">
      <c r="A1329">
        <v>1328</v>
      </c>
      <c r="B1329" s="30" t="s">
        <v>1587</v>
      </c>
      <c r="D1329" s="30" t="s">
        <v>1588</v>
      </c>
      <c r="F1329" s="30" t="s">
        <v>1591</v>
      </c>
      <c r="H1329" s="30" t="s">
        <v>1592</v>
      </c>
      <c r="L1329" s="30" t="s">
        <v>1757</v>
      </c>
      <c r="N1329" s="30" t="s">
        <v>1452</v>
      </c>
      <c r="P1329" s="30" t="s">
        <v>12002</v>
      </c>
      <c r="Q1329" t="s">
        <v>619</v>
      </c>
      <c r="R1329" t="s">
        <v>917</v>
      </c>
      <c r="S1329">
        <v>39</v>
      </c>
      <c r="T1329" s="29" t="str">
        <f>HYPERLINK("https://ictv.global/ictv/proposals/2023.077B.Webervirus_68ns.zip","2023.077B.Webervirus_68ns.zip")</f>
        <v>2023.077B.Webervirus_68ns.zip</v>
      </c>
      <c r="U1329" s="29" t="str">
        <f>HYPERLINK("https://ictv.global/taxonomy/taxondetails?taxnode_id=202319571","ictv.global=202319571")</f>
        <v>ictv.global=202319571</v>
      </c>
    </row>
    <row r="1330" spans="1:21">
      <c r="A1330">
        <v>1329</v>
      </c>
      <c r="B1330" s="30" t="s">
        <v>1587</v>
      </c>
      <c r="D1330" s="30" t="s">
        <v>1588</v>
      </c>
      <c r="F1330" s="30" t="s">
        <v>1591</v>
      </c>
      <c r="H1330" s="30" t="s">
        <v>1592</v>
      </c>
      <c r="L1330" s="30" t="s">
        <v>1757</v>
      </c>
      <c r="N1330" s="30" t="s">
        <v>1452</v>
      </c>
      <c r="P1330" s="30" t="s">
        <v>5065</v>
      </c>
      <c r="Q1330" t="s">
        <v>619</v>
      </c>
      <c r="R1330" t="s">
        <v>918</v>
      </c>
      <c r="S1330">
        <v>37</v>
      </c>
      <c r="T1330" s="29" t="str">
        <f>HYPERLINK("https://ictv.global/ictv/proposals/2021.010B.R.Binomial_names.zip","2021.010B.R.Binomial_names.zip")</f>
        <v>2021.010B.R.Binomial_names.zip</v>
      </c>
      <c r="U1330" s="29" t="str">
        <f>HYPERLINK("https://ictv.global/taxonomy/taxondetails?taxnode_id=202312117","ictv.global=202312117")</f>
        <v>ictv.global=202312117</v>
      </c>
    </row>
    <row r="1331" spans="1:21">
      <c r="A1331">
        <v>1330</v>
      </c>
      <c r="B1331" s="30" t="s">
        <v>1587</v>
      </c>
      <c r="D1331" s="30" t="s">
        <v>1588</v>
      </c>
      <c r="F1331" s="30" t="s">
        <v>1591</v>
      </c>
      <c r="H1331" s="30" t="s">
        <v>1592</v>
      </c>
      <c r="L1331" s="30" t="s">
        <v>1757</v>
      </c>
      <c r="N1331" s="30" t="s">
        <v>1452</v>
      </c>
      <c r="P1331" s="30" t="s">
        <v>5066</v>
      </c>
      <c r="Q1331" t="s">
        <v>619</v>
      </c>
      <c r="R1331" t="s">
        <v>918</v>
      </c>
      <c r="S1331">
        <v>37</v>
      </c>
      <c r="T1331" s="29" t="str">
        <f>HYPERLINK("https://ictv.global/ictv/proposals/2021.010B.R.Binomial_names.zip","2021.010B.R.Binomial_names.zip")</f>
        <v>2021.010B.R.Binomial_names.zip</v>
      </c>
      <c r="U1331" s="29" t="str">
        <f>HYPERLINK("https://ictv.global/taxonomy/taxondetails?taxnode_id=202308183","ictv.global=202308183")</f>
        <v>ictv.global=202308183</v>
      </c>
    </row>
    <row r="1332" spans="1:21">
      <c r="A1332">
        <v>1331</v>
      </c>
      <c r="B1332" s="30" t="s">
        <v>1587</v>
      </c>
      <c r="D1332" s="30" t="s">
        <v>1588</v>
      </c>
      <c r="F1332" s="30" t="s">
        <v>1591</v>
      </c>
      <c r="H1332" s="30" t="s">
        <v>1592</v>
      </c>
      <c r="L1332" s="30" t="s">
        <v>1757</v>
      </c>
      <c r="N1332" s="30" t="s">
        <v>1452</v>
      </c>
      <c r="P1332" s="30" t="s">
        <v>5067</v>
      </c>
      <c r="Q1332" t="s">
        <v>619</v>
      </c>
      <c r="R1332" t="s">
        <v>918</v>
      </c>
      <c r="S1332">
        <v>37</v>
      </c>
      <c r="T1332" s="29" t="str">
        <f>HYPERLINK("https://ictv.global/ictv/proposals/2021.010B.R.Binomial_names.zip","2021.010B.R.Binomial_names.zip")</f>
        <v>2021.010B.R.Binomial_names.zip</v>
      </c>
      <c r="U1332" s="29" t="str">
        <f>HYPERLINK("https://ictv.global/taxonomy/taxondetails?taxnode_id=202308185","ictv.global=202308185")</f>
        <v>ictv.global=202308185</v>
      </c>
    </row>
    <row r="1333" spans="1:21">
      <c r="A1333">
        <v>1332</v>
      </c>
      <c r="B1333" s="30" t="s">
        <v>1587</v>
      </c>
      <c r="D1333" s="30" t="s">
        <v>1588</v>
      </c>
      <c r="F1333" s="30" t="s">
        <v>1591</v>
      </c>
      <c r="H1333" s="30" t="s">
        <v>1592</v>
      </c>
      <c r="L1333" s="30" t="s">
        <v>1757</v>
      </c>
      <c r="N1333" s="30" t="s">
        <v>1452</v>
      </c>
      <c r="P1333" s="30" t="s">
        <v>12003</v>
      </c>
      <c r="Q1333" t="s">
        <v>619</v>
      </c>
      <c r="R1333" t="s">
        <v>917</v>
      </c>
      <c r="S1333">
        <v>39</v>
      </c>
      <c r="T1333" s="29" t="str">
        <f>HYPERLINK("https://ictv.global/ictv/proposals/2023.077B.Webervirus_68ns.zip","2023.077B.Webervirus_68ns.zip")</f>
        <v>2023.077B.Webervirus_68ns.zip</v>
      </c>
      <c r="U1333" s="29" t="str">
        <f>HYPERLINK("https://ictv.global/taxonomy/taxondetails?taxnode_id=202319514","ictv.global=202319514")</f>
        <v>ictv.global=202319514</v>
      </c>
    </row>
    <row r="1334" spans="1:21">
      <c r="A1334">
        <v>1333</v>
      </c>
      <c r="B1334" s="30" t="s">
        <v>1587</v>
      </c>
      <c r="D1334" s="30" t="s">
        <v>1588</v>
      </c>
      <c r="F1334" s="30" t="s">
        <v>1591</v>
      </c>
      <c r="H1334" s="30" t="s">
        <v>1592</v>
      </c>
      <c r="L1334" s="30" t="s">
        <v>1757</v>
      </c>
      <c r="N1334" s="30" t="s">
        <v>1452</v>
      </c>
      <c r="P1334" s="30" t="s">
        <v>5068</v>
      </c>
      <c r="Q1334" t="s">
        <v>619</v>
      </c>
      <c r="R1334" t="s">
        <v>918</v>
      </c>
      <c r="S1334">
        <v>37</v>
      </c>
      <c r="T1334" s="29" t="str">
        <f>HYPERLINK("https://ictv.global/ictv/proposals/2021.010B.R.Binomial_names.zip","2021.010B.R.Binomial_names.zip")</f>
        <v>2021.010B.R.Binomial_names.zip</v>
      </c>
      <c r="U1334" s="29" t="str">
        <f>HYPERLINK("https://ictv.global/taxonomy/taxondetails?taxnode_id=202312114","ictv.global=202312114")</f>
        <v>ictv.global=202312114</v>
      </c>
    </row>
    <row r="1335" spans="1:21">
      <c r="A1335">
        <v>1334</v>
      </c>
      <c r="B1335" s="30" t="s">
        <v>1587</v>
      </c>
      <c r="D1335" s="30" t="s">
        <v>1588</v>
      </c>
      <c r="F1335" s="30" t="s">
        <v>1591</v>
      </c>
      <c r="H1335" s="30" t="s">
        <v>1592</v>
      </c>
      <c r="L1335" s="30" t="s">
        <v>1757</v>
      </c>
      <c r="N1335" s="30" t="s">
        <v>1452</v>
      </c>
      <c r="P1335" s="30" t="s">
        <v>12004</v>
      </c>
      <c r="Q1335" t="s">
        <v>619</v>
      </c>
      <c r="R1335" t="s">
        <v>917</v>
      </c>
      <c r="S1335">
        <v>39</v>
      </c>
      <c r="T1335" s="29" t="str">
        <f>HYPERLINK("https://ictv.global/ictv/proposals/2023.077B.Webervirus_68ns.zip","2023.077B.Webervirus_68ns.zip")</f>
        <v>2023.077B.Webervirus_68ns.zip</v>
      </c>
      <c r="U1335" s="29" t="str">
        <f>HYPERLINK("https://ictv.global/taxonomy/taxondetails?taxnode_id=202319545","ictv.global=202319545")</f>
        <v>ictv.global=202319545</v>
      </c>
    </row>
    <row r="1336" spans="1:21">
      <c r="A1336">
        <v>1335</v>
      </c>
      <c r="B1336" s="30" t="s">
        <v>1587</v>
      </c>
      <c r="D1336" s="30" t="s">
        <v>1588</v>
      </c>
      <c r="F1336" s="30" t="s">
        <v>1591</v>
      </c>
      <c r="H1336" s="30" t="s">
        <v>1592</v>
      </c>
      <c r="L1336" s="30" t="s">
        <v>1757</v>
      </c>
      <c r="N1336" s="30" t="s">
        <v>1452</v>
      </c>
      <c r="P1336" s="30" t="s">
        <v>12005</v>
      </c>
      <c r="Q1336" t="s">
        <v>619</v>
      </c>
      <c r="R1336" t="s">
        <v>917</v>
      </c>
      <c r="S1336">
        <v>39</v>
      </c>
      <c r="T1336" s="29" t="str">
        <f>HYPERLINK("https://ictv.global/ictv/proposals/2023.077B.Webervirus_68ns.zip","2023.077B.Webervirus_68ns.zip")</f>
        <v>2023.077B.Webervirus_68ns.zip</v>
      </c>
      <c r="U1336" s="29" t="str">
        <f>HYPERLINK("https://ictv.global/taxonomy/taxondetails?taxnode_id=202319542","ictv.global=202319542")</f>
        <v>ictv.global=202319542</v>
      </c>
    </row>
    <row r="1337" spans="1:21">
      <c r="A1337">
        <v>1336</v>
      </c>
      <c r="B1337" s="30" t="s">
        <v>1587</v>
      </c>
      <c r="D1337" s="30" t="s">
        <v>1588</v>
      </c>
      <c r="F1337" s="30" t="s">
        <v>1591</v>
      </c>
      <c r="H1337" s="30" t="s">
        <v>1592</v>
      </c>
      <c r="L1337" s="30" t="s">
        <v>1757</v>
      </c>
      <c r="N1337" s="30" t="s">
        <v>1452</v>
      </c>
      <c r="P1337" s="30" t="s">
        <v>5069</v>
      </c>
      <c r="Q1337" t="s">
        <v>619</v>
      </c>
      <c r="R1337" t="s">
        <v>918</v>
      </c>
      <c r="S1337">
        <v>37</v>
      </c>
      <c r="T1337" s="29" t="str">
        <f>HYPERLINK("https://ictv.global/ictv/proposals/2021.010B.R.Binomial_names.zip","2021.010B.R.Binomial_names.zip")</f>
        <v>2021.010B.R.Binomial_names.zip</v>
      </c>
      <c r="U1337" s="29" t="str">
        <f>HYPERLINK("https://ictv.global/taxonomy/taxondetails?taxnode_id=202308175","ictv.global=202308175")</f>
        <v>ictv.global=202308175</v>
      </c>
    </row>
    <row r="1338" spans="1:21">
      <c r="A1338">
        <v>1337</v>
      </c>
      <c r="B1338" s="30" t="s">
        <v>1587</v>
      </c>
      <c r="D1338" s="30" t="s">
        <v>1588</v>
      </c>
      <c r="F1338" s="30" t="s">
        <v>1591</v>
      </c>
      <c r="H1338" s="30" t="s">
        <v>1592</v>
      </c>
      <c r="L1338" s="30" t="s">
        <v>1757</v>
      </c>
      <c r="N1338" s="30" t="s">
        <v>1452</v>
      </c>
      <c r="P1338" s="30" t="s">
        <v>12006</v>
      </c>
      <c r="Q1338" t="s">
        <v>619</v>
      </c>
      <c r="R1338" t="s">
        <v>917</v>
      </c>
      <c r="S1338">
        <v>39</v>
      </c>
      <c r="T1338" s="29" t="str">
        <f>HYPERLINK("https://ictv.global/ictv/proposals/2023.077B.Webervirus_68ns.zip","2023.077B.Webervirus_68ns.zip")</f>
        <v>2023.077B.Webervirus_68ns.zip</v>
      </c>
      <c r="U1338" s="29" t="str">
        <f>HYPERLINK("https://ictv.global/taxonomy/taxondetails?taxnode_id=202319567","ictv.global=202319567")</f>
        <v>ictv.global=202319567</v>
      </c>
    </row>
    <row r="1339" spans="1:21">
      <c r="A1339">
        <v>1338</v>
      </c>
      <c r="B1339" s="30" t="s">
        <v>1587</v>
      </c>
      <c r="D1339" s="30" t="s">
        <v>1588</v>
      </c>
      <c r="F1339" s="30" t="s">
        <v>1591</v>
      </c>
      <c r="H1339" s="30" t="s">
        <v>1592</v>
      </c>
      <c r="L1339" s="30" t="s">
        <v>1757</v>
      </c>
      <c r="N1339" s="30" t="s">
        <v>1452</v>
      </c>
      <c r="P1339" s="30" t="s">
        <v>5070</v>
      </c>
      <c r="Q1339" t="s">
        <v>619</v>
      </c>
      <c r="R1339" t="s">
        <v>918</v>
      </c>
      <c r="S1339">
        <v>37</v>
      </c>
      <c r="T1339" s="29" t="str">
        <f>HYPERLINK("https://ictv.global/ictv/proposals/2021.010B.R.Binomial_names.zip","2021.010B.R.Binomial_names.zip")</f>
        <v>2021.010B.R.Binomial_names.zip</v>
      </c>
      <c r="U1339" s="29" t="str">
        <f>HYPERLINK("https://ictv.global/taxonomy/taxondetails?taxnode_id=202308182","ictv.global=202308182")</f>
        <v>ictv.global=202308182</v>
      </c>
    </row>
    <row r="1340" spans="1:21">
      <c r="A1340">
        <v>1339</v>
      </c>
      <c r="B1340" s="30" t="s">
        <v>1587</v>
      </c>
      <c r="D1340" s="30" t="s">
        <v>1588</v>
      </c>
      <c r="F1340" s="30" t="s">
        <v>1591</v>
      </c>
      <c r="H1340" s="30" t="s">
        <v>1592</v>
      </c>
      <c r="L1340" s="30" t="s">
        <v>1757</v>
      </c>
      <c r="N1340" s="30" t="s">
        <v>1452</v>
      </c>
      <c r="P1340" s="30" t="s">
        <v>12007</v>
      </c>
      <c r="Q1340" t="s">
        <v>619</v>
      </c>
      <c r="R1340" t="s">
        <v>917</v>
      </c>
      <c r="S1340">
        <v>39</v>
      </c>
      <c r="T1340" s="29" t="str">
        <f t="shared" ref="T1340:T1349" si="57">HYPERLINK("https://ictv.global/ictv/proposals/2023.077B.Webervirus_68ns.zip","2023.077B.Webervirus_68ns.zip")</f>
        <v>2023.077B.Webervirus_68ns.zip</v>
      </c>
      <c r="U1340" s="29" t="str">
        <f>HYPERLINK("https://ictv.global/taxonomy/taxondetails?taxnode_id=202319558","ictv.global=202319558")</f>
        <v>ictv.global=202319558</v>
      </c>
    </row>
    <row r="1341" spans="1:21">
      <c r="A1341">
        <v>1340</v>
      </c>
      <c r="B1341" s="30" t="s">
        <v>1587</v>
      </c>
      <c r="D1341" s="30" t="s">
        <v>1588</v>
      </c>
      <c r="F1341" s="30" t="s">
        <v>1591</v>
      </c>
      <c r="H1341" s="30" t="s">
        <v>1592</v>
      </c>
      <c r="L1341" s="30" t="s">
        <v>1757</v>
      </c>
      <c r="N1341" s="30" t="s">
        <v>1452</v>
      </c>
      <c r="P1341" s="30" t="s">
        <v>12008</v>
      </c>
      <c r="Q1341" t="s">
        <v>619</v>
      </c>
      <c r="R1341" t="s">
        <v>917</v>
      </c>
      <c r="S1341">
        <v>39</v>
      </c>
      <c r="T1341" s="29" t="str">
        <f t="shared" si="57"/>
        <v>2023.077B.Webervirus_68ns.zip</v>
      </c>
      <c r="U1341" s="29" t="str">
        <f>HYPERLINK("https://ictv.global/taxonomy/taxondetails?taxnode_id=202319516","ictv.global=202319516")</f>
        <v>ictv.global=202319516</v>
      </c>
    </row>
    <row r="1342" spans="1:21">
      <c r="A1342">
        <v>1341</v>
      </c>
      <c r="B1342" s="30" t="s">
        <v>1587</v>
      </c>
      <c r="D1342" s="30" t="s">
        <v>1588</v>
      </c>
      <c r="F1342" s="30" t="s">
        <v>1591</v>
      </c>
      <c r="H1342" s="30" t="s">
        <v>1592</v>
      </c>
      <c r="L1342" s="30" t="s">
        <v>1757</v>
      </c>
      <c r="N1342" s="30" t="s">
        <v>1452</v>
      </c>
      <c r="P1342" s="30" t="s">
        <v>12009</v>
      </c>
      <c r="Q1342" t="s">
        <v>619</v>
      </c>
      <c r="R1342" t="s">
        <v>917</v>
      </c>
      <c r="S1342">
        <v>39</v>
      </c>
      <c r="T1342" s="29" t="str">
        <f t="shared" si="57"/>
        <v>2023.077B.Webervirus_68ns.zip</v>
      </c>
      <c r="U1342" s="29" t="str">
        <f>HYPERLINK("https://ictv.global/taxonomy/taxondetails?taxnode_id=202319539","ictv.global=202319539")</f>
        <v>ictv.global=202319539</v>
      </c>
    </row>
    <row r="1343" spans="1:21">
      <c r="A1343">
        <v>1342</v>
      </c>
      <c r="B1343" s="30" t="s">
        <v>1587</v>
      </c>
      <c r="D1343" s="30" t="s">
        <v>1588</v>
      </c>
      <c r="F1343" s="30" t="s">
        <v>1591</v>
      </c>
      <c r="H1343" s="30" t="s">
        <v>1592</v>
      </c>
      <c r="L1343" s="30" t="s">
        <v>1757</v>
      </c>
      <c r="N1343" s="30" t="s">
        <v>1452</v>
      </c>
      <c r="P1343" s="30" t="s">
        <v>12010</v>
      </c>
      <c r="Q1343" t="s">
        <v>619</v>
      </c>
      <c r="R1343" t="s">
        <v>917</v>
      </c>
      <c r="S1343">
        <v>39</v>
      </c>
      <c r="T1343" s="29" t="str">
        <f t="shared" si="57"/>
        <v>2023.077B.Webervirus_68ns.zip</v>
      </c>
      <c r="U1343" s="29" t="str">
        <f>HYPERLINK("https://ictv.global/taxonomy/taxondetails?taxnode_id=202319529","ictv.global=202319529")</f>
        <v>ictv.global=202319529</v>
      </c>
    </row>
    <row r="1344" spans="1:21">
      <c r="A1344">
        <v>1343</v>
      </c>
      <c r="B1344" s="30" t="s">
        <v>1587</v>
      </c>
      <c r="D1344" s="30" t="s">
        <v>1588</v>
      </c>
      <c r="F1344" s="30" t="s">
        <v>1591</v>
      </c>
      <c r="H1344" s="30" t="s">
        <v>1592</v>
      </c>
      <c r="L1344" s="30" t="s">
        <v>1757</v>
      </c>
      <c r="N1344" s="30" t="s">
        <v>1452</v>
      </c>
      <c r="P1344" s="30" t="s">
        <v>12011</v>
      </c>
      <c r="Q1344" t="s">
        <v>619</v>
      </c>
      <c r="R1344" t="s">
        <v>917</v>
      </c>
      <c r="S1344">
        <v>39</v>
      </c>
      <c r="T1344" s="29" t="str">
        <f t="shared" si="57"/>
        <v>2023.077B.Webervirus_68ns.zip</v>
      </c>
      <c r="U1344" s="29" t="str">
        <f>HYPERLINK("https://ictv.global/taxonomy/taxondetails?taxnode_id=202319534","ictv.global=202319534")</f>
        <v>ictv.global=202319534</v>
      </c>
    </row>
    <row r="1345" spans="1:21">
      <c r="A1345">
        <v>1344</v>
      </c>
      <c r="B1345" s="30" t="s">
        <v>1587</v>
      </c>
      <c r="D1345" s="30" t="s">
        <v>1588</v>
      </c>
      <c r="F1345" s="30" t="s">
        <v>1591</v>
      </c>
      <c r="H1345" s="30" t="s">
        <v>1592</v>
      </c>
      <c r="L1345" s="30" t="s">
        <v>1757</v>
      </c>
      <c r="N1345" s="30" t="s">
        <v>1452</v>
      </c>
      <c r="P1345" s="30" t="s">
        <v>12012</v>
      </c>
      <c r="Q1345" t="s">
        <v>619</v>
      </c>
      <c r="R1345" t="s">
        <v>917</v>
      </c>
      <c r="S1345">
        <v>39</v>
      </c>
      <c r="T1345" s="29" t="str">
        <f t="shared" si="57"/>
        <v>2023.077B.Webervirus_68ns.zip</v>
      </c>
      <c r="U1345" s="29" t="str">
        <f>HYPERLINK("https://ictv.global/taxonomy/taxondetails?taxnode_id=202319506","ictv.global=202319506")</f>
        <v>ictv.global=202319506</v>
      </c>
    </row>
    <row r="1346" spans="1:21">
      <c r="A1346">
        <v>1345</v>
      </c>
      <c r="B1346" s="30" t="s">
        <v>1587</v>
      </c>
      <c r="D1346" s="30" t="s">
        <v>1588</v>
      </c>
      <c r="F1346" s="30" t="s">
        <v>1591</v>
      </c>
      <c r="H1346" s="30" t="s">
        <v>1592</v>
      </c>
      <c r="L1346" s="30" t="s">
        <v>1757</v>
      </c>
      <c r="N1346" s="30" t="s">
        <v>1452</v>
      </c>
      <c r="P1346" s="30" t="s">
        <v>12013</v>
      </c>
      <c r="Q1346" t="s">
        <v>619</v>
      </c>
      <c r="R1346" t="s">
        <v>917</v>
      </c>
      <c r="S1346">
        <v>39</v>
      </c>
      <c r="T1346" s="29" t="str">
        <f t="shared" si="57"/>
        <v>2023.077B.Webervirus_68ns.zip</v>
      </c>
      <c r="U1346" s="29" t="str">
        <f>HYPERLINK("https://ictv.global/taxonomy/taxondetails?taxnode_id=202319533","ictv.global=202319533")</f>
        <v>ictv.global=202319533</v>
      </c>
    </row>
    <row r="1347" spans="1:21">
      <c r="A1347">
        <v>1346</v>
      </c>
      <c r="B1347" s="30" t="s">
        <v>1587</v>
      </c>
      <c r="D1347" s="30" t="s">
        <v>1588</v>
      </c>
      <c r="F1347" s="30" t="s">
        <v>1591</v>
      </c>
      <c r="H1347" s="30" t="s">
        <v>1592</v>
      </c>
      <c r="L1347" s="30" t="s">
        <v>1757</v>
      </c>
      <c r="N1347" s="30" t="s">
        <v>1452</v>
      </c>
      <c r="P1347" s="30" t="s">
        <v>12014</v>
      </c>
      <c r="Q1347" t="s">
        <v>619</v>
      </c>
      <c r="R1347" t="s">
        <v>917</v>
      </c>
      <c r="S1347">
        <v>39</v>
      </c>
      <c r="T1347" s="29" t="str">
        <f t="shared" si="57"/>
        <v>2023.077B.Webervirus_68ns.zip</v>
      </c>
      <c r="U1347" s="29" t="str">
        <f>HYPERLINK("https://ictv.global/taxonomy/taxondetails?taxnode_id=202319507","ictv.global=202319507")</f>
        <v>ictv.global=202319507</v>
      </c>
    </row>
    <row r="1348" spans="1:21">
      <c r="A1348">
        <v>1347</v>
      </c>
      <c r="B1348" s="30" t="s">
        <v>1587</v>
      </c>
      <c r="D1348" s="30" t="s">
        <v>1588</v>
      </c>
      <c r="F1348" s="30" t="s">
        <v>1591</v>
      </c>
      <c r="H1348" s="30" t="s">
        <v>1592</v>
      </c>
      <c r="L1348" s="30" t="s">
        <v>1757</v>
      </c>
      <c r="N1348" s="30" t="s">
        <v>1452</v>
      </c>
      <c r="P1348" s="30" t="s">
        <v>12015</v>
      </c>
      <c r="Q1348" t="s">
        <v>619</v>
      </c>
      <c r="R1348" t="s">
        <v>917</v>
      </c>
      <c r="S1348">
        <v>39</v>
      </c>
      <c r="T1348" s="29" t="str">
        <f t="shared" si="57"/>
        <v>2023.077B.Webervirus_68ns.zip</v>
      </c>
      <c r="U1348" s="29" t="str">
        <f>HYPERLINK("https://ictv.global/taxonomy/taxondetails?taxnode_id=202319508","ictv.global=202319508")</f>
        <v>ictv.global=202319508</v>
      </c>
    </row>
    <row r="1349" spans="1:21">
      <c r="A1349">
        <v>1348</v>
      </c>
      <c r="B1349" s="30" t="s">
        <v>1587</v>
      </c>
      <c r="D1349" s="30" t="s">
        <v>1588</v>
      </c>
      <c r="F1349" s="30" t="s">
        <v>1591</v>
      </c>
      <c r="H1349" s="30" t="s">
        <v>1592</v>
      </c>
      <c r="L1349" s="30" t="s">
        <v>1757</v>
      </c>
      <c r="N1349" s="30" t="s">
        <v>1452</v>
      </c>
      <c r="P1349" s="30" t="s">
        <v>12016</v>
      </c>
      <c r="Q1349" t="s">
        <v>619</v>
      </c>
      <c r="R1349" t="s">
        <v>917</v>
      </c>
      <c r="S1349">
        <v>39</v>
      </c>
      <c r="T1349" s="29" t="str">
        <f t="shared" si="57"/>
        <v>2023.077B.Webervirus_68ns.zip</v>
      </c>
      <c r="U1349" s="29" t="str">
        <f>HYPERLINK("https://ictv.global/taxonomy/taxondetails?taxnode_id=202319537","ictv.global=202319537")</f>
        <v>ictv.global=202319537</v>
      </c>
    </row>
    <row r="1350" spans="1:21">
      <c r="A1350">
        <v>1349</v>
      </c>
      <c r="B1350" s="30" t="s">
        <v>1587</v>
      </c>
      <c r="D1350" s="30" t="s">
        <v>1588</v>
      </c>
      <c r="F1350" s="30" t="s">
        <v>1591</v>
      </c>
      <c r="H1350" s="30" t="s">
        <v>1592</v>
      </c>
      <c r="L1350" s="30" t="s">
        <v>1757</v>
      </c>
      <c r="N1350" s="30" t="s">
        <v>1452</v>
      </c>
      <c r="P1350" s="30" t="s">
        <v>5071</v>
      </c>
      <c r="Q1350" t="s">
        <v>619</v>
      </c>
      <c r="R1350" t="s">
        <v>918</v>
      </c>
      <c r="S1350">
        <v>37</v>
      </c>
      <c r="T1350" s="29" t="str">
        <f>HYPERLINK("https://ictv.global/ictv/proposals/2021.010B.R.Binomial_names.zip","2021.010B.R.Binomial_names.zip")</f>
        <v>2021.010B.R.Binomial_names.zip</v>
      </c>
      <c r="U1350" s="29" t="str">
        <f>HYPERLINK("https://ictv.global/taxonomy/taxondetails?taxnode_id=202308184","ictv.global=202308184")</f>
        <v>ictv.global=202308184</v>
      </c>
    </row>
    <row r="1351" spans="1:21">
      <c r="A1351">
        <v>1350</v>
      </c>
      <c r="B1351" s="30" t="s">
        <v>1587</v>
      </c>
      <c r="D1351" s="30" t="s">
        <v>1588</v>
      </c>
      <c r="F1351" s="30" t="s">
        <v>1591</v>
      </c>
      <c r="H1351" s="30" t="s">
        <v>1592</v>
      </c>
      <c r="L1351" s="30" t="s">
        <v>1757</v>
      </c>
      <c r="N1351" s="30" t="s">
        <v>1452</v>
      </c>
      <c r="P1351" s="30" t="s">
        <v>5072</v>
      </c>
      <c r="Q1351" t="s">
        <v>619</v>
      </c>
      <c r="R1351" t="s">
        <v>918</v>
      </c>
      <c r="S1351">
        <v>37</v>
      </c>
      <c r="T1351" s="29" t="str">
        <f>HYPERLINK("https://ictv.global/ictv/proposals/2021.010B.R.Binomial_names.zip","2021.010B.R.Binomial_names.zip")</f>
        <v>2021.010B.R.Binomial_names.zip</v>
      </c>
      <c r="U1351" s="29" t="str">
        <f>HYPERLINK("https://ictv.global/taxonomy/taxondetails?taxnode_id=202308178","ictv.global=202308178")</f>
        <v>ictv.global=202308178</v>
      </c>
    </row>
    <row r="1352" spans="1:21">
      <c r="A1352">
        <v>1351</v>
      </c>
      <c r="B1352" s="30" t="s">
        <v>1587</v>
      </c>
      <c r="D1352" s="30" t="s">
        <v>1588</v>
      </c>
      <c r="F1352" s="30" t="s">
        <v>1591</v>
      </c>
      <c r="H1352" s="30" t="s">
        <v>1592</v>
      </c>
      <c r="L1352" s="30" t="s">
        <v>1757</v>
      </c>
      <c r="N1352" s="30" t="s">
        <v>1452</v>
      </c>
      <c r="P1352" s="30" t="s">
        <v>12017</v>
      </c>
      <c r="Q1352" t="s">
        <v>619</v>
      </c>
      <c r="R1352" t="s">
        <v>917</v>
      </c>
      <c r="S1352">
        <v>39</v>
      </c>
      <c r="T1352" s="29" t="str">
        <f t="shared" ref="T1352:T1359" si="58">HYPERLINK("https://ictv.global/ictv/proposals/2023.077B.Webervirus_68ns.zip","2023.077B.Webervirus_68ns.zip")</f>
        <v>2023.077B.Webervirus_68ns.zip</v>
      </c>
      <c r="U1352" s="29" t="str">
        <f>HYPERLINK("https://ictv.global/taxonomy/taxondetails?taxnode_id=202319541","ictv.global=202319541")</f>
        <v>ictv.global=202319541</v>
      </c>
    </row>
    <row r="1353" spans="1:21">
      <c r="A1353">
        <v>1352</v>
      </c>
      <c r="B1353" s="30" t="s">
        <v>1587</v>
      </c>
      <c r="D1353" s="30" t="s">
        <v>1588</v>
      </c>
      <c r="F1353" s="30" t="s">
        <v>1591</v>
      </c>
      <c r="H1353" s="30" t="s">
        <v>1592</v>
      </c>
      <c r="L1353" s="30" t="s">
        <v>1757</v>
      </c>
      <c r="N1353" s="30" t="s">
        <v>1452</v>
      </c>
      <c r="P1353" s="30" t="s">
        <v>12018</v>
      </c>
      <c r="Q1353" t="s">
        <v>619</v>
      </c>
      <c r="R1353" t="s">
        <v>917</v>
      </c>
      <c r="S1353">
        <v>39</v>
      </c>
      <c r="T1353" s="29" t="str">
        <f t="shared" si="58"/>
        <v>2023.077B.Webervirus_68ns.zip</v>
      </c>
      <c r="U1353" s="29" t="str">
        <f>HYPERLINK("https://ictv.global/taxonomy/taxondetails?taxnode_id=202319544","ictv.global=202319544")</f>
        <v>ictv.global=202319544</v>
      </c>
    </row>
    <row r="1354" spans="1:21">
      <c r="A1354">
        <v>1353</v>
      </c>
      <c r="B1354" s="30" t="s">
        <v>1587</v>
      </c>
      <c r="D1354" s="30" t="s">
        <v>1588</v>
      </c>
      <c r="F1354" s="30" t="s">
        <v>1591</v>
      </c>
      <c r="H1354" s="30" t="s">
        <v>1592</v>
      </c>
      <c r="L1354" s="30" t="s">
        <v>1757</v>
      </c>
      <c r="N1354" s="30" t="s">
        <v>1452</v>
      </c>
      <c r="P1354" s="30" t="s">
        <v>12019</v>
      </c>
      <c r="Q1354" t="s">
        <v>619</v>
      </c>
      <c r="R1354" t="s">
        <v>917</v>
      </c>
      <c r="S1354">
        <v>39</v>
      </c>
      <c r="T1354" s="29" t="str">
        <f t="shared" si="58"/>
        <v>2023.077B.Webervirus_68ns.zip</v>
      </c>
      <c r="U1354" s="29" t="str">
        <f>HYPERLINK("https://ictv.global/taxonomy/taxondetails?taxnode_id=202319559","ictv.global=202319559")</f>
        <v>ictv.global=202319559</v>
      </c>
    </row>
    <row r="1355" spans="1:21">
      <c r="A1355">
        <v>1354</v>
      </c>
      <c r="B1355" s="30" t="s">
        <v>1587</v>
      </c>
      <c r="D1355" s="30" t="s">
        <v>1588</v>
      </c>
      <c r="F1355" s="30" t="s">
        <v>1591</v>
      </c>
      <c r="H1355" s="30" t="s">
        <v>1592</v>
      </c>
      <c r="L1355" s="30" t="s">
        <v>1757</v>
      </c>
      <c r="N1355" s="30" t="s">
        <v>1452</v>
      </c>
      <c r="P1355" s="30" t="s">
        <v>12020</v>
      </c>
      <c r="Q1355" t="s">
        <v>619</v>
      </c>
      <c r="R1355" t="s">
        <v>917</v>
      </c>
      <c r="S1355">
        <v>39</v>
      </c>
      <c r="T1355" s="29" t="str">
        <f t="shared" si="58"/>
        <v>2023.077B.Webervirus_68ns.zip</v>
      </c>
      <c r="U1355" s="29" t="str">
        <f>HYPERLINK("https://ictv.global/taxonomy/taxondetails?taxnode_id=202319569","ictv.global=202319569")</f>
        <v>ictv.global=202319569</v>
      </c>
    </row>
    <row r="1356" spans="1:21">
      <c r="A1356">
        <v>1355</v>
      </c>
      <c r="B1356" s="30" t="s">
        <v>1587</v>
      </c>
      <c r="D1356" s="30" t="s">
        <v>1588</v>
      </c>
      <c r="F1356" s="30" t="s">
        <v>1591</v>
      </c>
      <c r="H1356" s="30" t="s">
        <v>1592</v>
      </c>
      <c r="L1356" s="30" t="s">
        <v>1757</v>
      </c>
      <c r="N1356" s="30" t="s">
        <v>1452</v>
      </c>
      <c r="P1356" s="30" t="s">
        <v>12021</v>
      </c>
      <c r="Q1356" t="s">
        <v>619</v>
      </c>
      <c r="R1356" t="s">
        <v>917</v>
      </c>
      <c r="S1356">
        <v>39</v>
      </c>
      <c r="T1356" s="29" t="str">
        <f t="shared" si="58"/>
        <v>2023.077B.Webervirus_68ns.zip</v>
      </c>
      <c r="U1356" s="29" t="str">
        <f>HYPERLINK("https://ictv.global/taxonomy/taxondetails?taxnode_id=202319557","ictv.global=202319557")</f>
        <v>ictv.global=202319557</v>
      </c>
    </row>
    <row r="1357" spans="1:21">
      <c r="A1357">
        <v>1356</v>
      </c>
      <c r="B1357" s="30" t="s">
        <v>1587</v>
      </c>
      <c r="D1357" s="30" t="s">
        <v>1588</v>
      </c>
      <c r="F1357" s="30" t="s">
        <v>1591</v>
      </c>
      <c r="H1357" s="30" t="s">
        <v>1592</v>
      </c>
      <c r="L1357" s="30" t="s">
        <v>1757</v>
      </c>
      <c r="N1357" s="30" t="s">
        <v>1452</v>
      </c>
      <c r="P1357" s="30" t="s">
        <v>12022</v>
      </c>
      <c r="Q1357" t="s">
        <v>619</v>
      </c>
      <c r="R1357" t="s">
        <v>917</v>
      </c>
      <c r="S1357">
        <v>39</v>
      </c>
      <c r="T1357" s="29" t="str">
        <f t="shared" si="58"/>
        <v>2023.077B.Webervirus_68ns.zip</v>
      </c>
      <c r="U1357" s="29" t="str">
        <f>HYPERLINK("https://ictv.global/taxonomy/taxondetails?taxnode_id=202319556","ictv.global=202319556")</f>
        <v>ictv.global=202319556</v>
      </c>
    </row>
    <row r="1358" spans="1:21">
      <c r="A1358">
        <v>1357</v>
      </c>
      <c r="B1358" s="30" t="s">
        <v>1587</v>
      </c>
      <c r="D1358" s="30" t="s">
        <v>1588</v>
      </c>
      <c r="F1358" s="30" t="s">
        <v>1591</v>
      </c>
      <c r="H1358" s="30" t="s">
        <v>1592</v>
      </c>
      <c r="L1358" s="30" t="s">
        <v>1757</v>
      </c>
      <c r="N1358" s="30" t="s">
        <v>1452</v>
      </c>
      <c r="P1358" s="30" t="s">
        <v>12023</v>
      </c>
      <c r="Q1358" t="s">
        <v>619</v>
      </c>
      <c r="R1358" t="s">
        <v>917</v>
      </c>
      <c r="S1358">
        <v>39</v>
      </c>
      <c r="T1358" s="29" t="str">
        <f t="shared" si="58"/>
        <v>2023.077B.Webervirus_68ns.zip</v>
      </c>
      <c r="U1358" s="29" t="str">
        <f>HYPERLINK("https://ictv.global/taxonomy/taxondetails?taxnode_id=202319536","ictv.global=202319536")</f>
        <v>ictv.global=202319536</v>
      </c>
    </row>
    <row r="1359" spans="1:21">
      <c r="A1359">
        <v>1358</v>
      </c>
      <c r="B1359" s="30" t="s">
        <v>1587</v>
      </c>
      <c r="D1359" s="30" t="s">
        <v>1588</v>
      </c>
      <c r="F1359" s="30" t="s">
        <v>1591</v>
      </c>
      <c r="H1359" s="30" t="s">
        <v>1592</v>
      </c>
      <c r="L1359" s="30" t="s">
        <v>1757</v>
      </c>
      <c r="N1359" s="30" t="s">
        <v>1452</v>
      </c>
      <c r="P1359" s="30" t="s">
        <v>12024</v>
      </c>
      <c r="Q1359" t="s">
        <v>619</v>
      </c>
      <c r="R1359" t="s">
        <v>917</v>
      </c>
      <c r="S1359">
        <v>39</v>
      </c>
      <c r="T1359" s="29" t="str">
        <f t="shared" si="58"/>
        <v>2023.077B.Webervirus_68ns.zip</v>
      </c>
      <c r="U1359" s="29" t="str">
        <f>HYPERLINK("https://ictv.global/taxonomy/taxondetails?taxnode_id=202319510","ictv.global=202319510")</f>
        <v>ictv.global=202319510</v>
      </c>
    </row>
    <row r="1360" spans="1:21">
      <c r="A1360">
        <v>1359</v>
      </c>
      <c r="B1360" s="30" t="s">
        <v>1587</v>
      </c>
      <c r="D1360" s="30" t="s">
        <v>1588</v>
      </c>
      <c r="F1360" s="30" t="s">
        <v>1591</v>
      </c>
      <c r="H1360" s="30" t="s">
        <v>1592</v>
      </c>
      <c r="L1360" s="30" t="s">
        <v>1757</v>
      </c>
      <c r="N1360" s="30" t="s">
        <v>1452</v>
      </c>
      <c r="P1360" s="30" t="s">
        <v>5073</v>
      </c>
      <c r="Q1360" t="s">
        <v>619</v>
      </c>
      <c r="R1360" t="s">
        <v>918</v>
      </c>
      <c r="S1360">
        <v>37</v>
      </c>
      <c r="T1360" s="29" t="str">
        <f>HYPERLINK("https://ictv.global/ictv/proposals/2021.010B.R.Binomial_names.zip","2021.010B.R.Binomial_names.zip")</f>
        <v>2021.010B.R.Binomial_names.zip</v>
      </c>
      <c r="U1360" s="29" t="str">
        <f>HYPERLINK("https://ictv.global/taxonomy/taxondetails?taxnode_id=202300809","ictv.global=202300809")</f>
        <v>ictv.global=202300809</v>
      </c>
    </row>
    <row r="1361" spans="1:21">
      <c r="A1361">
        <v>1360</v>
      </c>
      <c r="B1361" s="30" t="s">
        <v>1587</v>
      </c>
      <c r="D1361" s="30" t="s">
        <v>1588</v>
      </c>
      <c r="F1361" s="30" t="s">
        <v>1591</v>
      </c>
      <c r="H1361" s="30" t="s">
        <v>1592</v>
      </c>
      <c r="L1361" s="30" t="s">
        <v>1757</v>
      </c>
      <c r="N1361" s="30" t="s">
        <v>1452</v>
      </c>
      <c r="P1361" s="30" t="s">
        <v>12025</v>
      </c>
      <c r="Q1361" t="s">
        <v>619</v>
      </c>
      <c r="R1361" t="s">
        <v>917</v>
      </c>
      <c r="S1361">
        <v>39</v>
      </c>
      <c r="T1361" s="29" t="str">
        <f t="shared" ref="T1361:T1366" si="59">HYPERLINK("https://ictv.global/ictv/proposals/2023.077B.Webervirus_68ns.zip","2023.077B.Webervirus_68ns.zip")</f>
        <v>2023.077B.Webervirus_68ns.zip</v>
      </c>
      <c r="U1361" s="29" t="str">
        <f>HYPERLINK("https://ictv.global/taxonomy/taxondetails?taxnode_id=202319549","ictv.global=202319549")</f>
        <v>ictv.global=202319549</v>
      </c>
    </row>
    <row r="1362" spans="1:21">
      <c r="A1362">
        <v>1361</v>
      </c>
      <c r="B1362" s="30" t="s">
        <v>1587</v>
      </c>
      <c r="D1362" s="30" t="s">
        <v>1588</v>
      </c>
      <c r="F1362" s="30" t="s">
        <v>1591</v>
      </c>
      <c r="H1362" s="30" t="s">
        <v>1592</v>
      </c>
      <c r="L1362" s="30" t="s">
        <v>1757</v>
      </c>
      <c r="N1362" s="30" t="s">
        <v>1452</v>
      </c>
      <c r="P1362" s="30" t="s">
        <v>12026</v>
      </c>
      <c r="Q1362" t="s">
        <v>619</v>
      </c>
      <c r="R1362" t="s">
        <v>917</v>
      </c>
      <c r="S1362">
        <v>39</v>
      </c>
      <c r="T1362" s="29" t="str">
        <f t="shared" si="59"/>
        <v>2023.077B.Webervirus_68ns.zip</v>
      </c>
      <c r="U1362" s="29" t="str">
        <f>HYPERLINK("https://ictv.global/taxonomy/taxondetails?taxnode_id=202319522","ictv.global=202319522")</f>
        <v>ictv.global=202319522</v>
      </c>
    </row>
    <row r="1363" spans="1:21">
      <c r="A1363">
        <v>1362</v>
      </c>
      <c r="B1363" s="30" t="s">
        <v>1587</v>
      </c>
      <c r="D1363" s="30" t="s">
        <v>1588</v>
      </c>
      <c r="F1363" s="30" t="s">
        <v>1591</v>
      </c>
      <c r="H1363" s="30" t="s">
        <v>1592</v>
      </c>
      <c r="L1363" s="30" t="s">
        <v>1757</v>
      </c>
      <c r="N1363" s="30" t="s">
        <v>1452</v>
      </c>
      <c r="P1363" s="30" t="s">
        <v>12027</v>
      </c>
      <c r="Q1363" t="s">
        <v>619</v>
      </c>
      <c r="R1363" t="s">
        <v>917</v>
      </c>
      <c r="S1363">
        <v>39</v>
      </c>
      <c r="T1363" s="29" t="str">
        <f t="shared" si="59"/>
        <v>2023.077B.Webervirus_68ns.zip</v>
      </c>
      <c r="U1363" s="29" t="str">
        <f>HYPERLINK("https://ictv.global/taxonomy/taxondetails?taxnode_id=202319509","ictv.global=202319509")</f>
        <v>ictv.global=202319509</v>
      </c>
    </row>
    <row r="1364" spans="1:21">
      <c r="A1364">
        <v>1363</v>
      </c>
      <c r="B1364" s="30" t="s">
        <v>1587</v>
      </c>
      <c r="D1364" s="30" t="s">
        <v>1588</v>
      </c>
      <c r="F1364" s="30" t="s">
        <v>1591</v>
      </c>
      <c r="H1364" s="30" t="s">
        <v>1592</v>
      </c>
      <c r="L1364" s="30" t="s">
        <v>1757</v>
      </c>
      <c r="N1364" s="30" t="s">
        <v>1452</v>
      </c>
      <c r="P1364" s="30" t="s">
        <v>12028</v>
      </c>
      <c r="Q1364" t="s">
        <v>619</v>
      </c>
      <c r="R1364" t="s">
        <v>917</v>
      </c>
      <c r="S1364">
        <v>39</v>
      </c>
      <c r="T1364" s="29" t="str">
        <f t="shared" si="59"/>
        <v>2023.077B.Webervirus_68ns.zip</v>
      </c>
      <c r="U1364" s="29" t="str">
        <f>HYPERLINK("https://ictv.global/taxonomy/taxondetails?taxnode_id=202319561","ictv.global=202319561")</f>
        <v>ictv.global=202319561</v>
      </c>
    </row>
    <row r="1365" spans="1:21">
      <c r="A1365">
        <v>1364</v>
      </c>
      <c r="B1365" s="30" t="s">
        <v>1587</v>
      </c>
      <c r="D1365" s="30" t="s">
        <v>1588</v>
      </c>
      <c r="F1365" s="30" t="s">
        <v>1591</v>
      </c>
      <c r="H1365" s="30" t="s">
        <v>1592</v>
      </c>
      <c r="L1365" s="30" t="s">
        <v>1757</v>
      </c>
      <c r="N1365" s="30" t="s">
        <v>1452</v>
      </c>
      <c r="P1365" s="30" t="s">
        <v>12029</v>
      </c>
      <c r="Q1365" t="s">
        <v>619</v>
      </c>
      <c r="R1365" t="s">
        <v>917</v>
      </c>
      <c r="S1365">
        <v>39</v>
      </c>
      <c r="T1365" s="29" t="str">
        <f t="shared" si="59"/>
        <v>2023.077B.Webervirus_68ns.zip</v>
      </c>
      <c r="U1365" s="29" t="str">
        <f>HYPERLINK("https://ictv.global/taxonomy/taxondetails?taxnode_id=202319563","ictv.global=202319563")</f>
        <v>ictv.global=202319563</v>
      </c>
    </row>
    <row r="1366" spans="1:21">
      <c r="A1366">
        <v>1365</v>
      </c>
      <c r="B1366" s="30" t="s">
        <v>1587</v>
      </c>
      <c r="D1366" s="30" t="s">
        <v>1588</v>
      </c>
      <c r="F1366" s="30" t="s">
        <v>1591</v>
      </c>
      <c r="H1366" s="30" t="s">
        <v>1592</v>
      </c>
      <c r="L1366" s="30" t="s">
        <v>1757</v>
      </c>
      <c r="N1366" s="30" t="s">
        <v>1452</v>
      </c>
      <c r="P1366" s="30" t="s">
        <v>12030</v>
      </c>
      <c r="Q1366" t="s">
        <v>619</v>
      </c>
      <c r="R1366" t="s">
        <v>917</v>
      </c>
      <c r="S1366">
        <v>39</v>
      </c>
      <c r="T1366" s="29" t="str">
        <f t="shared" si="59"/>
        <v>2023.077B.Webervirus_68ns.zip</v>
      </c>
      <c r="U1366" s="29" t="str">
        <f>HYPERLINK("https://ictv.global/taxonomy/taxondetails?taxnode_id=202319518","ictv.global=202319518")</f>
        <v>ictv.global=202319518</v>
      </c>
    </row>
    <row r="1367" spans="1:21">
      <c r="A1367">
        <v>1366</v>
      </c>
      <c r="B1367" s="30" t="s">
        <v>1587</v>
      </c>
      <c r="D1367" s="30" t="s">
        <v>1588</v>
      </c>
      <c r="F1367" s="30" t="s">
        <v>1591</v>
      </c>
      <c r="H1367" s="30" t="s">
        <v>1592</v>
      </c>
      <c r="L1367" s="30" t="s">
        <v>1757</v>
      </c>
      <c r="N1367" s="30" t="s">
        <v>1452</v>
      </c>
      <c r="P1367" s="30" t="s">
        <v>5074</v>
      </c>
      <c r="Q1367" t="s">
        <v>619</v>
      </c>
      <c r="R1367" t="s">
        <v>918</v>
      </c>
      <c r="S1367">
        <v>37</v>
      </c>
      <c r="T1367" s="29" t="str">
        <f>HYPERLINK("https://ictv.global/ictv/proposals/2021.010B.R.Binomial_names.zip","2021.010B.R.Binomial_names.zip")</f>
        <v>2021.010B.R.Binomial_names.zip</v>
      </c>
      <c r="U1367" s="29" t="str">
        <f>HYPERLINK("https://ictv.global/taxonomy/taxondetails?taxnode_id=202312102","ictv.global=202312102")</f>
        <v>ictv.global=202312102</v>
      </c>
    </row>
    <row r="1368" spans="1:21">
      <c r="A1368">
        <v>1367</v>
      </c>
      <c r="B1368" s="30" t="s">
        <v>1587</v>
      </c>
      <c r="D1368" s="30" t="s">
        <v>1588</v>
      </c>
      <c r="F1368" s="30" t="s">
        <v>1591</v>
      </c>
      <c r="H1368" s="30" t="s">
        <v>1592</v>
      </c>
      <c r="L1368" s="30" t="s">
        <v>1757</v>
      </c>
      <c r="N1368" s="30" t="s">
        <v>1452</v>
      </c>
      <c r="P1368" s="30" t="s">
        <v>5075</v>
      </c>
      <c r="Q1368" t="s">
        <v>619</v>
      </c>
      <c r="R1368" t="s">
        <v>918</v>
      </c>
      <c r="S1368">
        <v>37</v>
      </c>
      <c r="T1368" s="29" t="str">
        <f>HYPERLINK("https://ictv.global/ictv/proposals/2021.010B.R.Binomial_names.zip","2021.010B.R.Binomial_names.zip")</f>
        <v>2021.010B.R.Binomial_names.zip</v>
      </c>
      <c r="U1368" s="29" t="str">
        <f>HYPERLINK("https://ictv.global/taxonomy/taxondetails?taxnode_id=202312115","ictv.global=202312115")</f>
        <v>ictv.global=202312115</v>
      </c>
    </row>
    <row r="1369" spans="1:21">
      <c r="A1369">
        <v>1368</v>
      </c>
      <c r="B1369" s="30" t="s">
        <v>1587</v>
      </c>
      <c r="D1369" s="30" t="s">
        <v>1588</v>
      </c>
      <c r="F1369" s="30" t="s">
        <v>1591</v>
      </c>
      <c r="H1369" s="30" t="s">
        <v>1592</v>
      </c>
      <c r="L1369" s="30" t="s">
        <v>1757</v>
      </c>
      <c r="N1369" s="30" t="s">
        <v>1452</v>
      </c>
      <c r="P1369" s="30" t="s">
        <v>5076</v>
      </c>
      <c r="Q1369" t="s">
        <v>619</v>
      </c>
      <c r="R1369" t="s">
        <v>918</v>
      </c>
      <c r="S1369">
        <v>37</v>
      </c>
      <c r="T1369" s="29" t="str">
        <f>HYPERLINK("https://ictv.global/ictv/proposals/2021.010B.R.Binomial_names.zip","2021.010B.R.Binomial_names.zip")</f>
        <v>2021.010B.R.Binomial_names.zip</v>
      </c>
      <c r="U1369" s="29" t="str">
        <f>HYPERLINK("https://ictv.global/taxonomy/taxondetails?taxnode_id=202312116","ictv.global=202312116")</f>
        <v>ictv.global=202312116</v>
      </c>
    </row>
    <row r="1370" spans="1:21">
      <c r="A1370">
        <v>1369</v>
      </c>
      <c r="B1370" s="30" t="s">
        <v>1587</v>
      </c>
      <c r="D1370" s="30" t="s">
        <v>1588</v>
      </c>
      <c r="F1370" s="30" t="s">
        <v>1591</v>
      </c>
      <c r="H1370" s="30" t="s">
        <v>1592</v>
      </c>
      <c r="L1370" s="30" t="s">
        <v>1757</v>
      </c>
      <c r="N1370" s="30" t="s">
        <v>1452</v>
      </c>
      <c r="P1370" s="30" t="s">
        <v>5077</v>
      </c>
      <c r="Q1370" t="s">
        <v>619</v>
      </c>
      <c r="R1370" t="s">
        <v>918</v>
      </c>
      <c r="S1370">
        <v>37</v>
      </c>
      <c r="T1370" s="29" t="str">
        <f>HYPERLINK("https://ictv.global/ictv/proposals/2021.010B.R.Binomial_names.zip","2021.010B.R.Binomial_names.zip")</f>
        <v>2021.010B.R.Binomial_names.zip</v>
      </c>
      <c r="U1370" s="29" t="str">
        <f>HYPERLINK("https://ictv.global/taxonomy/taxondetails?taxnode_id=202312110","ictv.global=202312110")</f>
        <v>ictv.global=202312110</v>
      </c>
    </row>
    <row r="1371" spans="1:21">
      <c r="A1371">
        <v>1370</v>
      </c>
      <c r="B1371" s="30" t="s">
        <v>1587</v>
      </c>
      <c r="D1371" s="30" t="s">
        <v>1588</v>
      </c>
      <c r="F1371" s="30" t="s">
        <v>1591</v>
      </c>
      <c r="H1371" s="30" t="s">
        <v>1592</v>
      </c>
      <c r="L1371" s="30" t="s">
        <v>1757</v>
      </c>
      <c r="N1371" s="30" t="s">
        <v>1452</v>
      </c>
      <c r="P1371" s="30" t="s">
        <v>12031</v>
      </c>
      <c r="Q1371" t="s">
        <v>619</v>
      </c>
      <c r="R1371" t="s">
        <v>917</v>
      </c>
      <c r="S1371">
        <v>39</v>
      </c>
      <c r="T1371" s="29" t="str">
        <f>HYPERLINK("https://ictv.global/ictv/proposals/2023.077B.Webervirus_68ns.zip","2023.077B.Webervirus_68ns.zip")</f>
        <v>2023.077B.Webervirus_68ns.zip</v>
      </c>
      <c r="U1371" s="29" t="str">
        <f>HYPERLINK("https://ictv.global/taxonomy/taxondetails?taxnode_id=202319553","ictv.global=202319553")</f>
        <v>ictv.global=202319553</v>
      </c>
    </row>
    <row r="1372" spans="1:21">
      <c r="A1372">
        <v>1371</v>
      </c>
      <c r="B1372" s="30" t="s">
        <v>1587</v>
      </c>
      <c r="D1372" s="30" t="s">
        <v>1588</v>
      </c>
      <c r="F1372" s="30" t="s">
        <v>1591</v>
      </c>
      <c r="H1372" s="30" t="s">
        <v>1592</v>
      </c>
      <c r="L1372" s="30" t="s">
        <v>1757</v>
      </c>
      <c r="N1372" s="30" t="s">
        <v>1452</v>
      </c>
      <c r="P1372" s="30" t="s">
        <v>5078</v>
      </c>
      <c r="Q1372" t="s">
        <v>619</v>
      </c>
      <c r="R1372" t="s">
        <v>918</v>
      </c>
      <c r="S1372">
        <v>37</v>
      </c>
      <c r="T1372" s="29" t="str">
        <f>HYPERLINK("https://ictv.global/ictv/proposals/2021.010B.R.Binomial_names.zip","2021.010B.R.Binomial_names.zip")</f>
        <v>2021.010B.R.Binomial_names.zip</v>
      </c>
      <c r="U1372" s="29" t="str">
        <f>HYPERLINK("https://ictv.global/taxonomy/taxondetails?taxnode_id=202300810","ictv.global=202300810")</f>
        <v>ictv.global=202300810</v>
      </c>
    </row>
    <row r="1373" spans="1:21">
      <c r="A1373">
        <v>1372</v>
      </c>
      <c r="B1373" s="30" t="s">
        <v>1587</v>
      </c>
      <c r="D1373" s="30" t="s">
        <v>1588</v>
      </c>
      <c r="F1373" s="30" t="s">
        <v>1591</v>
      </c>
      <c r="H1373" s="30" t="s">
        <v>1592</v>
      </c>
      <c r="L1373" s="30" t="s">
        <v>1757</v>
      </c>
      <c r="N1373" s="30" t="s">
        <v>1452</v>
      </c>
      <c r="P1373" s="30" t="s">
        <v>5079</v>
      </c>
      <c r="Q1373" t="s">
        <v>619</v>
      </c>
      <c r="R1373" t="s">
        <v>918</v>
      </c>
      <c r="S1373">
        <v>37</v>
      </c>
      <c r="T1373" s="29" t="str">
        <f>HYPERLINK("https://ictv.global/ictv/proposals/2021.010B.R.Binomial_names.zip","2021.010B.R.Binomial_names.zip")</f>
        <v>2021.010B.R.Binomial_names.zip</v>
      </c>
      <c r="U1373" s="29" t="str">
        <f>HYPERLINK("https://ictv.global/taxonomy/taxondetails?taxnode_id=202312108","ictv.global=202312108")</f>
        <v>ictv.global=202312108</v>
      </c>
    </row>
    <row r="1374" spans="1:21">
      <c r="A1374">
        <v>1373</v>
      </c>
      <c r="B1374" s="30" t="s">
        <v>1587</v>
      </c>
      <c r="D1374" s="30" t="s">
        <v>1588</v>
      </c>
      <c r="F1374" s="30" t="s">
        <v>1591</v>
      </c>
      <c r="H1374" s="30" t="s">
        <v>1592</v>
      </c>
      <c r="L1374" s="30" t="s">
        <v>1757</v>
      </c>
      <c r="N1374" s="30" t="s">
        <v>1452</v>
      </c>
      <c r="P1374" s="30" t="s">
        <v>5080</v>
      </c>
      <c r="Q1374" t="s">
        <v>619</v>
      </c>
      <c r="R1374" t="s">
        <v>918</v>
      </c>
      <c r="S1374">
        <v>37</v>
      </c>
      <c r="T1374" s="29" t="str">
        <f>HYPERLINK("https://ictv.global/ictv/proposals/2021.010B.R.Binomial_names.zip","2021.010B.R.Binomial_names.zip")</f>
        <v>2021.010B.R.Binomial_names.zip</v>
      </c>
      <c r="U1374" s="29" t="str">
        <f>HYPERLINK("https://ictv.global/taxonomy/taxondetails?taxnode_id=202308180","ictv.global=202308180")</f>
        <v>ictv.global=202308180</v>
      </c>
    </row>
    <row r="1375" spans="1:21">
      <c r="A1375">
        <v>1374</v>
      </c>
      <c r="B1375" s="30" t="s">
        <v>1587</v>
      </c>
      <c r="D1375" s="30" t="s">
        <v>1588</v>
      </c>
      <c r="F1375" s="30" t="s">
        <v>1591</v>
      </c>
      <c r="H1375" s="30" t="s">
        <v>1592</v>
      </c>
      <c r="L1375" s="30" t="s">
        <v>1757</v>
      </c>
      <c r="N1375" s="30" t="s">
        <v>1452</v>
      </c>
      <c r="P1375" s="30" t="s">
        <v>5081</v>
      </c>
      <c r="Q1375" t="s">
        <v>619</v>
      </c>
      <c r="R1375" t="s">
        <v>918</v>
      </c>
      <c r="S1375">
        <v>37</v>
      </c>
      <c r="T1375" s="29" t="str">
        <f>HYPERLINK("https://ictv.global/ictv/proposals/2021.010B.R.Binomial_names.zip","2021.010B.R.Binomial_names.zip")</f>
        <v>2021.010B.R.Binomial_names.zip</v>
      </c>
      <c r="U1375" s="29" t="str">
        <f>HYPERLINK("https://ictv.global/taxonomy/taxondetails?taxnode_id=202308177","ictv.global=202308177")</f>
        <v>ictv.global=202308177</v>
      </c>
    </row>
    <row r="1376" spans="1:21">
      <c r="A1376">
        <v>1375</v>
      </c>
      <c r="B1376" s="30" t="s">
        <v>1587</v>
      </c>
      <c r="D1376" s="30" t="s">
        <v>1588</v>
      </c>
      <c r="F1376" s="30" t="s">
        <v>1591</v>
      </c>
      <c r="H1376" s="30" t="s">
        <v>1592</v>
      </c>
      <c r="L1376" s="30" t="s">
        <v>1757</v>
      </c>
      <c r="N1376" s="30" t="s">
        <v>1452</v>
      </c>
      <c r="P1376" s="30" t="s">
        <v>12032</v>
      </c>
      <c r="Q1376" t="s">
        <v>619</v>
      </c>
      <c r="R1376" t="s">
        <v>917</v>
      </c>
      <c r="S1376">
        <v>39</v>
      </c>
      <c r="T1376" s="29" t="str">
        <f t="shared" ref="T1376:T1392" si="60">HYPERLINK("https://ictv.global/ictv/proposals/2023.077B.Webervirus_68ns.zip","2023.077B.Webervirus_68ns.zip")</f>
        <v>2023.077B.Webervirus_68ns.zip</v>
      </c>
      <c r="U1376" s="29" t="str">
        <f>HYPERLINK("https://ictv.global/taxonomy/taxondetails?taxnode_id=202319552","ictv.global=202319552")</f>
        <v>ictv.global=202319552</v>
      </c>
    </row>
    <row r="1377" spans="1:21">
      <c r="A1377">
        <v>1376</v>
      </c>
      <c r="B1377" s="30" t="s">
        <v>1587</v>
      </c>
      <c r="D1377" s="30" t="s">
        <v>1588</v>
      </c>
      <c r="F1377" s="30" t="s">
        <v>1591</v>
      </c>
      <c r="H1377" s="30" t="s">
        <v>1592</v>
      </c>
      <c r="L1377" s="30" t="s">
        <v>1757</v>
      </c>
      <c r="N1377" s="30" t="s">
        <v>1452</v>
      </c>
      <c r="P1377" s="30" t="s">
        <v>12033</v>
      </c>
      <c r="Q1377" t="s">
        <v>619</v>
      </c>
      <c r="R1377" t="s">
        <v>917</v>
      </c>
      <c r="S1377">
        <v>39</v>
      </c>
      <c r="T1377" s="29" t="str">
        <f t="shared" si="60"/>
        <v>2023.077B.Webervirus_68ns.zip</v>
      </c>
      <c r="U1377" s="29" t="str">
        <f>HYPERLINK("https://ictv.global/taxonomy/taxondetails?taxnode_id=202319512","ictv.global=202319512")</f>
        <v>ictv.global=202319512</v>
      </c>
    </row>
    <row r="1378" spans="1:21">
      <c r="A1378">
        <v>1377</v>
      </c>
      <c r="B1378" s="30" t="s">
        <v>1587</v>
      </c>
      <c r="D1378" s="30" t="s">
        <v>1588</v>
      </c>
      <c r="F1378" s="30" t="s">
        <v>1591</v>
      </c>
      <c r="H1378" s="30" t="s">
        <v>1592</v>
      </c>
      <c r="L1378" s="30" t="s">
        <v>1757</v>
      </c>
      <c r="N1378" s="30" t="s">
        <v>1452</v>
      </c>
      <c r="P1378" s="30" t="s">
        <v>12034</v>
      </c>
      <c r="Q1378" t="s">
        <v>619</v>
      </c>
      <c r="R1378" t="s">
        <v>917</v>
      </c>
      <c r="S1378">
        <v>39</v>
      </c>
      <c r="T1378" s="29" t="str">
        <f t="shared" si="60"/>
        <v>2023.077B.Webervirus_68ns.zip</v>
      </c>
      <c r="U1378" s="29" t="str">
        <f>HYPERLINK("https://ictv.global/taxonomy/taxondetails?taxnode_id=202319532","ictv.global=202319532")</f>
        <v>ictv.global=202319532</v>
      </c>
    </row>
    <row r="1379" spans="1:21">
      <c r="A1379">
        <v>1378</v>
      </c>
      <c r="B1379" s="30" t="s">
        <v>1587</v>
      </c>
      <c r="D1379" s="30" t="s">
        <v>1588</v>
      </c>
      <c r="F1379" s="30" t="s">
        <v>1591</v>
      </c>
      <c r="H1379" s="30" t="s">
        <v>1592</v>
      </c>
      <c r="L1379" s="30" t="s">
        <v>1757</v>
      </c>
      <c r="N1379" s="30" t="s">
        <v>1452</v>
      </c>
      <c r="P1379" s="30" t="s">
        <v>12035</v>
      </c>
      <c r="Q1379" t="s">
        <v>619</v>
      </c>
      <c r="R1379" t="s">
        <v>917</v>
      </c>
      <c r="S1379">
        <v>39</v>
      </c>
      <c r="T1379" s="29" t="str">
        <f t="shared" si="60"/>
        <v>2023.077B.Webervirus_68ns.zip</v>
      </c>
      <c r="U1379" s="29" t="str">
        <f>HYPERLINK("https://ictv.global/taxonomy/taxondetails?taxnode_id=202319555","ictv.global=202319555")</f>
        <v>ictv.global=202319555</v>
      </c>
    </row>
    <row r="1380" spans="1:21">
      <c r="A1380">
        <v>1379</v>
      </c>
      <c r="B1380" s="30" t="s">
        <v>1587</v>
      </c>
      <c r="D1380" s="30" t="s">
        <v>1588</v>
      </c>
      <c r="F1380" s="30" t="s">
        <v>1591</v>
      </c>
      <c r="H1380" s="30" t="s">
        <v>1592</v>
      </c>
      <c r="L1380" s="30" t="s">
        <v>1757</v>
      </c>
      <c r="N1380" s="30" t="s">
        <v>1452</v>
      </c>
      <c r="P1380" s="30" t="s">
        <v>12036</v>
      </c>
      <c r="Q1380" t="s">
        <v>619</v>
      </c>
      <c r="R1380" t="s">
        <v>917</v>
      </c>
      <c r="S1380">
        <v>39</v>
      </c>
      <c r="T1380" s="29" t="str">
        <f t="shared" si="60"/>
        <v>2023.077B.Webervirus_68ns.zip</v>
      </c>
      <c r="U1380" s="29" t="str">
        <f>HYPERLINK("https://ictv.global/taxonomy/taxondetails?taxnode_id=202319513","ictv.global=202319513")</f>
        <v>ictv.global=202319513</v>
      </c>
    </row>
    <row r="1381" spans="1:21">
      <c r="A1381">
        <v>1380</v>
      </c>
      <c r="B1381" s="30" t="s">
        <v>1587</v>
      </c>
      <c r="D1381" s="30" t="s">
        <v>1588</v>
      </c>
      <c r="F1381" s="30" t="s">
        <v>1591</v>
      </c>
      <c r="H1381" s="30" t="s">
        <v>1592</v>
      </c>
      <c r="L1381" s="30" t="s">
        <v>1757</v>
      </c>
      <c r="N1381" s="30" t="s">
        <v>1452</v>
      </c>
      <c r="P1381" s="30" t="s">
        <v>12037</v>
      </c>
      <c r="Q1381" t="s">
        <v>619</v>
      </c>
      <c r="R1381" t="s">
        <v>917</v>
      </c>
      <c r="S1381">
        <v>39</v>
      </c>
      <c r="T1381" s="29" t="str">
        <f t="shared" si="60"/>
        <v>2023.077B.Webervirus_68ns.zip</v>
      </c>
      <c r="U1381" s="29" t="str">
        <f>HYPERLINK("https://ictv.global/taxonomy/taxondetails?taxnode_id=202319530","ictv.global=202319530")</f>
        <v>ictv.global=202319530</v>
      </c>
    </row>
    <row r="1382" spans="1:21">
      <c r="A1382">
        <v>1381</v>
      </c>
      <c r="B1382" s="30" t="s">
        <v>1587</v>
      </c>
      <c r="D1382" s="30" t="s">
        <v>1588</v>
      </c>
      <c r="F1382" s="30" t="s">
        <v>1591</v>
      </c>
      <c r="H1382" s="30" t="s">
        <v>1592</v>
      </c>
      <c r="L1382" s="30" t="s">
        <v>1757</v>
      </c>
      <c r="N1382" s="30" t="s">
        <v>1452</v>
      </c>
      <c r="P1382" s="30" t="s">
        <v>12038</v>
      </c>
      <c r="Q1382" t="s">
        <v>619</v>
      </c>
      <c r="R1382" t="s">
        <v>917</v>
      </c>
      <c r="S1382">
        <v>39</v>
      </c>
      <c r="T1382" s="29" t="str">
        <f t="shared" si="60"/>
        <v>2023.077B.Webervirus_68ns.zip</v>
      </c>
      <c r="U1382" s="29" t="str">
        <f>HYPERLINK("https://ictv.global/taxonomy/taxondetails?taxnode_id=202319531","ictv.global=202319531")</f>
        <v>ictv.global=202319531</v>
      </c>
    </row>
    <row r="1383" spans="1:21">
      <c r="A1383">
        <v>1382</v>
      </c>
      <c r="B1383" s="30" t="s">
        <v>1587</v>
      </c>
      <c r="D1383" s="30" t="s">
        <v>1588</v>
      </c>
      <c r="F1383" s="30" t="s">
        <v>1591</v>
      </c>
      <c r="H1383" s="30" t="s">
        <v>1592</v>
      </c>
      <c r="L1383" s="30" t="s">
        <v>1757</v>
      </c>
      <c r="N1383" s="30" t="s">
        <v>1452</v>
      </c>
      <c r="P1383" s="30" t="s">
        <v>12039</v>
      </c>
      <c r="Q1383" t="s">
        <v>619</v>
      </c>
      <c r="R1383" t="s">
        <v>917</v>
      </c>
      <c r="S1383">
        <v>39</v>
      </c>
      <c r="T1383" s="29" t="str">
        <f t="shared" si="60"/>
        <v>2023.077B.Webervirus_68ns.zip</v>
      </c>
      <c r="U1383" s="29" t="str">
        <f>HYPERLINK("https://ictv.global/taxonomy/taxondetails?taxnode_id=202319538","ictv.global=202319538")</f>
        <v>ictv.global=202319538</v>
      </c>
    </row>
    <row r="1384" spans="1:21">
      <c r="A1384">
        <v>1383</v>
      </c>
      <c r="B1384" s="30" t="s">
        <v>1587</v>
      </c>
      <c r="D1384" s="30" t="s">
        <v>1588</v>
      </c>
      <c r="F1384" s="30" t="s">
        <v>1591</v>
      </c>
      <c r="H1384" s="30" t="s">
        <v>1592</v>
      </c>
      <c r="L1384" s="30" t="s">
        <v>1757</v>
      </c>
      <c r="N1384" s="30" t="s">
        <v>1452</v>
      </c>
      <c r="P1384" s="30" t="s">
        <v>12040</v>
      </c>
      <c r="Q1384" t="s">
        <v>619</v>
      </c>
      <c r="R1384" t="s">
        <v>917</v>
      </c>
      <c r="S1384">
        <v>39</v>
      </c>
      <c r="T1384" s="29" t="str">
        <f t="shared" si="60"/>
        <v>2023.077B.Webervirus_68ns.zip</v>
      </c>
      <c r="U1384" s="29" t="str">
        <f>HYPERLINK("https://ictv.global/taxonomy/taxondetails?taxnode_id=202319570","ictv.global=202319570")</f>
        <v>ictv.global=202319570</v>
      </c>
    </row>
    <row r="1385" spans="1:21">
      <c r="A1385">
        <v>1384</v>
      </c>
      <c r="B1385" s="30" t="s">
        <v>1587</v>
      </c>
      <c r="D1385" s="30" t="s">
        <v>1588</v>
      </c>
      <c r="F1385" s="30" t="s">
        <v>1591</v>
      </c>
      <c r="H1385" s="30" t="s">
        <v>1592</v>
      </c>
      <c r="L1385" s="30" t="s">
        <v>1757</v>
      </c>
      <c r="N1385" s="30" t="s">
        <v>1452</v>
      </c>
      <c r="P1385" s="30" t="s">
        <v>12041</v>
      </c>
      <c r="Q1385" t="s">
        <v>619</v>
      </c>
      <c r="R1385" t="s">
        <v>917</v>
      </c>
      <c r="S1385">
        <v>39</v>
      </c>
      <c r="T1385" s="29" t="str">
        <f t="shared" si="60"/>
        <v>2023.077B.Webervirus_68ns.zip</v>
      </c>
      <c r="U1385" s="29" t="str">
        <f>HYPERLINK("https://ictv.global/taxonomy/taxondetails?taxnode_id=202319505","ictv.global=202319505")</f>
        <v>ictv.global=202319505</v>
      </c>
    </row>
    <row r="1386" spans="1:21">
      <c r="A1386">
        <v>1385</v>
      </c>
      <c r="B1386" s="30" t="s">
        <v>1587</v>
      </c>
      <c r="D1386" s="30" t="s">
        <v>1588</v>
      </c>
      <c r="F1386" s="30" t="s">
        <v>1591</v>
      </c>
      <c r="H1386" s="30" t="s">
        <v>1592</v>
      </c>
      <c r="L1386" s="30" t="s">
        <v>1757</v>
      </c>
      <c r="N1386" s="30" t="s">
        <v>1452</v>
      </c>
      <c r="P1386" s="30" t="s">
        <v>12042</v>
      </c>
      <c r="Q1386" t="s">
        <v>619</v>
      </c>
      <c r="R1386" t="s">
        <v>917</v>
      </c>
      <c r="S1386">
        <v>39</v>
      </c>
      <c r="T1386" s="29" t="str">
        <f t="shared" si="60"/>
        <v>2023.077B.Webervirus_68ns.zip</v>
      </c>
      <c r="U1386" s="29" t="str">
        <f>HYPERLINK("https://ictv.global/taxonomy/taxondetails?taxnode_id=202319526","ictv.global=202319526")</f>
        <v>ictv.global=202319526</v>
      </c>
    </row>
    <row r="1387" spans="1:21">
      <c r="A1387">
        <v>1386</v>
      </c>
      <c r="B1387" s="30" t="s">
        <v>1587</v>
      </c>
      <c r="D1387" s="30" t="s">
        <v>1588</v>
      </c>
      <c r="F1387" s="30" t="s">
        <v>1591</v>
      </c>
      <c r="H1387" s="30" t="s">
        <v>1592</v>
      </c>
      <c r="L1387" s="30" t="s">
        <v>1757</v>
      </c>
      <c r="N1387" s="30" t="s">
        <v>1452</v>
      </c>
      <c r="P1387" s="30" t="s">
        <v>12043</v>
      </c>
      <c r="Q1387" t="s">
        <v>619</v>
      </c>
      <c r="R1387" t="s">
        <v>917</v>
      </c>
      <c r="S1387">
        <v>39</v>
      </c>
      <c r="T1387" s="29" t="str">
        <f t="shared" si="60"/>
        <v>2023.077B.Webervirus_68ns.zip</v>
      </c>
      <c r="U1387" s="29" t="str">
        <f>HYPERLINK("https://ictv.global/taxonomy/taxondetails?taxnode_id=202319525","ictv.global=202319525")</f>
        <v>ictv.global=202319525</v>
      </c>
    </row>
    <row r="1388" spans="1:21">
      <c r="A1388">
        <v>1387</v>
      </c>
      <c r="B1388" s="30" t="s">
        <v>1587</v>
      </c>
      <c r="D1388" s="30" t="s">
        <v>1588</v>
      </c>
      <c r="F1388" s="30" t="s">
        <v>1591</v>
      </c>
      <c r="H1388" s="30" t="s">
        <v>1592</v>
      </c>
      <c r="L1388" s="30" t="s">
        <v>1757</v>
      </c>
      <c r="N1388" s="30" t="s">
        <v>1452</v>
      </c>
      <c r="P1388" s="30" t="s">
        <v>12044</v>
      </c>
      <c r="Q1388" t="s">
        <v>619</v>
      </c>
      <c r="R1388" t="s">
        <v>917</v>
      </c>
      <c r="S1388">
        <v>39</v>
      </c>
      <c r="T1388" s="29" t="str">
        <f t="shared" si="60"/>
        <v>2023.077B.Webervirus_68ns.zip</v>
      </c>
      <c r="U1388" s="29" t="str">
        <f>HYPERLINK("https://ictv.global/taxonomy/taxondetails?taxnode_id=202319504","ictv.global=202319504")</f>
        <v>ictv.global=202319504</v>
      </c>
    </row>
    <row r="1389" spans="1:21">
      <c r="A1389">
        <v>1388</v>
      </c>
      <c r="B1389" s="30" t="s">
        <v>1587</v>
      </c>
      <c r="D1389" s="30" t="s">
        <v>1588</v>
      </c>
      <c r="F1389" s="30" t="s">
        <v>1591</v>
      </c>
      <c r="H1389" s="30" t="s">
        <v>1592</v>
      </c>
      <c r="L1389" s="30" t="s">
        <v>1757</v>
      </c>
      <c r="N1389" s="30" t="s">
        <v>1452</v>
      </c>
      <c r="P1389" s="30" t="s">
        <v>12045</v>
      </c>
      <c r="Q1389" t="s">
        <v>619</v>
      </c>
      <c r="R1389" t="s">
        <v>917</v>
      </c>
      <c r="S1389">
        <v>39</v>
      </c>
      <c r="T1389" s="29" t="str">
        <f t="shared" si="60"/>
        <v>2023.077B.Webervirus_68ns.zip</v>
      </c>
      <c r="U1389" s="29" t="str">
        <f>HYPERLINK("https://ictv.global/taxonomy/taxondetails?taxnode_id=202319515","ictv.global=202319515")</f>
        <v>ictv.global=202319515</v>
      </c>
    </row>
    <row r="1390" spans="1:21">
      <c r="A1390">
        <v>1389</v>
      </c>
      <c r="B1390" s="30" t="s">
        <v>1587</v>
      </c>
      <c r="D1390" s="30" t="s">
        <v>1588</v>
      </c>
      <c r="F1390" s="30" t="s">
        <v>1591</v>
      </c>
      <c r="H1390" s="30" t="s">
        <v>1592</v>
      </c>
      <c r="L1390" s="30" t="s">
        <v>1757</v>
      </c>
      <c r="N1390" s="30" t="s">
        <v>1452</v>
      </c>
      <c r="P1390" s="30" t="s">
        <v>12046</v>
      </c>
      <c r="Q1390" t="s">
        <v>619</v>
      </c>
      <c r="R1390" t="s">
        <v>917</v>
      </c>
      <c r="S1390">
        <v>39</v>
      </c>
      <c r="T1390" s="29" t="str">
        <f t="shared" si="60"/>
        <v>2023.077B.Webervirus_68ns.zip</v>
      </c>
      <c r="U1390" s="29" t="str">
        <f>HYPERLINK("https://ictv.global/taxonomy/taxondetails?taxnode_id=202319543","ictv.global=202319543")</f>
        <v>ictv.global=202319543</v>
      </c>
    </row>
    <row r="1391" spans="1:21">
      <c r="A1391">
        <v>1390</v>
      </c>
      <c r="B1391" s="30" t="s">
        <v>1587</v>
      </c>
      <c r="D1391" s="30" t="s">
        <v>1588</v>
      </c>
      <c r="F1391" s="30" t="s">
        <v>1591</v>
      </c>
      <c r="H1391" s="30" t="s">
        <v>1592</v>
      </c>
      <c r="L1391" s="30" t="s">
        <v>1757</v>
      </c>
      <c r="N1391" s="30" t="s">
        <v>1452</v>
      </c>
      <c r="P1391" s="30" t="s">
        <v>12047</v>
      </c>
      <c r="Q1391" t="s">
        <v>619</v>
      </c>
      <c r="R1391" t="s">
        <v>917</v>
      </c>
      <c r="S1391">
        <v>39</v>
      </c>
      <c r="T1391" s="29" t="str">
        <f t="shared" si="60"/>
        <v>2023.077B.Webervirus_68ns.zip</v>
      </c>
      <c r="U1391" s="29" t="str">
        <f>HYPERLINK("https://ictv.global/taxonomy/taxondetails?taxnode_id=202319546","ictv.global=202319546")</f>
        <v>ictv.global=202319546</v>
      </c>
    </row>
    <row r="1392" spans="1:21">
      <c r="A1392">
        <v>1391</v>
      </c>
      <c r="B1392" s="30" t="s">
        <v>1587</v>
      </c>
      <c r="D1392" s="30" t="s">
        <v>1588</v>
      </c>
      <c r="F1392" s="30" t="s">
        <v>1591</v>
      </c>
      <c r="H1392" s="30" t="s">
        <v>1592</v>
      </c>
      <c r="L1392" s="30" t="s">
        <v>1757</v>
      </c>
      <c r="N1392" s="30" t="s">
        <v>1452</v>
      </c>
      <c r="P1392" s="30" t="s">
        <v>12048</v>
      </c>
      <c r="Q1392" t="s">
        <v>619</v>
      </c>
      <c r="R1392" t="s">
        <v>917</v>
      </c>
      <c r="S1392">
        <v>39</v>
      </c>
      <c r="T1392" s="29" t="str">
        <f t="shared" si="60"/>
        <v>2023.077B.Webervirus_68ns.zip</v>
      </c>
      <c r="U1392" s="29" t="str">
        <f>HYPERLINK("https://ictv.global/taxonomy/taxondetails?taxnode_id=202319528","ictv.global=202319528")</f>
        <v>ictv.global=202319528</v>
      </c>
    </row>
    <row r="1393" spans="1:21">
      <c r="A1393">
        <v>1392</v>
      </c>
      <c r="B1393" s="30" t="s">
        <v>1587</v>
      </c>
      <c r="D1393" s="30" t="s">
        <v>1588</v>
      </c>
      <c r="F1393" s="30" t="s">
        <v>1591</v>
      </c>
      <c r="H1393" s="30" t="s">
        <v>1592</v>
      </c>
      <c r="L1393" s="30" t="s">
        <v>1757</v>
      </c>
      <c r="N1393" s="30" t="s">
        <v>1452</v>
      </c>
      <c r="P1393" s="30" t="s">
        <v>5082</v>
      </c>
      <c r="Q1393" t="s">
        <v>619</v>
      </c>
      <c r="R1393" t="s">
        <v>918</v>
      </c>
      <c r="S1393">
        <v>37</v>
      </c>
      <c r="T1393" s="29" t="str">
        <f>HYPERLINK("https://ictv.global/ictv/proposals/2021.010B.R.Binomial_names.zip","2021.010B.R.Binomial_names.zip")</f>
        <v>2021.010B.R.Binomial_names.zip</v>
      </c>
      <c r="U1393" s="29" t="str">
        <f>HYPERLINK("https://ictv.global/taxonomy/taxondetails?taxnode_id=202312113","ictv.global=202312113")</f>
        <v>ictv.global=202312113</v>
      </c>
    </row>
    <row r="1394" spans="1:21">
      <c r="A1394">
        <v>1393</v>
      </c>
      <c r="B1394" s="30" t="s">
        <v>1587</v>
      </c>
      <c r="D1394" s="30" t="s">
        <v>1588</v>
      </c>
      <c r="F1394" s="30" t="s">
        <v>1591</v>
      </c>
      <c r="H1394" s="30" t="s">
        <v>1592</v>
      </c>
      <c r="L1394" s="30" t="s">
        <v>1757</v>
      </c>
      <c r="N1394" s="30" t="s">
        <v>1452</v>
      </c>
      <c r="P1394" s="30" t="s">
        <v>5083</v>
      </c>
      <c r="Q1394" t="s">
        <v>619</v>
      </c>
      <c r="R1394" t="s">
        <v>918</v>
      </c>
      <c r="S1394">
        <v>37</v>
      </c>
      <c r="T1394" s="29" t="str">
        <f>HYPERLINK("https://ictv.global/ictv/proposals/2021.010B.R.Binomial_names.zip","2021.010B.R.Binomial_names.zip")</f>
        <v>2021.010B.R.Binomial_names.zip</v>
      </c>
      <c r="U1394" s="29" t="str">
        <f>HYPERLINK("https://ictv.global/taxonomy/taxondetails?taxnode_id=202300806","ictv.global=202300806")</f>
        <v>ictv.global=202300806</v>
      </c>
    </row>
    <row r="1395" spans="1:21">
      <c r="A1395">
        <v>1394</v>
      </c>
      <c r="B1395" s="30" t="s">
        <v>1587</v>
      </c>
      <c r="D1395" s="30" t="s">
        <v>1588</v>
      </c>
      <c r="F1395" s="30" t="s">
        <v>1591</v>
      </c>
      <c r="H1395" s="30" t="s">
        <v>1592</v>
      </c>
      <c r="L1395" s="30" t="s">
        <v>1757</v>
      </c>
      <c r="N1395" s="30" t="s">
        <v>1452</v>
      </c>
      <c r="P1395" s="30" t="s">
        <v>12049</v>
      </c>
      <c r="Q1395" t="s">
        <v>619</v>
      </c>
      <c r="R1395" t="s">
        <v>917</v>
      </c>
      <c r="S1395">
        <v>39</v>
      </c>
      <c r="T1395" s="29" t="str">
        <f>HYPERLINK("https://ictv.global/ictv/proposals/2023.077B.Webervirus_68ns.zip","2023.077B.Webervirus_68ns.zip")</f>
        <v>2023.077B.Webervirus_68ns.zip</v>
      </c>
      <c r="U1395" s="29" t="str">
        <f>HYPERLINK("https://ictv.global/taxonomy/taxondetails?taxnode_id=202319511","ictv.global=202319511")</f>
        <v>ictv.global=202319511</v>
      </c>
    </row>
    <row r="1396" spans="1:21">
      <c r="A1396">
        <v>1395</v>
      </c>
      <c r="B1396" s="30" t="s">
        <v>1587</v>
      </c>
      <c r="D1396" s="30" t="s">
        <v>1588</v>
      </c>
      <c r="F1396" s="30" t="s">
        <v>1591</v>
      </c>
      <c r="H1396" s="30" t="s">
        <v>1592</v>
      </c>
      <c r="L1396" s="30" t="s">
        <v>1757</v>
      </c>
      <c r="N1396" s="30" t="s">
        <v>1452</v>
      </c>
      <c r="P1396" s="30" t="s">
        <v>12050</v>
      </c>
      <c r="Q1396" t="s">
        <v>619</v>
      </c>
      <c r="R1396" t="s">
        <v>917</v>
      </c>
      <c r="S1396">
        <v>39</v>
      </c>
      <c r="T1396" s="29" t="str">
        <f>HYPERLINK("https://ictv.global/ictv/proposals/2023.077B.Webervirus_68ns.zip","2023.077B.Webervirus_68ns.zip")</f>
        <v>2023.077B.Webervirus_68ns.zip</v>
      </c>
      <c r="U1396" s="29" t="str">
        <f>HYPERLINK("https://ictv.global/taxonomy/taxondetails?taxnode_id=202319562","ictv.global=202319562")</f>
        <v>ictv.global=202319562</v>
      </c>
    </row>
    <row r="1397" spans="1:21">
      <c r="A1397">
        <v>1396</v>
      </c>
      <c r="B1397" s="30" t="s">
        <v>1587</v>
      </c>
      <c r="D1397" s="30" t="s">
        <v>1588</v>
      </c>
      <c r="F1397" s="30" t="s">
        <v>1591</v>
      </c>
      <c r="H1397" s="30" t="s">
        <v>1592</v>
      </c>
      <c r="L1397" s="30" t="s">
        <v>5084</v>
      </c>
      <c r="N1397" s="30" t="s">
        <v>5085</v>
      </c>
      <c r="P1397" s="30" t="s">
        <v>5086</v>
      </c>
      <c r="Q1397" t="s">
        <v>619</v>
      </c>
      <c r="R1397" t="s">
        <v>917</v>
      </c>
      <c r="S1397">
        <v>37</v>
      </c>
      <c r="T1397" s="29" t="str">
        <f t="shared" ref="T1397:T1402" si="61">HYPERLINK("https://ictv.global/ictv/proposals/2021.029B.R.Flavophages_9_families.zip","2021.029B.R.Flavophages_9_families.zip")</f>
        <v>2021.029B.R.Flavophages_9_families.zip</v>
      </c>
      <c r="U1397" s="29" t="str">
        <f>HYPERLINK("https://ictv.global/taxonomy/taxondetails?taxnode_id=202313561","ictv.global=202313561")</f>
        <v>ictv.global=202313561</v>
      </c>
    </row>
    <row r="1398" spans="1:21">
      <c r="A1398">
        <v>1397</v>
      </c>
      <c r="B1398" s="30" t="s">
        <v>1587</v>
      </c>
      <c r="D1398" s="30" t="s">
        <v>1588</v>
      </c>
      <c r="F1398" s="30" t="s">
        <v>1591</v>
      </c>
      <c r="H1398" s="30" t="s">
        <v>1592</v>
      </c>
      <c r="L1398" s="30" t="s">
        <v>5084</v>
      </c>
      <c r="N1398" s="30" t="s">
        <v>2455</v>
      </c>
      <c r="P1398" s="30" t="s">
        <v>5087</v>
      </c>
      <c r="Q1398" t="s">
        <v>619</v>
      </c>
      <c r="R1398" t="s">
        <v>918</v>
      </c>
      <c r="S1398">
        <v>37</v>
      </c>
      <c r="T1398" s="29" t="str">
        <f t="shared" si="61"/>
        <v>2021.029B.R.Flavophages_9_families.zip</v>
      </c>
      <c r="U1398" s="29" t="str">
        <f>HYPERLINK("https://ictv.global/taxonomy/taxondetails?taxnode_id=202310034","ictv.global=202310034")</f>
        <v>ictv.global=202310034</v>
      </c>
    </row>
    <row r="1399" spans="1:21">
      <c r="A1399">
        <v>1398</v>
      </c>
      <c r="B1399" s="30" t="s">
        <v>1587</v>
      </c>
      <c r="D1399" s="30" t="s">
        <v>1588</v>
      </c>
      <c r="F1399" s="30" t="s">
        <v>1591</v>
      </c>
      <c r="H1399" s="30" t="s">
        <v>1592</v>
      </c>
      <c r="L1399" s="30" t="s">
        <v>5084</v>
      </c>
      <c r="N1399" s="30" t="s">
        <v>1564</v>
      </c>
      <c r="P1399" s="30" t="s">
        <v>5088</v>
      </c>
      <c r="Q1399" t="s">
        <v>619</v>
      </c>
      <c r="R1399" t="s">
        <v>918</v>
      </c>
      <c r="S1399">
        <v>37</v>
      </c>
      <c r="T1399" s="29" t="str">
        <f t="shared" si="61"/>
        <v>2021.029B.R.Flavophages_9_families.zip</v>
      </c>
      <c r="U1399" s="29" t="str">
        <f>HYPERLINK("https://ictv.global/taxonomy/taxondetails?taxnode_id=202307073","ictv.global=202307073")</f>
        <v>ictv.global=202307073</v>
      </c>
    </row>
    <row r="1400" spans="1:21">
      <c r="A1400">
        <v>1399</v>
      </c>
      <c r="B1400" s="30" t="s">
        <v>1587</v>
      </c>
      <c r="D1400" s="30" t="s">
        <v>1588</v>
      </c>
      <c r="F1400" s="30" t="s">
        <v>1591</v>
      </c>
      <c r="H1400" s="30" t="s">
        <v>1592</v>
      </c>
      <c r="L1400" s="30" t="s">
        <v>5084</v>
      </c>
      <c r="N1400" s="30" t="s">
        <v>1564</v>
      </c>
      <c r="P1400" s="30" t="s">
        <v>5089</v>
      </c>
      <c r="Q1400" t="s">
        <v>619</v>
      </c>
      <c r="R1400" t="s">
        <v>918</v>
      </c>
      <c r="S1400">
        <v>37</v>
      </c>
      <c r="T1400" s="29" t="str">
        <f t="shared" si="61"/>
        <v>2021.029B.R.Flavophages_9_families.zip</v>
      </c>
      <c r="U1400" s="29" t="str">
        <f>HYPERLINK("https://ictv.global/taxonomy/taxondetails?taxnode_id=202307076","ictv.global=202307076")</f>
        <v>ictv.global=202307076</v>
      </c>
    </row>
    <row r="1401" spans="1:21">
      <c r="A1401">
        <v>1400</v>
      </c>
      <c r="B1401" s="30" t="s">
        <v>1587</v>
      </c>
      <c r="D1401" s="30" t="s">
        <v>1588</v>
      </c>
      <c r="F1401" s="30" t="s">
        <v>1591</v>
      </c>
      <c r="H1401" s="30" t="s">
        <v>1592</v>
      </c>
      <c r="L1401" s="30" t="s">
        <v>5084</v>
      </c>
      <c r="N1401" s="30" t="s">
        <v>1564</v>
      </c>
      <c r="P1401" s="30" t="s">
        <v>5090</v>
      </c>
      <c r="Q1401" t="s">
        <v>619</v>
      </c>
      <c r="R1401" t="s">
        <v>918</v>
      </c>
      <c r="S1401">
        <v>37</v>
      </c>
      <c r="T1401" s="29" t="str">
        <f t="shared" si="61"/>
        <v>2021.029B.R.Flavophages_9_families.zip</v>
      </c>
      <c r="U1401" s="29" t="str">
        <f>HYPERLINK("https://ictv.global/taxonomy/taxondetails?taxnode_id=202307075","ictv.global=202307075")</f>
        <v>ictv.global=202307075</v>
      </c>
    </row>
    <row r="1402" spans="1:21">
      <c r="A1402">
        <v>1401</v>
      </c>
      <c r="B1402" s="30" t="s">
        <v>1587</v>
      </c>
      <c r="D1402" s="30" t="s">
        <v>1588</v>
      </c>
      <c r="F1402" s="30" t="s">
        <v>1591</v>
      </c>
      <c r="H1402" s="30" t="s">
        <v>1592</v>
      </c>
      <c r="L1402" s="30" t="s">
        <v>5084</v>
      </c>
      <c r="N1402" s="30" t="s">
        <v>1564</v>
      </c>
      <c r="P1402" s="30" t="s">
        <v>5091</v>
      </c>
      <c r="Q1402" t="s">
        <v>619</v>
      </c>
      <c r="R1402" t="s">
        <v>918</v>
      </c>
      <c r="S1402">
        <v>37</v>
      </c>
      <c r="T1402" s="29" t="str">
        <f t="shared" si="61"/>
        <v>2021.029B.R.Flavophages_9_families.zip</v>
      </c>
      <c r="U1402" s="29" t="str">
        <f>HYPERLINK("https://ictv.global/taxonomy/taxondetails?taxnode_id=202307074","ictv.global=202307074")</f>
        <v>ictv.global=202307074</v>
      </c>
    </row>
    <row r="1403" spans="1:21">
      <c r="A1403">
        <v>1402</v>
      </c>
      <c r="B1403" s="30" t="s">
        <v>1587</v>
      </c>
      <c r="D1403" s="30" t="s">
        <v>1588</v>
      </c>
      <c r="F1403" s="30" t="s">
        <v>1591</v>
      </c>
      <c r="H1403" s="30" t="s">
        <v>1592</v>
      </c>
      <c r="L1403" s="30" t="s">
        <v>5092</v>
      </c>
      <c r="N1403" s="30" t="s">
        <v>5093</v>
      </c>
      <c r="P1403" s="30" t="s">
        <v>5094</v>
      </c>
      <c r="Q1403" t="s">
        <v>619</v>
      </c>
      <c r="R1403" t="s">
        <v>917</v>
      </c>
      <c r="S1403">
        <v>38</v>
      </c>
      <c r="T1403" s="29" t="str">
        <f>HYPERLINK("https://ictv.global/ictv/proposals/2022.004A.Caudoviricetes_3nf.zip","2022.004A.Caudoviricetes_3nf.zip")</f>
        <v>2022.004A.Caudoviricetes_3nf.zip</v>
      </c>
      <c r="U1403" s="29" t="str">
        <f>HYPERLINK("https://ictv.global/taxonomy/taxondetails?taxnode_id=202314333","ictv.global=202314333")</f>
        <v>ictv.global=202314333</v>
      </c>
    </row>
    <row r="1404" spans="1:21">
      <c r="A1404">
        <v>1403</v>
      </c>
      <c r="B1404" s="30" t="s">
        <v>1587</v>
      </c>
      <c r="D1404" s="30" t="s">
        <v>1588</v>
      </c>
      <c r="F1404" s="30" t="s">
        <v>1591</v>
      </c>
      <c r="H1404" s="30" t="s">
        <v>1592</v>
      </c>
      <c r="L1404" s="30" t="s">
        <v>5095</v>
      </c>
      <c r="N1404" s="30" t="s">
        <v>5096</v>
      </c>
      <c r="P1404" s="30" t="s">
        <v>5097</v>
      </c>
      <c r="Q1404" t="s">
        <v>619</v>
      </c>
      <c r="R1404" t="s">
        <v>917</v>
      </c>
      <c r="S1404">
        <v>37</v>
      </c>
      <c r="T1404" s="29" t="str">
        <f>HYPERLINK("https://ictv.global/ictv/proposals/2021.029B.R.Flavophages_9_families.zip","2021.029B.R.Flavophages_9_families.zip")</f>
        <v>2021.029B.R.Flavophages_9_families.zip</v>
      </c>
      <c r="U1404" s="29" t="str">
        <f>HYPERLINK("https://ictv.global/taxonomy/taxondetails?taxnode_id=202313572","ictv.global=202313572")</f>
        <v>ictv.global=202313572</v>
      </c>
    </row>
    <row r="1405" spans="1:21">
      <c r="A1405">
        <v>1404</v>
      </c>
      <c r="B1405" s="30" t="s">
        <v>1587</v>
      </c>
      <c r="D1405" s="30" t="s">
        <v>1588</v>
      </c>
      <c r="F1405" s="30" t="s">
        <v>1591</v>
      </c>
      <c r="H1405" s="30" t="s">
        <v>1592</v>
      </c>
      <c r="L1405" s="30" t="s">
        <v>5095</v>
      </c>
      <c r="N1405" s="30" t="s">
        <v>5096</v>
      </c>
      <c r="P1405" s="30" t="s">
        <v>5098</v>
      </c>
      <c r="Q1405" t="s">
        <v>619</v>
      </c>
      <c r="R1405" t="s">
        <v>917</v>
      </c>
      <c r="S1405">
        <v>37</v>
      </c>
      <c r="T1405" s="29" t="str">
        <f>HYPERLINK("https://ictv.global/ictv/proposals/2021.029B.R.Flavophages_9_families.zip","2021.029B.R.Flavophages_9_families.zip")</f>
        <v>2021.029B.R.Flavophages_9_families.zip</v>
      </c>
      <c r="U1405" s="29" t="str">
        <f>HYPERLINK("https://ictv.global/taxonomy/taxondetails?taxnode_id=202313571","ictv.global=202313571")</f>
        <v>ictv.global=202313571</v>
      </c>
    </row>
    <row r="1406" spans="1:21">
      <c r="A1406">
        <v>1405</v>
      </c>
      <c r="B1406" s="30" t="s">
        <v>1587</v>
      </c>
      <c r="D1406" s="30" t="s">
        <v>1588</v>
      </c>
      <c r="F1406" s="30" t="s">
        <v>1591</v>
      </c>
      <c r="H1406" s="30" t="s">
        <v>1592</v>
      </c>
      <c r="L1406" s="30" t="s">
        <v>5099</v>
      </c>
      <c r="N1406" s="30" t="s">
        <v>5100</v>
      </c>
      <c r="P1406" s="30" t="s">
        <v>5101</v>
      </c>
      <c r="Q1406" t="s">
        <v>619</v>
      </c>
      <c r="R1406" t="s">
        <v>919</v>
      </c>
      <c r="S1406">
        <v>38</v>
      </c>
      <c r="T1406" s="29" t="str">
        <f>HYPERLINK("https://ictv.global/ictv/proposals/2022.033B.Fredfastierviridae_nf.zip","2022.033B.Fredfastierviridae_nf.zip")</f>
        <v>2022.033B.Fredfastierviridae_nf.zip</v>
      </c>
      <c r="U1406" s="29" t="str">
        <f>HYPERLINK("https://ictv.global/taxonomy/taxondetails?taxnode_id=202300706","ictv.global=202300706")</f>
        <v>ictv.global=202300706</v>
      </c>
    </row>
    <row r="1407" spans="1:21">
      <c r="A1407">
        <v>1406</v>
      </c>
      <c r="B1407" s="30" t="s">
        <v>1587</v>
      </c>
      <c r="D1407" s="30" t="s">
        <v>1588</v>
      </c>
      <c r="F1407" s="30" t="s">
        <v>1591</v>
      </c>
      <c r="H1407" s="30" t="s">
        <v>1592</v>
      </c>
      <c r="L1407" s="30" t="s">
        <v>5099</v>
      </c>
      <c r="N1407" s="30" t="s">
        <v>5100</v>
      </c>
      <c r="P1407" s="30" t="s">
        <v>5102</v>
      </c>
      <c r="Q1407" t="s">
        <v>619</v>
      </c>
      <c r="R1407" t="s">
        <v>919</v>
      </c>
      <c r="S1407">
        <v>38</v>
      </c>
      <c r="T1407" s="29" t="str">
        <f>HYPERLINK("https://ictv.global/ictv/proposals/2022.033B.Fredfastierviridae_nf.zip","2022.033B.Fredfastierviridae_nf.zip")</f>
        <v>2022.033B.Fredfastierviridae_nf.zip</v>
      </c>
      <c r="U1407" s="29" t="str">
        <f>HYPERLINK("https://ictv.global/taxonomy/taxondetails?taxnode_id=202312357","ictv.global=202312357")</f>
        <v>ictv.global=202312357</v>
      </c>
    </row>
    <row r="1408" spans="1:21">
      <c r="A1408">
        <v>1407</v>
      </c>
      <c r="B1408" s="30" t="s">
        <v>1587</v>
      </c>
      <c r="D1408" s="30" t="s">
        <v>1588</v>
      </c>
      <c r="F1408" s="30" t="s">
        <v>1591</v>
      </c>
      <c r="H1408" s="30" t="s">
        <v>1592</v>
      </c>
      <c r="L1408" s="30" t="s">
        <v>5103</v>
      </c>
      <c r="N1408" s="30" t="s">
        <v>5104</v>
      </c>
      <c r="P1408" s="30" t="s">
        <v>5105</v>
      </c>
      <c r="Q1408" t="s">
        <v>619</v>
      </c>
      <c r="R1408" t="s">
        <v>917</v>
      </c>
      <c r="S1408">
        <v>38</v>
      </c>
      <c r="T1408" s="29" t="str">
        <f t="shared" ref="T1408:T1417" si="62">HYPERLINK("https://ictv.global/ictv/proposals/2022.035B.Grimontviridae_nf.zip","2022.035B.Grimontviridae_nf.zip")</f>
        <v>2022.035B.Grimontviridae_nf.zip</v>
      </c>
      <c r="U1408" s="29" t="str">
        <f>HYPERLINK("https://ictv.global/taxonomy/taxondetails?taxnode_id=202314620","ictv.global=202314620")</f>
        <v>ictv.global=202314620</v>
      </c>
    </row>
    <row r="1409" spans="1:21">
      <c r="A1409">
        <v>1408</v>
      </c>
      <c r="B1409" s="30" t="s">
        <v>1587</v>
      </c>
      <c r="D1409" s="30" t="s">
        <v>1588</v>
      </c>
      <c r="F1409" s="30" t="s">
        <v>1591</v>
      </c>
      <c r="H1409" s="30" t="s">
        <v>1592</v>
      </c>
      <c r="L1409" s="30" t="s">
        <v>5103</v>
      </c>
      <c r="N1409" s="30" t="s">
        <v>5104</v>
      </c>
      <c r="P1409" s="30" t="s">
        <v>5106</v>
      </c>
      <c r="Q1409" t="s">
        <v>619</v>
      </c>
      <c r="R1409" t="s">
        <v>917</v>
      </c>
      <c r="S1409">
        <v>38</v>
      </c>
      <c r="T1409" s="29" t="str">
        <f t="shared" si="62"/>
        <v>2022.035B.Grimontviridae_nf.zip</v>
      </c>
      <c r="U1409" s="29" t="str">
        <f>HYPERLINK("https://ictv.global/taxonomy/taxondetails?taxnode_id=202314619","ictv.global=202314619")</f>
        <v>ictv.global=202314619</v>
      </c>
    </row>
    <row r="1410" spans="1:21">
      <c r="A1410">
        <v>1409</v>
      </c>
      <c r="B1410" s="30" t="s">
        <v>1587</v>
      </c>
      <c r="D1410" s="30" t="s">
        <v>1588</v>
      </c>
      <c r="F1410" s="30" t="s">
        <v>1591</v>
      </c>
      <c r="H1410" s="30" t="s">
        <v>1592</v>
      </c>
      <c r="L1410" s="30" t="s">
        <v>5103</v>
      </c>
      <c r="N1410" s="30" t="s">
        <v>5107</v>
      </c>
      <c r="P1410" s="30" t="s">
        <v>5108</v>
      </c>
      <c r="Q1410" t="s">
        <v>619</v>
      </c>
      <c r="R1410" t="s">
        <v>917</v>
      </c>
      <c r="S1410">
        <v>38</v>
      </c>
      <c r="T1410" s="29" t="str">
        <f t="shared" si="62"/>
        <v>2022.035B.Grimontviridae_nf.zip</v>
      </c>
      <c r="U1410" s="29" t="str">
        <f>HYPERLINK("https://ictv.global/taxonomy/taxondetails?taxnode_id=202314626","ictv.global=202314626")</f>
        <v>ictv.global=202314626</v>
      </c>
    </row>
    <row r="1411" spans="1:21">
      <c r="A1411">
        <v>1410</v>
      </c>
      <c r="B1411" s="30" t="s">
        <v>1587</v>
      </c>
      <c r="D1411" s="30" t="s">
        <v>1588</v>
      </c>
      <c r="F1411" s="30" t="s">
        <v>1591</v>
      </c>
      <c r="H1411" s="30" t="s">
        <v>1592</v>
      </c>
      <c r="L1411" s="30" t="s">
        <v>5103</v>
      </c>
      <c r="N1411" s="30" t="s">
        <v>5109</v>
      </c>
      <c r="P1411" s="30" t="s">
        <v>5110</v>
      </c>
      <c r="Q1411" t="s">
        <v>619</v>
      </c>
      <c r="R1411" t="s">
        <v>917</v>
      </c>
      <c r="S1411">
        <v>38</v>
      </c>
      <c r="T1411" s="29" t="str">
        <f t="shared" si="62"/>
        <v>2022.035B.Grimontviridae_nf.zip</v>
      </c>
      <c r="U1411" s="29" t="str">
        <f>HYPERLINK("https://ictv.global/taxonomy/taxondetails?taxnode_id=202314625","ictv.global=202314625")</f>
        <v>ictv.global=202314625</v>
      </c>
    </row>
    <row r="1412" spans="1:21">
      <c r="A1412">
        <v>1411</v>
      </c>
      <c r="B1412" s="30" t="s">
        <v>1587</v>
      </c>
      <c r="D1412" s="30" t="s">
        <v>1588</v>
      </c>
      <c r="F1412" s="30" t="s">
        <v>1591</v>
      </c>
      <c r="H1412" s="30" t="s">
        <v>1592</v>
      </c>
      <c r="L1412" s="30" t="s">
        <v>5103</v>
      </c>
      <c r="N1412" s="30" t="s">
        <v>5111</v>
      </c>
      <c r="P1412" s="30" t="s">
        <v>5112</v>
      </c>
      <c r="Q1412" t="s">
        <v>619</v>
      </c>
      <c r="R1412" t="s">
        <v>917</v>
      </c>
      <c r="S1412">
        <v>38</v>
      </c>
      <c r="T1412" s="29" t="str">
        <f t="shared" si="62"/>
        <v>2022.035B.Grimontviridae_nf.zip</v>
      </c>
      <c r="U1412" s="29" t="str">
        <f>HYPERLINK("https://ictv.global/taxonomy/taxondetails?taxnode_id=202314621","ictv.global=202314621")</f>
        <v>ictv.global=202314621</v>
      </c>
    </row>
    <row r="1413" spans="1:21">
      <c r="A1413">
        <v>1412</v>
      </c>
      <c r="B1413" s="30" t="s">
        <v>1587</v>
      </c>
      <c r="D1413" s="30" t="s">
        <v>1588</v>
      </c>
      <c r="F1413" s="30" t="s">
        <v>1591</v>
      </c>
      <c r="H1413" s="30" t="s">
        <v>1592</v>
      </c>
      <c r="L1413" s="30" t="s">
        <v>5103</v>
      </c>
      <c r="N1413" s="30" t="s">
        <v>5111</v>
      </c>
      <c r="P1413" s="30" t="s">
        <v>5113</v>
      </c>
      <c r="Q1413" t="s">
        <v>619</v>
      </c>
      <c r="R1413" t="s">
        <v>917</v>
      </c>
      <c r="S1413">
        <v>38</v>
      </c>
      <c r="T1413" s="29" t="str">
        <f t="shared" si="62"/>
        <v>2022.035B.Grimontviridae_nf.zip</v>
      </c>
      <c r="U1413" s="29" t="str">
        <f>HYPERLINK("https://ictv.global/taxonomy/taxondetails?taxnode_id=202314622","ictv.global=202314622")</f>
        <v>ictv.global=202314622</v>
      </c>
    </row>
    <row r="1414" spans="1:21">
      <c r="A1414">
        <v>1413</v>
      </c>
      <c r="B1414" s="30" t="s">
        <v>1587</v>
      </c>
      <c r="D1414" s="30" t="s">
        <v>1588</v>
      </c>
      <c r="F1414" s="30" t="s">
        <v>1591</v>
      </c>
      <c r="H1414" s="30" t="s">
        <v>1592</v>
      </c>
      <c r="L1414" s="30" t="s">
        <v>5103</v>
      </c>
      <c r="N1414" s="30" t="s">
        <v>2317</v>
      </c>
      <c r="P1414" s="30" t="s">
        <v>5114</v>
      </c>
      <c r="Q1414" t="s">
        <v>619</v>
      </c>
      <c r="R1414" t="s">
        <v>917</v>
      </c>
      <c r="S1414">
        <v>38</v>
      </c>
      <c r="T1414" s="29" t="str">
        <f t="shared" si="62"/>
        <v>2022.035B.Grimontviridae_nf.zip</v>
      </c>
      <c r="U1414" s="29" t="str">
        <f>HYPERLINK("https://ictv.global/taxonomy/taxondetails?taxnode_id=202314624","ictv.global=202314624")</f>
        <v>ictv.global=202314624</v>
      </c>
    </row>
    <row r="1415" spans="1:21">
      <c r="A1415">
        <v>1414</v>
      </c>
      <c r="B1415" s="30" t="s">
        <v>1587</v>
      </c>
      <c r="D1415" s="30" t="s">
        <v>1588</v>
      </c>
      <c r="F1415" s="30" t="s">
        <v>1591</v>
      </c>
      <c r="H1415" s="30" t="s">
        <v>1592</v>
      </c>
      <c r="L1415" s="30" t="s">
        <v>5103</v>
      </c>
      <c r="N1415" s="30" t="s">
        <v>2317</v>
      </c>
      <c r="P1415" s="30" t="s">
        <v>5115</v>
      </c>
      <c r="Q1415" t="s">
        <v>619</v>
      </c>
      <c r="R1415" t="s">
        <v>917</v>
      </c>
      <c r="S1415">
        <v>38</v>
      </c>
      <c r="T1415" s="29" t="str">
        <f t="shared" si="62"/>
        <v>2022.035B.Grimontviridae_nf.zip</v>
      </c>
      <c r="U1415" s="29" t="str">
        <f>HYPERLINK("https://ictv.global/taxonomy/taxondetails?taxnode_id=202314623","ictv.global=202314623")</f>
        <v>ictv.global=202314623</v>
      </c>
    </row>
    <row r="1416" spans="1:21">
      <c r="A1416">
        <v>1415</v>
      </c>
      <c r="B1416" s="30" t="s">
        <v>1587</v>
      </c>
      <c r="D1416" s="30" t="s">
        <v>1588</v>
      </c>
      <c r="F1416" s="30" t="s">
        <v>1591</v>
      </c>
      <c r="H1416" s="30" t="s">
        <v>1592</v>
      </c>
      <c r="L1416" s="30" t="s">
        <v>5103</v>
      </c>
      <c r="N1416" s="30" t="s">
        <v>2317</v>
      </c>
      <c r="P1416" s="30" t="s">
        <v>5116</v>
      </c>
      <c r="Q1416" t="s">
        <v>619</v>
      </c>
      <c r="R1416" t="s">
        <v>919</v>
      </c>
      <c r="S1416">
        <v>38</v>
      </c>
      <c r="T1416" s="29" t="str">
        <f t="shared" si="62"/>
        <v>2022.035B.Grimontviridae_nf.zip</v>
      </c>
      <c r="U1416" s="29" t="str">
        <f>HYPERLINK("https://ictv.global/taxonomy/taxondetails?taxnode_id=202311625","ictv.global=202311625")</f>
        <v>ictv.global=202311625</v>
      </c>
    </row>
    <row r="1417" spans="1:21">
      <c r="A1417">
        <v>1416</v>
      </c>
      <c r="B1417" s="30" t="s">
        <v>1587</v>
      </c>
      <c r="D1417" s="30" t="s">
        <v>1588</v>
      </c>
      <c r="F1417" s="30" t="s">
        <v>1591</v>
      </c>
      <c r="H1417" s="30" t="s">
        <v>1592</v>
      </c>
      <c r="L1417" s="30" t="s">
        <v>5103</v>
      </c>
      <c r="N1417" s="30" t="s">
        <v>2317</v>
      </c>
      <c r="P1417" s="30" t="s">
        <v>5117</v>
      </c>
      <c r="Q1417" t="s">
        <v>619</v>
      </c>
      <c r="R1417" t="s">
        <v>919</v>
      </c>
      <c r="S1417">
        <v>38</v>
      </c>
      <c r="T1417" s="29" t="str">
        <f t="shared" si="62"/>
        <v>2022.035B.Grimontviridae_nf.zip</v>
      </c>
      <c r="U1417" s="29" t="str">
        <f>HYPERLINK("https://ictv.global/taxonomy/taxondetails?taxnode_id=202311626","ictv.global=202311626")</f>
        <v>ictv.global=202311626</v>
      </c>
    </row>
    <row r="1418" spans="1:21">
      <c r="A1418">
        <v>1417</v>
      </c>
      <c r="B1418" s="30" t="s">
        <v>1587</v>
      </c>
      <c r="D1418" s="30" t="s">
        <v>1588</v>
      </c>
      <c r="F1418" s="30" t="s">
        <v>1591</v>
      </c>
      <c r="H1418" s="30" t="s">
        <v>1592</v>
      </c>
      <c r="L1418" s="30" t="s">
        <v>2220</v>
      </c>
      <c r="M1418" s="30" t="s">
        <v>2221</v>
      </c>
      <c r="N1418" s="30" t="s">
        <v>2222</v>
      </c>
      <c r="P1418" s="30" t="s">
        <v>5118</v>
      </c>
      <c r="Q1418" t="s">
        <v>619</v>
      </c>
      <c r="R1418" t="s">
        <v>918</v>
      </c>
      <c r="S1418">
        <v>37</v>
      </c>
      <c r="T1418" s="29" t="str">
        <f>HYPERLINK("https://ictv.global/ictv/proposals/2021.010B.R.Binomial_names.zip","2021.010B.R.Binomial_names.zip")</f>
        <v>2021.010B.R.Binomial_names.zip</v>
      </c>
      <c r="U1418" s="29" t="str">
        <f>HYPERLINK("https://ictv.global/taxonomy/taxondetails?taxnode_id=202310061","ictv.global=202310061")</f>
        <v>ictv.global=202310061</v>
      </c>
    </row>
    <row r="1419" spans="1:21">
      <c r="A1419">
        <v>1418</v>
      </c>
      <c r="B1419" s="30" t="s">
        <v>1587</v>
      </c>
      <c r="D1419" s="30" t="s">
        <v>1588</v>
      </c>
      <c r="F1419" s="30" t="s">
        <v>1591</v>
      </c>
      <c r="H1419" s="30" t="s">
        <v>1592</v>
      </c>
      <c r="L1419" s="30" t="s">
        <v>2220</v>
      </c>
      <c r="M1419" s="30" t="s">
        <v>2221</v>
      </c>
      <c r="N1419" s="30" t="s">
        <v>2223</v>
      </c>
      <c r="P1419" s="30" t="s">
        <v>5119</v>
      </c>
      <c r="Q1419" t="s">
        <v>619</v>
      </c>
      <c r="R1419" t="s">
        <v>918</v>
      </c>
      <c r="S1419">
        <v>37</v>
      </c>
      <c r="T1419" s="29" t="str">
        <f>HYPERLINK("https://ictv.global/ictv/proposals/2021.010B.R.Binomial_names.zip","2021.010B.R.Binomial_names.zip")</f>
        <v>2021.010B.R.Binomial_names.zip</v>
      </c>
      <c r="U1419" s="29" t="str">
        <f>HYPERLINK("https://ictv.global/taxonomy/taxondetails?taxnode_id=202310059","ictv.global=202310059")</f>
        <v>ictv.global=202310059</v>
      </c>
    </row>
    <row r="1420" spans="1:21">
      <c r="A1420">
        <v>1419</v>
      </c>
      <c r="B1420" s="30" t="s">
        <v>1587</v>
      </c>
      <c r="D1420" s="30" t="s">
        <v>1588</v>
      </c>
      <c r="F1420" s="30" t="s">
        <v>1591</v>
      </c>
      <c r="H1420" s="30" t="s">
        <v>1592</v>
      </c>
      <c r="L1420" s="30" t="s">
        <v>2220</v>
      </c>
      <c r="M1420" s="30" t="s">
        <v>2221</v>
      </c>
      <c r="N1420" s="30" t="s">
        <v>2223</v>
      </c>
      <c r="P1420" s="30" t="s">
        <v>12051</v>
      </c>
      <c r="Q1420" t="s">
        <v>619</v>
      </c>
      <c r="R1420" t="s">
        <v>917</v>
      </c>
      <c r="S1420">
        <v>39</v>
      </c>
      <c r="T1420" s="29" t="str">
        <f>HYPERLINK("https://ictv.global/ictv/proposals/2023.030B.Guelinviridae_7ns.zip","2023.030B.Guelinviridae_7ns.zip")</f>
        <v>2023.030B.Guelinviridae_7ns.zip</v>
      </c>
      <c r="U1420" s="29" t="str">
        <f>HYPERLINK("https://ictv.global/taxonomy/taxondetails?taxnode_id=202319057","ictv.global=202319057")</f>
        <v>ictv.global=202319057</v>
      </c>
    </row>
    <row r="1421" spans="1:21">
      <c r="A1421">
        <v>1420</v>
      </c>
      <c r="B1421" s="30" t="s">
        <v>1587</v>
      </c>
      <c r="D1421" s="30" t="s">
        <v>1588</v>
      </c>
      <c r="F1421" s="30" t="s">
        <v>1591</v>
      </c>
      <c r="H1421" s="30" t="s">
        <v>1592</v>
      </c>
      <c r="L1421" s="30" t="s">
        <v>2220</v>
      </c>
      <c r="M1421" s="30" t="s">
        <v>2221</v>
      </c>
      <c r="N1421" s="30" t="s">
        <v>2223</v>
      </c>
      <c r="P1421" s="30" t="s">
        <v>5120</v>
      </c>
      <c r="Q1421" t="s">
        <v>619</v>
      </c>
      <c r="R1421" t="s">
        <v>918</v>
      </c>
      <c r="S1421">
        <v>37</v>
      </c>
      <c r="T1421" s="29" t="str">
        <f>HYPERLINK("https://ictv.global/ictv/proposals/2021.010B.R.Binomial_names.zip","2021.010B.R.Binomial_names.zip")</f>
        <v>2021.010B.R.Binomial_names.zip</v>
      </c>
      <c r="U1421" s="29" t="str">
        <f>HYPERLINK("https://ictv.global/taxonomy/taxondetails?taxnode_id=202310058","ictv.global=202310058")</f>
        <v>ictv.global=202310058</v>
      </c>
    </row>
    <row r="1422" spans="1:21">
      <c r="A1422">
        <v>1421</v>
      </c>
      <c r="B1422" s="30" t="s">
        <v>1587</v>
      </c>
      <c r="D1422" s="30" t="s">
        <v>1588</v>
      </c>
      <c r="F1422" s="30" t="s">
        <v>1591</v>
      </c>
      <c r="H1422" s="30" t="s">
        <v>1592</v>
      </c>
      <c r="L1422" s="30" t="s">
        <v>2220</v>
      </c>
      <c r="M1422" s="30" t="s">
        <v>2221</v>
      </c>
      <c r="N1422" s="30" t="s">
        <v>2223</v>
      </c>
      <c r="P1422" s="30" t="s">
        <v>12052</v>
      </c>
      <c r="Q1422" t="s">
        <v>619</v>
      </c>
      <c r="R1422" t="s">
        <v>917</v>
      </c>
      <c r="S1422">
        <v>39</v>
      </c>
      <c r="T1422" s="29" t="str">
        <f>HYPERLINK("https://ictv.global/ictv/proposals/2023.030B.Guelinviridae_7ns.zip","2023.030B.Guelinviridae_7ns.zip")</f>
        <v>2023.030B.Guelinviridae_7ns.zip</v>
      </c>
      <c r="U1422" s="29" t="str">
        <f>HYPERLINK("https://ictv.global/taxonomy/taxondetails?taxnode_id=202319058","ictv.global=202319058")</f>
        <v>ictv.global=202319058</v>
      </c>
    </row>
    <row r="1423" spans="1:21">
      <c r="A1423">
        <v>1422</v>
      </c>
      <c r="B1423" s="30" t="s">
        <v>1587</v>
      </c>
      <c r="D1423" s="30" t="s">
        <v>1588</v>
      </c>
      <c r="F1423" s="30" t="s">
        <v>1591</v>
      </c>
      <c r="H1423" s="30" t="s">
        <v>1592</v>
      </c>
      <c r="L1423" s="30" t="s">
        <v>2220</v>
      </c>
      <c r="M1423" s="30" t="s">
        <v>2221</v>
      </c>
      <c r="N1423" s="30" t="s">
        <v>2223</v>
      </c>
      <c r="P1423" s="30" t="s">
        <v>5121</v>
      </c>
      <c r="Q1423" t="s">
        <v>619</v>
      </c>
      <c r="R1423" t="s">
        <v>918</v>
      </c>
      <c r="S1423">
        <v>37</v>
      </c>
      <c r="T1423" s="29" t="str">
        <f>HYPERLINK("https://ictv.global/ictv/proposals/2021.010B.R.Binomial_names.zip","2021.010B.R.Binomial_names.zip")</f>
        <v>2021.010B.R.Binomial_names.zip</v>
      </c>
      <c r="U1423" s="29" t="str">
        <f>HYPERLINK("https://ictv.global/taxonomy/taxondetails?taxnode_id=202310057","ictv.global=202310057")</f>
        <v>ictv.global=202310057</v>
      </c>
    </row>
    <row r="1424" spans="1:21">
      <c r="A1424">
        <v>1423</v>
      </c>
      <c r="B1424" s="30" t="s">
        <v>1587</v>
      </c>
      <c r="D1424" s="30" t="s">
        <v>1588</v>
      </c>
      <c r="F1424" s="30" t="s">
        <v>1591</v>
      </c>
      <c r="H1424" s="30" t="s">
        <v>1592</v>
      </c>
      <c r="L1424" s="30" t="s">
        <v>2220</v>
      </c>
      <c r="M1424" s="30" t="s">
        <v>2221</v>
      </c>
      <c r="N1424" s="30" t="s">
        <v>2223</v>
      </c>
      <c r="P1424" s="30" t="s">
        <v>12053</v>
      </c>
      <c r="Q1424" t="s">
        <v>619</v>
      </c>
      <c r="R1424" t="s">
        <v>917</v>
      </c>
      <c r="S1424">
        <v>39</v>
      </c>
      <c r="T1424" s="29" t="str">
        <f>HYPERLINK("https://ictv.global/ictv/proposals/2023.030B.Guelinviridae_7ns.zip","2023.030B.Guelinviridae_7ns.zip")</f>
        <v>2023.030B.Guelinviridae_7ns.zip</v>
      </c>
      <c r="U1424" s="29" t="str">
        <f>HYPERLINK("https://ictv.global/taxonomy/taxondetails?taxnode_id=202319056","ictv.global=202319056")</f>
        <v>ictv.global=202319056</v>
      </c>
    </row>
    <row r="1425" spans="1:21">
      <c r="A1425">
        <v>1424</v>
      </c>
      <c r="B1425" s="30" t="s">
        <v>1587</v>
      </c>
      <c r="D1425" s="30" t="s">
        <v>1588</v>
      </c>
      <c r="F1425" s="30" t="s">
        <v>1591</v>
      </c>
      <c r="H1425" s="30" t="s">
        <v>1592</v>
      </c>
      <c r="L1425" s="30" t="s">
        <v>2220</v>
      </c>
      <c r="N1425" s="30" t="s">
        <v>2224</v>
      </c>
      <c r="P1425" s="30" t="s">
        <v>5122</v>
      </c>
      <c r="Q1425" t="s">
        <v>619</v>
      </c>
      <c r="R1425" t="s">
        <v>918</v>
      </c>
      <c r="S1425">
        <v>37</v>
      </c>
      <c r="T1425" s="29" t="str">
        <f>HYPERLINK("https://ictv.global/ictv/proposals/2021.010B.R.Binomial_names.zip","2021.010B.R.Binomial_names.zip")</f>
        <v>2021.010B.R.Binomial_names.zip</v>
      </c>
      <c r="U1425" s="29" t="str">
        <f>HYPERLINK("https://ictv.global/taxonomy/taxondetails?taxnode_id=202310063","ictv.global=202310063")</f>
        <v>ictv.global=202310063</v>
      </c>
    </row>
    <row r="1426" spans="1:21">
      <c r="A1426">
        <v>1425</v>
      </c>
      <c r="B1426" s="30" t="s">
        <v>1587</v>
      </c>
      <c r="D1426" s="30" t="s">
        <v>1588</v>
      </c>
      <c r="F1426" s="30" t="s">
        <v>1591</v>
      </c>
      <c r="H1426" s="30" t="s">
        <v>1592</v>
      </c>
      <c r="L1426" s="30" t="s">
        <v>2220</v>
      </c>
      <c r="N1426" s="30" t="s">
        <v>2224</v>
      </c>
      <c r="P1426" s="30" t="s">
        <v>12054</v>
      </c>
      <c r="Q1426" t="s">
        <v>619</v>
      </c>
      <c r="R1426" t="s">
        <v>917</v>
      </c>
      <c r="S1426">
        <v>39</v>
      </c>
      <c r="T1426" s="29" t="str">
        <f>HYPERLINK("https://ictv.global/ictv/proposals/2023.030B.Guelinviridae_7ns.zip","2023.030B.Guelinviridae_7ns.zip")</f>
        <v>2023.030B.Guelinviridae_7ns.zip</v>
      </c>
      <c r="U1426" s="29" t="str">
        <f>HYPERLINK("https://ictv.global/taxonomy/taxondetails?taxnode_id=202319060","ictv.global=202319060")</f>
        <v>ictv.global=202319060</v>
      </c>
    </row>
    <row r="1427" spans="1:21">
      <c r="A1427">
        <v>1426</v>
      </c>
      <c r="B1427" s="30" t="s">
        <v>1587</v>
      </c>
      <c r="D1427" s="30" t="s">
        <v>1588</v>
      </c>
      <c r="F1427" s="30" t="s">
        <v>1591</v>
      </c>
      <c r="H1427" s="30" t="s">
        <v>1592</v>
      </c>
      <c r="L1427" s="30" t="s">
        <v>2220</v>
      </c>
      <c r="N1427" s="30" t="s">
        <v>2224</v>
      </c>
      <c r="P1427" s="30" t="s">
        <v>12055</v>
      </c>
      <c r="Q1427" t="s">
        <v>619</v>
      </c>
      <c r="R1427" t="s">
        <v>917</v>
      </c>
      <c r="S1427">
        <v>39</v>
      </c>
      <c r="T1427" s="29" t="str">
        <f>HYPERLINK("https://ictv.global/ictv/proposals/2023.030B.Guelinviridae_7ns.zip","2023.030B.Guelinviridae_7ns.zip")</f>
        <v>2023.030B.Guelinviridae_7ns.zip</v>
      </c>
      <c r="U1427" s="29" t="str">
        <f>HYPERLINK("https://ictv.global/taxonomy/taxondetails?taxnode_id=202319059","ictv.global=202319059")</f>
        <v>ictv.global=202319059</v>
      </c>
    </row>
    <row r="1428" spans="1:21">
      <c r="A1428">
        <v>1427</v>
      </c>
      <c r="B1428" s="30" t="s">
        <v>1587</v>
      </c>
      <c r="D1428" s="30" t="s">
        <v>1588</v>
      </c>
      <c r="F1428" s="30" t="s">
        <v>1591</v>
      </c>
      <c r="H1428" s="30" t="s">
        <v>1592</v>
      </c>
      <c r="L1428" s="30" t="s">
        <v>2220</v>
      </c>
      <c r="N1428" s="30" t="s">
        <v>2224</v>
      </c>
      <c r="P1428" s="30" t="s">
        <v>5123</v>
      </c>
      <c r="Q1428" t="s">
        <v>619</v>
      </c>
      <c r="R1428" t="s">
        <v>918</v>
      </c>
      <c r="S1428">
        <v>37</v>
      </c>
      <c r="T1428" s="29" t="str">
        <f>HYPERLINK("https://ictv.global/ictv/proposals/2021.010B.R.Binomial_names.zip","2021.010B.R.Binomial_names.zip")</f>
        <v>2021.010B.R.Binomial_names.zip</v>
      </c>
      <c r="U1428" s="29" t="str">
        <f>HYPERLINK("https://ictv.global/taxonomy/taxondetails?taxnode_id=202310066","ictv.global=202310066")</f>
        <v>ictv.global=202310066</v>
      </c>
    </row>
    <row r="1429" spans="1:21">
      <c r="A1429">
        <v>1428</v>
      </c>
      <c r="B1429" s="30" t="s">
        <v>1587</v>
      </c>
      <c r="D1429" s="30" t="s">
        <v>1588</v>
      </c>
      <c r="F1429" s="30" t="s">
        <v>1591</v>
      </c>
      <c r="H1429" s="30" t="s">
        <v>1592</v>
      </c>
      <c r="L1429" s="30" t="s">
        <v>2220</v>
      </c>
      <c r="N1429" s="30" t="s">
        <v>2224</v>
      </c>
      <c r="P1429" s="30" t="s">
        <v>5124</v>
      </c>
      <c r="Q1429" t="s">
        <v>619</v>
      </c>
      <c r="R1429" t="s">
        <v>918</v>
      </c>
      <c r="S1429">
        <v>37</v>
      </c>
      <c r="T1429" s="29" t="str">
        <f>HYPERLINK("https://ictv.global/ictv/proposals/2021.010B.R.Binomial_names.zip","2021.010B.R.Binomial_names.zip")</f>
        <v>2021.010B.R.Binomial_names.zip</v>
      </c>
      <c r="U1429" s="29" t="str">
        <f>HYPERLINK("https://ictv.global/taxonomy/taxondetails?taxnode_id=202310065","ictv.global=202310065")</f>
        <v>ictv.global=202310065</v>
      </c>
    </row>
    <row r="1430" spans="1:21">
      <c r="A1430">
        <v>1429</v>
      </c>
      <c r="B1430" s="30" t="s">
        <v>1587</v>
      </c>
      <c r="D1430" s="30" t="s">
        <v>1588</v>
      </c>
      <c r="F1430" s="30" t="s">
        <v>1591</v>
      </c>
      <c r="H1430" s="30" t="s">
        <v>1592</v>
      </c>
      <c r="L1430" s="30" t="s">
        <v>2220</v>
      </c>
      <c r="N1430" s="30" t="s">
        <v>2224</v>
      </c>
      <c r="P1430" s="30" t="s">
        <v>5125</v>
      </c>
      <c r="Q1430" t="s">
        <v>619</v>
      </c>
      <c r="R1430" t="s">
        <v>918</v>
      </c>
      <c r="S1430">
        <v>37</v>
      </c>
      <c r="T1430" s="29" t="str">
        <f>HYPERLINK("https://ictv.global/ictv/proposals/2021.010B.R.Binomial_names.zip","2021.010B.R.Binomial_names.zip")</f>
        <v>2021.010B.R.Binomial_names.zip</v>
      </c>
      <c r="U1430" s="29" t="str">
        <f>HYPERLINK("https://ictv.global/taxonomy/taxondetails?taxnode_id=202310064","ictv.global=202310064")</f>
        <v>ictv.global=202310064</v>
      </c>
    </row>
    <row r="1431" spans="1:21">
      <c r="A1431">
        <v>1430</v>
      </c>
      <c r="B1431" s="30" t="s">
        <v>1587</v>
      </c>
      <c r="D1431" s="30" t="s">
        <v>1588</v>
      </c>
      <c r="F1431" s="30" t="s">
        <v>1591</v>
      </c>
      <c r="H1431" s="30" t="s">
        <v>1592</v>
      </c>
      <c r="L1431" s="30" t="s">
        <v>2220</v>
      </c>
      <c r="N1431" s="30" t="s">
        <v>5126</v>
      </c>
      <c r="P1431" s="30" t="s">
        <v>5127</v>
      </c>
      <c r="Q1431" t="s">
        <v>619</v>
      </c>
      <c r="R1431" t="s">
        <v>917</v>
      </c>
      <c r="S1431">
        <v>38</v>
      </c>
      <c r="T1431" s="29" t="str">
        <f>HYPERLINK("https://ictv.global/ictv/proposals/2022.037B.Hzauvirus_ng.zip","2022.037B.Hzauvirus_ng.zip")</f>
        <v>2022.037B.Hzauvirus_ng.zip</v>
      </c>
      <c r="U1431" s="29" t="str">
        <f>HYPERLINK("https://ictv.global/taxonomy/taxondetails?taxnode_id=202314630","ictv.global=202314630")</f>
        <v>ictv.global=202314630</v>
      </c>
    </row>
    <row r="1432" spans="1:21">
      <c r="A1432">
        <v>1431</v>
      </c>
      <c r="B1432" s="30" t="s">
        <v>1587</v>
      </c>
      <c r="D1432" s="30" t="s">
        <v>1588</v>
      </c>
      <c r="F1432" s="30" t="s">
        <v>1591</v>
      </c>
      <c r="H1432" s="30" t="s">
        <v>1592</v>
      </c>
      <c r="L1432" s="30" t="s">
        <v>2220</v>
      </c>
      <c r="N1432" s="30" t="s">
        <v>2225</v>
      </c>
      <c r="P1432" s="30" t="s">
        <v>12056</v>
      </c>
      <c r="Q1432" t="s">
        <v>619</v>
      </c>
      <c r="R1432" t="s">
        <v>917</v>
      </c>
      <c r="S1432">
        <v>39</v>
      </c>
      <c r="T1432" s="29" t="str">
        <f>HYPERLINK("https://ictv.global/ictv/proposals/2023.030B.Guelinviridae_7ns.zip","2023.030B.Guelinviridae_7ns.zip")</f>
        <v>2023.030B.Guelinviridae_7ns.zip</v>
      </c>
      <c r="U1432" s="29" t="str">
        <f>HYPERLINK("https://ictv.global/taxonomy/taxondetails?taxnode_id=202319061","ictv.global=202319061")</f>
        <v>ictv.global=202319061</v>
      </c>
    </row>
    <row r="1433" spans="1:21">
      <c r="A1433">
        <v>1432</v>
      </c>
      <c r="B1433" s="30" t="s">
        <v>1587</v>
      </c>
      <c r="D1433" s="30" t="s">
        <v>1588</v>
      </c>
      <c r="F1433" s="30" t="s">
        <v>1591</v>
      </c>
      <c r="H1433" s="30" t="s">
        <v>1592</v>
      </c>
      <c r="L1433" s="30" t="s">
        <v>2220</v>
      </c>
      <c r="N1433" s="30" t="s">
        <v>2225</v>
      </c>
      <c r="P1433" s="30" t="s">
        <v>12057</v>
      </c>
      <c r="Q1433" t="s">
        <v>619</v>
      </c>
      <c r="R1433" t="s">
        <v>917</v>
      </c>
      <c r="S1433">
        <v>39</v>
      </c>
      <c r="T1433" s="29" t="str">
        <f>HYPERLINK("https://ictv.global/ictv/proposals/2023.030B.Guelinviridae_7ns.zip","2023.030B.Guelinviridae_7ns.zip")</f>
        <v>2023.030B.Guelinviridae_7ns.zip</v>
      </c>
      <c r="U1433" s="29" t="str">
        <f>HYPERLINK("https://ictv.global/taxonomy/taxondetails?taxnode_id=202319062","ictv.global=202319062")</f>
        <v>ictv.global=202319062</v>
      </c>
    </row>
    <row r="1434" spans="1:21">
      <c r="A1434">
        <v>1433</v>
      </c>
      <c r="B1434" s="30" t="s">
        <v>1587</v>
      </c>
      <c r="D1434" s="30" t="s">
        <v>1588</v>
      </c>
      <c r="F1434" s="30" t="s">
        <v>1591</v>
      </c>
      <c r="H1434" s="30" t="s">
        <v>1592</v>
      </c>
      <c r="L1434" s="30" t="s">
        <v>2220</v>
      </c>
      <c r="N1434" s="30" t="s">
        <v>2225</v>
      </c>
      <c r="P1434" s="30" t="s">
        <v>5128</v>
      </c>
      <c r="Q1434" t="s">
        <v>619</v>
      </c>
      <c r="R1434" t="s">
        <v>918</v>
      </c>
      <c r="S1434">
        <v>37</v>
      </c>
      <c r="T1434" s="29" t="str">
        <f>HYPERLINK("https://ictv.global/ictv/proposals/2021.010B.R.Binomial_names.zip","2021.010B.R.Binomial_names.zip")</f>
        <v>2021.010B.R.Binomial_names.zip</v>
      </c>
      <c r="U1434" s="29" t="str">
        <f>HYPERLINK("https://ictv.global/taxonomy/taxondetails?taxnode_id=202310068","ictv.global=202310068")</f>
        <v>ictv.global=202310068</v>
      </c>
    </row>
    <row r="1435" spans="1:21">
      <c r="A1435">
        <v>1434</v>
      </c>
      <c r="B1435" s="30" t="s">
        <v>1587</v>
      </c>
      <c r="D1435" s="30" t="s">
        <v>1588</v>
      </c>
      <c r="F1435" s="30" t="s">
        <v>1591</v>
      </c>
      <c r="H1435" s="30" t="s">
        <v>1592</v>
      </c>
      <c r="L1435" s="30" t="s">
        <v>5129</v>
      </c>
      <c r="N1435" s="30" t="s">
        <v>5130</v>
      </c>
      <c r="P1435" s="30" t="s">
        <v>5131</v>
      </c>
      <c r="Q1435" t="s">
        <v>619</v>
      </c>
      <c r="R1435" t="s">
        <v>917</v>
      </c>
      <c r="S1435">
        <v>37</v>
      </c>
      <c r="T1435" s="29" t="str">
        <f>HYPERLINK("https://ictv.global/ictv/proposals/2021.029B.R.Flavophages_9_families.zip","2021.029B.R.Flavophages_9_families.zip")</f>
        <v>2021.029B.R.Flavophages_9_families.zip</v>
      </c>
      <c r="U1435" s="29" t="str">
        <f>HYPERLINK("https://ictv.global/taxonomy/taxondetails?taxnode_id=202313558","ictv.global=202313558")</f>
        <v>ictv.global=202313558</v>
      </c>
    </row>
    <row r="1436" spans="1:21">
      <c r="A1436">
        <v>1435</v>
      </c>
      <c r="B1436" s="30" t="s">
        <v>1587</v>
      </c>
      <c r="D1436" s="30" t="s">
        <v>1588</v>
      </c>
      <c r="F1436" s="30" t="s">
        <v>1591</v>
      </c>
      <c r="H1436" s="30" t="s">
        <v>1592</v>
      </c>
      <c r="L1436" s="30" t="s">
        <v>1316</v>
      </c>
      <c r="M1436" s="30" t="s">
        <v>1317</v>
      </c>
      <c r="N1436" s="30" t="s">
        <v>634</v>
      </c>
      <c r="P1436" s="30" t="s">
        <v>5132</v>
      </c>
      <c r="Q1436" t="s">
        <v>619</v>
      </c>
      <c r="R1436" t="s">
        <v>918</v>
      </c>
      <c r="S1436">
        <v>37</v>
      </c>
      <c r="T1436" s="29" t="str">
        <f t="shared" ref="T1436:T1472" si="63">HYPERLINK("https://ictv.global/ictv/proposals/2021.010B.R.Binomial_names.zip","2021.010B.R.Binomial_names.zip")</f>
        <v>2021.010B.R.Binomial_names.zip</v>
      </c>
      <c r="U1436" s="29" t="str">
        <f>HYPERLINK("https://ictv.global/taxonomy/taxondetails?taxnode_id=202300367","ictv.global=202300367")</f>
        <v>ictv.global=202300367</v>
      </c>
    </row>
    <row r="1437" spans="1:21">
      <c r="A1437">
        <v>1436</v>
      </c>
      <c r="B1437" s="30" t="s">
        <v>1587</v>
      </c>
      <c r="D1437" s="30" t="s">
        <v>1588</v>
      </c>
      <c r="F1437" s="30" t="s">
        <v>1591</v>
      </c>
      <c r="H1437" s="30" t="s">
        <v>1592</v>
      </c>
      <c r="L1437" s="30" t="s">
        <v>1316</v>
      </c>
      <c r="M1437" s="30" t="s">
        <v>1317</v>
      </c>
      <c r="N1437" s="30" t="s">
        <v>634</v>
      </c>
      <c r="P1437" s="30" t="s">
        <v>5133</v>
      </c>
      <c r="Q1437" t="s">
        <v>619</v>
      </c>
      <c r="R1437" t="s">
        <v>918</v>
      </c>
      <c r="S1437">
        <v>37</v>
      </c>
      <c r="T1437" s="29" t="str">
        <f t="shared" si="63"/>
        <v>2021.010B.R.Binomial_names.zip</v>
      </c>
      <c r="U1437" s="29" t="str">
        <f>HYPERLINK("https://ictv.global/taxonomy/taxondetails?taxnode_id=202300368","ictv.global=202300368")</f>
        <v>ictv.global=202300368</v>
      </c>
    </row>
    <row r="1438" spans="1:21">
      <c r="A1438">
        <v>1437</v>
      </c>
      <c r="B1438" s="30" t="s">
        <v>1587</v>
      </c>
      <c r="D1438" s="30" t="s">
        <v>1588</v>
      </c>
      <c r="F1438" s="30" t="s">
        <v>1591</v>
      </c>
      <c r="H1438" s="30" t="s">
        <v>1592</v>
      </c>
      <c r="L1438" s="30" t="s">
        <v>1316</v>
      </c>
      <c r="M1438" s="30" t="s">
        <v>1317</v>
      </c>
      <c r="N1438" s="30" t="s">
        <v>634</v>
      </c>
      <c r="P1438" s="30" t="s">
        <v>5134</v>
      </c>
      <c r="Q1438" t="s">
        <v>619</v>
      </c>
      <c r="R1438" t="s">
        <v>918</v>
      </c>
      <c r="S1438">
        <v>37</v>
      </c>
      <c r="T1438" s="29" t="str">
        <f t="shared" si="63"/>
        <v>2021.010B.R.Binomial_names.zip</v>
      </c>
      <c r="U1438" s="29" t="str">
        <f>HYPERLINK("https://ictv.global/taxonomy/taxondetails?taxnode_id=202300369","ictv.global=202300369")</f>
        <v>ictv.global=202300369</v>
      </c>
    </row>
    <row r="1439" spans="1:21">
      <c r="A1439">
        <v>1438</v>
      </c>
      <c r="B1439" s="30" t="s">
        <v>1587</v>
      </c>
      <c r="D1439" s="30" t="s">
        <v>1588</v>
      </c>
      <c r="F1439" s="30" t="s">
        <v>1591</v>
      </c>
      <c r="H1439" s="30" t="s">
        <v>1592</v>
      </c>
      <c r="L1439" s="30" t="s">
        <v>1316</v>
      </c>
      <c r="M1439" s="30" t="s">
        <v>1317</v>
      </c>
      <c r="N1439" s="30" t="s">
        <v>635</v>
      </c>
      <c r="P1439" s="30" t="s">
        <v>5135</v>
      </c>
      <c r="Q1439" t="s">
        <v>619</v>
      </c>
      <c r="R1439" t="s">
        <v>918</v>
      </c>
      <c r="S1439">
        <v>37</v>
      </c>
      <c r="T1439" s="29" t="str">
        <f t="shared" si="63"/>
        <v>2021.010B.R.Binomial_names.zip</v>
      </c>
      <c r="U1439" s="29" t="str">
        <f>HYPERLINK("https://ictv.global/taxonomy/taxondetails?taxnode_id=202300392","ictv.global=202300392")</f>
        <v>ictv.global=202300392</v>
      </c>
    </row>
    <row r="1440" spans="1:21">
      <c r="A1440">
        <v>1439</v>
      </c>
      <c r="B1440" s="30" t="s">
        <v>1587</v>
      </c>
      <c r="D1440" s="30" t="s">
        <v>1588</v>
      </c>
      <c r="F1440" s="30" t="s">
        <v>1591</v>
      </c>
      <c r="H1440" s="30" t="s">
        <v>1592</v>
      </c>
      <c r="L1440" s="30" t="s">
        <v>1316</v>
      </c>
      <c r="M1440" s="30" t="s">
        <v>1317</v>
      </c>
      <c r="N1440" s="30" t="s">
        <v>635</v>
      </c>
      <c r="P1440" s="30" t="s">
        <v>5136</v>
      </c>
      <c r="Q1440" t="s">
        <v>619</v>
      </c>
      <c r="R1440" t="s">
        <v>918</v>
      </c>
      <c r="S1440">
        <v>37</v>
      </c>
      <c r="T1440" s="29" t="str">
        <f t="shared" si="63"/>
        <v>2021.010B.R.Binomial_names.zip</v>
      </c>
      <c r="U1440" s="29" t="str">
        <f>HYPERLINK("https://ictv.global/taxonomy/taxondetails?taxnode_id=202300393","ictv.global=202300393")</f>
        <v>ictv.global=202300393</v>
      </c>
    </row>
    <row r="1441" spans="1:21">
      <c r="A1441">
        <v>1440</v>
      </c>
      <c r="B1441" s="30" t="s">
        <v>1587</v>
      </c>
      <c r="D1441" s="30" t="s">
        <v>1588</v>
      </c>
      <c r="F1441" s="30" t="s">
        <v>1591</v>
      </c>
      <c r="H1441" s="30" t="s">
        <v>1592</v>
      </c>
      <c r="L1441" s="30" t="s">
        <v>1316</v>
      </c>
      <c r="M1441" s="30" t="s">
        <v>1317</v>
      </c>
      <c r="N1441" s="30" t="s">
        <v>635</v>
      </c>
      <c r="P1441" s="30" t="s">
        <v>5137</v>
      </c>
      <c r="Q1441" t="s">
        <v>619</v>
      </c>
      <c r="R1441" t="s">
        <v>918</v>
      </c>
      <c r="S1441">
        <v>37</v>
      </c>
      <c r="T1441" s="29" t="str">
        <f t="shared" si="63"/>
        <v>2021.010B.R.Binomial_names.zip</v>
      </c>
      <c r="U1441" s="29" t="str">
        <f>HYPERLINK("https://ictv.global/taxonomy/taxondetails?taxnode_id=202306960","ictv.global=202306960")</f>
        <v>ictv.global=202306960</v>
      </c>
    </row>
    <row r="1442" spans="1:21">
      <c r="A1442">
        <v>1441</v>
      </c>
      <c r="B1442" s="30" t="s">
        <v>1587</v>
      </c>
      <c r="D1442" s="30" t="s">
        <v>1588</v>
      </c>
      <c r="F1442" s="30" t="s">
        <v>1591</v>
      </c>
      <c r="H1442" s="30" t="s">
        <v>1592</v>
      </c>
      <c r="L1442" s="30" t="s">
        <v>1316</v>
      </c>
      <c r="M1442" s="30" t="s">
        <v>1317</v>
      </c>
      <c r="N1442" s="30" t="s">
        <v>635</v>
      </c>
      <c r="P1442" s="30" t="s">
        <v>5138</v>
      </c>
      <c r="Q1442" t="s">
        <v>619</v>
      </c>
      <c r="R1442" t="s">
        <v>918</v>
      </c>
      <c r="S1442">
        <v>37</v>
      </c>
      <c r="T1442" s="29" t="str">
        <f t="shared" si="63"/>
        <v>2021.010B.R.Binomial_names.zip</v>
      </c>
      <c r="U1442" s="29" t="str">
        <f>HYPERLINK("https://ictv.global/taxonomy/taxondetails?taxnode_id=202306961","ictv.global=202306961")</f>
        <v>ictv.global=202306961</v>
      </c>
    </row>
    <row r="1443" spans="1:21">
      <c r="A1443">
        <v>1442</v>
      </c>
      <c r="B1443" s="30" t="s">
        <v>1587</v>
      </c>
      <c r="D1443" s="30" t="s">
        <v>1588</v>
      </c>
      <c r="F1443" s="30" t="s">
        <v>1591</v>
      </c>
      <c r="H1443" s="30" t="s">
        <v>1592</v>
      </c>
      <c r="L1443" s="30" t="s">
        <v>1316</v>
      </c>
      <c r="M1443" s="30" t="s">
        <v>1317</v>
      </c>
      <c r="N1443" s="30" t="s">
        <v>1349</v>
      </c>
      <c r="P1443" s="30" t="s">
        <v>5139</v>
      </c>
      <c r="Q1443" t="s">
        <v>619</v>
      </c>
      <c r="R1443" t="s">
        <v>918</v>
      </c>
      <c r="S1443">
        <v>37</v>
      </c>
      <c r="T1443" s="29" t="str">
        <f t="shared" si="63"/>
        <v>2021.010B.R.Binomial_names.zip</v>
      </c>
      <c r="U1443" s="29" t="str">
        <f>HYPERLINK("https://ictv.global/taxonomy/taxondetails?taxnode_id=202300385","ictv.global=202300385")</f>
        <v>ictv.global=202300385</v>
      </c>
    </row>
    <row r="1444" spans="1:21">
      <c r="A1444">
        <v>1443</v>
      </c>
      <c r="B1444" s="30" t="s">
        <v>1587</v>
      </c>
      <c r="D1444" s="30" t="s">
        <v>1588</v>
      </c>
      <c r="F1444" s="30" t="s">
        <v>1591</v>
      </c>
      <c r="H1444" s="30" t="s">
        <v>1592</v>
      </c>
      <c r="L1444" s="30" t="s">
        <v>1316</v>
      </c>
      <c r="M1444" s="30" t="s">
        <v>1317</v>
      </c>
      <c r="N1444" s="30" t="s">
        <v>1349</v>
      </c>
      <c r="P1444" s="30" t="s">
        <v>5140</v>
      </c>
      <c r="Q1444" t="s">
        <v>619</v>
      </c>
      <c r="R1444" t="s">
        <v>918</v>
      </c>
      <c r="S1444">
        <v>37</v>
      </c>
      <c r="T1444" s="29" t="str">
        <f t="shared" si="63"/>
        <v>2021.010B.R.Binomial_names.zip</v>
      </c>
      <c r="U1444" s="29" t="str">
        <f>HYPERLINK("https://ictv.global/taxonomy/taxondetails?taxnode_id=202300386","ictv.global=202300386")</f>
        <v>ictv.global=202300386</v>
      </c>
    </row>
    <row r="1445" spans="1:21">
      <c r="A1445">
        <v>1444</v>
      </c>
      <c r="B1445" s="30" t="s">
        <v>1587</v>
      </c>
      <c r="D1445" s="30" t="s">
        <v>1588</v>
      </c>
      <c r="F1445" s="30" t="s">
        <v>1591</v>
      </c>
      <c r="H1445" s="30" t="s">
        <v>1592</v>
      </c>
      <c r="L1445" s="30" t="s">
        <v>1316</v>
      </c>
      <c r="M1445" s="30" t="s">
        <v>1317</v>
      </c>
      <c r="N1445" s="30" t="s">
        <v>1349</v>
      </c>
      <c r="P1445" s="30" t="s">
        <v>5141</v>
      </c>
      <c r="Q1445" t="s">
        <v>619</v>
      </c>
      <c r="R1445" t="s">
        <v>918</v>
      </c>
      <c r="S1445">
        <v>37</v>
      </c>
      <c r="T1445" s="29" t="str">
        <f t="shared" si="63"/>
        <v>2021.010B.R.Binomial_names.zip</v>
      </c>
      <c r="U1445" s="29" t="str">
        <f>HYPERLINK("https://ictv.global/taxonomy/taxondetails?taxnode_id=202300387","ictv.global=202300387")</f>
        <v>ictv.global=202300387</v>
      </c>
    </row>
    <row r="1446" spans="1:21">
      <c r="A1446">
        <v>1445</v>
      </c>
      <c r="B1446" s="30" t="s">
        <v>1587</v>
      </c>
      <c r="D1446" s="30" t="s">
        <v>1588</v>
      </c>
      <c r="F1446" s="30" t="s">
        <v>1591</v>
      </c>
      <c r="H1446" s="30" t="s">
        <v>1592</v>
      </c>
      <c r="L1446" s="30" t="s">
        <v>1316</v>
      </c>
      <c r="M1446" s="30" t="s">
        <v>1317</v>
      </c>
      <c r="N1446" s="30" t="s">
        <v>1349</v>
      </c>
      <c r="P1446" s="30" t="s">
        <v>5142</v>
      </c>
      <c r="Q1446" t="s">
        <v>619</v>
      </c>
      <c r="R1446" t="s">
        <v>918</v>
      </c>
      <c r="S1446">
        <v>37</v>
      </c>
      <c r="T1446" s="29" t="str">
        <f t="shared" si="63"/>
        <v>2021.010B.R.Binomial_names.zip</v>
      </c>
      <c r="U1446" s="29" t="str">
        <f>HYPERLINK("https://ictv.global/taxonomy/taxondetails?taxnode_id=202300388","ictv.global=202300388")</f>
        <v>ictv.global=202300388</v>
      </c>
    </row>
    <row r="1447" spans="1:21">
      <c r="A1447">
        <v>1446</v>
      </c>
      <c r="B1447" s="30" t="s">
        <v>1587</v>
      </c>
      <c r="D1447" s="30" t="s">
        <v>1588</v>
      </c>
      <c r="F1447" s="30" t="s">
        <v>1591</v>
      </c>
      <c r="H1447" s="30" t="s">
        <v>1592</v>
      </c>
      <c r="L1447" s="30" t="s">
        <v>1316</v>
      </c>
      <c r="M1447" s="30" t="s">
        <v>1317</v>
      </c>
      <c r="N1447" s="30" t="s">
        <v>1349</v>
      </c>
      <c r="P1447" s="30" t="s">
        <v>5143</v>
      </c>
      <c r="Q1447" t="s">
        <v>619</v>
      </c>
      <c r="R1447" t="s">
        <v>918</v>
      </c>
      <c r="S1447">
        <v>37</v>
      </c>
      <c r="T1447" s="29" t="str">
        <f t="shared" si="63"/>
        <v>2021.010B.R.Binomial_names.zip</v>
      </c>
      <c r="U1447" s="29" t="str">
        <f>HYPERLINK("https://ictv.global/taxonomy/taxondetails?taxnode_id=202300389","ictv.global=202300389")</f>
        <v>ictv.global=202300389</v>
      </c>
    </row>
    <row r="1448" spans="1:21">
      <c r="A1448">
        <v>1447</v>
      </c>
      <c r="B1448" s="30" t="s">
        <v>1587</v>
      </c>
      <c r="D1448" s="30" t="s">
        <v>1588</v>
      </c>
      <c r="F1448" s="30" t="s">
        <v>1591</v>
      </c>
      <c r="H1448" s="30" t="s">
        <v>1592</v>
      </c>
      <c r="L1448" s="30" t="s">
        <v>1316</v>
      </c>
      <c r="M1448" s="30" t="s">
        <v>1317</v>
      </c>
      <c r="N1448" s="30" t="s">
        <v>1349</v>
      </c>
      <c r="P1448" s="30" t="s">
        <v>5144</v>
      </c>
      <c r="Q1448" t="s">
        <v>619</v>
      </c>
      <c r="R1448" t="s">
        <v>918</v>
      </c>
      <c r="S1448">
        <v>37</v>
      </c>
      <c r="T1448" s="29" t="str">
        <f t="shared" si="63"/>
        <v>2021.010B.R.Binomial_names.zip</v>
      </c>
      <c r="U1448" s="29" t="str">
        <f>HYPERLINK("https://ictv.global/taxonomy/taxondetails?taxnode_id=202300390","ictv.global=202300390")</f>
        <v>ictv.global=202300390</v>
      </c>
    </row>
    <row r="1449" spans="1:21">
      <c r="A1449">
        <v>1448</v>
      </c>
      <c r="B1449" s="30" t="s">
        <v>1587</v>
      </c>
      <c r="D1449" s="30" t="s">
        <v>1588</v>
      </c>
      <c r="F1449" s="30" t="s">
        <v>1591</v>
      </c>
      <c r="H1449" s="30" t="s">
        <v>1592</v>
      </c>
      <c r="L1449" s="30" t="s">
        <v>1316</v>
      </c>
      <c r="M1449" s="30" t="s">
        <v>1317</v>
      </c>
      <c r="N1449" s="30" t="s">
        <v>1318</v>
      </c>
      <c r="P1449" s="30" t="s">
        <v>5145</v>
      </c>
      <c r="Q1449" t="s">
        <v>619</v>
      </c>
      <c r="R1449" t="s">
        <v>918</v>
      </c>
      <c r="S1449">
        <v>37</v>
      </c>
      <c r="T1449" s="29" t="str">
        <f t="shared" si="63"/>
        <v>2021.010B.R.Binomial_names.zip</v>
      </c>
      <c r="U1449" s="29" t="str">
        <f>HYPERLINK("https://ictv.global/taxonomy/taxondetails?taxnode_id=202300395","ictv.global=202300395")</f>
        <v>ictv.global=202300395</v>
      </c>
    </row>
    <row r="1450" spans="1:21">
      <c r="A1450">
        <v>1449</v>
      </c>
      <c r="B1450" s="30" t="s">
        <v>1587</v>
      </c>
      <c r="D1450" s="30" t="s">
        <v>1588</v>
      </c>
      <c r="F1450" s="30" t="s">
        <v>1591</v>
      </c>
      <c r="H1450" s="30" t="s">
        <v>1592</v>
      </c>
      <c r="L1450" s="30" t="s">
        <v>1316</v>
      </c>
      <c r="M1450" s="30" t="s">
        <v>1317</v>
      </c>
      <c r="N1450" s="30" t="s">
        <v>1318</v>
      </c>
      <c r="P1450" s="30" t="s">
        <v>5146</v>
      </c>
      <c r="Q1450" t="s">
        <v>619</v>
      </c>
      <c r="R1450" t="s">
        <v>918</v>
      </c>
      <c r="S1450">
        <v>37</v>
      </c>
      <c r="T1450" s="29" t="str">
        <f t="shared" si="63"/>
        <v>2021.010B.R.Binomial_names.zip</v>
      </c>
      <c r="U1450" s="29" t="str">
        <f>HYPERLINK("https://ictv.global/taxonomy/taxondetails?taxnode_id=202300396","ictv.global=202300396")</f>
        <v>ictv.global=202300396</v>
      </c>
    </row>
    <row r="1451" spans="1:21">
      <c r="A1451">
        <v>1450</v>
      </c>
      <c r="B1451" s="30" t="s">
        <v>1587</v>
      </c>
      <c r="D1451" s="30" t="s">
        <v>1588</v>
      </c>
      <c r="F1451" s="30" t="s">
        <v>1591</v>
      </c>
      <c r="H1451" s="30" t="s">
        <v>1592</v>
      </c>
      <c r="L1451" s="30" t="s">
        <v>1316</v>
      </c>
      <c r="M1451" s="30" t="s">
        <v>1317</v>
      </c>
      <c r="N1451" s="30" t="s">
        <v>1318</v>
      </c>
      <c r="P1451" s="30" t="s">
        <v>5147</v>
      </c>
      <c r="Q1451" t="s">
        <v>619</v>
      </c>
      <c r="R1451" t="s">
        <v>918</v>
      </c>
      <c r="S1451">
        <v>37</v>
      </c>
      <c r="T1451" s="29" t="str">
        <f t="shared" si="63"/>
        <v>2021.010B.R.Binomial_names.zip</v>
      </c>
      <c r="U1451" s="29" t="str">
        <f>HYPERLINK("https://ictv.global/taxonomy/taxondetails?taxnode_id=202300397","ictv.global=202300397")</f>
        <v>ictv.global=202300397</v>
      </c>
    </row>
    <row r="1452" spans="1:21">
      <c r="A1452">
        <v>1451</v>
      </c>
      <c r="B1452" s="30" t="s">
        <v>1587</v>
      </c>
      <c r="D1452" s="30" t="s">
        <v>1588</v>
      </c>
      <c r="F1452" s="30" t="s">
        <v>1591</v>
      </c>
      <c r="H1452" s="30" t="s">
        <v>1592</v>
      </c>
      <c r="L1452" s="30" t="s">
        <v>1316</v>
      </c>
      <c r="M1452" s="30" t="s">
        <v>1317</v>
      </c>
      <c r="N1452" s="30" t="s">
        <v>1318</v>
      </c>
      <c r="P1452" s="30" t="s">
        <v>5148</v>
      </c>
      <c r="Q1452" t="s">
        <v>619</v>
      </c>
      <c r="R1452" t="s">
        <v>918</v>
      </c>
      <c r="S1452">
        <v>37</v>
      </c>
      <c r="T1452" s="29" t="str">
        <f t="shared" si="63"/>
        <v>2021.010B.R.Binomial_names.zip</v>
      </c>
      <c r="U1452" s="29" t="str">
        <f>HYPERLINK("https://ictv.global/taxonomy/taxondetails?taxnode_id=202300398","ictv.global=202300398")</f>
        <v>ictv.global=202300398</v>
      </c>
    </row>
    <row r="1453" spans="1:21">
      <c r="A1453">
        <v>1452</v>
      </c>
      <c r="B1453" s="30" t="s">
        <v>1587</v>
      </c>
      <c r="D1453" s="30" t="s">
        <v>1588</v>
      </c>
      <c r="F1453" s="30" t="s">
        <v>1591</v>
      </c>
      <c r="H1453" s="30" t="s">
        <v>1592</v>
      </c>
      <c r="L1453" s="30" t="s">
        <v>1316</v>
      </c>
      <c r="M1453" s="30" t="s">
        <v>1317</v>
      </c>
      <c r="N1453" s="30" t="s">
        <v>1318</v>
      </c>
      <c r="P1453" s="30" t="s">
        <v>5149</v>
      </c>
      <c r="Q1453" t="s">
        <v>619</v>
      </c>
      <c r="R1453" t="s">
        <v>918</v>
      </c>
      <c r="S1453">
        <v>37</v>
      </c>
      <c r="T1453" s="29" t="str">
        <f t="shared" si="63"/>
        <v>2021.010B.R.Binomial_names.zip</v>
      </c>
      <c r="U1453" s="29" t="str">
        <f>HYPERLINK("https://ictv.global/taxonomy/taxondetails?taxnode_id=202300399","ictv.global=202300399")</f>
        <v>ictv.global=202300399</v>
      </c>
    </row>
    <row r="1454" spans="1:21">
      <c r="A1454">
        <v>1453</v>
      </c>
      <c r="B1454" s="30" t="s">
        <v>1587</v>
      </c>
      <c r="D1454" s="30" t="s">
        <v>1588</v>
      </c>
      <c r="F1454" s="30" t="s">
        <v>1591</v>
      </c>
      <c r="H1454" s="30" t="s">
        <v>1592</v>
      </c>
      <c r="L1454" s="30" t="s">
        <v>1316</v>
      </c>
      <c r="M1454" s="30" t="s">
        <v>1317</v>
      </c>
      <c r="N1454" s="30" t="s">
        <v>1318</v>
      </c>
      <c r="P1454" s="30" t="s">
        <v>5150</v>
      </c>
      <c r="Q1454" t="s">
        <v>619</v>
      </c>
      <c r="R1454" t="s">
        <v>918</v>
      </c>
      <c r="S1454">
        <v>37</v>
      </c>
      <c r="T1454" s="29" t="str">
        <f t="shared" si="63"/>
        <v>2021.010B.R.Binomial_names.zip</v>
      </c>
      <c r="U1454" s="29" t="str">
        <f>HYPERLINK("https://ictv.global/taxonomy/taxondetails?taxnode_id=202300400","ictv.global=202300400")</f>
        <v>ictv.global=202300400</v>
      </c>
    </row>
    <row r="1455" spans="1:21">
      <c r="A1455">
        <v>1454</v>
      </c>
      <c r="B1455" s="30" t="s">
        <v>1587</v>
      </c>
      <c r="D1455" s="30" t="s">
        <v>1588</v>
      </c>
      <c r="F1455" s="30" t="s">
        <v>1591</v>
      </c>
      <c r="H1455" s="30" t="s">
        <v>1592</v>
      </c>
      <c r="L1455" s="30" t="s">
        <v>1316</v>
      </c>
      <c r="M1455" s="30" t="s">
        <v>1317</v>
      </c>
      <c r="N1455" s="30" t="s">
        <v>2226</v>
      </c>
      <c r="P1455" s="30" t="s">
        <v>5151</v>
      </c>
      <c r="Q1455" t="s">
        <v>619</v>
      </c>
      <c r="R1455" t="s">
        <v>918</v>
      </c>
      <c r="S1455">
        <v>37</v>
      </c>
      <c r="T1455" s="29" t="str">
        <f t="shared" si="63"/>
        <v>2021.010B.R.Binomial_names.zip</v>
      </c>
      <c r="U1455" s="29" t="str">
        <f>HYPERLINK("https://ictv.global/taxonomy/taxondetails?taxnode_id=202310113","ictv.global=202310113")</f>
        <v>ictv.global=202310113</v>
      </c>
    </row>
    <row r="1456" spans="1:21">
      <c r="A1456">
        <v>1455</v>
      </c>
      <c r="B1456" s="30" t="s">
        <v>1587</v>
      </c>
      <c r="D1456" s="30" t="s">
        <v>1588</v>
      </c>
      <c r="F1456" s="30" t="s">
        <v>1591</v>
      </c>
      <c r="H1456" s="30" t="s">
        <v>1592</v>
      </c>
      <c r="L1456" s="30" t="s">
        <v>1316</v>
      </c>
      <c r="M1456" s="30" t="s">
        <v>1317</v>
      </c>
      <c r="N1456" s="30" t="s">
        <v>2227</v>
      </c>
      <c r="P1456" s="30" t="s">
        <v>5152</v>
      </c>
      <c r="Q1456" t="s">
        <v>619</v>
      </c>
      <c r="R1456" t="s">
        <v>918</v>
      </c>
      <c r="S1456">
        <v>37</v>
      </c>
      <c r="T1456" s="29" t="str">
        <f t="shared" si="63"/>
        <v>2021.010B.R.Binomial_names.zip</v>
      </c>
      <c r="U1456" s="29" t="str">
        <f>HYPERLINK("https://ictv.global/taxonomy/taxondetails?taxnode_id=202310117","ictv.global=202310117")</f>
        <v>ictv.global=202310117</v>
      </c>
    </row>
    <row r="1457" spans="1:21">
      <c r="A1457">
        <v>1456</v>
      </c>
      <c r="B1457" s="30" t="s">
        <v>1587</v>
      </c>
      <c r="D1457" s="30" t="s">
        <v>1588</v>
      </c>
      <c r="F1457" s="30" t="s">
        <v>1591</v>
      </c>
      <c r="H1457" s="30" t="s">
        <v>1592</v>
      </c>
      <c r="L1457" s="30" t="s">
        <v>1316</v>
      </c>
      <c r="M1457" s="30" t="s">
        <v>1317</v>
      </c>
      <c r="N1457" s="30" t="s">
        <v>2228</v>
      </c>
      <c r="P1457" s="30" t="s">
        <v>5153</v>
      </c>
      <c r="Q1457" t="s">
        <v>619</v>
      </c>
      <c r="R1457" t="s">
        <v>918</v>
      </c>
      <c r="S1457">
        <v>37</v>
      </c>
      <c r="T1457" s="29" t="str">
        <f t="shared" si="63"/>
        <v>2021.010B.R.Binomial_names.zip</v>
      </c>
      <c r="U1457" s="29" t="str">
        <f>HYPERLINK("https://ictv.global/taxonomy/taxondetails?taxnode_id=202310111","ictv.global=202310111")</f>
        <v>ictv.global=202310111</v>
      </c>
    </row>
    <row r="1458" spans="1:21">
      <c r="A1458">
        <v>1457</v>
      </c>
      <c r="B1458" s="30" t="s">
        <v>1587</v>
      </c>
      <c r="D1458" s="30" t="s">
        <v>1588</v>
      </c>
      <c r="F1458" s="30" t="s">
        <v>1591</v>
      </c>
      <c r="H1458" s="30" t="s">
        <v>1592</v>
      </c>
      <c r="L1458" s="30" t="s">
        <v>1316</v>
      </c>
      <c r="M1458" s="30" t="s">
        <v>1317</v>
      </c>
      <c r="N1458" s="30" t="s">
        <v>2229</v>
      </c>
      <c r="P1458" s="30" t="s">
        <v>5154</v>
      </c>
      <c r="Q1458" t="s">
        <v>619</v>
      </c>
      <c r="R1458" t="s">
        <v>918</v>
      </c>
      <c r="S1458">
        <v>37</v>
      </c>
      <c r="T1458" s="29" t="str">
        <f t="shared" si="63"/>
        <v>2021.010B.R.Binomial_names.zip</v>
      </c>
      <c r="U1458" s="29" t="str">
        <f>HYPERLINK("https://ictv.global/taxonomy/taxondetails?taxnode_id=202310115","ictv.global=202310115")</f>
        <v>ictv.global=202310115</v>
      </c>
    </row>
    <row r="1459" spans="1:21">
      <c r="A1459">
        <v>1458</v>
      </c>
      <c r="B1459" s="30" t="s">
        <v>1587</v>
      </c>
      <c r="D1459" s="30" t="s">
        <v>1588</v>
      </c>
      <c r="F1459" s="30" t="s">
        <v>1591</v>
      </c>
      <c r="H1459" s="30" t="s">
        <v>1592</v>
      </c>
      <c r="L1459" s="30" t="s">
        <v>1316</v>
      </c>
      <c r="M1459" s="30" t="s">
        <v>1317</v>
      </c>
      <c r="N1459" s="30" t="s">
        <v>2230</v>
      </c>
      <c r="P1459" s="30" t="s">
        <v>5155</v>
      </c>
      <c r="Q1459" t="s">
        <v>619</v>
      </c>
      <c r="R1459" t="s">
        <v>918</v>
      </c>
      <c r="S1459">
        <v>37</v>
      </c>
      <c r="T1459" s="29" t="str">
        <f t="shared" si="63"/>
        <v>2021.010B.R.Binomial_names.zip</v>
      </c>
      <c r="U1459" s="29" t="str">
        <f>HYPERLINK("https://ictv.global/taxonomy/taxondetails?taxnode_id=202306963","ictv.global=202306963")</f>
        <v>ictv.global=202306963</v>
      </c>
    </row>
    <row r="1460" spans="1:21">
      <c r="A1460">
        <v>1459</v>
      </c>
      <c r="B1460" s="30" t="s">
        <v>1587</v>
      </c>
      <c r="D1460" s="30" t="s">
        <v>1588</v>
      </c>
      <c r="F1460" s="30" t="s">
        <v>1591</v>
      </c>
      <c r="H1460" s="30" t="s">
        <v>1592</v>
      </c>
      <c r="L1460" s="30" t="s">
        <v>1316</v>
      </c>
      <c r="M1460" s="30" t="s">
        <v>1317</v>
      </c>
      <c r="N1460" s="30" t="s">
        <v>2231</v>
      </c>
      <c r="P1460" s="30" t="s">
        <v>5156</v>
      </c>
      <c r="Q1460" t="s">
        <v>619</v>
      </c>
      <c r="R1460" t="s">
        <v>918</v>
      </c>
      <c r="S1460">
        <v>37</v>
      </c>
      <c r="T1460" s="29" t="str">
        <f t="shared" si="63"/>
        <v>2021.010B.R.Binomial_names.zip</v>
      </c>
      <c r="U1460" s="29" t="str">
        <f>HYPERLINK("https://ictv.global/taxonomy/taxondetails?taxnode_id=202306964","ictv.global=202306964")</f>
        <v>ictv.global=202306964</v>
      </c>
    </row>
    <row r="1461" spans="1:21">
      <c r="A1461">
        <v>1460</v>
      </c>
      <c r="B1461" s="30" t="s">
        <v>1587</v>
      </c>
      <c r="D1461" s="30" t="s">
        <v>1588</v>
      </c>
      <c r="F1461" s="30" t="s">
        <v>1591</v>
      </c>
      <c r="H1461" s="30" t="s">
        <v>1592</v>
      </c>
      <c r="L1461" s="30" t="s">
        <v>1316</v>
      </c>
      <c r="M1461" s="30" t="s">
        <v>1317</v>
      </c>
      <c r="N1461" s="30" t="s">
        <v>1374</v>
      </c>
      <c r="P1461" s="30" t="s">
        <v>5157</v>
      </c>
      <c r="Q1461" t="s">
        <v>619</v>
      </c>
      <c r="R1461" t="s">
        <v>918</v>
      </c>
      <c r="S1461">
        <v>37</v>
      </c>
      <c r="T1461" s="29" t="str">
        <f t="shared" si="63"/>
        <v>2021.010B.R.Binomial_names.zip</v>
      </c>
      <c r="U1461" s="29" t="str">
        <f>HYPERLINK("https://ictv.global/taxonomy/taxondetails?taxnode_id=202300461","ictv.global=202300461")</f>
        <v>ictv.global=202300461</v>
      </c>
    </row>
    <row r="1462" spans="1:21">
      <c r="A1462">
        <v>1461</v>
      </c>
      <c r="B1462" s="30" t="s">
        <v>1587</v>
      </c>
      <c r="D1462" s="30" t="s">
        <v>1588</v>
      </c>
      <c r="F1462" s="30" t="s">
        <v>1591</v>
      </c>
      <c r="H1462" s="30" t="s">
        <v>1592</v>
      </c>
      <c r="L1462" s="30" t="s">
        <v>1316</v>
      </c>
      <c r="M1462" s="30" t="s">
        <v>1317</v>
      </c>
      <c r="N1462" s="30" t="s">
        <v>1374</v>
      </c>
      <c r="P1462" s="30" t="s">
        <v>5158</v>
      </c>
      <c r="Q1462" t="s">
        <v>619</v>
      </c>
      <c r="R1462" t="s">
        <v>918</v>
      </c>
      <c r="S1462">
        <v>37</v>
      </c>
      <c r="T1462" s="29" t="str">
        <f t="shared" si="63"/>
        <v>2021.010B.R.Binomial_names.zip</v>
      </c>
      <c r="U1462" s="29" t="str">
        <f>HYPERLINK("https://ictv.global/taxonomy/taxondetails?taxnode_id=202300462","ictv.global=202300462")</f>
        <v>ictv.global=202300462</v>
      </c>
    </row>
    <row r="1463" spans="1:21">
      <c r="A1463">
        <v>1462</v>
      </c>
      <c r="B1463" s="30" t="s">
        <v>1587</v>
      </c>
      <c r="D1463" s="30" t="s">
        <v>1588</v>
      </c>
      <c r="F1463" s="30" t="s">
        <v>1591</v>
      </c>
      <c r="H1463" s="30" t="s">
        <v>1592</v>
      </c>
      <c r="L1463" s="30" t="s">
        <v>1316</v>
      </c>
      <c r="M1463" s="30" t="s">
        <v>1317</v>
      </c>
      <c r="N1463" s="30" t="s">
        <v>1374</v>
      </c>
      <c r="P1463" s="30" t="s">
        <v>5159</v>
      </c>
      <c r="Q1463" t="s">
        <v>619</v>
      </c>
      <c r="R1463" t="s">
        <v>918</v>
      </c>
      <c r="S1463">
        <v>37</v>
      </c>
      <c r="T1463" s="29" t="str">
        <f t="shared" si="63"/>
        <v>2021.010B.R.Binomial_names.zip</v>
      </c>
      <c r="U1463" s="29" t="str">
        <f>HYPERLINK("https://ictv.global/taxonomy/taxondetails?taxnode_id=202300463","ictv.global=202300463")</f>
        <v>ictv.global=202300463</v>
      </c>
    </row>
    <row r="1464" spans="1:21">
      <c r="A1464">
        <v>1463</v>
      </c>
      <c r="B1464" s="30" t="s">
        <v>1587</v>
      </c>
      <c r="D1464" s="30" t="s">
        <v>1588</v>
      </c>
      <c r="F1464" s="30" t="s">
        <v>1591</v>
      </c>
      <c r="H1464" s="30" t="s">
        <v>1592</v>
      </c>
      <c r="L1464" s="30" t="s">
        <v>1316</v>
      </c>
      <c r="M1464" s="30" t="s">
        <v>1317</v>
      </c>
      <c r="N1464" s="30" t="s">
        <v>1388</v>
      </c>
      <c r="P1464" s="30" t="s">
        <v>5160</v>
      </c>
      <c r="Q1464" t="s">
        <v>619</v>
      </c>
      <c r="R1464" t="s">
        <v>918</v>
      </c>
      <c r="S1464">
        <v>37</v>
      </c>
      <c r="T1464" s="29" t="str">
        <f t="shared" si="63"/>
        <v>2021.010B.R.Binomial_names.zip</v>
      </c>
      <c r="U1464" s="29" t="str">
        <f>HYPERLINK("https://ictv.global/taxonomy/taxondetails?taxnode_id=202306989","ictv.global=202306989")</f>
        <v>ictv.global=202306989</v>
      </c>
    </row>
    <row r="1465" spans="1:21">
      <c r="A1465">
        <v>1464</v>
      </c>
      <c r="B1465" s="30" t="s">
        <v>1587</v>
      </c>
      <c r="D1465" s="30" t="s">
        <v>1588</v>
      </c>
      <c r="F1465" s="30" t="s">
        <v>1591</v>
      </c>
      <c r="H1465" s="30" t="s">
        <v>1592</v>
      </c>
      <c r="L1465" s="30" t="s">
        <v>1316</v>
      </c>
      <c r="M1465" s="30" t="s">
        <v>1317</v>
      </c>
      <c r="N1465" s="30" t="s">
        <v>2232</v>
      </c>
      <c r="P1465" s="30" t="s">
        <v>5161</v>
      </c>
      <c r="Q1465" t="s">
        <v>619</v>
      </c>
      <c r="R1465" t="s">
        <v>918</v>
      </c>
      <c r="S1465">
        <v>37</v>
      </c>
      <c r="T1465" s="29" t="str">
        <f t="shared" si="63"/>
        <v>2021.010B.R.Binomial_names.zip</v>
      </c>
      <c r="U1465" s="29" t="str">
        <f>HYPERLINK("https://ictv.global/taxonomy/taxondetails?taxnode_id=202306965","ictv.global=202306965")</f>
        <v>ictv.global=202306965</v>
      </c>
    </row>
    <row r="1466" spans="1:21">
      <c r="A1466">
        <v>1465</v>
      </c>
      <c r="B1466" s="30" t="s">
        <v>1587</v>
      </c>
      <c r="D1466" s="30" t="s">
        <v>1588</v>
      </c>
      <c r="F1466" s="30" t="s">
        <v>1591</v>
      </c>
      <c r="H1466" s="30" t="s">
        <v>1592</v>
      </c>
      <c r="L1466" s="30" t="s">
        <v>1316</v>
      </c>
      <c r="M1466" s="30" t="s">
        <v>1317</v>
      </c>
      <c r="N1466" s="30" t="s">
        <v>846</v>
      </c>
      <c r="P1466" s="30" t="s">
        <v>5162</v>
      </c>
      <c r="Q1466" t="s">
        <v>619</v>
      </c>
      <c r="R1466" t="s">
        <v>918</v>
      </c>
      <c r="S1466">
        <v>37</v>
      </c>
      <c r="T1466" s="29" t="str">
        <f t="shared" si="63"/>
        <v>2021.010B.R.Binomial_names.zip</v>
      </c>
      <c r="U1466" s="29" t="str">
        <f>HYPERLINK("https://ictv.global/taxonomy/taxondetails?taxnode_id=202300270","ictv.global=202300270")</f>
        <v>ictv.global=202300270</v>
      </c>
    </row>
    <row r="1467" spans="1:21">
      <c r="A1467">
        <v>1466</v>
      </c>
      <c r="B1467" s="30" t="s">
        <v>1587</v>
      </c>
      <c r="D1467" s="30" t="s">
        <v>1588</v>
      </c>
      <c r="F1467" s="30" t="s">
        <v>1591</v>
      </c>
      <c r="H1467" s="30" t="s">
        <v>1592</v>
      </c>
      <c r="L1467" s="30" t="s">
        <v>1316</v>
      </c>
      <c r="M1467" s="30" t="s">
        <v>1317</v>
      </c>
      <c r="N1467" s="30" t="s">
        <v>846</v>
      </c>
      <c r="P1467" s="30" t="s">
        <v>5163</v>
      </c>
      <c r="Q1467" t="s">
        <v>619</v>
      </c>
      <c r="R1467" t="s">
        <v>918</v>
      </c>
      <c r="S1467">
        <v>37</v>
      </c>
      <c r="T1467" s="29" t="str">
        <f t="shared" si="63"/>
        <v>2021.010B.R.Binomial_names.zip</v>
      </c>
      <c r="U1467" s="29" t="str">
        <f>HYPERLINK("https://ictv.global/taxonomy/taxondetails?taxnode_id=202300271","ictv.global=202300271")</f>
        <v>ictv.global=202300271</v>
      </c>
    </row>
    <row r="1468" spans="1:21">
      <c r="A1468">
        <v>1467</v>
      </c>
      <c r="B1468" s="30" t="s">
        <v>1587</v>
      </c>
      <c r="D1468" s="30" t="s">
        <v>1588</v>
      </c>
      <c r="F1468" s="30" t="s">
        <v>1591</v>
      </c>
      <c r="H1468" s="30" t="s">
        <v>1592</v>
      </c>
      <c r="L1468" s="30" t="s">
        <v>1316</v>
      </c>
      <c r="M1468" s="30" t="s">
        <v>1317</v>
      </c>
      <c r="N1468" s="30" t="s">
        <v>648</v>
      </c>
      <c r="P1468" s="30" t="s">
        <v>5164</v>
      </c>
      <c r="Q1468" t="s">
        <v>619</v>
      </c>
      <c r="R1468" t="s">
        <v>918</v>
      </c>
      <c r="S1468">
        <v>37</v>
      </c>
      <c r="T1468" s="29" t="str">
        <f t="shared" si="63"/>
        <v>2021.010B.R.Binomial_names.zip</v>
      </c>
      <c r="U1468" s="29" t="str">
        <f>HYPERLINK("https://ictv.global/taxonomy/taxondetails?taxnode_id=202300536","ictv.global=202300536")</f>
        <v>ictv.global=202300536</v>
      </c>
    </row>
    <row r="1469" spans="1:21">
      <c r="A1469">
        <v>1468</v>
      </c>
      <c r="B1469" s="30" t="s">
        <v>1587</v>
      </c>
      <c r="D1469" s="30" t="s">
        <v>1588</v>
      </c>
      <c r="F1469" s="30" t="s">
        <v>1591</v>
      </c>
      <c r="H1469" s="30" t="s">
        <v>1592</v>
      </c>
      <c r="L1469" s="30" t="s">
        <v>1316</v>
      </c>
      <c r="M1469" s="30" t="s">
        <v>1317</v>
      </c>
      <c r="N1469" s="30" t="s">
        <v>648</v>
      </c>
      <c r="P1469" s="30" t="s">
        <v>5165</v>
      </c>
      <c r="Q1469" t="s">
        <v>619</v>
      </c>
      <c r="R1469" t="s">
        <v>918</v>
      </c>
      <c r="S1469">
        <v>37</v>
      </c>
      <c r="T1469" s="29" t="str">
        <f t="shared" si="63"/>
        <v>2021.010B.R.Binomial_names.zip</v>
      </c>
      <c r="U1469" s="29" t="str">
        <f>HYPERLINK("https://ictv.global/taxonomy/taxondetails?taxnode_id=202306962","ictv.global=202306962")</f>
        <v>ictv.global=202306962</v>
      </c>
    </row>
    <row r="1470" spans="1:21">
      <c r="A1470">
        <v>1469</v>
      </c>
      <c r="B1470" s="30" t="s">
        <v>1587</v>
      </c>
      <c r="D1470" s="30" t="s">
        <v>1588</v>
      </c>
      <c r="F1470" s="30" t="s">
        <v>1591</v>
      </c>
      <c r="H1470" s="30" t="s">
        <v>1592</v>
      </c>
      <c r="L1470" s="30" t="s">
        <v>1316</v>
      </c>
      <c r="M1470" s="30" t="s">
        <v>1317</v>
      </c>
      <c r="N1470" s="30" t="s">
        <v>648</v>
      </c>
      <c r="P1470" s="30" t="s">
        <v>5166</v>
      </c>
      <c r="Q1470" t="s">
        <v>619</v>
      </c>
      <c r="R1470" t="s">
        <v>918</v>
      </c>
      <c r="S1470">
        <v>37</v>
      </c>
      <c r="T1470" s="29" t="str">
        <f t="shared" si="63"/>
        <v>2021.010B.R.Binomial_names.zip</v>
      </c>
      <c r="U1470" s="29" t="str">
        <f>HYPERLINK("https://ictv.global/taxonomy/taxondetails?taxnode_id=202300537","ictv.global=202300537")</f>
        <v>ictv.global=202300537</v>
      </c>
    </row>
    <row r="1471" spans="1:21">
      <c r="A1471">
        <v>1470</v>
      </c>
      <c r="B1471" s="30" t="s">
        <v>1587</v>
      </c>
      <c r="D1471" s="30" t="s">
        <v>1588</v>
      </c>
      <c r="F1471" s="30" t="s">
        <v>1591</v>
      </c>
      <c r="H1471" s="30" t="s">
        <v>1592</v>
      </c>
      <c r="L1471" s="30" t="s">
        <v>1316</v>
      </c>
      <c r="M1471" s="30" t="s">
        <v>1317</v>
      </c>
      <c r="N1471" s="30" t="s">
        <v>648</v>
      </c>
      <c r="P1471" s="30" t="s">
        <v>5167</v>
      </c>
      <c r="Q1471" t="s">
        <v>619</v>
      </c>
      <c r="R1471" t="s">
        <v>918</v>
      </c>
      <c r="S1471">
        <v>37</v>
      </c>
      <c r="T1471" s="29" t="str">
        <f t="shared" si="63"/>
        <v>2021.010B.R.Binomial_names.zip</v>
      </c>
      <c r="U1471" s="29" t="str">
        <f>HYPERLINK("https://ictv.global/taxonomy/taxondetails?taxnode_id=202300538","ictv.global=202300538")</f>
        <v>ictv.global=202300538</v>
      </c>
    </row>
    <row r="1472" spans="1:21">
      <c r="A1472">
        <v>1471</v>
      </c>
      <c r="B1472" s="30" t="s">
        <v>1587</v>
      </c>
      <c r="D1472" s="30" t="s">
        <v>1588</v>
      </c>
      <c r="F1472" s="30" t="s">
        <v>1591</v>
      </c>
      <c r="H1472" s="30" t="s">
        <v>1592</v>
      </c>
      <c r="L1472" s="30" t="s">
        <v>1316</v>
      </c>
      <c r="M1472" s="30" t="s">
        <v>1317</v>
      </c>
      <c r="N1472" s="30" t="s">
        <v>648</v>
      </c>
      <c r="P1472" s="30" t="s">
        <v>5168</v>
      </c>
      <c r="Q1472" t="s">
        <v>619</v>
      </c>
      <c r="R1472" t="s">
        <v>918</v>
      </c>
      <c r="S1472">
        <v>37</v>
      </c>
      <c r="T1472" s="29" t="str">
        <f t="shared" si="63"/>
        <v>2021.010B.R.Binomial_names.zip</v>
      </c>
      <c r="U1472" s="29" t="str">
        <f>HYPERLINK("https://ictv.global/taxonomy/taxondetails?taxnode_id=202300539","ictv.global=202300539")</f>
        <v>ictv.global=202300539</v>
      </c>
    </row>
    <row r="1473" spans="1:21">
      <c r="A1473">
        <v>1472</v>
      </c>
      <c r="B1473" s="30" t="s">
        <v>1587</v>
      </c>
      <c r="D1473" s="30" t="s">
        <v>1588</v>
      </c>
      <c r="F1473" s="30" t="s">
        <v>1591</v>
      </c>
      <c r="H1473" s="30" t="s">
        <v>1592</v>
      </c>
      <c r="L1473" s="30" t="s">
        <v>1316</v>
      </c>
      <c r="M1473" s="30" t="s">
        <v>1319</v>
      </c>
      <c r="N1473" s="30" t="s">
        <v>1320</v>
      </c>
      <c r="P1473" s="30" t="s">
        <v>12058</v>
      </c>
      <c r="Q1473" t="s">
        <v>619</v>
      </c>
      <c r="R1473" t="s">
        <v>917</v>
      </c>
      <c r="S1473">
        <v>39</v>
      </c>
      <c r="T1473" s="29" t="str">
        <f>HYPERLINK("https://ictv.global/ictv/proposals/2023.012B.Brockvirinae_28ns.zip","2023.012B.Brockvirinae_28ns.zip")</f>
        <v>2023.012B.Brockvirinae_28ns.zip</v>
      </c>
      <c r="U1473" s="29" t="str">
        <f>HYPERLINK("https://ictv.global/taxonomy/taxondetails?taxnode_id=202318057","ictv.global=202318057")</f>
        <v>ictv.global=202318057</v>
      </c>
    </row>
    <row r="1474" spans="1:21">
      <c r="A1474">
        <v>1473</v>
      </c>
      <c r="B1474" s="30" t="s">
        <v>1587</v>
      </c>
      <c r="D1474" s="30" t="s">
        <v>1588</v>
      </c>
      <c r="F1474" s="30" t="s">
        <v>1591</v>
      </c>
      <c r="H1474" s="30" t="s">
        <v>1592</v>
      </c>
      <c r="L1474" s="30" t="s">
        <v>1316</v>
      </c>
      <c r="M1474" s="30" t="s">
        <v>1319</v>
      </c>
      <c r="N1474" s="30" t="s">
        <v>1320</v>
      </c>
      <c r="P1474" s="30" t="s">
        <v>12059</v>
      </c>
      <c r="Q1474" t="s">
        <v>619</v>
      </c>
      <c r="R1474" t="s">
        <v>917</v>
      </c>
      <c r="S1474">
        <v>39</v>
      </c>
      <c r="T1474" s="29" t="str">
        <f>HYPERLINK("https://ictv.global/ictv/proposals/2023.012B.Brockvirinae_28ns.zip","2023.012B.Brockvirinae_28ns.zip")</f>
        <v>2023.012B.Brockvirinae_28ns.zip</v>
      </c>
      <c r="U1474" s="29" t="str">
        <f>HYPERLINK("https://ictv.global/taxonomy/taxondetails?taxnode_id=202318054","ictv.global=202318054")</f>
        <v>ictv.global=202318054</v>
      </c>
    </row>
    <row r="1475" spans="1:21">
      <c r="A1475">
        <v>1474</v>
      </c>
      <c r="B1475" s="30" t="s">
        <v>1587</v>
      </c>
      <c r="D1475" s="30" t="s">
        <v>1588</v>
      </c>
      <c r="F1475" s="30" t="s">
        <v>1591</v>
      </c>
      <c r="H1475" s="30" t="s">
        <v>1592</v>
      </c>
      <c r="L1475" s="30" t="s">
        <v>1316</v>
      </c>
      <c r="M1475" s="30" t="s">
        <v>1319</v>
      </c>
      <c r="N1475" s="30" t="s">
        <v>1320</v>
      </c>
      <c r="P1475" s="30" t="s">
        <v>5169</v>
      </c>
      <c r="Q1475" t="s">
        <v>619</v>
      </c>
      <c r="R1475" t="s">
        <v>918</v>
      </c>
      <c r="S1475">
        <v>37</v>
      </c>
      <c r="T1475" s="29" t="str">
        <f>HYPERLINK("https://ictv.global/ictv/proposals/2021.010B.R.Binomial_names.zip","2021.010B.R.Binomial_names.zip")</f>
        <v>2021.010B.R.Binomial_names.zip</v>
      </c>
      <c r="U1475" s="29" t="str">
        <f>HYPERLINK("https://ictv.global/taxonomy/taxondetails?taxnode_id=202306968","ictv.global=202306968")</f>
        <v>ictv.global=202306968</v>
      </c>
    </row>
    <row r="1476" spans="1:21">
      <c r="A1476">
        <v>1475</v>
      </c>
      <c r="B1476" s="30" t="s">
        <v>1587</v>
      </c>
      <c r="D1476" s="30" t="s">
        <v>1588</v>
      </c>
      <c r="F1476" s="30" t="s">
        <v>1591</v>
      </c>
      <c r="H1476" s="30" t="s">
        <v>1592</v>
      </c>
      <c r="L1476" s="30" t="s">
        <v>1316</v>
      </c>
      <c r="M1476" s="30" t="s">
        <v>1319</v>
      </c>
      <c r="N1476" s="30" t="s">
        <v>1320</v>
      </c>
      <c r="P1476" s="30" t="s">
        <v>12060</v>
      </c>
      <c r="Q1476" t="s">
        <v>619</v>
      </c>
      <c r="R1476" t="s">
        <v>917</v>
      </c>
      <c r="S1476">
        <v>39</v>
      </c>
      <c r="T1476" s="29" t="str">
        <f>HYPERLINK("https://ictv.global/ictv/proposals/2023.012B.Brockvirinae_28ns.zip","2023.012B.Brockvirinae_28ns.zip")</f>
        <v>2023.012B.Brockvirinae_28ns.zip</v>
      </c>
      <c r="U1476" s="29" t="str">
        <f>HYPERLINK("https://ictv.global/taxonomy/taxondetails?taxnode_id=202318049","ictv.global=202318049")</f>
        <v>ictv.global=202318049</v>
      </c>
    </row>
    <row r="1477" spans="1:21">
      <c r="A1477">
        <v>1476</v>
      </c>
      <c r="B1477" s="30" t="s">
        <v>1587</v>
      </c>
      <c r="D1477" s="30" t="s">
        <v>1588</v>
      </c>
      <c r="F1477" s="30" t="s">
        <v>1591</v>
      </c>
      <c r="H1477" s="30" t="s">
        <v>1592</v>
      </c>
      <c r="L1477" s="30" t="s">
        <v>1316</v>
      </c>
      <c r="M1477" s="30" t="s">
        <v>1319</v>
      </c>
      <c r="N1477" s="30" t="s">
        <v>1320</v>
      </c>
      <c r="P1477" s="30" t="s">
        <v>12061</v>
      </c>
      <c r="Q1477" t="s">
        <v>619</v>
      </c>
      <c r="R1477" t="s">
        <v>917</v>
      </c>
      <c r="S1477">
        <v>39</v>
      </c>
      <c r="T1477" s="29" t="str">
        <f>HYPERLINK("https://ictv.global/ictv/proposals/2023.012B.Brockvirinae_28ns.zip","2023.012B.Brockvirinae_28ns.zip")</f>
        <v>2023.012B.Brockvirinae_28ns.zip</v>
      </c>
      <c r="U1477" s="29" t="str">
        <f>HYPERLINK("https://ictv.global/taxonomy/taxondetails?taxnode_id=202318051","ictv.global=202318051")</f>
        <v>ictv.global=202318051</v>
      </c>
    </row>
    <row r="1478" spans="1:21">
      <c r="A1478">
        <v>1477</v>
      </c>
      <c r="B1478" s="30" t="s">
        <v>1587</v>
      </c>
      <c r="D1478" s="30" t="s">
        <v>1588</v>
      </c>
      <c r="F1478" s="30" t="s">
        <v>1591</v>
      </c>
      <c r="H1478" s="30" t="s">
        <v>1592</v>
      </c>
      <c r="L1478" s="30" t="s">
        <v>1316</v>
      </c>
      <c r="M1478" s="30" t="s">
        <v>1319</v>
      </c>
      <c r="N1478" s="30" t="s">
        <v>1320</v>
      </c>
      <c r="P1478" s="30" t="s">
        <v>12062</v>
      </c>
      <c r="Q1478" t="s">
        <v>619</v>
      </c>
      <c r="R1478" t="s">
        <v>917</v>
      </c>
      <c r="S1478">
        <v>39</v>
      </c>
      <c r="T1478" s="29" t="str">
        <f>HYPERLINK("https://ictv.global/ictv/proposals/2023.012B.Brockvirinae_28ns.zip","2023.012B.Brockvirinae_28ns.zip")</f>
        <v>2023.012B.Brockvirinae_28ns.zip</v>
      </c>
      <c r="U1478" s="29" t="str">
        <f>HYPERLINK("https://ictv.global/taxonomy/taxondetails?taxnode_id=202318052","ictv.global=202318052")</f>
        <v>ictv.global=202318052</v>
      </c>
    </row>
    <row r="1479" spans="1:21">
      <c r="A1479">
        <v>1478</v>
      </c>
      <c r="B1479" s="30" t="s">
        <v>1587</v>
      </c>
      <c r="D1479" s="30" t="s">
        <v>1588</v>
      </c>
      <c r="F1479" s="30" t="s">
        <v>1591</v>
      </c>
      <c r="H1479" s="30" t="s">
        <v>1592</v>
      </c>
      <c r="L1479" s="30" t="s">
        <v>1316</v>
      </c>
      <c r="M1479" s="30" t="s">
        <v>1319</v>
      </c>
      <c r="N1479" s="30" t="s">
        <v>1320</v>
      </c>
      <c r="P1479" s="30" t="s">
        <v>5170</v>
      </c>
      <c r="Q1479" t="s">
        <v>619</v>
      </c>
      <c r="R1479" t="s">
        <v>918</v>
      </c>
      <c r="S1479">
        <v>37</v>
      </c>
      <c r="T1479" s="29" t="str">
        <f>HYPERLINK("https://ictv.global/ictv/proposals/2021.010B.R.Binomial_names.zip","2021.010B.R.Binomial_names.zip")</f>
        <v>2021.010B.R.Binomial_names.zip</v>
      </c>
      <c r="U1479" s="29" t="str">
        <f>HYPERLINK("https://ictv.global/taxonomy/taxondetails?taxnode_id=202300275","ictv.global=202300275")</f>
        <v>ictv.global=202300275</v>
      </c>
    </row>
    <row r="1480" spans="1:21">
      <c r="A1480">
        <v>1479</v>
      </c>
      <c r="B1480" s="30" t="s">
        <v>1587</v>
      </c>
      <c r="D1480" s="30" t="s">
        <v>1588</v>
      </c>
      <c r="F1480" s="30" t="s">
        <v>1591</v>
      </c>
      <c r="H1480" s="30" t="s">
        <v>1592</v>
      </c>
      <c r="L1480" s="30" t="s">
        <v>1316</v>
      </c>
      <c r="M1480" s="30" t="s">
        <v>1319</v>
      </c>
      <c r="N1480" s="30" t="s">
        <v>1320</v>
      </c>
      <c r="P1480" s="30" t="s">
        <v>12063</v>
      </c>
      <c r="Q1480" t="s">
        <v>619</v>
      </c>
      <c r="R1480" t="s">
        <v>917</v>
      </c>
      <c r="S1480">
        <v>39</v>
      </c>
      <c r="T1480" s="29" t="str">
        <f>HYPERLINK("https://ictv.global/ictv/proposals/2023.012B.Brockvirinae_28ns.zip","2023.012B.Brockvirinae_28ns.zip")</f>
        <v>2023.012B.Brockvirinae_28ns.zip</v>
      </c>
      <c r="U1480" s="29" t="str">
        <f>HYPERLINK("https://ictv.global/taxonomy/taxondetails?taxnode_id=202318058","ictv.global=202318058")</f>
        <v>ictv.global=202318058</v>
      </c>
    </row>
    <row r="1481" spans="1:21">
      <c r="A1481">
        <v>1480</v>
      </c>
      <c r="B1481" s="30" t="s">
        <v>1587</v>
      </c>
      <c r="D1481" s="30" t="s">
        <v>1588</v>
      </c>
      <c r="F1481" s="30" t="s">
        <v>1591</v>
      </c>
      <c r="H1481" s="30" t="s">
        <v>1592</v>
      </c>
      <c r="L1481" s="30" t="s">
        <v>1316</v>
      </c>
      <c r="M1481" s="30" t="s">
        <v>1319</v>
      </c>
      <c r="N1481" s="30" t="s">
        <v>1320</v>
      </c>
      <c r="P1481" s="30" t="s">
        <v>5171</v>
      </c>
      <c r="Q1481" t="s">
        <v>619</v>
      </c>
      <c r="R1481" t="s">
        <v>918</v>
      </c>
      <c r="S1481">
        <v>37</v>
      </c>
      <c r="T1481" s="29" t="str">
        <f>HYPERLINK("https://ictv.global/ictv/proposals/2021.010B.R.Binomial_names.zip","2021.010B.R.Binomial_names.zip")</f>
        <v>2021.010B.R.Binomial_names.zip</v>
      </c>
      <c r="U1481" s="29" t="str">
        <f>HYPERLINK("https://ictv.global/taxonomy/taxondetails?taxnode_id=202306969","ictv.global=202306969")</f>
        <v>ictv.global=202306969</v>
      </c>
    </row>
    <row r="1482" spans="1:21">
      <c r="A1482">
        <v>1481</v>
      </c>
      <c r="B1482" s="30" t="s">
        <v>1587</v>
      </c>
      <c r="D1482" s="30" t="s">
        <v>1588</v>
      </c>
      <c r="F1482" s="30" t="s">
        <v>1591</v>
      </c>
      <c r="H1482" s="30" t="s">
        <v>1592</v>
      </c>
      <c r="L1482" s="30" t="s">
        <v>1316</v>
      </c>
      <c r="M1482" s="30" t="s">
        <v>1319</v>
      </c>
      <c r="N1482" s="30" t="s">
        <v>1320</v>
      </c>
      <c r="P1482" s="30" t="s">
        <v>12064</v>
      </c>
      <c r="Q1482" t="s">
        <v>619</v>
      </c>
      <c r="R1482" t="s">
        <v>917</v>
      </c>
      <c r="S1482">
        <v>39</v>
      </c>
      <c r="T1482" s="29" t="str">
        <f t="shared" ref="T1482:T1492" si="64">HYPERLINK("https://ictv.global/ictv/proposals/2023.012B.Brockvirinae_28ns.zip","2023.012B.Brockvirinae_28ns.zip")</f>
        <v>2023.012B.Brockvirinae_28ns.zip</v>
      </c>
      <c r="U1482" s="29" t="str">
        <f>HYPERLINK("https://ictv.global/taxonomy/taxondetails?taxnode_id=202318056","ictv.global=202318056")</f>
        <v>ictv.global=202318056</v>
      </c>
    </row>
    <row r="1483" spans="1:21">
      <c r="A1483">
        <v>1482</v>
      </c>
      <c r="B1483" s="30" t="s">
        <v>1587</v>
      </c>
      <c r="D1483" s="30" t="s">
        <v>1588</v>
      </c>
      <c r="F1483" s="30" t="s">
        <v>1591</v>
      </c>
      <c r="H1483" s="30" t="s">
        <v>1592</v>
      </c>
      <c r="L1483" s="30" t="s">
        <v>1316</v>
      </c>
      <c r="M1483" s="30" t="s">
        <v>1319</v>
      </c>
      <c r="N1483" s="30" t="s">
        <v>1320</v>
      </c>
      <c r="P1483" s="30" t="s">
        <v>12065</v>
      </c>
      <c r="Q1483" t="s">
        <v>619</v>
      </c>
      <c r="R1483" t="s">
        <v>917</v>
      </c>
      <c r="S1483">
        <v>39</v>
      </c>
      <c r="T1483" s="29" t="str">
        <f t="shared" si="64"/>
        <v>2023.012B.Brockvirinae_28ns.zip</v>
      </c>
      <c r="U1483" s="29" t="str">
        <f>HYPERLINK("https://ictv.global/taxonomy/taxondetails?taxnode_id=202318048","ictv.global=202318048")</f>
        <v>ictv.global=202318048</v>
      </c>
    </row>
    <row r="1484" spans="1:21">
      <c r="A1484">
        <v>1483</v>
      </c>
      <c r="B1484" s="30" t="s">
        <v>1587</v>
      </c>
      <c r="D1484" s="30" t="s">
        <v>1588</v>
      </c>
      <c r="F1484" s="30" t="s">
        <v>1591</v>
      </c>
      <c r="H1484" s="30" t="s">
        <v>1592</v>
      </c>
      <c r="L1484" s="30" t="s">
        <v>1316</v>
      </c>
      <c r="M1484" s="30" t="s">
        <v>1319</v>
      </c>
      <c r="N1484" s="30" t="s">
        <v>1320</v>
      </c>
      <c r="P1484" s="30" t="s">
        <v>12066</v>
      </c>
      <c r="Q1484" t="s">
        <v>619</v>
      </c>
      <c r="R1484" t="s">
        <v>917</v>
      </c>
      <c r="S1484">
        <v>39</v>
      </c>
      <c r="T1484" s="29" t="str">
        <f t="shared" si="64"/>
        <v>2023.012B.Brockvirinae_28ns.zip</v>
      </c>
      <c r="U1484" s="29" t="str">
        <f>HYPERLINK("https://ictv.global/taxonomy/taxondetails?taxnode_id=202318055","ictv.global=202318055")</f>
        <v>ictv.global=202318055</v>
      </c>
    </row>
    <row r="1485" spans="1:21">
      <c r="A1485">
        <v>1484</v>
      </c>
      <c r="B1485" s="30" t="s">
        <v>1587</v>
      </c>
      <c r="D1485" s="30" t="s">
        <v>1588</v>
      </c>
      <c r="F1485" s="30" t="s">
        <v>1591</v>
      </c>
      <c r="H1485" s="30" t="s">
        <v>1592</v>
      </c>
      <c r="L1485" s="30" t="s">
        <v>1316</v>
      </c>
      <c r="M1485" s="30" t="s">
        <v>1319</v>
      </c>
      <c r="N1485" s="30" t="s">
        <v>1320</v>
      </c>
      <c r="P1485" s="30" t="s">
        <v>12067</v>
      </c>
      <c r="Q1485" t="s">
        <v>619</v>
      </c>
      <c r="R1485" t="s">
        <v>917</v>
      </c>
      <c r="S1485">
        <v>39</v>
      </c>
      <c r="T1485" s="29" t="str">
        <f t="shared" si="64"/>
        <v>2023.012B.Brockvirinae_28ns.zip</v>
      </c>
      <c r="U1485" s="29" t="str">
        <f>HYPERLINK("https://ictv.global/taxonomy/taxondetails?taxnode_id=202318053","ictv.global=202318053")</f>
        <v>ictv.global=202318053</v>
      </c>
    </row>
    <row r="1486" spans="1:21">
      <c r="A1486">
        <v>1485</v>
      </c>
      <c r="B1486" s="30" t="s">
        <v>1587</v>
      </c>
      <c r="D1486" s="30" t="s">
        <v>1588</v>
      </c>
      <c r="F1486" s="30" t="s">
        <v>1591</v>
      </c>
      <c r="H1486" s="30" t="s">
        <v>1592</v>
      </c>
      <c r="L1486" s="30" t="s">
        <v>1316</v>
      </c>
      <c r="M1486" s="30" t="s">
        <v>1319</v>
      </c>
      <c r="N1486" s="30" t="s">
        <v>1320</v>
      </c>
      <c r="P1486" s="30" t="s">
        <v>12068</v>
      </c>
      <c r="Q1486" t="s">
        <v>619</v>
      </c>
      <c r="R1486" t="s">
        <v>917</v>
      </c>
      <c r="S1486">
        <v>39</v>
      </c>
      <c r="T1486" s="29" t="str">
        <f t="shared" si="64"/>
        <v>2023.012B.Brockvirinae_28ns.zip</v>
      </c>
      <c r="U1486" s="29" t="str">
        <f>HYPERLINK("https://ictv.global/taxonomy/taxondetails?taxnode_id=202318050","ictv.global=202318050")</f>
        <v>ictv.global=202318050</v>
      </c>
    </row>
    <row r="1487" spans="1:21">
      <c r="A1487">
        <v>1486</v>
      </c>
      <c r="B1487" s="30" t="s">
        <v>1587</v>
      </c>
      <c r="D1487" s="30" t="s">
        <v>1588</v>
      </c>
      <c r="F1487" s="30" t="s">
        <v>1591</v>
      </c>
      <c r="H1487" s="30" t="s">
        <v>1592</v>
      </c>
      <c r="L1487" s="30" t="s">
        <v>1316</v>
      </c>
      <c r="M1487" s="30" t="s">
        <v>1319</v>
      </c>
      <c r="N1487" s="30" t="s">
        <v>1772</v>
      </c>
      <c r="P1487" s="30" t="s">
        <v>12069</v>
      </c>
      <c r="Q1487" t="s">
        <v>619</v>
      </c>
      <c r="R1487" t="s">
        <v>917</v>
      </c>
      <c r="S1487">
        <v>39</v>
      </c>
      <c r="T1487" s="29" t="str">
        <f t="shared" si="64"/>
        <v>2023.012B.Brockvirinae_28ns.zip</v>
      </c>
      <c r="U1487" s="29" t="str">
        <f>HYPERLINK("https://ictv.global/taxonomy/taxondetails?taxnode_id=202318042","ictv.global=202318042")</f>
        <v>ictv.global=202318042</v>
      </c>
    </row>
    <row r="1488" spans="1:21">
      <c r="A1488">
        <v>1487</v>
      </c>
      <c r="B1488" s="30" t="s">
        <v>1587</v>
      </c>
      <c r="D1488" s="30" t="s">
        <v>1588</v>
      </c>
      <c r="F1488" s="30" t="s">
        <v>1591</v>
      </c>
      <c r="H1488" s="30" t="s">
        <v>1592</v>
      </c>
      <c r="L1488" s="30" t="s">
        <v>1316</v>
      </c>
      <c r="M1488" s="30" t="s">
        <v>1319</v>
      </c>
      <c r="N1488" s="30" t="s">
        <v>1772</v>
      </c>
      <c r="P1488" s="30" t="s">
        <v>12070</v>
      </c>
      <c r="Q1488" t="s">
        <v>619</v>
      </c>
      <c r="R1488" t="s">
        <v>917</v>
      </c>
      <c r="S1488">
        <v>39</v>
      </c>
      <c r="T1488" s="29" t="str">
        <f t="shared" si="64"/>
        <v>2023.012B.Brockvirinae_28ns.zip</v>
      </c>
      <c r="U1488" s="29" t="str">
        <f>HYPERLINK("https://ictv.global/taxonomy/taxondetails?taxnode_id=202318038","ictv.global=202318038")</f>
        <v>ictv.global=202318038</v>
      </c>
    </row>
    <row r="1489" spans="1:21">
      <c r="A1489">
        <v>1488</v>
      </c>
      <c r="B1489" s="30" t="s">
        <v>1587</v>
      </c>
      <c r="D1489" s="30" t="s">
        <v>1588</v>
      </c>
      <c r="F1489" s="30" t="s">
        <v>1591</v>
      </c>
      <c r="H1489" s="30" t="s">
        <v>1592</v>
      </c>
      <c r="L1489" s="30" t="s">
        <v>1316</v>
      </c>
      <c r="M1489" s="30" t="s">
        <v>1319</v>
      </c>
      <c r="N1489" s="30" t="s">
        <v>1772</v>
      </c>
      <c r="P1489" s="30" t="s">
        <v>12071</v>
      </c>
      <c r="Q1489" t="s">
        <v>619</v>
      </c>
      <c r="R1489" t="s">
        <v>917</v>
      </c>
      <c r="S1489">
        <v>39</v>
      </c>
      <c r="T1489" s="29" t="str">
        <f t="shared" si="64"/>
        <v>2023.012B.Brockvirinae_28ns.zip</v>
      </c>
      <c r="U1489" s="29" t="str">
        <f>HYPERLINK("https://ictv.global/taxonomy/taxondetails?taxnode_id=202318041","ictv.global=202318041")</f>
        <v>ictv.global=202318041</v>
      </c>
    </row>
    <row r="1490" spans="1:21">
      <c r="A1490">
        <v>1489</v>
      </c>
      <c r="B1490" s="30" t="s">
        <v>1587</v>
      </c>
      <c r="D1490" s="30" t="s">
        <v>1588</v>
      </c>
      <c r="F1490" s="30" t="s">
        <v>1591</v>
      </c>
      <c r="H1490" s="30" t="s">
        <v>1592</v>
      </c>
      <c r="L1490" s="30" t="s">
        <v>1316</v>
      </c>
      <c r="M1490" s="30" t="s">
        <v>1319</v>
      </c>
      <c r="N1490" s="30" t="s">
        <v>1772</v>
      </c>
      <c r="P1490" s="30" t="s">
        <v>12072</v>
      </c>
      <c r="Q1490" t="s">
        <v>619</v>
      </c>
      <c r="R1490" t="s">
        <v>917</v>
      </c>
      <c r="S1490">
        <v>39</v>
      </c>
      <c r="T1490" s="29" t="str">
        <f t="shared" si="64"/>
        <v>2023.012B.Brockvirinae_28ns.zip</v>
      </c>
      <c r="U1490" s="29" t="str">
        <f>HYPERLINK("https://ictv.global/taxonomy/taxondetails?taxnode_id=202318034","ictv.global=202318034")</f>
        <v>ictv.global=202318034</v>
      </c>
    </row>
    <row r="1491" spans="1:21">
      <c r="A1491">
        <v>1490</v>
      </c>
      <c r="B1491" s="30" t="s">
        <v>1587</v>
      </c>
      <c r="D1491" s="30" t="s">
        <v>1588</v>
      </c>
      <c r="F1491" s="30" t="s">
        <v>1591</v>
      </c>
      <c r="H1491" s="30" t="s">
        <v>1592</v>
      </c>
      <c r="L1491" s="30" t="s">
        <v>1316</v>
      </c>
      <c r="M1491" s="30" t="s">
        <v>1319</v>
      </c>
      <c r="N1491" s="30" t="s">
        <v>1772</v>
      </c>
      <c r="P1491" s="30" t="s">
        <v>12073</v>
      </c>
      <c r="Q1491" t="s">
        <v>619</v>
      </c>
      <c r="R1491" t="s">
        <v>917</v>
      </c>
      <c r="S1491">
        <v>39</v>
      </c>
      <c r="T1491" s="29" t="str">
        <f t="shared" si="64"/>
        <v>2023.012B.Brockvirinae_28ns.zip</v>
      </c>
      <c r="U1491" s="29" t="str">
        <f>HYPERLINK("https://ictv.global/taxonomy/taxondetails?taxnode_id=202318040","ictv.global=202318040")</f>
        <v>ictv.global=202318040</v>
      </c>
    </row>
    <row r="1492" spans="1:21">
      <c r="A1492">
        <v>1491</v>
      </c>
      <c r="B1492" s="30" t="s">
        <v>1587</v>
      </c>
      <c r="D1492" s="30" t="s">
        <v>1588</v>
      </c>
      <c r="F1492" s="30" t="s">
        <v>1591</v>
      </c>
      <c r="H1492" s="30" t="s">
        <v>1592</v>
      </c>
      <c r="L1492" s="30" t="s">
        <v>1316</v>
      </c>
      <c r="M1492" s="30" t="s">
        <v>1319</v>
      </c>
      <c r="N1492" s="30" t="s">
        <v>1772</v>
      </c>
      <c r="P1492" s="30" t="s">
        <v>12074</v>
      </c>
      <c r="Q1492" t="s">
        <v>619</v>
      </c>
      <c r="R1492" t="s">
        <v>917</v>
      </c>
      <c r="S1492">
        <v>39</v>
      </c>
      <c r="T1492" s="29" t="str">
        <f t="shared" si="64"/>
        <v>2023.012B.Brockvirinae_28ns.zip</v>
      </c>
      <c r="U1492" s="29" t="str">
        <f>HYPERLINK("https://ictv.global/taxonomy/taxondetails?taxnode_id=202318043","ictv.global=202318043")</f>
        <v>ictv.global=202318043</v>
      </c>
    </row>
    <row r="1493" spans="1:21">
      <c r="A1493">
        <v>1492</v>
      </c>
      <c r="B1493" s="30" t="s">
        <v>1587</v>
      </c>
      <c r="D1493" s="30" t="s">
        <v>1588</v>
      </c>
      <c r="F1493" s="30" t="s">
        <v>1591</v>
      </c>
      <c r="H1493" s="30" t="s">
        <v>1592</v>
      </c>
      <c r="L1493" s="30" t="s">
        <v>1316</v>
      </c>
      <c r="M1493" s="30" t="s">
        <v>1319</v>
      </c>
      <c r="N1493" s="30" t="s">
        <v>1772</v>
      </c>
      <c r="P1493" s="30" t="s">
        <v>5172</v>
      </c>
      <c r="Q1493" t="s">
        <v>619</v>
      </c>
      <c r="R1493" t="s">
        <v>918</v>
      </c>
      <c r="S1493">
        <v>37</v>
      </c>
      <c r="T1493" s="29" t="str">
        <f>HYPERLINK("https://ictv.global/ictv/proposals/2021.010B.R.Binomial_names.zip","2021.010B.R.Binomial_names.zip")</f>
        <v>2021.010B.R.Binomial_names.zip</v>
      </c>
      <c r="U1493" s="29" t="str">
        <f>HYPERLINK("https://ictv.global/taxonomy/taxondetails?taxnode_id=202306970","ictv.global=202306970")</f>
        <v>ictv.global=202306970</v>
      </c>
    </row>
    <row r="1494" spans="1:21">
      <c r="A1494">
        <v>1493</v>
      </c>
      <c r="B1494" s="30" t="s">
        <v>1587</v>
      </c>
      <c r="D1494" s="30" t="s">
        <v>1588</v>
      </c>
      <c r="F1494" s="30" t="s">
        <v>1591</v>
      </c>
      <c r="H1494" s="30" t="s">
        <v>1592</v>
      </c>
      <c r="L1494" s="30" t="s">
        <v>1316</v>
      </c>
      <c r="M1494" s="30" t="s">
        <v>1319</v>
      </c>
      <c r="N1494" s="30" t="s">
        <v>1772</v>
      </c>
      <c r="P1494" s="30" t="s">
        <v>12075</v>
      </c>
      <c r="Q1494" t="s">
        <v>619</v>
      </c>
      <c r="R1494" t="s">
        <v>917</v>
      </c>
      <c r="S1494">
        <v>39</v>
      </c>
      <c r="T1494" s="29" t="str">
        <f>HYPERLINK("https://ictv.global/ictv/proposals/2023.012B.Brockvirinae_28ns.zip","2023.012B.Brockvirinae_28ns.zip")</f>
        <v>2023.012B.Brockvirinae_28ns.zip</v>
      </c>
      <c r="U1494" s="29" t="str">
        <f>HYPERLINK("https://ictv.global/taxonomy/taxondetails?taxnode_id=202318037","ictv.global=202318037")</f>
        <v>ictv.global=202318037</v>
      </c>
    </row>
    <row r="1495" spans="1:21">
      <c r="A1495">
        <v>1494</v>
      </c>
      <c r="B1495" s="30" t="s">
        <v>1587</v>
      </c>
      <c r="D1495" s="30" t="s">
        <v>1588</v>
      </c>
      <c r="F1495" s="30" t="s">
        <v>1591</v>
      </c>
      <c r="H1495" s="30" t="s">
        <v>1592</v>
      </c>
      <c r="L1495" s="30" t="s">
        <v>1316</v>
      </c>
      <c r="M1495" s="30" t="s">
        <v>1319</v>
      </c>
      <c r="N1495" s="30" t="s">
        <v>1772</v>
      </c>
      <c r="P1495" s="30" t="s">
        <v>5173</v>
      </c>
      <c r="Q1495" t="s">
        <v>619</v>
      </c>
      <c r="R1495" t="s">
        <v>918</v>
      </c>
      <c r="S1495">
        <v>37</v>
      </c>
      <c r="T1495" s="29" t="str">
        <f>HYPERLINK("https://ictv.global/ictv/proposals/2021.010B.R.Binomial_names.zip","2021.010B.R.Binomial_names.zip")</f>
        <v>2021.010B.R.Binomial_names.zip</v>
      </c>
      <c r="U1495" s="29" t="str">
        <f>HYPERLINK("https://ictv.global/taxonomy/taxondetails?taxnode_id=202307662","ictv.global=202307662")</f>
        <v>ictv.global=202307662</v>
      </c>
    </row>
    <row r="1496" spans="1:21">
      <c r="A1496">
        <v>1495</v>
      </c>
      <c r="B1496" s="30" t="s">
        <v>1587</v>
      </c>
      <c r="D1496" s="30" t="s">
        <v>1588</v>
      </c>
      <c r="F1496" s="30" t="s">
        <v>1591</v>
      </c>
      <c r="H1496" s="30" t="s">
        <v>1592</v>
      </c>
      <c r="L1496" s="30" t="s">
        <v>1316</v>
      </c>
      <c r="M1496" s="30" t="s">
        <v>1319</v>
      </c>
      <c r="N1496" s="30" t="s">
        <v>1772</v>
      </c>
      <c r="P1496" s="30" t="s">
        <v>12076</v>
      </c>
      <c r="Q1496" t="s">
        <v>619</v>
      </c>
      <c r="R1496" t="s">
        <v>917</v>
      </c>
      <c r="S1496">
        <v>39</v>
      </c>
      <c r="T1496" s="29" t="str">
        <f>HYPERLINK("https://ictv.global/ictv/proposals/2023.012B.Brockvirinae_28ns.zip","2023.012B.Brockvirinae_28ns.zip")</f>
        <v>2023.012B.Brockvirinae_28ns.zip</v>
      </c>
      <c r="U1496" s="29" t="str">
        <f>HYPERLINK("https://ictv.global/taxonomy/taxondetails?taxnode_id=202318031","ictv.global=202318031")</f>
        <v>ictv.global=202318031</v>
      </c>
    </row>
    <row r="1497" spans="1:21">
      <c r="A1497">
        <v>1496</v>
      </c>
      <c r="B1497" s="30" t="s">
        <v>1587</v>
      </c>
      <c r="D1497" s="30" t="s">
        <v>1588</v>
      </c>
      <c r="F1497" s="30" t="s">
        <v>1591</v>
      </c>
      <c r="H1497" s="30" t="s">
        <v>1592</v>
      </c>
      <c r="L1497" s="30" t="s">
        <v>1316</v>
      </c>
      <c r="M1497" s="30" t="s">
        <v>1319</v>
      </c>
      <c r="N1497" s="30" t="s">
        <v>1772</v>
      </c>
      <c r="P1497" s="30" t="s">
        <v>5174</v>
      </c>
      <c r="Q1497" t="s">
        <v>619</v>
      </c>
      <c r="R1497" t="s">
        <v>918</v>
      </c>
      <c r="S1497">
        <v>37</v>
      </c>
      <c r="T1497" s="29" t="str">
        <f>HYPERLINK("https://ictv.global/ictv/proposals/2021.010B.R.Binomial_names.zip","2021.010B.R.Binomial_names.zip")</f>
        <v>2021.010B.R.Binomial_names.zip</v>
      </c>
      <c r="U1497" s="29" t="str">
        <f>HYPERLINK("https://ictv.global/taxonomy/taxondetails?taxnode_id=202307661","ictv.global=202307661")</f>
        <v>ictv.global=202307661</v>
      </c>
    </row>
    <row r="1498" spans="1:21">
      <c r="A1498">
        <v>1497</v>
      </c>
      <c r="B1498" s="30" t="s">
        <v>1587</v>
      </c>
      <c r="D1498" s="30" t="s">
        <v>1588</v>
      </c>
      <c r="F1498" s="30" t="s">
        <v>1591</v>
      </c>
      <c r="H1498" s="30" t="s">
        <v>1592</v>
      </c>
      <c r="L1498" s="30" t="s">
        <v>1316</v>
      </c>
      <c r="M1498" s="30" t="s">
        <v>1319</v>
      </c>
      <c r="N1498" s="30" t="s">
        <v>1772</v>
      </c>
      <c r="P1498" s="30" t="s">
        <v>12077</v>
      </c>
      <c r="Q1498" t="s">
        <v>619</v>
      </c>
      <c r="R1498" t="s">
        <v>917</v>
      </c>
      <c r="S1498">
        <v>39</v>
      </c>
      <c r="T1498" s="29" t="str">
        <f t="shared" ref="T1498:T1506" si="65">HYPERLINK("https://ictv.global/ictv/proposals/2023.012B.Brockvirinae_28ns.zip","2023.012B.Brockvirinae_28ns.zip")</f>
        <v>2023.012B.Brockvirinae_28ns.zip</v>
      </c>
      <c r="U1498" s="29" t="str">
        <f>HYPERLINK("https://ictv.global/taxonomy/taxondetails?taxnode_id=202318035","ictv.global=202318035")</f>
        <v>ictv.global=202318035</v>
      </c>
    </row>
    <row r="1499" spans="1:21">
      <c r="A1499">
        <v>1498</v>
      </c>
      <c r="B1499" s="30" t="s">
        <v>1587</v>
      </c>
      <c r="D1499" s="30" t="s">
        <v>1588</v>
      </c>
      <c r="F1499" s="30" t="s">
        <v>1591</v>
      </c>
      <c r="H1499" s="30" t="s">
        <v>1592</v>
      </c>
      <c r="L1499" s="30" t="s">
        <v>1316</v>
      </c>
      <c r="M1499" s="30" t="s">
        <v>1319</v>
      </c>
      <c r="N1499" s="30" t="s">
        <v>1772</v>
      </c>
      <c r="P1499" s="30" t="s">
        <v>12078</v>
      </c>
      <c r="Q1499" t="s">
        <v>619</v>
      </c>
      <c r="R1499" t="s">
        <v>917</v>
      </c>
      <c r="S1499">
        <v>39</v>
      </c>
      <c r="T1499" s="29" t="str">
        <f t="shared" si="65"/>
        <v>2023.012B.Brockvirinae_28ns.zip</v>
      </c>
      <c r="U1499" s="29" t="str">
        <f>HYPERLINK("https://ictv.global/taxonomy/taxondetails?taxnode_id=202318046","ictv.global=202318046")</f>
        <v>ictv.global=202318046</v>
      </c>
    </row>
    <row r="1500" spans="1:21">
      <c r="A1500">
        <v>1499</v>
      </c>
      <c r="B1500" s="30" t="s">
        <v>1587</v>
      </c>
      <c r="D1500" s="30" t="s">
        <v>1588</v>
      </c>
      <c r="F1500" s="30" t="s">
        <v>1591</v>
      </c>
      <c r="H1500" s="30" t="s">
        <v>1592</v>
      </c>
      <c r="L1500" s="30" t="s">
        <v>1316</v>
      </c>
      <c r="M1500" s="30" t="s">
        <v>1319</v>
      </c>
      <c r="N1500" s="30" t="s">
        <v>1772</v>
      </c>
      <c r="P1500" s="30" t="s">
        <v>12079</v>
      </c>
      <c r="Q1500" t="s">
        <v>619</v>
      </c>
      <c r="R1500" t="s">
        <v>917</v>
      </c>
      <c r="S1500">
        <v>39</v>
      </c>
      <c r="T1500" s="29" t="str">
        <f t="shared" si="65"/>
        <v>2023.012B.Brockvirinae_28ns.zip</v>
      </c>
      <c r="U1500" s="29" t="str">
        <f>HYPERLINK("https://ictv.global/taxonomy/taxondetails?taxnode_id=202318036","ictv.global=202318036")</f>
        <v>ictv.global=202318036</v>
      </c>
    </row>
    <row r="1501" spans="1:21">
      <c r="A1501">
        <v>1500</v>
      </c>
      <c r="B1501" s="30" t="s">
        <v>1587</v>
      </c>
      <c r="D1501" s="30" t="s">
        <v>1588</v>
      </c>
      <c r="F1501" s="30" t="s">
        <v>1591</v>
      </c>
      <c r="H1501" s="30" t="s">
        <v>1592</v>
      </c>
      <c r="L1501" s="30" t="s">
        <v>1316</v>
      </c>
      <c r="M1501" s="30" t="s">
        <v>1319</v>
      </c>
      <c r="N1501" s="30" t="s">
        <v>1772</v>
      </c>
      <c r="P1501" s="30" t="s">
        <v>12080</v>
      </c>
      <c r="Q1501" t="s">
        <v>619</v>
      </c>
      <c r="R1501" t="s">
        <v>917</v>
      </c>
      <c r="S1501">
        <v>39</v>
      </c>
      <c r="T1501" s="29" t="str">
        <f t="shared" si="65"/>
        <v>2023.012B.Brockvirinae_28ns.zip</v>
      </c>
      <c r="U1501" s="29" t="str">
        <f>HYPERLINK("https://ictv.global/taxonomy/taxondetails?taxnode_id=202318044","ictv.global=202318044")</f>
        <v>ictv.global=202318044</v>
      </c>
    </row>
    <row r="1502" spans="1:21">
      <c r="A1502">
        <v>1501</v>
      </c>
      <c r="B1502" s="30" t="s">
        <v>1587</v>
      </c>
      <c r="D1502" s="30" t="s">
        <v>1588</v>
      </c>
      <c r="F1502" s="30" t="s">
        <v>1591</v>
      </c>
      <c r="H1502" s="30" t="s">
        <v>1592</v>
      </c>
      <c r="L1502" s="30" t="s">
        <v>1316</v>
      </c>
      <c r="M1502" s="30" t="s">
        <v>1319</v>
      </c>
      <c r="N1502" s="30" t="s">
        <v>1772</v>
      </c>
      <c r="P1502" s="30" t="s">
        <v>12081</v>
      </c>
      <c r="Q1502" t="s">
        <v>619</v>
      </c>
      <c r="R1502" t="s">
        <v>917</v>
      </c>
      <c r="S1502">
        <v>39</v>
      </c>
      <c r="T1502" s="29" t="str">
        <f t="shared" si="65"/>
        <v>2023.012B.Brockvirinae_28ns.zip</v>
      </c>
      <c r="U1502" s="29" t="str">
        <f>HYPERLINK("https://ictv.global/taxonomy/taxondetails?taxnode_id=202318032","ictv.global=202318032")</f>
        <v>ictv.global=202318032</v>
      </c>
    </row>
    <row r="1503" spans="1:21">
      <c r="A1503">
        <v>1502</v>
      </c>
      <c r="B1503" s="30" t="s">
        <v>1587</v>
      </c>
      <c r="D1503" s="30" t="s">
        <v>1588</v>
      </c>
      <c r="F1503" s="30" t="s">
        <v>1591</v>
      </c>
      <c r="H1503" s="30" t="s">
        <v>1592</v>
      </c>
      <c r="L1503" s="30" t="s">
        <v>1316</v>
      </c>
      <c r="M1503" s="30" t="s">
        <v>1319</v>
      </c>
      <c r="N1503" s="30" t="s">
        <v>1772</v>
      </c>
      <c r="P1503" s="30" t="s">
        <v>12082</v>
      </c>
      <c r="Q1503" t="s">
        <v>619</v>
      </c>
      <c r="R1503" t="s">
        <v>917</v>
      </c>
      <c r="S1503">
        <v>39</v>
      </c>
      <c r="T1503" s="29" t="str">
        <f t="shared" si="65"/>
        <v>2023.012B.Brockvirinae_28ns.zip</v>
      </c>
      <c r="U1503" s="29" t="str">
        <f>HYPERLINK("https://ictv.global/taxonomy/taxondetails?taxnode_id=202318045","ictv.global=202318045")</f>
        <v>ictv.global=202318045</v>
      </c>
    </row>
    <row r="1504" spans="1:21">
      <c r="A1504">
        <v>1503</v>
      </c>
      <c r="B1504" s="30" t="s">
        <v>1587</v>
      </c>
      <c r="D1504" s="30" t="s">
        <v>1588</v>
      </c>
      <c r="F1504" s="30" t="s">
        <v>1591</v>
      </c>
      <c r="H1504" s="30" t="s">
        <v>1592</v>
      </c>
      <c r="L1504" s="30" t="s">
        <v>1316</v>
      </c>
      <c r="M1504" s="30" t="s">
        <v>1319</v>
      </c>
      <c r="N1504" s="30" t="s">
        <v>1772</v>
      </c>
      <c r="P1504" s="30" t="s">
        <v>12083</v>
      </c>
      <c r="Q1504" t="s">
        <v>619</v>
      </c>
      <c r="R1504" t="s">
        <v>917</v>
      </c>
      <c r="S1504">
        <v>39</v>
      </c>
      <c r="T1504" s="29" t="str">
        <f t="shared" si="65"/>
        <v>2023.012B.Brockvirinae_28ns.zip</v>
      </c>
      <c r="U1504" s="29" t="str">
        <f>HYPERLINK("https://ictv.global/taxonomy/taxondetails?taxnode_id=202318047","ictv.global=202318047")</f>
        <v>ictv.global=202318047</v>
      </c>
    </row>
    <row r="1505" spans="1:21">
      <c r="A1505">
        <v>1504</v>
      </c>
      <c r="B1505" s="30" t="s">
        <v>1587</v>
      </c>
      <c r="D1505" s="30" t="s">
        <v>1588</v>
      </c>
      <c r="F1505" s="30" t="s">
        <v>1591</v>
      </c>
      <c r="H1505" s="30" t="s">
        <v>1592</v>
      </c>
      <c r="L1505" s="30" t="s">
        <v>1316</v>
      </c>
      <c r="M1505" s="30" t="s">
        <v>1319</v>
      </c>
      <c r="N1505" s="30" t="s">
        <v>1772</v>
      </c>
      <c r="P1505" s="30" t="s">
        <v>12084</v>
      </c>
      <c r="Q1505" t="s">
        <v>619</v>
      </c>
      <c r="R1505" t="s">
        <v>917</v>
      </c>
      <c r="S1505">
        <v>39</v>
      </c>
      <c r="T1505" s="29" t="str">
        <f t="shared" si="65"/>
        <v>2023.012B.Brockvirinae_28ns.zip</v>
      </c>
      <c r="U1505" s="29" t="str">
        <f>HYPERLINK("https://ictv.global/taxonomy/taxondetails?taxnode_id=202318033","ictv.global=202318033")</f>
        <v>ictv.global=202318033</v>
      </c>
    </row>
    <row r="1506" spans="1:21">
      <c r="A1506">
        <v>1505</v>
      </c>
      <c r="B1506" s="30" t="s">
        <v>1587</v>
      </c>
      <c r="D1506" s="30" t="s">
        <v>1588</v>
      </c>
      <c r="F1506" s="30" t="s">
        <v>1591</v>
      </c>
      <c r="H1506" s="30" t="s">
        <v>1592</v>
      </c>
      <c r="L1506" s="30" t="s">
        <v>1316</v>
      </c>
      <c r="M1506" s="30" t="s">
        <v>1319</v>
      </c>
      <c r="N1506" s="30" t="s">
        <v>1772</v>
      </c>
      <c r="P1506" s="30" t="s">
        <v>12085</v>
      </c>
      <c r="Q1506" t="s">
        <v>619</v>
      </c>
      <c r="R1506" t="s">
        <v>917</v>
      </c>
      <c r="S1506">
        <v>39</v>
      </c>
      <c r="T1506" s="29" t="str">
        <f t="shared" si="65"/>
        <v>2023.012B.Brockvirinae_28ns.zip</v>
      </c>
      <c r="U1506" s="29" t="str">
        <f>HYPERLINK("https://ictv.global/taxonomy/taxondetails?taxnode_id=202318039","ictv.global=202318039")</f>
        <v>ictv.global=202318039</v>
      </c>
    </row>
    <row r="1507" spans="1:21">
      <c r="A1507">
        <v>1506</v>
      </c>
      <c r="B1507" s="30" t="s">
        <v>1587</v>
      </c>
      <c r="D1507" s="30" t="s">
        <v>1588</v>
      </c>
      <c r="F1507" s="30" t="s">
        <v>1591</v>
      </c>
      <c r="H1507" s="30" t="s">
        <v>1592</v>
      </c>
      <c r="L1507" s="30" t="s">
        <v>1316</v>
      </c>
      <c r="M1507" s="30" t="s">
        <v>12086</v>
      </c>
      <c r="N1507" s="30" t="s">
        <v>1321</v>
      </c>
      <c r="P1507" s="30" t="s">
        <v>5175</v>
      </c>
      <c r="Q1507" t="s">
        <v>619</v>
      </c>
      <c r="R1507" t="s">
        <v>920</v>
      </c>
      <c r="S1507">
        <v>39</v>
      </c>
      <c r="T1507" s="29" t="str">
        <f t="shared" ref="T1507:T1516" si="66">HYPERLINK("https://ictv.global/ictv/proposals/2023.024B.Error_correction_JasinSkavirinae.zip","2023.024B.Error_correction_JasinSkavirinae.zip")</f>
        <v>2023.024B.Error_correction_JasinSkavirinae.zip</v>
      </c>
      <c r="U1507" s="29" t="str">
        <f>HYPERLINK("https://ictv.global/taxonomy/taxondetails?taxnode_id=202300260","ictv.global=202300260")</f>
        <v>ictv.global=202300260</v>
      </c>
    </row>
    <row r="1508" spans="1:21">
      <c r="A1508">
        <v>1507</v>
      </c>
      <c r="B1508" s="30" t="s">
        <v>1587</v>
      </c>
      <c r="D1508" s="30" t="s">
        <v>1588</v>
      </c>
      <c r="F1508" s="30" t="s">
        <v>1591</v>
      </c>
      <c r="H1508" s="30" t="s">
        <v>1592</v>
      </c>
      <c r="L1508" s="30" t="s">
        <v>1316</v>
      </c>
      <c r="M1508" s="30" t="s">
        <v>12086</v>
      </c>
      <c r="N1508" s="30" t="s">
        <v>1321</v>
      </c>
      <c r="P1508" s="30" t="s">
        <v>5176</v>
      </c>
      <c r="Q1508" t="s">
        <v>619</v>
      </c>
      <c r="R1508" t="s">
        <v>920</v>
      </c>
      <c r="S1508">
        <v>39</v>
      </c>
      <c r="T1508" s="29" t="str">
        <f t="shared" si="66"/>
        <v>2023.024B.Error_correction_JasinSkavirinae.zip</v>
      </c>
      <c r="U1508" s="29" t="str">
        <f>HYPERLINK("https://ictv.global/taxonomy/taxondetails?taxnode_id=202306979","ictv.global=202306979")</f>
        <v>ictv.global=202306979</v>
      </c>
    </row>
    <row r="1509" spans="1:21">
      <c r="A1509">
        <v>1508</v>
      </c>
      <c r="B1509" s="30" t="s">
        <v>1587</v>
      </c>
      <c r="D1509" s="30" t="s">
        <v>1588</v>
      </c>
      <c r="F1509" s="30" t="s">
        <v>1591</v>
      </c>
      <c r="H1509" s="30" t="s">
        <v>1592</v>
      </c>
      <c r="L1509" s="30" t="s">
        <v>1316</v>
      </c>
      <c r="M1509" s="30" t="s">
        <v>12086</v>
      </c>
      <c r="N1509" s="30" t="s">
        <v>1321</v>
      </c>
      <c r="P1509" s="30" t="s">
        <v>5177</v>
      </c>
      <c r="Q1509" t="s">
        <v>619</v>
      </c>
      <c r="R1509" t="s">
        <v>920</v>
      </c>
      <c r="S1509">
        <v>39</v>
      </c>
      <c r="T1509" s="29" t="str">
        <f t="shared" si="66"/>
        <v>2023.024B.Error_correction_JasinSkavirinae.zip</v>
      </c>
      <c r="U1509" s="29" t="str">
        <f>HYPERLINK("https://ictv.global/taxonomy/taxondetails?taxnode_id=202306972","ictv.global=202306972")</f>
        <v>ictv.global=202306972</v>
      </c>
    </row>
    <row r="1510" spans="1:21">
      <c r="A1510">
        <v>1509</v>
      </c>
      <c r="B1510" s="30" t="s">
        <v>1587</v>
      </c>
      <c r="D1510" s="30" t="s">
        <v>1588</v>
      </c>
      <c r="F1510" s="30" t="s">
        <v>1591</v>
      </c>
      <c r="H1510" s="30" t="s">
        <v>1592</v>
      </c>
      <c r="L1510" s="30" t="s">
        <v>1316</v>
      </c>
      <c r="M1510" s="30" t="s">
        <v>12086</v>
      </c>
      <c r="N1510" s="30" t="s">
        <v>1321</v>
      </c>
      <c r="P1510" s="30" t="s">
        <v>5178</v>
      </c>
      <c r="Q1510" t="s">
        <v>619</v>
      </c>
      <c r="R1510" t="s">
        <v>920</v>
      </c>
      <c r="S1510">
        <v>39</v>
      </c>
      <c r="T1510" s="29" t="str">
        <f t="shared" si="66"/>
        <v>2023.024B.Error_correction_JasinSkavirinae.zip</v>
      </c>
      <c r="U1510" s="29" t="str">
        <f>HYPERLINK("https://ictv.global/taxonomy/taxondetails?taxnode_id=202306973","ictv.global=202306973")</f>
        <v>ictv.global=202306973</v>
      </c>
    </row>
    <row r="1511" spans="1:21">
      <c r="A1511">
        <v>1510</v>
      </c>
      <c r="B1511" s="30" t="s">
        <v>1587</v>
      </c>
      <c r="D1511" s="30" t="s">
        <v>1588</v>
      </c>
      <c r="F1511" s="30" t="s">
        <v>1591</v>
      </c>
      <c r="H1511" s="30" t="s">
        <v>1592</v>
      </c>
      <c r="L1511" s="30" t="s">
        <v>1316</v>
      </c>
      <c r="M1511" s="30" t="s">
        <v>12086</v>
      </c>
      <c r="N1511" s="30" t="s">
        <v>1321</v>
      </c>
      <c r="P1511" s="30" t="s">
        <v>5179</v>
      </c>
      <c r="Q1511" t="s">
        <v>619</v>
      </c>
      <c r="R1511" t="s">
        <v>920</v>
      </c>
      <c r="S1511">
        <v>39</v>
      </c>
      <c r="T1511" s="29" t="str">
        <f t="shared" si="66"/>
        <v>2023.024B.Error_correction_JasinSkavirinae.zip</v>
      </c>
      <c r="U1511" s="29" t="str">
        <f>HYPERLINK("https://ictv.global/taxonomy/taxondetails?taxnode_id=202306975","ictv.global=202306975")</f>
        <v>ictv.global=202306975</v>
      </c>
    </row>
    <row r="1512" spans="1:21">
      <c r="A1512">
        <v>1511</v>
      </c>
      <c r="B1512" s="30" t="s">
        <v>1587</v>
      </c>
      <c r="D1512" s="30" t="s">
        <v>1588</v>
      </c>
      <c r="F1512" s="30" t="s">
        <v>1591</v>
      </c>
      <c r="H1512" s="30" t="s">
        <v>1592</v>
      </c>
      <c r="L1512" s="30" t="s">
        <v>1316</v>
      </c>
      <c r="M1512" s="30" t="s">
        <v>12086</v>
      </c>
      <c r="N1512" s="30" t="s">
        <v>1321</v>
      </c>
      <c r="P1512" s="30" t="s">
        <v>5180</v>
      </c>
      <c r="Q1512" t="s">
        <v>619</v>
      </c>
      <c r="R1512" t="s">
        <v>920</v>
      </c>
      <c r="S1512">
        <v>39</v>
      </c>
      <c r="T1512" s="29" t="str">
        <f t="shared" si="66"/>
        <v>2023.024B.Error_correction_JasinSkavirinae.zip</v>
      </c>
      <c r="U1512" s="29" t="str">
        <f>HYPERLINK("https://ictv.global/taxonomy/taxondetails?taxnode_id=202306974","ictv.global=202306974")</f>
        <v>ictv.global=202306974</v>
      </c>
    </row>
    <row r="1513" spans="1:21">
      <c r="A1513">
        <v>1512</v>
      </c>
      <c r="B1513" s="30" t="s">
        <v>1587</v>
      </c>
      <c r="D1513" s="30" t="s">
        <v>1588</v>
      </c>
      <c r="F1513" s="30" t="s">
        <v>1591</v>
      </c>
      <c r="H1513" s="30" t="s">
        <v>1592</v>
      </c>
      <c r="L1513" s="30" t="s">
        <v>1316</v>
      </c>
      <c r="M1513" s="30" t="s">
        <v>12086</v>
      </c>
      <c r="N1513" s="30" t="s">
        <v>1321</v>
      </c>
      <c r="P1513" s="30" t="s">
        <v>5181</v>
      </c>
      <c r="Q1513" t="s">
        <v>619</v>
      </c>
      <c r="R1513" t="s">
        <v>920</v>
      </c>
      <c r="S1513">
        <v>39</v>
      </c>
      <c r="T1513" s="29" t="str">
        <f t="shared" si="66"/>
        <v>2023.024B.Error_correction_JasinSkavirinae.zip</v>
      </c>
      <c r="U1513" s="29" t="str">
        <f>HYPERLINK("https://ictv.global/taxonomy/taxondetails?taxnode_id=202306976","ictv.global=202306976")</f>
        <v>ictv.global=202306976</v>
      </c>
    </row>
    <row r="1514" spans="1:21">
      <c r="A1514">
        <v>1513</v>
      </c>
      <c r="B1514" s="30" t="s">
        <v>1587</v>
      </c>
      <c r="D1514" s="30" t="s">
        <v>1588</v>
      </c>
      <c r="F1514" s="30" t="s">
        <v>1591</v>
      </c>
      <c r="H1514" s="30" t="s">
        <v>1592</v>
      </c>
      <c r="L1514" s="30" t="s">
        <v>1316</v>
      </c>
      <c r="M1514" s="30" t="s">
        <v>12086</v>
      </c>
      <c r="N1514" s="30" t="s">
        <v>1321</v>
      </c>
      <c r="P1514" s="30" t="s">
        <v>5182</v>
      </c>
      <c r="Q1514" t="s">
        <v>619</v>
      </c>
      <c r="R1514" t="s">
        <v>920</v>
      </c>
      <c r="S1514">
        <v>39</v>
      </c>
      <c r="T1514" s="29" t="str">
        <f t="shared" si="66"/>
        <v>2023.024B.Error_correction_JasinSkavirinae.zip</v>
      </c>
      <c r="U1514" s="29" t="str">
        <f>HYPERLINK("https://ictv.global/taxonomy/taxondetails?taxnode_id=202306977","ictv.global=202306977")</f>
        <v>ictv.global=202306977</v>
      </c>
    </row>
    <row r="1515" spans="1:21">
      <c r="A1515">
        <v>1514</v>
      </c>
      <c r="B1515" s="30" t="s">
        <v>1587</v>
      </c>
      <c r="D1515" s="30" t="s">
        <v>1588</v>
      </c>
      <c r="F1515" s="30" t="s">
        <v>1591</v>
      </c>
      <c r="H1515" s="30" t="s">
        <v>1592</v>
      </c>
      <c r="L1515" s="30" t="s">
        <v>1316</v>
      </c>
      <c r="M1515" s="30" t="s">
        <v>12086</v>
      </c>
      <c r="N1515" s="30" t="s">
        <v>1321</v>
      </c>
      <c r="P1515" s="30" t="s">
        <v>5183</v>
      </c>
      <c r="Q1515" t="s">
        <v>619</v>
      </c>
      <c r="R1515" t="s">
        <v>920</v>
      </c>
      <c r="S1515">
        <v>39</v>
      </c>
      <c r="T1515" s="29" t="str">
        <f t="shared" si="66"/>
        <v>2023.024B.Error_correction_JasinSkavirinae.zip</v>
      </c>
      <c r="U1515" s="29" t="str">
        <f>HYPERLINK("https://ictv.global/taxonomy/taxondetails?taxnode_id=202306978","ictv.global=202306978")</f>
        <v>ictv.global=202306978</v>
      </c>
    </row>
    <row r="1516" spans="1:21">
      <c r="A1516">
        <v>1515</v>
      </c>
      <c r="B1516" s="30" t="s">
        <v>1587</v>
      </c>
      <c r="D1516" s="30" t="s">
        <v>1588</v>
      </c>
      <c r="F1516" s="30" t="s">
        <v>1591</v>
      </c>
      <c r="H1516" s="30" t="s">
        <v>1592</v>
      </c>
      <c r="L1516" s="30" t="s">
        <v>1316</v>
      </c>
      <c r="M1516" s="30" t="s">
        <v>12086</v>
      </c>
      <c r="N1516" s="30" t="s">
        <v>1321</v>
      </c>
      <c r="P1516" s="30" t="s">
        <v>5184</v>
      </c>
      <c r="Q1516" t="s">
        <v>619</v>
      </c>
      <c r="R1516" t="s">
        <v>920</v>
      </c>
      <c r="S1516">
        <v>39</v>
      </c>
      <c r="T1516" s="29" t="str">
        <f t="shared" si="66"/>
        <v>2023.024B.Error_correction_JasinSkavirinae.zip</v>
      </c>
      <c r="U1516" s="29" t="str">
        <f>HYPERLINK("https://ictv.global/taxonomy/taxondetails?taxnode_id=202300261","ictv.global=202300261")</f>
        <v>ictv.global=202300261</v>
      </c>
    </row>
    <row r="1517" spans="1:21">
      <c r="A1517">
        <v>1516</v>
      </c>
      <c r="B1517" s="30" t="s">
        <v>1587</v>
      </c>
      <c r="D1517" s="30" t="s">
        <v>1588</v>
      </c>
      <c r="F1517" s="30" t="s">
        <v>1591</v>
      </c>
      <c r="H1517" s="30" t="s">
        <v>1592</v>
      </c>
      <c r="L1517" s="30" t="s">
        <v>1316</v>
      </c>
      <c r="M1517" s="30" t="s">
        <v>350</v>
      </c>
      <c r="N1517" s="30" t="s">
        <v>1322</v>
      </c>
      <c r="P1517" s="30" t="s">
        <v>5185</v>
      </c>
      <c r="Q1517" t="s">
        <v>619</v>
      </c>
      <c r="R1517" t="s">
        <v>918</v>
      </c>
      <c r="S1517">
        <v>37</v>
      </c>
      <c r="T1517" s="29" t="str">
        <f t="shared" ref="T1517:T1548" si="67">HYPERLINK("https://ictv.global/ictv/proposals/2021.010B.R.Binomial_names.zip","2021.010B.R.Binomial_names.zip")</f>
        <v>2021.010B.R.Binomial_names.zip</v>
      </c>
      <c r="U1517" s="29" t="str">
        <f>HYPERLINK("https://ictv.global/taxonomy/taxondetails?taxnode_id=202300267","ictv.global=202300267")</f>
        <v>ictv.global=202300267</v>
      </c>
    </row>
    <row r="1518" spans="1:21">
      <c r="A1518">
        <v>1517</v>
      </c>
      <c r="B1518" s="30" t="s">
        <v>1587</v>
      </c>
      <c r="D1518" s="30" t="s">
        <v>1588</v>
      </c>
      <c r="F1518" s="30" t="s">
        <v>1591</v>
      </c>
      <c r="H1518" s="30" t="s">
        <v>1592</v>
      </c>
      <c r="L1518" s="30" t="s">
        <v>1316</v>
      </c>
      <c r="M1518" s="30" t="s">
        <v>350</v>
      </c>
      <c r="N1518" s="30" t="s">
        <v>1322</v>
      </c>
      <c r="P1518" s="30" t="s">
        <v>5186</v>
      </c>
      <c r="Q1518" t="s">
        <v>619</v>
      </c>
      <c r="R1518" t="s">
        <v>918</v>
      </c>
      <c r="S1518">
        <v>37</v>
      </c>
      <c r="T1518" s="29" t="str">
        <f t="shared" si="67"/>
        <v>2021.010B.R.Binomial_names.zip</v>
      </c>
      <c r="U1518" s="29" t="str">
        <f>HYPERLINK("https://ictv.global/taxonomy/taxondetails?taxnode_id=202300268","ictv.global=202300268")</f>
        <v>ictv.global=202300268</v>
      </c>
    </row>
    <row r="1519" spans="1:21">
      <c r="A1519">
        <v>1518</v>
      </c>
      <c r="B1519" s="30" t="s">
        <v>1587</v>
      </c>
      <c r="D1519" s="30" t="s">
        <v>1588</v>
      </c>
      <c r="F1519" s="30" t="s">
        <v>1591</v>
      </c>
      <c r="H1519" s="30" t="s">
        <v>1592</v>
      </c>
      <c r="L1519" s="30" t="s">
        <v>1316</v>
      </c>
      <c r="M1519" s="30" t="s">
        <v>350</v>
      </c>
      <c r="N1519" s="30" t="s">
        <v>1389</v>
      </c>
      <c r="P1519" s="30" t="s">
        <v>5187</v>
      </c>
      <c r="Q1519" t="s">
        <v>619</v>
      </c>
      <c r="R1519" t="s">
        <v>918</v>
      </c>
      <c r="S1519">
        <v>37</v>
      </c>
      <c r="T1519" s="29" t="str">
        <f t="shared" si="67"/>
        <v>2021.010B.R.Binomial_names.zip</v>
      </c>
      <c r="U1519" s="29" t="str">
        <f>HYPERLINK("https://ictv.global/taxonomy/taxondetails?taxnode_id=202300425","ictv.global=202300425")</f>
        <v>ictv.global=202300425</v>
      </c>
    </row>
    <row r="1520" spans="1:21">
      <c r="A1520">
        <v>1519</v>
      </c>
      <c r="B1520" s="30" t="s">
        <v>1587</v>
      </c>
      <c r="D1520" s="30" t="s">
        <v>1588</v>
      </c>
      <c r="F1520" s="30" t="s">
        <v>1591</v>
      </c>
      <c r="H1520" s="30" t="s">
        <v>1592</v>
      </c>
      <c r="L1520" s="30" t="s">
        <v>1316</v>
      </c>
      <c r="M1520" s="30" t="s">
        <v>350</v>
      </c>
      <c r="N1520" s="30" t="s">
        <v>1389</v>
      </c>
      <c r="P1520" s="30" t="s">
        <v>5188</v>
      </c>
      <c r="Q1520" t="s">
        <v>619</v>
      </c>
      <c r="R1520" t="s">
        <v>918</v>
      </c>
      <c r="S1520">
        <v>37</v>
      </c>
      <c r="T1520" s="29" t="str">
        <f t="shared" si="67"/>
        <v>2021.010B.R.Binomial_names.zip</v>
      </c>
      <c r="U1520" s="29" t="str">
        <f>HYPERLINK("https://ictv.global/taxonomy/taxondetails?taxnode_id=202300426","ictv.global=202300426")</f>
        <v>ictv.global=202300426</v>
      </c>
    </row>
    <row r="1521" spans="1:21">
      <c r="A1521">
        <v>1520</v>
      </c>
      <c r="B1521" s="30" t="s">
        <v>1587</v>
      </c>
      <c r="D1521" s="30" t="s">
        <v>1588</v>
      </c>
      <c r="F1521" s="30" t="s">
        <v>1591</v>
      </c>
      <c r="H1521" s="30" t="s">
        <v>1592</v>
      </c>
      <c r="L1521" s="30" t="s">
        <v>1316</v>
      </c>
      <c r="M1521" s="30" t="s">
        <v>350</v>
      </c>
      <c r="N1521" s="30" t="s">
        <v>1389</v>
      </c>
      <c r="P1521" s="30" t="s">
        <v>5189</v>
      </c>
      <c r="Q1521" t="s">
        <v>619</v>
      </c>
      <c r="R1521" t="s">
        <v>918</v>
      </c>
      <c r="S1521">
        <v>37</v>
      </c>
      <c r="T1521" s="29" t="str">
        <f t="shared" si="67"/>
        <v>2021.010B.R.Binomial_names.zip</v>
      </c>
      <c r="U1521" s="29" t="str">
        <f>HYPERLINK("https://ictv.global/taxonomy/taxondetails?taxnode_id=202300427","ictv.global=202300427")</f>
        <v>ictv.global=202300427</v>
      </c>
    </row>
    <row r="1522" spans="1:21">
      <c r="A1522">
        <v>1521</v>
      </c>
      <c r="B1522" s="30" t="s">
        <v>1587</v>
      </c>
      <c r="D1522" s="30" t="s">
        <v>1588</v>
      </c>
      <c r="F1522" s="30" t="s">
        <v>1591</v>
      </c>
      <c r="H1522" s="30" t="s">
        <v>1592</v>
      </c>
      <c r="L1522" s="30" t="s">
        <v>1316</v>
      </c>
      <c r="M1522" s="30" t="s">
        <v>1323</v>
      </c>
      <c r="N1522" s="30" t="s">
        <v>1773</v>
      </c>
      <c r="P1522" s="30" t="s">
        <v>5190</v>
      </c>
      <c r="Q1522" t="s">
        <v>619</v>
      </c>
      <c r="R1522" t="s">
        <v>918</v>
      </c>
      <c r="S1522">
        <v>37</v>
      </c>
      <c r="T1522" s="29" t="str">
        <f t="shared" si="67"/>
        <v>2021.010B.R.Binomial_names.zip</v>
      </c>
      <c r="U1522" s="29" t="str">
        <f>HYPERLINK("https://ictv.global/taxonomy/taxondetails?taxnode_id=202307732","ictv.global=202307732")</f>
        <v>ictv.global=202307732</v>
      </c>
    </row>
    <row r="1523" spans="1:21">
      <c r="A1523">
        <v>1522</v>
      </c>
      <c r="B1523" s="30" t="s">
        <v>1587</v>
      </c>
      <c r="D1523" s="30" t="s">
        <v>1588</v>
      </c>
      <c r="F1523" s="30" t="s">
        <v>1591</v>
      </c>
      <c r="H1523" s="30" t="s">
        <v>1592</v>
      </c>
      <c r="L1523" s="30" t="s">
        <v>1316</v>
      </c>
      <c r="M1523" s="30" t="s">
        <v>1323</v>
      </c>
      <c r="N1523" s="30" t="s">
        <v>1773</v>
      </c>
      <c r="P1523" s="30" t="s">
        <v>5191</v>
      </c>
      <c r="Q1523" t="s">
        <v>619</v>
      </c>
      <c r="R1523" t="s">
        <v>918</v>
      </c>
      <c r="S1523">
        <v>37</v>
      </c>
      <c r="T1523" s="29" t="str">
        <f t="shared" si="67"/>
        <v>2021.010B.R.Binomial_names.zip</v>
      </c>
      <c r="U1523" s="29" t="str">
        <f>HYPERLINK("https://ictv.global/taxonomy/taxondetails?taxnode_id=202307731","ictv.global=202307731")</f>
        <v>ictv.global=202307731</v>
      </c>
    </row>
    <row r="1524" spans="1:21">
      <c r="A1524">
        <v>1523</v>
      </c>
      <c r="B1524" s="30" t="s">
        <v>1587</v>
      </c>
      <c r="D1524" s="30" t="s">
        <v>1588</v>
      </c>
      <c r="F1524" s="30" t="s">
        <v>1591</v>
      </c>
      <c r="H1524" s="30" t="s">
        <v>1592</v>
      </c>
      <c r="L1524" s="30" t="s">
        <v>1316</v>
      </c>
      <c r="M1524" s="30" t="s">
        <v>1323</v>
      </c>
      <c r="N1524" s="30" t="s">
        <v>629</v>
      </c>
      <c r="P1524" s="30" t="s">
        <v>5192</v>
      </c>
      <c r="Q1524" t="s">
        <v>619</v>
      </c>
      <c r="R1524" t="s">
        <v>918</v>
      </c>
      <c r="S1524">
        <v>37</v>
      </c>
      <c r="T1524" s="29" t="str">
        <f t="shared" si="67"/>
        <v>2021.010B.R.Binomial_names.zip</v>
      </c>
      <c r="U1524" s="29" t="str">
        <f>HYPERLINK("https://ictv.global/taxonomy/taxondetails?taxnode_id=202300249","ictv.global=202300249")</f>
        <v>ictv.global=202300249</v>
      </c>
    </row>
    <row r="1525" spans="1:21">
      <c r="A1525">
        <v>1524</v>
      </c>
      <c r="B1525" s="30" t="s">
        <v>1587</v>
      </c>
      <c r="D1525" s="30" t="s">
        <v>1588</v>
      </c>
      <c r="F1525" s="30" t="s">
        <v>1591</v>
      </c>
      <c r="H1525" s="30" t="s">
        <v>1592</v>
      </c>
      <c r="L1525" s="30" t="s">
        <v>1316</v>
      </c>
      <c r="M1525" s="30" t="s">
        <v>1323</v>
      </c>
      <c r="N1525" s="30" t="s">
        <v>629</v>
      </c>
      <c r="P1525" s="30" t="s">
        <v>5193</v>
      </c>
      <c r="Q1525" t="s">
        <v>619</v>
      </c>
      <c r="R1525" t="s">
        <v>918</v>
      </c>
      <c r="S1525">
        <v>37</v>
      </c>
      <c r="T1525" s="29" t="str">
        <f t="shared" si="67"/>
        <v>2021.010B.R.Binomial_names.zip</v>
      </c>
      <c r="U1525" s="29" t="str">
        <f>HYPERLINK("https://ictv.global/taxonomy/taxondetails?taxnode_id=202300250","ictv.global=202300250")</f>
        <v>ictv.global=202300250</v>
      </c>
    </row>
    <row r="1526" spans="1:21">
      <c r="A1526">
        <v>1525</v>
      </c>
      <c r="B1526" s="30" t="s">
        <v>1587</v>
      </c>
      <c r="D1526" s="30" t="s">
        <v>1588</v>
      </c>
      <c r="F1526" s="30" t="s">
        <v>1591</v>
      </c>
      <c r="H1526" s="30" t="s">
        <v>1592</v>
      </c>
      <c r="L1526" s="30" t="s">
        <v>1316</v>
      </c>
      <c r="M1526" s="30" t="s">
        <v>1323</v>
      </c>
      <c r="N1526" s="30" t="s">
        <v>629</v>
      </c>
      <c r="P1526" s="30" t="s">
        <v>5194</v>
      </c>
      <c r="Q1526" t="s">
        <v>619</v>
      </c>
      <c r="R1526" t="s">
        <v>918</v>
      </c>
      <c r="S1526">
        <v>37</v>
      </c>
      <c r="T1526" s="29" t="str">
        <f t="shared" si="67"/>
        <v>2021.010B.R.Binomial_names.zip</v>
      </c>
      <c r="U1526" s="29" t="str">
        <f>HYPERLINK("https://ictv.global/taxonomy/taxondetails?taxnode_id=202300251","ictv.global=202300251")</f>
        <v>ictv.global=202300251</v>
      </c>
    </row>
    <row r="1527" spans="1:21">
      <c r="A1527">
        <v>1526</v>
      </c>
      <c r="B1527" s="30" t="s">
        <v>1587</v>
      </c>
      <c r="D1527" s="30" t="s">
        <v>1588</v>
      </c>
      <c r="F1527" s="30" t="s">
        <v>1591</v>
      </c>
      <c r="H1527" s="30" t="s">
        <v>1592</v>
      </c>
      <c r="L1527" s="30" t="s">
        <v>1316</v>
      </c>
      <c r="M1527" s="30" t="s">
        <v>1323</v>
      </c>
      <c r="N1527" s="30" t="s">
        <v>629</v>
      </c>
      <c r="P1527" s="30" t="s">
        <v>5195</v>
      </c>
      <c r="Q1527" t="s">
        <v>619</v>
      </c>
      <c r="R1527" t="s">
        <v>918</v>
      </c>
      <c r="S1527">
        <v>37</v>
      </c>
      <c r="T1527" s="29" t="str">
        <f t="shared" si="67"/>
        <v>2021.010B.R.Binomial_names.zip</v>
      </c>
      <c r="U1527" s="29" t="str">
        <f>HYPERLINK("https://ictv.global/taxonomy/taxondetails?taxnode_id=202300252","ictv.global=202300252")</f>
        <v>ictv.global=202300252</v>
      </c>
    </row>
    <row r="1528" spans="1:21">
      <c r="A1528">
        <v>1527</v>
      </c>
      <c r="B1528" s="30" t="s">
        <v>1587</v>
      </c>
      <c r="D1528" s="30" t="s">
        <v>1588</v>
      </c>
      <c r="F1528" s="30" t="s">
        <v>1591</v>
      </c>
      <c r="H1528" s="30" t="s">
        <v>1592</v>
      </c>
      <c r="L1528" s="30" t="s">
        <v>1316</v>
      </c>
      <c r="M1528" s="30" t="s">
        <v>1323</v>
      </c>
      <c r="N1528" s="30" t="s">
        <v>629</v>
      </c>
      <c r="P1528" s="30" t="s">
        <v>5196</v>
      </c>
      <c r="Q1528" t="s">
        <v>619</v>
      </c>
      <c r="R1528" t="s">
        <v>918</v>
      </c>
      <c r="S1528">
        <v>37</v>
      </c>
      <c r="T1528" s="29" t="str">
        <f t="shared" si="67"/>
        <v>2021.010B.R.Binomial_names.zip</v>
      </c>
      <c r="U1528" s="29" t="str">
        <f>HYPERLINK("https://ictv.global/taxonomy/taxondetails?taxnode_id=202300253","ictv.global=202300253")</f>
        <v>ictv.global=202300253</v>
      </c>
    </row>
    <row r="1529" spans="1:21">
      <c r="A1529">
        <v>1528</v>
      </c>
      <c r="B1529" s="30" t="s">
        <v>1587</v>
      </c>
      <c r="D1529" s="30" t="s">
        <v>1588</v>
      </c>
      <c r="F1529" s="30" t="s">
        <v>1591</v>
      </c>
      <c r="H1529" s="30" t="s">
        <v>1592</v>
      </c>
      <c r="L1529" s="30" t="s">
        <v>1316</v>
      </c>
      <c r="M1529" s="30" t="s">
        <v>1323</v>
      </c>
      <c r="N1529" s="30" t="s">
        <v>629</v>
      </c>
      <c r="P1529" s="30" t="s">
        <v>5197</v>
      </c>
      <c r="Q1529" t="s">
        <v>619</v>
      </c>
      <c r="R1529" t="s">
        <v>918</v>
      </c>
      <c r="S1529">
        <v>37</v>
      </c>
      <c r="T1529" s="29" t="str">
        <f t="shared" si="67"/>
        <v>2021.010B.R.Binomial_names.zip</v>
      </c>
      <c r="U1529" s="29" t="str">
        <f>HYPERLINK("https://ictv.global/taxonomy/taxondetails?taxnode_id=202300254","ictv.global=202300254")</f>
        <v>ictv.global=202300254</v>
      </c>
    </row>
    <row r="1530" spans="1:21">
      <c r="A1530">
        <v>1529</v>
      </c>
      <c r="B1530" s="30" t="s">
        <v>1587</v>
      </c>
      <c r="D1530" s="30" t="s">
        <v>1588</v>
      </c>
      <c r="F1530" s="30" t="s">
        <v>1591</v>
      </c>
      <c r="H1530" s="30" t="s">
        <v>1592</v>
      </c>
      <c r="L1530" s="30" t="s">
        <v>1316</v>
      </c>
      <c r="M1530" s="30" t="s">
        <v>1323</v>
      </c>
      <c r="N1530" s="30" t="s">
        <v>629</v>
      </c>
      <c r="P1530" s="30" t="s">
        <v>5198</v>
      </c>
      <c r="Q1530" t="s">
        <v>619</v>
      </c>
      <c r="R1530" t="s">
        <v>918</v>
      </c>
      <c r="S1530">
        <v>37</v>
      </c>
      <c r="T1530" s="29" t="str">
        <f t="shared" si="67"/>
        <v>2021.010B.R.Binomial_names.zip</v>
      </c>
      <c r="U1530" s="29" t="str">
        <f>HYPERLINK("https://ictv.global/taxonomy/taxondetails?taxnode_id=202300255","ictv.global=202300255")</f>
        <v>ictv.global=202300255</v>
      </c>
    </row>
    <row r="1531" spans="1:21">
      <c r="A1531">
        <v>1530</v>
      </c>
      <c r="B1531" s="30" t="s">
        <v>1587</v>
      </c>
      <c r="D1531" s="30" t="s">
        <v>1588</v>
      </c>
      <c r="F1531" s="30" t="s">
        <v>1591</v>
      </c>
      <c r="H1531" s="30" t="s">
        <v>1592</v>
      </c>
      <c r="L1531" s="30" t="s">
        <v>1316</v>
      </c>
      <c r="M1531" s="30" t="s">
        <v>1323</v>
      </c>
      <c r="N1531" s="30" t="s">
        <v>629</v>
      </c>
      <c r="P1531" s="30" t="s">
        <v>5199</v>
      </c>
      <c r="Q1531" t="s">
        <v>619</v>
      </c>
      <c r="R1531" t="s">
        <v>918</v>
      </c>
      <c r="S1531">
        <v>37</v>
      </c>
      <c r="T1531" s="29" t="str">
        <f t="shared" si="67"/>
        <v>2021.010B.R.Binomial_names.zip</v>
      </c>
      <c r="U1531" s="29" t="str">
        <f>HYPERLINK("https://ictv.global/taxonomy/taxondetails?taxnode_id=202300256","ictv.global=202300256")</f>
        <v>ictv.global=202300256</v>
      </c>
    </row>
    <row r="1532" spans="1:21">
      <c r="A1532">
        <v>1531</v>
      </c>
      <c r="B1532" s="30" t="s">
        <v>1587</v>
      </c>
      <c r="D1532" s="30" t="s">
        <v>1588</v>
      </c>
      <c r="F1532" s="30" t="s">
        <v>1591</v>
      </c>
      <c r="H1532" s="30" t="s">
        <v>1592</v>
      </c>
      <c r="L1532" s="30" t="s">
        <v>1316</v>
      </c>
      <c r="M1532" s="30" t="s">
        <v>1323</v>
      </c>
      <c r="N1532" s="30" t="s">
        <v>629</v>
      </c>
      <c r="P1532" s="30" t="s">
        <v>5200</v>
      </c>
      <c r="Q1532" t="s">
        <v>619</v>
      </c>
      <c r="R1532" t="s">
        <v>918</v>
      </c>
      <c r="S1532">
        <v>37</v>
      </c>
      <c r="T1532" s="29" t="str">
        <f t="shared" si="67"/>
        <v>2021.010B.R.Binomial_names.zip</v>
      </c>
      <c r="U1532" s="29" t="str">
        <f>HYPERLINK("https://ictv.global/taxonomy/taxondetails?taxnode_id=202300257","ictv.global=202300257")</f>
        <v>ictv.global=202300257</v>
      </c>
    </row>
    <row r="1533" spans="1:21">
      <c r="A1533">
        <v>1532</v>
      </c>
      <c r="B1533" s="30" t="s">
        <v>1587</v>
      </c>
      <c r="D1533" s="30" t="s">
        <v>1588</v>
      </c>
      <c r="F1533" s="30" t="s">
        <v>1591</v>
      </c>
      <c r="H1533" s="30" t="s">
        <v>1592</v>
      </c>
      <c r="L1533" s="30" t="s">
        <v>1316</v>
      </c>
      <c r="M1533" s="30" t="s">
        <v>1323</v>
      </c>
      <c r="N1533" s="30" t="s">
        <v>629</v>
      </c>
      <c r="P1533" s="30" t="s">
        <v>5201</v>
      </c>
      <c r="Q1533" t="s">
        <v>619</v>
      </c>
      <c r="R1533" t="s">
        <v>918</v>
      </c>
      <c r="S1533">
        <v>37</v>
      </c>
      <c r="T1533" s="29" t="str">
        <f t="shared" si="67"/>
        <v>2021.010B.R.Binomial_names.zip</v>
      </c>
      <c r="U1533" s="29" t="str">
        <f>HYPERLINK("https://ictv.global/taxonomy/taxondetails?taxnode_id=202300258","ictv.global=202300258")</f>
        <v>ictv.global=202300258</v>
      </c>
    </row>
    <row r="1534" spans="1:21">
      <c r="A1534">
        <v>1533</v>
      </c>
      <c r="B1534" s="30" t="s">
        <v>1587</v>
      </c>
      <c r="D1534" s="30" t="s">
        <v>1588</v>
      </c>
      <c r="F1534" s="30" t="s">
        <v>1591</v>
      </c>
      <c r="H1534" s="30" t="s">
        <v>1592</v>
      </c>
      <c r="L1534" s="30" t="s">
        <v>1316</v>
      </c>
      <c r="M1534" s="30" t="s">
        <v>1323</v>
      </c>
      <c r="N1534" s="30" t="s">
        <v>629</v>
      </c>
      <c r="P1534" s="30" t="s">
        <v>5202</v>
      </c>
      <c r="Q1534" t="s">
        <v>619</v>
      </c>
      <c r="R1534" t="s">
        <v>918</v>
      </c>
      <c r="S1534">
        <v>37</v>
      </c>
      <c r="T1534" s="29" t="str">
        <f t="shared" si="67"/>
        <v>2021.010B.R.Binomial_names.zip</v>
      </c>
      <c r="U1534" s="29" t="str">
        <f>HYPERLINK("https://ictv.global/taxonomy/taxondetails?taxnode_id=202306982","ictv.global=202306982")</f>
        <v>ictv.global=202306982</v>
      </c>
    </row>
    <row r="1535" spans="1:21">
      <c r="A1535">
        <v>1534</v>
      </c>
      <c r="B1535" s="30" t="s">
        <v>1587</v>
      </c>
      <c r="D1535" s="30" t="s">
        <v>1588</v>
      </c>
      <c r="F1535" s="30" t="s">
        <v>1591</v>
      </c>
      <c r="H1535" s="30" t="s">
        <v>1592</v>
      </c>
      <c r="L1535" s="30" t="s">
        <v>1316</v>
      </c>
      <c r="M1535" s="30" t="s">
        <v>1323</v>
      </c>
      <c r="N1535" s="30" t="s">
        <v>1775</v>
      </c>
      <c r="P1535" s="30" t="s">
        <v>5203</v>
      </c>
      <c r="Q1535" t="s">
        <v>619</v>
      </c>
      <c r="R1535" t="s">
        <v>918</v>
      </c>
      <c r="S1535">
        <v>37</v>
      </c>
      <c r="T1535" s="29" t="str">
        <f t="shared" si="67"/>
        <v>2021.010B.R.Binomial_names.zip</v>
      </c>
      <c r="U1535" s="29" t="str">
        <f>HYPERLINK("https://ictv.global/taxonomy/taxondetails?taxnode_id=202308033","ictv.global=202308033")</f>
        <v>ictv.global=202308033</v>
      </c>
    </row>
    <row r="1536" spans="1:21">
      <c r="A1536">
        <v>1535</v>
      </c>
      <c r="B1536" s="30" t="s">
        <v>1587</v>
      </c>
      <c r="D1536" s="30" t="s">
        <v>1588</v>
      </c>
      <c r="F1536" s="30" t="s">
        <v>1591</v>
      </c>
      <c r="H1536" s="30" t="s">
        <v>1592</v>
      </c>
      <c r="L1536" s="30" t="s">
        <v>1316</v>
      </c>
      <c r="M1536" s="30" t="s">
        <v>1323</v>
      </c>
      <c r="N1536" s="30" t="s">
        <v>1387</v>
      </c>
      <c r="P1536" s="30" t="s">
        <v>5204</v>
      </c>
      <c r="Q1536" t="s">
        <v>619</v>
      </c>
      <c r="R1536" t="s">
        <v>918</v>
      </c>
      <c r="S1536">
        <v>37</v>
      </c>
      <c r="T1536" s="29" t="str">
        <f t="shared" si="67"/>
        <v>2021.010B.R.Binomial_names.zip</v>
      </c>
      <c r="U1536" s="29" t="str">
        <f>HYPERLINK("https://ictv.global/taxonomy/taxondetails?taxnode_id=202300505","ictv.global=202300505")</f>
        <v>ictv.global=202300505</v>
      </c>
    </row>
    <row r="1537" spans="1:21">
      <c r="A1537">
        <v>1536</v>
      </c>
      <c r="B1537" s="30" t="s">
        <v>1587</v>
      </c>
      <c r="D1537" s="30" t="s">
        <v>1588</v>
      </c>
      <c r="F1537" s="30" t="s">
        <v>1591</v>
      </c>
      <c r="H1537" s="30" t="s">
        <v>1592</v>
      </c>
      <c r="L1537" s="30" t="s">
        <v>1316</v>
      </c>
      <c r="M1537" s="30" t="s">
        <v>1323</v>
      </c>
      <c r="N1537" s="30" t="s">
        <v>1387</v>
      </c>
      <c r="P1537" s="30" t="s">
        <v>5205</v>
      </c>
      <c r="Q1537" t="s">
        <v>619</v>
      </c>
      <c r="R1537" t="s">
        <v>918</v>
      </c>
      <c r="S1537">
        <v>37</v>
      </c>
      <c r="T1537" s="29" t="str">
        <f t="shared" si="67"/>
        <v>2021.010B.R.Binomial_names.zip</v>
      </c>
      <c r="U1537" s="29" t="str">
        <f>HYPERLINK("https://ictv.global/taxonomy/taxondetails?taxnode_id=202300506","ictv.global=202300506")</f>
        <v>ictv.global=202300506</v>
      </c>
    </row>
    <row r="1538" spans="1:21">
      <c r="A1538">
        <v>1537</v>
      </c>
      <c r="B1538" s="30" t="s">
        <v>1587</v>
      </c>
      <c r="D1538" s="30" t="s">
        <v>1588</v>
      </c>
      <c r="F1538" s="30" t="s">
        <v>1591</v>
      </c>
      <c r="H1538" s="30" t="s">
        <v>1592</v>
      </c>
      <c r="L1538" s="30" t="s">
        <v>1316</v>
      </c>
      <c r="M1538" s="30" t="s">
        <v>1323</v>
      </c>
      <c r="N1538" s="30" t="s">
        <v>630</v>
      </c>
      <c r="P1538" s="30" t="s">
        <v>5206</v>
      </c>
      <c r="Q1538" t="s">
        <v>619</v>
      </c>
      <c r="R1538" t="s">
        <v>918</v>
      </c>
      <c r="S1538">
        <v>37</v>
      </c>
      <c r="T1538" s="29" t="str">
        <f t="shared" si="67"/>
        <v>2021.010B.R.Binomial_names.zip</v>
      </c>
      <c r="U1538" s="29" t="str">
        <f>HYPERLINK("https://ictv.global/taxonomy/taxondetails?taxnode_id=202300263","ictv.global=202300263")</f>
        <v>ictv.global=202300263</v>
      </c>
    </row>
    <row r="1539" spans="1:21">
      <c r="A1539">
        <v>1538</v>
      </c>
      <c r="B1539" s="30" t="s">
        <v>1587</v>
      </c>
      <c r="D1539" s="30" t="s">
        <v>1588</v>
      </c>
      <c r="F1539" s="30" t="s">
        <v>1591</v>
      </c>
      <c r="H1539" s="30" t="s">
        <v>1592</v>
      </c>
      <c r="L1539" s="30" t="s">
        <v>1316</v>
      </c>
      <c r="M1539" s="30" t="s">
        <v>1323</v>
      </c>
      <c r="N1539" s="30" t="s">
        <v>630</v>
      </c>
      <c r="P1539" s="30" t="s">
        <v>5207</v>
      </c>
      <c r="Q1539" t="s">
        <v>619</v>
      </c>
      <c r="R1539" t="s">
        <v>918</v>
      </c>
      <c r="S1539">
        <v>37</v>
      </c>
      <c r="T1539" s="29" t="str">
        <f t="shared" si="67"/>
        <v>2021.010B.R.Binomial_names.zip</v>
      </c>
      <c r="U1539" s="29" t="str">
        <f>HYPERLINK("https://ictv.global/taxonomy/taxondetails?taxnode_id=202300264","ictv.global=202300264")</f>
        <v>ictv.global=202300264</v>
      </c>
    </row>
    <row r="1540" spans="1:21">
      <c r="A1540">
        <v>1539</v>
      </c>
      <c r="B1540" s="30" t="s">
        <v>1587</v>
      </c>
      <c r="D1540" s="30" t="s">
        <v>1588</v>
      </c>
      <c r="F1540" s="30" t="s">
        <v>1591</v>
      </c>
      <c r="H1540" s="30" t="s">
        <v>1592</v>
      </c>
      <c r="L1540" s="30" t="s">
        <v>1316</v>
      </c>
      <c r="M1540" s="30" t="s">
        <v>1323</v>
      </c>
      <c r="N1540" s="30" t="s">
        <v>630</v>
      </c>
      <c r="P1540" s="30" t="s">
        <v>5208</v>
      </c>
      <c r="Q1540" t="s">
        <v>619</v>
      </c>
      <c r="R1540" t="s">
        <v>918</v>
      </c>
      <c r="S1540">
        <v>37</v>
      </c>
      <c r="T1540" s="29" t="str">
        <f t="shared" si="67"/>
        <v>2021.010B.R.Binomial_names.zip</v>
      </c>
      <c r="U1540" s="29" t="str">
        <f>HYPERLINK("https://ictv.global/taxonomy/taxondetails?taxnode_id=202300265","ictv.global=202300265")</f>
        <v>ictv.global=202300265</v>
      </c>
    </row>
    <row r="1541" spans="1:21">
      <c r="A1541">
        <v>1540</v>
      </c>
      <c r="B1541" s="30" t="s">
        <v>1587</v>
      </c>
      <c r="D1541" s="30" t="s">
        <v>1588</v>
      </c>
      <c r="F1541" s="30" t="s">
        <v>1591</v>
      </c>
      <c r="H1541" s="30" t="s">
        <v>1592</v>
      </c>
      <c r="L1541" s="30" t="s">
        <v>1316</v>
      </c>
      <c r="M1541" s="30" t="s">
        <v>1323</v>
      </c>
      <c r="N1541" s="30" t="s">
        <v>631</v>
      </c>
      <c r="P1541" s="30" t="s">
        <v>5209</v>
      </c>
      <c r="Q1541" t="s">
        <v>619</v>
      </c>
      <c r="R1541" t="s">
        <v>918</v>
      </c>
      <c r="S1541">
        <v>37</v>
      </c>
      <c r="T1541" s="29" t="str">
        <f t="shared" si="67"/>
        <v>2021.010B.R.Binomial_names.zip</v>
      </c>
      <c r="U1541" s="29" t="str">
        <f>HYPERLINK("https://ictv.global/taxonomy/taxondetails?taxnode_id=202300273","ictv.global=202300273")</f>
        <v>ictv.global=202300273</v>
      </c>
    </row>
    <row r="1542" spans="1:21">
      <c r="A1542">
        <v>1541</v>
      </c>
      <c r="B1542" s="30" t="s">
        <v>1587</v>
      </c>
      <c r="D1542" s="30" t="s">
        <v>1588</v>
      </c>
      <c r="F1542" s="30" t="s">
        <v>1591</v>
      </c>
      <c r="H1542" s="30" t="s">
        <v>1592</v>
      </c>
      <c r="L1542" s="30" t="s">
        <v>1316</v>
      </c>
      <c r="N1542" s="30" t="s">
        <v>2233</v>
      </c>
      <c r="P1542" s="30" t="s">
        <v>5210</v>
      </c>
      <c r="Q1542" t="s">
        <v>619</v>
      </c>
      <c r="R1542" t="s">
        <v>918</v>
      </c>
      <c r="S1542">
        <v>37</v>
      </c>
      <c r="T1542" s="29" t="str">
        <f t="shared" si="67"/>
        <v>2021.010B.R.Binomial_names.zip</v>
      </c>
      <c r="U1542" s="29" t="str">
        <f>HYPERLINK("https://ictv.global/taxonomy/taxondetails?taxnode_id=202310119","ictv.global=202310119")</f>
        <v>ictv.global=202310119</v>
      </c>
    </row>
    <row r="1543" spans="1:21">
      <c r="A1543">
        <v>1542</v>
      </c>
      <c r="B1543" s="30" t="s">
        <v>1587</v>
      </c>
      <c r="D1543" s="30" t="s">
        <v>1588</v>
      </c>
      <c r="F1543" s="30" t="s">
        <v>1591</v>
      </c>
      <c r="H1543" s="30" t="s">
        <v>1592</v>
      </c>
      <c r="L1543" s="30" t="s">
        <v>1316</v>
      </c>
      <c r="N1543" s="30" t="s">
        <v>1774</v>
      </c>
      <c r="P1543" s="30" t="s">
        <v>5211</v>
      </c>
      <c r="Q1543" t="s">
        <v>619</v>
      </c>
      <c r="R1543" t="s">
        <v>918</v>
      </c>
      <c r="S1543">
        <v>37</v>
      </c>
      <c r="T1543" s="29" t="str">
        <f t="shared" si="67"/>
        <v>2021.010B.R.Binomial_names.zip</v>
      </c>
      <c r="U1543" s="29" t="str">
        <f>HYPERLINK("https://ictv.global/taxonomy/taxondetails?taxnode_id=202307402","ictv.global=202307402")</f>
        <v>ictv.global=202307402</v>
      </c>
    </row>
    <row r="1544" spans="1:21">
      <c r="A1544">
        <v>1543</v>
      </c>
      <c r="B1544" s="30" t="s">
        <v>1587</v>
      </c>
      <c r="D1544" s="30" t="s">
        <v>1588</v>
      </c>
      <c r="F1544" s="30" t="s">
        <v>1591</v>
      </c>
      <c r="H1544" s="30" t="s">
        <v>1592</v>
      </c>
      <c r="L1544" s="30" t="s">
        <v>1316</v>
      </c>
      <c r="N1544" s="30" t="s">
        <v>1774</v>
      </c>
      <c r="P1544" s="30" t="s">
        <v>5212</v>
      </c>
      <c r="Q1544" t="s">
        <v>619</v>
      </c>
      <c r="R1544" t="s">
        <v>918</v>
      </c>
      <c r="S1544">
        <v>37</v>
      </c>
      <c r="T1544" s="29" t="str">
        <f t="shared" si="67"/>
        <v>2021.010B.R.Binomial_names.zip</v>
      </c>
      <c r="U1544" s="29" t="str">
        <f>HYPERLINK("https://ictv.global/taxonomy/taxondetails?taxnode_id=202307401","ictv.global=202307401")</f>
        <v>ictv.global=202307401</v>
      </c>
    </row>
    <row r="1545" spans="1:21">
      <c r="A1545">
        <v>1544</v>
      </c>
      <c r="B1545" s="30" t="s">
        <v>1587</v>
      </c>
      <c r="D1545" s="30" t="s">
        <v>1588</v>
      </c>
      <c r="F1545" s="30" t="s">
        <v>1591</v>
      </c>
      <c r="H1545" s="30" t="s">
        <v>1592</v>
      </c>
      <c r="L1545" s="30" t="s">
        <v>1316</v>
      </c>
      <c r="N1545" s="30" t="s">
        <v>1774</v>
      </c>
      <c r="P1545" s="30" t="s">
        <v>5213</v>
      </c>
      <c r="Q1545" t="s">
        <v>619</v>
      </c>
      <c r="R1545" t="s">
        <v>918</v>
      </c>
      <c r="S1545">
        <v>37</v>
      </c>
      <c r="T1545" s="29" t="str">
        <f t="shared" si="67"/>
        <v>2021.010B.R.Binomial_names.zip</v>
      </c>
      <c r="U1545" s="29" t="str">
        <f>HYPERLINK("https://ictv.global/taxonomy/taxondetails?taxnode_id=202307403","ictv.global=202307403")</f>
        <v>ictv.global=202307403</v>
      </c>
    </row>
    <row r="1546" spans="1:21">
      <c r="A1546">
        <v>1545</v>
      </c>
      <c r="B1546" s="30" t="s">
        <v>1587</v>
      </c>
      <c r="D1546" s="30" t="s">
        <v>1588</v>
      </c>
      <c r="F1546" s="30" t="s">
        <v>1591</v>
      </c>
      <c r="H1546" s="30" t="s">
        <v>1592</v>
      </c>
      <c r="L1546" s="30" t="s">
        <v>1316</v>
      </c>
      <c r="N1546" s="30" t="s">
        <v>1774</v>
      </c>
      <c r="P1546" s="30" t="s">
        <v>5214</v>
      </c>
      <c r="Q1546" t="s">
        <v>619</v>
      </c>
      <c r="R1546" t="s">
        <v>918</v>
      </c>
      <c r="S1546">
        <v>37</v>
      </c>
      <c r="T1546" s="29" t="str">
        <f t="shared" si="67"/>
        <v>2021.010B.R.Binomial_names.zip</v>
      </c>
      <c r="U1546" s="29" t="str">
        <f>HYPERLINK("https://ictv.global/taxonomy/taxondetails?taxnode_id=202307400","ictv.global=202307400")</f>
        <v>ictv.global=202307400</v>
      </c>
    </row>
    <row r="1547" spans="1:21">
      <c r="A1547">
        <v>1546</v>
      </c>
      <c r="B1547" s="30" t="s">
        <v>1587</v>
      </c>
      <c r="D1547" s="30" t="s">
        <v>1588</v>
      </c>
      <c r="F1547" s="30" t="s">
        <v>1591</v>
      </c>
      <c r="H1547" s="30" t="s">
        <v>1592</v>
      </c>
      <c r="L1547" s="30" t="s">
        <v>1316</v>
      </c>
      <c r="N1547" s="30" t="s">
        <v>1774</v>
      </c>
      <c r="P1547" s="30" t="s">
        <v>5215</v>
      </c>
      <c r="Q1547" t="s">
        <v>619</v>
      </c>
      <c r="R1547" t="s">
        <v>918</v>
      </c>
      <c r="S1547">
        <v>37</v>
      </c>
      <c r="T1547" s="29" t="str">
        <f t="shared" si="67"/>
        <v>2021.010B.R.Binomial_names.zip</v>
      </c>
      <c r="U1547" s="29" t="str">
        <f>HYPERLINK("https://ictv.global/taxonomy/taxondetails?taxnode_id=202307404","ictv.global=202307404")</f>
        <v>ictv.global=202307404</v>
      </c>
    </row>
    <row r="1548" spans="1:21">
      <c r="A1548">
        <v>1547</v>
      </c>
      <c r="B1548" s="30" t="s">
        <v>1587</v>
      </c>
      <c r="D1548" s="30" t="s">
        <v>1588</v>
      </c>
      <c r="F1548" s="30" t="s">
        <v>1591</v>
      </c>
      <c r="H1548" s="30" t="s">
        <v>1592</v>
      </c>
      <c r="L1548" s="30" t="s">
        <v>1316</v>
      </c>
      <c r="N1548" s="30" t="s">
        <v>2234</v>
      </c>
      <c r="P1548" s="30" t="s">
        <v>5216</v>
      </c>
      <c r="Q1548" t="s">
        <v>619</v>
      </c>
      <c r="R1548" t="s">
        <v>918</v>
      </c>
      <c r="S1548">
        <v>37</v>
      </c>
      <c r="T1548" s="29" t="str">
        <f t="shared" si="67"/>
        <v>2021.010B.R.Binomial_names.zip</v>
      </c>
      <c r="U1548" s="29" t="str">
        <f>HYPERLINK("https://ictv.global/taxonomy/taxondetails?taxnode_id=202310127","ictv.global=202310127")</f>
        <v>ictv.global=202310127</v>
      </c>
    </row>
    <row r="1549" spans="1:21">
      <c r="A1549">
        <v>1548</v>
      </c>
      <c r="B1549" s="30" t="s">
        <v>1587</v>
      </c>
      <c r="D1549" s="30" t="s">
        <v>1588</v>
      </c>
      <c r="F1549" s="30" t="s">
        <v>1591</v>
      </c>
      <c r="H1549" s="30" t="s">
        <v>1592</v>
      </c>
      <c r="L1549" s="30" t="s">
        <v>1316</v>
      </c>
      <c r="N1549" s="30" t="s">
        <v>5217</v>
      </c>
      <c r="P1549" s="30" t="s">
        <v>5218</v>
      </c>
      <c r="Q1549" t="s">
        <v>619</v>
      </c>
      <c r="R1549" t="s">
        <v>918</v>
      </c>
      <c r="S1549">
        <v>37</v>
      </c>
      <c r="T1549" s="29" t="str">
        <f>HYPERLINK("https://ictv.global/ictv/proposals/2021.043B.R.Klumppvirus.zip","2021.043B.R.Klumppvirus.zip")</f>
        <v>2021.043B.R.Klumppvirus.zip</v>
      </c>
      <c r="U1549" s="29" t="str">
        <f>HYPERLINK("https://ictv.global/taxonomy/taxondetails?taxnode_id=202306983","ictv.global=202306983")</f>
        <v>ictv.global=202306983</v>
      </c>
    </row>
    <row r="1550" spans="1:21">
      <c r="A1550">
        <v>1549</v>
      </c>
      <c r="B1550" s="30" t="s">
        <v>1587</v>
      </c>
      <c r="D1550" s="30" t="s">
        <v>1588</v>
      </c>
      <c r="F1550" s="30" t="s">
        <v>1591</v>
      </c>
      <c r="H1550" s="30" t="s">
        <v>1592</v>
      </c>
      <c r="L1550" s="30" t="s">
        <v>1316</v>
      </c>
      <c r="N1550" s="30" t="s">
        <v>2235</v>
      </c>
      <c r="P1550" s="30" t="s">
        <v>5219</v>
      </c>
      <c r="Q1550" t="s">
        <v>619</v>
      </c>
      <c r="R1550" t="s">
        <v>918</v>
      </c>
      <c r="S1550">
        <v>37</v>
      </c>
      <c r="T1550" s="29" t="str">
        <f>HYPERLINK("https://ictv.global/ictv/proposals/2021.010B.R.Binomial_names.zip","2021.010B.R.Binomial_names.zip")</f>
        <v>2021.010B.R.Binomial_names.zip</v>
      </c>
      <c r="U1550" s="29" t="str">
        <f>HYPERLINK("https://ictv.global/taxonomy/taxondetails?taxnode_id=202300276","ictv.global=202300276")</f>
        <v>ictv.global=202300276</v>
      </c>
    </row>
    <row r="1551" spans="1:21">
      <c r="A1551">
        <v>1550</v>
      </c>
      <c r="B1551" s="30" t="s">
        <v>1587</v>
      </c>
      <c r="D1551" s="30" t="s">
        <v>1588</v>
      </c>
      <c r="F1551" s="30" t="s">
        <v>1591</v>
      </c>
      <c r="H1551" s="30" t="s">
        <v>1592</v>
      </c>
      <c r="L1551" s="30" t="s">
        <v>1316</v>
      </c>
      <c r="N1551" s="30" t="s">
        <v>2236</v>
      </c>
      <c r="P1551" s="30" t="s">
        <v>5220</v>
      </c>
      <c r="Q1551" t="s">
        <v>619</v>
      </c>
      <c r="R1551" t="s">
        <v>918</v>
      </c>
      <c r="S1551">
        <v>37</v>
      </c>
      <c r="T1551" s="29" t="str">
        <f>HYPERLINK("https://ictv.global/ictv/proposals/2021.010B.R.Binomial_names.zip","2021.010B.R.Binomial_names.zip")</f>
        <v>2021.010B.R.Binomial_names.zip</v>
      </c>
      <c r="U1551" s="29" t="str">
        <f>HYPERLINK("https://ictv.global/taxonomy/taxondetails?taxnode_id=202300277","ictv.global=202300277")</f>
        <v>ictv.global=202300277</v>
      </c>
    </row>
    <row r="1552" spans="1:21">
      <c r="A1552">
        <v>1551</v>
      </c>
      <c r="B1552" s="30" t="s">
        <v>1587</v>
      </c>
      <c r="D1552" s="30" t="s">
        <v>1588</v>
      </c>
      <c r="F1552" s="30" t="s">
        <v>1591</v>
      </c>
      <c r="H1552" s="30" t="s">
        <v>1592</v>
      </c>
      <c r="L1552" s="30" t="s">
        <v>1316</v>
      </c>
      <c r="N1552" s="30" t="s">
        <v>2237</v>
      </c>
      <c r="P1552" s="30" t="s">
        <v>5221</v>
      </c>
      <c r="Q1552" t="s">
        <v>619</v>
      </c>
      <c r="R1552" t="s">
        <v>918</v>
      </c>
      <c r="S1552">
        <v>37</v>
      </c>
      <c r="T1552" s="29" t="str">
        <f>HYPERLINK("https://ictv.global/ictv/proposals/2021.010B.R.Binomial_names.zip","2021.010B.R.Binomial_names.zip")</f>
        <v>2021.010B.R.Binomial_names.zip</v>
      </c>
      <c r="U1552" s="29" t="str">
        <f>HYPERLINK("https://ictv.global/taxonomy/taxondetails?taxnode_id=202310125","ictv.global=202310125")</f>
        <v>ictv.global=202310125</v>
      </c>
    </row>
    <row r="1553" spans="1:21">
      <c r="A1553">
        <v>1552</v>
      </c>
      <c r="B1553" s="30" t="s">
        <v>1587</v>
      </c>
      <c r="D1553" s="30" t="s">
        <v>1588</v>
      </c>
      <c r="F1553" s="30" t="s">
        <v>1591</v>
      </c>
      <c r="H1553" s="30" t="s">
        <v>1592</v>
      </c>
      <c r="L1553" s="30" t="s">
        <v>1316</v>
      </c>
      <c r="N1553" s="30" t="s">
        <v>2237</v>
      </c>
      <c r="P1553" s="30" t="s">
        <v>5222</v>
      </c>
      <c r="Q1553" t="s">
        <v>619</v>
      </c>
      <c r="R1553" t="s">
        <v>918</v>
      </c>
      <c r="S1553">
        <v>37</v>
      </c>
      <c r="T1553" s="29" t="str">
        <f>HYPERLINK("https://ictv.global/ictv/proposals/2021.010B.R.Binomial_names.zip","2021.010B.R.Binomial_names.zip")</f>
        <v>2021.010B.R.Binomial_names.zip</v>
      </c>
      <c r="U1553" s="29" t="str">
        <f>HYPERLINK("https://ictv.global/taxonomy/taxondetails?taxnode_id=202310124","ictv.global=202310124")</f>
        <v>ictv.global=202310124</v>
      </c>
    </row>
    <row r="1554" spans="1:21">
      <c r="A1554">
        <v>1553</v>
      </c>
      <c r="B1554" s="30" t="s">
        <v>1587</v>
      </c>
      <c r="D1554" s="30" t="s">
        <v>1588</v>
      </c>
      <c r="F1554" s="30" t="s">
        <v>1591</v>
      </c>
      <c r="H1554" s="30" t="s">
        <v>1592</v>
      </c>
      <c r="L1554" s="30" t="s">
        <v>1316</v>
      </c>
      <c r="N1554" s="30" t="s">
        <v>2238</v>
      </c>
      <c r="P1554" s="30" t="s">
        <v>5223</v>
      </c>
      <c r="Q1554" t="s">
        <v>619</v>
      </c>
      <c r="R1554" t="s">
        <v>918</v>
      </c>
      <c r="S1554">
        <v>37</v>
      </c>
      <c r="T1554" s="29" t="str">
        <f>HYPERLINK("https://ictv.global/ictv/proposals/2021.010B.R.Binomial_names.zip","2021.010B.R.Binomial_names.zip")</f>
        <v>2021.010B.R.Binomial_names.zip</v>
      </c>
      <c r="U1554" s="29" t="str">
        <f>HYPERLINK("https://ictv.global/taxonomy/taxondetails?taxnode_id=202310122","ictv.global=202310122")</f>
        <v>ictv.global=202310122</v>
      </c>
    </row>
    <row r="1555" spans="1:21">
      <c r="A1555">
        <v>1554</v>
      </c>
      <c r="B1555" s="30" t="s">
        <v>1587</v>
      </c>
      <c r="D1555" s="30" t="s">
        <v>1588</v>
      </c>
      <c r="F1555" s="30" t="s">
        <v>1591</v>
      </c>
      <c r="H1555" s="30" t="s">
        <v>1592</v>
      </c>
      <c r="L1555" s="30" t="s">
        <v>5224</v>
      </c>
      <c r="N1555" s="30" t="s">
        <v>5225</v>
      </c>
      <c r="P1555" s="30" t="s">
        <v>5226</v>
      </c>
      <c r="Q1555" t="s">
        <v>619</v>
      </c>
      <c r="R1555" t="s">
        <v>917</v>
      </c>
      <c r="S1555">
        <v>38</v>
      </c>
      <c r="T1555" s="29" t="str">
        <f>HYPERLINK("https://ictv.global/ictv/proposals/2022.042B.Kleczkowskaviridae_nf.zip","2022.042B.Kleczkowskaviridae_nf.zip")</f>
        <v>2022.042B.Kleczkowskaviridae_nf.zip</v>
      </c>
      <c r="U1555" s="29" t="str">
        <f>HYPERLINK("https://ictv.global/taxonomy/taxondetails?taxnode_id=202314642","ictv.global=202314642")</f>
        <v>ictv.global=202314642</v>
      </c>
    </row>
    <row r="1556" spans="1:21">
      <c r="A1556">
        <v>1555</v>
      </c>
      <c r="B1556" s="30" t="s">
        <v>1587</v>
      </c>
      <c r="D1556" s="30" t="s">
        <v>1588</v>
      </c>
      <c r="F1556" s="30" t="s">
        <v>1591</v>
      </c>
      <c r="H1556" s="30" t="s">
        <v>1592</v>
      </c>
      <c r="L1556" s="30" t="s">
        <v>5224</v>
      </c>
      <c r="N1556" s="30" t="s">
        <v>5225</v>
      </c>
      <c r="P1556" s="30" t="s">
        <v>5227</v>
      </c>
      <c r="Q1556" t="s">
        <v>619</v>
      </c>
      <c r="R1556" t="s">
        <v>917</v>
      </c>
      <c r="S1556">
        <v>38</v>
      </c>
      <c r="T1556" s="29" t="str">
        <f>HYPERLINK("https://ictv.global/ictv/proposals/2022.042B.Kleczkowskaviridae_nf.zip","2022.042B.Kleczkowskaviridae_nf.zip")</f>
        <v>2022.042B.Kleczkowskaviridae_nf.zip</v>
      </c>
      <c r="U1556" s="29" t="str">
        <f>HYPERLINK("https://ictv.global/taxonomy/taxondetails?taxnode_id=202314643","ictv.global=202314643")</f>
        <v>ictv.global=202314643</v>
      </c>
    </row>
    <row r="1557" spans="1:21">
      <c r="A1557">
        <v>1556</v>
      </c>
      <c r="B1557" s="30" t="s">
        <v>1587</v>
      </c>
      <c r="D1557" s="30" t="s">
        <v>1588</v>
      </c>
      <c r="F1557" s="30" t="s">
        <v>1591</v>
      </c>
      <c r="H1557" s="30" t="s">
        <v>1592</v>
      </c>
      <c r="L1557" s="30" t="s">
        <v>12087</v>
      </c>
      <c r="N1557" s="30" t="s">
        <v>12088</v>
      </c>
      <c r="P1557" s="30" t="s">
        <v>12089</v>
      </c>
      <c r="Q1557" t="s">
        <v>619</v>
      </c>
      <c r="R1557" t="s">
        <v>917</v>
      </c>
      <c r="S1557">
        <v>39</v>
      </c>
      <c r="T1557" s="29" t="str">
        <f>HYPERLINK("https://ictv.global/ictv/proposals/2023.042B.Konodaiviridae_nf.zip","2023.042B.Konodaiviridae_nf.zip")</f>
        <v>2023.042B.Konodaiviridae_nf.zip</v>
      </c>
      <c r="U1557" s="29" t="str">
        <f>HYPERLINK("https://ictv.global/taxonomy/taxondetails?taxnode_id=202319189","ictv.global=202319189")</f>
        <v>ictv.global=202319189</v>
      </c>
    </row>
    <row r="1558" spans="1:21">
      <c r="A1558">
        <v>1557</v>
      </c>
      <c r="B1558" s="30" t="s">
        <v>1587</v>
      </c>
      <c r="D1558" s="30" t="s">
        <v>1588</v>
      </c>
      <c r="F1558" s="30" t="s">
        <v>1591</v>
      </c>
      <c r="H1558" s="30" t="s">
        <v>1592</v>
      </c>
      <c r="L1558" s="30" t="s">
        <v>12087</v>
      </c>
      <c r="N1558" s="30" t="s">
        <v>12090</v>
      </c>
      <c r="P1558" s="30" t="s">
        <v>12091</v>
      </c>
      <c r="Q1558" t="s">
        <v>619</v>
      </c>
      <c r="R1558" t="s">
        <v>917</v>
      </c>
      <c r="S1558">
        <v>39</v>
      </c>
      <c r="T1558" s="29" t="str">
        <f>HYPERLINK("https://ictv.global/ictv/proposals/2023.042B.Konodaiviridae_nf.zip","2023.042B.Konodaiviridae_nf.zip")</f>
        <v>2023.042B.Konodaiviridae_nf.zip</v>
      </c>
      <c r="U1558" s="29" t="str">
        <f>HYPERLINK("https://ictv.global/taxonomy/taxondetails?taxnode_id=202319188","ictv.global=202319188")</f>
        <v>ictv.global=202319188</v>
      </c>
    </row>
    <row r="1559" spans="1:21">
      <c r="A1559">
        <v>1558</v>
      </c>
      <c r="B1559" s="30" t="s">
        <v>1587</v>
      </c>
      <c r="D1559" s="30" t="s">
        <v>1588</v>
      </c>
      <c r="F1559" s="30" t="s">
        <v>1591</v>
      </c>
      <c r="H1559" s="30" t="s">
        <v>1592</v>
      </c>
      <c r="L1559" s="30" t="s">
        <v>12087</v>
      </c>
      <c r="N1559" s="30" t="s">
        <v>12092</v>
      </c>
      <c r="P1559" s="30" t="s">
        <v>12093</v>
      </c>
      <c r="Q1559" t="s">
        <v>619</v>
      </c>
      <c r="R1559" t="s">
        <v>917</v>
      </c>
      <c r="S1559">
        <v>39</v>
      </c>
      <c r="T1559" s="29" t="str">
        <f>HYPERLINK("https://ictv.global/ictv/proposals/2023.042B.Konodaiviridae_nf.zip","2023.042B.Konodaiviridae_nf.zip")</f>
        <v>2023.042B.Konodaiviridae_nf.zip</v>
      </c>
      <c r="U1559" s="29" t="str">
        <f>HYPERLINK("https://ictv.global/taxonomy/taxondetails?taxnode_id=202319190","ictv.global=202319190")</f>
        <v>ictv.global=202319190</v>
      </c>
    </row>
    <row r="1560" spans="1:21">
      <c r="A1560">
        <v>1559</v>
      </c>
      <c r="B1560" s="30" t="s">
        <v>1587</v>
      </c>
      <c r="D1560" s="30" t="s">
        <v>1588</v>
      </c>
      <c r="F1560" s="30" t="s">
        <v>1591</v>
      </c>
      <c r="H1560" s="30" t="s">
        <v>1592</v>
      </c>
      <c r="L1560" s="30" t="s">
        <v>5228</v>
      </c>
      <c r="N1560" s="30" t="s">
        <v>1799</v>
      </c>
      <c r="P1560" s="30" t="s">
        <v>5229</v>
      </c>
      <c r="Q1560" t="s">
        <v>619</v>
      </c>
      <c r="R1560" t="s">
        <v>918</v>
      </c>
      <c r="S1560">
        <v>37</v>
      </c>
      <c r="T1560" s="29" t="str">
        <f t="shared" ref="T1560:T1581" si="68">HYPERLINK("https://ictv.global/ictv/proposals/2021.082B.R.Tevens_new_families.zip","2021.082B.R.Tevens_new_families.zip")</f>
        <v>2021.082B.R.Tevens_new_families.zip</v>
      </c>
      <c r="U1560" s="29" t="str">
        <f>HYPERLINK("https://ictv.global/taxonomy/taxondetails?taxnode_id=202307799","ictv.global=202307799")</f>
        <v>ictv.global=202307799</v>
      </c>
    </row>
    <row r="1561" spans="1:21">
      <c r="A1561">
        <v>1560</v>
      </c>
      <c r="B1561" s="30" t="s">
        <v>1587</v>
      </c>
      <c r="D1561" s="30" t="s">
        <v>1588</v>
      </c>
      <c r="F1561" s="30" t="s">
        <v>1591</v>
      </c>
      <c r="H1561" s="30" t="s">
        <v>1592</v>
      </c>
      <c r="L1561" s="30" t="s">
        <v>5228</v>
      </c>
      <c r="N1561" s="30" t="s">
        <v>1800</v>
      </c>
      <c r="P1561" s="30" t="s">
        <v>5230</v>
      </c>
      <c r="Q1561" t="s">
        <v>619</v>
      </c>
      <c r="R1561" t="s">
        <v>918</v>
      </c>
      <c r="S1561">
        <v>37</v>
      </c>
      <c r="T1561" s="29" t="str">
        <f t="shared" si="68"/>
        <v>2021.082B.R.Tevens_new_families.zip</v>
      </c>
      <c r="U1561" s="29" t="str">
        <f>HYPERLINK("https://ictv.global/taxonomy/taxondetails?taxnode_id=202307803","ictv.global=202307803")</f>
        <v>ictv.global=202307803</v>
      </c>
    </row>
    <row r="1562" spans="1:21">
      <c r="A1562">
        <v>1561</v>
      </c>
      <c r="B1562" s="30" t="s">
        <v>1587</v>
      </c>
      <c r="D1562" s="30" t="s">
        <v>1588</v>
      </c>
      <c r="F1562" s="30" t="s">
        <v>1591</v>
      </c>
      <c r="H1562" s="30" t="s">
        <v>1592</v>
      </c>
      <c r="L1562" s="30" t="s">
        <v>5228</v>
      </c>
      <c r="N1562" s="30" t="s">
        <v>5231</v>
      </c>
      <c r="P1562" s="30" t="s">
        <v>5232</v>
      </c>
      <c r="Q1562" t="s">
        <v>619</v>
      </c>
      <c r="R1562" t="s">
        <v>917</v>
      </c>
      <c r="S1562">
        <v>37</v>
      </c>
      <c r="T1562" s="29" t="str">
        <f t="shared" si="68"/>
        <v>2021.082B.R.Tevens_new_families.zip</v>
      </c>
      <c r="U1562" s="29" t="str">
        <f>HYPERLINK("https://ictv.global/taxonomy/taxondetails?taxnode_id=202313997","ictv.global=202313997")</f>
        <v>ictv.global=202313997</v>
      </c>
    </row>
    <row r="1563" spans="1:21">
      <c r="A1563">
        <v>1562</v>
      </c>
      <c r="B1563" s="30" t="s">
        <v>1587</v>
      </c>
      <c r="D1563" s="30" t="s">
        <v>1588</v>
      </c>
      <c r="F1563" s="30" t="s">
        <v>1591</v>
      </c>
      <c r="H1563" s="30" t="s">
        <v>1592</v>
      </c>
      <c r="L1563" s="30" t="s">
        <v>5228</v>
      </c>
      <c r="N1563" s="30" t="s">
        <v>1803</v>
      </c>
      <c r="P1563" s="30" t="s">
        <v>5233</v>
      </c>
      <c r="Q1563" t="s">
        <v>619</v>
      </c>
      <c r="R1563" t="s">
        <v>918</v>
      </c>
      <c r="S1563">
        <v>37</v>
      </c>
      <c r="T1563" s="29" t="str">
        <f t="shared" si="68"/>
        <v>2021.082B.R.Tevens_new_families.zip</v>
      </c>
      <c r="U1563" s="29" t="str">
        <f>HYPERLINK("https://ictv.global/taxonomy/taxondetails?taxnode_id=202307772","ictv.global=202307772")</f>
        <v>ictv.global=202307772</v>
      </c>
    </row>
    <row r="1564" spans="1:21">
      <c r="A1564">
        <v>1563</v>
      </c>
      <c r="B1564" s="30" t="s">
        <v>1587</v>
      </c>
      <c r="D1564" s="30" t="s">
        <v>1588</v>
      </c>
      <c r="F1564" s="30" t="s">
        <v>1591</v>
      </c>
      <c r="H1564" s="30" t="s">
        <v>1592</v>
      </c>
      <c r="L1564" s="30" t="s">
        <v>5228</v>
      </c>
      <c r="N1564" s="30" t="s">
        <v>1805</v>
      </c>
      <c r="P1564" s="30" t="s">
        <v>5234</v>
      </c>
      <c r="Q1564" t="s">
        <v>619</v>
      </c>
      <c r="R1564" t="s">
        <v>918</v>
      </c>
      <c r="S1564">
        <v>37</v>
      </c>
      <c r="T1564" s="29" t="str">
        <f t="shared" si="68"/>
        <v>2021.082B.R.Tevens_new_families.zip</v>
      </c>
      <c r="U1564" s="29" t="str">
        <f>HYPERLINK("https://ictv.global/taxonomy/taxondetails?taxnode_id=202307754","ictv.global=202307754")</f>
        <v>ictv.global=202307754</v>
      </c>
    </row>
    <row r="1565" spans="1:21">
      <c r="A1565">
        <v>1564</v>
      </c>
      <c r="B1565" s="30" t="s">
        <v>1587</v>
      </c>
      <c r="D1565" s="30" t="s">
        <v>1588</v>
      </c>
      <c r="F1565" s="30" t="s">
        <v>1591</v>
      </c>
      <c r="H1565" s="30" t="s">
        <v>1592</v>
      </c>
      <c r="L1565" s="30" t="s">
        <v>5228</v>
      </c>
      <c r="N1565" s="30" t="s">
        <v>1805</v>
      </c>
      <c r="P1565" s="30" t="s">
        <v>5235</v>
      </c>
      <c r="Q1565" t="s">
        <v>619</v>
      </c>
      <c r="R1565" t="s">
        <v>918</v>
      </c>
      <c r="S1565">
        <v>37</v>
      </c>
      <c r="T1565" s="29" t="str">
        <f t="shared" si="68"/>
        <v>2021.082B.R.Tevens_new_families.zip</v>
      </c>
      <c r="U1565" s="29" t="str">
        <f>HYPERLINK("https://ictv.global/taxonomy/taxondetails?taxnode_id=202307756","ictv.global=202307756")</f>
        <v>ictv.global=202307756</v>
      </c>
    </row>
    <row r="1566" spans="1:21">
      <c r="A1566">
        <v>1565</v>
      </c>
      <c r="B1566" s="30" t="s">
        <v>1587</v>
      </c>
      <c r="D1566" s="30" t="s">
        <v>1588</v>
      </c>
      <c r="F1566" s="30" t="s">
        <v>1591</v>
      </c>
      <c r="H1566" s="30" t="s">
        <v>1592</v>
      </c>
      <c r="L1566" s="30" t="s">
        <v>5228</v>
      </c>
      <c r="N1566" s="30" t="s">
        <v>1805</v>
      </c>
      <c r="P1566" s="30" t="s">
        <v>5236</v>
      </c>
      <c r="Q1566" t="s">
        <v>619</v>
      </c>
      <c r="R1566" t="s">
        <v>918</v>
      </c>
      <c r="S1566">
        <v>37</v>
      </c>
      <c r="T1566" s="29" t="str">
        <f t="shared" si="68"/>
        <v>2021.082B.R.Tevens_new_families.zip</v>
      </c>
      <c r="U1566" s="29" t="str">
        <f>HYPERLINK("https://ictv.global/taxonomy/taxondetails?taxnode_id=202307755","ictv.global=202307755")</f>
        <v>ictv.global=202307755</v>
      </c>
    </row>
    <row r="1567" spans="1:21">
      <c r="A1567">
        <v>1566</v>
      </c>
      <c r="B1567" s="30" t="s">
        <v>1587</v>
      </c>
      <c r="D1567" s="30" t="s">
        <v>1588</v>
      </c>
      <c r="F1567" s="30" t="s">
        <v>1591</v>
      </c>
      <c r="H1567" s="30" t="s">
        <v>1592</v>
      </c>
      <c r="L1567" s="30" t="s">
        <v>5228</v>
      </c>
      <c r="N1567" s="30" t="s">
        <v>1809</v>
      </c>
      <c r="P1567" s="30" t="s">
        <v>5237</v>
      </c>
      <c r="Q1567" t="s">
        <v>619</v>
      </c>
      <c r="R1567" t="s">
        <v>918</v>
      </c>
      <c r="S1567">
        <v>37</v>
      </c>
      <c r="T1567" s="29" t="str">
        <f t="shared" si="68"/>
        <v>2021.082B.R.Tevens_new_families.zip</v>
      </c>
      <c r="U1567" s="29" t="str">
        <f>HYPERLINK("https://ictv.global/taxonomy/taxondetails?taxnode_id=202307785","ictv.global=202307785")</f>
        <v>ictv.global=202307785</v>
      </c>
    </row>
    <row r="1568" spans="1:21">
      <c r="A1568">
        <v>1567</v>
      </c>
      <c r="B1568" s="30" t="s">
        <v>1587</v>
      </c>
      <c r="D1568" s="30" t="s">
        <v>1588</v>
      </c>
      <c r="F1568" s="30" t="s">
        <v>1591</v>
      </c>
      <c r="H1568" s="30" t="s">
        <v>1592</v>
      </c>
      <c r="L1568" s="30" t="s">
        <v>5228</v>
      </c>
      <c r="N1568" s="30" t="s">
        <v>5238</v>
      </c>
      <c r="P1568" s="30" t="s">
        <v>5239</v>
      </c>
      <c r="Q1568" t="s">
        <v>619</v>
      </c>
      <c r="R1568" t="s">
        <v>917</v>
      </c>
      <c r="S1568">
        <v>37</v>
      </c>
      <c r="T1568" s="29" t="str">
        <f t="shared" si="68"/>
        <v>2021.082B.R.Tevens_new_families.zip</v>
      </c>
      <c r="U1568" s="29" t="str">
        <f>HYPERLINK("https://ictv.global/taxonomy/taxondetails?taxnode_id=202312608","ictv.global=202312608")</f>
        <v>ictv.global=202312608</v>
      </c>
    </row>
    <row r="1569" spans="1:21">
      <c r="A1569">
        <v>1568</v>
      </c>
      <c r="B1569" s="30" t="s">
        <v>1587</v>
      </c>
      <c r="D1569" s="30" t="s">
        <v>1588</v>
      </c>
      <c r="F1569" s="30" t="s">
        <v>1591</v>
      </c>
      <c r="H1569" s="30" t="s">
        <v>1592</v>
      </c>
      <c r="L1569" s="30" t="s">
        <v>5228</v>
      </c>
      <c r="N1569" s="30" t="s">
        <v>1811</v>
      </c>
      <c r="P1569" s="30" t="s">
        <v>5240</v>
      </c>
      <c r="Q1569" t="s">
        <v>619</v>
      </c>
      <c r="R1569" t="s">
        <v>918</v>
      </c>
      <c r="S1569">
        <v>37</v>
      </c>
      <c r="T1569" s="29" t="str">
        <f t="shared" si="68"/>
        <v>2021.082B.R.Tevens_new_families.zip</v>
      </c>
      <c r="U1569" s="29" t="str">
        <f>HYPERLINK("https://ictv.global/taxonomy/taxondetails?taxnode_id=202307791","ictv.global=202307791")</f>
        <v>ictv.global=202307791</v>
      </c>
    </row>
    <row r="1570" spans="1:21">
      <c r="A1570">
        <v>1569</v>
      </c>
      <c r="B1570" s="30" t="s">
        <v>1587</v>
      </c>
      <c r="D1570" s="30" t="s">
        <v>1588</v>
      </c>
      <c r="F1570" s="30" t="s">
        <v>1591</v>
      </c>
      <c r="H1570" s="30" t="s">
        <v>1592</v>
      </c>
      <c r="L1570" s="30" t="s">
        <v>5228</v>
      </c>
      <c r="N1570" s="30" t="s">
        <v>1811</v>
      </c>
      <c r="P1570" s="30" t="s">
        <v>5241</v>
      </c>
      <c r="Q1570" t="s">
        <v>619</v>
      </c>
      <c r="R1570" t="s">
        <v>918</v>
      </c>
      <c r="S1570">
        <v>37</v>
      </c>
      <c r="T1570" s="29" t="str">
        <f t="shared" si="68"/>
        <v>2021.082B.R.Tevens_new_families.zip</v>
      </c>
      <c r="U1570" s="29" t="str">
        <f>HYPERLINK("https://ictv.global/taxonomy/taxondetails?taxnode_id=202307792","ictv.global=202307792")</f>
        <v>ictv.global=202307792</v>
      </c>
    </row>
    <row r="1571" spans="1:21">
      <c r="A1571">
        <v>1570</v>
      </c>
      <c r="B1571" s="30" t="s">
        <v>1587</v>
      </c>
      <c r="D1571" s="30" t="s">
        <v>1588</v>
      </c>
      <c r="F1571" s="30" t="s">
        <v>1591</v>
      </c>
      <c r="H1571" s="30" t="s">
        <v>1592</v>
      </c>
      <c r="L1571" s="30" t="s">
        <v>5228</v>
      </c>
      <c r="N1571" s="30" t="s">
        <v>1811</v>
      </c>
      <c r="P1571" s="30" t="s">
        <v>5242</v>
      </c>
      <c r="Q1571" t="s">
        <v>619</v>
      </c>
      <c r="R1571" t="s">
        <v>918</v>
      </c>
      <c r="S1571">
        <v>37</v>
      </c>
      <c r="T1571" s="29" t="str">
        <f t="shared" si="68"/>
        <v>2021.082B.R.Tevens_new_families.zip</v>
      </c>
      <c r="U1571" s="29" t="str">
        <f>HYPERLINK("https://ictv.global/taxonomy/taxondetails?taxnode_id=202307793","ictv.global=202307793")</f>
        <v>ictv.global=202307793</v>
      </c>
    </row>
    <row r="1572" spans="1:21">
      <c r="A1572">
        <v>1571</v>
      </c>
      <c r="B1572" s="30" t="s">
        <v>1587</v>
      </c>
      <c r="D1572" s="30" t="s">
        <v>1588</v>
      </c>
      <c r="F1572" s="30" t="s">
        <v>1591</v>
      </c>
      <c r="H1572" s="30" t="s">
        <v>1592</v>
      </c>
      <c r="L1572" s="30" t="s">
        <v>5228</v>
      </c>
      <c r="N1572" s="30" t="s">
        <v>5243</v>
      </c>
      <c r="P1572" s="30" t="s">
        <v>5244</v>
      </c>
      <c r="Q1572" t="s">
        <v>619</v>
      </c>
      <c r="R1572" t="s">
        <v>917</v>
      </c>
      <c r="S1572">
        <v>37</v>
      </c>
      <c r="T1572" s="29" t="str">
        <f t="shared" si="68"/>
        <v>2021.082B.R.Tevens_new_families.zip</v>
      </c>
      <c r="U1572" s="29" t="str">
        <f>HYPERLINK("https://ictv.global/taxonomy/taxondetails?taxnode_id=202313964","ictv.global=202313964")</f>
        <v>ictv.global=202313964</v>
      </c>
    </row>
    <row r="1573" spans="1:21">
      <c r="A1573">
        <v>1572</v>
      </c>
      <c r="B1573" s="30" t="s">
        <v>1587</v>
      </c>
      <c r="D1573" s="30" t="s">
        <v>1588</v>
      </c>
      <c r="F1573" s="30" t="s">
        <v>1591</v>
      </c>
      <c r="H1573" s="30" t="s">
        <v>1592</v>
      </c>
      <c r="L1573" s="30" t="s">
        <v>5228</v>
      </c>
      <c r="N1573" s="30" t="s">
        <v>5243</v>
      </c>
      <c r="P1573" s="30" t="s">
        <v>5245</v>
      </c>
      <c r="Q1573" t="s">
        <v>619</v>
      </c>
      <c r="R1573" t="s">
        <v>917</v>
      </c>
      <c r="S1573">
        <v>37</v>
      </c>
      <c r="T1573" s="29" t="str">
        <f t="shared" si="68"/>
        <v>2021.082B.R.Tevens_new_families.zip</v>
      </c>
      <c r="U1573" s="29" t="str">
        <f>HYPERLINK("https://ictv.global/taxonomy/taxondetails?taxnode_id=202313965","ictv.global=202313965")</f>
        <v>ictv.global=202313965</v>
      </c>
    </row>
    <row r="1574" spans="1:21">
      <c r="A1574">
        <v>1573</v>
      </c>
      <c r="B1574" s="30" t="s">
        <v>1587</v>
      </c>
      <c r="D1574" s="30" t="s">
        <v>1588</v>
      </c>
      <c r="F1574" s="30" t="s">
        <v>1591</v>
      </c>
      <c r="H1574" s="30" t="s">
        <v>1592</v>
      </c>
      <c r="L1574" s="30" t="s">
        <v>5228</v>
      </c>
      <c r="N1574" s="30" t="s">
        <v>1813</v>
      </c>
      <c r="P1574" s="30" t="s">
        <v>5246</v>
      </c>
      <c r="Q1574" t="s">
        <v>619</v>
      </c>
      <c r="R1574" t="s">
        <v>918</v>
      </c>
      <c r="S1574">
        <v>37</v>
      </c>
      <c r="T1574" s="29" t="str">
        <f t="shared" si="68"/>
        <v>2021.082B.R.Tevens_new_families.zip</v>
      </c>
      <c r="U1574" s="29" t="str">
        <f>HYPERLINK("https://ictv.global/taxonomy/taxondetails?taxnode_id=202307774","ictv.global=202307774")</f>
        <v>ictv.global=202307774</v>
      </c>
    </row>
    <row r="1575" spans="1:21">
      <c r="A1575">
        <v>1574</v>
      </c>
      <c r="B1575" s="30" t="s">
        <v>1587</v>
      </c>
      <c r="D1575" s="30" t="s">
        <v>1588</v>
      </c>
      <c r="F1575" s="30" t="s">
        <v>1591</v>
      </c>
      <c r="H1575" s="30" t="s">
        <v>1592</v>
      </c>
      <c r="L1575" s="30" t="s">
        <v>5228</v>
      </c>
      <c r="N1575" s="30" t="s">
        <v>1814</v>
      </c>
      <c r="P1575" s="30" t="s">
        <v>5247</v>
      </c>
      <c r="Q1575" t="s">
        <v>619</v>
      </c>
      <c r="R1575" t="s">
        <v>918</v>
      </c>
      <c r="S1575">
        <v>37</v>
      </c>
      <c r="T1575" s="29" t="str">
        <f t="shared" si="68"/>
        <v>2021.082B.R.Tevens_new_families.zip</v>
      </c>
      <c r="U1575" s="29" t="str">
        <f>HYPERLINK("https://ictv.global/taxonomy/taxondetails?taxnode_id=202307776","ictv.global=202307776")</f>
        <v>ictv.global=202307776</v>
      </c>
    </row>
    <row r="1576" spans="1:21">
      <c r="A1576">
        <v>1575</v>
      </c>
      <c r="B1576" s="30" t="s">
        <v>1587</v>
      </c>
      <c r="D1576" s="30" t="s">
        <v>1588</v>
      </c>
      <c r="F1576" s="30" t="s">
        <v>1591</v>
      </c>
      <c r="H1576" s="30" t="s">
        <v>1592</v>
      </c>
      <c r="L1576" s="30" t="s">
        <v>5228</v>
      </c>
      <c r="N1576" s="30" t="s">
        <v>5248</v>
      </c>
      <c r="P1576" s="30" t="s">
        <v>5249</v>
      </c>
      <c r="Q1576" t="s">
        <v>619</v>
      </c>
      <c r="R1576" t="s">
        <v>917</v>
      </c>
      <c r="S1576">
        <v>37</v>
      </c>
      <c r="T1576" s="29" t="str">
        <f t="shared" si="68"/>
        <v>2021.082B.R.Tevens_new_families.zip</v>
      </c>
      <c r="U1576" s="29" t="str">
        <f>HYPERLINK("https://ictv.global/taxonomy/taxondetails?taxnode_id=202313991","ictv.global=202313991")</f>
        <v>ictv.global=202313991</v>
      </c>
    </row>
    <row r="1577" spans="1:21">
      <c r="A1577">
        <v>1576</v>
      </c>
      <c r="B1577" s="30" t="s">
        <v>1587</v>
      </c>
      <c r="D1577" s="30" t="s">
        <v>1588</v>
      </c>
      <c r="F1577" s="30" t="s">
        <v>1591</v>
      </c>
      <c r="H1577" s="30" t="s">
        <v>1592</v>
      </c>
      <c r="L1577" s="30" t="s">
        <v>5228</v>
      </c>
      <c r="N1577" s="30" t="s">
        <v>5250</v>
      </c>
      <c r="P1577" s="30" t="s">
        <v>5251</v>
      </c>
      <c r="Q1577" t="s">
        <v>619</v>
      </c>
      <c r="R1577" t="s">
        <v>917</v>
      </c>
      <c r="S1577">
        <v>37</v>
      </c>
      <c r="T1577" s="29" t="str">
        <f t="shared" si="68"/>
        <v>2021.082B.R.Tevens_new_families.zip</v>
      </c>
      <c r="U1577" s="29" t="str">
        <f>HYPERLINK("https://ictv.global/taxonomy/taxondetails?taxnode_id=202313993","ictv.global=202313993")</f>
        <v>ictv.global=202313993</v>
      </c>
    </row>
    <row r="1578" spans="1:21">
      <c r="A1578">
        <v>1577</v>
      </c>
      <c r="B1578" s="30" t="s">
        <v>1587</v>
      </c>
      <c r="D1578" s="30" t="s">
        <v>1588</v>
      </c>
      <c r="F1578" s="30" t="s">
        <v>1591</v>
      </c>
      <c r="H1578" s="30" t="s">
        <v>1592</v>
      </c>
      <c r="L1578" s="30" t="s">
        <v>5228</v>
      </c>
      <c r="N1578" s="30" t="s">
        <v>5252</v>
      </c>
      <c r="P1578" s="30" t="s">
        <v>5253</v>
      </c>
      <c r="Q1578" t="s">
        <v>619</v>
      </c>
      <c r="R1578" t="s">
        <v>917</v>
      </c>
      <c r="S1578">
        <v>37</v>
      </c>
      <c r="T1578" s="29" t="str">
        <f t="shared" si="68"/>
        <v>2021.082B.R.Tevens_new_families.zip</v>
      </c>
      <c r="U1578" s="29" t="str">
        <f>HYPERLINK("https://ictv.global/taxonomy/taxondetails?taxnode_id=202313962","ictv.global=202313962")</f>
        <v>ictv.global=202313962</v>
      </c>
    </row>
    <row r="1579" spans="1:21">
      <c r="A1579">
        <v>1578</v>
      </c>
      <c r="B1579" s="30" t="s">
        <v>1587</v>
      </c>
      <c r="D1579" s="30" t="s">
        <v>1588</v>
      </c>
      <c r="F1579" s="30" t="s">
        <v>1591</v>
      </c>
      <c r="H1579" s="30" t="s">
        <v>1592</v>
      </c>
      <c r="L1579" s="30" t="s">
        <v>5228</v>
      </c>
      <c r="N1579" s="30" t="s">
        <v>5254</v>
      </c>
      <c r="P1579" s="30" t="s">
        <v>5255</v>
      </c>
      <c r="Q1579" t="s">
        <v>619</v>
      </c>
      <c r="R1579" t="s">
        <v>917</v>
      </c>
      <c r="S1579">
        <v>37</v>
      </c>
      <c r="T1579" s="29" t="str">
        <f t="shared" si="68"/>
        <v>2021.082B.R.Tevens_new_families.zip</v>
      </c>
      <c r="U1579" s="29" t="str">
        <f>HYPERLINK("https://ictv.global/taxonomy/taxondetails?taxnode_id=202313995","ictv.global=202313995")</f>
        <v>ictv.global=202313995</v>
      </c>
    </row>
    <row r="1580" spans="1:21">
      <c r="A1580">
        <v>1579</v>
      </c>
      <c r="B1580" s="30" t="s">
        <v>1587</v>
      </c>
      <c r="D1580" s="30" t="s">
        <v>1588</v>
      </c>
      <c r="F1580" s="30" t="s">
        <v>1591</v>
      </c>
      <c r="H1580" s="30" t="s">
        <v>1592</v>
      </c>
      <c r="L1580" s="30" t="s">
        <v>5228</v>
      </c>
      <c r="N1580" s="30" t="s">
        <v>5256</v>
      </c>
      <c r="P1580" s="30" t="s">
        <v>5257</v>
      </c>
      <c r="Q1580" t="s">
        <v>619</v>
      </c>
      <c r="R1580" t="s">
        <v>917</v>
      </c>
      <c r="S1580">
        <v>37</v>
      </c>
      <c r="T1580" s="29" t="str">
        <f t="shared" si="68"/>
        <v>2021.082B.R.Tevens_new_families.zip</v>
      </c>
      <c r="U1580" s="29" t="str">
        <f>HYPERLINK("https://ictv.global/taxonomy/taxondetails?taxnode_id=202313984","ictv.global=202313984")</f>
        <v>ictv.global=202313984</v>
      </c>
    </row>
    <row r="1581" spans="1:21">
      <c r="A1581">
        <v>1580</v>
      </c>
      <c r="B1581" s="30" t="s">
        <v>1587</v>
      </c>
      <c r="D1581" s="30" t="s">
        <v>1588</v>
      </c>
      <c r="F1581" s="30" t="s">
        <v>1591</v>
      </c>
      <c r="H1581" s="30" t="s">
        <v>1592</v>
      </c>
      <c r="L1581" s="30" t="s">
        <v>5228</v>
      </c>
      <c r="N1581" s="30" t="s">
        <v>5258</v>
      </c>
      <c r="P1581" s="30" t="s">
        <v>5259</v>
      </c>
      <c r="Q1581" t="s">
        <v>619</v>
      </c>
      <c r="R1581" t="s">
        <v>917</v>
      </c>
      <c r="S1581">
        <v>37</v>
      </c>
      <c r="T1581" s="29" t="str">
        <f t="shared" si="68"/>
        <v>2021.082B.R.Tevens_new_families.zip</v>
      </c>
      <c r="U1581" s="29" t="str">
        <f>HYPERLINK("https://ictv.global/taxonomy/taxondetails?taxnode_id=202313976","ictv.global=202313976")</f>
        <v>ictv.global=202313976</v>
      </c>
    </row>
    <row r="1582" spans="1:21">
      <c r="A1582">
        <v>1581</v>
      </c>
      <c r="B1582" s="30" t="s">
        <v>1587</v>
      </c>
      <c r="D1582" s="30" t="s">
        <v>1588</v>
      </c>
      <c r="F1582" s="30" t="s">
        <v>1591</v>
      </c>
      <c r="H1582" s="30" t="s">
        <v>1592</v>
      </c>
      <c r="L1582" s="30" t="s">
        <v>5228</v>
      </c>
      <c r="N1582" s="30" t="s">
        <v>5260</v>
      </c>
      <c r="P1582" s="30" t="s">
        <v>5261</v>
      </c>
      <c r="Q1582" t="s">
        <v>619</v>
      </c>
      <c r="R1582" t="s">
        <v>917</v>
      </c>
      <c r="S1582">
        <v>38</v>
      </c>
      <c r="T1582" s="29" t="str">
        <f>HYPERLINK("https://ictv.global/ictv/proposals/2022.043B.Kyanoviridae_7ng.zip","2022.043B.Kyanoviridae_7ng.zip")</f>
        <v>2022.043B.Kyanoviridae_7ng.zip</v>
      </c>
      <c r="U1582" s="29" t="str">
        <f>HYPERLINK("https://ictv.global/taxonomy/taxondetails?taxnode_id=202314651","ictv.global=202314651")</f>
        <v>ictv.global=202314651</v>
      </c>
    </row>
    <row r="1583" spans="1:21">
      <c r="A1583">
        <v>1582</v>
      </c>
      <c r="B1583" s="30" t="s">
        <v>1587</v>
      </c>
      <c r="D1583" s="30" t="s">
        <v>1588</v>
      </c>
      <c r="F1583" s="30" t="s">
        <v>1591</v>
      </c>
      <c r="H1583" s="30" t="s">
        <v>1592</v>
      </c>
      <c r="L1583" s="30" t="s">
        <v>5228</v>
      </c>
      <c r="N1583" s="30" t="s">
        <v>1820</v>
      </c>
      <c r="P1583" s="30" t="s">
        <v>5262</v>
      </c>
      <c r="Q1583" t="s">
        <v>619</v>
      </c>
      <c r="R1583" t="s">
        <v>918</v>
      </c>
      <c r="S1583">
        <v>37</v>
      </c>
      <c r="T1583" s="29" t="str">
        <f t="shared" ref="T1583:T1589" si="69">HYPERLINK("https://ictv.global/ictv/proposals/2021.082B.R.Tevens_new_families.zip","2021.082B.R.Tevens_new_families.zip")</f>
        <v>2021.082B.R.Tevens_new_families.zip</v>
      </c>
      <c r="U1583" s="29" t="str">
        <f>HYPERLINK("https://ictv.global/taxonomy/taxondetails?taxnode_id=202307805","ictv.global=202307805")</f>
        <v>ictv.global=202307805</v>
      </c>
    </row>
    <row r="1584" spans="1:21">
      <c r="A1584">
        <v>1583</v>
      </c>
      <c r="B1584" s="30" t="s">
        <v>1587</v>
      </c>
      <c r="D1584" s="30" t="s">
        <v>1588</v>
      </c>
      <c r="F1584" s="30" t="s">
        <v>1591</v>
      </c>
      <c r="H1584" s="30" t="s">
        <v>1592</v>
      </c>
      <c r="L1584" s="30" t="s">
        <v>5228</v>
      </c>
      <c r="N1584" s="30" t="s">
        <v>1822</v>
      </c>
      <c r="P1584" s="30" t="s">
        <v>5263</v>
      </c>
      <c r="Q1584" t="s">
        <v>619</v>
      </c>
      <c r="R1584" t="s">
        <v>918</v>
      </c>
      <c r="S1584">
        <v>37</v>
      </c>
      <c r="T1584" s="29" t="str">
        <f t="shared" si="69"/>
        <v>2021.082B.R.Tevens_new_families.zip</v>
      </c>
      <c r="U1584" s="29" t="str">
        <f>HYPERLINK("https://ictv.global/taxonomy/taxondetails?taxnode_id=202307814","ictv.global=202307814")</f>
        <v>ictv.global=202307814</v>
      </c>
    </row>
    <row r="1585" spans="1:21">
      <c r="A1585">
        <v>1584</v>
      </c>
      <c r="B1585" s="30" t="s">
        <v>1587</v>
      </c>
      <c r="D1585" s="30" t="s">
        <v>1588</v>
      </c>
      <c r="F1585" s="30" t="s">
        <v>1591</v>
      </c>
      <c r="H1585" s="30" t="s">
        <v>1592</v>
      </c>
      <c r="L1585" s="30" t="s">
        <v>5228</v>
      </c>
      <c r="N1585" s="30" t="s">
        <v>1822</v>
      </c>
      <c r="P1585" s="30" t="s">
        <v>5264</v>
      </c>
      <c r="Q1585" t="s">
        <v>619</v>
      </c>
      <c r="R1585" t="s">
        <v>918</v>
      </c>
      <c r="S1585">
        <v>37</v>
      </c>
      <c r="T1585" s="29" t="str">
        <f t="shared" si="69"/>
        <v>2021.082B.R.Tevens_new_families.zip</v>
      </c>
      <c r="U1585" s="29" t="str">
        <f>HYPERLINK("https://ictv.global/taxonomy/taxondetails?taxnode_id=202307813","ictv.global=202307813")</f>
        <v>ictv.global=202307813</v>
      </c>
    </row>
    <row r="1586" spans="1:21">
      <c r="A1586">
        <v>1585</v>
      </c>
      <c r="B1586" s="30" t="s">
        <v>1587</v>
      </c>
      <c r="D1586" s="30" t="s">
        <v>1588</v>
      </c>
      <c r="F1586" s="30" t="s">
        <v>1591</v>
      </c>
      <c r="H1586" s="30" t="s">
        <v>1592</v>
      </c>
      <c r="L1586" s="30" t="s">
        <v>5228</v>
      </c>
      <c r="N1586" s="30" t="s">
        <v>1823</v>
      </c>
      <c r="P1586" s="30" t="s">
        <v>5265</v>
      </c>
      <c r="Q1586" t="s">
        <v>619</v>
      </c>
      <c r="R1586" t="s">
        <v>918</v>
      </c>
      <c r="S1586">
        <v>37</v>
      </c>
      <c r="T1586" s="29" t="str">
        <f t="shared" si="69"/>
        <v>2021.082B.R.Tevens_new_families.zip</v>
      </c>
      <c r="U1586" s="29" t="str">
        <f>HYPERLINK("https://ictv.global/taxonomy/taxondetails?taxnode_id=202307821","ictv.global=202307821")</f>
        <v>ictv.global=202307821</v>
      </c>
    </row>
    <row r="1587" spans="1:21">
      <c r="A1587">
        <v>1586</v>
      </c>
      <c r="B1587" s="30" t="s">
        <v>1587</v>
      </c>
      <c r="D1587" s="30" t="s">
        <v>1588</v>
      </c>
      <c r="F1587" s="30" t="s">
        <v>1591</v>
      </c>
      <c r="H1587" s="30" t="s">
        <v>1592</v>
      </c>
      <c r="L1587" s="30" t="s">
        <v>5228</v>
      </c>
      <c r="N1587" s="30" t="s">
        <v>5266</v>
      </c>
      <c r="P1587" s="30" t="s">
        <v>5267</v>
      </c>
      <c r="Q1587" t="s">
        <v>619</v>
      </c>
      <c r="R1587" t="s">
        <v>917</v>
      </c>
      <c r="S1587">
        <v>37</v>
      </c>
      <c r="T1587" s="29" t="str">
        <f t="shared" si="69"/>
        <v>2021.082B.R.Tevens_new_families.zip</v>
      </c>
      <c r="U1587" s="29" t="str">
        <f>HYPERLINK("https://ictv.global/taxonomy/taxondetails?taxnode_id=202313970","ictv.global=202313970")</f>
        <v>ictv.global=202313970</v>
      </c>
    </row>
    <row r="1588" spans="1:21">
      <c r="A1588">
        <v>1587</v>
      </c>
      <c r="B1588" s="30" t="s">
        <v>1587</v>
      </c>
      <c r="D1588" s="30" t="s">
        <v>1588</v>
      </c>
      <c r="F1588" s="30" t="s">
        <v>1591</v>
      </c>
      <c r="H1588" s="30" t="s">
        <v>1592</v>
      </c>
      <c r="L1588" s="30" t="s">
        <v>5228</v>
      </c>
      <c r="N1588" s="30" t="s">
        <v>5268</v>
      </c>
      <c r="P1588" s="30" t="s">
        <v>5269</v>
      </c>
      <c r="Q1588" t="s">
        <v>619</v>
      </c>
      <c r="R1588" t="s">
        <v>917</v>
      </c>
      <c r="S1588">
        <v>37</v>
      </c>
      <c r="T1588" s="29" t="str">
        <f t="shared" si="69"/>
        <v>2021.082B.R.Tevens_new_families.zip</v>
      </c>
      <c r="U1588" s="29" t="str">
        <f>HYPERLINK("https://ictv.global/taxonomy/taxondetails?taxnode_id=202313972","ictv.global=202313972")</f>
        <v>ictv.global=202313972</v>
      </c>
    </row>
    <row r="1589" spans="1:21">
      <c r="A1589">
        <v>1588</v>
      </c>
      <c r="B1589" s="30" t="s">
        <v>1587</v>
      </c>
      <c r="D1589" s="30" t="s">
        <v>1588</v>
      </c>
      <c r="F1589" s="30" t="s">
        <v>1591</v>
      </c>
      <c r="H1589" s="30" t="s">
        <v>1592</v>
      </c>
      <c r="L1589" s="30" t="s">
        <v>5228</v>
      </c>
      <c r="N1589" s="30" t="s">
        <v>5270</v>
      </c>
      <c r="P1589" s="30" t="s">
        <v>5271</v>
      </c>
      <c r="Q1589" t="s">
        <v>619</v>
      </c>
      <c r="R1589" t="s">
        <v>917</v>
      </c>
      <c r="S1589">
        <v>37</v>
      </c>
      <c r="T1589" s="29" t="str">
        <f t="shared" si="69"/>
        <v>2021.082B.R.Tevens_new_families.zip</v>
      </c>
      <c r="U1589" s="29" t="str">
        <f>HYPERLINK("https://ictv.global/taxonomy/taxondetails?taxnode_id=202313982","ictv.global=202313982")</f>
        <v>ictv.global=202313982</v>
      </c>
    </row>
    <row r="1590" spans="1:21">
      <c r="A1590">
        <v>1589</v>
      </c>
      <c r="B1590" s="30" t="s">
        <v>1587</v>
      </c>
      <c r="D1590" s="30" t="s">
        <v>1588</v>
      </c>
      <c r="F1590" s="30" t="s">
        <v>1591</v>
      </c>
      <c r="H1590" s="30" t="s">
        <v>1592</v>
      </c>
      <c r="L1590" s="30" t="s">
        <v>5228</v>
      </c>
      <c r="N1590" s="30" t="s">
        <v>5272</v>
      </c>
      <c r="P1590" s="30" t="s">
        <v>5273</v>
      </c>
      <c r="Q1590" t="s">
        <v>619</v>
      </c>
      <c r="R1590" t="s">
        <v>917</v>
      </c>
      <c r="S1590">
        <v>38</v>
      </c>
      <c r="T1590" s="29" t="str">
        <f>HYPERLINK("https://ictv.global/ictv/proposals/2022.043B.Kyanoviridae_7ng.zip","2022.043B.Kyanoviridae_7ng.zip")</f>
        <v>2022.043B.Kyanoviridae_7ng.zip</v>
      </c>
      <c r="U1590" s="29" t="str">
        <f>HYPERLINK("https://ictv.global/taxonomy/taxondetails?taxnode_id=202314657","ictv.global=202314657")</f>
        <v>ictv.global=202314657</v>
      </c>
    </row>
    <row r="1591" spans="1:21">
      <c r="A1591">
        <v>1590</v>
      </c>
      <c r="B1591" s="30" t="s">
        <v>1587</v>
      </c>
      <c r="D1591" s="30" t="s">
        <v>1588</v>
      </c>
      <c r="F1591" s="30" t="s">
        <v>1591</v>
      </c>
      <c r="H1591" s="30" t="s">
        <v>1592</v>
      </c>
      <c r="L1591" s="30" t="s">
        <v>5228</v>
      </c>
      <c r="N1591" s="30" t="s">
        <v>5274</v>
      </c>
      <c r="P1591" s="30" t="s">
        <v>5275</v>
      </c>
      <c r="Q1591" t="s">
        <v>619</v>
      </c>
      <c r="R1591" t="s">
        <v>917</v>
      </c>
      <c r="S1591">
        <v>37</v>
      </c>
      <c r="T1591" s="29" t="str">
        <f t="shared" ref="T1591:T1609" si="70">HYPERLINK("https://ictv.global/ictv/proposals/2021.082B.R.Tevens_new_families.zip","2021.082B.R.Tevens_new_families.zip")</f>
        <v>2021.082B.R.Tevens_new_families.zip</v>
      </c>
      <c r="U1591" s="29" t="str">
        <f>HYPERLINK("https://ictv.global/taxonomy/taxondetails?taxnode_id=202313974","ictv.global=202313974")</f>
        <v>ictv.global=202313974</v>
      </c>
    </row>
    <row r="1592" spans="1:21">
      <c r="A1592">
        <v>1591</v>
      </c>
      <c r="B1592" s="30" t="s">
        <v>1587</v>
      </c>
      <c r="D1592" s="30" t="s">
        <v>1588</v>
      </c>
      <c r="F1592" s="30" t="s">
        <v>1591</v>
      </c>
      <c r="H1592" s="30" t="s">
        <v>1592</v>
      </c>
      <c r="L1592" s="30" t="s">
        <v>5228</v>
      </c>
      <c r="N1592" s="30" t="s">
        <v>1826</v>
      </c>
      <c r="P1592" s="30" t="s">
        <v>5276</v>
      </c>
      <c r="Q1592" t="s">
        <v>619</v>
      </c>
      <c r="R1592" t="s">
        <v>918</v>
      </c>
      <c r="S1592">
        <v>37</v>
      </c>
      <c r="T1592" s="29" t="str">
        <f t="shared" si="70"/>
        <v>2021.082B.R.Tevens_new_families.zip</v>
      </c>
      <c r="U1592" s="29" t="str">
        <f>HYPERLINK("https://ictv.global/taxonomy/taxondetails?taxnode_id=202307760","ictv.global=202307760")</f>
        <v>ictv.global=202307760</v>
      </c>
    </row>
    <row r="1593" spans="1:21">
      <c r="A1593">
        <v>1592</v>
      </c>
      <c r="B1593" s="30" t="s">
        <v>1587</v>
      </c>
      <c r="D1593" s="30" t="s">
        <v>1588</v>
      </c>
      <c r="F1593" s="30" t="s">
        <v>1591</v>
      </c>
      <c r="H1593" s="30" t="s">
        <v>1592</v>
      </c>
      <c r="L1593" s="30" t="s">
        <v>5228</v>
      </c>
      <c r="N1593" s="30" t="s">
        <v>1829</v>
      </c>
      <c r="P1593" s="30" t="s">
        <v>5277</v>
      </c>
      <c r="Q1593" t="s">
        <v>619</v>
      </c>
      <c r="R1593" t="s">
        <v>918</v>
      </c>
      <c r="S1593">
        <v>37</v>
      </c>
      <c r="T1593" s="29" t="str">
        <f t="shared" si="70"/>
        <v>2021.082B.R.Tevens_new_families.zip</v>
      </c>
      <c r="U1593" s="29" t="str">
        <f>HYPERLINK("https://ictv.global/taxonomy/taxondetails?taxnode_id=202307801","ictv.global=202307801")</f>
        <v>ictv.global=202307801</v>
      </c>
    </row>
    <row r="1594" spans="1:21">
      <c r="A1594">
        <v>1593</v>
      </c>
      <c r="B1594" s="30" t="s">
        <v>1587</v>
      </c>
      <c r="D1594" s="30" t="s">
        <v>1588</v>
      </c>
      <c r="F1594" s="30" t="s">
        <v>1591</v>
      </c>
      <c r="H1594" s="30" t="s">
        <v>1592</v>
      </c>
      <c r="L1594" s="30" t="s">
        <v>5228</v>
      </c>
      <c r="N1594" s="30" t="s">
        <v>1830</v>
      </c>
      <c r="P1594" s="30" t="s">
        <v>5278</v>
      </c>
      <c r="Q1594" t="s">
        <v>619</v>
      </c>
      <c r="R1594" t="s">
        <v>918</v>
      </c>
      <c r="S1594">
        <v>37</v>
      </c>
      <c r="T1594" s="29" t="str">
        <f t="shared" si="70"/>
        <v>2021.082B.R.Tevens_new_families.zip</v>
      </c>
      <c r="U1594" s="29" t="str">
        <f>HYPERLINK("https://ictv.global/taxonomy/taxondetails?taxnode_id=202307782","ictv.global=202307782")</f>
        <v>ictv.global=202307782</v>
      </c>
    </row>
    <row r="1595" spans="1:21">
      <c r="A1595">
        <v>1594</v>
      </c>
      <c r="B1595" s="30" t="s">
        <v>1587</v>
      </c>
      <c r="D1595" s="30" t="s">
        <v>1588</v>
      </c>
      <c r="F1595" s="30" t="s">
        <v>1591</v>
      </c>
      <c r="H1595" s="30" t="s">
        <v>1592</v>
      </c>
      <c r="L1595" s="30" t="s">
        <v>5228</v>
      </c>
      <c r="N1595" s="30" t="s">
        <v>1830</v>
      </c>
      <c r="P1595" s="30" t="s">
        <v>5279</v>
      </c>
      <c r="Q1595" t="s">
        <v>619</v>
      </c>
      <c r="R1595" t="s">
        <v>918</v>
      </c>
      <c r="S1595">
        <v>37</v>
      </c>
      <c r="T1595" s="29" t="str">
        <f t="shared" si="70"/>
        <v>2021.082B.R.Tevens_new_families.zip</v>
      </c>
      <c r="U1595" s="29" t="str">
        <f>HYPERLINK("https://ictv.global/taxonomy/taxondetails?taxnode_id=202307783","ictv.global=202307783")</f>
        <v>ictv.global=202307783</v>
      </c>
    </row>
    <row r="1596" spans="1:21">
      <c r="A1596">
        <v>1595</v>
      </c>
      <c r="B1596" s="30" t="s">
        <v>1587</v>
      </c>
      <c r="D1596" s="30" t="s">
        <v>1588</v>
      </c>
      <c r="F1596" s="30" t="s">
        <v>1591</v>
      </c>
      <c r="H1596" s="30" t="s">
        <v>1592</v>
      </c>
      <c r="L1596" s="30" t="s">
        <v>5228</v>
      </c>
      <c r="N1596" s="30" t="s">
        <v>1831</v>
      </c>
      <c r="P1596" s="30" t="s">
        <v>5280</v>
      </c>
      <c r="Q1596" t="s">
        <v>619</v>
      </c>
      <c r="R1596" t="s">
        <v>918</v>
      </c>
      <c r="S1596">
        <v>37</v>
      </c>
      <c r="T1596" s="29" t="str">
        <f t="shared" si="70"/>
        <v>2021.082B.R.Tevens_new_families.zip</v>
      </c>
      <c r="U1596" s="29" t="str">
        <f>HYPERLINK("https://ictv.global/taxonomy/taxondetails?taxnode_id=202307796","ictv.global=202307796")</f>
        <v>ictv.global=202307796</v>
      </c>
    </row>
    <row r="1597" spans="1:21">
      <c r="A1597">
        <v>1596</v>
      </c>
      <c r="B1597" s="30" t="s">
        <v>1587</v>
      </c>
      <c r="D1597" s="30" t="s">
        <v>1588</v>
      </c>
      <c r="F1597" s="30" t="s">
        <v>1591</v>
      </c>
      <c r="H1597" s="30" t="s">
        <v>1592</v>
      </c>
      <c r="L1597" s="30" t="s">
        <v>5228</v>
      </c>
      <c r="N1597" s="30" t="s">
        <v>1831</v>
      </c>
      <c r="P1597" s="30" t="s">
        <v>5281</v>
      </c>
      <c r="Q1597" t="s">
        <v>619</v>
      </c>
      <c r="R1597" t="s">
        <v>918</v>
      </c>
      <c r="S1597">
        <v>37</v>
      </c>
      <c r="T1597" s="29" t="str">
        <f t="shared" si="70"/>
        <v>2021.082B.R.Tevens_new_families.zip</v>
      </c>
      <c r="U1597" s="29" t="str">
        <f>HYPERLINK("https://ictv.global/taxonomy/taxondetails?taxnode_id=202307797","ictv.global=202307797")</f>
        <v>ictv.global=202307797</v>
      </c>
    </row>
    <row r="1598" spans="1:21">
      <c r="A1598">
        <v>1597</v>
      </c>
      <c r="B1598" s="30" t="s">
        <v>1587</v>
      </c>
      <c r="D1598" s="30" t="s">
        <v>1588</v>
      </c>
      <c r="F1598" s="30" t="s">
        <v>1591</v>
      </c>
      <c r="H1598" s="30" t="s">
        <v>1592</v>
      </c>
      <c r="L1598" s="30" t="s">
        <v>5228</v>
      </c>
      <c r="N1598" s="30" t="s">
        <v>5282</v>
      </c>
      <c r="P1598" s="30" t="s">
        <v>5283</v>
      </c>
      <c r="Q1598" t="s">
        <v>619</v>
      </c>
      <c r="R1598" t="s">
        <v>917</v>
      </c>
      <c r="S1598">
        <v>37</v>
      </c>
      <c r="T1598" s="29" t="str">
        <f t="shared" si="70"/>
        <v>2021.082B.R.Tevens_new_families.zip</v>
      </c>
      <c r="U1598" s="29" t="str">
        <f>HYPERLINK("https://ictv.global/taxonomy/taxondetails?taxnode_id=202313999","ictv.global=202313999")</f>
        <v>ictv.global=202313999</v>
      </c>
    </row>
    <row r="1599" spans="1:21">
      <c r="A1599">
        <v>1598</v>
      </c>
      <c r="B1599" s="30" t="s">
        <v>1587</v>
      </c>
      <c r="D1599" s="30" t="s">
        <v>1588</v>
      </c>
      <c r="F1599" s="30" t="s">
        <v>1591</v>
      </c>
      <c r="H1599" s="30" t="s">
        <v>1592</v>
      </c>
      <c r="L1599" s="30" t="s">
        <v>5228</v>
      </c>
      <c r="N1599" s="30" t="s">
        <v>1832</v>
      </c>
      <c r="P1599" s="30" t="s">
        <v>5284</v>
      </c>
      <c r="Q1599" t="s">
        <v>619</v>
      </c>
      <c r="R1599" t="s">
        <v>918</v>
      </c>
      <c r="S1599">
        <v>37</v>
      </c>
      <c r="T1599" s="29" t="str">
        <f t="shared" si="70"/>
        <v>2021.082B.R.Tevens_new_families.zip</v>
      </c>
      <c r="U1599" s="29" t="str">
        <f>HYPERLINK("https://ictv.global/taxonomy/taxondetails?taxnode_id=202307789","ictv.global=202307789")</f>
        <v>ictv.global=202307789</v>
      </c>
    </row>
    <row r="1600" spans="1:21">
      <c r="A1600">
        <v>1599</v>
      </c>
      <c r="B1600" s="30" t="s">
        <v>1587</v>
      </c>
      <c r="D1600" s="30" t="s">
        <v>1588</v>
      </c>
      <c r="F1600" s="30" t="s">
        <v>1591</v>
      </c>
      <c r="H1600" s="30" t="s">
        <v>1592</v>
      </c>
      <c r="L1600" s="30" t="s">
        <v>5228</v>
      </c>
      <c r="N1600" s="30" t="s">
        <v>5285</v>
      </c>
      <c r="P1600" s="30" t="s">
        <v>5286</v>
      </c>
      <c r="Q1600" t="s">
        <v>619</v>
      </c>
      <c r="R1600" t="s">
        <v>917</v>
      </c>
      <c r="S1600">
        <v>37</v>
      </c>
      <c r="T1600" s="29" t="str">
        <f t="shared" si="70"/>
        <v>2021.082B.R.Tevens_new_families.zip</v>
      </c>
      <c r="U1600" s="29" t="str">
        <f>HYPERLINK("https://ictv.global/taxonomy/taxondetails?taxnode_id=202313978","ictv.global=202313978")</f>
        <v>ictv.global=202313978</v>
      </c>
    </row>
    <row r="1601" spans="1:21">
      <c r="A1601">
        <v>1600</v>
      </c>
      <c r="B1601" s="30" t="s">
        <v>1587</v>
      </c>
      <c r="D1601" s="30" t="s">
        <v>1588</v>
      </c>
      <c r="F1601" s="30" t="s">
        <v>1591</v>
      </c>
      <c r="H1601" s="30" t="s">
        <v>1592</v>
      </c>
      <c r="L1601" s="30" t="s">
        <v>5228</v>
      </c>
      <c r="N1601" s="30" t="s">
        <v>1833</v>
      </c>
      <c r="P1601" s="30" t="s">
        <v>5287</v>
      </c>
      <c r="Q1601" t="s">
        <v>619</v>
      </c>
      <c r="R1601" t="s">
        <v>918</v>
      </c>
      <c r="S1601">
        <v>37</v>
      </c>
      <c r="T1601" s="29" t="str">
        <f t="shared" si="70"/>
        <v>2021.082B.R.Tevens_new_families.zip</v>
      </c>
      <c r="U1601" s="29" t="str">
        <f>HYPERLINK("https://ictv.global/taxonomy/taxondetails?taxnode_id=202307768","ictv.global=202307768")</f>
        <v>ictv.global=202307768</v>
      </c>
    </row>
    <row r="1602" spans="1:21">
      <c r="A1602">
        <v>1601</v>
      </c>
      <c r="B1602" s="30" t="s">
        <v>1587</v>
      </c>
      <c r="D1602" s="30" t="s">
        <v>1588</v>
      </c>
      <c r="F1602" s="30" t="s">
        <v>1591</v>
      </c>
      <c r="H1602" s="30" t="s">
        <v>1592</v>
      </c>
      <c r="L1602" s="30" t="s">
        <v>5228</v>
      </c>
      <c r="N1602" s="30" t="s">
        <v>5288</v>
      </c>
      <c r="P1602" s="30" t="s">
        <v>5289</v>
      </c>
      <c r="Q1602" t="s">
        <v>619</v>
      </c>
      <c r="R1602" t="s">
        <v>917</v>
      </c>
      <c r="S1602">
        <v>37</v>
      </c>
      <c r="T1602" s="29" t="str">
        <f t="shared" si="70"/>
        <v>2021.082B.R.Tevens_new_families.zip</v>
      </c>
      <c r="U1602" s="29" t="str">
        <f>HYPERLINK("https://ictv.global/taxonomy/taxondetails?taxnode_id=202313986","ictv.global=202313986")</f>
        <v>ictv.global=202313986</v>
      </c>
    </row>
    <row r="1603" spans="1:21">
      <c r="A1603">
        <v>1602</v>
      </c>
      <c r="B1603" s="30" t="s">
        <v>1587</v>
      </c>
      <c r="D1603" s="30" t="s">
        <v>1588</v>
      </c>
      <c r="F1603" s="30" t="s">
        <v>1591</v>
      </c>
      <c r="H1603" s="30" t="s">
        <v>1592</v>
      </c>
      <c r="L1603" s="30" t="s">
        <v>5228</v>
      </c>
      <c r="N1603" s="30" t="s">
        <v>1834</v>
      </c>
      <c r="P1603" s="30" t="s">
        <v>5290</v>
      </c>
      <c r="Q1603" t="s">
        <v>619</v>
      </c>
      <c r="R1603" t="s">
        <v>918</v>
      </c>
      <c r="S1603">
        <v>37</v>
      </c>
      <c r="T1603" s="29" t="str">
        <f t="shared" si="70"/>
        <v>2021.082B.R.Tevens_new_families.zip</v>
      </c>
      <c r="U1603" s="29" t="str">
        <f>HYPERLINK("https://ictv.global/taxonomy/taxondetails?taxnode_id=202307816","ictv.global=202307816")</f>
        <v>ictv.global=202307816</v>
      </c>
    </row>
    <row r="1604" spans="1:21">
      <c r="A1604">
        <v>1603</v>
      </c>
      <c r="B1604" s="30" t="s">
        <v>1587</v>
      </c>
      <c r="D1604" s="30" t="s">
        <v>1588</v>
      </c>
      <c r="F1604" s="30" t="s">
        <v>1591</v>
      </c>
      <c r="H1604" s="30" t="s">
        <v>1592</v>
      </c>
      <c r="L1604" s="30" t="s">
        <v>5228</v>
      </c>
      <c r="N1604" s="30" t="s">
        <v>1843</v>
      </c>
      <c r="P1604" s="30" t="s">
        <v>5291</v>
      </c>
      <c r="Q1604" t="s">
        <v>619</v>
      </c>
      <c r="R1604" t="s">
        <v>918</v>
      </c>
      <c r="S1604">
        <v>37</v>
      </c>
      <c r="T1604" s="29" t="str">
        <f t="shared" si="70"/>
        <v>2021.082B.R.Tevens_new_families.zip</v>
      </c>
      <c r="U1604" s="29" t="str">
        <f>HYPERLINK("https://ictv.global/taxonomy/taxondetails?taxnode_id=202307811","ictv.global=202307811")</f>
        <v>ictv.global=202307811</v>
      </c>
    </row>
    <row r="1605" spans="1:21">
      <c r="A1605">
        <v>1604</v>
      </c>
      <c r="B1605" s="30" t="s">
        <v>1587</v>
      </c>
      <c r="D1605" s="30" t="s">
        <v>1588</v>
      </c>
      <c r="F1605" s="30" t="s">
        <v>1591</v>
      </c>
      <c r="H1605" s="30" t="s">
        <v>1592</v>
      </c>
      <c r="L1605" s="30" t="s">
        <v>5228</v>
      </c>
      <c r="N1605" s="30" t="s">
        <v>5292</v>
      </c>
      <c r="P1605" s="30" t="s">
        <v>5293</v>
      </c>
      <c r="Q1605" t="s">
        <v>619</v>
      </c>
      <c r="R1605" t="s">
        <v>917</v>
      </c>
      <c r="S1605">
        <v>37</v>
      </c>
      <c r="T1605" s="29" t="str">
        <f t="shared" si="70"/>
        <v>2021.082B.R.Tevens_new_families.zip</v>
      </c>
      <c r="U1605" s="29" t="str">
        <f>HYPERLINK("https://ictv.global/taxonomy/taxondetails?taxnode_id=202313967","ictv.global=202313967")</f>
        <v>ictv.global=202313967</v>
      </c>
    </row>
    <row r="1606" spans="1:21">
      <c r="A1606">
        <v>1605</v>
      </c>
      <c r="B1606" s="30" t="s">
        <v>1587</v>
      </c>
      <c r="D1606" s="30" t="s">
        <v>1588</v>
      </c>
      <c r="F1606" s="30" t="s">
        <v>1591</v>
      </c>
      <c r="H1606" s="30" t="s">
        <v>1592</v>
      </c>
      <c r="L1606" s="30" t="s">
        <v>5228</v>
      </c>
      <c r="N1606" s="30" t="s">
        <v>5292</v>
      </c>
      <c r="P1606" s="30" t="s">
        <v>5294</v>
      </c>
      <c r="Q1606" t="s">
        <v>619</v>
      </c>
      <c r="R1606" t="s">
        <v>917</v>
      </c>
      <c r="S1606">
        <v>37</v>
      </c>
      <c r="T1606" s="29" t="str">
        <f t="shared" si="70"/>
        <v>2021.082B.R.Tevens_new_families.zip</v>
      </c>
      <c r="U1606" s="29" t="str">
        <f>HYPERLINK("https://ictv.global/taxonomy/taxondetails?taxnode_id=202313968","ictv.global=202313968")</f>
        <v>ictv.global=202313968</v>
      </c>
    </row>
    <row r="1607" spans="1:21">
      <c r="A1607">
        <v>1606</v>
      </c>
      <c r="B1607" s="30" t="s">
        <v>1587</v>
      </c>
      <c r="D1607" s="30" t="s">
        <v>1588</v>
      </c>
      <c r="F1607" s="30" t="s">
        <v>1591</v>
      </c>
      <c r="H1607" s="30" t="s">
        <v>1592</v>
      </c>
      <c r="L1607" s="30" t="s">
        <v>5228</v>
      </c>
      <c r="N1607" s="30" t="s">
        <v>2287</v>
      </c>
      <c r="P1607" s="30" t="s">
        <v>5295</v>
      </c>
      <c r="Q1607" t="s">
        <v>619</v>
      </c>
      <c r="R1607" t="s">
        <v>918</v>
      </c>
      <c r="S1607">
        <v>37</v>
      </c>
      <c r="T1607" s="29" t="str">
        <f t="shared" si="70"/>
        <v>2021.082B.R.Tevens_new_families.zip</v>
      </c>
      <c r="U1607" s="29" t="str">
        <f>HYPERLINK("https://ictv.global/taxonomy/taxondetails?taxnode_id=202311680","ictv.global=202311680")</f>
        <v>ictv.global=202311680</v>
      </c>
    </row>
    <row r="1608" spans="1:21">
      <c r="A1608">
        <v>1607</v>
      </c>
      <c r="B1608" s="30" t="s">
        <v>1587</v>
      </c>
      <c r="D1608" s="30" t="s">
        <v>1588</v>
      </c>
      <c r="F1608" s="30" t="s">
        <v>1591</v>
      </c>
      <c r="H1608" s="30" t="s">
        <v>1592</v>
      </c>
      <c r="L1608" s="30" t="s">
        <v>5228</v>
      </c>
      <c r="N1608" s="30" t="s">
        <v>2287</v>
      </c>
      <c r="P1608" s="30" t="s">
        <v>5296</v>
      </c>
      <c r="Q1608" t="s">
        <v>619</v>
      </c>
      <c r="R1608" t="s">
        <v>918</v>
      </c>
      <c r="S1608">
        <v>37</v>
      </c>
      <c r="T1608" s="29" t="str">
        <f t="shared" si="70"/>
        <v>2021.082B.R.Tevens_new_families.zip</v>
      </c>
      <c r="U1608" s="29" t="str">
        <f>HYPERLINK("https://ictv.global/taxonomy/taxondetails?taxnode_id=202311681","ictv.global=202311681")</f>
        <v>ictv.global=202311681</v>
      </c>
    </row>
    <row r="1609" spans="1:21">
      <c r="A1609">
        <v>1608</v>
      </c>
      <c r="B1609" s="30" t="s">
        <v>1587</v>
      </c>
      <c r="D1609" s="30" t="s">
        <v>1588</v>
      </c>
      <c r="F1609" s="30" t="s">
        <v>1591</v>
      </c>
      <c r="H1609" s="30" t="s">
        <v>1592</v>
      </c>
      <c r="L1609" s="30" t="s">
        <v>5228</v>
      </c>
      <c r="N1609" s="30" t="s">
        <v>1847</v>
      </c>
      <c r="P1609" s="30" t="s">
        <v>5297</v>
      </c>
      <c r="Q1609" t="s">
        <v>619</v>
      </c>
      <c r="R1609" t="s">
        <v>918</v>
      </c>
      <c r="S1609">
        <v>37</v>
      </c>
      <c r="T1609" s="29" t="str">
        <f t="shared" si="70"/>
        <v>2021.082B.R.Tevens_new_families.zip</v>
      </c>
      <c r="U1609" s="29" t="str">
        <f>HYPERLINK("https://ictv.global/taxonomy/taxondetails?taxnode_id=202307787","ictv.global=202307787")</f>
        <v>ictv.global=202307787</v>
      </c>
    </row>
    <row r="1610" spans="1:21">
      <c r="A1610">
        <v>1609</v>
      </c>
      <c r="B1610" s="30" t="s">
        <v>1587</v>
      </c>
      <c r="D1610" s="30" t="s">
        <v>1588</v>
      </c>
      <c r="F1610" s="30" t="s">
        <v>1591</v>
      </c>
      <c r="H1610" s="30" t="s">
        <v>1592</v>
      </c>
      <c r="L1610" s="30" t="s">
        <v>5228</v>
      </c>
      <c r="N1610" s="30" t="s">
        <v>5298</v>
      </c>
      <c r="P1610" s="30" t="s">
        <v>5299</v>
      </c>
      <c r="Q1610" t="s">
        <v>619</v>
      </c>
      <c r="R1610" t="s">
        <v>917</v>
      </c>
      <c r="S1610">
        <v>38</v>
      </c>
      <c r="T1610" s="29" t="str">
        <f>HYPERLINK("https://ictv.global/ictv/proposals/2022.043B.Kyanoviridae_7ng.zip","2022.043B.Kyanoviridae_7ng.zip")</f>
        <v>2022.043B.Kyanoviridae_7ng.zip</v>
      </c>
      <c r="U1610" s="29" t="str">
        <f>HYPERLINK("https://ictv.global/taxonomy/taxondetails?taxnode_id=202314653","ictv.global=202314653")</f>
        <v>ictv.global=202314653</v>
      </c>
    </row>
    <row r="1611" spans="1:21">
      <c r="A1611">
        <v>1610</v>
      </c>
      <c r="B1611" s="30" t="s">
        <v>1587</v>
      </c>
      <c r="D1611" s="30" t="s">
        <v>1588</v>
      </c>
      <c r="F1611" s="30" t="s">
        <v>1591</v>
      </c>
      <c r="H1611" s="30" t="s">
        <v>1592</v>
      </c>
      <c r="L1611" s="30" t="s">
        <v>5228</v>
      </c>
      <c r="N1611" s="30" t="s">
        <v>5300</v>
      </c>
      <c r="P1611" s="30" t="s">
        <v>5301</v>
      </c>
      <c r="Q1611" t="s">
        <v>619</v>
      </c>
      <c r="R1611" t="s">
        <v>917</v>
      </c>
      <c r="S1611">
        <v>37</v>
      </c>
      <c r="T1611" s="29" t="str">
        <f>HYPERLINK("https://ictv.global/ictv/proposals/2021.082B.R.Tevens_new_families.zip","2021.082B.R.Tevens_new_families.zip")</f>
        <v>2021.082B.R.Tevens_new_families.zip</v>
      </c>
      <c r="U1611" s="29" t="str">
        <f>HYPERLINK("https://ictv.global/taxonomy/taxondetails?taxnode_id=202313960","ictv.global=202313960")</f>
        <v>ictv.global=202313960</v>
      </c>
    </row>
    <row r="1612" spans="1:21">
      <c r="A1612">
        <v>1611</v>
      </c>
      <c r="B1612" s="30" t="s">
        <v>1587</v>
      </c>
      <c r="D1612" s="30" t="s">
        <v>1588</v>
      </c>
      <c r="F1612" s="30" t="s">
        <v>1591</v>
      </c>
      <c r="H1612" s="30" t="s">
        <v>1592</v>
      </c>
      <c r="L1612" s="30" t="s">
        <v>5228</v>
      </c>
      <c r="N1612" s="30" t="s">
        <v>5302</v>
      </c>
      <c r="P1612" s="30" t="s">
        <v>5303</v>
      </c>
      <c r="Q1612" t="s">
        <v>619</v>
      </c>
      <c r="R1612" t="s">
        <v>917</v>
      </c>
      <c r="S1612">
        <v>38</v>
      </c>
      <c r="T1612" s="29" t="str">
        <f>HYPERLINK("https://ictv.global/ictv/proposals/2022.043B.Kyanoviridae_7ng.zip","2022.043B.Kyanoviridae_7ng.zip")</f>
        <v>2022.043B.Kyanoviridae_7ng.zip</v>
      </c>
      <c r="U1612" s="29" t="str">
        <f>HYPERLINK("https://ictv.global/taxonomy/taxondetails?taxnode_id=202314655","ictv.global=202314655")</f>
        <v>ictv.global=202314655</v>
      </c>
    </row>
    <row r="1613" spans="1:21">
      <c r="A1613">
        <v>1612</v>
      </c>
      <c r="B1613" s="30" t="s">
        <v>1587</v>
      </c>
      <c r="D1613" s="30" t="s">
        <v>1588</v>
      </c>
      <c r="F1613" s="30" t="s">
        <v>1591</v>
      </c>
      <c r="H1613" s="30" t="s">
        <v>1592</v>
      </c>
      <c r="L1613" s="30" t="s">
        <v>5228</v>
      </c>
      <c r="N1613" s="30" t="s">
        <v>5304</v>
      </c>
      <c r="P1613" s="30" t="s">
        <v>5305</v>
      </c>
      <c r="Q1613" t="s">
        <v>619</v>
      </c>
      <c r="R1613" t="s">
        <v>917</v>
      </c>
      <c r="S1613">
        <v>37</v>
      </c>
      <c r="T1613" s="29" t="str">
        <f>HYPERLINK("https://ictv.global/ictv/proposals/2021.082B.R.Tevens_new_families.zip","2021.082B.R.Tevens_new_families.zip")</f>
        <v>2021.082B.R.Tevens_new_families.zip</v>
      </c>
      <c r="U1613" s="29" t="str">
        <f>HYPERLINK("https://ictv.global/taxonomy/taxondetails?taxnode_id=202313989","ictv.global=202313989")</f>
        <v>ictv.global=202313989</v>
      </c>
    </row>
    <row r="1614" spans="1:21">
      <c r="A1614">
        <v>1613</v>
      </c>
      <c r="B1614" s="30" t="s">
        <v>1587</v>
      </c>
      <c r="D1614" s="30" t="s">
        <v>1588</v>
      </c>
      <c r="F1614" s="30" t="s">
        <v>1591</v>
      </c>
      <c r="H1614" s="30" t="s">
        <v>1592</v>
      </c>
      <c r="L1614" s="30" t="s">
        <v>5228</v>
      </c>
      <c r="N1614" s="30" t="s">
        <v>5304</v>
      </c>
      <c r="P1614" s="30" t="s">
        <v>5306</v>
      </c>
      <c r="Q1614" t="s">
        <v>619</v>
      </c>
      <c r="R1614" t="s">
        <v>917</v>
      </c>
      <c r="S1614">
        <v>37</v>
      </c>
      <c r="T1614" s="29" t="str">
        <f>HYPERLINK("https://ictv.global/ictv/proposals/2021.082B.R.Tevens_new_families.zip","2021.082B.R.Tevens_new_families.zip")</f>
        <v>2021.082B.R.Tevens_new_families.zip</v>
      </c>
      <c r="U1614" s="29" t="str">
        <f>HYPERLINK("https://ictv.global/taxonomy/taxondetails?taxnode_id=202313988","ictv.global=202313988")</f>
        <v>ictv.global=202313988</v>
      </c>
    </row>
    <row r="1615" spans="1:21">
      <c r="A1615">
        <v>1614</v>
      </c>
      <c r="B1615" s="30" t="s">
        <v>1587</v>
      </c>
      <c r="D1615" s="30" t="s">
        <v>1588</v>
      </c>
      <c r="F1615" s="30" t="s">
        <v>1591</v>
      </c>
      <c r="H1615" s="30" t="s">
        <v>1592</v>
      </c>
      <c r="L1615" s="30" t="s">
        <v>5228</v>
      </c>
      <c r="N1615" s="30" t="s">
        <v>5307</v>
      </c>
      <c r="P1615" s="30" t="s">
        <v>5308</v>
      </c>
      <c r="Q1615" t="s">
        <v>619</v>
      </c>
      <c r="R1615" t="s">
        <v>917</v>
      </c>
      <c r="S1615">
        <v>38</v>
      </c>
      <c r="T1615" s="29" t="str">
        <f>HYPERLINK("https://ictv.global/ictv/proposals/2022.077B.Kyanoviridae_1ng.zip","2022.077B.Kyanoviridae_1ng.zip")</f>
        <v>2022.077B.Kyanoviridae_1ng.zip</v>
      </c>
      <c r="U1615" s="29" t="str">
        <f>HYPERLINK("https://ictv.global/taxonomy/taxondetails?taxnode_id=202314852","ictv.global=202314852")</f>
        <v>ictv.global=202314852</v>
      </c>
    </row>
    <row r="1616" spans="1:21">
      <c r="A1616">
        <v>1615</v>
      </c>
      <c r="B1616" s="30" t="s">
        <v>1587</v>
      </c>
      <c r="D1616" s="30" t="s">
        <v>1588</v>
      </c>
      <c r="F1616" s="30" t="s">
        <v>1591</v>
      </c>
      <c r="H1616" s="30" t="s">
        <v>1592</v>
      </c>
      <c r="L1616" s="30" t="s">
        <v>5228</v>
      </c>
      <c r="N1616" s="30" t="s">
        <v>5309</v>
      </c>
      <c r="P1616" s="30" t="s">
        <v>5310</v>
      </c>
      <c r="Q1616" t="s">
        <v>619</v>
      </c>
      <c r="R1616" t="s">
        <v>917</v>
      </c>
      <c r="S1616">
        <v>37</v>
      </c>
      <c r="T1616" s="29" t="str">
        <f>HYPERLINK("https://ictv.global/ictv/proposals/2021.082B.R.Tevens_new_families.zip","2021.082B.R.Tevens_new_families.zip")</f>
        <v>2021.082B.R.Tevens_new_families.zip</v>
      </c>
      <c r="U1616" s="29" t="str">
        <f>HYPERLINK("https://ictv.global/taxonomy/taxondetails?taxnode_id=202313980","ictv.global=202313980")</f>
        <v>ictv.global=202313980</v>
      </c>
    </row>
    <row r="1617" spans="1:21">
      <c r="A1617">
        <v>1616</v>
      </c>
      <c r="B1617" s="30" t="s">
        <v>1587</v>
      </c>
      <c r="D1617" s="30" t="s">
        <v>1588</v>
      </c>
      <c r="F1617" s="30" t="s">
        <v>1591</v>
      </c>
      <c r="H1617" s="30" t="s">
        <v>1592</v>
      </c>
      <c r="L1617" s="30" t="s">
        <v>5228</v>
      </c>
      <c r="N1617" s="30" t="s">
        <v>1851</v>
      </c>
      <c r="P1617" s="30" t="s">
        <v>5311</v>
      </c>
      <c r="Q1617" t="s">
        <v>619</v>
      </c>
      <c r="R1617" t="s">
        <v>919</v>
      </c>
      <c r="S1617">
        <v>38</v>
      </c>
      <c r="T1617" s="29" t="str">
        <f>HYPERLINK("https://ictv.global/ictv/proposals/2022.043B.Kyanoviridae_7ng.zip","2022.043B.Kyanoviridae_7ng.zip")</f>
        <v>2022.043B.Kyanoviridae_7ng.zip</v>
      </c>
      <c r="U1617" s="29" t="str">
        <f>HYPERLINK("https://ictv.global/taxonomy/taxondetails?taxnode_id=202307762","ictv.global=202307762")</f>
        <v>ictv.global=202307762</v>
      </c>
    </row>
    <row r="1618" spans="1:21">
      <c r="A1618">
        <v>1617</v>
      </c>
      <c r="B1618" s="30" t="s">
        <v>1587</v>
      </c>
      <c r="D1618" s="30" t="s">
        <v>1588</v>
      </c>
      <c r="F1618" s="30" t="s">
        <v>1591</v>
      </c>
      <c r="H1618" s="30" t="s">
        <v>1592</v>
      </c>
      <c r="L1618" s="30" t="s">
        <v>5228</v>
      </c>
      <c r="N1618" s="30" t="s">
        <v>1853</v>
      </c>
      <c r="P1618" s="30" t="s">
        <v>5312</v>
      </c>
      <c r="Q1618" t="s">
        <v>619</v>
      </c>
      <c r="R1618" t="s">
        <v>918</v>
      </c>
      <c r="S1618">
        <v>37</v>
      </c>
      <c r="T1618" s="29" t="str">
        <f>HYPERLINK("https://ictv.global/ictv/proposals/2021.082B.R.Tevens_new_families.zip","2021.082B.R.Tevens_new_families.zip")</f>
        <v>2021.082B.R.Tevens_new_families.zip</v>
      </c>
      <c r="U1618" s="29" t="str">
        <f>HYPERLINK("https://ictv.global/taxonomy/taxondetails?taxnode_id=202307770","ictv.global=202307770")</f>
        <v>ictv.global=202307770</v>
      </c>
    </row>
    <row r="1619" spans="1:21">
      <c r="A1619">
        <v>1618</v>
      </c>
      <c r="B1619" s="30" t="s">
        <v>1587</v>
      </c>
      <c r="D1619" s="30" t="s">
        <v>1588</v>
      </c>
      <c r="F1619" s="30" t="s">
        <v>1591</v>
      </c>
      <c r="H1619" s="30" t="s">
        <v>1592</v>
      </c>
      <c r="L1619" s="30" t="s">
        <v>5228</v>
      </c>
      <c r="N1619" s="30" t="s">
        <v>1854</v>
      </c>
      <c r="P1619" s="30" t="s">
        <v>5313</v>
      </c>
      <c r="Q1619" t="s">
        <v>619</v>
      </c>
      <c r="R1619" t="s">
        <v>918</v>
      </c>
      <c r="S1619">
        <v>37</v>
      </c>
      <c r="T1619" s="29" t="str">
        <f>HYPERLINK("https://ictv.global/ictv/proposals/2021.082B.R.Tevens_new_families.zip","2021.082B.R.Tevens_new_families.zip")</f>
        <v>2021.082B.R.Tevens_new_families.zip</v>
      </c>
      <c r="U1619" s="29" t="str">
        <f>HYPERLINK("https://ictv.global/taxonomy/taxondetails?taxnode_id=202307809","ictv.global=202307809")</f>
        <v>ictv.global=202307809</v>
      </c>
    </row>
    <row r="1620" spans="1:21">
      <c r="A1620">
        <v>1619</v>
      </c>
      <c r="B1620" s="30" t="s">
        <v>1587</v>
      </c>
      <c r="D1620" s="30" t="s">
        <v>1588</v>
      </c>
      <c r="F1620" s="30" t="s">
        <v>1591</v>
      </c>
      <c r="H1620" s="30" t="s">
        <v>1592</v>
      </c>
      <c r="L1620" s="30" t="s">
        <v>5228</v>
      </c>
      <c r="N1620" s="30" t="s">
        <v>1855</v>
      </c>
      <c r="P1620" s="30" t="s">
        <v>5314</v>
      </c>
      <c r="Q1620" t="s">
        <v>619</v>
      </c>
      <c r="R1620" t="s">
        <v>918</v>
      </c>
      <c r="S1620">
        <v>37</v>
      </c>
      <c r="T1620" s="29" t="str">
        <f>HYPERLINK("https://ictv.global/ictv/proposals/2021.082B.R.Tevens_new_families.zip","2021.082B.R.Tevens_new_families.zip")</f>
        <v>2021.082B.R.Tevens_new_families.zip</v>
      </c>
      <c r="U1620" s="29" t="str">
        <f>HYPERLINK("https://ictv.global/taxonomy/taxondetails?taxnode_id=202307807","ictv.global=202307807")</f>
        <v>ictv.global=202307807</v>
      </c>
    </row>
    <row r="1621" spans="1:21">
      <c r="A1621">
        <v>1620</v>
      </c>
      <c r="B1621" s="30" t="s">
        <v>1587</v>
      </c>
      <c r="D1621" s="30" t="s">
        <v>1588</v>
      </c>
      <c r="F1621" s="30" t="s">
        <v>1591</v>
      </c>
      <c r="H1621" s="30" t="s">
        <v>1592</v>
      </c>
      <c r="L1621" s="30" t="s">
        <v>5228</v>
      </c>
      <c r="N1621" s="30" t="s">
        <v>1857</v>
      </c>
      <c r="P1621" s="30" t="s">
        <v>5315</v>
      </c>
      <c r="Q1621" t="s">
        <v>619</v>
      </c>
      <c r="R1621" t="s">
        <v>918</v>
      </c>
      <c r="S1621">
        <v>37</v>
      </c>
      <c r="T1621" s="29" t="str">
        <f>HYPERLINK("https://ictv.global/ictv/proposals/2021.082B.R.Tevens_new_families.zip","2021.082B.R.Tevens_new_families.zip")</f>
        <v>2021.082B.R.Tevens_new_families.zip</v>
      </c>
      <c r="U1621" s="29" t="str">
        <f>HYPERLINK("https://ictv.global/taxonomy/taxondetails?taxnode_id=202307819","ictv.global=202307819")</f>
        <v>ictv.global=202307819</v>
      </c>
    </row>
    <row r="1622" spans="1:21">
      <c r="A1622">
        <v>1621</v>
      </c>
      <c r="B1622" s="30" t="s">
        <v>1587</v>
      </c>
      <c r="D1622" s="30" t="s">
        <v>1588</v>
      </c>
      <c r="F1622" s="30" t="s">
        <v>1591</v>
      </c>
      <c r="H1622" s="30" t="s">
        <v>1592</v>
      </c>
      <c r="L1622" s="30" t="s">
        <v>5228</v>
      </c>
      <c r="N1622" s="30" t="s">
        <v>1857</v>
      </c>
      <c r="P1622" s="30" t="s">
        <v>5316</v>
      </c>
      <c r="Q1622" t="s">
        <v>619</v>
      </c>
      <c r="R1622" t="s">
        <v>918</v>
      </c>
      <c r="S1622">
        <v>37</v>
      </c>
      <c r="T1622" s="29" t="str">
        <f>HYPERLINK("https://ictv.global/ictv/proposals/2021.082B.R.Tevens_new_families.zip","2021.082B.R.Tevens_new_families.zip")</f>
        <v>2021.082B.R.Tevens_new_families.zip</v>
      </c>
      <c r="U1622" s="29" t="str">
        <f>HYPERLINK("https://ictv.global/taxonomy/taxondetails?taxnode_id=202307818","ictv.global=202307818")</f>
        <v>ictv.global=202307818</v>
      </c>
    </row>
    <row r="1623" spans="1:21">
      <c r="A1623">
        <v>1622</v>
      </c>
      <c r="B1623" s="30" t="s">
        <v>1587</v>
      </c>
      <c r="D1623" s="30" t="s">
        <v>1588</v>
      </c>
      <c r="F1623" s="30" t="s">
        <v>1591</v>
      </c>
      <c r="H1623" s="30" t="s">
        <v>1592</v>
      </c>
      <c r="L1623" s="30" t="s">
        <v>5228</v>
      </c>
      <c r="N1623" s="30" t="s">
        <v>5317</v>
      </c>
      <c r="P1623" s="30" t="s">
        <v>5318</v>
      </c>
      <c r="Q1623" t="s">
        <v>619</v>
      </c>
      <c r="R1623" t="s">
        <v>917</v>
      </c>
      <c r="S1623">
        <v>38</v>
      </c>
      <c r="T1623" s="29" t="str">
        <f>HYPERLINK("https://ictv.global/ictv/proposals/2022.043B.Kyanoviridae_7ng.zip","2022.043B.Kyanoviridae_7ng.zip")</f>
        <v>2022.043B.Kyanoviridae_7ng.zip</v>
      </c>
      <c r="U1623" s="29" t="str">
        <f>HYPERLINK("https://ictv.global/taxonomy/taxondetails?taxnode_id=202314656","ictv.global=202314656")</f>
        <v>ictv.global=202314656</v>
      </c>
    </row>
    <row r="1624" spans="1:21">
      <c r="A1624">
        <v>1623</v>
      </c>
      <c r="B1624" s="30" t="s">
        <v>1587</v>
      </c>
      <c r="D1624" s="30" t="s">
        <v>1588</v>
      </c>
      <c r="F1624" s="30" t="s">
        <v>1591</v>
      </c>
      <c r="H1624" s="30" t="s">
        <v>1592</v>
      </c>
      <c r="L1624" s="30" t="s">
        <v>5228</v>
      </c>
      <c r="N1624" s="30" t="s">
        <v>5319</v>
      </c>
      <c r="P1624" s="30" t="s">
        <v>5320</v>
      </c>
      <c r="Q1624" t="s">
        <v>619</v>
      </c>
      <c r="R1624" t="s">
        <v>917</v>
      </c>
      <c r="S1624">
        <v>38</v>
      </c>
      <c r="T1624" s="29" t="str">
        <f>HYPERLINK("https://ictv.global/ictv/proposals/2022.043B.Kyanoviridae_7ng.zip","2022.043B.Kyanoviridae_7ng.zip")</f>
        <v>2022.043B.Kyanoviridae_7ng.zip</v>
      </c>
      <c r="U1624" s="29" t="str">
        <f>HYPERLINK("https://ictv.global/taxonomy/taxondetails?taxnode_id=202314652","ictv.global=202314652")</f>
        <v>ictv.global=202314652</v>
      </c>
    </row>
    <row r="1625" spans="1:21">
      <c r="A1625">
        <v>1624</v>
      </c>
      <c r="B1625" s="30" t="s">
        <v>1587</v>
      </c>
      <c r="D1625" s="30" t="s">
        <v>1588</v>
      </c>
      <c r="F1625" s="30" t="s">
        <v>1591</v>
      </c>
      <c r="H1625" s="30" t="s">
        <v>1592</v>
      </c>
      <c r="L1625" s="30" t="s">
        <v>5228</v>
      </c>
      <c r="N1625" s="30" t="s">
        <v>5321</v>
      </c>
      <c r="P1625" s="30" t="s">
        <v>5322</v>
      </c>
      <c r="Q1625" t="s">
        <v>619</v>
      </c>
      <c r="R1625" t="s">
        <v>917</v>
      </c>
      <c r="S1625">
        <v>38</v>
      </c>
      <c r="T1625" s="29" t="str">
        <f>HYPERLINK("https://ictv.global/ictv/proposals/2022.043B.Kyanoviridae_7ng.zip","2022.043B.Kyanoviridae_7ng.zip")</f>
        <v>2022.043B.Kyanoviridae_7ng.zip</v>
      </c>
      <c r="U1625" s="29" t="str">
        <f>HYPERLINK("https://ictv.global/taxonomy/taxondetails?taxnode_id=202314654","ictv.global=202314654")</f>
        <v>ictv.global=202314654</v>
      </c>
    </row>
    <row r="1626" spans="1:21">
      <c r="A1626">
        <v>1625</v>
      </c>
      <c r="B1626" s="30" t="s">
        <v>1587</v>
      </c>
      <c r="D1626" s="30" t="s">
        <v>1588</v>
      </c>
      <c r="F1626" s="30" t="s">
        <v>1591</v>
      </c>
      <c r="H1626" s="30" t="s">
        <v>1592</v>
      </c>
      <c r="L1626" s="30" t="s">
        <v>12094</v>
      </c>
      <c r="N1626" s="30" t="s">
        <v>12095</v>
      </c>
      <c r="P1626" s="30" t="s">
        <v>12096</v>
      </c>
      <c r="Q1626" t="s">
        <v>619</v>
      </c>
      <c r="R1626" t="s">
        <v>917</v>
      </c>
      <c r="S1626">
        <v>39</v>
      </c>
      <c r="T1626" s="29" t="str">
        <f>HYPERLINK("https://ictv.global/ictv/proposals/2023.002A.Caudoviricetes_5nf_v2.zip","2023.002A.Caudoviricetes_5nf_v2.zip")</f>
        <v>2023.002A.Caudoviricetes_5nf_v2.zip</v>
      </c>
      <c r="U1626" s="29" t="str">
        <f>HYPERLINK("https://ictv.global/taxonomy/taxondetails?taxnode_id=202317739","ictv.global=202317739")</f>
        <v>ictv.global=202317739</v>
      </c>
    </row>
    <row r="1627" spans="1:21">
      <c r="A1627">
        <v>1626</v>
      </c>
      <c r="B1627" s="30" t="s">
        <v>1587</v>
      </c>
      <c r="D1627" s="30" t="s">
        <v>1588</v>
      </c>
      <c r="F1627" s="30" t="s">
        <v>1591</v>
      </c>
      <c r="H1627" s="30" t="s">
        <v>1592</v>
      </c>
      <c r="L1627" s="30" t="s">
        <v>5323</v>
      </c>
      <c r="N1627" s="30" t="s">
        <v>5324</v>
      </c>
      <c r="P1627" s="30" t="s">
        <v>12097</v>
      </c>
      <c r="Q1627" t="s">
        <v>619</v>
      </c>
      <c r="R1627" t="s">
        <v>920</v>
      </c>
      <c r="S1627">
        <v>39</v>
      </c>
      <c r="T1627" s="29" t="str">
        <f>HYPERLINK("https://ictv.global/ictv/proposals/2023.001A.Archaeal_binomials.zip","2023.001A.Archaeal_binomials.zip")</f>
        <v>2023.001A.Archaeal_binomials.zip</v>
      </c>
      <c r="U1627" s="29" t="str">
        <f>HYPERLINK("https://ictv.global/taxonomy/taxondetails?taxnode_id=202312179","ictv.global=202312179")</f>
        <v>ictv.global=202312179</v>
      </c>
    </row>
    <row r="1628" spans="1:21">
      <c r="A1628">
        <v>1627</v>
      </c>
      <c r="B1628" s="30" t="s">
        <v>1587</v>
      </c>
      <c r="D1628" s="30" t="s">
        <v>1588</v>
      </c>
      <c r="F1628" s="30" t="s">
        <v>1591</v>
      </c>
      <c r="H1628" s="30" t="s">
        <v>1592</v>
      </c>
      <c r="L1628" s="30" t="s">
        <v>12098</v>
      </c>
      <c r="N1628" s="30" t="s">
        <v>1405</v>
      </c>
      <c r="P1628" s="30" t="s">
        <v>5599</v>
      </c>
      <c r="Q1628" t="s">
        <v>619</v>
      </c>
      <c r="R1628" t="s">
        <v>919</v>
      </c>
      <c r="S1628">
        <v>39</v>
      </c>
      <c r="T1628" s="29" t="str">
        <f>HYPERLINK("https://ictv.global/ictv/proposals/2023.046B.Madridviridae_nf.zip","2023.046B.Madridviridae_nf.zip")</f>
        <v>2023.046B.Madridviridae_nf.zip</v>
      </c>
      <c r="U1628" s="29" t="str">
        <f>HYPERLINK("https://ictv.global/taxonomy/taxondetails?taxnode_id=202300592","ictv.global=202300592")</f>
        <v>ictv.global=202300592</v>
      </c>
    </row>
    <row r="1629" spans="1:21">
      <c r="A1629">
        <v>1628</v>
      </c>
      <c r="B1629" s="30" t="s">
        <v>1587</v>
      </c>
      <c r="D1629" s="30" t="s">
        <v>1588</v>
      </c>
      <c r="F1629" s="30" t="s">
        <v>1591</v>
      </c>
      <c r="H1629" s="30" t="s">
        <v>1592</v>
      </c>
      <c r="L1629" s="30" t="s">
        <v>12098</v>
      </c>
      <c r="N1629" s="30" t="s">
        <v>1405</v>
      </c>
      <c r="P1629" s="30" t="s">
        <v>5600</v>
      </c>
      <c r="Q1629" t="s">
        <v>619</v>
      </c>
      <c r="R1629" t="s">
        <v>919</v>
      </c>
      <c r="S1629">
        <v>39</v>
      </c>
      <c r="T1629" s="29" t="str">
        <f>HYPERLINK("https://ictv.global/ictv/proposals/2023.046B.Madridviridae_nf.zip","2023.046B.Madridviridae_nf.zip")</f>
        <v>2023.046B.Madridviridae_nf.zip</v>
      </c>
      <c r="U1629" s="29" t="str">
        <f>HYPERLINK("https://ictv.global/taxonomy/taxondetails?taxnode_id=202300593","ictv.global=202300593")</f>
        <v>ictv.global=202300593</v>
      </c>
    </row>
    <row r="1630" spans="1:21">
      <c r="A1630">
        <v>1629</v>
      </c>
      <c r="B1630" s="30" t="s">
        <v>1587</v>
      </c>
      <c r="D1630" s="30" t="s">
        <v>1588</v>
      </c>
      <c r="F1630" s="30" t="s">
        <v>1591</v>
      </c>
      <c r="H1630" s="30" t="s">
        <v>1592</v>
      </c>
      <c r="L1630" s="30" t="s">
        <v>5325</v>
      </c>
      <c r="M1630" s="30" t="s">
        <v>5326</v>
      </c>
      <c r="N1630" s="30" t="s">
        <v>1453</v>
      </c>
      <c r="P1630" s="30" t="s">
        <v>5327</v>
      </c>
      <c r="Q1630" t="s">
        <v>619</v>
      </c>
      <c r="R1630" t="s">
        <v>917</v>
      </c>
      <c r="S1630">
        <v>37</v>
      </c>
      <c r="T1630" s="29" t="str">
        <f>HYPERLINK("https://ictv.global/ictv/proposals/2021.051B.R.Mesyanzhinovviridae.zip","2021.051B.R.Mesyanzhinovviridae.zip")</f>
        <v>2021.051B.R.Mesyanzhinovviridae.zip</v>
      </c>
      <c r="U1630" s="29" t="str">
        <f>HYPERLINK("https://ictv.global/taxonomy/taxondetails?taxnode_id=202312412","ictv.global=202312412")</f>
        <v>ictv.global=202312412</v>
      </c>
    </row>
    <row r="1631" spans="1:21">
      <c r="A1631">
        <v>1630</v>
      </c>
      <c r="B1631" s="30" t="s">
        <v>1587</v>
      </c>
      <c r="D1631" s="30" t="s">
        <v>1588</v>
      </c>
      <c r="F1631" s="30" t="s">
        <v>1591</v>
      </c>
      <c r="H1631" s="30" t="s">
        <v>1592</v>
      </c>
      <c r="L1631" s="30" t="s">
        <v>5325</v>
      </c>
      <c r="M1631" s="30" t="s">
        <v>5326</v>
      </c>
      <c r="N1631" s="30" t="s">
        <v>1453</v>
      </c>
      <c r="P1631" s="30" t="s">
        <v>857</v>
      </c>
      <c r="Q1631" t="s">
        <v>619</v>
      </c>
      <c r="R1631" t="s">
        <v>919</v>
      </c>
      <c r="S1631">
        <v>37</v>
      </c>
      <c r="T1631" s="29" t="str">
        <f>HYPERLINK("https://ictv.global/ictv/proposals/2021.001B.R.abolish_Caudovirales.zip","2021.001B.R.abolish_Caudovirales.zip;2021.051B.A.v1.Mesyanzhinovviridae.zip")</f>
        <v>2021.001B.R.abolish_Caudovirales.zip;2021.051B.A.v1.Mesyanzhinovviridae.zip</v>
      </c>
      <c r="U1631" s="29" t="str">
        <f>HYPERLINK("https://ictv.global/taxonomy/taxondetails?taxnode_id=202300839","ictv.global=202300839")</f>
        <v>ictv.global=202300839</v>
      </c>
    </row>
    <row r="1632" spans="1:21">
      <c r="A1632">
        <v>1631</v>
      </c>
      <c r="B1632" s="30" t="s">
        <v>1587</v>
      </c>
      <c r="D1632" s="30" t="s">
        <v>1588</v>
      </c>
      <c r="F1632" s="30" t="s">
        <v>1591</v>
      </c>
      <c r="H1632" s="30" t="s">
        <v>1592</v>
      </c>
      <c r="L1632" s="30" t="s">
        <v>5325</v>
      </c>
      <c r="M1632" s="30" t="s">
        <v>5326</v>
      </c>
      <c r="N1632" s="30" t="s">
        <v>1453</v>
      </c>
      <c r="P1632" s="30" t="s">
        <v>858</v>
      </c>
      <c r="Q1632" t="s">
        <v>619</v>
      </c>
      <c r="R1632" t="s">
        <v>919</v>
      </c>
      <c r="S1632">
        <v>37</v>
      </c>
      <c r="T1632" s="29" t="str">
        <f>HYPERLINK("https://ictv.global/ictv/proposals/2021.001B.R.abolish_Caudovirales.zip","2021.001B.R.abolish_Caudovirales.zip;2021.051B.A.v1.Mesyanzhinovviridae.zip")</f>
        <v>2021.001B.R.abolish_Caudovirales.zip;2021.051B.A.v1.Mesyanzhinovviridae.zip</v>
      </c>
      <c r="U1632" s="29" t="str">
        <f>HYPERLINK("https://ictv.global/taxonomy/taxondetails?taxnode_id=202300840","ictv.global=202300840")</f>
        <v>ictv.global=202300840</v>
      </c>
    </row>
    <row r="1633" spans="1:21">
      <c r="A1633">
        <v>1632</v>
      </c>
      <c r="B1633" s="30" t="s">
        <v>1587</v>
      </c>
      <c r="D1633" s="30" t="s">
        <v>1588</v>
      </c>
      <c r="F1633" s="30" t="s">
        <v>1591</v>
      </c>
      <c r="H1633" s="30" t="s">
        <v>1592</v>
      </c>
      <c r="L1633" s="30" t="s">
        <v>5325</v>
      </c>
      <c r="M1633" s="30" t="s">
        <v>5326</v>
      </c>
      <c r="N1633" s="30" t="s">
        <v>1453</v>
      </c>
      <c r="P1633" s="30" t="s">
        <v>859</v>
      </c>
      <c r="Q1633" t="s">
        <v>619</v>
      </c>
      <c r="R1633" t="s">
        <v>919</v>
      </c>
      <c r="S1633">
        <v>37</v>
      </c>
      <c r="T1633" s="29" t="str">
        <f>HYPERLINK("https://ictv.global/ictv/proposals/2021.001B.R.abolish_Caudovirales.zip","2021.001B.R.abolish_Caudovirales.zip;2021.051B.A.v1.Mesyanzhinovviridae.zip")</f>
        <v>2021.001B.R.abolish_Caudovirales.zip;2021.051B.A.v1.Mesyanzhinovviridae.zip</v>
      </c>
      <c r="U1633" s="29" t="str">
        <f>HYPERLINK("https://ictv.global/taxonomy/taxondetails?taxnode_id=202300841","ictv.global=202300841")</f>
        <v>ictv.global=202300841</v>
      </c>
    </row>
    <row r="1634" spans="1:21">
      <c r="A1634">
        <v>1633</v>
      </c>
      <c r="B1634" s="30" t="s">
        <v>1587</v>
      </c>
      <c r="D1634" s="30" t="s">
        <v>1588</v>
      </c>
      <c r="F1634" s="30" t="s">
        <v>1591</v>
      </c>
      <c r="H1634" s="30" t="s">
        <v>1592</v>
      </c>
      <c r="L1634" s="30" t="s">
        <v>5325</v>
      </c>
      <c r="M1634" s="30" t="s">
        <v>5326</v>
      </c>
      <c r="N1634" s="30" t="s">
        <v>5328</v>
      </c>
      <c r="P1634" s="30" t="s">
        <v>12099</v>
      </c>
      <c r="Q1634" t="s">
        <v>619</v>
      </c>
      <c r="R1634" t="s">
        <v>917</v>
      </c>
      <c r="S1634">
        <v>39</v>
      </c>
      <c r="T1634" s="29" t="str">
        <f>HYPERLINK("https://ictv.global/ictv/proposals/2023.010B.Bradleyvirinae_5ng.zip","2023.010B.Bradleyvirinae_5ng.zip")</f>
        <v>2023.010B.Bradleyvirinae_5ng.zip</v>
      </c>
      <c r="U1634" s="29" t="str">
        <f>HYPERLINK("https://ictv.global/taxonomy/taxondetails?taxnode_id=202317943","ictv.global=202317943")</f>
        <v>ictv.global=202317943</v>
      </c>
    </row>
    <row r="1635" spans="1:21">
      <c r="A1635">
        <v>1634</v>
      </c>
      <c r="B1635" s="30" t="s">
        <v>1587</v>
      </c>
      <c r="D1635" s="30" t="s">
        <v>1588</v>
      </c>
      <c r="F1635" s="30" t="s">
        <v>1591</v>
      </c>
      <c r="H1635" s="30" t="s">
        <v>1592</v>
      </c>
      <c r="L1635" s="30" t="s">
        <v>5325</v>
      </c>
      <c r="M1635" s="30" t="s">
        <v>5326</v>
      </c>
      <c r="N1635" s="30" t="s">
        <v>5328</v>
      </c>
      <c r="P1635" s="30" t="s">
        <v>5329</v>
      </c>
      <c r="Q1635" t="s">
        <v>619</v>
      </c>
      <c r="R1635" t="s">
        <v>917</v>
      </c>
      <c r="S1635">
        <v>37</v>
      </c>
      <c r="T1635" s="29" t="str">
        <f>HYPERLINK("https://ictv.global/ictv/proposals/2021.051B.R.Mesyanzhinovviridae.zip","2021.051B.R.Mesyanzhinovviridae.zip")</f>
        <v>2021.051B.R.Mesyanzhinovviridae.zip</v>
      </c>
      <c r="U1635" s="29" t="str">
        <f>HYPERLINK("https://ictv.global/taxonomy/taxondetails?taxnode_id=202312416","ictv.global=202312416")</f>
        <v>ictv.global=202312416</v>
      </c>
    </row>
    <row r="1636" spans="1:21">
      <c r="A1636">
        <v>1635</v>
      </c>
      <c r="B1636" s="30" t="s">
        <v>1587</v>
      </c>
      <c r="D1636" s="30" t="s">
        <v>1588</v>
      </c>
      <c r="F1636" s="30" t="s">
        <v>1591</v>
      </c>
      <c r="H1636" s="30" t="s">
        <v>1592</v>
      </c>
      <c r="L1636" s="30" t="s">
        <v>5325</v>
      </c>
      <c r="M1636" s="30" t="s">
        <v>5326</v>
      </c>
      <c r="N1636" s="30" t="s">
        <v>5328</v>
      </c>
      <c r="P1636" s="30" t="s">
        <v>12100</v>
      </c>
      <c r="Q1636" t="s">
        <v>619</v>
      </c>
      <c r="R1636" t="s">
        <v>917</v>
      </c>
      <c r="S1636">
        <v>39</v>
      </c>
      <c r="T1636" s="29" t="str">
        <f t="shared" ref="T1636:T1643" si="71">HYPERLINK("https://ictv.global/ictv/proposals/2023.010B.Bradleyvirinae_5ng.zip","2023.010B.Bradleyvirinae_5ng.zip")</f>
        <v>2023.010B.Bradleyvirinae_5ng.zip</v>
      </c>
      <c r="U1636" s="29" t="str">
        <f>HYPERLINK("https://ictv.global/taxonomy/taxondetails?taxnode_id=202317944","ictv.global=202317944")</f>
        <v>ictv.global=202317944</v>
      </c>
    </row>
    <row r="1637" spans="1:21">
      <c r="A1637">
        <v>1636</v>
      </c>
      <c r="B1637" s="30" t="s">
        <v>1587</v>
      </c>
      <c r="D1637" s="30" t="s">
        <v>1588</v>
      </c>
      <c r="F1637" s="30" t="s">
        <v>1591</v>
      </c>
      <c r="H1637" s="30" t="s">
        <v>1592</v>
      </c>
      <c r="L1637" s="30" t="s">
        <v>5325</v>
      </c>
      <c r="M1637" s="30" t="s">
        <v>5326</v>
      </c>
      <c r="N1637" s="30" t="s">
        <v>5328</v>
      </c>
      <c r="P1637" s="30" t="s">
        <v>12101</v>
      </c>
      <c r="Q1637" t="s">
        <v>619</v>
      </c>
      <c r="R1637" t="s">
        <v>917</v>
      </c>
      <c r="S1637">
        <v>39</v>
      </c>
      <c r="T1637" s="29" t="str">
        <f t="shared" si="71"/>
        <v>2023.010B.Bradleyvirinae_5ng.zip</v>
      </c>
      <c r="U1637" s="29" t="str">
        <f>HYPERLINK("https://ictv.global/taxonomy/taxondetails?taxnode_id=202317945","ictv.global=202317945")</f>
        <v>ictv.global=202317945</v>
      </c>
    </row>
    <row r="1638" spans="1:21">
      <c r="A1638">
        <v>1637</v>
      </c>
      <c r="B1638" s="30" t="s">
        <v>1587</v>
      </c>
      <c r="D1638" s="30" t="s">
        <v>1588</v>
      </c>
      <c r="F1638" s="30" t="s">
        <v>1591</v>
      </c>
      <c r="H1638" s="30" t="s">
        <v>1592</v>
      </c>
      <c r="L1638" s="30" t="s">
        <v>5325</v>
      </c>
      <c r="M1638" s="30" t="s">
        <v>5326</v>
      </c>
      <c r="N1638" s="30" t="s">
        <v>5328</v>
      </c>
      <c r="P1638" s="30" t="s">
        <v>12102</v>
      </c>
      <c r="Q1638" t="s">
        <v>619</v>
      </c>
      <c r="R1638" t="s">
        <v>917</v>
      </c>
      <c r="S1638">
        <v>39</v>
      </c>
      <c r="T1638" s="29" t="str">
        <f t="shared" si="71"/>
        <v>2023.010B.Bradleyvirinae_5ng.zip</v>
      </c>
      <c r="U1638" s="29" t="str">
        <f>HYPERLINK("https://ictv.global/taxonomy/taxondetails?taxnode_id=202317941","ictv.global=202317941")</f>
        <v>ictv.global=202317941</v>
      </c>
    </row>
    <row r="1639" spans="1:21">
      <c r="A1639">
        <v>1638</v>
      </c>
      <c r="B1639" s="30" t="s">
        <v>1587</v>
      </c>
      <c r="D1639" s="30" t="s">
        <v>1588</v>
      </c>
      <c r="F1639" s="30" t="s">
        <v>1591</v>
      </c>
      <c r="H1639" s="30" t="s">
        <v>1592</v>
      </c>
      <c r="L1639" s="30" t="s">
        <v>5325</v>
      </c>
      <c r="M1639" s="30" t="s">
        <v>5326</v>
      </c>
      <c r="N1639" s="30" t="s">
        <v>5328</v>
      </c>
      <c r="P1639" s="30" t="s">
        <v>12103</v>
      </c>
      <c r="Q1639" t="s">
        <v>619</v>
      </c>
      <c r="R1639" t="s">
        <v>917</v>
      </c>
      <c r="S1639">
        <v>39</v>
      </c>
      <c r="T1639" s="29" t="str">
        <f t="shared" si="71"/>
        <v>2023.010B.Bradleyvirinae_5ng.zip</v>
      </c>
      <c r="U1639" s="29" t="str">
        <f>HYPERLINK("https://ictv.global/taxonomy/taxondetails?taxnode_id=202317942","ictv.global=202317942")</f>
        <v>ictv.global=202317942</v>
      </c>
    </row>
    <row r="1640" spans="1:21">
      <c r="A1640">
        <v>1639</v>
      </c>
      <c r="B1640" s="30" t="s">
        <v>1587</v>
      </c>
      <c r="D1640" s="30" t="s">
        <v>1588</v>
      </c>
      <c r="F1640" s="30" t="s">
        <v>1591</v>
      </c>
      <c r="H1640" s="30" t="s">
        <v>1592</v>
      </c>
      <c r="L1640" s="30" t="s">
        <v>5325</v>
      </c>
      <c r="M1640" s="30" t="s">
        <v>5326</v>
      </c>
      <c r="N1640" s="30" t="s">
        <v>12104</v>
      </c>
      <c r="P1640" s="30" t="s">
        <v>12105</v>
      </c>
      <c r="Q1640" t="s">
        <v>619</v>
      </c>
      <c r="R1640" t="s">
        <v>918</v>
      </c>
      <c r="S1640">
        <v>39</v>
      </c>
      <c r="T1640" s="29" t="str">
        <f t="shared" si="71"/>
        <v>2023.010B.Bradleyvirinae_5ng.zip</v>
      </c>
      <c r="U1640" s="29" t="str">
        <f>HYPERLINK("https://ictv.global/taxonomy/taxondetails?taxnode_id=202301176","ictv.global=202301176")</f>
        <v>ictv.global=202301176</v>
      </c>
    </row>
    <row r="1641" spans="1:21">
      <c r="A1641">
        <v>1640</v>
      </c>
      <c r="B1641" s="30" t="s">
        <v>1587</v>
      </c>
      <c r="D1641" s="30" t="s">
        <v>1588</v>
      </c>
      <c r="F1641" s="30" t="s">
        <v>1591</v>
      </c>
      <c r="H1641" s="30" t="s">
        <v>1592</v>
      </c>
      <c r="L1641" s="30" t="s">
        <v>5325</v>
      </c>
      <c r="M1641" s="30" t="s">
        <v>5326</v>
      </c>
      <c r="N1641" s="30" t="s">
        <v>12106</v>
      </c>
      <c r="P1641" s="30" t="s">
        <v>12107</v>
      </c>
      <c r="Q1641" t="s">
        <v>619</v>
      </c>
      <c r="R1641" t="s">
        <v>917</v>
      </c>
      <c r="S1641">
        <v>39</v>
      </c>
      <c r="T1641" s="29" t="str">
        <f t="shared" si="71"/>
        <v>2023.010B.Bradleyvirinae_5ng.zip</v>
      </c>
      <c r="U1641" s="29" t="str">
        <f>HYPERLINK("https://ictv.global/taxonomy/taxondetails?taxnode_id=202317935","ictv.global=202317935")</f>
        <v>ictv.global=202317935</v>
      </c>
    </row>
    <row r="1642" spans="1:21">
      <c r="A1642">
        <v>1641</v>
      </c>
      <c r="B1642" s="30" t="s">
        <v>1587</v>
      </c>
      <c r="D1642" s="30" t="s">
        <v>1588</v>
      </c>
      <c r="F1642" s="30" t="s">
        <v>1591</v>
      </c>
      <c r="H1642" s="30" t="s">
        <v>1592</v>
      </c>
      <c r="L1642" s="30" t="s">
        <v>5325</v>
      </c>
      <c r="M1642" s="30" t="s">
        <v>5326</v>
      </c>
      <c r="N1642" s="30" t="s">
        <v>12108</v>
      </c>
      <c r="P1642" s="30" t="s">
        <v>12109</v>
      </c>
      <c r="Q1642" t="s">
        <v>619</v>
      </c>
      <c r="R1642" t="s">
        <v>917</v>
      </c>
      <c r="S1642">
        <v>39</v>
      </c>
      <c r="T1642" s="29" t="str">
        <f t="shared" si="71"/>
        <v>2023.010B.Bradleyvirinae_5ng.zip</v>
      </c>
      <c r="U1642" s="29" t="str">
        <f>HYPERLINK("https://ictv.global/taxonomy/taxondetails?taxnode_id=202317940","ictv.global=202317940")</f>
        <v>ictv.global=202317940</v>
      </c>
    </row>
    <row r="1643" spans="1:21">
      <c r="A1643">
        <v>1642</v>
      </c>
      <c r="B1643" s="30" t="s">
        <v>1587</v>
      </c>
      <c r="D1643" s="30" t="s">
        <v>1588</v>
      </c>
      <c r="F1643" s="30" t="s">
        <v>1591</v>
      </c>
      <c r="H1643" s="30" t="s">
        <v>1592</v>
      </c>
      <c r="L1643" s="30" t="s">
        <v>5325</v>
      </c>
      <c r="M1643" s="30" t="s">
        <v>5326</v>
      </c>
      <c r="N1643" s="30" t="s">
        <v>12110</v>
      </c>
      <c r="P1643" s="30" t="s">
        <v>12111</v>
      </c>
      <c r="Q1643" t="s">
        <v>619</v>
      </c>
      <c r="R1643" t="s">
        <v>917</v>
      </c>
      <c r="S1643">
        <v>39</v>
      </c>
      <c r="T1643" s="29" t="str">
        <f t="shared" si="71"/>
        <v>2023.010B.Bradleyvirinae_5ng.zip</v>
      </c>
      <c r="U1643" s="29" t="str">
        <f>HYPERLINK("https://ictv.global/taxonomy/taxondetails?taxnode_id=202317938","ictv.global=202317938")</f>
        <v>ictv.global=202317938</v>
      </c>
    </row>
    <row r="1644" spans="1:21">
      <c r="A1644">
        <v>1643</v>
      </c>
      <c r="B1644" s="30" t="s">
        <v>1587</v>
      </c>
      <c r="D1644" s="30" t="s">
        <v>1588</v>
      </c>
      <c r="F1644" s="30" t="s">
        <v>1591</v>
      </c>
      <c r="H1644" s="30" t="s">
        <v>1592</v>
      </c>
      <c r="L1644" s="30" t="s">
        <v>5325</v>
      </c>
      <c r="M1644" s="30" t="s">
        <v>5326</v>
      </c>
      <c r="N1644" s="30" t="s">
        <v>5330</v>
      </c>
      <c r="P1644" s="30" t="s">
        <v>5331</v>
      </c>
      <c r="Q1644" t="s">
        <v>619</v>
      </c>
      <c r="R1644" t="s">
        <v>917</v>
      </c>
      <c r="S1644">
        <v>37</v>
      </c>
      <c r="T1644" s="29" t="str">
        <f>HYPERLINK("https://ictv.global/ictv/proposals/2021.051B.R.Mesyanzhinovviridae.zip","2021.051B.R.Mesyanzhinovviridae.zip")</f>
        <v>2021.051B.R.Mesyanzhinovviridae.zip</v>
      </c>
      <c r="U1644" s="29" t="str">
        <f>HYPERLINK("https://ictv.global/taxonomy/taxondetails?taxnode_id=202312411","ictv.global=202312411")</f>
        <v>ictv.global=202312411</v>
      </c>
    </row>
    <row r="1645" spans="1:21">
      <c r="A1645">
        <v>1644</v>
      </c>
      <c r="B1645" s="30" t="s">
        <v>1587</v>
      </c>
      <c r="D1645" s="30" t="s">
        <v>1588</v>
      </c>
      <c r="F1645" s="30" t="s">
        <v>1591</v>
      </c>
      <c r="H1645" s="30" t="s">
        <v>1592</v>
      </c>
      <c r="L1645" s="30" t="s">
        <v>5325</v>
      </c>
      <c r="M1645" s="30" t="s">
        <v>5326</v>
      </c>
      <c r="N1645" s="30" t="s">
        <v>12112</v>
      </c>
      <c r="P1645" s="30" t="s">
        <v>12113</v>
      </c>
      <c r="Q1645" t="s">
        <v>619</v>
      </c>
      <c r="R1645" t="s">
        <v>917</v>
      </c>
      <c r="S1645">
        <v>39</v>
      </c>
      <c r="T1645" s="29" t="str">
        <f t="shared" ref="T1645:T1651" si="72">HYPERLINK("https://ictv.global/ictv/proposals/2023.010B.Bradleyvirinae_5ng.zip","2023.010B.Bradleyvirinae_5ng.zip")</f>
        <v>2023.010B.Bradleyvirinae_5ng.zip</v>
      </c>
      <c r="U1645" s="29" t="str">
        <f>HYPERLINK("https://ictv.global/taxonomy/taxondetails?taxnode_id=202317936","ictv.global=202317936")</f>
        <v>ictv.global=202317936</v>
      </c>
    </row>
    <row r="1646" spans="1:21">
      <c r="A1646">
        <v>1645</v>
      </c>
      <c r="B1646" s="30" t="s">
        <v>1587</v>
      </c>
      <c r="D1646" s="30" t="s">
        <v>1588</v>
      </c>
      <c r="F1646" s="30" t="s">
        <v>1591</v>
      </c>
      <c r="H1646" s="30" t="s">
        <v>1592</v>
      </c>
      <c r="L1646" s="30" t="s">
        <v>5325</v>
      </c>
      <c r="M1646" s="30" t="s">
        <v>5326</v>
      </c>
      <c r="N1646" s="30" t="s">
        <v>12114</v>
      </c>
      <c r="P1646" s="30" t="s">
        <v>12115</v>
      </c>
      <c r="Q1646" t="s">
        <v>619</v>
      </c>
      <c r="R1646" t="s">
        <v>917</v>
      </c>
      <c r="S1646">
        <v>39</v>
      </c>
      <c r="T1646" s="29" t="str">
        <f t="shared" si="72"/>
        <v>2023.010B.Bradleyvirinae_5ng.zip</v>
      </c>
      <c r="U1646" s="29" t="str">
        <f>HYPERLINK("https://ictv.global/taxonomy/taxondetails?taxnode_id=202317939","ictv.global=202317939")</f>
        <v>ictv.global=202317939</v>
      </c>
    </row>
    <row r="1647" spans="1:21">
      <c r="A1647">
        <v>1646</v>
      </c>
      <c r="B1647" s="30" t="s">
        <v>1587</v>
      </c>
      <c r="D1647" s="30" t="s">
        <v>1588</v>
      </c>
      <c r="F1647" s="30" t="s">
        <v>1591</v>
      </c>
      <c r="H1647" s="30" t="s">
        <v>1592</v>
      </c>
      <c r="L1647" s="30" t="s">
        <v>5325</v>
      </c>
      <c r="M1647" s="30" t="s">
        <v>5326</v>
      </c>
      <c r="N1647" s="30" t="s">
        <v>1532</v>
      </c>
      <c r="P1647" s="30" t="s">
        <v>12116</v>
      </c>
      <c r="Q1647" t="s">
        <v>619</v>
      </c>
      <c r="R1647" t="s">
        <v>917</v>
      </c>
      <c r="S1647">
        <v>39</v>
      </c>
      <c r="T1647" s="29" t="str">
        <f t="shared" si="72"/>
        <v>2023.010B.Bradleyvirinae_5ng.zip</v>
      </c>
      <c r="U1647" s="29" t="str">
        <f>HYPERLINK("https://ictv.global/taxonomy/taxondetails?taxnode_id=202317947","ictv.global=202317947")</f>
        <v>ictv.global=202317947</v>
      </c>
    </row>
    <row r="1648" spans="1:21">
      <c r="A1648">
        <v>1647</v>
      </c>
      <c r="B1648" s="30" t="s">
        <v>1587</v>
      </c>
      <c r="D1648" s="30" t="s">
        <v>1588</v>
      </c>
      <c r="F1648" s="30" t="s">
        <v>1591</v>
      </c>
      <c r="H1648" s="30" t="s">
        <v>1592</v>
      </c>
      <c r="L1648" s="30" t="s">
        <v>5325</v>
      </c>
      <c r="M1648" s="30" t="s">
        <v>5326</v>
      </c>
      <c r="N1648" s="30" t="s">
        <v>1532</v>
      </c>
      <c r="P1648" s="30" t="s">
        <v>7906</v>
      </c>
      <c r="Q1648" t="s">
        <v>619</v>
      </c>
      <c r="R1648" t="s">
        <v>919</v>
      </c>
      <c r="S1648">
        <v>39</v>
      </c>
      <c r="T1648" s="29" t="str">
        <f t="shared" si="72"/>
        <v>2023.010B.Bradleyvirinae_5ng.zip</v>
      </c>
      <c r="U1648" s="29" t="str">
        <f>HYPERLINK("https://ictv.global/taxonomy/taxondetails?taxnode_id=202301175","ictv.global=202301175")</f>
        <v>ictv.global=202301175</v>
      </c>
    </row>
    <row r="1649" spans="1:21">
      <c r="A1649">
        <v>1648</v>
      </c>
      <c r="B1649" s="30" t="s">
        <v>1587</v>
      </c>
      <c r="D1649" s="30" t="s">
        <v>1588</v>
      </c>
      <c r="F1649" s="30" t="s">
        <v>1591</v>
      </c>
      <c r="H1649" s="30" t="s">
        <v>1592</v>
      </c>
      <c r="L1649" s="30" t="s">
        <v>5325</v>
      </c>
      <c r="M1649" s="30" t="s">
        <v>5326</v>
      </c>
      <c r="N1649" s="30" t="s">
        <v>1532</v>
      </c>
      <c r="P1649" s="30" t="s">
        <v>12117</v>
      </c>
      <c r="Q1649" t="s">
        <v>619</v>
      </c>
      <c r="R1649" t="s">
        <v>917</v>
      </c>
      <c r="S1649">
        <v>39</v>
      </c>
      <c r="T1649" s="29" t="str">
        <f t="shared" si="72"/>
        <v>2023.010B.Bradleyvirinae_5ng.zip</v>
      </c>
      <c r="U1649" s="29" t="str">
        <f>HYPERLINK("https://ictv.global/taxonomy/taxondetails?taxnode_id=202317948","ictv.global=202317948")</f>
        <v>ictv.global=202317948</v>
      </c>
    </row>
    <row r="1650" spans="1:21">
      <c r="A1650">
        <v>1649</v>
      </c>
      <c r="B1650" s="30" t="s">
        <v>1587</v>
      </c>
      <c r="D1650" s="30" t="s">
        <v>1588</v>
      </c>
      <c r="F1650" s="30" t="s">
        <v>1591</v>
      </c>
      <c r="H1650" s="30" t="s">
        <v>1592</v>
      </c>
      <c r="L1650" s="30" t="s">
        <v>5325</v>
      </c>
      <c r="M1650" s="30" t="s">
        <v>5326</v>
      </c>
      <c r="N1650" s="30" t="s">
        <v>1532</v>
      </c>
      <c r="P1650" s="30" t="s">
        <v>12118</v>
      </c>
      <c r="Q1650" t="s">
        <v>619</v>
      </c>
      <c r="R1650" t="s">
        <v>917</v>
      </c>
      <c r="S1650">
        <v>39</v>
      </c>
      <c r="T1650" s="29" t="str">
        <f t="shared" si="72"/>
        <v>2023.010B.Bradleyvirinae_5ng.zip</v>
      </c>
      <c r="U1650" s="29" t="str">
        <f>HYPERLINK("https://ictv.global/taxonomy/taxondetails?taxnode_id=202317946","ictv.global=202317946")</f>
        <v>ictv.global=202317946</v>
      </c>
    </row>
    <row r="1651" spans="1:21">
      <c r="A1651">
        <v>1650</v>
      </c>
      <c r="B1651" s="30" t="s">
        <v>1587</v>
      </c>
      <c r="D1651" s="30" t="s">
        <v>1588</v>
      </c>
      <c r="F1651" s="30" t="s">
        <v>1591</v>
      </c>
      <c r="H1651" s="30" t="s">
        <v>1592</v>
      </c>
      <c r="L1651" s="30" t="s">
        <v>5325</v>
      </c>
      <c r="M1651" s="30" t="s">
        <v>5326</v>
      </c>
      <c r="N1651" s="30" t="s">
        <v>5332</v>
      </c>
      <c r="P1651" s="30" t="s">
        <v>12119</v>
      </c>
      <c r="Q1651" t="s">
        <v>619</v>
      </c>
      <c r="R1651" t="s">
        <v>917</v>
      </c>
      <c r="S1651">
        <v>39</v>
      </c>
      <c r="T1651" s="29" t="str">
        <f t="shared" si="72"/>
        <v>2023.010B.Bradleyvirinae_5ng.zip</v>
      </c>
      <c r="U1651" s="29" t="str">
        <f>HYPERLINK("https://ictv.global/taxonomy/taxondetails?taxnode_id=202317937","ictv.global=202317937")</f>
        <v>ictv.global=202317937</v>
      </c>
    </row>
    <row r="1652" spans="1:21">
      <c r="A1652">
        <v>1651</v>
      </c>
      <c r="B1652" s="30" t="s">
        <v>1587</v>
      </c>
      <c r="D1652" s="30" t="s">
        <v>1588</v>
      </c>
      <c r="F1652" s="30" t="s">
        <v>1591</v>
      </c>
      <c r="H1652" s="30" t="s">
        <v>1592</v>
      </c>
      <c r="L1652" s="30" t="s">
        <v>5325</v>
      </c>
      <c r="M1652" s="30" t="s">
        <v>5326</v>
      </c>
      <c r="N1652" s="30" t="s">
        <v>5332</v>
      </c>
      <c r="P1652" s="30" t="s">
        <v>5333</v>
      </c>
      <c r="Q1652" t="s">
        <v>619</v>
      </c>
      <c r="R1652" t="s">
        <v>917</v>
      </c>
      <c r="S1652">
        <v>37</v>
      </c>
      <c r="T1652" s="29" t="str">
        <f>HYPERLINK("https://ictv.global/ictv/proposals/2021.051B.R.Mesyanzhinovviridae.zip","2021.051B.R.Mesyanzhinovviridae.zip")</f>
        <v>2021.051B.R.Mesyanzhinovviridae.zip</v>
      </c>
      <c r="U1652" s="29" t="str">
        <f>HYPERLINK("https://ictv.global/taxonomy/taxondetails?taxnode_id=202312414","ictv.global=202312414")</f>
        <v>ictv.global=202312414</v>
      </c>
    </row>
    <row r="1653" spans="1:21">
      <c r="A1653">
        <v>1652</v>
      </c>
      <c r="B1653" s="30" t="s">
        <v>1587</v>
      </c>
      <c r="D1653" s="30" t="s">
        <v>1588</v>
      </c>
      <c r="F1653" s="30" t="s">
        <v>1591</v>
      </c>
      <c r="H1653" s="30" t="s">
        <v>1592</v>
      </c>
      <c r="L1653" s="30" t="s">
        <v>5325</v>
      </c>
      <c r="M1653" s="30" t="s">
        <v>5334</v>
      </c>
      <c r="N1653" s="30" t="s">
        <v>1949</v>
      </c>
      <c r="P1653" s="30" t="s">
        <v>1950</v>
      </c>
      <c r="Q1653" t="s">
        <v>619</v>
      </c>
      <c r="R1653" t="s">
        <v>919</v>
      </c>
      <c r="S1653">
        <v>37</v>
      </c>
      <c r="T1653" s="29" t="str">
        <f t="shared" ref="T1653:T1661" si="73">HYPERLINK("https://ictv.global/ictv/proposals/2021.001B.R.abolish_Caudovirales.zip","2021.001B.R.abolish_Caudovirales.zip;2021.051B.A.v1.Mesyanzhinovviridae.zip")</f>
        <v>2021.001B.R.abolish_Caudovirales.zip;2021.051B.A.v1.Mesyanzhinovviridae.zip</v>
      </c>
      <c r="U1653" s="29" t="str">
        <f>HYPERLINK("https://ictv.global/taxonomy/taxondetails?taxnode_id=202308070","ictv.global=202308070")</f>
        <v>ictv.global=202308070</v>
      </c>
    </row>
    <row r="1654" spans="1:21">
      <c r="A1654">
        <v>1653</v>
      </c>
      <c r="B1654" s="30" t="s">
        <v>1587</v>
      </c>
      <c r="D1654" s="30" t="s">
        <v>1588</v>
      </c>
      <c r="F1654" s="30" t="s">
        <v>1591</v>
      </c>
      <c r="H1654" s="30" t="s">
        <v>1592</v>
      </c>
      <c r="L1654" s="30" t="s">
        <v>5325</v>
      </c>
      <c r="M1654" s="30" t="s">
        <v>5334</v>
      </c>
      <c r="N1654" s="30" t="s">
        <v>1949</v>
      </c>
      <c r="P1654" s="30" t="s">
        <v>1951</v>
      </c>
      <c r="Q1654" t="s">
        <v>619</v>
      </c>
      <c r="R1654" t="s">
        <v>919</v>
      </c>
      <c r="S1654">
        <v>37</v>
      </c>
      <c r="T1654" s="29" t="str">
        <f t="shared" si="73"/>
        <v>2021.001B.R.abolish_Caudovirales.zip;2021.051B.A.v1.Mesyanzhinovviridae.zip</v>
      </c>
      <c r="U1654" s="29" t="str">
        <f>HYPERLINK("https://ictv.global/taxonomy/taxondetails?taxnode_id=202308067","ictv.global=202308067")</f>
        <v>ictv.global=202308067</v>
      </c>
    </row>
    <row r="1655" spans="1:21">
      <c r="A1655">
        <v>1654</v>
      </c>
      <c r="B1655" s="30" t="s">
        <v>1587</v>
      </c>
      <c r="D1655" s="30" t="s">
        <v>1588</v>
      </c>
      <c r="F1655" s="30" t="s">
        <v>1591</v>
      </c>
      <c r="H1655" s="30" t="s">
        <v>1592</v>
      </c>
      <c r="L1655" s="30" t="s">
        <v>5325</v>
      </c>
      <c r="M1655" s="30" t="s">
        <v>5334</v>
      </c>
      <c r="N1655" s="30" t="s">
        <v>1949</v>
      </c>
      <c r="P1655" s="30" t="s">
        <v>1952</v>
      </c>
      <c r="Q1655" t="s">
        <v>619</v>
      </c>
      <c r="R1655" t="s">
        <v>919</v>
      </c>
      <c r="S1655">
        <v>37</v>
      </c>
      <c r="T1655" s="29" t="str">
        <f t="shared" si="73"/>
        <v>2021.001B.R.abolish_Caudovirales.zip;2021.051B.A.v1.Mesyanzhinovviridae.zip</v>
      </c>
      <c r="U1655" s="29" t="str">
        <f>HYPERLINK("https://ictv.global/taxonomy/taxondetails?taxnode_id=202308068","ictv.global=202308068")</f>
        <v>ictv.global=202308068</v>
      </c>
    </row>
    <row r="1656" spans="1:21">
      <c r="A1656">
        <v>1655</v>
      </c>
      <c r="B1656" s="30" t="s">
        <v>1587</v>
      </c>
      <c r="D1656" s="30" t="s">
        <v>1588</v>
      </c>
      <c r="F1656" s="30" t="s">
        <v>1591</v>
      </c>
      <c r="H1656" s="30" t="s">
        <v>1592</v>
      </c>
      <c r="L1656" s="30" t="s">
        <v>5325</v>
      </c>
      <c r="M1656" s="30" t="s">
        <v>5334</v>
      </c>
      <c r="N1656" s="30" t="s">
        <v>1949</v>
      </c>
      <c r="P1656" s="30" t="s">
        <v>1953</v>
      </c>
      <c r="Q1656" t="s">
        <v>619</v>
      </c>
      <c r="R1656" t="s">
        <v>919</v>
      </c>
      <c r="S1656">
        <v>37</v>
      </c>
      <c r="T1656" s="29" t="str">
        <f t="shared" si="73"/>
        <v>2021.001B.R.abolish_Caudovirales.zip;2021.051B.A.v1.Mesyanzhinovviridae.zip</v>
      </c>
      <c r="U1656" s="29" t="str">
        <f>HYPERLINK("https://ictv.global/taxonomy/taxondetails?taxnode_id=202308069","ictv.global=202308069")</f>
        <v>ictv.global=202308069</v>
      </c>
    </row>
    <row r="1657" spans="1:21">
      <c r="A1657">
        <v>1656</v>
      </c>
      <c r="B1657" s="30" t="s">
        <v>1587</v>
      </c>
      <c r="D1657" s="30" t="s">
        <v>1588</v>
      </c>
      <c r="F1657" s="30" t="s">
        <v>1591</v>
      </c>
      <c r="H1657" s="30" t="s">
        <v>1592</v>
      </c>
      <c r="L1657" s="30" t="s">
        <v>5325</v>
      </c>
      <c r="M1657" s="30" t="s">
        <v>5334</v>
      </c>
      <c r="N1657" s="30" t="s">
        <v>707</v>
      </c>
      <c r="P1657" s="30" t="s">
        <v>885</v>
      </c>
      <c r="Q1657" t="s">
        <v>619</v>
      </c>
      <c r="R1657" t="s">
        <v>919</v>
      </c>
      <c r="S1657">
        <v>37</v>
      </c>
      <c r="T1657" s="29" t="str">
        <f t="shared" si="73"/>
        <v>2021.001B.R.abolish_Caudovirales.zip;2021.051B.A.v1.Mesyanzhinovviridae.zip</v>
      </c>
      <c r="U1657" s="29" t="str">
        <f>HYPERLINK("https://ictv.global/taxonomy/taxondetails?taxnode_id=202301387","ictv.global=202301387")</f>
        <v>ictv.global=202301387</v>
      </c>
    </row>
    <row r="1658" spans="1:21">
      <c r="A1658">
        <v>1657</v>
      </c>
      <c r="B1658" s="30" t="s">
        <v>1587</v>
      </c>
      <c r="D1658" s="30" t="s">
        <v>1588</v>
      </c>
      <c r="F1658" s="30" t="s">
        <v>1591</v>
      </c>
      <c r="H1658" s="30" t="s">
        <v>1592</v>
      </c>
      <c r="L1658" s="30" t="s">
        <v>5325</v>
      </c>
      <c r="M1658" s="30" t="s">
        <v>5334</v>
      </c>
      <c r="N1658" s="30" t="s">
        <v>707</v>
      </c>
      <c r="P1658" s="30" t="s">
        <v>708</v>
      </c>
      <c r="Q1658" t="s">
        <v>619</v>
      </c>
      <c r="R1658" t="s">
        <v>919</v>
      </c>
      <c r="S1658">
        <v>37</v>
      </c>
      <c r="T1658" s="29" t="str">
        <f t="shared" si="73"/>
        <v>2021.001B.R.abolish_Caudovirales.zip;2021.051B.A.v1.Mesyanzhinovviridae.zip</v>
      </c>
      <c r="U1658" s="29" t="str">
        <f>HYPERLINK("https://ictv.global/taxonomy/taxondetails?taxnode_id=202301388","ictv.global=202301388")</f>
        <v>ictv.global=202301388</v>
      </c>
    </row>
    <row r="1659" spans="1:21">
      <c r="A1659">
        <v>1658</v>
      </c>
      <c r="B1659" s="30" t="s">
        <v>1587</v>
      </c>
      <c r="D1659" s="30" t="s">
        <v>1588</v>
      </c>
      <c r="F1659" s="30" t="s">
        <v>1591</v>
      </c>
      <c r="H1659" s="30" t="s">
        <v>1592</v>
      </c>
      <c r="L1659" s="30" t="s">
        <v>5325</v>
      </c>
      <c r="M1659" s="30" t="s">
        <v>5334</v>
      </c>
      <c r="N1659" s="30" t="s">
        <v>707</v>
      </c>
      <c r="P1659" s="30" t="s">
        <v>886</v>
      </c>
      <c r="Q1659" t="s">
        <v>619</v>
      </c>
      <c r="R1659" t="s">
        <v>919</v>
      </c>
      <c r="S1659">
        <v>37</v>
      </c>
      <c r="T1659" s="29" t="str">
        <f t="shared" si="73"/>
        <v>2021.001B.R.abolish_Caudovirales.zip;2021.051B.A.v1.Mesyanzhinovviridae.zip</v>
      </c>
      <c r="U1659" s="29" t="str">
        <f>HYPERLINK("https://ictv.global/taxonomy/taxondetails?taxnode_id=202301389","ictv.global=202301389")</f>
        <v>ictv.global=202301389</v>
      </c>
    </row>
    <row r="1660" spans="1:21">
      <c r="A1660">
        <v>1659</v>
      </c>
      <c r="B1660" s="30" t="s">
        <v>1587</v>
      </c>
      <c r="D1660" s="30" t="s">
        <v>1588</v>
      </c>
      <c r="F1660" s="30" t="s">
        <v>1591</v>
      </c>
      <c r="H1660" s="30" t="s">
        <v>1592</v>
      </c>
      <c r="L1660" s="30" t="s">
        <v>5325</v>
      </c>
      <c r="M1660" s="30" t="s">
        <v>5334</v>
      </c>
      <c r="N1660" s="30" t="s">
        <v>707</v>
      </c>
      <c r="P1660" s="30" t="s">
        <v>887</v>
      </c>
      <c r="Q1660" t="s">
        <v>619</v>
      </c>
      <c r="R1660" t="s">
        <v>919</v>
      </c>
      <c r="S1660">
        <v>37</v>
      </c>
      <c r="T1660" s="29" t="str">
        <f t="shared" si="73"/>
        <v>2021.001B.R.abolish_Caudovirales.zip;2021.051B.A.v1.Mesyanzhinovviridae.zip</v>
      </c>
      <c r="U1660" s="29" t="str">
        <f>HYPERLINK("https://ictv.global/taxonomy/taxondetails?taxnode_id=202301390","ictv.global=202301390")</f>
        <v>ictv.global=202301390</v>
      </c>
    </row>
    <row r="1661" spans="1:21">
      <c r="A1661">
        <v>1660</v>
      </c>
      <c r="B1661" s="30" t="s">
        <v>1587</v>
      </c>
      <c r="D1661" s="30" t="s">
        <v>1588</v>
      </c>
      <c r="F1661" s="30" t="s">
        <v>1591</v>
      </c>
      <c r="H1661" s="30" t="s">
        <v>1592</v>
      </c>
      <c r="L1661" s="30" t="s">
        <v>5325</v>
      </c>
      <c r="M1661" s="30" t="s">
        <v>5334</v>
      </c>
      <c r="N1661" s="30" t="s">
        <v>707</v>
      </c>
      <c r="P1661" s="30" t="s">
        <v>709</v>
      </c>
      <c r="Q1661" t="s">
        <v>619</v>
      </c>
      <c r="R1661" t="s">
        <v>919</v>
      </c>
      <c r="S1661">
        <v>37</v>
      </c>
      <c r="T1661" s="29" t="str">
        <f t="shared" si="73"/>
        <v>2021.001B.R.abolish_Caudovirales.zip;2021.051B.A.v1.Mesyanzhinovviridae.zip</v>
      </c>
      <c r="U1661" s="29" t="str">
        <f>HYPERLINK("https://ictv.global/taxonomy/taxondetails?taxnode_id=202301391","ictv.global=202301391")</f>
        <v>ictv.global=202301391</v>
      </c>
    </row>
    <row r="1662" spans="1:21">
      <c r="A1662">
        <v>1661</v>
      </c>
      <c r="B1662" s="30" t="s">
        <v>1587</v>
      </c>
      <c r="D1662" s="30" t="s">
        <v>1588</v>
      </c>
      <c r="F1662" s="30" t="s">
        <v>1591</v>
      </c>
      <c r="H1662" s="30" t="s">
        <v>1592</v>
      </c>
      <c r="L1662" s="30" t="s">
        <v>5325</v>
      </c>
      <c r="N1662" s="30" t="s">
        <v>5335</v>
      </c>
      <c r="P1662" s="30" t="s">
        <v>5336</v>
      </c>
      <c r="Q1662" t="s">
        <v>619</v>
      </c>
      <c r="R1662" t="s">
        <v>918</v>
      </c>
      <c r="S1662">
        <v>37</v>
      </c>
      <c r="T1662" s="29" t="str">
        <f>HYPERLINK("https://ictv.global/ictv/proposals/2021.051B.R.Mesyanzhinovviridae.zip","2021.051B.R.Mesyanzhinovviridae.zip")</f>
        <v>2021.051B.R.Mesyanzhinovviridae.zip</v>
      </c>
      <c r="U1662" s="29" t="str">
        <f>HYPERLINK("https://ictv.global/taxonomy/taxondetails?taxnode_id=202301386","ictv.global=202301386")</f>
        <v>ictv.global=202301386</v>
      </c>
    </row>
    <row r="1663" spans="1:21">
      <c r="A1663">
        <v>1662</v>
      </c>
      <c r="B1663" s="30" t="s">
        <v>1587</v>
      </c>
      <c r="D1663" s="30" t="s">
        <v>1588</v>
      </c>
      <c r="F1663" s="30" t="s">
        <v>1591</v>
      </c>
      <c r="H1663" s="30" t="s">
        <v>1592</v>
      </c>
      <c r="L1663" s="30" t="s">
        <v>5337</v>
      </c>
      <c r="N1663" s="30" t="s">
        <v>5338</v>
      </c>
      <c r="P1663" s="30" t="s">
        <v>5339</v>
      </c>
      <c r="Q1663" t="s">
        <v>619</v>
      </c>
      <c r="R1663" t="s">
        <v>917</v>
      </c>
      <c r="S1663">
        <v>37</v>
      </c>
      <c r="T1663" s="29" t="str">
        <f>HYPERLINK("https://ictv.global/ictv/proposals/2021.029B.R.Flavophages_9_families.zip","2021.029B.R.Flavophages_9_families.zip")</f>
        <v>2021.029B.R.Flavophages_9_families.zip</v>
      </c>
      <c r="U1663" s="29" t="str">
        <f>HYPERLINK("https://ictv.global/taxonomy/taxondetails?taxnode_id=202313565","ictv.global=202313565")</f>
        <v>ictv.global=202313565</v>
      </c>
    </row>
    <row r="1664" spans="1:21">
      <c r="A1664">
        <v>1663</v>
      </c>
      <c r="B1664" s="30" t="s">
        <v>1587</v>
      </c>
      <c r="D1664" s="30" t="s">
        <v>1588</v>
      </c>
      <c r="F1664" s="30" t="s">
        <v>1591</v>
      </c>
      <c r="H1664" s="30" t="s">
        <v>1592</v>
      </c>
      <c r="L1664" s="30" t="s">
        <v>5337</v>
      </c>
      <c r="N1664" s="30" t="s">
        <v>5338</v>
      </c>
      <c r="P1664" s="30" t="s">
        <v>5340</v>
      </c>
      <c r="Q1664" t="s">
        <v>619</v>
      </c>
      <c r="R1664" t="s">
        <v>917</v>
      </c>
      <c r="S1664">
        <v>37</v>
      </c>
      <c r="T1664" s="29" t="str">
        <f>HYPERLINK("https://ictv.global/ictv/proposals/2021.029B.R.Flavophages_9_families.zip","2021.029B.R.Flavophages_9_families.zip")</f>
        <v>2021.029B.R.Flavophages_9_families.zip</v>
      </c>
      <c r="U1664" s="29" t="str">
        <f>HYPERLINK("https://ictv.global/taxonomy/taxondetails?taxnode_id=202313564","ictv.global=202313564")</f>
        <v>ictv.global=202313564</v>
      </c>
    </row>
    <row r="1665" spans="1:21">
      <c r="A1665">
        <v>1664</v>
      </c>
      <c r="B1665" s="30" t="s">
        <v>1587</v>
      </c>
      <c r="D1665" s="30" t="s">
        <v>1588</v>
      </c>
      <c r="F1665" s="30" t="s">
        <v>1591</v>
      </c>
      <c r="H1665" s="30" t="s">
        <v>1592</v>
      </c>
      <c r="L1665" s="30" t="s">
        <v>5341</v>
      </c>
      <c r="N1665" s="30" t="s">
        <v>5342</v>
      </c>
      <c r="P1665" s="30" t="s">
        <v>5343</v>
      </c>
      <c r="Q1665" t="s">
        <v>619</v>
      </c>
      <c r="R1665" t="s">
        <v>917</v>
      </c>
      <c r="S1665">
        <v>37</v>
      </c>
      <c r="T1665" s="29" t="str">
        <f>HYPERLINK("https://ictv.global/ictv/proposals/2021.056B.R.Naomiviridae.zip","2021.056B.R.Naomiviridae.zip")</f>
        <v>2021.056B.R.Naomiviridae.zip</v>
      </c>
      <c r="U1665" s="29" t="str">
        <f>HYPERLINK("https://ictv.global/taxonomy/taxondetails?taxnode_id=202312773","ictv.global=202312773")</f>
        <v>ictv.global=202312773</v>
      </c>
    </row>
    <row r="1666" spans="1:21">
      <c r="A1666">
        <v>1665</v>
      </c>
      <c r="B1666" s="30" t="s">
        <v>1587</v>
      </c>
      <c r="D1666" s="30" t="s">
        <v>1588</v>
      </c>
      <c r="F1666" s="30" t="s">
        <v>1591</v>
      </c>
      <c r="H1666" s="30" t="s">
        <v>1592</v>
      </c>
      <c r="L1666" s="30" t="s">
        <v>5344</v>
      </c>
      <c r="M1666" s="30" t="s">
        <v>5345</v>
      </c>
      <c r="N1666" s="30" t="s">
        <v>5346</v>
      </c>
      <c r="P1666" s="30" t="s">
        <v>5347</v>
      </c>
      <c r="Q1666" t="s">
        <v>619</v>
      </c>
      <c r="R1666" t="s">
        <v>917</v>
      </c>
      <c r="S1666">
        <v>37</v>
      </c>
      <c r="T1666" s="29" t="str">
        <f t="shared" ref="T1666:T1676" si="74">HYPERLINK("https://ictv.global/ictv/proposals/2021.060B.R.Orlajensenviridae.zip","2021.060B.R.Orlajensenviridae.zip")</f>
        <v>2021.060B.R.Orlajensenviridae.zip</v>
      </c>
      <c r="U1666" s="29" t="str">
        <f>HYPERLINK("https://ictv.global/taxonomy/taxondetails?taxnode_id=202312802","ictv.global=202312802")</f>
        <v>ictv.global=202312802</v>
      </c>
    </row>
    <row r="1667" spans="1:21">
      <c r="A1667">
        <v>1666</v>
      </c>
      <c r="B1667" s="30" t="s">
        <v>1587</v>
      </c>
      <c r="D1667" s="30" t="s">
        <v>1588</v>
      </c>
      <c r="F1667" s="30" t="s">
        <v>1591</v>
      </c>
      <c r="H1667" s="30" t="s">
        <v>1592</v>
      </c>
      <c r="L1667" s="30" t="s">
        <v>5344</v>
      </c>
      <c r="M1667" s="30" t="s">
        <v>5345</v>
      </c>
      <c r="N1667" s="30" t="s">
        <v>5348</v>
      </c>
      <c r="P1667" s="30" t="s">
        <v>5349</v>
      </c>
      <c r="Q1667" t="s">
        <v>619</v>
      </c>
      <c r="R1667" t="s">
        <v>917</v>
      </c>
      <c r="S1667">
        <v>37</v>
      </c>
      <c r="T1667" s="29" t="str">
        <f t="shared" si="74"/>
        <v>2021.060B.R.Orlajensenviridae.zip</v>
      </c>
      <c r="U1667" s="29" t="str">
        <f>HYPERLINK("https://ictv.global/taxonomy/taxondetails?taxnode_id=202312804","ictv.global=202312804")</f>
        <v>ictv.global=202312804</v>
      </c>
    </row>
    <row r="1668" spans="1:21">
      <c r="A1668">
        <v>1667</v>
      </c>
      <c r="B1668" s="30" t="s">
        <v>1587</v>
      </c>
      <c r="D1668" s="30" t="s">
        <v>1588</v>
      </c>
      <c r="F1668" s="30" t="s">
        <v>1591</v>
      </c>
      <c r="H1668" s="30" t="s">
        <v>1592</v>
      </c>
      <c r="L1668" s="30" t="s">
        <v>5344</v>
      </c>
      <c r="M1668" s="30" t="s">
        <v>5345</v>
      </c>
      <c r="N1668" s="30" t="s">
        <v>5350</v>
      </c>
      <c r="P1668" s="30" t="s">
        <v>5351</v>
      </c>
      <c r="Q1668" t="s">
        <v>619</v>
      </c>
      <c r="R1668" t="s">
        <v>917</v>
      </c>
      <c r="S1668">
        <v>37</v>
      </c>
      <c r="T1668" s="29" t="str">
        <f t="shared" si="74"/>
        <v>2021.060B.R.Orlajensenviridae.zip</v>
      </c>
      <c r="U1668" s="29" t="str">
        <f>HYPERLINK("https://ictv.global/taxonomy/taxondetails?taxnode_id=202312794","ictv.global=202312794")</f>
        <v>ictv.global=202312794</v>
      </c>
    </row>
    <row r="1669" spans="1:21">
      <c r="A1669">
        <v>1668</v>
      </c>
      <c r="B1669" s="30" t="s">
        <v>1587</v>
      </c>
      <c r="D1669" s="30" t="s">
        <v>1588</v>
      </c>
      <c r="F1669" s="30" t="s">
        <v>1591</v>
      </c>
      <c r="H1669" s="30" t="s">
        <v>1592</v>
      </c>
      <c r="L1669" s="30" t="s">
        <v>5344</v>
      </c>
      <c r="M1669" s="30" t="s">
        <v>5345</v>
      </c>
      <c r="N1669" s="30" t="s">
        <v>5350</v>
      </c>
      <c r="P1669" s="30" t="s">
        <v>5352</v>
      </c>
      <c r="Q1669" t="s">
        <v>619</v>
      </c>
      <c r="R1669" t="s">
        <v>917</v>
      </c>
      <c r="S1669">
        <v>37</v>
      </c>
      <c r="T1669" s="29" t="str">
        <f t="shared" si="74"/>
        <v>2021.060B.R.Orlajensenviridae.zip</v>
      </c>
      <c r="U1669" s="29" t="str">
        <f>HYPERLINK("https://ictv.global/taxonomy/taxondetails?taxnode_id=202312795","ictv.global=202312795")</f>
        <v>ictv.global=202312795</v>
      </c>
    </row>
    <row r="1670" spans="1:21">
      <c r="A1670">
        <v>1669</v>
      </c>
      <c r="B1670" s="30" t="s">
        <v>1587</v>
      </c>
      <c r="D1670" s="30" t="s">
        <v>1588</v>
      </c>
      <c r="F1670" s="30" t="s">
        <v>1591</v>
      </c>
      <c r="H1670" s="30" t="s">
        <v>1592</v>
      </c>
      <c r="L1670" s="30" t="s">
        <v>5344</v>
      </c>
      <c r="M1670" s="30" t="s">
        <v>5345</v>
      </c>
      <c r="N1670" s="30" t="s">
        <v>5350</v>
      </c>
      <c r="P1670" s="30" t="s">
        <v>5353</v>
      </c>
      <c r="Q1670" t="s">
        <v>619</v>
      </c>
      <c r="R1670" t="s">
        <v>917</v>
      </c>
      <c r="S1670">
        <v>37</v>
      </c>
      <c r="T1670" s="29" t="str">
        <f t="shared" si="74"/>
        <v>2021.060B.R.Orlajensenviridae.zip</v>
      </c>
      <c r="U1670" s="29" t="str">
        <f>HYPERLINK("https://ictv.global/taxonomy/taxondetails?taxnode_id=202312796","ictv.global=202312796")</f>
        <v>ictv.global=202312796</v>
      </c>
    </row>
    <row r="1671" spans="1:21">
      <c r="A1671">
        <v>1670</v>
      </c>
      <c r="B1671" s="30" t="s">
        <v>1587</v>
      </c>
      <c r="D1671" s="30" t="s">
        <v>1588</v>
      </c>
      <c r="F1671" s="30" t="s">
        <v>1591</v>
      </c>
      <c r="H1671" s="30" t="s">
        <v>1592</v>
      </c>
      <c r="L1671" s="30" t="s">
        <v>5344</v>
      </c>
      <c r="M1671" s="30" t="s">
        <v>5345</v>
      </c>
      <c r="N1671" s="30" t="s">
        <v>5350</v>
      </c>
      <c r="P1671" s="30" t="s">
        <v>5354</v>
      </c>
      <c r="Q1671" t="s">
        <v>619</v>
      </c>
      <c r="R1671" t="s">
        <v>917</v>
      </c>
      <c r="S1671">
        <v>37</v>
      </c>
      <c r="T1671" s="29" t="str">
        <f t="shared" si="74"/>
        <v>2021.060B.R.Orlajensenviridae.zip</v>
      </c>
      <c r="U1671" s="29" t="str">
        <f>HYPERLINK("https://ictv.global/taxonomy/taxondetails?taxnode_id=202312797","ictv.global=202312797")</f>
        <v>ictv.global=202312797</v>
      </c>
    </row>
    <row r="1672" spans="1:21">
      <c r="A1672">
        <v>1671</v>
      </c>
      <c r="B1672" s="30" t="s">
        <v>1587</v>
      </c>
      <c r="D1672" s="30" t="s">
        <v>1588</v>
      </c>
      <c r="F1672" s="30" t="s">
        <v>1591</v>
      </c>
      <c r="H1672" s="30" t="s">
        <v>1592</v>
      </c>
      <c r="L1672" s="30" t="s">
        <v>5344</v>
      </c>
      <c r="M1672" s="30" t="s">
        <v>5345</v>
      </c>
      <c r="N1672" s="30" t="s">
        <v>5350</v>
      </c>
      <c r="P1672" s="30" t="s">
        <v>5355</v>
      </c>
      <c r="Q1672" t="s">
        <v>619</v>
      </c>
      <c r="R1672" t="s">
        <v>917</v>
      </c>
      <c r="S1672">
        <v>37</v>
      </c>
      <c r="T1672" s="29" t="str">
        <f t="shared" si="74"/>
        <v>2021.060B.R.Orlajensenviridae.zip</v>
      </c>
      <c r="U1672" s="29" t="str">
        <f>HYPERLINK("https://ictv.global/taxonomy/taxondetails?taxnode_id=202312798","ictv.global=202312798")</f>
        <v>ictv.global=202312798</v>
      </c>
    </row>
    <row r="1673" spans="1:21">
      <c r="A1673">
        <v>1672</v>
      </c>
      <c r="B1673" s="30" t="s">
        <v>1587</v>
      </c>
      <c r="D1673" s="30" t="s">
        <v>1588</v>
      </c>
      <c r="F1673" s="30" t="s">
        <v>1591</v>
      </c>
      <c r="H1673" s="30" t="s">
        <v>1592</v>
      </c>
      <c r="L1673" s="30" t="s">
        <v>5344</v>
      </c>
      <c r="M1673" s="30" t="s">
        <v>5345</v>
      </c>
      <c r="N1673" s="30" t="s">
        <v>5350</v>
      </c>
      <c r="P1673" s="30" t="s">
        <v>5356</v>
      </c>
      <c r="Q1673" t="s">
        <v>619</v>
      </c>
      <c r="R1673" t="s">
        <v>917</v>
      </c>
      <c r="S1673">
        <v>37</v>
      </c>
      <c r="T1673" s="29" t="str">
        <f t="shared" si="74"/>
        <v>2021.060B.R.Orlajensenviridae.zip</v>
      </c>
      <c r="U1673" s="29" t="str">
        <f>HYPERLINK("https://ictv.global/taxonomy/taxondetails?taxnode_id=202312793","ictv.global=202312793")</f>
        <v>ictv.global=202312793</v>
      </c>
    </row>
    <row r="1674" spans="1:21">
      <c r="A1674">
        <v>1673</v>
      </c>
      <c r="B1674" s="30" t="s">
        <v>1587</v>
      </c>
      <c r="D1674" s="30" t="s">
        <v>1588</v>
      </c>
      <c r="F1674" s="30" t="s">
        <v>1591</v>
      </c>
      <c r="H1674" s="30" t="s">
        <v>1592</v>
      </c>
      <c r="L1674" s="30" t="s">
        <v>5344</v>
      </c>
      <c r="M1674" s="30" t="s">
        <v>5345</v>
      </c>
      <c r="N1674" s="30" t="s">
        <v>5350</v>
      </c>
      <c r="P1674" s="30" t="s">
        <v>5357</v>
      </c>
      <c r="Q1674" t="s">
        <v>619</v>
      </c>
      <c r="R1674" t="s">
        <v>917</v>
      </c>
      <c r="S1674">
        <v>37</v>
      </c>
      <c r="T1674" s="29" t="str">
        <f t="shared" si="74"/>
        <v>2021.060B.R.Orlajensenviridae.zip</v>
      </c>
      <c r="U1674" s="29" t="str">
        <f>HYPERLINK("https://ictv.global/taxonomy/taxondetails?taxnode_id=202312799","ictv.global=202312799")</f>
        <v>ictv.global=202312799</v>
      </c>
    </row>
    <row r="1675" spans="1:21">
      <c r="A1675">
        <v>1674</v>
      </c>
      <c r="B1675" s="30" t="s">
        <v>1587</v>
      </c>
      <c r="D1675" s="30" t="s">
        <v>1588</v>
      </c>
      <c r="F1675" s="30" t="s">
        <v>1591</v>
      </c>
      <c r="H1675" s="30" t="s">
        <v>1592</v>
      </c>
      <c r="L1675" s="30" t="s">
        <v>5344</v>
      </c>
      <c r="M1675" s="30" t="s">
        <v>5345</v>
      </c>
      <c r="N1675" s="30" t="s">
        <v>5350</v>
      </c>
      <c r="P1675" s="30" t="s">
        <v>5358</v>
      </c>
      <c r="Q1675" t="s">
        <v>619</v>
      </c>
      <c r="R1675" t="s">
        <v>917</v>
      </c>
      <c r="S1675">
        <v>37</v>
      </c>
      <c r="T1675" s="29" t="str">
        <f t="shared" si="74"/>
        <v>2021.060B.R.Orlajensenviridae.zip</v>
      </c>
      <c r="U1675" s="29" t="str">
        <f>HYPERLINK("https://ictv.global/taxonomy/taxondetails?taxnode_id=202312800","ictv.global=202312800")</f>
        <v>ictv.global=202312800</v>
      </c>
    </row>
    <row r="1676" spans="1:21">
      <c r="A1676">
        <v>1675</v>
      </c>
      <c r="B1676" s="30" t="s">
        <v>1587</v>
      </c>
      <c r="D1676" s="30" t="s">
        <v>1588</v>
      </c>
      <c r="F1676" s="30" t="s">
        <v>1591</v>
      </c>
      <c r="H1676" s="30" t="s">
        <v>1592</v>
      </c>
      <c r="L1676" s="30" t="s">
        <v>5344</v>
      </c>
      <c r="M1676" s="30" t="s">
        <v>5345</v>
      </c>
      <c r="N1676" s="30" t="s">
        <v>5350</v>
      </c>
      <c r="P1676" s="30" t="s">
        <v>5359</v>
      </c>
      <c r="Q1676" t="s">
        <v>619</v>
      </c>
      <c r="R1676" t="s">
        <v>917</v>
      </c>
      <c r="S1676">
        <v>37</v>
      </c>
      <c r="T1676" s="29" t="str">
        <f t="shared" si="74"/>
        <v>2021.060B.R.Orlajensenviridae.zip</v>
      </c>
      <c r="U1676" s="29" t="str">
        <f>HYPERLINK("https://ictv.global/taxonomy/taxondetails?taxnode_id=202312805","ictv.global=202312805")</f>
        <v>ictv.global=202312805</v>
      </c>
    </row>
    <row r="1677" spans="1:21">
      <c r="A1677">
        <v>1676</v>
      </c>
      <c r="B1677" s="30" t="s">
        <v>1587</v>
      </c>
      <c r="D1677" s="30" t="s">
        <v>1588</v>
      </c>
      <c r="F1677" s="30" t="s">
        <v>1591</v>
      </c>
      <c r="H1677" s="30" t="s">
        <v>1592</v>
      </c>
      <c r="L1677" s="30" t="s">
        <v>5360</v>
      </c>
      <c r="N1677" s="30" t="s">
        <v>5361</v>
      </c>
      <c r="P1677" s="30" t="s">
        <v>5362</v>
      </c>
      <c r="Q1677" t="s">
        <v>619</v>
      </c>
      <c r="R1677" t="s">
        <v>917</v>
      </c>
      <c r="S1677">
        <v>37</v>
      </c>
      <c r="T1677" s="29" t="str">
        <f>HYPERLINK("https://ictv.global/ictv/proposals/2021.029B.R.Flavophages_9_families.zip","2021.029B.R.Flavophages_9_families.zip")</f>
        <v>2021.029B.R.Flavophages_9_families.zip</v>
      </c>
      <c r="U1677" s="29" t="str">
        <f>HYPERLINK("https://ictv.global/taxonomy/taxondetails?taxnode_id=202313544","ictv.global=202313544")</f>
        <v>ictv.global=202313544</v>
      </c>
    </row>
    <row r="1678" spans="1:21">
      <c r="A1678">
        <v>1677</v>
      </c>
      <c r="B1678" s="30" t="s">
        <v>1587</v>
      </c>
      <c r="D1678" s="30" t="s">
        <v>1588</v>
      </c>
      <c r="F1678" s="30" t="s">
        <v>1591</v>
      </c>
      <c r="H1678" s="30" t="s">
        <v>1592</v>
      </c>
      <c r="L1678" s="30" t="s">
        <v>5360</v>
      </c>
      <c r="N1678" s="30" t="s">
        <v>5363</v>
      </c>
      <c r="P1678" s="30" t="s">
        <v>5364</v>
      </c>
      <c r="Q1678" t="s">
        <v>619</v>
      </c>
      <c r="R1678" t="s">
        <v>917</v>
      </c>
      <c r="S1678">
        <v>37</v>
      </c>
      <c r="T1678" s="29" t="str">
        <f>HYPERLINK("https://ictv.global/ictv/proposals/2021.029B.R.Flavophages_9_families.zip","2021.029B.R.Flavophages_9_families.zip")</f>
        <v>2021.029B.R.Flavophages_9_families.zip</v>
      </c>
      <c r="U1678" s="29" t="str">
        <f>HYPERLINK("https://ictv.global/taxonomy/taxondetails?taxnode_id=202313541","ictv.global=202313541")</f>
        <v>ictv.global=202313541</v>
      </c>
    </row>
    <row r="1679" spans="1:21">
      <c r="A1679">
        <v>1678</v>
      </c>
      <c r="B1679" s="30" t="s">
        <v>1587</v>
      </c>
      <c r="D1679" s="30" t="s">
        <v>1588</v>
      </c>
      <c r="F1679" s="30" t="s">
        <v>1591</v>
      </c>
      <c r="H1679" s="30" t="s">
        <v>1592</v>
      </c>
      <c r="L1679" s="30" t="s">
        <v>5360</v>
      </c>
      <c r="N1679" s="30" t="s">
        <v>5363</v>
      </c>
      <c r="P1679" s="30" t="s">
        <v>5365</v>
      </c>
      <c r="Q1679" t="s">
        <v>619</v>
      </c>
      <c r="R1679" t="s">
        <v>917</v>
      </c>
      <c r="S1679">
        <v>37</v>
      </c>
      <c r="T1679" s="29" t="str">
        <f>HYPERLINK("https://ictv.global/ictv/proposals/2021.029B.R.Flavophages_9_families.zip","2021.029B.R.Flavophages_9_families.zip")</f>
        <v>2021.029B.R.Flavophages_9_families.zip</v>
      </c>
      <c r="U1679" s="29" t="str">
        <f>HYPERLINK("https://ictv.global/taxonomy/taxondetails?taxnode_id=202313542","ictv.global=202313542")</f>
        <v>ictv.global=202313542</v>
      </c>
    </row>
    <row r="1680" spans="1:21">
      <c r="A1680">
        <v>1679</v>
      </c>
      <c r="B1680" s="30" t="s">
        <v>1587</v>
      </c>
      <c r="D1680" s="30" t="s">
        <v>1588</v>
      </c>
      <c r="F1680" s="30" t="s">
        <v>1591</v>
      </c>
      <c r="H1680" s="30" t="s">
        <v>1592</v>
      </c>
      <c r="L1680" s="30" t="s">
        <v>5360</v>
      </c>
      <c r="N1680" s="30" t="s">
        <v>5363</v>
      </c>
      <c r="P1680" s="30" t="s">
        <v>5366</v>
      </c>
      <c r="Q1680" t="s">
        <v>619</v>
      </c>
      <c r="R1680" t="s">
        <v>917</v>
      </c>
      <c r="S1680">
        <v>37</v>
      </c>
      <c r="T1680" s="29" t="str">
        <f>HYPERLINK("https://ictv.global/ictv/proposals/2021.029B.R.Flavophages_9_families.zip","2021.029B.R.Flavophages_9_families.zip")</f>
        <v>2021.029B.R.Flavophages_9_families.zip</v>
      </c>
      <c r="U1680" s="29" t="str">
        <f>HYPERLINK("https://ictv.global/taxonomy/taxondetails?taxnode_id=202313540","ictv.global=202313540")</f>
        <v>ictv.global=202313540</v>
      </c>
    </row>
    <row r="1681" spans="1:21">
      <c r="A1681">
        <v>1680</v>
      </c>
      <c r="B1681" s="30" t="s">
        <v>1587</v>
      </c>
      <c r="D1681" s="30" t="s">
        <v>1588</v>
      </c>
      <c r="F1681" s="30" t="s">
        <v>1591</v>
      </c>
      <c r="H1681" s="30" t="s">
        <v>1592</v>
      </c>
      <c r="L1681" s="30" t="s">
        <v>5360</v>
      </c>
      <c r="N1681" s="30" t="s">
        <v>5367</v>
      </c>
      <c r="P1681" s="30" t="s">
        <v>5368</v>
      </c>
      <c r="Q1681" t="s">
        <v>619</v>
      </c>
      <c r="R1681" t="s">
        <v>917</v>
      </c>
      <c r="S1681">
        <v>37</v>
      </c>
      <c r="T1681" s="29" t="str">
        <f>HYPERLINK("https://ictv.global/ictv/proposals/2021.029B.R.Flavophages_9_families.zip","2021.029B.R.Flavophages_9_families.zip")</f>
        <v>2021.029B.R.Flavophages_9_families.zip</v>
      </c>
      <c r="U1681" s="29" t="str">
        <f>HYPERLINK("https://ictv.global/taxonomy/taxondetails?taxnode_id=202313538","ictv.global=202313538")</f>
        <v>ictv.global=202313538</v>
      </c>
    </row>
    <row r="1682" spans="1:21">
      <c r="A1682">
        <v>1681</v>
      </c>
      <c r="B1682" s="30" t="s">
        <v>1587</v>
      </c>
      <c r="D1682" s="30" t="s">
        <v>1588</v>
      </c>
      <c r="F1682" s="30" t="s">
        <v>1591</v>
      </c>
      <c r="H1682" s="30" t="s">
        <v>1592</v>
      </c>
      <c r="L1682" s="30" t="s">
        <v>5369</v>
      </c>
      <c r="N1682" s="30" t="s">
        <v>5370</v>
      </c>
      <c r="P1682" s="30" t="s">
        <v>5371</v>
      </c>
      <c r="Q1682" t="s">
        <v>619</v>
      </c>
      <c r="R1682" t="s">
        <v>918</v>
      </c>
      <c r="S1682">
        <v>37</v>
      </c>
      <c r="T1682" s="29" t="str">
        <f>HYPERLINK("https://ictv.global/ictv/proposals/2021.063B.R.Peduoviridae.zip","2021.063B.R.Peduoviridae.zip")</f>
        <v>2021.063B.R.Peduoviridae.zip</v>
      </c>
      <c r="U1682" s="29" t="str">
        <f>HYPERLINK("https://ictv.global/taxonomy/taxondetails?taxnode_id=202307980","ictv.global=202307980")</f>
        <v>ictv.global=202307980</v>
      </c>
    </row>
    <row r="1683" spans="1:21">
      <c r="A1683">
        <v>1682</v>
      </c>
      <c r="B1683" s="30" t="s">
        <v>1587</v>
      </c>
      <c r="D1683" s="30" t="s">
        <v>1588</v>
      </c>
      <c r="F1683" s="30" t="s">
        <v>1591</v>
      </c>
      <c r="H1683" s="30" t="s">
        <v>1592</v>
      </c>
      <c r="L1683" s="30" t="s">
        <v>5369</v>
      </c>
      <c r="N1683" s="30" t="s">
        <v>5370</v>
      </c>
      <c r="P1683" s="30" t="s">
        <v>5372</v>
      </c>
      <c r="Q1683" t="s">
        <v>619</v>
      </c>
      <c r="R1683" t="s">
        <v>917</v>
      </c>
      <c r="S1683">
        <v>37</v>
      </c>
      <c r="T1683" s="29" t="str">
        <f>HYPERLINK("https://ictv.global/ictv/proposals/2021.063B.R.Peduoviridae.zip","2021.063B.R.Peduoviridae.zip")</f>
        <v>2021.063B.R.Peduoviridae.zip</v>
      </c>
      <c r="U1683" s="29" t="str">
        <f>HYPERLINK("https://ictv.global/taxonomy/taxondetails?taxnode_id=202312846","ictv.global=202312846")</f>
        <v>ictv.global=202312846</v>
      </c>
    </row>
    <row r="1684" spans="1:21">
      <c r="A1684">
        <v>1683</v>
      </c>
      <c r="B1684" s="30" t="s">
        <v>1587</v>
      </c>
      <c r="D1684" s="30" t="s">
        <v>1588</v>
      </c>
      <c r="F1684" s="30" t="s">
        <v>1591</v>
      </c>
      <c r="H1684" s="30" t="s">
        <v>1592</v>
      </c>
      <c r="L1684" s="30" t="s">
        <v>5369</v>
      </c>
      <c r="N1684" s="30" t="s">
        <v>1776</v>
      </c>
      <c r="P1684" s="30" t="s">
        <v>5373</v>
      </c>
      <c r="Q1684" t="s">
        <v>619</v>
      </c>
      <c r="R1684" t="s">
        <v>918</v>
      </c>
      <c r="S1684">
        <v>37</v>
      </c>
      <c r="T1684" s="29" t="str">
        <f>HYPERLINK("https://ictv.global/ictv/proposals/2021.010B.R.Binomial_names.zip","2021.010B.R.Binomial_names.zip")</f>
        <v>2021.010B.R.Binomial_names.zip</v>
      </c>
      <c r="U1684" s="29" t="str">
        <f>HYPERLINK("https://ictv.global/taxonomy/taxondetails?taxnode_id=202300242","ictv.global=202300242")</f>
        <v>ictv.global=202300242</v>
      </c>
    </row>
    <row r="1685" spans="1:21">
      <c r="A1685">
        <v>1684</v>
      </c>
      <c r="B1685" s="30" t="s">
        <v>1587</v>
      </c>
      <c r="D1685" s="30" t="s">
        <v>1588</v>
      </c>
      <c r="F1685" s="30" t="s">
        <v>1591</v>
      </c>
      <c r="H1685" s="30" t="s">
        <v>1592</v>
      </c>
      <c r="L1685" s="30" t="s">
        <v>5369</v>
      </c>
      <c r="N1685" s="30" t="s">
        <v>1776</v>
      </c>
      <c r="P1685" s="30" t="s">
        <v>5374</v>
      </c>
      <c r="Q1685" t="s">
        <v>619</v>
      </c>
      <c r="R1685" t="s">
        <v>918</v>
      </c>
      <c r="S1685">
        <v>37</v>
      </c>
      <c r="T1685" s="29" t="str">
        <f>HYPERLINK("https://ictv.global/ictv/proposals/2021.010B.R.Binomial_names.zip","2021.010B.R.Binomial_names.zip")</f>
        <v>2021.010B.R.Binomial_names.zip</v>
      </c>
      <c r="U1685" s="29" t="str">
        <f>HYPERLINK("https://ictv.global/taxonomy/taxondetails?taxnode_id=202311582","ictv.global=202311582")</f>
        <v>ictv.global=202311582</v>
      </c>
    </row>
    <row r="1686" spans="1:21">
      <c r="A1686">
        <v>1685</v>
      </c>
      <c r="B1686" s="30" t="s">
        <v>1587</v>
      </c>
      <c r="D1686" s="30" t="s">
        <v>1588</v>
      </c>
      <c r="F1686" s="30" t="s">
        <v>1591</v>
      </c>
      <c r="H1686" s="30" t="s">
        <v>1592</v>
      </c>
      <c r="L1686" s="30" t="s">
        <v>5369</v>
      </c>
      <c r="N1686" s="30" t="s">
        <v>5375</v>
      </c>
      <c r="P1686" s="30" t="s">
        <v>5376</v>
      </c>
      <c r="Q1686" t="s">
        <v>619</v>
      </c>
      <c r="R1686" t="s">
        <v>917</v>
      </c>
      <c r="S1686">
        <v>38</v>
      </c>
      <c r="T1686" s="29" t="str">
        <f>HYPERLINK("https://ictv.global/ictv/proposals/2022.062B.Peduoviridae_6ng_19nsp.zip","2022.062B.Peduoviridae_6ng_19nsp.zip")</f>
        <v>2022.062B.Peduoviridae_6ng_19nsp.zip</v>
      </c>
      <c r="U1686" s="29" t="str">
        <f>HYPERLINK("https://ictv.global/taxonomy/taxondetails?taxnode_id=202314744","ictv.global=202314744")</f>
        <v>ictv.global=202314744</v>
      </c>
    </row>
    <row r="1687" spans="1:21">
      <c r="A1687">
        <v>1686</v>
      </c>
      <c r="B1687" s="30" t="s">
        <v>1587</v>
      </c>
      <c r="D1687" s="30" t="s">
        <v>1588</v>
      </c>
      <c r="F1687" s="30" t="s">
        <v>1591</v>
      </c>
      <c r="H1687" s="30" t="s">
        <v>1592</v>
      </c>
      <c r="L1687" s="30" t="s">
        <v>5369</v>
      </c>
      <c r="N1687" s="30" t="s">
        <v>5377</v>
      </c>
      <c r="P1687" s="30" t="s">
        <v>5378</v>
      </c>
      <c r="Q1687" t="s">
        <v>619</v>
      </c>
      <c r="R1687" t="s">
        <v>918</v>
      </c>
      <c r="S1687">
        <v>37</v>
      </c>
      <c r="T1687" s="29" t="str">
        <f>HYPERLINK("https://ictv.global/ictv/proposals/2021.063B.R.Peduoviridae.zip","2021.063B.R.Peduoviridae.zip")</f>
        <v>2021.063B.R.Peduoviridae.zip</v>
      </c>
      <c r="U1687" s="29" t="str">
        <f>HYPERLINK("https://ictv.global/taxonomy/taxondetails?taxnode_id=202307982","ictv.global=202307982")</f>
        <v>ictv.global=202307982</v>
      </c>
    </row>
    <row r="1688" spans="1:21">
      <c r="A1688">
        <v>1687</v>
      </c>
      <c r="B1688" s="30" t="s">
        <v>1587</v>
      </c>
      <c r="D1688" s="30" t="s">
        <v>1588</v>
      </c>
      <c r="F1688" s="30" t="s">
        <v>1591</v>
      </c>
      <c r="H1688" s="30" t="s">
        <v>1592</v>
      </c>
      <c r="L1688" s="30" t="s">
        <v>5369</v>
      </c>
      <c r="N1688" s="30" t="s">
        <v>1777</v>
      </c>
      <c r="P1688" s="30" t="s">
        <v>5379</v>
      </c>
      <c r="Q1688" t="s">
        <v>619</v>
      </c>
      <c r="R1688" t="s">
        <v>918</v>
      </c>
      <c r="S1688">
        <v>37</v>
      </c>
      <c r="T1688" s="29" t="str">
        <f>HYPERLINK("https://ictv.global/ictv/proposals/2021.010B.R.Binomial_names.zip","2021.010B.R.Binomial_names.zip")</f>
        <v>2021.010B.R.Binomial_names.zip</v>
      </c>
      <c r="U1688" s="29" t="str">
        <f>HYPERLINK("https://ictv.global/taxonomy/taxondetails?taxnode_id=202307975","ictv.global=202307975")</f>
        <v>ictv.global=202307975</v>
      </c>
    </row>
    <row r="1689" spans="1:21">
      <c r="A1689">
        <v>1688</v>
      </c>
      <c r="B1689" s="30" t="s">
        <v>1587</v>
      </c>
      <c r="D1689" s="30" t="s">
        <v>1588</v>
      </c>
      <c r="F1689" s="30" t="s">
        <v>1591</v>
      </c>
      <c r="H1689" s="30" t="s">
        <v>1592</v>
      </c>
      <c r="L1689" s="30" t="s">
        <v>5369</v>
      </c>
      <c r="N1689" s="30" t="s">
        <v>1777</v>
      </c>
      <c r="P1689" s="30" t="s">
        <v>5380</v>
      </c>
      <c r="Q1689" t="s">
        <v>619</v>
      </c>
      <c r="R1689" t="s">
        <v>918</v>
      </c>
      <c r="S1689">
        <v>37</v>
      </c>
      <c r="T1689" s="29" t="str">
        <f>HYPERLINK("https://ictv.global/ictv/proposals/2021.010B.R.Binomial_names.zip","2021.010B.R.Binomial_names.zip")</f>
        <v>2021.010B.R.Binomial_names.zip</v>
      </c>
      <c r="U1689" s="29" t="str">
        <f>HYPERLINK("https://ictv.global/taxonomy/taxondetails?taxnode_id=202300240","ictv.global=202300240")</f>
        <v>ictv.global=202300240</v>
      </c>
    </row>
    <row r="1690" spans="1:21">
      <c r="A1690">
        <v>1689</v>
      </c>
      <c r="B1690" s="30" t="s">
        <v>1587</v>
      </c>
      <c r="D1690" s="30" t="s">
        <v>1588</v>
      </c>
      <c r="F1690" s="30" t="s">
        <v>1591</v>
      </c>
      <c r="H1690" s="30" t="s">
        <v>1592</v>
      </c>
      <c r="L1690" s="30" t="s">
        <v>5369</v>
      </c>
      <c r="N1690" s="30" t="s">
        <v>1778</v>
      </c>
      <c r="P1690" s="30" t="s">
        <v>12120</v>
      </c>
      <c r="Q1690" t="s">
        <v>619</v>
      </c>
      <c r="R1690" t="s">
        <v>917</v>
      </c>
      <c r="S1690">
        <v>39</v>
      </c>
      <c r="T1690" s="29" t="str">
        <f>HYPERLINK("https://ictv.global/ictv/proposals/2023.051B.Peduoviridae_reorg.zip","2023.051B.Peduoviridae_reorg.zip")</f>
        <v>2023.051B.Peduoviridae_reorg.zip</v>
      </c>
      <c r="U1690" s="29" t="str">
        <f>HYPERLINK("https://ictv.global/taxonomy/taxondetails?taxnode_id=202319226","ictv.global=202319226")</f>
        <v>ictv.global=202319226</v>
      </c>
    </row>
    <row r="1691" spans="1:21">
      <c r="A1691">
        <v>1690</v>
      </c>
      <c r="B1691" s="30" t="s">
        <v>1587</v>
      </c>
      <c r="D1691" s="30" t="s">
        <v>1588</v>
      </c>
      <c r="F1691" s="30" t="s">
        <v>1591</v>
      </c>
      <c r="H1691" s="30" t="s">
        <v>1592</v>
      </c>
      <c r="L1691" s="30" t="s">
        <v>5369</v>
      </c>
      <c r="N1691" s="30" t="s">
        <v>1778</v>
      </c>
      <c r="P1691" s="30" t="s">
        <v>5381</v>
      </c>
      <c r="Q1691" t="s">
        <v>619</v>
      </c>
      <c r="R1691" t="s">
        <v>918</v>
      </c>
      <c r="S1691">
        <v>37</v>
      </c>
      <c r="T1691" s="29" t="str">
        <f>HYPERLINK("https://ictv.global/ictv/proposals/2021.010B.R.Binomial_names.zip","2021.010B.R.Binomial_names.zip")</f>
        <v>2021.010B.R.Binomial_names.zip</v>
      </c>
      <c r="U1691" s="29" t="str">
        <f>HYPERLINK("https://ictv.global/taxonomy/taxondetails?taxnode_id=202300227","ictv.global=202300227")</f>
        <v>ictv.global=202300227</v>
      </c>
    </row>
    <row r="1692" spans="1:21">
      <c r="A1692">
        <v>1691</v>
      </c>
      <c r="B1692" s="30" t="s">
        <v>1587</v>
      </c>
      <c r="D1692" s="30" t="s">
        <v>1588</v>
      </c>
      <c r="F1692" s="30" t="s">
        <v>1591</v>
      </c>
      <c r="H1692" s="30" t="s">
        <v>1592</v>
      </c>
      <c r="L1692" s="30" t="s">
        <v>5369</v>
      </c>
      <c r="N1692" s="30" t="s">
        <v>5382</v>
      </c>
      <c r="P1692" s="30" t="s">
        <v>5383</v>
      </c>
      <c r="Q1692" t="s">
        <v>619</v>
      </c>
      <c r="R1692" t="s">
        <v>917</v>
      </c>
      <c r="S1692">
        <v>37</v>
      </c>
      <c r="T1692" s="29" t="str">
        <f>HYPERLINK("https://ictv.global/ictv/proposals/2021.063B.R.Peduoviridae.zip","2021.063B.R.Peduoviridae.zip")</f>
        <v>2021.063B.R.Peduoviridae.zip</v>
      </c>
      <c r="U1692" s="29" t="str">
        <f>HYPERLINK("https://ictv.global/taxonomy/taxondetails?taxnode_id=202312852","ictv.global=202312852")</f>
        <v>ictv.global=202312852</v>
      </c>
    </row>
    <row r="1693" spans="1:21">
      <c r="A1693">
        <v>1692</v>
      </c>
      <c r="B1693" s="30" t="s">
        <v>1587</v>
      </c>
      <c r="D1693" s="30" t="s">
        <v>1588</v>
      </c>
      <c r="F1693" s="30" t="s">
        <v>1591</v>
      </c>
      <c r="H1693" s="30" t="s">
        <v>1592</v>
      </c>
      <c r="L1693" s="30" t="s">
        <v>5369</v>
      </c>
      <c r="N1693" s="30" t="s">
        <v>1779</v>
      </c>
      <c r="P1693" s="30" t="s">
        <v>5384</v>
      </c>
      <c r="Q1693" t="s">
        <v>619</v>
      </c>
      <c r="R1693" t="s">
        <v>918</v>
      </c>
      <c r="S1693">
        <v>37</v>
      </c>
      <c r="T1693" s="29" t="str">
        <f>HYPERLINK("https://ictv.global/ictv/proposals/2021.010B.R.Binomial_names.zip","2021.010B.R.Binomial_names.zip")</f>
        <v>2021.010B.R.Binomial_names.zip</v>
      </c>
      <c r="U1693" s="29" t="str">
        <f>HYPERLINK("https://ictv.global/taxonomy/taxondetails?taxnode_id=202307970","ictv.global=202307970")</f>
        <v>ictv.global=202307970</v>
      </c>
    </row>
    <row r="1694" spans="1:21">
      <c r="A1694">
        <v>1693</v>
      </c>
      <c r="B1694" s="30" t="s">
        <v>1587</v>
      </c>
      <c r="D1694" s="30" t="s">
        <v>1588</v>
      </c>
      <c r="F1694" s="30" t="s">
        <v>1591</v>
      </c>
      <c r="H1694" s="30" t="s">
        <v>1592</v>
      </c>
      <c r="L1694" s="30" t="s">
        <v>5369</v>
      </c>
      <c r="N1694" s="30" t="s">
        <v>1780</v>
      </c>
      <c r="P1694" s="30" t="s">
        <v>5385</v>
      </c>
      <c r="Q1694" t="s">
        <v>619</v>
      </c>
      <c r="R1694" t="s">
        <v>918</v>
      </c>
      <c r="S1694">
        <v>37</v>
      </c>
      <c r="T1694" s="29" t="str">
        <f>HYPERLINK("https://ictv.global/ictv/proposals/2021.010B.R.Binomial_names.zip","2021.010B.R.Binomial_names.zip")</f>
        <v>2021.010B.R.Binomial_names.zip</v>
      </c>
      <c r="U1694" s="29" t="str">
        <f>HYPERLINK("https://ictv.global/taxonomy/taxondetails?taxnode_id=202307946","ictv.global=202307946")</f>
        <v>ictv.global=202307946</v>
      </c>
    </row>
    <row r="1695" spans="1:21">
      <c r="A1695">
        <v>1694</v>
      </c>
      <c r="B1695" s="30" t="s">
        <v>1587</v>
      </c>
      <c r="D1695" s="30" t="s">
        <v>1588</v>
      </c>
      <c r="F1695" s="30" t="s">
        <v>1591</v>
      </c>
      <c r="H1695" s="30" t="s">
        <v>1592</v>
      </c>
      <c r="L1695" s="30" t="s">
        <v>5369</v>
      </c>
      <c r="N1695" s="30" t="s">
        <v>1781</v>
      </c>
      <c r="P1695" s="30" t="s">
        <v>5386</v>
      </c>
      <c r="Q1695" t="s">
        <v>619</v>
      </c>
      <c r="R1695" t="s">
        <v>917</v>
      </c>
      <c r="S1695">
        <v>37</v>
      </c>
      <c r="T1695" s="29" t="str">
        <f>HYPERLINK("https://ictv.global/ictv/proposals/2021.063B.R.Peduoviridae.zip","2021.063B.R.Peduoviridae.zip")</f>
        <v>2021.063B.R.Peduoviridae.zip</v>
      </c>
      <c r="U1695" s="29" t="str">
        <f>HYPERLINK("https://ictv.global/taxonomy/taxondetails?taxnode_id=202312868","ictv.global=202312868")</f>
        <v>ictv.global=202312868</v>
      </c>
    </row>
    <row r="1696" spans="1:21">
      <c r="A1696">
        <v>1695</v>
      </c>
      <c r="B1696" s="30" t="s">
        <v>1587</v>
      </c>
      <c r="D1696" s="30" t="s">
        <v>1588</v>
      </c>
      <c r="F1696" s="30" t="s">
        <v>1591</v>
      </c>
      <c r="H1696" s="30" t="s">
        <v>1592</v>
      </c>
      <c r="L1696" s="30" t="s">
        <v>5369</v>
      </c>
      <c r="N1696" s="30" t="s">
        <v>1781</v>
      </c>
      <c r="P1696" s="30" t="s">
        <v>5387</v>
      </c>
      <c r="Q1696" t="s">
        <v>619</v>
      </c>
      <c r="R1696" t="s">
        <v>918</v>
      </c>
      <c r="S1696">
        <v>37</v>
      </c>
      <c r="T1696" s="29" t="str">
        <f>HYPERLINK("https://ictv.global/ictv/proposals/2021.010B.R.Binomial_names.zip","2021.010B.R.Binomial_names.zip")</f>
        <v>2021.010B.R.Binomial_names.zip</v>
      </c>
      <c r="U1696" s="29" t="str">
        <f>HYPERLINK("https://ictv.global/taxonomy/taxondetails?taxnode_id=202307962","ictv.global=202307962")</f>
        <v>ictv.global=202307962</v>
      </c>
    </row>
    <row r="1697" spans="1:21">
      <c r="A1697">
        <v>1696</v>
      </c>
      <c r="B1697" s="30" t="s">
        <v>1587</v>
      </c>
      <c r="D1697" s="30" t="s">
        <v>1588</v>
      </c>
      <c r="F1697" s="30" t="s">
        <v>1591</v>
      </c>
      <c r="H1697" s="30" t="s">
        <v>1592</v>
      </c>
      <c r="L1697" s="30" t="s">
        <v>5369</v>
      </c>
      <c r="N1697" s="30" t="s">
        <v>1781</v>
      </c>
      <c r="P1697" s="30" t="s">
        <v>5388</v>
      </c>
      <c r="Q1697" t="s">
        <v>619</v>
      </c>
      <c r="R1697" t="s">
        <v>918</v>
      </c>
      <c r="S1697">
        <v>37</v>
      </c>
      <c r="T1697" s="29" t="str">
        <f>HYPERLINK("https://ictv.global/ictv/proposals/2021.010B.R.Binomial_names.zip","2021.010B.R.Binomial_names.zip")</f>
        <v>2021.010B.R.Binomial_names.zip</v>
      </c>
      <c r="U1697" s="29" t="str">
        <f>HYPERLINK("https://ictv.global/taxonomy/taxondetails?taxnode_id=202300241","ictv.global=202300241")</f>
        <v>ictv.global=202300241</v>
      </c>
    </row>
    <row r="1698" spans="1:21">
      <c r="A1698">
        <v>1697</v>
      </c>
      <c r="B1698" s="30" t="s">
        <v>1587</v>
      </c>
      <c r="D1698" s="30" t="s">
        <v>1588</v>
      </c>
      <c r="F1698" s="30" t="s">
        <v>1591</v>
      </c>
      <c r="H1698" s="30" t="s">
        <v>1592</v>
      </c>
      <c r="L1698" s="30" t="s">
        <v>5369</v>
      </c>
      <c r="N1698" s="30" t="s">
        <v>1781</v>
      </c>
      <c r="P1698" s="30" t="s">
        <v>5389</v>
      </c>
      <c r="Q1698" t="s">
        <v>619</v>
      </c>
      <c r="R1698" t="s">
        <v>917</v>
      </c>
      <c r="S1698">
        <v>37</v>
      </c>
      <c r="T1698" s="29" t="str">
        <f>HYPERLINK("https://ictv.global/ictv/proposals/2021.063B.R.Peduoviridae.zip","2021.063B.R.Peduoviridae.zip")</f>
        <v>2021.063B.R.Peduoviridae.zip</v>
      </c>
      <c r="U1698" s="29" t="str">
        <f>HYPERLINK("https://ictv.global/taxonomy/taxondetails?taxnode_id=202312867","ictv.global=202312867")</f>
        <v>ictv.global=202312867</v>
      </c>
    </row>
    <row r="1699" spans="1:21">
      <c r="A1699">
        <v>1698</v>
      </c>
      <c r="B1699" s="30" t="s">
        <v>1587</v>
      </c>
      <c r="D1699" s="30" t="s">
        <v>1588</v>
      </c>
      <c r="F1699" s="30" t="s">
        <v>1591</v>
      </c>
      <c r="H1699" s="30" t="s">
        <v>1592</v>
      </c>
      <c r="L1699" s="30" t="s">
        <v>5369</v>
      </c>
      <c r="N1699" s="30" t="s">
        <v>5390</v>
      </c>
      <c r="P1699" s="30" t="s">
        <v>5391</v>
      </c>
      <c r="Q1699" t="s">
        <v>619</v>
      </c>
      <c r="R1699" t="s">
        <v>918</v>
      </c>
      <c r="S1699">
        <v>37</v>
      </c>
      <c r="T1699" s="29" t="str">
        <f>HYPERLINK("https://ictv.global/ictv/proposals/2021.063B.R.Peduoviridae.zip","2021.063B.R.Peduoviridae.zip")</f>
        <v>2021.063B.R.Peduoviridae.zip</v>
      </c>
      <c r="U1699" s="29" t="str">
        <f>HYPERLINK("https://ictv.global/taxonomy/taxondetails?taxnode_id=202311599","ictv.global=202311599")</f>
        <v>ictv.global=202311599</v>
      </c>
    </row>
    <row r="1700" spans="1:21">
      <c r="A1700">
        <v>1699</v>
      </c>
      <c r="B1700" s="30" t="s">
        <v>1587</v>
      </c>
      <c r="D1700" s="30" t="s">
        <v>1588</v>
      </c>
      <c r="F1700" s="30" t="s">
        <v>1591</v>
      </c>
      <c r="H1700" s="30" t="s">
        <v>1592</v>
      </c>
      <c r="L1700" s="30" t="s">
        <v>5369</v>
      </c>
      <c r="N1700" s="30" t="s">
        <v>5392</v>
      </c>
      <c r="P1700" s="30" t="s">
        <v>5393</v>
      </c>
      <c r="Q1700" t="s">
        <v>619</v>
      </c>
      <c r="R1700" t="s">
        <v>918</v>
      </c>
      <c r="S1700">
        <v>37</v>
      </c>
      <c r="T1700" s="29" t="str">
        <f>HYPERLINK("https://ictv.global/ictv/proposals/2021.063B.R.Peduoviridae.zip","2021.063B.R.Peduoviridae.zip")</f>
        <v>2021.063B.R.Peduoviridae.zip</v>
      </c>
      <c r="U1700" s="29" t="str">
        <f>HYPERLINK("https://ictv.global/taxonomy/taxondetails?taxnode_id=202300235","ictv.global=202300235")</f>
        <v>ictv.global=202300235</v>
      </c>
    </row>
    <row r="1701" spans="1:21">
      <c r="A1701">
        <v>1700</v>
      </c>
      <c r="B1701" s="30" t="s">
        <v>1587</v>
      </c>
      <c r="D1701" s="30" t="s">
        <v>1588</v>
      </c>
      <c r="F1701" s="30" t="s">
        <v>1591</v>
      </c>
      <c r="H1701" s="30" t="s">
        <v>1592</v>
      </c>
      <c r="L1701" s="30" t="s">
        <v>5369</v>
      </c>
      <c r="N1701" s="30" t="s">
        <v>5394</v>
      </c>
      <c r="P1701" s="30" t="s">
        <v>5395</v>
      </c>
      <c r="Q1701" t="s">
        <v>619</v>
      </c>
      <c r="R1701" t="s">
        <v>917</v>
      </c>
      <c r="S1701">
        <v>38</v>
      </c>
      <c r="T1701" s="29" t="str">
        <f>HYPERLINK("https://ictv.global/ictv/proposals/2022.062B.Peduoviridae_6ng_19nsp.zip","2022.062B.Peduoviridae_6ng_19nsp.zip")</f>
        <v>2022.062B.Peduoviridae_6ng_19nsp.zip</v>
      </c>
      <c r="U1701" s="29" t="str">
        <f>HYPERLINK("https://ictv.global/taxonomy/taxondetails?taxnode_id=202314739","ictv.global=202314739")</f>
        <v>ictv.global=202314739</v>
      </c>
    </row>
    <row r="1702" spans="1:21">
      <c r="A1702">
        <v>1701</v>
      </c>
      <c r="B1702" s="30" t="s">
        <v>1587</v>
      </c>
      <c r="D1702" s="30" t="s">
        <v>1588</v>
      </c>
      <c r="F1702" s="30" t="s">
        <v>1591</v>
      </c>
      <c r="H1702" s="30" t="s">
        <v>1592</v>
      </c>
      <c r="L1702" s="30" t="s">
        <v>5369</v>
      </c>
      <c r="N1702" s="30" t="s">
        <v>5394</v>
      </c>
      <c r="P1702" s="30" t="s">
        <v>5396</v>
      </c>
      <c r="Q1702" t="s">
        <v>619</v>
      </c>
      <c r="R1702" t="s">
        <v>917</v>
      </c>
      <c r="S1702">
        <v>38</v>
      </c>
      <c r="T1702" s="29" t="str">
        <f>HYPERLINK("https://ictv.global/ictv/proposals/2022.062B.Peduoviridae_6ng_19nsp.zip","2022.062B.Peduoviridae_6ng_19nsp.zip")</f>
        <v>2022.062B.Peduoviridae_6ng_19nsp.zip</v>
      </c>
      <c r="U1702" s="29" t="str">
        <f>HYPERLINK("https://ictv.global/taxonomy/taxondetails?taxnode_id=202314740","ictv.global=202314740")</f>
        <v>ictv.global=202314740</v>
      </c>
    </row>
    <row r="1703" spans="1:21">
      <c r="A1703">
        <v>1702</v>
      </c>
      <c r="B1703" s="30" t="s">
        <v>1587</v>
      </c>
      <c r="D1703" s="30" t="s">
        <v>1588</v>
      </c>
      <c r="F1703" s="30" t="s">
        <v>1591</v>
      </c>
      <c r="H1703" s="30" t="s">
        <v>1592</v>
      </c>
      <c r="L1703" s="30" t="s">
        <v>5369</v>
      </c>
      <c r="N1703" s="30" t="s">
        <v>5394</v>
      </c>
      <c r="P1703" s="30" t="s">
        <v>5397</v>
      </c>
      <c r="Q1703" t="s">
        <v>619</v>
      </c>
      <c r="R1703" t="s">
        <v>917</v>
      </c>
      <c r="S1703">
        <v>38</v>
      </c>
      <c r="T1703" s="29" t="str">
        <f>HYPERLINK("https://ictv.global/ictv/proposals/2022.062B.Peduoviridae_6ng_19nsp.zip","2022.062B.Peduoviridae_6ng_19nsp.zip")</f>
        <v>2022.062B.Peduoviridae_6ng_19nsp.zip</v>
      </c>
      <c r="U1703" s="29" t="str">
        <f>HYPERLINK("https://ictv.global/taxonomy/taxondetails?taxnode_id=202314738","ictv.global=202314738")</f>
        <v>ictv.global=202314738</v>
      </c>
    </row>
    <row r="1704" spans="1:21">
      <c r="A1704">
        <v>1703</v>
      </c>
      <c r="B1704" s="30" t="s">
        <v>1587</v>
      </c>
      <c r="D1704" s="30" t="s">
        <v>1588</v>
      </c>
      <c r="F1704" s="30" t="s">
        <v>1591</v>
      </c>
      <c r="H1704" s="30" t="s">
        <v>1592</v>
      </c>
      <c r="L1704" s="30" t="s">
        <v>5369</v>
      </c>
      <c r="N1704" s="30" t="s">
        <v>1782</v>
      </c>
      <c r="P1704" s="30" t="s">
        <v>5398</v>
      </c>
      <c r="Q1704" t="s">
        <v>619</v>
      </c>
      <c r="R1704" t="s">
        <v>917</v>
      </c>
      <c r="S1704">
        <v>38</v>
      </c>
      <c r="T1704" s="29" t="str">
        <f>HYPERLINK("https://ictv.global/ictv/proposals/2022.062B.Peduoviridae_6ng_19nsp.zip","2022.062B.Peduoviridae_6ng_19nsp.zip")</f>
        <v>2022.062B.Peduoviridae_6ng_19nsp.zip</v>
      </c>
      <c r="U1704" s="29" t="str">
        <f>HYPERLINK("https://ictv.global/taxonomy/taxondetails?taxnode_id=202314735","ictv.global=202314735")</f>
        <v>ictv.global=202314735</v>
      </c>
    </row>
    <row r="1705" spans="1:21">
      <c r="A1705">
        <v>1704</v>
      </c>
      <c r="B1705" s="30" t="s">
        <v>1587</v>
      </c>
      <c r="D1705" s="30" t="s">
        <v>1588</v>
      </c>
      <c r="F1705" s="30" t="s">
        <v>1591</v>
      </c>
      <c r="H1705" s="30" t="s">
        <v>1592</v>
      </c>
      <c r="L1705" s="30" t="s">
        <v>5369</v>
      </c>
      <c r="N1705" s="30" t="s">
        <v>1782</v>
      </c>
      <c r="P1705" s="30" t="s">
        <v>5399</v>
      </c>
      <c r="Q1705" t="s">
        <v>619</v>
      </c>
      <c r="R1705" t="s">
        <v>918</v>
      </c>
      <c r="S1705">
        <v>37</v>
      </c>
      <c r="T1705" s="29" t="str">
        <f>HYPERLINK("https://ictv.global/ictv/proposals/2021.010B.R.Binomial_names.zip","2021.010B.R.Binomial_names.zip")</f>
        <v>2021.010B.R.Binomial_names.zip</v>
      </c>
      <c r="U1705" s="29" t="str">
        <f>HYPERLINK("https://ictv.global/taxonomy/taxondetails?taxnode_id=202307973","ictv.global=202307973")</f>
        <v>ictv.global=202307973</v>
      </c>
    </row>
    <row r="1706" spans="1:21">
      <c r="A1706">
        <v>1705</v>
      </c>
      <c r="B1706" s="30" t="s">
        <v>1587</v>
      </c>
      <c r="D1706" s="30" t="s">
        <v>1588</v>
      </c>
      <c r="F1706" s="30" t="s">
        <v>1591</v>
      </c>
      <c r="H1706" s="30" t="s">
        <v>1592</v>
      </c>
      <c r="L1706" s="30" t="s">
        <v>5369</v>
      </c>
      <c r="N1706" s="30" t="s">
        <v>1782</v>
      </c>
      <c r="P1706" s="30" t="s">
        <v>5400</v>
      </c>
      <c r="Q1706" t="s">
        <v>619</v>
      </c>
      <c r="R1706" t="s">
        <v>918</v>
      </c>
      <c r="S1706">
        <v>37</v>
      </c>
      <c r="T1706" s="29" t="str">
        <f>HYPERLINK("https://ictv.global/ictv/proposals/2021.010B.R.Binomial_names.zip","2021.010B.R.Binomial_names.zip")</f>
        <v>2021.010B.R.Binomial_names.zip</v>
      </c>
      <c r="U1706" s="29" t="str">
        <f>HYPERLINK("https://ictv.global/taxonomy/taxondetails?taxnode_id=202300237","ictv.global=202300237")</f>
        <v>ictv.global=202300237</v>
      </c>
    </row>
    <row r="1707" spans="1:21">
      <c r="A1707">
        <v>1706</v>
      </c>
      <c r="B1707" s="30" t="s">
        <v>1587</v>
      </c>
      <c r="D1707" s="30" t="s">
        <v>1588</v>
      </c>
      <c r="F1707" s="30" t="s">
        <v>1591</v>
      </c>
      <c r="H1707" s="30" t="s">
        <v>1592</v>
      </c>
      <c r="L1707" s="30" t="s">
        <v>5369</v>
      </c>
      <c r="N1707" s="30" t="s">
        <v>1782</v>
      </c>
      <c r="P1707" s="30" t="s">
        <v>5401</v>
      </c>
      <c r="Q1707" t="s">
        <v>619</v>
      </c>
      <c r="R1707" t="s">
        <v>918</v>
      </c>
      <c r="S1707">
        <v>37</v>
      </c>
      <c r="T1707" s="29" t="str">
        <f>HYPERLINK("https://ictv.global/ictv/proposals/2021.010B.R.Binomial_names.zip","2021.010B.R.Binomial_names.zip")</f>
        <v>2021.010B.R.Binomial_names.zip</v>
      </c>
      <c r="U1707" s="29" t="str">
        <f>HYPERLINK("https://ictv.global/taxonomy/taxondetails?taxnode_id=202300244","ictv.global=202300244")</f>
        <v>ictv.global=202300244</v>
      </c>
    </row>
    <row r="1708" spans="1:21">
      <c r="A1708">
        <v>1707</v>
      </c>
      <c r="B1708" s="30" t="s">
        <v>1587</v>
      </c>
      <c r="D1708" s="30" t="s">
        <v>1588</v>
      </c>
      <c r="F1708" s="30" t="s">
        <v>1591</v>
      </c>
      <c r="H1708" s="30" t="s">
        <v>1592</v>
      </c>
      <c r="L1708" s="30" t="s">
        <v>5369</v>
      </c>
      <c r="N1708" s="30" t="s">
        <v>1782</v>
      </c>
      <c r="P1708" s="30" t="s">
        <v>5402</v>
      </c>
      <c r="Q1708" t="s">
        <v>619</v>
      </c>
      <c r="R1708" t="s">
        <v>918</v>
      </c>
      <c r="S1708">
        <v>37</v>
      </c>
      <c r="T1708" s="29" t="str">
        <f>HYPERLINK("https://ictv.global/ictv/proposals/2021.010B.R.Binomial_names.zip","2021.010B.R.Binomial_names.zip")</f>
        <v>2021.010B.R.Binomial_names.zip</v>
      </c>
      <c r="U1708" s="29" t="str">
        <f>HYPERLINK("https://ictv.global/taxonomy/taxondetails?taxnode_id=202307972","ictv.global=202307972")</f>
        <v>ictv.global=202307972</v>
      </c>
    </row>
    <row r="1709" spans="1:21">
      <c r="A1709">
        <v>1708</v>
      </c>
      <c r="B1709" s="30" t="s">
        <v>1587</v>
      </c>
      <c r="D1709" s="30" t="s">
        <v>1588</v>
      </c>
      <c r="F1709" s="30" t="s">
        <v>1591</v>
      </c>
      <c r="H1709" s="30" t="s">
        <v>1592</v>
      </c>
      <c r="L1709" s="30" t="s">
        <v>5369</v>
      </c>
      <c r="N1709" s="30" t="s">
        <v>1782</v>
      </c>
      <c r="P1709" s="30" t="s">
        <v>5403</v>
      </c>
      <c r="Q1709" t="s">
        <v>619</v>
      </c>
      <c r="R1709" t="s">
        <v>918</v>
      </c>
      <c r="S1709">
        <v>37</v>
      </c>
      <c r="T1709" s="29" t="str">
        <f>HYPERLINK("https://ictv.global/ictv/proposals/2021.010B.R.Binomial_names.zip","2021.010B.R.Binomial_names.zip")</f>
        <v>2021.010B.R.Binomial_names.zip</v>
      </c>
      <c r="U1709" s="29" t="str">
        <f>HYPERLINK("https://ictv.global/taxonomy/taxondetails?taxnode_id=202311607","ictv.global=202311607")</f>
        <v>ictv.global=202311607</v>
      </c>
    </row>
    <row r="1710" spans="1:21">
      <c r="A1710">
        <v>1709</v>
      </c>
      <c r="B1710" s="30" t="s">
        <v>1587</v>
      </c>
      <c r="D1710" s="30" t="s">
        <v>1588</v>
      </c>
      <c r="F1710" s="30" t="s">
        <v>1591</v>
      </c>
      <c r="H1710" s="30" t="s">
        <v>1592</v>
      </c>
      <c r="L1710" s="30" t="s">
        <v>5369</v>
      </c>
      <c r="N1710" s="30" t="s">
        <v>5404</v>
      </c>
      <c r="P1710" s="30" t="s">
        <v>5405</v>
      </c>
      <c r="Q1710" t="s">
        <v>619</v>
      </c>
      <c r="R1710" t="s">
        <v>918</v>
      </c>
      <c r="S1710">
        <v>37</v>
      </c>
      <c r="T1710" s="29" t="str">
        <f>HYPERLINK("https://ictv.global/ictv/proposals/2021.063B.R.Peduoviridae.zip","2021.063B.R.Peduoviridae.zip")</f>
        <v>2021.063B.R.Peduoviridae.zip</v>
      </c>
      <c r="U1710" s="29" t="str">
        <f>HYPERLINK("https://ictv.global/taxonomy/taxondetails?taxnode_id=202307956","ictv.global=202307956")</f>
        <v>ictv.global=202307956</v>
      </c>
    </row>
    <row r="1711" spans="1:21">
      <c r="A1711">
        <v>1710</v>
      </c>
      <c r="B1711" s="30" t="s">
        <v>1587</v>
      </c>
      <c r="D1711" s="30" t="s">
        <v>1588</v>
      </c>
      <c r="F1711" s="30" t="s">
        <v>1591</v>
      </c>
      <c r="H1711" s="30" t="s">
        <v>1592</v>
      </c>
      <c r="L1711" s="30" t="s">
        <v>5369</v>
      </c>
      <c r="N1711" s="30" t="s">
        <v>5404</v>
      </c>
      <c r="P1711" s="30" t="s">
        <v>5406</v>
      </c>
      <c r="Q1711" t="s">
        <v>619</v>
      </c>
      <c r="R1711" t="s">
        <v>917</v>
      </c>
      <c r="S1711">
        <v>38</v>
      </c>
      <c r="T1711" s="29" t="str">
        <f>HYPERLINK("https://ictv.global/ictv/proposals/2022.062B.Peduoviridae_6ng_19nsp.zip","2022.062B.Peduoviridae_6ng_19nsp.zip")</f>
        <v>2022.062B.Peduoviridae_6ng_19nsp.zip</v>
      </c>
      <c r="U1711" s="29" t="str">
        <f>HYPERLINK("https://ictv.global/taxonomy/taxondetails?taxnode_id=202314733","ictv.global=202314733")</f>
        <v>ictv.global=202314733</v>
      </c>
    </row>
    <row r="1712" spans="1:21">
      <c r="A1712">
        <v>1711</v>
      </c>
      <c r="B1712" s="30" t="s">
        <v>1587</v>
      </c>
      <c r="D1712" s="30" t="s">
        <v>1588</v>
      </c>
      <c r="F1712" s="30" t="s">
        <v>1591</v>
      </c>
      <c r="H1712" s="30" t="s">
        <v>1592</v>
      </c>
      <c r="L1712" s="30" t="s">
        <v>5369</v>
      </c>
      <c r="N1712" s="30" t="s">
        <v>5404</v>
      </c>
      <c r="P1712" s="30" t="s">
        <v>12121</v>
      </c>
      <c r="Q1712" t="s">
        <v>619</v>
      </c>
      <c r="R1712" t="s">
        <v>918</v>
      </c>
      <c r="S1712">
        <v>39</v>
      </c>
      <c r="T1712" s="29" t="str">
        <f>HYPERLINK("https://ictv.global/ictv/proposals/2023.051B.Peduoviridae_reorg.zip","2023.051B.Peduoviridae_reorg.zip")</f>
        <v>2023.051B.Peduoviridae_reorg.zip</v>
      </c>
      <c r="U1712" s="29" t="str">
        <f>HYPERLINK("https://ictv.global/taxonomy/taxondetails?taxnode_id=202312872","ictv.global=202312872")</f>
        <v>ictv.global=202312872</v>
      </c>
    </row>
    <row r="1713" spans="1:21">
      <c r="A1713">
        <v>1712</v>
      </c>
      <c r="B1713" s="30" t="s">
        <v>1587</v>
      </c>
      <c r="D1713" s="30" t="s">
        <v>1588</v>
      </c>
      <c r="F1713" s="30" t="s">
        <v>1591</v>
      </c>
      <c r="H1713" s="30" t="s">
        <v>1592</v>
      </c>
      <c r="L1713" s="30" t="s">
        <v>5369</v>
      </c>
      <c r="N1713" s="30" t="s">
        <v>1783</v>
      </c>
      <c r="P1713" s="30" t="s">
        <v>5407</v>
      </c>
      <c r="Q1713" t="s">
        <v>619</v>
      </c>
      <c r="R1713" t="s">
        <v>918</v>
      </c>
      <c r="S1713">
        <v>37</v>
      </c>
      <c r="T1713" s="29" t="str">
        <f>HYPERLINK("https://ictv.global/ictv/proposals/2021.010B.R.Binomial_names.zip","2021.010B.R.Binomial_names.zip")</f>
        <v>2021.010B.R.Binomial_names.zip</v>
      </c>
      <c r="U1713" s="29" t="str">
        <f>HYPERLINK("https://ictv.global/taxonomy/taxondetails?taxnode_id=202307950","ictv.global=202307950")</f>
        <v>ictv.global=202307950</v>
      </c>
    </row>
    <row r="1714" spans="1:21">
      <c r="A1714">
        <v>1713</v>
      </c>
      <c r="B1714" s="30" t="s">
        <v>1587</v>
      </c>
      <c r="D1714" s="30" t="s">
        <v>1588</v>
      </c>
      <c r="F1714" s="30" t="s">
        <v>1591</v>
      </c>
      <c r="H1714" s="30" t="s">
        <v>1592</v>
      </c>
      <c r="L1714" s="30" t="s">
        <v>5369</v>
      </c>
      <c r="N1714" s="30" t="s">
        <v>5408</v>
      </c>
      <c r="P1714" s="30" t="s">
        <v>5409</v>
      </c>
      <c r="Q1714" t="s">
        <v>619</v>
      </c>
      <c r="R1714" t="s">
        <v>918</v>
      </c>
      <c r="S1714">
        <v>37</v>
      </c>
      <c r="T1714" s="29" t="str">
        <f>HYPERLINK("https://ictv.global/ictv/proposals/2021.063B.R.Peduoviridae.zip","2021.063B.R.Peduoviridae.zip")</f>
        <v>2021.063B.R.Peduoviridae.zip</v>
      </c>
      <c r="U1714" s="29" t="str">
        <f>HYPERLINK("https://ictv.global/taxonomy/taxondetails?taxnode_id=202311587","ictv.global=202311587")</f>
        <v>ictv.global=202311587</v>
      </c>
    </row>
    <row r="1715" spans="1:21">
      <c r="A1715">
        <v>1714</v>
      </c>
      <c r="B1715" s="30" t="s">
        <v>1587</v>
      </c>
      <c r="D1715" s="30" t="s">
        <v>1588</v>
      </c>
      <c r="F1715" s="30" t="s">
        <v>1591</v>
      </c>
      <c r="H1715" s="30" t="s">
        <v>1592</v>
      </c>
      <c r="L1715" s="30" t="s">
        <v>5369</v>
      </c>
      <c r="N1715" s="30" t="s">
        <v>1784</v>
      </c>
      <c r="P1715" s="30" t="s">
        <v>5410</v>
      </c>
      <c r="Q1715" t="s">
        <v>619</v>
      </c>
      <c r="R1715" t="s">
        <v>918</v>
      </c>
      <c r="S1715">
        <v>37</v>
      </c>
      <c r="T1715" s="29" t="str">
        <f>HYPERLINK("https://ictv.global/ictv/proposals/2021.010B.R.Binomial_names.zip","2021.010B.R.Binomial_names.zip")</f>
        <v>2021.010B.R.Binomial_names.zip</v>
      </c>
      <c r="U1715" s="29" t="str">
        <f>HYPERLINK("https://ictv.global/taxonomy/taxondetails?taxnode_id=202300243","ictv.global=202300243")</f>
        <v>ictv.global=202300243</v>
      </c>
    </row>
    <row r="1716" spans="1:21">
      <c r="A1716">
        <v>1715</v>
      </c>
      <c r="B1716" s="30" t="s">
        <v>1587</v>
      </c>
      <c r="D1716" s="30" t="s">
        <v>1588</v>
      </c>
      <c r="F1716" s="30" t="s">
        <v>1591</v>
      </c>
      <c r="H1716" s="30" t="s">
        <v>1592</v>
      </c>
      <c r="L1716" s="30" t="s">
        <v>5369</v>
      </c>
      <c r="N1716" s="30" t="s">
        <v>1784</v>
      </c>
      <c r="P1716" s="30" t="s">
        <v>5411</v>
      </c>
      <c r="Q1716" t="s">
        <v>619</v>
      </c>
      <c r="R1716" t="s">
        <v>917</v>
      </c>
      <c r="S1716">
        <v>37</v>
      </c>
      <c r="T1716" s="29" t="str">
        <f>HYPERLINK("https://ictv.global/ictv/proposals/2021.063B.R.Peduoviridae.zip","2021.063B.R.Peduoviridae.zip")</f>
        <v>2021.063B.R.Peduoviridae.zip</v>
      </c>
      <c r="U1716" s="29" t="str">
        <f>HYPERLINK("https://ictv.global/taxonomy/taxondetails?taxnode_id=202312871","ictv.global=202312871")</f>
        <v>ictv.global=202312871</v>
      </c>
    </row>
    <row r="1717" spans="1:21">
      <c r="A1717">
        <v>1716</v>
      </c>
      <c r="B1717" s="30" t="s">
        <v>1587</v>
      </c>
      <c r="D1717" s="30" t="s">
        <v>1588</v>
      </c>
      <c r="F1717" s="30" t="s">
        <v>1591</v>
      </c>
      <c r="H1717" s="30" t="s">
        <v>1592</v>
      </c>
      <c r="L1717" s="30" t="s">
        <v>5369</v>
      </c>
      <c r="N1717" s="30" t="s">
        <v>1784</v>
      </c>
      <c r="P1717" s="30" t="s">
        <v>5412</v>
      </c>
      <c r="Q1717" t="s">
        <v>619</v>
      </c>
      <c r="R1717" t="s">
        <v>918</v>
      </c>
      <c r="S1717">
        <v>37</v>
      </c>
      <c r="T1717" s="29" t="str">
        <f>HYPERLINK("https://ictv.global/ictv/proposals/2021.010B.R.Binomial_names.zip","2021.010B.R.Binomial_names.zip")</f>
        <v>2021.010B.R.Binomial_names.zip</v>
      </c>
      <c r="U1717" s="29" t="str">
        <f>HYPERLINK("https://ictv.global/taxonomy/taxondetails?taxnode_id=202307957","ictv.global=202307957")</f>
        <v>ictv.global=202307957</v>
      </c>
    </row>
    <row r="1718" spans="1:21">
      <c r="A1718">
        <v>1717</v>
      </c>
      <c r="B1718" s="30" t="s">
        <v>1587</v>
      </c>
      <c r="D1718" s="30" t="s">
        <v>1588</v>
      </c>
      <c r="F1718" s="30" t="s">
        <v>1591</v>
      </c>
      <c r="H1718" s="30" t="s">
        <v>1592</v>
      </c>
      <c r="L1718" s="30" t="s">
        <v>5369</v>
      </c>
      <c r="N1718" s="30" t="s">
        <v>1784</v>
      </c>
      <c r="P1718" s="30" t="s">
        <v>5413</v>
      </c>
      <c r="Q1718" t="s">
        <v>619</v>
      </c>
      <c r="R1718" t="s">
        <v>918</v>
      </c>
      <c r="S1718">
        <v>37</v>
      </c>
      <c r="T1718" s="29" t="str">
        <f>HYPERLINK("https://ictv.global/ictv/proposals/2021.010B.R.Binomial_names.zip","2021.010B.R.Binomial_names.zip")</f>
        <v>2021.010B.R.Binomial_names.zip</v>
      </c>
      <c r="U1718" s="29" t="str">
        <f>HYPERLINK("https://ictv.global/taxonomy/taxondetails?taxnode_id=202307958","ictv.global=202307958")</f>
        <v>ictv.global=202307958</v>
      </c>
    </row>
    <row r="1719" spans="1:21">
      <c r="A1719">
        <v>1718</v>
      </c>
      <c r="B1719" s="30" t="s">
        <v>1587</v>
      </c>
      <c r="D1719" s="30" t="s">
        <v>1588</v>
      </c>
      <c r="F1719" s="30" t="s">
        <v>1591</v>
      </c>
      <c r="H1719" s="30" t="s">
        <v>1592</v>
      </c>
      <c r="L1719" s="30" t="s">
        <v>5369</v>
      </c>
      <c r="N1719" s="30" t="s">
        <v>1784</v>
      </c>
      <c r="P1719" s="30" t="s">
        <v>5414</v>
      </c>
      <c r="Q1719" t="s">
        <v>619</v>
      </c>
      <c r="R1719" t="s">
        <v>918</v>
      </c>
      <c r="S1719">
        <v>37</v>
      </c>
      <c r="T1719" s="29" t="str">
        <f>HYPERLINK("https://ictv.global/ictv/proposals/2021.010B.R.Binomial_names.zip","2021.010B.R.Binomial_names.zip")</f>
        <v>2021.010B.R.Binomial_names.zip</v>
      </c>
      <c r="U1719" s="29" t="str">
        <f>HYPERLINK("https://ictv.global/taxonomy/taxondetails?taxnode_id=202300245","ictv.global=202300245")</f>
        <v>ictv.global=202300245</v>
      </c>
    </row>
    <row r="1720" spans="1:21">
      <c r="A1720">
        <v>1719</v>
      </c>
      <c r="B1720" s="30" t="s">
        <v>1587</v>
      </c>
      <c r="D1720" s="30" t="s">
        <v>1588</v>
      </c>
      <c r="F1720" s="30" t="s">
        <v>1591</v>
      </c>
      <c r="H1720" s="30" t="s">
        <v>1592</v>
      </c>
      <c r="L1720" s="30" t="s">
        <v>5369</v>
      </c>
      <c r="N1720" s="30" t="s">
        <v>5415</v>
      </c>
      <c r="P1720" s="30" t="s">
        <v>5416</v>
      </c>
      <c r="Q1720" t="s">
        <v>619</v>
      </c>
      <c r="R1720" t="s">
        <v>917</v>
      </c>
      <c r="S1720">
        <v>37</v>
      </c>
      <c r="T1720" s="29" t="str">
        <f>HYPERLINK("https://ictv.global/ictv/proposals/2021.063B.R.Peduoviridae.zip","2021.063B.R.Peduoviridae.zip")</f>
        <v>2021.063B.R.Peduoviridae.zip</v>
      </c>
      <c r="U1720" s="29" t="str">
        <f>HYPERLINK("https://ictv.global/taxonomy/taxondetails?taxnode_id=202312864","ictv.global=202312864")</f>
        <v>ictv.global=202312864</v>
      </c>
    </row>
    <row r="1721" spans="1:21">
      <c r="A1721">
        <v>1720</v>
      </c>
      <c r="B1721" s="30" t="s">
        <v>1587</v>
      </c>
      <c r="D1721" s="30" t="s">
        <v>1588</v>
      </c>
      <c r="F1721" s="30" t="s">
        <v>1591</v>
      </c>
      <c r="H1721" s="30" t="s">
        <v>1592</v>
      </c>
      <c r="L1721" s="30" t="s">
        <v>5369</v>
      </c>
      <c r="N1721" s="30" t="s">
        <v>5417</v>
      </c>
      <c r="P1721" s="30" t="s">
        <v>5418</v>
      </c>
      <c r="Q1721" t="s">
        <v>619</v>
      </c>
      <c r="R1721" t="s">
        <v>917</v>
      </c>
      <c r="S1721">
        <v>38</v>
      </c>
      <c r="T1721" s="29" t="str">
        <f>HYPERLINK("https://ictv.global/ictv/proposals/2022.062B.Peduoviridae_6ng_19nsp.zip","2022.062B.Peduoviridae_6ng_19nsp.zip")</f>
        <v>2022.062B.Peduoviridae_6ng_19nsp.zip</v>
      </c>
      <c r="U1721" s="29" t="str">
        <f>HYPERLINK("https://ictv.global/taxonomy/taxondetails?taxnode_id=202314737","ictv.global=202314737")</f>
        <v>ictv.global=202314737</v>
      </c>
    </row>
    <row r="1722" spans="1:21">
      <c r="A1722">
        <v>1721</v>
      </c>
      <c r="B1722" s="30" t="s">
        <v>1587</v>
      </c>
      <c r="D1722" s="30" t="s">
        <v>1588</v>
      </c>
      <c r="F1722" s="30" t="s">
        <v>1591</v>
      </c>
      <c r="H1722" s="30" t="s">
        <v>1592</v>
      </c>
      <c r="L1722" s="30" t="s">
        <v>5369</v>
      </c>
      <c r="N1722" s="30" t="s">
        <v>5419</v>
      </c>
      <c r="P1722" s="30" t="s">
        <v>5420</v>
      </c>
      <c r="Q1722" t="s">
        <v>619</v>
      </c>
      <c r="R1722" t="s">
        <v>918</v>
      </c>
      <c r="S1722">
        <v>37</v>
      </c>
      <c r="T1722" s="29" t="str">
        <f>HYPERLINK("https://ictv.global/ictv/proposals/2021.063B.R.Peduoviridae.zip","2021.063B.R.Peduoviridae.zip")</f>
        <v>2021.063B.R.Peduoviridae.zip</v>
      </c>
      <c r="U1722" s="29" t="str">
        <f>HYPERLINK("https://ictv.global/taxonomy/taxondetails?taxnode_id=202311603","ictv.global=202311603")</f>
        <v>ictv.global=202311603</v>
      </c>
    </row>
    <row r="1723" spans="1:21">
      <c r="A1723">
        <v>1722</v>
      </c>
      <c r="B1723" s="30" t="s">
        <v>1587</v>
      </c>
      <c r="D1723" s="30" t="s">
        <v>1588</v>
      </c>
      <c r="F1723" s="30" t="s">
        <v>1591</v>
      </c>
      <c r="H1723" s="30" t="s">
        <v>1592</v>
      </c>
      <c r="L1723" s="30" t="s">
        <v>5369</v>
      </c>
      <c r="N1723" s="30" t="s">
        <v>5421</v>
      </c>
      <c r="P1723" s="30" t="s">
        <v>5422</v>
      </c>
      <c r="Q1723" t="s">
        <v>619</v>
      </c>
      <c r="R1723" t="s">
        <v>918</v>
      </c>
      <c r="S1723">
        <v>37</v>
      </c>
      <c r="T1723" s="29" t="str">
        <f>HYPERLINK("https://ictv.global/ictv/proposals/2021.063B.R.Peduoviridae.zip","2021.063B.R.Peduoviridae.zip")</f>
        <v>2021.063B.R.Peduoviridae.zip</v>
      </c>
      <c r="U1723" s="29" t="str">
        <f>HYPERLINK("https://ictv.global/taxonomy/taxondetails?taxnode_id=202311604","ictv.global=202311604")</f>
        <v>ictv.global=202311604</v>
      </c>
    </row>
    <row r="1724" spans="1:21">
      <c r="A1724">
        <v>1723</v>
      </c>
      <c r="B1724" s="30" t="s">
        <v>1587</v>
      </c>
      <c r="D1724" s="30" t="s">
        <v>1588</v>
      </c>
      <c r="F1724" s="30" t="s">
        <v>1591</v>
      </c>
      <c r="H1724" s="30" t="s">
        <v>1592</v>
      </c>
      <c r="L1724" s="30" t="s">
        <v>5369</v>
      </c>
      <c r="N1724" s="30" t="s">
        <v>5423</v>
      </c>
      <c r="P1724" s="30" t="s">
        <v>5424</v>
      </c>
      <c r="Q1724" t="s">
        <v>619</v>
      </c>
      <c r="R1724" t="s">
        <v>918</v>
      </c>
      <c r="S1724">
        <v>37</v>
      </c>
      <c r="T1724" s="29" t="str">
        <f>HYPERLINK("https://ictv.global/ictv/proposals/2021.063B.R.Peduoviridae.zip","2021.063B.R.Peduoviridae.zip")</f>
        <v>2021.063B.R.Peduoviridae.zip</v>
      </c>
      <c r="U1724" s="29" t="str">
        <f>HYPERLINK("https://ictv.global/taxonomy/taxondetails?taxnode_id=202311591","ictv.global=202311591")</f>
        <v>ictv.global=202311591</v>
      </c>
    </row>
    <row r="1725" spans="1:21">
      <c r="A1725">
        <v>1724</v>
      </c>
      <c r="B1725" s="30" t="s">
        <v>1587</v>
      </c>
      <c r="D1725" s="30" t="s">
        <v>1588</v>
      </c>
      <c r="F1725" s="30" t="s">
        <v>1591</v>
      </c>
      <c r="H1725" s="30" t="s">
        <v>1592</v>
      </c>
      <c r="L1725" s="30" t="s">
        <v>5369</v>
      </c>
      <c r="N1725" s="30" t="s">
        <v>5425</v>
      </c>
      <c r="P1725" s="30" t="s">
        <v>12122</v>
      </c>
      <c r="Q1725" t="s">
        <v>619</v>
      </c>
      <c r="R1725" t="s">
        <v>920</v>
      </c>
      <c r="S1725">
        <v>39</v>
      </c>
      <c r="T1725" s="29" t="str">
        <f>HYPERLINK("https://ictv.global/ictv/proposals/2023.051B.Peduoviridae_reorg.zip","2023.051B.Peduoviridae_reorg.zip")</f>
        <v>2023.051B.Peduoviridae_reorg.zip</v>
      </c>
      <c r="U1725" s="29" t="str">
        <f>HYPERLINK("https://ictv.global/taxonomy/taxondetails?taxnode_id=202314742","ictv.global=202314742")</f>
        <v>ictv.global=202314742</v>
      </c>
    </row>
    <row r="1726" spans="1:21">
      <c r="A1726">
        <v>1725</v>
      </c>
      <c r="B1726" s="30" t="s">
        <v>1587</v>
      </c>
      <c r="D1726" s="30" t="s">
        <v>1588</v>
      </c>
      <c r="F1726" s="30" t="s">
        <v>1591</v>
      </c>
      <c r="H1726" s="30" t="s">
        <v>1592</v>
      </c>
      <c r="L1726" s="30" t="s">
        <v>5369</v>
      </c>
      <c r="N1726" s="30" t="s">
        <v>1328</v>
      </c>
      <c r="P1726" s="30" t="s">
        <v>5426</v>
      </c>
      <c r="Q1726" t="s">
        <v>619</v>
      </c>
      <c r="R1726" t="s">
        <v>918</v>
      </c>
      <c r="S1726">
        <v>37</v>
      </c>
      <c r="T1726" s="29" t="str">
        <f>HYPERLINK("https://ictv.global/ictv/proposals/2021.010B.R.Binomial_names.zip","2021.010B.R.Binomial_names.zip")</f>
        <v>2021.010B.R.Binomial_names.zip</v>
      </c>
      <c r="U1726" s="29" t="str">
        <f>HYPERLINK("https://ictv.global/taxonomy/taxondetails?taxnode_id=202300228","ictv.global=202300228")</f>
        <v>ictv.global=202300228</v>
      </c>
    </row>
    <row r="1727" spans="1:21">
      <c r="A1727">
        <v>1726</v>
      </c>
      <c r="B1727" s="30" t="s">
        <v>1587</v>
      </c>
      <c r="D1727" s="30" t="s">
        <v>1588</v>
      </c>
      <c r="F1727" s="30" t="s">
        <v>1591</v>
      </c>
      <c r="H1727" s="30" t="s">
        <v>1592</v>
      </c>
      <c r="L1727" s="30" t="s">
        <v>5369</v>
      </c>
      <c r="N1727" s="30" t="s">
        <v>1328</v>
      </c>
      <c r="P1727" s="30" t="s">
        <v>5427</v>
      </c>
      <c r="Q1727" t="s">
        <v>619</v>
      </c>
      <c r="R1727" t="s">
        <v>918</v>
      </c>
      <c r="S1727">
        <v>37</v>
      </c>
      <c r="T1727" s="29" t="str">
        <f>HYPERLINK("https://ictv.global/ictv/proposals/2021.010B.R.Binomial_names.zip","2021.010B.R.Binomial_names.zip")</f>
        <v>2021.010B.R.Binomial_names.zip</v>
      </c>
      <c r="U1727" s="29" t="str">
        <f>HYPERLINK("https://ictv.global/taxonomy/taxondetails?taxnode_id=202300229","ictv.global=202300229")</f>
        <v>ictv.global=202300229</v>
      </c>
    </row>
    <row r="1728" spans="1:21">
      <c r="A1728">
        <v>1727</v>
      </c>
      <c r="B1728" s="30" t="s">
        <v>1587</v>
      </c>
      <c r="D1728" s="30" t="s">
        <v>1588</v>
      </c>
      <c r="F1728" s="30" t="s">
        <v>1591</v>
      </c>
      <c r="H1728" s="30" t="s">
        <v>1592</v>
      </c>
      <c r="L1728" s="30" t="s">
        <v>5369</v>
      </c>
      <c r="N1728" s="30" t="s">
        <v>12123</v>
      </c>
      <c r="P1728" s="30" t="s">
        <v>12124</v>
      </c>
      <c r="Q1728" t="s">
        <v>619</v>
      </c>
      <c r="R1728" t="s">
        <v>917</v>
      </c>
      <c r="S1728">
        <v>39</v>
      </c>
      <c r="T1728" s="29" t="str">
        <f>HYPERLINK("https://ictv.global/ictv/proposals/2023.051B.Peduoviridae_reorg.zip","2023.051B.Peduoviridae_reorg.zip")</f>
        <v>2023.051B.Peduoviridae_reorg.zip</v>
      </c>
      <c r="U1728" s="29" t="str">
        <f>HYPERLINK("https://ictv.global/taxonomy/taxondetails?taxnode_id=202319225","ictv.global=202319225")</f>
        <v>ictv.global=202319225</v>
      </c>
    </row>
    <row r="1729" spans="1:21">
      <c r="A1729">
        <v>1728</v>
      </c>
      <c r="B1729" s="30" t="s">
        <v>1587</v>
      </c>
      <c r="D1729" s="30" t="s">
        <v>1588</v>
      </c>
      <c r="F1729" s="30" t="s">
        <v>1591</v>
      </c>
      <c r="H1729" s="30" t="s">
        <v>1592</v>
      </c>
      <c r="L1729" s="30" t="s">
        <v>5369</v>
      </c>
      <c r="N1729" s="30" t="s">
        <v>2243</v>
      </c>
      <c r="P1729" s="30" t="s">
        <v>5428</v>
      </c>
      <c r="Q1729" t="s">
        <v>619</v>
      </c>
      <c r="R1729" t="s">
        <v>918</v>
      </c>
      <c r="S1729">
        <v>37</v>
      </c>
      <c r="T1729" s="29" t="str">
        <f>HYPERLINK("https://ictv.global/ictv/proposals/2021.010B.R.Binomial_names.zip","2021.010B.R.Binomial_names.zip")</f>
        <v>2021.010B.R.Binomial_names.zip</v>
      </c>
      <c r="U1729" s="29" t="str">
        <f>HYPERLINK("https://ictv.global/taxonomy/taxondetails?taxnode_id=202311586","ictv.global=202311586")</f>
        <v>ictv.global=202311586</v>
      </c>
    </row>
    <row r="1730" spans="1:21">
      <c r="A1730">
        <v>1729</v>
      </c>
      <c r="B1730" s="30" t="s">
        <v>1587</v>
      </c>
      <c r="D1730" s="30" t="s">
        <v>1588</v>
      </c>
      <c r="F1730" s="30" t="s">
        <v>1591</v>
      </c>
      <c r="H1730" s="30" t="s">
        <v>1592</v>
      </c>
      <c r="L1730" s="30" t="s">
        <v>5369</v>
      </c>
      <c r="N1730" s="30" t="s">
        <v>1785</v>
      </c>
      <c r="P1730" s="30" t="s">
        <v>12125</v>
      </c>
      <c r="Q1730" t="s">
        <v>619</v>
      </c>
      <c r="R1730" t="s">
        <v>917</v>
      </c>
      <c r="S1730">
        <v>39</v>
      </c>
      <c r="T1730" s="29" t="str">
        <f>HYPERLINK("https://ictv.global/ictv/proposals/2023.051B.Peduoviridae_reorg.zip","2023.051B.Peduoviridae_reorg.zip")</f>
        <v>2023.051B.Peduoviridae_reorg.zip</v>
      </c>
      <c r="U1730" s="29" t="str">
        <f>HYPERLINK("https://ictv.global/taxonomy/taxondetails?taxnode_id=202319227","ictv.global=202319227")</f>
        <v>ictv.global=202319227</v>
      </c>
    </row>
    <row r="1731" spans="1:21">
      <c r="A1731">
        <v>1730</v>
      </c>
      <c r="B1731" s="30" t="s">
        <v>1587</v>
      </c>
      <c r="D1731" s="30" t="s">
        <v>1588</v>
      </c>
      <c r="F1731" s="30" t="s">
        <v>1591</v>
      </c>
      <c r="H1731" s="30" t="s">
        <v>1592</v>
      </c>
      <c r="L1731" s="30" t="s">
        <v>5369</v>
      </c>
      <c r="N1731" s="30" t="s">
        <v>1785</v>
      </c>
      <c r="P1731" s="30" t="s">
        <v>5429</v>
      </c>
      <c r="Q1731" t="s">
        <v>619</v>
      </c>
      <c r="R1731" t="s">
        <v>918</v>
      </c>
      <c r="S1731">
        <v>37</v>
      </c>
      <c r="T1731" s="29" t="str">
        <f>HYPERLINK("https://ictv.global/ictv/proposals/2021.010B.R.Binomial_names.zip","2021.010B.R.Binomial_names.zip")</f>
        <v>2021.010B.R.Binomial_names.zip</v>
      </c>
      <c r="U1731" s="29" t="str">
        <f>HYPERLINK("https://ictv.global/taxonomy/taxondetails?taxnode_id=202300230","ictv.global=202300230")</f>
        <v>ictv.global=202300230</v>
      </c>
    </row>
    <row r="1732" spans="1:21">
      <c r="A1732">
        <v>1731</v>
      </c>
      <c r="B1732" s="30" t="s">
        <v>1587</v>
      </c>
      <c r="D1732" s="30" t="s">
        <v>1588</v>
      </c>
      <c r="F1732" s="30" t="s">
        <v>1591</v>
      </c>
      <c r="H1732" s="30" t="s">
        <v>1592</v>
      </c>
      <c r="L1732" s="30" t="s">
        <v>5369</v>
      </c>
      <c r="N1732" s="30" t="s">
        <v>5430</v>
      </c>
      <c r="P1732" s="30" t="s">
        <v>5431</v>
      </c>
      <c r="Q1732" t="s">
        <v>619</v>
      </c>
      <c r="R1732" t="s">
        <v>918</v>
      </c>
      <c r="S1732">
        <v>37</v>
      </c>
      <c r="T1732" s="29" t="str">
        <f>HYPERLINK("https://ictv.global/ictv/proposals/2021.063B.R.Peduoviridae.zip","2021.063B.R.Peduoviridae.zip")</f>
        <v>2021.063B.R.Peduoviridae.zip</v>
      </c>
      <c r="U1732" s="29" t="str">
        <f>HYPERLINK("https://ictv.global/taxonomy/taxondetails?taxnode_id=202311602","ictv.global=202311602")</f>
        <v>ictv.global=202311602</v>
      </c>
    </row>
    <row r="1733" spans="1:21">
      <c r="A1733">
        <v>1732</v>
      </c>
      <c r="B1733" s="30" t="s">
        <v>1587</v>
      </c>
      <c r="D1733" s="30" t="s">
        <v>1588</v>
      </c>
      <c r="F1733" s="30" t="s">
        <v>1591</v>
      </c>
      <c r="H1733" s="30" t="s">
        <v>1592</v>
      </c>
      <c r="L1733" s="30" t="s">
        <v>5369</v>
      </c>
      <c r="N1733" s="30" t="s">
        <v>5432</v>
      </c>
      <c r="P1733" s="30" t="s">
        <v>5433</v>
      </c>
      <c r="Q1733" t="s">
        <v>619</v>
      </c>
      <c r="R1733" t="s">
        <v>918</v>
      </c>
      <c r="S1733">
        <v>37</v>
      </c>
      <c r="T1733" s="29" t="str">
        <f>HYPERLINK("https://ictv.global/ictv/proposals/2021.063B.R.Peduoviridae.zip","2021.063B.R.Peduoviridae.zip")</f>
        <v>2021.063B.R.Peduoviridae.zip</v>
      </c>
      <c r="U1733" s="29" t="str">
        <f>HYPERLINK("https://ictv.global/taxonomy/taxondetails?taxnode_id=202307977","ictv.global=202307977")</f>
        <v>ictv.global=202307977</v>
      </c>
    </row>
    <row r="1734" spans="1:21">
      <c r="A1734">
        <v>1733</v>
      </c>
      <c r="B1734" s="30" t="s">
        <v>1587</v>
      </c>
      <c r="D1734" s="30" t="s">
        <v>1588</v>
      </c>
      <c r="F1734" s="30" t="s">
        <v>1591</v>
      </c>
      <c r="H1734" s="30" t="s">
        <v>1592</v>
      </c>
      <c r="L1734" s="30" t="s">
        <v>5369</v>
      </c>
      <c r="N1734" s="30" t="s">
        <v>5432</v>
      </c>
      <c r="P1734" s="30" t="s">
        <v>12126</v>
      </c>
      <c r="Q1734" t="s">
        <v>619</v>
      </c>
      <c r="R1734" t="s">
        <v>917</v>
      </c>
      <c r="S1734">
        <v>39</v>
      </c>
      <c r="T1734" s="29" t="str">
        <f>HYPERLINK("https://ictv.global/ictv/proposals/2023.051B.Peduoviridae_reorg.zip","2023.051B.Peduoviridae_reorg.zip")</f>
        <v>2023.051B.Peduoviridae_reorg.zip</v>
      </c>
      <c r="U1734" s="29" t="str">
        <f>HYPERLINK("https://ictv.global/taxonomy/taxondetails?taxnode_id=202319230","ictv.global=202319230")</f>
        <v>ictv.global=202319230</v>
      </c>
    </row>
    <row r="1735" spans="1:21">
      <c r="A1735">
        <v>1734</v>
      </c>
      <c r="B1735" s="30" t="s">
        <v>1587</v>
      </c>
      <c r="D1735" s="30" t="s">
        <v>1588</v>
      </c>
      <c r="F1735" s="30" t="s">
        <v>1591</v>
      </c>
      <c r="H1735" s="30" t="s">
        <v>1592</v>
      </c>
      <c r="L1735" s="30" t="s">
        <v>5369</v>
      </c>
      <c r="N1735" s="30" t="s">
        <v>5432</v>
      </c>
      <c r="P1735" s="30" t="s">
        <v>12127</v>
      </c>
      <c r="Q1735" t="s">
        <v>619</v>
      </c>
      <c r="R1735" t="s">
        <v>917</v>
      </c>
      <c r="S1735">
        <v>39</v>
      </c>
      <c r="T1735" s="29" t="str">
        <f>HYPERLINK("https://ictv.global/ictv/proposals/2023.051B.Peduoviridae_reorg.zip","2023.051B.Peduoviridae_reorg.zip")</f>
        <v>2023.051B.Peduoviridae_reorg.zip</v>
      </c>
      <c r="U1735" s="29" t="str">
        <f>HYPERLINK("https://ictv.global/taxonomy/taxondetails?taxnode_id=202319231","ictv.global=202319231")</f>
        <v>ictv.global=202319231</v>
      </c>
    </row>
    <row r="1736" spans="1:21">
      <c r="A1736">
        <v>1735</v>
      </c>
      <c r="B1736" s="30" t="s">
        <v>1587</v>
      </c>
      <c r="D1736" s="30" t="s">
        <v>1588</v>
      </c>
      <c r="F1736" s="30" t="s">
        <v>1591</v>
      </c>
      <c r="H1736" s="30" t="s">
        <v>1592</v>
      </c>
      <c r="L1736" s="30" t="s">
        <v>5369</v>
      </c>
      <c r="N1736" s="30" t="s">
        <v>5432</v>
      </c>
      <c r="P1736" s="30" t="s">
        <v>12128</v>
      </c>
      <c r="Q1736" t="s">
        <v>619</v>
      </c>
      <c r="R1736" t="s">
        <v>917</v>
      </c>
      <c r="S1736">
        <v>39</v>
      </c>
      <c r="T1736" s="29" t="str">
        <f>HYPERLINK("https://ictv.global/ictv/proposals/2023.051B.Peduoviridae_reorg.zip","2023.051B.Peduoviridae_reorg.zip")</f>
        <v>2023.051B.Peduoviridae_reorg.zip</v>
      </c>
      <c r="U1736" s="29" t="str">
        <f>HYPERLINK("https://ictv.global/taxonomy/taxondetails?taxnode_id=202319229","ictv.global=202319229")</f>
        <v>ictv.global=202319229</v>
      </c>
    </row>
    <row r="1737" spans="1:21">
      <c r="A1737">
        <v>1736</v>
      </c>
      <c r="B1737" s="30" t="s">
        <v>1587</v>
      </c>
      <c r="D1737" s="30" t="s">
        <v>1588</v>
      </c>
      <c r="F1737" s="30" t="s">
        <v>1591</v>
      </c>
      <c r="H1737" s="30" t="s">
        <v>1592</v>
      </c>
      <c r="L1737" s="30" t="s">
        <v>5369</v>
      </c>
      <c r="N1737" s="30" t="s">
        <v>5432</v>
      </c>
      <c r="P1737" s="30" t="s">
        <v>12129</v>
      </c>
      <c r="Q1737" t="s">
        <v>619</v>
      </c>
      <c r="R1737" t="s">
        <v>917</v>
      </c>
      <c r="S1737">
        <v>39</v>
      </c>
      <c r="T1737" s="29" t="str">
        <f>HYPERLINK("https://ictv.global/ictv/proposals/2023.051B.Peduoviridae_reorg.zip","2023.051B.Peduoviridae_reorg.zip")</f>
        <v>2023.051B.Peduoviridae_reorg.zip</v>
      </c>
      <c r="U1737" s="29" t="str">
        <f>HYPERLINK("https://ictv.global/taxonomy/taxondetails?taxnode_id=202319232","ictv.global=202319232")</f>
        <v>ictv.global=202319232</v>
      </c>
    </row>
    <row r="1738" spans="1:21">
      <c r="A1738">
        <v>1737</v>
      </c>
      <c r="B1738" s="30" t="s">
        <v>1587</v>
      </c>
      <c r="D1738" s="30" t="s">
        <v>1588</v>
      </c>
      <c r="F1738" s="30" t="s">
        <v>1591</v>
      </c>
      <c r="H1738" s="30" t="s">
        <v>1592</v>
      </c>
      <c r="L1738" s="30" t="s">
        <v>5369</v>
      </c>
      <c r="N1738" s="30" t="s">
        <v>1786</v>
      </c>
      <c r="P1738" s="30" t="s">
        <v>5434</v>
      </c>
      <c r="Q1738" t="s">
        <v>619</v>
      </c>
      <c r="R1738" t="s">
        <v>917</v>
      </c>
      <c r="S1738">
        <v>37</v>
      </c>
      <c r="T1738" s="29" t="str">
        <f>HYPERLINK("https://ictv.global/ictv/proposals/2021.063B.R.Peduoviridae.zip","2021.063B.R.Peduoviridae.zip")</f>
        <v>2021.063B.R.Peduoviridae.zip</v>
      </c>
      <c r="U1738" s="29" t="str">
        <f>HYPERLINK("https://ictv.global/taxonomy/taxondetails?taxnode_id=202312869","ictv.global=202312869")</f>
        <v>ictv.global=202312869</v>
      </c>
    </row>
    <row r="1739" spans="1:21">
      <c r="A1739">
        <v>1738</v>
      </c>
      <c r="B1739" s="30" t="s">
        <v>1587</v>
      </c>
      <c r="D1739" s="30" t="s">
        <v>1588</v>
      </c>
      <c r="F1739" s="30" t="s">
        <v>1591</v>
      </c>
      <c r="H1739" s="30" t="s">
        <v>1592</v>
      </c>
      <c r="L1739" s="30" t="s">
        <v>5369</v>
      </c>
      <c r="N1739" s="30" t="s">
        <v>1786</v>
      </c>
      <c r="P1739" s="30" t="s">
        <v>5435</v>
      </c>
      <c r="Q1739" t="s">
        <v>619</v>
      </c>
      <c r="R1739" t="s">
        <v>917</v>
      </c>
      <c r="S1739">
        <v>38</v>
      </c>
      <c r="T1739" s="29" t="str">
        <f>HYPERLINK("https://ictv.global/ictv/proposals/2022.062B.Peduoviridae_6ng_19nsp.zip","2022.062B.Peduoviridae_6ng_19nsp.zip")</f>
        <v>2022.062B.Peduoviridae_6ng_19nsp.zip</v>
      </c>
      <c r="U1739" s="29" t="str">
        <f>HYPERLINK("https://ictv.global/taxonomy/taxondetails?taxnode_id=202314734","ictv.global=202314734")</f>
        <v>ictv.global=202314734</v>
      </c>
    </row>
    <row r="1740" spans="1:21">
      <c r="A1740">
        <v>1739</v>
      </c>
      <c r="B1740" s="30" t="s">
        <v>1587</v>
      </c>
      <c r="D1740" s="30" t="s">
        <v>1588</v>
      </c>
      <c r="F1740" s="30" t="s">
        <v>1591</v>
      </c>
      <c r="H1740" s="30" t="s">
        <v>1592</v>
      </c>
      <c r="L1740" s="30" t="s">
        <v>5369</v>
      </c>
      <c r="N1740" s="30" t="s">
        <v>1786</v>
      </c>
      <c r="P1740" s="30" t="s">
        <v>5436</v>
      </c>
      <c r="Q1740" t="s">
        <v>619</v>
      </c>
      <c r="R1740" t="s">
        <v>918</v>
      </c>
      <c r="S1740">
        <v>37</v>
      </c>
      <c r="T1740" s="29" t="str">
        <f>HYPERLINK("https://ictv.global/ictv/proposals/2021.010B.R.Binomial_names.zip","2021.010B.R.Binomial_names.zip")</f>
        <v>2021.010B.R.Binomial_names.zip</v>
      </c>
      <c r="U1740" s="29" t="str">
        <f>HYPERLINK("https://ictv.global/taxonomy/taxondetails?taxnode_id=202307964","ictv.global=202307964")</f>
        <v>ictv.global=202307964</v>
      </c>
    </row>
    <row r="1741" spans="1:21">
      <c r="A1741">
        <v>1740</v>
      </c>
      <c r="B1741" s="30" t="s">
        <v>1587</v>
      </c>
      <c r="D1741" s="30" t="s">
        <v>1588</v>
      </c>
      <c r="F1741" s="30" t="s">
        <v>1591</v>
      </c>
      <c r="H1741" s="30" t="s">
        <v>1592</v>
      </c>
      <c r="L1741" s="30" t="s">
        <v>5369</v>
      </c>
      <c r="N1741" s="30" t="s">
        <v>1787</v>
      </c>
      <c r="P1741" s="30" t="s">
        <v>12130</v>
      </c>
      <c r="Q1741" t="s">
        <v>619</v>
      </c>
      <c r="R1741" t="s">
        <v>917</v>
      </c>
      <c r="S1741">
        <v>39</v>
      </c>
      <c r="T1741" s="29" t="str">
        <f>HYPERLINK("https://ictv.global/ictv/proposals/2023.051B.Peduoviridae_reorg.zip","2023.051B.Peduoviridae_reorg.zip")</f>
        <v>2023.051B.Peduoviridae_reorg.zip</v>
      </c>
      <c r="U1741" s="29" t="str">
        <f>HYPERLINK("https://ictv.global/taxonomy/taxondetails?taxnode_id=202319228","ictv.global=202319228")</f>
        <v>ictv.global=202319228</v>
      </c>
    </row>
    <row r="1742" spans="1:21">
      <c r="A1742">
        <v>1741</v>
      </c>
      <c r="B1742" s="30" t="s">
        <v>1587</v>
      </c>
      <c r="D1742" s="30" t="s">
        <v>1588</v>
      </c>
      <c r="F1742" s="30" t="s">
        <v>1591</v>
      </c>
      <c r="H1742" s="30" t="s">
        <v>1592</v>
      </c>
      <c r="L1742" s="30" t="s">
        <v>5369</v>
      </c>
      <c r="N1742" s="30" t="s">
        <v>1787</v>
      </c>
      <c r="P1742" s="30" t="s">
        <v>5437</v>
      </c>
      <c r="Q1742" t="s">
        <v>619</v>
      </c>
      <c r="R1742" t="s">
        <v>918</v>
      </c>
      <c r="S1742">
        <v>37</v>
      </c>
      <c r="T1742" s="29" t="str">
        <f>HYPERLINK("https://ictv.global/ictv/proposals/2021.010B.R.Binomial_names.zip","2021.010B.R.Binomial_names.zip")</f>
        <v>2021.010B.R.Binomial_names.zip</v>
      </c>
      <c r="U1742" s="29" t="str">
        <f>HYPERLINK("https://ictv.global/taxonomy/taxondetails?taxnode_id=202307979","ictv.global=202307979")</f>
        <v>ictv.global=202307979</v>
      </c>
    </row>
    <row r="1743" spans="1:21">
      <c r="A1743">
        <v>1742</v>
      </c>
      <c r="B1743" s="30" t="s">
        <v>1587</v>
      </c>
      <c r="D1743" s="30" t="s">
        <v>1588</v>
      </c>
      <c r="F1743" s="30" t="s">
        <v>1591</v>
      </c>
      <c r="H1743" s="30" t="s">
        <v>1592</v>
      </c>
      <c r="L1743" s="30" t="s">
        <v>5369</v>
      </c>
      <c r="N1743" s="30" t="s">
        <v>1788</v>
      </c>
      <c r="P1743" s="30" t="s">
        <v>5438</v>
      </c>
      <c r="Q1743" t="s">
        <v>619</v>
      </c>
      <c r="R1743" t="s">
        <v>918</v>
      </c>
      <c r="S1743">
        <v>37</v>
      </c>
      <c r="T1743" s="29" t="str">
        <f>HYPERLINK("https://ictv.global/ictv/proposals/2021.010B.R.Binomial_names.zip","2021.010B.R.Binomial_names.zip")</f>
        <v>2021.010B.R.Binomial_names.zip</v>
      </c>
      <c r="U1743" s="29" t="str">
        <f>HYPERLINK("https://ictv.global/taxonomy/taxondetails?taxnode_id=202300231","ictv.global=202300231")</f>
        <v>ictv.global=202300231</v>
      </c>
    </row>
    <row r="1744" spans="1:21">
      <c r="A1744">
        <v>1743</v>
      </c>
      <c r="B1744" s="30" t="s">
        <v>1587</v>
      </c>
      <c r="D1744" s="30" t="s">
        <v>1588</v>
      </c>
      <c r="F1744" s="30" t="s">
        <v>1591</v>
      </c>
      <c r="H1744" s="30" t="s">
        <v>1592</v>
      </c>
      <c r="L1744" s="30" t="s">
        <v>5369</v>
      </c>
      <c r="N1744" s="30" t="s">
        <v>5439</v>
      </c>
      <c r="P1744" s="30" t="s">
        <v>5440</v>
      </c>
      <c r="Q1744" t="s">
        <v>619</v>
      </c>
      <c r="R1744" t="s">
        <v>917</v>
      </c>
      <c r="S1744">
        <v>37</v>
      </c>
      <c r="T1744" s="29" t="str">
        <f>HYPERLINK("https://ictv.global/ictv/proposals/2021.063B.R.Peduoviridae.zip","2021.063B.R.Peduoviridae.zip")</f>
        <v>2021.063B.R.Peduoviridae.zip</v>
      </c>
      <c r="U1744" s="29" t="str">
        <f>HYPERLINK("https://ictv.global/taxonomy/taxondetails?taxnode_id=202312850","ictv.global=202312850")</f>
        <v>ictv.global=202312850</v>
      </c>
    </row>
    <row r="1745" spans="1:21">
      <c r="A1745">
        <v>1744</v>
      </c>
      <c r="B1745" s="30" t="s">
        <v>1587</v>
      </c>
      <c r="D1745" s="30" t="s">
        <v>1588</v>
      </c>
      <c r="F1745" s="30" t="s">
        <v>1591</v>
      </c>
      <c r="H1745" s="30" t="s">
        <v>1592</v>
      </c>
      <c r="L1745" s="30" t="s">
        <v>5369</v>
      </c>
      <c r="N1745" s="30" t="s">
        <v>5441</v>
      </c>
      <c r="P1745" s="30" t="s">
        <v>5442</v>
      </c>
      <c r="Q1745" t="s">
        <v>619</v>
      </c>
      <c r="R1745" t="s">
        <v>917</v>
      </c>
      <c r="S1745">
        <v>37</v>
      </c>
      <c r="T1745" s="29" t="str">
        <f>HYPERLINK("https://ictv.global/ictv/proposals/2021.063B.R.Peduoviridae.zip","2021.063B.R.Peduoviridae.zip")</f>
        <v>2021.063B.R.Peduoviridae.zip</v>
      </c>
      <c r="U1745" s="29" t="str">
        <f>HYPERLINK("https://ictv.global/taxonomy/taxondetails?taxnode_id=202312866","ictv.global=202312866")</f>
        <v>ictv.global=202312866</v>
      </c>
    </row>
    <row r="1746" spans="1:21">
      <c r="A1746">
        <v>1745</v>
      </c>
      <c r="B1746" s="30" t="s">
        <v>1587</v>
      </c>
      <c r="D1746" s="30" t="s">
        <v>1588</v>
      </c>
      <c r="F1746" s="30" t="s">
        <v>1591</v>
      </c>
      <c r="H1746" s="30" t="s">
        <v>1592</v>
      </c>
      <c r="L1746" s="30" t="s">
        <v>5369</v>
      </c>
      <c r="N1746" s="30" t="s">
        <v>1789</v>
      </c>
      <c r="P1746" s="30" t="s">
        <v>5443</v>
      </c>
      <c r="Q1746" t="s">
        <v>619</v>
      </c>
      <c r="R1746" t="s">
        <v>918</v>
      </c>
      <c r="S1746">
        <v>37</v>
      </c>
      <c r="T1746" s="29" t="str">
        <f>HYPERLINK("https://ictv.global/ictv/proposals/2021.010B.R.Binomial_names.zip","2021.010B.R.Binomial_names.zip")</f>
        <v>2021.010B.R.Binomial_names.zip</v>
      </c>
      <c r="U1746" s="29" t="str">
        <f>HYPERLINK("https://ictv.global/taxonomy/taxondetails?taxnode_id=202307968","ictv.global=202307968")</f>
        <v>ictv.global=202307968</v>
      </c>
    </row>
    <row r="1747" spans="1:21">
      <c r="A1747">
        <v>1746</v>
      </c>
      <c r="B1747" s="30" t="s">
        <v>1587</v>
      </c>
      <c r="D1747" s="30" t="s">
        <v>1588</v>
      </c>
      <c r="F1747" s="30" t="s">
        <v>1591</v>
      </c>
      <c r="H1747" s="30" t="s">
        <v>1592</v>
      </c>
      <c r="L1747" s="30" t="s">
        <v>5369</v>
      </c>
      <c r="N1747" s="30" t="s">
        <v>2244</v>
      </c>
      <c r="P1747" s="30" t="s">
        <v>5444</v>
      </c>
      <c r="Q1747" t="s">
        <v>619</v>
      </c>
      <c r="R1747" t="s">
        <v>918</v>
      </c>
      <c r="S1747">
        <v>37</v>
      </c>
      <c r="T1747" s="29" t="str">
        <f>HYPERLINK("https://ictv.global/ictv/proposals/2021.010B.R.Binomial_names.zip","2021.010B.R.Binomial_names.zip")</f>
        <v>2021.010B.R.Binomial_names.zip</v>
      </c>
      <c r="U1747" s="29" t="str">
        <f>HYPERLINK("https://ictv.global/taxonomy/taxondetails?taxnode_id=202311598","ictv.global=202311598")</f>
        <v>ictv.global=202311598</v>
      </c>
    </row>
    <row r="1748" spans="1:21">
      <c r="A1748">
        <v>1747</v>
      </c>
      <c r="B1748" s="30" t="s">
        <v>1587</v>
      </c>
      <c r="D1748" s="30" t="s">
        <v>1588</v>
      </c>
      <c r="F1748" s="30" t="s">
        <v>1591</v>
      </c>
      <c r="H1748" s="30" t="s">
        <v>1592</v>
      </c>
      <c r="L1748" s="30" t="s">
        <v>5369</v>
      </c>
      <c r="N1748" s="30" t="s">
        <v>1329</v>
      </c>
      <c r="P1748" s="30" t="s">
        <v>5445</v>
      </c>
      <c r="Q1748" t="s">
        <v>619</v>
      </c>
      <c r="R1748" t="s">
        <v>917</v>
      </c>
      <c r="S1748">
        <v>38</v>
      </c>
      <c r="T1748" s="29" t="str">
        <f>HYPERLINK("https://ictv.global/ictv/proposals/2022.062B.Peduoviridae_6ng_19nsp.zip","2022.062B.Peduoviridae_6ng_19nsp.zip")</f>
        <v>2022.062B.Peduoviridae_6ng_19nsp.zip</v>
      </c>
      <c r="U1748" s="29" t="str">
        <f>HYPERLINK("https://ictv.global/taxonomy/taxondetails?taxnode_id=202314726","ictv.global=202314726")</f>
        <v>ictv.global=202314726</v>
      </c>
    </row>
    <row r="1749" spans="1:21">
      <c r="A1749">
        <v>1748</v>
      </c>
      <c r="B1749" s="30" t="s">
        <v>1587</v>
      </c>
      <c r="D1749" s="30" t="s">
        <v>1588</v>
      </c>
      <c r="F1749" s="30" t="s">
        <v>1591</v>
      </c>
      <c r="H1749" s="30" t="s">
        <v>1592</v>
      </c>
      <c r="L1749" s="30" t="s">
        <v>5369</v>
      </c>
      <c r="N1749" s="30" t="s">
        <v>1329</v>
      </c>
      <c r="P1749" s="30" t="s">
        <v>5446</v>
      </c>
      <c r="Q1749" t="s">
        <v>619</v>
      </c>
      <c r="R1749" t="s">
        <v>917</v>
      </c>
      <c r="S1749">
        <v>38</v>
      </c>
      <c r="T1749" s="29" t="str">
        <f>HYPERLINK("https://ictv.global/ictv/proposals/2022.062B.Peduoviridae_6ng_19nsp.zip","2022.062B.Peduoviridae_6ng_19nsp.zip")</f>
        <v>2022.062B.Peduoviridae_6ng_19nsp.zip</v>
      </c>
      <c r="U1749" s="29" t="str">
        <f>HYPERLINK("https://ictv.global/taxonomy/taxondetails?taxnode_id=202314727","ictv.global=202314727")</f>
        <v>ictv.global=202314727</v>
      </c>
    </row>
    <row r="1750" spans="1:21">
      <c r="A1750">
        <v>1749</v>
      </c>
      <c r="B1750" s="30" t="s">
        <v>1587</v>
      </c>
      <c r="D1750" s="30" t="s">
        <v>1588</v>
      </c>
      <c r="F1750" s="30" t="s">
        <v>1591</v>
      </c>
      <c r="H1750" s="30" t="s">
        <v>1592</v>
      </c>
      <c r="L1750" s="30" t="s">
        <v>5369</v>
      </c>
      <c r="N1750" s="30" t="s">
        <v>1329</v>
      </c>
      <c r="P1750" s="30" t="s">
        <v>5447</v>
      </c>
      <c r="Q1750" t="s">
        <v>619</v>
      </c>
      <c r="R1750" t="s">
        <v>917</v>
      </c>
      <c r="S1750">
        <v>38</v>
      </c>
      <c r="T1750" s="29" t="str">
        <f>HYPERLINK("https://ictv.global/ictv/proposals/2022.062B.Peduoviridae_6ng_19nsp.zip","2022.062B.Peduoviridae_6ng_19nsp.zip")</f>
        <v>2022.062B.Peduoviridae_6ng_19nsp.zip</v>
      </c>
      <c r="U1750" s="29" t="str">
        <f>HYPERLINK("https://ictv.global/taxonomy/taxondetails?taxnode_id=202314729","ictv.global=202314729")</f>
        <v>ictv.global=202314729</v>
      </c>
    </row>
    <row r="1751" spans="1:21">
      <c r="A1751">
        <v>1750</v>
      </c>
      <c r="B1751" s="30" t="s">
        <v>1587</v>
      </c>
      <c r="D1751" s="30" t="s">
        <v>1588</v>
      </c>
      <c r="F1751" s="30" t="s">
        <v>1591</v>
      </c>
      <c r="H1751" s="30" t="s">
        <v>1592</v>
      </c>
      <c r="L1751" s="30" t="s">
        <v>5369</v>
      </c>
      <c r="N1751" s="30" t="s">
        <v>1329</v>
      </c>
      <c r="P1751" s="30" t="s">
        <v>5448</v>
      </c>
      <c r="Q1751" t="s">
        <v>619</v>
      </c>
      <c r="R1751" t="s">
        <v>918</v>
      </c>
      <c r="S1751">
        <v>37</v>
      </c>
      <c r="T1751" s="29" t="str">
        <f>HYPERLINK("https://ictv.global/ictv/proposals/2021.010B.R.Binomial_names.zip","2021.010B.R.Binomial_names.zip")</f>
        <v>2021.010B.R.Binomial_names.zip</v>
      </c>
      <c r="U1751" s="29" t="str">
        <f>HYPERLINK("https://ictv.global/taxonomy/taxondetails?taxnode_id=202307028","ictv.global=202307028")</f>
        <v>ictv.global=202307028</v>
      </c>
    </row>
    <row r="1752" spans="1:21">
      <c r="A1752">
        <v>1751</v>
      </c>
      <c r="B1752" s="30" t="s">
        <v>1587</v>
      </c>
      <c r="D1752" s="30" t="s">
        <v>1588</v>
      </c>
      <c r="F1752" s="30" t="s">
        <v>1591</v>
      </c>
      <c r="H1752" s="30" t="s">
        <v>1592</v>
      </c>
      <c r="L1752" s="30" t="s">
        <v>5369</v>
      </c>
      <c r="N1752" s="30" t="s">
        <v>1329</v>
      </c>
      <c r="P1752" s="30" t="s">
        <v>12131</v>
      </c>
      <c r="Q1752" t="s">
        <v>619</v>
      </c>
      <c r="R1752" t="s">
        <v>918</v>
      </c>
      <c r="S1752">
        <v>39</v>
      </c>
      <c r="T1752" s="29" t="str">
        <f>HYPERLINK("https://ictv.global/ictv/proposals/2023.051B.Peduoviridae_reorg.zip","2023.051B.Peduoviridae_reorg.zip")</f>
        <v>2023.051B.Peduoviridae_reorg.zip</v>
      </c>
      <c r="U1752" s="29" t="str">
        <f>HYPERLINK("https://ictv.global/taxonomy/taxondetails?taxnode_id=202307031","ictv.global=202307031")</f>
        <v>ictv.global=202307031</v>
      </c>
    </row>
    <row r="1753" spans="1:21">
      <c r="A1753">
        <v>1752</v>
      </c>
      <c r="B1753" s="30" t="s">
        <v>1587</v>
      </c>
      <c r="D1753" s="30" t="s">
        <v>1588</v>
      </c>
      <c r="F1753" s="30" t="s">
        <v>1591</v>
      </c>
      <c r="H1753" s="30" t="s">
        <v>1592</v>
      </c>
      <c r="L1753" s="30" t="s">
        <v>5369</v>
      </c>
      <c r="N1753" s="30" t="s">
        <v>1329</v>
      </c>
      <c r="P1753" s="30" t="s">
        <v>12132</v>
      </c>
      <c r="Q1753" t="s">
        <v>619</v>
      </c>
      <c r="R1753" t="s">
        <v>917</v>
      </c>
      <c r="S1753">
        <v>39</v>
      </c>
      <c r="T1753" s="29" t="str">
        <f>HYPERLINK("https://ictv.global/ictv/proposals/2023.051B.Peduoviridae_reorg.zip","2023.051B.Peduoviridae_reorg.zip")</f>
        <v>2023.051B.Peduoviridae_reorg.zip</v>
      </c>
      <c r="U1753" s="29" t="str">
        <f>HYPERLINK("https://ictv.global/taxonomy/taxondetails?taxnode_id=202319234","ictv.global=202319234")</f>
        <v>ictv.global=202319234</v>
      </c>
    </row>
    <row r="1754" spans="1:21">
      <c r="A1754">
        <v>1753</v>
      </c>
      <c r="B1754" s="30" t="s">
        <v>1587</v>
      </c>
      <c r="D1754" s="30" t="s">
        <v>1588</v>
      </c>
      <c r="F1754" s="30" t="s">
        <v>1591</v>
      </c>
      <c r="H1754" s="30" t="s">
        <v>1592</v>
      </c>
      <c r="L1754" s="30" t="s">
        <v>5369</v>
      </c>
      <c r="N1754" s="30" t="s">
        <v>1329</v>
      </c>
      <c r="P1754" s="30" t="s">
        <v>12133</v>
      </c>
      <c r="Q1754" t="s">
        <v>619</v>
      </c>
      <c r="R1754" t="s">
        <v>917</v>
      </c>
      <c r="S1754">
        <v>39</v>
      </c>
      <c r="T1754" s="29" t="str">
        <f>HYPERLINK("https://ictv.global/ictv/proposals/2023.051B.Peduoviridae_reorg.zip","2023.051B.Peduoviridae_reorg.zip")</f>
        <v>2023.051B.Peduoviridae_reorg.zip</v>
      </c>
      <c r="U1754" s="29" t="str">
        <f>HYPERLINK("https://ictv.global/taxonomy/taxondetails?taxnode_id=202319235","ictv.global=202319235")</f>
        <v>ictv.global=202319235</v>
      </c>
    </row>
    <row r="1755" spans="1:21">
      <c r="A1755">
        <v>1754</v>
      </c>
      <c r="B1755" s="30" t="s">
        <v>1587</v>
      </c>
      <c r="D1755" s="30" t="s">
        <v>1588</v>
      </c>
      <c r="F1755" s="30" t="s">
        <v>1591</v>
      </c>
      <c r="H1755" s="30" t="s">
        <v>1592</v>
      </c>
      <c r="L1755" s="30" t="s">
        <v>5369</v>
      </c>
      <c r="N1755" s="30" t="s">
        <v>1329</v>
      </c>
      <c r="P1755" s="30" t="s">
        <v>5449</v>
      </c>
      <c r="Q1755" t="s">
        <v>619</v>
      </c>
      <c r="R1755" t="s">
        <v>917</v>
      </c>
      <c r="S1755">
        <v>38</v>
      </c>
      <c r="T1755" s="29" t="str">
        <f>HYPERLINK("https://ictv.global/ictv/proposals/2022.062B.Peduoviridae_6ng_19nsp.zip","2022.062B.Peduoviridae_6ng_19nsp.zip")</f>
        <v>2022.062B.Peduoviridae_6ng_19nsp.zip</v>
      </c>
      <c r="U1755" s="29" t="str">
        <f>HYPERLINK("https://ictv.global/taxonomy/taxondetails?taxnode_id=202314732","ictv.global=202314732")</f>
        <v>ictv.global=202314732</v>
      </c>
    </row>
    <row r="1756" spans="1:21">
      <c r="A1756">
        <v>1755</v>
      </c>
      <c r="B1756" s="30" t="s">
        <v>1587</v>
      </c>
      <c r="D1756" s="30" t="s">
        <v>1588</v>
      </c>
      <c r="F1756" s="30" t="s">
        <v>1591</v>
      </c>
      <c r="H1756" s="30" t="s">
        <v>1592</v>
      </c>
      <c r="L1756" s="30" t="s">
        <v>5369</v>
      </c>
      <c r="N1756" s="30" t="s">
        <v>1329</v>
      </c>
      <c r="P1756" s="30" t="s">
        <v>5450</v>
      </c>
      <c r="Q1756" t="s">
        <v>619</v>
      </c>
      <c r="R1756" t="s">
        <v>918</v>
      </c>
      <c r="S1756">
        <v>37</v>
      </c>
      <c r="T1756" s="29" t="str">
        <f>HYPERLINK("https://ictv.global/ictv/proposals/2021.010B.R.Binomial_names.zip","2021.010B.R.Binomial_names.zip")</f>
        <v>2021.010B.R.Binomial_names.zip</v>
      </c>
      <c r="U1756" s="29" t="str">
        <f>HYPERLINK("https://ictv.global/taxonomy/taxondetails?taxnode_id=202300246","ictv.global=202300246")</f>
        <v>ictv.global=202300246</v>
      </c>
    </row>
    <row r="1757" spans="1:21">
      <c r="A1757">
        <v>1756</v>
      </c>
      <c r="B1757" s="30" t="s">
        <v>1587</v>
      </c>
      <c r="D1757" s="30" t="s">
        <v>1588</v>
      </c>
      <c r="F1757" s="30" t="s">
        <v>1591</v>
      </c>
      <c r="H1757" s="30" t="s">
        <v>1592</v>
      </c>
      <c r="L1757" s="30" t="s">
        <v>5369</v>
      </c>
      <c r="N1757" s="30" t="s">
        <v>1329</v>
      </c>
      <c r="P1757" s="30" t="s">
        <v>5451</v>
      </c>
      <c r="Q1757" t="s">
        <v>619</v>
      </c>
      <c r="R1757" t="s">
        <v>918</v>
      </c>
      <c r="S1757">
        <v>37</v>
      </c>
      <c r="T1757" s="29" t="str">
        <f>HYPERLINK("https://ictv.global/ictv/proposals/2021.010B.R.Binomial_names.zip","2021.010B.R.Binomial_names.zip")</f>
        <v>2021.010B.R.Binomial_names.zip</v>
      </c>
      <c r="U1757" s="29" t="str">
        <f>HYPERLINK("https://ictv.global/taxonomy/taxondetails?taxnode_id=202311581","ictv.global=202311581")</f>
        <v>ictv.global=202311581</v>
      </c>
    </row>
    <row r="1758" spans="1:21">
      <c r="A1758">
        <v>1757</v>
      </c>
      <c r="B1758" s="30" t="s">
        <v>1587</v>
      </c>
      <c r="D1758" s="30" t="s">
        <v>1588</v>
      </c>
      <c r="F1758" s="30" t="s">
        <v>1591</v>
      </c>
      <c r="H1758" s="30" t="s">
        <v>1592</v>
      </c>
      <c r="L1758" s="30" t="s">
        <v>5369</v>
      </c>
      <c r="N1758" s="30" t="s">
        <v>1329</v>
      </c>
      <c r="P1758" s="30" t="s">
        <v>5452</v>
      </c>
      <c r="Q1758" t="s">
        <v>619</v>
      </c>
      <c r="R1758" t="s">
        <v>918</v>
      </c>
      <c r="S1758">
        <v>37</v>
      </c>
      <c r="T1758" s="29" t="str">
        <f>HYPERLINK("https://ictv.global/ictv/proposals/2021.010B.R.Binomial_names.zip","2021.010B.R.Binomial_names.zip")</f>
        <v>2021.010B.R.Binomial_names.zip</v>
      </c>
      <c r="U1758" s="29" t="str">
        <f>HYPERLINK("https://ictv.global/taxonomy/taxondetails?taxnode_id=202300238","ictv.global=202300238")</f>
        <v>ictv.global=202300238</v>
      </c>
    </row>
    <row r="1759" spans="1:21">
      <c r="A1759">
        <v>1758</v>
      </c>
      <c r="B1759" s="30" t="s">
        <v>1587</v>
      </c>
      <c r="D1759" s="30" t="s">
        <v>1588</v>
      </c>
      <c r="F1759" s="30" t="s">
        <v>1591</v>
      </c>
      <c r="H1759" s="30" t="s">
        <v>1592</v>
      </c>
      <c r="L1759" s="30" t="s">
        <v>5369</v>
      </c>
      <c r="N1759" s="30" t="s">
        <v>1329</v>
      </c>
      <c r="P1759" s="30" t="s">
        <v>5453</v>
      </c>
      <c r="Q1759" t="s">
        <v>619</v>
      </c>
      <c r="R1759" t="s">
        <v>917</v>
      </c>
      <c r="S1759">
        <v>38</v>
      </c>
      <c r="T1759" s="29" t="str">
        <f>HYPERLINK("https://ictv.global/ictv/proposals/2022.062B.Peduoviridae_6ng_19nsp.zip","2022.062B.Peduoviridae_6ng_19nsp.zip")</f>
        <v>2022.062B.Peduoviridae_6ng_19nsp.zip</v>
      </c>
      <c r="U1759" s="29" t="str">
        <f>HYPERLINK("https://ictv.global/taxonomy/taxondetails?taxnode_id=202314731","ictv.global=202314731")</f>
        <v>ictv.global=202314731</v>
      </c>
    </row>
    <row r="1760" spans="1:21">
      <c r="A1760">
        <v>1759</v>
      </c>
      <c r="B1760" s="30" t="s">
        <v>1587</v>
      </c>
      <c r="D1760" s="30" t="s">
        <v>1588</v>
      </c>
      <c r="F1760" s="30" t="s">
        <v>1591</v>
      </c>
      <c r="H1760" s="30" t="s">
        <v>1592</v>
      </c>
      <c r="L1760" s="30" t="s">
        <v>5369</v>
      </c>
      <c r="N1760" s="30" t="s">
        <v>1329</v>
      </c>
      <c r="P1760" s="30" t="s">
        <v>12134</v>
      </c>
      <c r="Q1760" t="s">
        <v>619</v>
      </c>
      <c r="R1760" t="s">
        <v>917</v>
      </c>
      <c r="S1760">
        <v>39</v>
      </c>
      <c r="T1760" s="29" t="str">
        <f>HYPERLINK("https://ictv.global/ictv/proposals/2023.051B.Peduoviridae_reorg.zip","2023.051B.Peduoviridae_reorg.zip")</f>
        <v>2023.051B.Peduoviridae_reorg.zip</v>
      </c>
      <c r="U1760" s="29" t="str">
        <f>HYPERLINK("https://ictv.global/taxonomy/taxondetails?taxnode_id=202319233","ictv.global=202319233")</f>
        <v>ictv.global=202319233</v>
      </c>
    </row>
    <row r="1761" spans="1:21">
      <c r="A1761">
        <v>1760</v>
      </c>
      <c r="B1761" s="30" t="s">
        <v>1587</v>
      </c>
      <c r="D1761" s="30" t="s">
        <v>1588</v>
      </c>
      <c r="F1761" s="30" t="s">
        <v>1591</v>
      </c>
      <c r="H1761" s="30" t="s">
        <v>1592</v>
      </c>
      <c r="L1761" s="30" t="s">
        <v>5369</v>
      </c>
      <c r="N1761" s="30" t="s">
        <v>1329</v>
      </c>
      <c r="P1761" s="30" t="s">
        <v>5454</v>
      </c>
      <c r="Q1761" t="s">
        <v>619</v>
      </c>
      <c r="R1761" t="s">
        <v>918</v>
      </c>
      <c r="S1761">
        <v>37</v>
      </c>
      <c r="T1761" s="29" t="str">
        <f t="shared" ref="T1761:T1770" si="75">HYPERLINK("https://ictv.global/ictv/proposals/2021.010B.R.Binomial_names.zip","2021.010B.R.Binomial_names.zip")</f>
        <v>2021.010B.R.Binomial_names.zip</v>
      </c>
      <c r="U1761" s="29" t="str">
        <f>HYPERLINK("https://ictv.global/taxonomy/taxondetails?taxnode_id=202311615","ictv.global=202311615")</f>
        <v>ictv.global=202311615</v>
      </c>
    </row>
    <row r="1762" spans="1:21">
      <c r="A1762">
        <v>1761</v>
      </c>
      <c r="B1762" s="30" t="s">
        <v>1587</v>
      </c>
      <c r="D1762" s="30" t="s">
        <v>1588</v>
      </c>
      <c r="F1762" s="30" t="s">
        <v>1591</v>
      </c>
      <c r="H1762" s="30" t="s">
        <v>1592</v>
      </c>
      <c r="L1762" s="30" t="s">
        <v>5369</v>
      </c>
      <c r="N1762" s="30" t="s">
        <v>1329</v>
      </c>
      <c r="P1762" s="30" t="s">
        <v>5455</v>
      </c>
      <c r="Q1762" t="s">
        <v>619</v>
      </c>
      <c r="R1762" t="s">
        <v>918</v>
      </c>
      <c r="S1762">
        <v>37</v>
      </c>
      <c r="T1762" s="29" t="str">
        <f t="shared" si="75"/>
        <v>2021.010B.R.Binomial_names.zip</v>
      </c>
      <c r="U1762" s="29" t="str">
        <f>HYPERLINK("https://ictv.global/taxonomy/taxondetails?taxnode_id=202311611","ictv.global=202311611")</f>
        <v>ictv.global=202311611</v>
      </c>
    </row>
    <row r="1763" spans="1:21">
      <c r="A1763">
        <v>1762</v>
      </c>
      <c r="B1763" s="30" t="s">
        <v>1587</v>
      </c>
      <c r="D1763" s="30" t="s">
        <v>1588</v>
      </c>
      <c r="F1763" s="30" t="s">
        <v>1591</v>
      </c>
      <c r="H1763" s="30" t="s">
        <v>1592</v>
      </c>
      <c r="L1763" s="30" t="s">
        <v>5369</v>
      </c>
      <c r="N1763" s="30" t="s">
        <v>1329</v>
      </c>
      <c r="P1763" s="30" t="s">
        <v>5456</v>
      </c>
      <c r="Q1763" t="s">
        <v>619</v>
      </c>
      <c r="R1763" t="s">
        <v>918</v>
      </c>
      <c r="S1763">
        <v>37</v>
      </c>
      <c r="T1763" s="29" t="str">
        <f t="shared" si="75"/>
        <v>2021.010B.R.Binomial_names.zip</v>
      </c>
      <c r="U1763" s="29" t="str">
        <f>HYPERLINK("https://ictv.global/taxonomy/taxondetails?taxnode_id=202311609","ictv.global=202311609")</f>
        <v>ictv.global=202311609</v>
      </c>
    </row>
    <row r="1764" spans="1:21">
      <c r="A1764">
        <v>1763</v>
      </c>
      <c r="B1764" s="30" t="s">
        <v>1587</v>
      </c>
      <c r="D1764" s="30" t="s">
        <v>1588</v>
      </c>
      <c r="F1764" s="30" t="s">
        <v>1591</v>
      </c>
      <c r="H1764" s="30" t="s">
        <v>1592</v>
      </c>
      <c r="L1764" s="30" t="s">
        <v>5369</v>
      </c>
      <c r="N1764" s="30" t="s">
        <v>1329</v>
      </c>
      <c r="P1764" s="30" t="s">
        <v>5457</v>
      </c>
      <c r="Q1764" t="s">
        <v>619</v>
      </c>
      <c r="R1764" t="s">
        <v>918</v>
      </c>
      <c r="S1764">
        <v>37</v>
      </c>
      <c r="T1764" s="29" t="str">
        <f t="shared" si="75"/>
        <v>2021.010B.R.Binomial_names.zip</v>
      </c>
      <c r="U1764" s="29" t="str">
        <f>HYPERLINK("https://ictv.global/taxonomy/taxondetails?taxnode_id=202311612","ictv.global=202311612")</f>
        <v>ictv.global=202311612</v>
      </c>
    </row>
    <row r="1765" spans="1:21">
      <c r="A1765">
        <v>1764</v>
      </c>
      <c r="B1765" s="30" t="s">
        <v>1587</v>
      </c>
      <c r="D1765" s="30" t="s">
        <v>1588</v>
      </c>
      <c r="F1765" s="30" t="s">
        <v>1591</v>
      </c>
      <c r="H1765" s="30" t="s">
        <v>1592</v>
      </c>
      <c r="L1765" s="30" t="s">
        <v>5369</v>
      </c>
      <c r="N1765" s="30" t="s">
        <v>1329</v>
      </c>
      <c r="P1765" s="30" t="s">
        <v>5458</v>
      </c>
      <c r="Q1765" t="s">
        <v>619</v>
      </c>
      <c r="R1765" t="s">
        <v>918</v>
      </c>
      <c r="S1765">
        <v>37</v>
      </c>
      <c r="T1765" s="29" t="str">
        <f t="shared" si="75"/>
        <v>2021.010B.R.Binomial_names.zip</v>
      </c>
      <c r="U1765" s="29" t="str">
        <f>HYPERLINK("https://ictv.global/taxonomy/taxondetails?taxnode_id=202311614","ictv.global=202311614")</f>
        <v>ictv.global=202311614</v>
      </c>
    </row>
    <row r="1766" spans="1:21">
      <c r="A1766">
        <v>1765</v>
      </c>
      <c r="B1766" s="30" t="s">
        <v>1587</v>
      </c>
      <c r="D1766" s="30" t="s">
        <v>1588</v>
      </c>
      <c r="F1766" s="30" t="s">
        <v>1591</v>
      </c>
      <c r="H1766" s="30" t="s">
        <v>1592</v>
      </c>
      <c r="L1766" s="30" t="s">
        <v>5369</v>
      </c>
      <c r="N1766" s="30" t="s">
        <v>1329</v>
      </c>
      <c r="P1766" s="30" t="s">
        <v>5459</v>
      </c>
      <c r="Q1766" t="s">
        <v>619</v>
      </c>
      <c r="R1766" t="s">
        <v>918</v>
      </c>
      <c r="S1766">
        <v>37</v>
      </c>
      <c r="T1766" s="29" t="str">
        <f t="shared" si="75"/>
        <v>2021.010B.R.Binomial_names.zip</v>
      </c>
      <c r="U1766" s="29" t="str">
        <f>HYPERLINK("https://ictv.global/taxonomy/taxondetails?taxnode_id=202311613","ictv.global=202311613")</f>
        <v>ictv.global=202311613</v>
      </c>
    </row>
    <row r="1767" spans="1:21">
      <c r="A1767">
        <v>1766</v>
      </c>
      <c r="B1767" s="30" t="s">
        <v>1587</v>
      </c>
      <c r="D1767" s="30" t="s">
        <v>1588</v>
      </c>
      <c r="F1767" s="30" t="s">
        <v>1591</v>
      </c>
      <c r="H1767" s="30" t="s">
        <v>1592</v>
      </c>
      <c r="L1767" s="30" t="s">
        <v>5369</v>
      </c>
      <c r="N1767" s="30" t="s">
        <v>1329</v>
      </c>
      <c r="P1767" s="30" t="s">
        <v>5460</v>
      </c>
      <c r="Q1767" t="s">
        <v>619</v>
      </c>
      <c r="R1767" t="s">
        <v>918</v>
      </c>
      <c r="S1767">
        <v>37</v>
      </c>
      <c r="T1767" s="29" t="str">
        <f t="shared" si="75"/>
        <v>2021.010B.R.Binomial_names.zip</v>
      </c>
      <c r="U1767" s="29" t="str">
        <f>HYPERLINK("https://ictv.global/taxonomy/taxondetails?taxnode_id=202307029","ictv.global=202307029")</f>
        <v>ictv.global=202307029</v>
      </c>
    </row>
    <row r="1768" spans="1:21">
      <c r="A1768">
        <v>1767</v>
      </c>
      <c r="B1768" s="30" t="s">
        <v>1587</v>
      </c>
      <c r="D1768" s="30" t="s">
        <v>1588</v>
      </c>
      <c r="F1768" s="30" t="s">
        <v>1591</v>
      </c>
      <c r="H1768" s="30" t="s">
        <v>1592</v>
      </c>
      <c r="L1768" s="30" t="s">
        <v>5369</v>
      </c>
      <c r="N1768" s="30" t="s">
        <v>1329</v>
      </c>
      <c r="P1768" s="30" t="s">
        <v>5461</v>
      </c>
      <c r="Q1768" t="s">
        <v>619</v>
      </c>
      <c r="R1768" t="s">
        <v>918</v>
      </c>
      <c r="S1768">
        <v>37</v>
      </c>
      <c r="T1768" s="29" t="str">
        <f t="shared" si="75"/>
        <v>2021.010B.R.Binomial_names.zip</v>
      </c>
      <c r="U1768" s="29" t="str">
        <f>HYPERLINK("https://ictv.global/taxonomy/taxondetails?taxnode_id=202307030","ictv.global=202307030")</f>
        <v>ictv.global=202307030</v>
      </c>
    </row>
    <row r="1769" spans="1:21">
      <c r="A1769">
        <v>1768</v>
      </c>
      <c r="B1769" s="30" t="s">
        <v>1587</v>
      </c>
      <c r="D1769" s="30" t="s">
        <v>1588</v>
      </c>
      <c r="F1769" s="30" t="s">
        <v>1591</v>
      </c>
      <c r="H1769" s="30" t="s">
        <v>1592</v>
      </c>
      <c r="L1769" s="30" t="s">
        <v>5369</v>
      </c>
      <c r="N1769" s="30" t="s">
        <v>1329</v>
      </c>
      <c r="P1769" s="30" t="s">
        <v>5462</v>
      </c>
      <c r="Q1769" t="s">
        <v>619</v>
      </c>
      <c r="R1769" t="s">
        <v>918</v>
      </c>
      <c r="S1769">
        <v>37</v>
      </c>
      <c r="T1769" s="29" t="str">
        <f t="shared" si="75"/>
        <v>2021.010B.R.Binomial_names.zip</v>
      </c>
      <c r="U1769" s="29" t="str">
        <f>HYPERLINK("https://ictv.global/taxonomy/taxondetails?taxnode_id=202311608","ictv.global=202311608")</f>
        <v>ictv.global=202311608</v>
      </c>
    </row>
    <row r="1770" spans="1:21">
      <c r="A1770">
        <v>1769</v>
      </c>
      <c r="B1770" s="30" t="s">
        <v>1587</v>
      </c>
      <c r="D1770" s="30" t="s">
        <v>1588</v>
      </c>
      <c r="F1770" s="30" t="s">
        <v>1591</v>
      </c>
      <c r="H1770" s="30" t="s">
        <v>1592</v>
      </c>
      <c r="L1770" s="30" t="s">
        <v>5369</v>
      </c>
      <c r="N1770" s="30" t="s">
        <v>1329</v>
      </c>
      <c r="P1770" s="30" t="s">
        <v>5463</v>
      </c>
      <c r="Q1770" t="s">
        <v>619</v>
      </c>
      <c r="R1770" t="s">
        <v>918</v>
      </c>
      <c r="S1770">
        <v>37</v>
      </c>
      <c r="T1770" s="29" t="str">
        <f t="shared" si="75"/>
        <v>2021.010B.R.Binomial_names.zip</v>
      </c>
      <c r="U1770" s="29" t="str">
        <f>HYPERLINK("https://ictv.global/taxonomy/taxondetails?taxnode_id=202311610","ictv.global=202311610")</f>
        <v>ictv.global=202311610</v>
      </c>
    </row>
    <row r="1771" spans="1:21">
      <c r="A1771">
        <v>1770</v>
      </c>
      <c r="B1771" s="30" t="s">
        <v>1587</v>
      </c>
      <c r="D1771" s="30" t="s">
        <v>1588</v>
      </c>
      <c r="F1771" s="30" t="s">
        <v>1591</v>
      </c>
      <c r="H1771" s="30" t="s">
        <v>1592</v>
      </c>
      <c r="L1771" s="30" t="s">
        <v>5369</v>
      </c>
      <c r="N1771" s="30" t="s">
        <v>1329</v>
      </c>
      <c r="P1771" s="30" t="s">
        <v>5464</v>
      </c>
      <c r="Q1771" t="s">
        <v>619</v>
      </c>
      <c r="R1771" t="s">
        <v>917</v>
      </c>
      <c r="S1771">
        <v>38</v>
      </c>
      <c r="T1771" s="29" t="str">
        <f>HYPERLINK("https://ictv.global/ictv/proposals/2022.062B.Peduoviridae_6ng_19nsp.zip","2022.062B.Peduoviridae_6ng_19nsp.zip")</f>
        <v>2022.062B.Peduoviridae_6ng_19nsp.zip</v>
      </c>
      <c r="U1771" s="29" t="str">
        <f>HYPERLINK("https://ictv.global/taxonomy/taxondetails?taxnode_id=202314728","ictv.global=202314728")</f>
        <v>ictv.global=202314728</v>
      </c>
    </row>
    <row r="1772" spans="1:21">
      <c r="A1772">
        <v>1771</v>
      </c>
      <c r="B1772" s="30" t="s">
        <v>1587</v>
      </c>
      <c r="D1772" s="30" t="s">
        <v>1588</v>
      </c>
      <c r="F1772" s="30" t="s">
        <v>1591</v>
      </c>
      <c r="H1772" s="30" t="s">
        <v>1592</v>
      </c>
      <c r="L1772" s="30" t="s">
        <v>5369</v>
      </c>
      <c r="N1772" s="30" t="s">
        <v>1329</v>
      </c>
      <c r="P1772" s="30" t="s">
        <v>5465</v>
      </c>
      <c r="Q1772" t="s">
        <v>619</v>
      </c>
      <c r="R1772" t="s">
        <v>917</v>
      </c>
      <c r="S1772">
        <v>38</v>
      </c>
      <c r="T1772" s="29" t="str">
        <f>HYPERLINK("https://ictv.global/ictv/proposals/2022.062B.Peduoviridae_6ng_19nsp.zip","2022.062B.Peduoviridae_6ng_19nsp.zip")</f>
        <v>2022.062B.Peduoviridae_6ng_19nsp.zip</v>
      </c>
      <c r="U1772" s="29" t="str">
        <f>HYPERLINK("https://ictv.global/taxonomy/taxondetails?taxnode_id=202314730","ictv.global=202314730")</f>
        <v>ictv.global=202314730</v>
      </c>
    </row>
    <row r="1773" spans="1:21">
      <c r="A1773">
        <v>1772</v>
      </c>
      <c r="B1773" s="30" t="s">
        <v>1587</v>
      </c>
      <c r="D1773" s="30" t="s">
        <v>1588</v>
      </c>
      <c r="F1773" s="30" t="s">
        <v>1591</v>
      </c>
      <c r="H1773" s="30" t="s">
        <v>1592</v>
      </c>
      <c r="L1773" s="30" t="s">
        <v>5369</v>
      </c>
      <c r="N1773" s="30" t="s">
        <v>1329</v>
      </c>
      <c r="P1773" s="30" t="s">
        <v>5466</v>
      </c>
      <c r="Q1773" t="s">
        <v>619</v>
      </c>
      <c r="R1773" t="s">
        <v>917</v>
      </c>
      <c r="S1773">
        <v>37</v>
      </c>
      <c r="T1773" s="29" t="str">
        <f>HYPERLINK("https://ictv.global/ictv/proposals/2021.063B.R.Peduoviridae.zip","2021.063B.R.Peduoviridae.zip")</f>
        <v>2021.063B.R.Peduoviridae.zip</v>
      </c>
      <c r="U1773" s="29" t="str">
        <f>HYPERLINK("https://ictv.global/taxonomy/taxondetails?taxnode_id=202312873","ictv.global=202312873")</f>
        <v>ictv.global=202312873</v>
      </c>
    </row>
    <row r="1774" spans="1:21">
      <c r="A1774">
        <v>1773</v>
      </c>
      <c r="B1774" s="30" t="s">
        <v>1587</v>
      </c>
      <c r="D1774" s="30" t="s">
        <v>1588</v>
      </c>
      <c r="F1774" s="30" t="s">
        <v>1591</v>
      </c>
      <c r="H1774" s="30" t="s">
        <v>1592</v>
      </c>
      <c r="L1774" s="30" t="s">
        <v>5369</v>
      </c>
      <c r="N1774" s="30" t="s">
        <v>1329</v>
      </c>
      <c r="P1774" s="30" t="s">
        <v>5467</v>
      </c>
      <c r="Q1774" t="s">
        <v>619</v>
      </c>
      <c r="R1774" t="s">
        <v>918</v>
      </c>
      <c r="S1774">
        <v>37</v>
      </c>
      <c r="T1774" s="29" t="str">
        <f>HYPERLINK("https://ictv.global/ictv/proposals/2021.010B.R.Binomial_names.zip","2021.010B.R.Binomial_names.zip")</f>
        <v>2021.010B.R.Binomial_names.zip</v>
      </c>
      <c r="U1774" s="29" t="str">
        <f>HYPERLINK("https://ictv.global/taxonomy/taxondetails?taxnode_id=202300239","ictv.global=202300239")</f>
        <v>ictv.global=202300239</v>
      </c>
    </row>
    <row r="1775" spans="1:21">
      <c r="A1775">
        <v>1774</v>
      </c>
      <c r="B1775" s="30" t="s">
        <v>1587</v>
      </c>
      <c r="D1775" s="30" t="s">
        <v>1588</v>
      </c>
      <c r="F1775" s="30" t="s">
        <v>1591</v>
      </c>
      <c r="H1775" s="30" t="s">
        <v>1592</v>
      </c>
      <c r="L1775" s="30" t="s">
        <v>5369</v>
      </c>
      <c r="N1775" s="30" t="s">
        <v>1329</v>
      </c>
      <c r="P1775" s="30" t="s">
        <v>5468</v>
      </c>
      <c r="Q1775" t="s">
        <v>619</v>
      </c>
      <c r="R1775" t="s">
        <v>917</v>
      </c>
      <c r="S1775">
        <v>37</v>
      </c>
      <c r="T1775" s="29" t="str">
        <f>HYPERLINK("https://ictv.global/ictv/proposals/2021.063B.R.Peduoviridae.zip","2021.063B.R.Peduoviridae.zip")</f>
        <v>2021.063B.R.Peduoviridae.zip</v>
      </c>
      <c r="U1775" s="29" t="str">
        <f>HYPERLINK("https://ictv.global/taxonomy/taxondetails?taxnode_id=202312874","ictv.global=202312874")</f>
        <v>ictv.global=202312874</v>
      </c>
    </row>
    <row r="1776" spans="1:21">
      <c r="A1776">
        <v>1775</v>
      </c>
      <c r="B1776" s="30" t="s">
        <v>1587</v>
      </c>
      <c r="D1776" s="30" t="s">
        <v>1588</v>
      </c>
      <c r="F1776" s="30" t="s">
        <v>1591</v>
      </c>
      <c r="H1776" s="30" t="s">
        <v>1592</v>
      </c>
      <c r="L1776" s="30" t="s">
        <v>5369</v>
      </c>
      <c r="N1776" s="30" t="s">
        <v>1329</v>
      </c>
      <c r="P1776" s="30" t="s">
        <v>5469</v>
      </c>
      <c r="Q1776" t="s">
        <v>619</v>
      </c>
      <c r="R1776" t="s">
        <v>917</v>
      </c>
      <c r="S1776">
        <v>37</v>
      </c>
      <c r="T1776" s="29" t="str">
        <f>HYPERLINK("https://ictv.global/ictv/proposals/2021.063B.R.Peduoviridae.zip","2021.063B.R.Peduoviridae.zip")</f>
        <v>2021.063B.R.Peduoviridae.zip</v>
      </c>
      <c r="U1776" s="29" t="str">
        <f>HYPERLINK("https://ictv.global/taxonomy/taxondetails?taxnode_id=202312876","ictv.global=202312876")</f>
        <v>ictv.global=202312876</v>
      </c>
    </row>
    <row r="1777" spans="1:21">
      <c r="A1777">
        <v>1776</v>
      </c>
      <c r="B1777" s="30" t="s">
        <v>1587</v>
      </c>
      <c r="D1777" s="30" t="s">
        <v>1588</v>
      </c>
      <c r="F1777" s="30" t="s">
        <v>1591</v>
      </c>
      <c r="H1777" s="30" t="s">
        <v>1592</v>
      </c>
      <c r="L1777" s="30" t="s">
        <v>5369</v>
      </c>
      <c r="N1777" s="30" t="s">
        <v>1329</v>
      </c>
      <c r="P1777" s="30" t="s">
        <v>5470</v>
      </c>
      <c r="Q1777" t="s">
        <v>619</v>
      </c>
      <c r="R1777" t="s">
        <v>917</v>
      </c>
      <c r="S1777">
        <v>37</v>
      </c>
      <c r="T1777" s="29" t="str">
        <f>HYPERLINK("https://ictv.global/ictv/proposals/2021.063B.R.Peduoviridae.zip","2021.063B.R.Peduoviridae.zip")</f>
        <v>2021.063B.R.Peduoviridae.zip</v>
      </c>
      <c r="U1777" s="29" t="str">
        <f>HYPERLINK("https://ictv.global/taxonomy/taxondetails?taxnode_id=202312875","ictv.global=202312875")</f>
        <v>ictv.global=202312875</v>
      </c>
    </row>
    <row r="1778" spans="1:21">
      <c r="A1778">
        <v>1777</v>
      </c>
      <c r="B1778" s="30" t="s">
        <v>1587</v>
      </c>
      <c r="D1778" s="30" t="s">
        <v>1588</v>
      </c>
      <c r="F1778" s="30" t="s">
        <v>1591</v>
      </c>
      <c r="H1778" s="30" t="s">
        <v>1592</v>
      </c>
      <c r="L1778" s="30" t="s">
        <v>5369</v>
      </c>
      <c r="N1778" s="30" t="s">
        <v>1790</v>
      </c>
      <c r="P1778" s="30" t="s">
        <v>5471</v>
      </c>
      <c r="Q1778" t="s">
        <v>619</v>
      </c>
      <c r="R1778" t="s">
        <v>918</v>
      </c>
      <c r="S1778">
        <v>37</v>
      </c>
      <c r="T1778" s="29" t="str">
        <f>HYPERLINK("https://ictv.global/ictv/proposals/2021.010B.R.Binomial_names.zip","2021.010B.R.Binomial_names.zip")</f>
        <v>2021.010B.R.Binomial_names.zip</v>
      </c>
      <c r="U1778" s="29" t="str">
        <f>HYPERLINK("https://ictv.global/taxonomy/taxondetails?taxnode_id=202307948","ictv.global=202307948")</f>
        <v>ictv.global=202307948</v>
      </c>
    </row>
    <row r="1779" spans="1:21">
      <c r="A1779">
        <v>1778</v>
      </c>
      <c r="B1779" s="30" t="s">
        <v>1587</v>
      </c>
      <c r="D1779" s="30" t="s">
        <v>1588</v>
      </c>
      <c r="F1779" s="30" t="s">
        <v>1591</v>
      </c>
      <c r="H1779" s="30" t="s">
        <v>1592</v>
      </c>
      <c r="L1779" s="30" t="s">
        <v>5369</v>
      </c>
      <c r="N1779" s="30" t="s">
        <v>5472</v>
      </c>
      <c r="P1779" s="30" t="s">
        <v>5473</v>
      </c>
      <c r="Q1779" t="s">
        <v>619</v>
      </c>
      <c r="R1779" t="s">
        <v>917</v>
      </c>
      <c r="S1779">
        <v>38</v>
      </c>
      <c r="T1779" s="29" t="str">
        <f>HYPERLINK("https://ictv.global/ictv/proposals/2022.062B.Peduoviridae_6ng_19nsp.zip","2022.062B.Peduoviridae_6ng_19nsp.zip")</f>
        <v>2022.062B.Peduoviridae_6ng_19nsp.zip</v>
      </c>
      <c r="U1779" s="29" t="str">
        <f>HYPERLINK("https://ictv.global/taxonomy/taxondetails?taxnode_id=202314743","ictv.global=202314743")</f>
        <v>ictv.global=202314743</v>
      </c>
    </row>
    <row r="1780" spans="1:21">
      <c r="A1780">
        <v>1779</v>
      </c>
      <c r="B1780" s="30" t="s">
        <v>1587</v>
      </c>
      <c r="D1780" s="30" t="s">
        <v>1588</v>
      </c>
      <c r="F1780" s="30" t="s">
        <v>1591</v>
      </c>
      <c r="H1780" s="30" t="s">
        <v>1592</v>
      </c>
      <c r="L1780" s="30" t="s">
        <v>5369</v>
      </c>
      <c r="N1780" s="30" t="s">
        <v>1791</v>
      </c>
      <c r="P1780" s="30" t="s">
        <v>5474</v>
      </c>
      <c r="Q1780" t="s">
        <v>619</v>
      </c>
      <c r="R1780" t="s">
        <v>918</v>
      </c>
      <c r="S1780">
        <v>37</v>
      </c>
      <c r="T1780" s="29" t="str">
        <f>HYPERLINK("https://ictv.global/ictv/proposals/2021.010B.R.Binomial_names.zip","2021.010B.R.Binomial_names.zip")</f>
        <v>2021.010B.R.Binomial_names.zip</v>
      </c>
      <c r="U1780" s="29" t="str">
        <f>HYPERLINK("https://ictv.global/taxonomy/taxondetails?taxnode_id=202307941","ictv.global=202307941")</f>
        <v>ictv.global=202307941</v>
      </c>
    </row>
    <row r="1781" spans="1:21">
      <c r="A1781">
        <v>1780</v>
      </c>
      <c r="B1781" s="30" t="s">
        <v>1587</v>
      </c>
      <c r="D1781" s="30" t="s">
        <v>1588</v>
      </c>
      <c r="F1781" s="30" t="s">
        <v>1591</v>
      </c>
      <c r="H1781" s="30" t="s">
        <v>1592</v>
      </c>
      <c r="L1781" s="30" t="s">
        <v>5369</v>
      </c>
      <c r="N1781" s="30" t="s">
        <v>5475</v>
      </c>
      <c r="P1781" s="30" t="s">
        <v>5476</v>
      </c>
      <c r="Q1781" t="s">
        <v>619</v>
      </c>
      <c r="R1781" t="s">
        <v>917</v>
      </c>
      <c r="S1781">
        <v>37</v>
      </c>
      <c r="T1781" s="29" t="str">
        <f t="shared" ref="T1781:T1786" si="76">HYPERLINK("https://ictv.global/ictv/proposals/2021.063B.R.Peduoviridae.zip","2021.063B.R.Peduoviridae.zip")</f>
        <v>2021.063B.R.Peduoviridae.zip</v>
      </c>
      <c r="U1781" s="29" t="str">
        <f>HYPERLINK("https://ictv.global/taxonomy/taxondetails?taxnode_id=202312856","ictv.global=202312856")</f>
        <v>ictv.global=202312856</v>
      </c>
    </row>
    <row r="1782" spans="1:21">
      <c r="A1782">
        <v>1781</v>
      </c>
      <c r="B1782" s="30" t="s">
        <v>1587</v>
      </c>
      <c r="D1782" s="30" t="s">
        <v>1588</v>
      </c>
      <c r="F1782" s="30" t="s">
        <v>1591</v>
      </c>
      <c r="H1782" s="30" t="s">
        <v>1592</v>
      </c>
      <c r="L1782" s="30" t="s">
        <v>5369</v>
      </c>
      <c r="N1782" s="30" t="s">
        <v>5475</v>
      </c>
      <c r="P1782" s="30" t="s">
        <v>5477</v>
      </c>
      <c r="Q1782" t="s">
        <v>619</v>
      </c>
      <c r="R1782" t="s">
        <v>917</v>
      </c>
      <c r="S1782">
        <v>37</v>
      </c>
      <c r="T1782" s="29" t="str">
        <f t="shared" si="76"/>
        <v>2021.063B.R.Peduoviridae.zip</v>
      </c>
      <c r="U1782" s="29" t="str">
        <f>HYPERLINK("https://ictv.global/taxonomy/taxondetails?taxnode_id=202312855","ictv.global=202312855")</f>
        <v>ictv.global=202312855</v>
      </c>
    </row>
    <row r="1783" spans="1:21">
      <c r="A1783">
        <v>1782</v>
      </c>
      <c r="B1783" s="30" t="s">
        <v>1587</v>
      </c>
      <c r="D1783" s="30" t="s">
        <v>1588</v>
      </c>
      <c r="F1783" s="30" t="s">
        <v>1591</v>
      </c>
      <c r="H1783" s="30" t="s">
        <v>1592</v>
      </c>
      <c r="L1783" s="30" t="s">
        <v>5369</v>
      </c>
      <c r="N1783" s="30" t="s">
        <v>5475</v>
      </c>
      <c r="P1783" s="30" t="s">
        <v>5478</v>
      </c>
      <c r="Q1783" t="s">
        <v>619</v>
      </c>
      <c r="R1783" t="s">
        <v>917</v>
      </c>
      <c r="S1783">
        <v>37</v>
      </c>
      <c r="T1783" s="29" t="str">
        <f t="shared" si="76"/>
        <v>2021.063B.R.Peduoviridae.zip</v>
      </c>
      <c r="U1783" s="29" t="str">
        <f>HYPERLINK("https://ictv.global/taxonomy/taxondetails?taxnode_id=202312854","ictv.global=202312854")</f>
        <v>ictv.global=202312854</v>
      </c>
    </row>
    <row r="1784" spans="1:21">
      <c r="A1784">
        <v>1783</v>
      </c>
      <c r="B1784" s="30" t="s">
        <v>1587</v>
      </c>
      <c r="D1784" s="30" t="s">
        <v>1588</v>
      </c>
      <c r="F1784" s="30" t="s">
        <v>1591</v>
      </c>
      <c r="H1784" s="30" t="s">
        <v>1592</v>
      </c>
      <c r="L1784" s="30" t="s">
        <v>5369</v>
      </c>
      <c r="N1784" s="30" t="s">
        <v>5479</v>
      </c>
      <c r="P1784" s="30" t="s">
        <v>5480</v>
      </c>
      <c r="Q1784" t="s">
        <v>619</v>
      </c>
      <c r="R1784" t="s">
        <v>918</v>
      </c>
      <c r="S1784">
        <v>37</v>
      </c>
      <c r="T1784" s="29" t="str">
        <f t="shared" si="76"/>
        <v>2021.063B.R.Peduoviridae.zip</v>
      </c>
      <c r="U1784" s="29" t="str">
        <f>HYPERLINK("https://ictv.global/taxonomy/taxondetails?taxnode_id=202311588","ictv.global=202311588")</f>
        <v>ictv.global=202311588</v>
      </c>
    </row>
    <row r="1785" spans="1:21">
      <c r="A1785">
        <v>1784</v>
      </c>
      <c r="B1785" s="30" t="s">
        <v>1587</v>
      </c>
      <c r="D1785" s="30" t="s">
        <v>1588</v>
      </c>
      <c r="F1785" s="30" t="s">
        <v>1591</v>
      </c>
      <c r="H1785" s="30" t="s">
        <v>1592</v>
      </c>
      <c r="L1785" s="30" t="s">
        <v>5369</v>
      </c>
      <c r="N1785" s="30" t="s">
        <v>5479</v>
      </c>
      <c r="P1785" s="30" t="s">
        <v>5481</v>
      </c>
      <c r="Q1785" t="s">
        <v>619</v>
      </c>
      <c r="R1785" t="s">
        <v>918</v>
      </c>
      <c r="S1785">
        <v>37</v>
      </c>
      <c r="T1785" s="29" t="str">
        <f t="shared" si="76"/>
        <v>2021.063B.R.Peduoviridae.zip</v>
      </c>
      <c r="U1785" s="29" t="str">
        <f>HYPERLINK("https://ictv.global/taxonomy/taxondetails?taxnode_id=202311590","ictv.global=202311590")</f>
        <v>ictv.global=202311590</v>
      </c>
    </row>
    <row r="1786" spans="1:21">
      <c r="A1786">
        <v>1785</v>
      </c>
      <c r="B1786" s="30" t="s">
        <v>1587</v>
      </c>
      <c r="D1786" s="30" t="s">
        <v>1588</v>
      </c>
      <c r="F1786" s="30" t="s">
        <v>1591</v>
      </c>
      <c r="H1786" s="30" t="s">
        <v>1592</v>
      </c>
      <c r="L1786" s="30" t="s">
        <v>5369</v>
      </c>
      <c r="N1786" s="30" t="s">
        <v>5479</v>
      </c>
      <c r="P1786" s="30" t="s">
        <v>5482</v>
      </c>
      <c r="Q1786" t="s">
        <v>619</v>
      </c>
      <c r="R1786" t="s">
        <v>918</v>
      </c>
      <c r="S1786">
        <v>37</v>
      </c>
      <c r="T1786" s="29" t="str">
        <f t="shared" si="76"/>
        <v>2021.063B.R.Peduoviridae.zip</v>
      </c>
      <c r="U1786" s="29" t="str">
        <f>HYPERLINK("https://ictv.global/taxonomy/taxondetails?taxnode_id=202311589","ictv.global=202311589")</f>
        <v>ictv.global=202311589</v>
      </c>
    </row>
    <row r="1787" spans="1:21">
      <c r="A1787">
        <v>1786</v>
      </c>
      <c r="B1787" s="30" t="s">
        <v>1587</v>
      </c>
      <c r="D1787" s="30" t="s">
        <v>1588</v>
      </c>
      <c r="F1787" s="30" t="s">
        <v>1591</v>
      </c>
      <c r="H1787" s="30" t="s">
        <v>1592</v>
      </c>
      <c r="L1787" s="30" t="s">
        <v>5369</v>
      </c>
      <c r="N1787" s="30" t="s">
        <v>1792</v>
      </c>
      <c r="P1787" s="30" t="s">
        <v>5483</v>
      </c>
      <c r="Q1787" t="s">
        <v>619</v>
      </c>
      <c r="R1787" t="s">
        <v>918</v>
      </c>
      <c r="S1787">
        <v>37</v>
      </c>
      <c r="T1787" s="29" t="str">
        <f>HYPERLINK("https://ictv.global/ictv/proposals/2021.010B.R.Binomial_names.zip","2021.010B.R.Binomial_names.zip")</f>
        <v>2021.010B.R.Binomial_names.zip</v>
      </c>
      <c r="U1787" s="29" t="str">
        <f>HYPERLINK("https://ictv.global/taxonomy/taxondetails?taxnode_id=202307954","ictv.global=202307954")</f>
        <v>ictv.global=202307954</v>
      </c>
    </row>
    <row r="1788" spans="1:21">
      <c r="A1788">
        <v>1787</v>
      </c>
      <c r="B1788" s="30" t="s">
        <v>1587</v>
      </c>
      <c r="D1788" s="30" t="s">
        <v>1588</v>
      </c>
      <c r="F1788" s="30" t="s">
        <v>1591</v>
      </c>
      <c r="H1788" s="30" t="s">
        <v>1592</v>
      </c>
      <c r="L1788" s="30" t="s">
        <v>5369</v>
      </c>
      <c r="N1788" s="30" t="s">
        <v>2245</v>
      </c>
      <c r="P1788" s="30" t="s">
        <v>5484</v>
      </c>
      <c r="Q1788" t="s">
        <v>619</v>
      </c>
      <c r="R1788" t="s">
        <v>918</v>
      </c>
      <c r="S1788">
        <v>37</v>
      </c>
      <c r="T1788" s="29" t="str">
        <f>HYPERLINK("https://ictv.global/ictv/proposals/2021.010B.R.Binomial_names.zip","2021.010B.R.Binomial_names.zip")</f>
        <v>2021.010B.R.Binomial_names.zip</v>
      </c>
      <c r="U1788" s="29" t="str">
        <f>HYPERLINK("https://ictv.global/taxonomy/taxondetails?taxnode_id=202311596","ictv.global=202311596")</f>
        <v>ictv.global=202311596</v>
      </c>
    </row>
    <row r="1789" spans="1:21">
      <c r="A1789">
        <v>1788</v>
      </c>
      <c r="B1789" s="30" t="s">
        <v>1587</v>
      </c>
      <c r="D1789" s="30" t="s">
        <v>1588</v>
      </c>
      <c r="F1789" s="30" t="s">
        <v>1591</v>
      </c>
      <c r="H1789" s="30" t="s">
        <v>1592</v>
      </c>
      <c r="L1789" s="30" t="s">
        <v>5369</v>
      </c>
      <c r="N1789" s="30" t="s">
        <v>5485</v>
      </c>
      <c r="P1789" s="30" t="s">
        <v>5486</v>
      </c>
      <c r="Q1789" t="s">
        <v>619</v>
      </c>
      <c r="R1789" t="s">
        <v>917</v>
      </c>
      <c r="S1789">
        <v>37</v>
      </c>
      <c r="T1789" s="29" t="str">
        <f>HYPERLINK("https://ictv.global/ictv/proposals/2021.063B.R.Peduoviridae.zip","2021.063B.R.Peduoviridae.zip")</f>
        <v>2021.063B.R.Peduoviridae.zip</v>
      </c>
      <c r="U1789" s="29" t="str">
        <f>HYPERLINK("https://ictv.global/taxonomy/taxondetails?taxnode_id=202312858","ictv.global=202312858")</f>
        <v>ictv.global=202312858</v>
      </c>
    </row>
    <row r="1790" spans="1:21">
      <c r="A1790">
        <v>1789</v>
      </c>
      <c r="B1790" s="30" t="s">
        <v>1587</v>
      </c>
      <c r="D1790" s="30" t="s">
        <v>1588</v>
      </c>
      <c r="F1790" s="30" t="s">
        <v>1591</v>
      </c>
      <c r="H1790" s="30" t="s">
        <v>1592</v>
      </c>
      <c r="L1790" s="30" t="s">
        <v>5369</v>
      </c>
      <c r="N1790" s="30" t="s">
        <v>1793</v>
      </c>
      <c r="P1790" s="30" t="s">
        <v>5487</v>
      </c>
      <c r="Q1790" t="s">
        <v>619</v>
      </c>
      <c r="R1790" t="s">
        <v>918</v>
      </c>
      <c r="S1790">
        <v>37</v>
      </c>
      <c r="T1790" s="29" t="str">
        <f>HYPERLINK("https://ictv.global/ictv/proposals/2021.010B.R.Binomial_names.zip","2021.010B.R.Binomial_names.zip")</f>
        <v>2021.010B.R.Binomial_names.zip</v>
      </c>
      <c r="U1790" s="29" t="str">
        <f>HYPERLINK("https://ictv.global/taxonomy/taxondetails?taxnode_id=202307960","ictv.global=202307960")</f>
        <v>ictv.global=202307960</v>
      </c>
    </row>
    <row r="1791" spans="1:21">
      <c r="A1791">
        <v>1790</v>
      </c>
      <c r="B1791" s="30" t="s">
        <v>1587</v>
      </c>
      <c r="D1791" s="30" t="s">
        <v>1588</v>
      </c>
      <c r="F1791" s="30" t="s">
        <v>1591</v>
      </c>
      <c r="H1791" s="30" t="s">
        <v>1592</v>
      </c>
      <c r="L1791" s="30" t="s">
        <v>5369</v>
      </c>
      <c r="N1791" s="30" t="s">
        <v>1794</v>
      </c>
      <c r="P1791" s="30" t="s">
        <v>5488</v>
      </c>
      <c r="Q1791" t="s">
        <v>619</v>
      </c>
      <c r="R1791" t="s">
        <v>918</v>
      </c>
      <c r="S1791">
        <v>37</v>
      </c>
      <c r="T1791" s="29" t="str">
        <f>HYPERLINK("https://ictv.global/ictv/proposals/2021.010B.R.Binomial_names.zip","2021.010B.R.Binomial_names.zip")</f>
        <v>2021.010B.R.Binomial_names.zip</v>
      </c>
      <c r="U1791" s="29" t="str">
        <f>HYPERLINK("https://ictv.global/taxonomy/taxondetails?taxnode_id=202307944","ictv.global=202307944")</f>
        <v>ictv.global=202307944</v>
      </c>
    </row>
    <row r="1792" spans="1:21">
      <c r="A1792">
        <v>1791</v>
      </c>
      <c r="B1792" s="30" t="s">
        <v>1587</v>
      </c>
      <c r="D1792" s="30" t="s">
        <v>1588</v>
      </c>
      <c r="F1792" s="30" t="s">
        <v>1591</v>
      </c>
      <c r="H1792" s="30" t="s">
        <v>1592</v>
      </c>
      <c r="L1792" s="30" t="s">
        <v>5369</v>
      </c>
      <c r="N1792" s="30" t="s">
        <v>1795</v>
      </c>
      <c r="P1792" s="30" t="s">
        <v>5489</v>
      </c>
      <c r="Q1792" t="s">
        <v>619</v>
      </c>
      <c r="R1792" t="s">
        <v>918</v>
      </c>
      <c r="S1792">
        <v>37</v>
      </c>
      <c r="T1792" s="29" t="str">
        <f>HYPERLINK("https://ictv.global/ictv/proposals/2021.010B.R.Binomial_names.zip","2021.010B.R.Binomial_names.zip")</f>
        <v>2021.010B.R.Binomial_names.zip</v>
      </c>
      <c r="U1792" s="29" t="str">
        <f>HYPERLINK("https://ictv.global/taxonomy/taxondetails?taxnode_id=202307966","ictv.global=202307966")</f>
        <v>ictv.global=202307966</v>
      </c>
    </row>
    <row r="1793" spans="1:21">
      <c r="A1793">
        <v>1792</v>
      </c>
      <c r="B1793" s="30" t="s">
        <v>1587</v>
      </c>
      <c r="D1793" s="30" t="s">
        <v>1588</v>
      </c>
      <c r="F1793" s="30" t="s">
        <v>1591</v>
      </c>
      <c r="H1793" s="30" t="s">
        <v>1592</v>
      </c>
      <c r="L1793" s="30" t="s">
        <v>5369</v>
      </c>
      <c r="N1793" s="30" t="s">
        <v>1796</v>
      </c>
      <c r="P1793" s="30" t="s">
        <v>5490</v>
      </c>
      <c r="Q1793" t="s">
        <v>619</v>
      </c>
      <c r="R1793" t="s">
        <v>917</v>
      </c>
      <c r="S1793">
        <v>38</v>
      </c>
      <c r="T1793" s="29" t="str">
        <f>HYPERLINK("https://ictv.global/ictv/proposals/2022.062B.Peduoviridae_6ng_19nsp.zip","2022.062B.Peduoviridae_6ng_19nsp.zip")</f>
        <v>2022.062B.Peduoviridae_6ng_19nsp.zip</v>
      </c>
      <c r="U1793" s="29" t="str">
        <f>HYPERLINK("https://ictv.global/taxonomy/taxondetails?taxnode_id=202314736","ictv.global=202314736")</f>
        <v>ictv.global=202314736</v>
      </c>
    </row>
    <row r="1794" spans="1:21">
      <c r="A1794">
        <v>1793</v>
      </c>
      <c r="B1794" s="30" t="s">
        <v>1587</v>
      </c>
      <c r="D1794" s="30" t="s">
        <v>1588</v>
      </c>
      <c r="F1794" s="30" t="s">
        <v>1591</v>
      </c>
      <c r="H1794" s="30" t="s">
        <v>1592</v>
      </c>
      <c r="L1794" s="30" t="s">
        <v>5369</v>
      </c>
      <c r="N1794" s="30" t="s">
        <v>1796</v>
      </c>
      <c r="P1794" s="30" t="s">
        <v>5491</v>
      </c>
      <c r="Q1794" t="s">
        <v>619</v>
      </c>
      <c r="R1794" t="s">
        <v>918</v>
      </c>
      <c r="S1794">
        <v>37</v>
      </c>
      <c r="T1794" s="29" t="str">
        <f>HYPERLINK("https://ictv.global/ictv/proposals/2021.010B.R.Binomial_names.zip","2021.010B.R.Binomial_names.zip")</f>
        <v>2021.010B.R.Binomial_names.zip</v>
      </c>
      <c r="U1794" s="29" t="str">
        <f>HYPERLINK("https://ictv.global/taxonomy/taxondetails?taxnode_id=202300236","ictv.global=202300236")</f>
        <v>ictv.global=202300236</v>
      </c>
    </row>
    <row r="1795" spans="1:21">
      <c r="A1795">
        <v>1794</v>
      </c>
      <c r="B1795" s="30" t="s">
        <v>1587</v>
      </c>
      <c r="D1795" s="30" t="s">
        <v>1588</v>
      </c>
      <c r="F1795" s="30" t="s">
        <v>1591</v>
      </c>
      <c r="H1795" s="30" t="s">
        <v>1592</v>
      </c>
      <c r="L1795" s="30" t="s">
        <v>5369</v>
      </c>
      <c r="N1795" s="30" t="s">
        <v>1796</v>
      </c>
      <c r="P1795" s="30" t="s">
        <v>5492</v>
      </c>
      <c r="Q1795" t="s">
        <v>619</v>
      </c>
      <c r="R1795" t="s">
        <v>918</v>
      </c>
      <c r="S1795">
        <v>37</v>
      </c>
      <c r="T1795" s="29" t="str">
        <f>HYPERLINK("https://ictv.global/ictv/proposals/2021.010B.R.Binomial_names.zip","2021.010B.R.Binomial_names.zip")</f>
        <v>2021.010B.R.Binomial_names.zip</v>
      </c>
      <c r="U1795" s="29" t="str">
        <f>HYPERLINK("https://ictv.global/taxonomy/taxondetails?taxnode_id=202300234","ictv.global=202300234")</f>
        <v>ictv.global=202300234</v>
      </c>
    </row>
    <row r="1796" spans="1:21">
      <c r="A1796">
        <v>1795</v>
      </c>
      <c r="B1796" s="30" t="s">
        <v>1587</v>
      </c>
      <c r="D1796" s="30" t="s">
        <v>1588</v>
      </c>
      <c r="F1796" s="30" t="s">
        <v>1591</v>
      </c>
      <c r="H1796" s="30" t="s">
        <v>1592</v>
      </c>
      <c r="L1796" s="30" t="s">
        <v>5369</v>
      </c>
      <c r="N1796" s="30" t="s">
        <v>1796</v>
      </c>
      <c r="P1796" s="30" t="s">
        <v>5493</v>
      </c>
      <c r="Q1796" t="s">
        <v>619</v>
      </c>
      <c r="R1796" t="s">
        <v>917</v>
      </c>
      <c r="S1796">
        <v>37</v>
      </c>
      <c r="T1796" s="29" t="str">
        <f>HYPERLINK("https://ictv.global/ictv/proposals/2021.063B.R.Peduoviridae.zip","2021.063B.R.Peduoviridae.zip")</f>
        <v>2021.063B.R.Peduoviridae.zip</v>
      </c>
      <c r="U1796" s="29" t="str">
        <f>HYPERLINK("https://ictv.global/taxonomy/taxondetails?taxnode_id=202312870","ictv.global=202312870")</f>
        <v>ictv.global=202312870</v>
      </c>
    </row>
    <row r="1797" spans="1:21">
      <c r="A1797">
        <v>1796</v>
      </c>
      <c r="B1797" s="30" t="s">
        <v>1587</v>
      </c>
      <c r="D1797" s="30" t="s">
        <v>1588</v>
      </c>
      <c r="F1797" s="30" t="s">
        <v>1591</v>
      </c>
      <c r="H1797" s="30" t="s">
        <v>1592</v>
      </c>
      <c r="L1797" s="30" t="s">
        <v>5369</v>
      </c>
      <c r="N1797" s="30" t="s">
        <v>5494</v>
      </c>
      <c r="P1797" s="30" t="s">
        <v>5495</v>
      </c>
      <c r="Q1797" t="s">
        <v>619</v>
      </c>
      <c r="R1797" t="s">
        <v>917</v>
      </c>
      <c r="S1797">
        <v>38</v>
      </c>
      <c r="T1797" s="29" t="str">
        <f>HYPERLINK("https://ictv.global/ictv/proposals/2022.062B.Peduoviridae_6ng_19nsp.zip","2022.062B.Peduoviridae_6ng_19nsp.zip")</f>
        <v>2022.062B.Peduoviridae_6ng_19nsp.zip</v>
      </c>
      <c r="U1797" s="29" t="str">
        <f>HYPERLINK("https://ictv.global/taxonomy/taxondetails?taxnode_id=202314741","ictv.global=202314741")</f>
        <v>ictv.global=202314741</v>
      </c>
    </row>
    <row r="1798" spans="1:21">
      <c r="A1798">
        <v>1797</v>
      </c>
      <c r="B1798" s="30" t="s">
        <v>1587</v>
      </c>
      <c r="D1798" s="30" t="s">
        <v>1588</v>
      </c>
      <c r="F1798" s="30" t="s">
        <v>1591</v>
      </c>
      <c r="H1798" s="30" t="s">
        <v>1592</v>
      </c>
      <c r="L1798" s="30" t="s">
        <v>5369</v>
      </c>
      <c r="N1798" s="30" t="s">
        <v>5496</v>
      </c>
      <c r="P1798" s="30" t="s">
        <v>5497</v>
      </c>
      <c r="Q1798" t="s">
        <v>619</v>
      </c>
      <c r="R1798" t="s">
        <v>917</v>
      </c>
      <c r="S1798">
        <v>37</v>
      </c>
      <c r="T1798" s="29" t="str">
        <f>HYPERLINK("https://ictv.global/ictv/proposals/2021.063B.R.Peduoviridae.zip","2021.063B.R.Peduoviridae.zip")</f>
        <v>2021.063B.R.Peduoviridae.zip</v>
      </c>
      <c r="U1798" s="29" t="str">
        <f>HYPERLINK("https://ictv.global/taxonomy/taxondetails?taxnode_id=202312860","ictv.global=202312860")</f>
        <v>ictv.global=202312860</v>
      </c>
    </row>
    <row r="1799" spans="1:21">
      <c r="A1799">
        <v>1798</v>
      </c>
      <c r="B1799" s="30" t="s">
        <v>1587</v>
      </c>
      <c r="D1799" s="30" t="s">
        <v>1588</v>
      </c>
      <c r="F1799" s="30" t="s">
        <v>1591</v>
      </c>
      <c r="H1799" s="30" t="s">
        <v>1592</v>
      </c>
      <c r="L1799" s="30" t="s">
        <v>5369</v>
      </c>
      <c r="N1799" s="30" t="s">
        <v>2246</v>
      </c>
      <c r="P1799" s="30" t="s">
        <v>5498</v>
      </c>
      <c r="Q1799" t="s">
        <v>619</v>
      </c>
      <c r="R1799" t="s">
        <v>918</v>
      </c>
      <c r="S1799">
        <v>37</v>
      </c>
      <c r="T1799" s="29" t="str">
        <f>HYPERLINK("https://ictv.global/ictv/proposals/2021.010B.R.Binomial_names.zip","2021.010B.R.Binomial_names.zip")</f>
        <v>2021.010B.R.Binomial_names.zip</v>
      </c>
      <c r="U1799" s="29" t="str">
        <f>HYPERLINK("https://ictv.global/taxonomy/taxondetails?taxnode_id=202311606","ictv.global=202311606")</f>
        <v>ictv.global=202311606</v>
      </c>
    </row>
    <row r="1800" spans="1:21">
      <c r="A1800">
        <v>1799</v>
      </c>
      <c r="B1800" s="30" t="s">
        <v>1587</v>
      </c>
      <c r="D1800" s="30" t="s">
        <v>1588</v>
      </c>
      <c r="F1800" s="30" t="s">
        <v>1591</v>
      </c>
      <c r="H1800" s="30" t="s">
        <v>1592</v>
      </c>
      <c r="L1800" s="30" t="s">
        <v>5369</v>
      </c>
      <c r="N1800" s="30" t="s">
        <v>1797</v>
      </c>
      <c r="P1800" s="30" t="s">
        <v>5499</v>
      </c>
      <c r="Q1800" t="s">
        <v>619</v>
      </c>
      <c r="R1800" t="s">
        <v>918</v>
      </c>
      <c r="S1800">
        <v>37</v>
      </c>
      <c r="T1800" s="29" t="str">
        <f>HYPERLINK("https://ictv.global/ictv/proposals/2021.010B.R.Binomial_names.zip","2021.010B.R.Binomial_names.zip")</f>
        <v>2021.010B.R.Binomial_names.zip</v>
      </c>
      <c r="U1800" s="29" t="str">
        <f>HYPERLINK("https://ictv.global/taxonomy/taxondetails?taxnode_id=202307939","ictv.global=202307939")</f>
        <v>ictv.global=202307939</v>
      </c>
    </row>
    <row r="1801" spans="1:21">
      <c r="A1801">
        <v>1800</v>
      </c>
      <c r="B1801" s="30" t="s">
        <v>1587</v>
      </c>
      <c r="D1801" s="30" t="s">
        <v>1588</v>
      </c>
      <c r="F1801" s="30" t="s">
        <v>1591</v>
      </c>
      <c r="H1801" s="30" t="s">
        <v>1592</v>
      </c>
      <c r="L1801" s="30" t="s">
        <v>5369</v>
      </c>
      <c r="N1801" s="30" t="s">
        <v>5500</v>
      </c>
      <c r="P1801" s="30" t="s">
        <v>5501</v>
      </c>
      <c r="Q1801" t="s">
        <v>619</v>
      </c>
      <c r="R1801" t="s">
        <v>918</v>
      </c>
      <c r="S1801">
        <v>37</v>
      </c>
      <c r="T1801" s="29" t="str">
        <f>HYPERLINK("https://ictv.global/ictv/proposals/2021.063B.R.Peduoviridae.zip","2021.063B.R.Peduoviridae.zip")</f>
        <v>2021.063B.R.Peduoviridae.zip</v>
      </c>
      <c r="U1801" s="29" t="str">
        <f>HYPERLINK("https://ictv.global/taxonomy/taxondetails?taxnode_id=202311600","ictv.global=202311600")</f>
        <v>ictv.global=202311600</v>
      </c>
    </row>
    <row r="1802" spans="1:21">
      <c r="A1802">
        <v>1801</v>
      </c>
      <c r="B1802" s="30" t="s">
        <v>1587</v>
      </c>
      <c r="D1802" s="30" t="s">
        <v>1588</v>
      </c>
      <c r="F1802" s="30" t="s">
        <v>1591</v>
      </c>
      <c r="H1802" s="30" t="s">
        <v>1592</v>
      </c>
      <c r="L1802" s="30" t="s">
        <v>5369</v>
      </c>
      <c r="N1802" s="30" t="s">
        <v>1798</v>
      </c>
      <c r="P1802" s="30" t="s">
        <v>5502</v>
      </c>
      <c r="Q1802" t="s">
        <v>619</v>
      </c>
      <c r="R1802" t="s">
        <v>918</v>
      </c>
      <c r="S1802">
        <v>37</v>
      </c>
      <c r="T1802" s="29" t="str">
        <f>HYPERLINK("https://ictv.global/ictv/proposals/2021.010B.R.Binomial_names.zip","2021.010B.R.Binomial_names.zip")</f>
        <v>2021.010B.R.Binomial_names.zip</v>
      </c>
      <c r="U1802" s="29" t="str">
        <f>HYPERLINK("https://ictv.global/taxonomy/taxondetails?taxnode_id=202307952","ictv.global=202307952")</f>
        <v>ictv.global=202307952</v>
      </c>
    </row>
    <row r="1803" spans="1:21">
      <c r="A1803">
        <v>1802</v>
      </c>
      <c r="B1803" s="30" t="s">
        <v>1587</v>
      </c>
      <c r="D1803" s="30" t="s">
        <v>1588</v>
      </c>
      <c r="F1803" s="30" t="s">
        <v>1591</v>
      </c>
      <c r="H1803" s="30" t="s">
        <v>1592</v>
      </c>
      <c r="L1803" s="30" t="s">
        <v>5369</v>
      </c>
      <c r="N1803" s="30" t="s">
        <v>1798</v>
      </c>
      <c r="P1803" s="30" t="s">
        <v>5503</v>
      </c>
      <c r="Q1803" t="s">
        <v>619</v>
      </c>
      <c r="R1803" t="s">
        <v>918</v>
      </c>
      <c r="S1803">
        <v>37</v>
      </c>
      <c r="T1803" s="29" t="str">
        <f>HYPERLINK("https://ictv.global/ictv/proposals/2021.010B.R.Binomial_names.zip","2021.010B.R.Binomial_names.zip")</f>
        <v>2021.010B.R.Binomial_names.zip</v>
      </c>
      <c r="U1803" s="29" t="str">
        <f>HYPERLINK("https://ictv.global/taxonomy/taxondetails?taxnode_id=202311594","ictv.global=202311594")</f>
        <v>ictv.global=202311594</v>
      </c>
    </row>
    <row r="1804" spans="1:21">
      <c r="A1804">
        <v>1803</v>
      </c>
      <c r="B1804" s="30" t="s">
        <v>1587</v>
      </c>
      <c r="D1804" s="30" t="s">
        <v>1588</v>
      </c>
      <c r="F1804" s="30" t="s">
        <v>1591</v>
      </c>
      <c r="H1804" s="30" t="s">
        <v>1592</v>
      </c>
      <c r="L1804" s="30" t="s">
        <v>5369</v>
      </c>
      <c r="N1804" s="30" t="s">
        <v>1798</v>
      </c>
      <c r="P1804" s="30" t="s">
        <v>5504</v>
      </c>
      <c r="Q1804" t="s">
        <v>619</v>
      </c>
      <c r="R1804" t="s">
        <v>918</v>
      </c>
      <c r="S1804">
        <v>37</v>
      </c>
      <c r="T1804" s="29" t="str">
        <f>HYPERLINK("https://ictv.global/ictv/proposals/2021.010B.R.Binomial_names.zip","2021.010B.R.Binomial_names.zip")</f>
        <v>2021.010B.R.Binomial_names.zip</v>
      </c>
      <c r="U1804" s="29" t="str">
        <f>HYPERLINK("https://ictv.global/taxonomy/taxondetails?taxnode_id=202311592","ictv.global=202311592")</f>
        <v>ictv.global=202311592</v>
      </c>
    </row>
    <row r="1805" spans="1:21">
      <c r="A1805">
        <v>1804</v>
      </c>
      <c r="B1805" s="30" t="s">
        <v>1587</v>
      </c>
      <c r="D1805" s="30" t="s">
        <v>1588</v>
      </c>
      <c r="F1805" s="30" t="s">
        <v>1591</v>
      </c>
      <c r="H1805" s="30" t="s">
        <v>1592</v>
      </c>
      <c r="L1805" s="30" t="s">
        <v>5369</v>
      </c>
      <c r="N1805" s="30" t="s">
        <v>1798</v>
      </c>
      <c r="P1805" s="30" t="s">
        <v>5505</v>
      </c>
      <c r="Q1805" t="s">
        <v>619</v>
      </c>
      <c r="R1805" t="s">
        <v>918</v>
      </c>
      <c r="S1805">
        <v>37</v>
      </c>
      <c r="T1805" s="29" t="str">
        <f>HYPERLINK("https://ictv.global/ictv/proposals/2021.010B.R.Binomial_names.zip","2021.010B.R.Binomial_names.zip")</f>
        <v>2021.010B.R.Binomial_names.zip</v>
      </c>
      <c r="U1805" s="29" t="str">
        <f>HYPERLINK("https://ictv.global/taxonomy/taxondetails?taxnode_id=202311593","ictv.global=202311593")</f>
        <v>ictv.global=202311593</v>
      </c>
    </row>
    <row r="1806" spans="1:21">
      <c r="A1806">
        <v>1805</v>
      </c>
      <c r="B1806" s="30" t="s">
        <v>1587</v>
      </c>
      <c r="D1806" s="30" t="s">
        <v>1588</v>
      </c>
      <c r="F1806" s="30" t="s">
        <v>1591</v>
      </c>
      <c r="H1806" s="30" t="s">
        <v>1592</v>
      </c>
      <c r="L1806" s="30" t="s">
        <v>5369</v>
      </c>
      <c r="N1806" s="30" t="s">
        <v>2247</v>
      </c>
      <c r="P1806" s="30" t="s">
        <v>5506</v>
      </c>
      <c r="Q1806" t="s">
        <v>619</v>
      </c>
      <c r="R1806" t="s">
        <v>918</v>
      </c>
      <c r="S1806">
        <v>37</v>
      </c>
      <c r="T1806" s="29" t="str">
        <f>HYPERLINK("https://ictv.global/ictv/proposals/2021.010B.R.Binomial_names.zip","2021.010B.R.Binomial_names.zip")</f>
        <v>2021.010B.R.Binomial_names.zip</v>
      </c>
      <c r="U1806" s="29" t="str">
        <f>HYPERLINK("https://ictv.global/taxonomy/taxondetails?taxnode_id=202311584","ictv.global=202311584")</f>
        <v>ictv.global=202311584</v>
      </c>
    </row>
    <row r="1807" spans="1:21">
      <c r="A1807">
        <v>1806</v>
      </c>
      <c r="B1807" s="30" t="s">
        <v>1587</v>
      </c>
      <c r="D1807" s="30" t="s">
        <v>1588</v>
      </c>
      <c r="F1807" s="30" t="s">
        <v>1591</v>
      </c>
      <c r="H1807" s="30" t="s">
        <v>1592</v>
      </c>
      <c r="L1807" s="30" t="s">
        <v>5369</v>
      </c>
      <c r="N1807" s="30" t="s">
        <v>5507</v>
      </c>
      <c r="P1807" s="30" t="s">
        <v>5508</v>
      </c>
      <c r="Q1807" t="s">
        <v>619</v>
      </c>
      <c r="R1807" t="s">
        <v>917</v>
      </c>
      <c r="S1807">
        <v>37</v>
      </c>
      <c r="T1807" s="29" t="str">
        <f>HYPERLINK("https://ictv.global/ictv/proposals/2021.063B.R.Peduoviridae.zip","2021.063B.R.Peduoviridae.zip")</f>
        <v>2021.063B.R.Peduoviridae.zip</v>
      </c>
      <c r="U1807" s="29" t="str">
        <f>HYPERLINK("https://ictv.global/taxonomy/taxondetails?taxnode_id=202312862","ictv.global=202312862")</f>
        <v>ictv.global=202312862</v>
      </c>
    </row>
    <row r="1808" spans="1:21">
      <c r="A1808">
        <v>1807</v>
      </c>
      <c r="B1808" s="30" t="s">
        <v>1587</v>
      </c>
      <c r="D1808" s="30" t="s">
        <v>1588</v>
      </c>
      <c r="F1808" s="30" t="s">
        <v>1591</v>
      </c>
      <c r="H1808" s="30" t="s">
        <v>1592</v>
      </c>
      <c r="L1808" s="30" t="s">
        <v>5509</v>
      </c>
      <c r="N1808" s="30" t="s">
        <v>5510</v>
      </c>
      <c r="P1808" s="30" t="s">
        <v>5511</v>
      </c>
      <c r="Q1808" t="s">
        <v>619</v>
      </c>
      <c r="R1808" t="s">
        <v>917</v>
      </c>
      <c r="S1808">
        <v>37</v>
      </c>
      <c r="T1808" s="29" t="str">
        <f>HYPERLINK("https://ictv.global/ictv/proposals/2021.029B.R.Flavophages_9_families.zip","2021.029B.R.Flavophages_9_families.zip")</f>
        <v>2021.029B.R.Flavophages_9_families.zip</v>
      </c>
      <c r="U1808" s="29" t="str">
        <f>HYPERLINK("https://ictv.global/taxonomy/taxondetails?taxnode_id=202313547","ictv.global=202313547")</f>
        <v>ictv.global=202313547</v>
      </c>
    </row>
    <row r="1809" spans="1:21">
      <c r="A1809">
        <v>1808</v>
      </c>
      <c r="B1809" s="30" t="s">
        <v>1587</v>
      </c>
      <c r="D1809" s="30" t="s">
        <v>1588</v>
      </c>
      <c r="F1809" s="30" t="s">
        <v>1591</v>
      </c>
      <c r="H1809" s="30" t="s">
        <v>1592</v>
      </c>
      <c r="L1809" s="30" t="s">
        <v>5509</v>
      </c>
      <c r="N1809" s="30" t="s">
        <v>5510</v>
      </c>
      <c r="P1809" s="30" t="s">
        <v>5512</v>
      </c>
      <c r="Q1809" t="s">
        <v>619</v>
      </c>
      <c r="R1809" t="s">
        <v>917</v>
      </c>
      <c r="S1809">
        <v>37</v>
      </c>
      <c r="T1809" s="29" t="str">
        <f>HYPERLINK("https://ictv.global/ictv/proposals/2021.029B.R.Flavophages_9_families.zip","2021.029B.R.Flavophages_9_families.zip")</f>
        <v>2021.029B.R.Flavophages_9_families.zip</v>
      </c>
      <c r="U1809" s="29" t="str">
        <f>HYPERLINK("https://ictv.global/taxonomy/taxondetails?taxnode_id=202313548","ictv.global=202313548")</f>
        <v>ictv.global=202313548</v>
      </c>
    </row>
    <row r="1810" spans="1:21">
      <c r="A1810">
        <v>1809</v>
      </c>
      <c r="B1810" s="30" t="s">
        <v>1587</v>
      </c>
      <c r="D1810" s="30" t="s">
        <v>1588</v>
      </c>
      <c r="F1810" s="30" t="s">
        <v>1591</v>
      </c>
      <c r="H1810" s="30" t="s">
        <v>1592</v>
      </c>
      <c r="L1810" s="30" t="s">
        <v>5513</v>
      </c>
      <c r="M1810" s="30" t="s">
        <v>5514</v>
      </c>
      <c r="N1810" s="30" t="s">
        <v>5515</v>
      </c>
      <c r="P1810" s="30" t="s">
        <v>5516</v>
      </c>
      <c r="Q1810" t="s">
        <v>619</v>
      </c>
      <c r="R1810" t="s">
        <v>917</v>
      </c>
      <c r="S1810">
        <v>38</v>
      </c>
      <c r="T1810" s="29" t="str">
        <f t="shared" ref="T1810:T1820" si="77">HYPERLINK("https://ictv.global/ictv/proposals/2022.065B.Pootjesviridae_nf.zip","2022.065B.Pootjesviridae_nf.zip")</f>
        <v>2022.065B.Pootjesviridae_nf.zip</v>
      </c>
      <c r="U1810" s="29" t="str">
        <f>HYPERLINK("https://ictv.global/taxonomy/taxondetails?taxnode_id=202314769","ictv.global=202314769")</f>
        <v>ictv.global=202314769</v>
      </c>
    </row>
    <row r="1811" spans="1:21">
      <c r="A1811">
        <v>1810</v>
      </c>
      <c r="B1811" s="30" t="s">
        <v>1587</v>
      </c>
      <c r="D1811" s="30" t="s">
        <v>1588</v>
      </c>
      <c r="F1811" s="30" t="s">
        <v>1591</v>
      </c>
      <c r="H1811" s="30" t="s">
        <v>1592</v>
      </c>
      <c r="L1811" s="30" t="s">
        <v>5513</v>
      </c>
      <c r="M1811" s="30" t="s">
        <v>5514</v>
      </c>
      <c r="N1811" s="30" t="s">
        <v>5515</v>
      </c>
      <c r="P1811" s="30" t="s">
        <v>5517</v>
      </c>
      <c r="Q1811" t="s">
        <v>619</v>
      </c>
      <c r="R1811" t="s">
        <v>917</v>
      </c>
      <c r="S1811">
        <v>38</v>
      </c>
      <c r="T1811" s="29" t="str">
        <f t="shared" si="77"/>
        <v>2022.065B.Pootjesviridae_nf.zip</v>
      </c>
      <c r="U1811" s="29" t="str">
        <f>HYPERLINK("https://ictv.global/taxonomy/taxondetails?taxnode_id=202314768","ictv.global=202314768")</f>
        <v>ictv.global=202314768</v>
      </c>
    </row>
    <row r="1812" spans="1:21">
      <c r="A1812">
        <v>1811</v>
      </c>
      <c r="B1812" s="30" t="s">
        <v>1587</v>
      </c>
      <c r="D1812" s="30" t="s">
        <v>1588</v>
      </c>
      <c r="F1812" s="30" t="s">
        <v>1591</v>
      </c>
      <c r="H1812" s="30" t="s">
        <v>1592</v>
      </c>
      <c r="L1812" s="30" t="s">
        <v>5513</v>
      </c>
      <c r="M1812" s="30" t="s">
        <v>5514</v>
      </c>
      <c r="N1812" s="30" t="s">
        <v>5515</v>
      </c>
      <c r="P1812" s="30" t="s">
        <v>5518</v>
      </c>
      <c r="Q1812" t="s">
        <v>619</v>
      </c>
      <c r="R1812" t="s">
        <v>917</v>
      </c>
      <c r="S1812">
        <v>38</v>
      </c>
      <c r="T1812" s="29" t="str">
        <f t="shared" si="77"/>
        <v>2022.065B.Pootjesviridae_nf.zip</v>
      </c>
      <c r="U1812" s="29" t="str">
        <f>HYPERLINK("https://ictv.global/taxonomy/taxondetails?taxnode_id=202314767","ictv.global=202314767")</f>
        <v>ictv.global=202314767</v>
      </c>
    </row>
    <row r="1813" spans="1:21">
      <c r="A1813">
        <v>1812</v>
      </c>
      <c r="B1813" s="30" t="s">
        <v>1587</v>
      </c>
      <c r="D1813" s="30" t="s">
        <v>1588</v>
      </c>
      <c r="F1813" s="30" t="s">
        <v>1591</v>
      </c>
      <c r="H1813" s="30" t="s">
        <v>1592</v>
      </c>
      <c r="L1813" s="30" t="s">
        <v>5513</v>
      </c>
      <c r="N1813" s="30" t="s">
        <v>5519</v>
      </c>
      <c r="P1813" s="30" t="s">
        <v>5520</v>
      </c>
      <c r="Q1813" t="s">
        <v>619</v>
      </c>
      <c r="R1813" t="s">
        <v>917</v>
      </c>
      <c r="S1813">
        <v>38</v>
      </c>
      <c r="T1813" s="29" t="str">
        <f t="shared" si="77"/>
        <v>2022.065B.Pootjesviridae_nf.zip</v>
      </c>
      <c r="U1813" s="29" t="str">
        <f>HYPERLINK("https://ictv.global/taxonomy/taxondetails?taxnode_id=202314775","ictv.global=202314775")</f>
        <v>ictv.global=202314775</v>
      </c>
    </row>
    <row r="1814" spans="1:21">
      <c r="A1814">
        <v>1813</v>
      </c>
      <c r="B1814" s="30" t="s">
        <v>1587</v>
      </c>
      <c r="D1814" s="30" t="s">
        <v>1588</v>
      </c>
      <c r="F1814" s="30" t="s">
        <v>1591</v>
      </c>
      <c r="H1814" s="30" t="s">
        <v>1592</v>
      </c>
      <c r="L1814" s="30" t="s">
        <v>5513</v>
      </c>
      <c r="N1814" s="30" t="s">
        <v>5521</v>
      </c>
      <c r="P1814" s="30" t="s">
        <v>5522</v>
      </c>
      <c r="Q1814" t="s">
        <v>619</v>
      </c>
      <c r="R1814" t="s">
        <v>920</v>
      </c>
      <c r="S1814">
        <v>38</v>
      </c>
      <c r="T1814" s="29" t="str">
        <f t="shared" si="77"/>
        <v>2022.065B.Pootjesviridae_nf.zip</v>
      </c>
      <c r="U1814" s="29" t="str">
        <f>HYPERLINK("https://ictv.global/taxonomy/taxondetails?taxnode_id=202312785","ictv.global=202312785")</f>
        <v>ictv.global=202312785</v>
      </c>
    </row>
    <row r="1815" spans="1:21">
      <c r="A1815">
        <v>1814</v>
      </c>
      <c r="B1815" s="30" t="s">
        <v>1587</v>
      </c>
      <c r="D1815" s="30" t="s">
        <v>1588</v>
      </c>
      <c r="F1815" s="30" t="s">
        <v>1591</v>
      </c>
      <c r="H1815" s="30" t="s">
        <v>1592</v>
      </c>
      <c r="L1815" s="30" t="s">
        <v>5513</v>
      </c>
      <c r="N1815" s="30" t="s">
        <v>5523</v>
      </c>
      <c r="P1815" s="30" t="s">
        <v>5524</v>
      </c>
      <c r="Q1815" t="s">
        <v>619</v>
      </c>
      <c r="R1815" t="s">
        <v>917</v>
      </c>
      <c r="S1815">
        <v>38</v>
      </c>
      <c r="T1815" s="29" t="str">
        <f t="shared" si="77"/>
        <v>2022.065B.Pootjesviridae_nf.zip</v>
      </c>
      <c r="U1815" s="29" t="str">
        <f>HYPERLINK("https://ictv.global/taxonomy/taxondetails?taxnode_id=202314772","ictv.global=202314772")</f>
        <v>ictv.global=202314772</v>
      </c>
    </row>
    <row r="1816" spans="1:21">
      <c r="A1816">
        <v>1815</v>
      </c>
      <c r="B1816" s="30" t="s">
        <v>1587</v>
      </c>
      <c r="D1816" s="30" t="s">
        <v>1588</v>
      </c>
      <c r="F1816" s="30" t="s">
        <v>1591</v>
      </c>
      <c r="H1816" s="30" t="s">
        <v>1592</v>
      </c>
      <c r="L1816" s="30" t="s">
        <v>5513</v>
      </c>
      <c r="N1816" s="30" t="s">
        <v>5523</v>
      </c>
      <c r="P1816" s="30" t="s">
        <v>5525</v>
      </c>
      <c r="Q1816" t="s">
        <v>619</v>
      </c>
      <c r="R1816" t="s">
        <v>917</v>
      </c>
      <c r="S1816">
        <v>38</v>
      </c>
      <c r="T1816" s="29" t="str">
        <f t="shared" si="77"/>
        <v>2022.065B.Pootjesviridae_nf.zip</v>
      </c>
      <c r="U1816" s="29" t="str">
        <f>HYPERLINK("https://ictv.global/taxonomy/taxondetails?taxnode_id=202314771","ictv.global=202314771")</f>
        <v>ictv.global=202314771</v>
      </c>
    </row>
    <row r="1817" spans="1:21">
      <c r="A1817">
        <v>1816</v>
      </c>
      <c r="B1817" s="30" t="s">
        <v>1587</v>
      </c>
      <c r="D1817" s="30" t="s">
        <v>1588</v>
      </c>
      <c r="F1817" s="30" t="s">
        <v>1591</v>
      </c>
      <c r="H1817" s="30" t="s">
        <v>1592</v>
      </c>
      <c r="L1817" s="30" t="s">
        <v>5513</v>
      </c>
      <c r="N1817" s="30" t="s">
        <v>5523</v>
      </c>
      <c r="P1817" s="30" t="s">
        <v>5526</v>
      </c>
      <c r="Q1817" t="s">
        <v>619</v>
      </c>
      <c r="R1817" t="s">
        <v>917</v>
      </c>
      <c r="S1817">
        <v>38</v>
      </c>
      <c r="T1817" s="29" t="str">
        <f t="shared" si="77"/>
        <v>2022.065B.Pootjesviridae_nf.zip</v>
      </c>
      <c r="U1817" s="29" t="str">
        <f>HYPERLINK("https://ictv.global/taxonomy/taxondetails?taxnode_id=202314770","ictv.global=202314770")</f>
        <v>ictv.global=202314770</v>
      </c>
    </row>
    <row r="1818" spans="1:21">
      <c r="A1818">
        <v>1817</v>
      </c>
      <c r="B1818" s="30" t="s">
        <v>1587</v>
      </c>
      <c r="D1818" s="30" t="s">
        <v>1588</v>
      </c>
      <c r="F1818" s="30" t="s">
        <v>1591</v>
      </c>
      <c r="H1818" s="30" t="s">
        <v>1592</v>
      </c>
      <c r="L1818" s="30" t="s">
        <v>5513</v>
      </c>
      <c r="N1818" s="30" t="s">
        <v>5523</v>
      </c>
      <c r="P1818" s="30" t="s">
        <v>5527</v>
      </c>
      <c r="Q1818" t="s">
        <v>619</v>
      </c>
      <c r="R1818" t="s">
        <v>917</v>
      </c>
      <c r="S1818">
        <v>38</v>
      </c>
      <c r="T1818" s="29" t="str">
        <f t="shared" si="77"/>
        <v>2022.065B.Pootjesviridae_nf.zip</v>
      </c>
      <c r="U1818" s="29" t="str">
        <f>HYPERLINK("https://ictv.global/taxonomy/taxondetails?taxnode_id=202314774","ictv.global=202314774")</f>
        <v>ictv.global=202314774</v>
      </c>
    </row>
    <row r="1819" spans="1:21">
      <c r="A1819">
        <v>1818</v>
      </c>
      <c r="B1819" s="30" t="s">
        <v>1587</v>
      </c>
      <c r="D1819" s="30" t="s">
        <v>1588</v>
      </c>
      <c r="F1819" s="30" t="s">
        <v>1591</v>
      </c>
      <c r="H1819" s="30" t="s">
        <v>1592</v>
      </c>
      <c r="L1819" s="30" t="s">
        <v>5513</v>
      </c>
      <c r="N1819" s="30" t="s">
        <v>5523</v>
      </c>
      <c r="P1819" s="30" t="s">
        <v>5528</v>
      </c>
      <c r="Q1819" t="s">
        <v>619</v>
      </c>
      <c r="R1819" t="s">
        <v>917</v>
      </c>
      <c r="S1819">
        <v>38</v>
      </c>
      <c r="T1819" s="29" t="str">
        <f t="shared" si="77"/>
        <v>2022.065B.Pootjesviridae_nf.zip</v>
      </c>
      <c r="U1819" s="29" t="str">
        <f>HYPERLINK("https://ictv.global/taxonomy/taxondetails?taxnode_id=202314773","ictv.global=202314773")</f>
        <v>ictv.global=202314773</v>
      </c>
    </row>
    <row r="1820" spans="1:21">
      <c r="A1820">
        <v>1819</v>
      </c>
      <c r="B1820" s="30" t="s">
        <v>1587</v>
      </c>
      <c r="D1820" s="30" t="s">
        <v>1588</v>
      </c>
      <c r="F1820" s="30" t="s">
        <v>1591</v>
      </c>
      <c r="H1820" s="30" t="s">
        <v>1592</v>
      </c>
      <c r="L1820" s="30" t="s">
        <v>5513</v>
      </c>
      <c r="N1820" s="30" t="s">
        <v>5529</v>
      </c>
      <c r="P1820" s="30" t="s">
        <v>5530</v>
      </c>
      <c r="Q1820" t="s">
        <v>619</v>
      </c>
      <c r="R1820" t="s">
        <v>917</v>
      </c>
      <c r="S1820">
        <v>38</v>
      </c>
      <c r="T1820" s="29" t="str">
        <f t="shared" si="77"/>
        <v>2022.065B.Pootjesviridae_nf.zip</v>
      </c>
      <c r="U1820" s="29" t="str">
        <f>HYPERLINK("https://ictv.global/taxonomy/taxondetails?taxnode_id=202314776","ictv.global=202314776")</f>
        <v>ictv.global=202314776</v>
      </c>
    </row>
    <row r="1821" spans="1:21">
      <c r="A1821">
        <v>1820</v>
      </c>
      <c r="B1821" s="30" t="s">
        <v>1587</v>
      </c>
      <c r="D1821" s="30" t="s">
        <v>1588</v>
      </c>
      <c r="F1821" s="30" t="s">
        <v>1591</v>
      </c>
      <c r="H1821" s="30" t="s">
        <v>1592</v>
      </c>
      <c r="L1821" s="30" t="s">
        <v>5531</v>
      </c>
      <c r="N1821" s="30" t="s">
        <v>5532</v>
      </c>
      <c r="P1821" s="30" t="s">
        <v>5533</v>
      </c>
      <c r="Q1821" t="s">
        <v>619</v>
      </c>
      <c r="R1821" t="s">
        <v>917</v>
      </c>
      <c r="S1821">
        <v>38</v>
      </c>
      <c r="T1821" s="29" t="str">
        <f>HYPERLINK("https://ictv.global/ictv/proposals/2022.004A.Caudoviricetes_3nf.zip","2022.004A.Caudoviricetes_3nf.zip")</f>
        <v>2022.004A.Caudoviricetes_3nf.zip</v>
      </c>
      <c r="U1821" s="29" t="str">
        <f>HYPERLINK("https://ictv.global/taxonomy/taxondetails?taxnode_id=202314334","ictv.global=202314334")</f>
        <v>ictv.global=202314334</v>
      </c>
    </row>
    <row r="1822" spans="1:21">
      <c r="A1822">
        <v>1821</v>
      </c>
      <c r="B1822" s="30" t="s">
        <v>1587</v>
      </c>
      <c r="D1822" s="30" t="s">
        <v>1588</v>
      </c>
      <c r="F1822" s="30" t="s">
        <v>1591</v>
      </c>
      <c r="H1822" s="30" t="s">
        <v>1592</v>
      </c>
      <c r="L1822" s="30" t="s">
        <v>2321</v>
      </c>
      <c r="M1822" s="30" t="s">
        <v>1861</v>
      </c>
      <c r="N1822" s="30" t="s">
        <v>1862</v>
      </c>
      <c r="P1822" s="30" t="s">
        <v>5534</v>
      </c>
      <c r="Q1822" t="s">
        <v>619</v>
      </c>
      <c r="R1822" t="s">
        <v>918</v>
      </c>
      <c r="S1822">
        <v>37</v>
      </c>
      <c r="T1822" s="29" t="str">
        <f>HYPERLINK("https://ictv.global/ictv/proposals/2021.010B.R.Binomial_names.zip","2021.010B.R.Binomial_names.zip")</f>
        <v>2021.010B.R.Binomial_names.zip</v>
      </c>
      <c r="U1822" s="29" t="str">
        <f>HYPERLINK("https://ictv.global/taxonomy/taxondetails?taxnode_id=202308003","ictv.global=202308003")</f>
        <v>ictv.global=202308003</v>
      </c>
    </row>
    <row r="1823" spans="1:21">
      <c r="A1823">
        <v>1822</v>
      </c>
      <c r="B1823" s="30" t="s">
        <v>1587</v>
      </c>
      <c r="D1823" s="30" t="s">
        <v>1588</v>
      </c>
      <c r="F1823" s="30" t="s">
        <v>1591</v>
      </c>
      <c r="H1823" s="30" t="s">
        <v>1592</v>
      </c>
      <c r="L1823" s="30" t="s">
        <v>2321</v>
      </c>
      <c r="M1823" s="30" t="s">
        <v>1861</v>
      </c>
      <c r="N1823" s="30" t="s">
        <v>1862</v>
      </c>
      <c r="P1823" s="30" t="s">
        <v>5535</v>
      </c>
      <c r="Q1823" t="s">
        <v>619</v>
      </c>
      <c r="R1823" t="s">
        <v>917</v>
      </c>
      <c r="S1823">
        <v>38</v>
      </c>
      <c r="T1823" s="29" t="str">
        <f>HYPERLINK("https://ictv.global/ictv/proposals/2022.068B.Rakietenvirinae_3nsp.zip","2022.068B.Rakietenvirinae_3nsp.zip")</f>
        <v>2022.068B.Rakietenvirinae_3nsp.zip</v>
      </c>
      <c r="U1823" s="29" t="str">
        <f>HYPERLINK("https://ictv.global/taxonomy/taxondetails?taxnode_id=202314790","ictv.global=202314790")</f>
        <v>ictv.global=202314790</v>
      </c>
    </row>
    <row r="1824" spans="1:21">
      <c r="A1824">
        <v>1823</v>
      </c>
      <c r="B1824" s="30" t="s">
        <v>1587</v>
      </c>
      <c r="D1824" s="30" t="s">
        <v>1588</v>
      </c>
      <c r="F1824" s="30" t="s">
        <v>1591</v>
      </c>
      <c r="H1824" s="30" t="s">
        <v>1592</v>
      </c>
      <c r="L1824" s="30" t="s">
        <v>2321</v>
      </c>
      <c r="M1824" s="30" t="s">
        <v>1861</v>
      </c>
      <c r="N1824" s="30" t="s">
        <v>1862</v>
      </c>
      <c r="P1824" s="30" t="s">
        <v>5536</v>
      </c>
      <c r="Q1824" t="s">
        <v>619</v>
      </c>
      <c r="R1824" t="s">
        <v>917</v>
      </c>
      <c r="S1824">
        <v>38</v>
      </c>
      <c r="T1824" s="29" t="str">
        <f>HYPERLINK("https://ictv.global/ictv/proposals/2022.068B.Rakietenvirinae_3nsp.zip","2022.068B.Rakietenvirinae_3nsp.zip")</f>
        <v>2022.068B.Rakietenvirinae_3nsp.zip</v>
      </c>
      <c r="U1824" s="29" t="str">
        <f>HYPERLINK("https://ictv.global/taxonomy/taxondetails?taxnode_id=202314791","ictv.global=202314791")</f>
        <v>ictv.global=202314791</v>
      </c>
    </row>
    <row r="1825" spans="1:21">
      <c r="A1825">
        <v>1824</v>
      </c>
      <c r="B1825" s="30" t="s">
        <v>1587</v>
      </c>
      <c r="D1825" s="30" t="s">
        <v>1588</v>
      </c>
      <c r="F1825" s="30" t="s">
        <v>1591</v>
      </c>
      <c r="H1825" s="30" t="s">
        <v>1592</v>
      </c>
      <c r="L1825" s="30" t="s">
        <v>2321</v>
      </c>
      <c r="M1825" s="30" t="s">
        <v>1861</v>
      </c>
      <c r="N1825" s="30" t="s">
        <v>1862</v>
      </c>
      <c r="P1825" s="30" t="s">
        <v>5537</v>
      </c>
      <c r="Q1825" t="s">
        <v>619</v>
      </c>
      <c r="R1825" t="s">
        <v>918</v>
      </c>
      <c r="S1825">
        <v>37</v>
      </c>
      <c r="T1825" s="29" t="str">
        <f>HYPERLINK("https://ictv.global/ictv/proposals/2021.010B.R.Binomial_names.zip","2021.010B.R.Binomial_names.zip")</f>
        <v>2021.010B.R.Binomial_names.zip</v>
      </c>
      <c r="U1825" s="29" t="str">
        <f>HYPERLINK("https://ictv.global/taxonomy/taxondetails?taxnode_id=202308004","ictv.global=202308004")</f>
        <v>ictv.global=202308004</v>
      </c>
    </row>
    <row r="1826" spans="1:21">
      <c r="A1826">
        <v>1825</v>
      </c>
      <c r="B1826" s="30" t="s">
        <v>1587</v>
      </c>
      <c r="D1826" s="30" t="s">
        <v>1588</v>
      </c>
      <c r="F1826" s="30" t="s">
        <v>1591</v>
      </c>
      <c r="H1826" s="30" t="s">
        <v>1592</v>
      </c>
      <c r="L1826" s="30" t="s">
        <v>2321</v>
      </c>
      <c r="M1826" s="30" t="s">
        <v>1861</v>
      </c>
      <c r="N1826" s="30" t="s">
        <v>1407</v>
      </c>
      <c r="P1826" s="30" t="s">
        <v>5538</v>
      </c>
      <c r="Q1826" t="s">
        <v>619</v>
      </c>
      <c r="R1826" t="s">
        <v>918</v>
      </c>
      <c r="S1826">
        <v>37</v>
      </c>
      <c r="T1826" s="29" t="str">
        <f>HYPERLINK("https://ictv.global/ictv/proposals/2021.010B.R.Binomial_names.zip","2021.010B.R.Binomial_names.zip")</f>
        <v>2021.010B.R.Binomial_names.zip</v>
      </c>
      <c r="U1826" s="29" t="str">
        <f>HYPERLINK("https://ictv.global/taxonomy/taxondetails?taxnode_id=202308011","ictv.global=202308011")</f>
        <v>ictv.global=202308011</v>
      </c>
    </row>
    <row r="1827" spans="1:21">
      <c r="A1827">
        <v>1826</v>
      </c>
      <c r="B1827" s="30" t="s">
        <v>1587</v>
      </c>
      <c r="D1827" s="30" t="s">
        <v>1588</v>
      </c>
      <c r="F1827" s="30" t="s">
        <v>1591</v>
      </c>
      <c r="H1827" s="30" t="s">
        <v>1592</v>
      </c>
      <c r="L1827" s="30" t="s">
        <v>2321</v>
      </c>
      <c r="M1827" s="30" t="s">
        <v>1861</v>
      </c>
      <c r="N1827" s="30" t="s">
        <v>1407</v>
      </c>
      <c r="P1827" s="30" t="s">
        <v>5539</v>
      </c>
      <c r="Q1827" t="s">
        <v>619</v>
      </c>
      <c r="R1827" t="s">
        <v>918</v>
      </c>
      <c r="S1827">
        <v>37</v>
      </c>
      <c r="T1827" s="29" t="str">
        <f>HYPERLINK("https://ictv.global/ictv/proposals/2021.010B.R.Binomial_names.zip","2021.010B.R.Binomial_names.zip")</f>
        <v>2021.010B.R.Binomial_names.zip</v>
      </c>
      <c r="U1827" s="29" t="str">
        <f>HYPERLINK("https://ictv.global/taxonomy/taxondetails?taxnode_id=202308009","ictv.global=202308009")</f>
        <v>ictv.global=202308009</v>
      </c>
    </row>
    <row r="1828" spans="1:21">
      <c r="A1828">
        <v>1827</v>
      </c>
      <c r="B1828" s="30" t="s">
        <v>1587</v>
      </c>
      <c r="D1828" s="30" t="s">
        <v>1588</v>
      </c>
      <c r="F1828" s="30" t="s">
        <v>1591</v>
      </c>
      <c r="H1828" s="30" t="s">
        <v>1592</v>
      </c>
      <c r="L1828" s="30" t="s">
        <v>2321</v>
      </c>
      <c r="M1828" s="30" t="s">
        <v>1861</v>
      </c>
      <c r="N1828" s="30" t="s">
        <v>1407</v>
      </c>
      <c r="P1828" s="30" t="s">
        <v>5540</v>
      </c>
      <c r="Q1828" t="s">
        <v>619</v>
      </c>
      <c r="R1828" t="s">
        <v>918</v>
      </c>
      <c r="S1828">
        <v>37</v>
      </c>
      <c r="T1828" s="29" t="str">
        <f>HYPERLINK("https://ictv.global/ictv/proposals/2021.010B.R.Binomial_names.zip","2021.010B.R.Binomial_names.zip")</f>
        <v>2021.010B.R.Binomial_names.zip</v>
      </c>
      <c r="U1828" s="29" t="str">
        <f>HYPERLINK("https://ictv.global/taxonomy/taxondetails?taxnode_id=202308015","ictv.global=202308015")</f>
        <v>ictv.global=202308015</v>
      </c>
    </row>
    <row r="1829" spans="1:21">
      <c r="A1829">
        <v>1828</v>
      </c>
      <c r="B1829" s="30" t="s">
        <v>1587</v>
      </c>
      <c r="D1829" s="30" t="s">
        <v>1588</v>
      </c>
      <c r="F1829" s="30" t="s">
        <v>1591</v>
      </c>
      <c r="H1829" s="30" t="s">
        <v>1592</v>
      </c>
      <c r="L1829" s="30" t="s">
        <v>2321</v>
      </c>
      <c r="M1829" s="30" t="s">
        <v>1861</v>
      </c>
      <c r="N1829" s="30" t="s">
        <v>1407</v>
      </c>
      <c r="P1829" s="30" t="s">
        <v>5541</v>
      </c>
      <c r="Q1829" t="s">
        <v>619</v>
      </c>
      <c r="R1829" t="s">
        <v>917</v>
      </c>
      <c r="S1829">
        <v>37</v>
      </c>
      <c r="T1829" s="29" t="str">
        <f>HYPERLINK("https://ictv.global/ictv/proposals/2021.072B.R.Rosenblumvirus.zip","2021.072B.R.Rosenblumvirus.zip")</f>
        <v>2021.072B.R.Rosenblumvirus.zip</v>
      </c>
      <c r="U1829" s="29" t="str">
        <f>HYPERLINK("https://ictv.global/taxonomy/taxondetails?taxnode_id=202312900","ictv.global=202312900")</f>
        <v>ictv.global=202312900</v>
      </c>
    </row>
    <row r="1830" spans="1:21">
      <c r="A1830">
        <v>1829</v>
      </c>
      <c r="B1830" s="30" t="s">
        <v>1587</v>
      </c>
      <c r="D1830" s="30" t="s">
        <v>1588</v>
      </c>
      <c r="F1830" s="30" t="s">
        <v>1591</v>
      </c>
      <c r="H1830" s="30" t="s">
        <v>1592</v>
      </c>
      <c r="L1830" s="30" t="s">
        <v>2321</v>
      </c>
      <c r="M1830" s="30" t="s">
        <v>1861</v>
      </c>
      <c r="N1830" s="30" t="s">
        <v>1407</v>
      </c>
      <c r="P1830" s="30" t="s">
        <v>5542</v>
      </c>
      <c r="Q1830" t="s">
        <v>619</v>
      </c>
      <c r="R1830" t="s">
        <v>918</v>
      </c>
      <c r="S1830">
        <v>37</v>
      </c>
      <c r="T1830" s="29" t="str">
        <f>HYPERLINK("https://ictv.global/ictv/proposals/2021.010B.R.Binomial_names.zip","2021.010B.R.Binomial_names.zip")</f>
        <v>2021.010B.R.Binomial_names.zip</v>
      </c>
      <c r="U1830" s="29" t="str">
        <f>HYPERLINK("https://ictv.global/taxonomy/taxondetails?taxnode_id=202308008","ictv.global=202308008")</f>
        <v>ictv.global=202308008</v>
      </c>
    </row>
    <row r="1831" spans="1:21">
      <c r="A1831">
        <v>1830</v>
      </c>
      <c r="B1831" s="30" t="s">
        <v>1587</v>
      </c>
      <c r="D1831" s="30" t="s">
        <v>1588</v>
      </c>
      <c r="F1831" s="30" t="s">
        <v>1591</v>
      </c>
      <c r="H1831" s="30" t="s">
        <v>1592</v>
      </c>
      <c r="L1831" s="30" t="s">
        <v>2321</v>
      </c>
      <c r="M1831" s="30" t="s">
        <v>1861</v>
      </c>
      <c r="N1831" s="30" t="s">
        <v>1407</v>
      </c>
      <c r="P1831" s="30" t="s">
        <v>5543</v>
      </c>
      <c r="Q1831" t="s">
        <v>619</v>
      </c>
      <c r="R1831" t="s">
        <v>917</v>
      </c>
      <c r="S1831">
        <v>38</v>
      </c>
      <c r="T1831" s="29" t="str">
        <f>HYPERLINK("https://ictv.global/ictv/proposals/2022.068B.Rakietenvirinae_3nsp.zip","2022.068B.Rakietenvirinae_3nsp.zip")</f>
        <v>2022.068B.Rakietenvirinae_3nsp.zip</v>
      </c>
      <c r="U1831" s="29" t="str">
        <f>HYPERLINK("https://ictv.global/taxonomy/taxondetails?taxnode_id=202314789","ictv.global=202314789")</f>
        <v>ictv.global=202314789</v>
      </c>
    </row>
    <row r="1832" spans="1:21">
      <c r="A1832">
        <v>1831</v>
      </c>
      <c r="B1832" s="30" t="s">
        <v>1587</v>
      </c>
      <c r="D1832" s="30" t="s">
        <v>1588</v>
      </c>
      <c r="F1832" s="30" t="s">
        <v>1591</v>
      </c>
      <c r="H1832" s="30" t="s">
        <v>1592</v>
      </c>
      <c r="L1832" s="30" t="s">
        <v>2321</v>
      </c>
      <c r="M1832" s="30" t="s">
        <v>1861</v>
      </c>
      <c r="N1832" s="30" t="s">
        <v>1407</v>
      </c>
      <c r="P1832" s="30" t="s">
        <v>5544</v>
      </c>
      <c r="Q1832" t="s">
        <v>619</v>
      </c>
      <c r="R1832" t="s">
        <v>917</v>
      </c>
      <c r="S1832">
        <v>37</v>
      </c>
      <c r="T1832" s="29" t="str">
        <f>HYPERLINK("https://ictv.global/ictv/proposals/2021.072B.R.Rosenblumvirus.zip","2021.072B.R.Rosenblumvirus.zip")</f>
        <v>2021.072B.R.Rosenblumvirus.zip</v>
      </c>
      <c r="U1832" s="29" t="str">
        <f>HYPERLINK("https://ictv.global/taxonomy/taxondetails?taxnode_id=202312901","ictv.global=202312901")</f>
        <v>ictv.global=202312901</v>
      </c>
    </row>
    <row r="1833" spans="1:21">
      <c r="A1833">
        <v>1832</v>
      </c>
      <c r="B1833" s="30" t="s">
        <v>1587</v>
      </c>
      <c r="D1833" s="30" t="s">
        <v>1588</v>
      </c>
      <c r="F1833" s="30" t="s">
        <v>1591</v>
      </c>
      <c r="H1833" s="30" t="s">
        <v>1592</v>
      </c>
      <c r="L1833" s="30" t="s">
        <v>2321</v>
      </c>
      <c r="M1833" s="30" t="s">
        <v>1861</v>
      </c>
      <c r="N1833" s="30" t="s">
        <v>1407</v>
      </c>
      <c r="P1833" s="30" t="s">
        <v>5545</v>
      </c>
      <c r="Q1833" t="s">
        <v>619</v>
      </c>
      <c r="R1833" t="s">
        <v>918</v>
      </c>
      <c r="S1833">
        <v>37</v>
      </c>
      <c r="T1833" s="29" t="str">
        <f>HYPERLINK("https://ictv.global/ictv/proposals/2021.010B.R.Binomial_names.zip","2021.010B.R.Binomial_names.zip")</f>
        <v>2021.010B.R.Binomial_names.zip</v>
      </c>
      <c r="U1833" s="29" t="str">
        <f>HYPERLINK("https://ictv.global/taxonomy/taxondetails?taxnode_id=202308005","ictv.global=202308005")</f>
        <v>ictv.global=202308005</v>
      </c>
    </row>
    <row r="1834" spans="1:21">
      <c r="A1834">
        <v>1833</v>
      </c>
      <c r="B1834" s="30" t="s">
        <v>1587</v>
      </c>
      <c r="D1834" s="30" t="s">
        <v>1588</v>
      </c>
      <c r="F1834" s="30" t="s">
        <v>1591</v>
      </c>
      <c r="H1834" s="30" t="s">
        <v>1592</v>
      </c>
      <c r="L1834" s="30" t="s">
        <v>2321</v>
      </c>
      <c r="M1834" s="30" t="s">
        <v>1861</v>
      </c>
      <c r="N1834" s="30" t="s">
        <v>1407</v>
      </c>
      <c r="P1834" s="30" t="s">
        <v>5546</v>
      </c>
      <c r="Q1834" t="s">
        <v>619</v>
      </c>
      <c r="R1834" t="s">
        <v>917</v>
      </c>
      <c r="S1834">
        <v>37</v>
      </c>
      <c r="T1834" s="29" t="str">
        <f>HYPERLINK("https://ictv.global/ictv/proposals/2021.072B.R.Rosenblumvirus.zip","2021.072B.R.Rosenblumvirus.zip")</f>
        <v>2021.072B.R.Rosenblumvirus.zip</v>
      </c>
      <c r="U1834" s="29" t="str">
        <f>HYPERLINK("https://ictv.global/taxonomy/taxondetails?taxnode_id=202312899","ictv.global=202312899")</f>
        <v>ictv.global=202312899</v>
      </c>
    </row>
    <row r="1835" spans="1:21">
      <c r="A1835">
        <v>1834</v>
      </c>
      <c r="B1835" s="30" t="s">
        <v>1587</v>
      </c>
      <c r="D1835" s="30" t="s">
        <v>1588</v>
      </c>
      <c r="F1835" s="30" t="s">
        <v>1591</v>
      </c>
      <c r="H1835" s="30" t="s">
        <v>1592</v>
      </c>
      <c r="L1835" s="30" t="s">
        <v>2321</v>
      </c>
      <c r="M1835" s="30" t="s">
        <v>1861</v>
      </c>
      <c r="N1835" s="30" t="s">
        <v>1407</v>
      </c>
      <c r="P1835" s="30" t="s">
        <v>5547</v>
      </c>
      <c r="Q1835" t="s">
        <v>619</v>
      </c>
      <c r="R1835" t="s">
        <v>918</v>
      </c>
      <c r="S1835">
        <v>37</v>
      </c>
      <c r="T1835" s="29" t="str">
        <f>HYPERLINK("https://ictv.global/ictv/proposals/2021.010B.R.Binomial_names.zip","2021.010B.R.Binomial_names.zip")</f>
        <v>2021.010B.R.Binomial_names.zip</v>
      </c>
      <c r="U1835" s="29" t="str">
        <f>HYPERLINK("https://ictv.global/taxonomy/taxondetails?taxnode_id=202308013","ictv.global=202308013")</f>
        <v>ictv.global=202308013</v>
      </c>
    </row>
    <row r="1836" spans="1:21">
      <c r="A1836">
        <v>1835</v>
      </c>
      <c r="B1836" s="30" t="s">
        <v>1587</v>
      </c>
      <c r="D1836" s="30" t="s">
        <v>1588</v>
      </c>
      <c r="F1836" s="30" t="s">
        <v>1591</v>
      </c>
      <c r="H1836" s="30" t="s">
        <v>1592</v>
      </c>
      <c r="L1836" s="30" t="s">
        <v>2321</v>
      </c>
      <c r="M1836" s="30" t="s">
        <v>1861</v>
      </c>
      <c r="N1836" s="30" t="s">
        <v>1407</v>
      </c>
      <c r="P1836" s="30" t="s">
        <v>5548</v>
      </c>
      <c r="Q1836" t="s">
        <v>619</v>
      </c>
      <c r="R1836" t="s">
        <v>918</v>
      </c>
      <c r="S1836">
        <v>37</v>
      </c>
      <c r="T1836" s="29" t="str">
        <f>HYPERLINK("https://ictv.global/ictv/proposals/2021.010B.R.Binomial_names.zip","2021.010B.R.Binomial_names.zip")</f>
        <v>2021.010B.R.Binomial_names.zip</v>
      </c>
      <c r="U1836" s="29" t="str">
        <f>HYPERLINK("https://ictv.global/taxonomy/taxondetails?taxnode_id=202308006","ictv.global=202308006")</f>
        <v>ictv.global=202308006</v>
      </c>
    </row>
    <row r="1837" spans="1:21">
      <c r="A1837">
        <v>1836</v>
      </c>
      <c r="B1837" s="30" t="s">
        <v>1587</v>
      </c>
      <c r="D1837" s="30" t="s">
        <v>1588</v>
      </c>
      <c r="F1837" s="30" t="s">
        <v>1591</v>
      </c>
      <c r="H1837" s="30" t="s">
        <v>1592</v>
      </c>
      <c r="L1837" s="30" t="s">
        <v>2321</v>
      </c>
      <c r="M1837" s="30" t="s">
        <v>1861</v>
      </c>
      <c r="N1837" s="30" t="s">
        <v>1407</v>
      </c>
      <c r="P1837" s="30" t="s">
        <v>5549</v>
      </c>
      <c r="Q1837" t="s">
        <v>619</v>
      </c>
      <c r="R1837" t="s">
        <v>918</v>
      </c>
      <c r="S1837">
        <v>37</v>
      </c>
      <c r="T1837" s="29" t="str">
        <f>HYPERLINK("https://ictv.global/ictv/proposals/2021.010B.R.Binomial_names.zip","2021.010B.R.Binomial_names.zip")</f>
        <v>2021.010B.R.Binomial_names.zip</v>
      </c>
      <c r="U1837" s="29" t="str">
        <f>HYPERLINK("https://ictv.global/taxonomy/taxondetails?taxnode_id=202300595","ictv.global=202300595")</f>
        <v>ictv.global=202300595</v>
      </c>
    </row>
    <row r="1838" spans="1:21">
      <c r="A1838">
        <v>1837</v>
      </c>
      <c r="B1838" s="30" t="s">
        <v>1587</v>
      </c>
      <c r="D1838" s="30" t="s">
        <v>1588</v>
      </c>
      <c r="F1838" s="30" t="s">
        <v>1591</v>
      </c>
      <c r="H1838" s="30" t="s">
        <v>1592</v>
      </c>
      <c r="L1838" s="30" t="s">
        <v>2321</v>
      </c>
      <c r="M1838" s="30" t="s">
        <v>1861</v>
      </c>
      <c r="N1838" s="30" t="s">
        <v>1407</v>
      </c>
      <c r="P1838" s="30" t="s">
        <v>5550</v>
      </c>
      <c r="Q1838" t="s">
        <v>619</v>
      </c>
      <c r="R1838" t="s">
        <v>918</v>
      </c>
      <c r="S1838">
        <v>37</v>
      </c>
      <c r="T1838" s="29" t="str">
        <f>HYPERLINK("https://ictv.global/ictv/proposals/2021.010B.R.Binomial_names.zip","2021.010B.R.Binomial_names.zip")</f>
        <v>2021.010B.R.Binomial_names.zip</v>
      </c>
      <c r="U1838" s="29" t="str">
        <f>HYPERLINK("https://ictv.global/taxonomy/taxondetails?taxnode_id=202308007","ictv.global=202308007")</f>
        <v>ictv.global=202308007</v>
      </c>
    </row>
    <row r="1839" spans="1:21">
      <c r="A1839">
        <v>1838</v>
      </c>
      <c r="B1839" s="30" t="s">
        <v>1587</v>
      </c>
      <c r="D1839" s="30" t="s">
        <v>1588</v>
      </c>
      <c r="F1839" s="30" t="s">
        <v>1591</v>
      </c>
      <c r="H1839" s="30" t="s">
        <v>1592</v>
      </c>
      <c r="L1839" s="30" t="s">
        <v>2321</v>
      </c>
      <c r="M1839" s="30" t="s">
        <v>1861</v>
      </c>
      <c r="N1839" s="30" t="s">
        <v>1407</v>
      </c>
      <c r="P1839" s="30" t="s">
        <v>5551</v>
      </c>
      <c r="Q1839" t="s">
        <v>619</v>
      </c>
      <c r="R1839" t="s">
        <v>917</v>
      </c>
      <c r="S1839">
        <v>37</v>
      </c>
      <c r="T1839" s="29" t="str">
        <f>HYPERLINK("https://ictv.global/ictv/proposals/2021.072B.R.Rosenblumvirus.zip","2021.072B.R.Rosenblumvirus.zip")</f>
        <v>2021.072B.R.Rosenblumvirus.zip</v>
      </c>
      <c r="U1839" s="29" t="str">
        <f>HYPERLINK("https://ictv.global/taxonomy/taxondetails?taxnode_id=202312898","ictv.global=202312898")</f>
        <v>ictv.global=202312898</v>
      </c>
    </row>
    <row r="1840" spans="1:21">
      <c r="A1840">
        <v>1839</v>
      </c>
      <c r="B1840" s="30" t="s">
        <v>1587</v>
      </c>
      <c r="D1840" s="30" t="s">
        <v>1588</v>
      </c>
      <c r="F1840" s="30" t="s">
        <v>1591</v>
      </c>
      <c r="H1840" s="30" t="s">
        <v>1592</v>
      </c>
      <c r="L1840" s="30" t="s">
        <v>2321</v>
      </c>
      <c r="M1840" s="30" t="s">
        <v>1861</v>
      </c>
      <c r="N1840" s="30" t="s">
        <v>1407</v>
      </c>
      <c r="P1840" s="30" t="s">
        <v>5552</v>
      </c>
      <c r="Q1840" t="s">
        <v>619</v>
      </c>
      <c r="R1840" t="s">
        <v>918</v>
      </c>
      <c r="S1840">
        <v>37</v>
      </c>
      <c r="T1840" s="29" t="str">
        <f>HYPERLINK("https://ictv.global/ictv/proposals/2021.010B.R.Binomial_names.zip","2021.010B.R.Binomial_names.zip")</f>
        <v>2021.010B.R.Binomial_names.zip</v>
      </c>
      <c r="U1840" s="29" t="str">
        <f>HYPERLINK("https://ictv.global/taxonomy/taxondetails?taxnode_id=202308012","ictv.global=202308012")</f>
        <v>ictv.global=202308012</v>
      </c>
    </row>
    <row r="1841" spans="1:21">
      <c r="A1841">
        <v>1840</v>
      </c>
      <c r="B1841" s="30" t="s">
        <v>1587</v>
      </c>
      <c r="D1841" s="30" t="s">
        <v>1588</v>
      </c>
      <c r="F1841" s="30" t="s">
        <v>1591</v>
      </c>
      <c r="H1841" s="30" t="s">
        <v>1592</v>
      </c>
      <c r="L1841" s="30" t="s">
        <v>2321</v>
      </c>
      <c r="M1841" s="30" t="s">
        <v>1861</v>
      </c>
      <c r="N1841" s="30" t="s">
        <v>1407</v>
      </c>
      <c r="P1841" s="30" t="s">
        <v>5553</v>
      </c>
      <c r="Q1841" t="s">
        <v>619</v>
      </c>
      <c r="R1841" t="s">
        <v>918</v>
      </c>
      <c r="S1841">
        <v>37</v>
      </c>
      <c r="T1841" s="29" t="str">
        <f>HYPERLINK("https://ictv.global/ictv/proposals/2021.010B.R.Binomial_names.zip","2021.010B.R.Binomial_names.zip")</f>
        <v>2021.010B.R.Binomial_names.zip</v>
      </c>
      <c r="U1841" s="29" t="str">
        <f>HYPERLINK("https://ictv.global/taxonomy/taxondetails?taxnode_id=202308010","ictv.global=202308010")</f>
        <v>ictv.global=202308010</v>
      </c>
    </row>
    <row r="1842" spans="1:21">
      <c r="A1842">
        <v>1841</v>
      </c>
      <c r="B1842" s="30" t="s">
        <v>1587</v>
      </c>
      <c r="D1842" s="30" t="s">
        <v>1588</v>
      </c>
      <c r="F1842" s="30" t="s">
        <v>1591</v>
      </c>
      <c r="H1842" s="30" t="s">
        <v>1592</v>
      </c>
      <c r="L1842" s="30" t="s">
        <v>2321</v>
      </c>
      <c r="M1842" s="30" t="s">
        <v>1861</v>
      </c>
      <c r="N1842" s="30" t="s">
        <v>1407</v>
      </c>
      <c r="P1842" s="30" t="s">
        <v>5554</v>
      </c>
      <c r="Q1842" t="s">
        <v>619</v>
      </c>
      <c r="R1842" t="s">
        <v>918</v>
      </c>
      <c r="S1842">
        <v>37</v>
      </c>
      <c r="T1842" s="29" t="str">
        <f>HYPERLINK("https://ictv.global/ictv/proposals/2021.010B.R.Binomial_names.zip","2021.010B.R.Binomial_names.zip")</f>
        <v>2021.010B.R.Binomial_names.zip</v>
      </c>
      <c r="U1842" s="29" t="str">
        <f>HYPERLINK("https://ictv.global/taxonomy/taxondetails?taxnode_id=202308014","ictv.global=202308014")</f>
        <v>ictv.global=202308014</v>
      </c>
    </row>
    <row r="1843" spans="1:21">
      <c r="A1843">
        <v>1842</v>
      </c>
      <c r="B1843" s="30" t="s">
        <v>1587</v>
      </c>
      <c r="D1843" s="30" t="s">
        <v>1588</v>
      </c>
      <c r="F1843" s="30" t="s">
        <v>1591</v>
      </c>
      <c r="H1843" s="30" t="s">
        <v>1592</v>
      </c>
      <c r="L1843" s="30" t="s">
        <v>2321</v>
      </c>
      <c r="M1843" s="30" t="s">
        <v>2322</v>
      </c>
      <c r="N1843" s="30" t="s">
        <v>2323</v>
      </c>
      <c r="P1843" s="30" t="s">
        <v>5555</v>
      </c>
      <c r="Q1843" t="s">
        <v>619</v>
      </c>
      <c r="R1843" t="s">
        <v>917</v>
      </c>
      <c r="S1843">
        <v>37</v>
      </c>
      <c r="T1843" s="29" t="str">
        <f>HYPERLINK("https://ictv.global/ictv/proposals/2021.020B.R.Copernicusvirus.zip","2021.020B.R.Copernicusvirus.zip")</f>
        <v>2021.020B.R.Copernicusvirus.zip</v>
      </c>
      <c r="U1843" s="29" t="str">
        <f>HYPERLINK("https://ictv.global/taxonomy/taxondetails?taxnode_id=202313054","ictv.global=202313054")</f>
        <v>ictv.global=202313054</v>
      </c>
    </row>
    <row r="1844" spans="1:21">
      <c r="A1844">
        <v>1843</v>
      </c>
      <c r="B1844" s="30" t="s">
        <v>1587</v>
      </c>
      <c r="D1844" s="30" t="s">
        <v>1588</v>
      </c>
      <c r="F1844" s="30" t="s">
        <v>1591</v>
      </c>
      <c r="H1844" s="30" t="s">
        <v>1592</v>
      </c>
      <c r="L1844" s="30" t="s">
        <v>2321</v>
      </c>
      <c r="M1844" s="30" t="s">
        <v>2322</v>
      </c>
      <c r="N1844" s="30" t="s">
        <v>2323</v>
      </c>
      <c r="P1844" s="30" t="s">
        <v>5556</v>
      </c>
      <c r="Q1844" t="s">
        <v>619</v>
      </c>
      <c r="R1844" t="s">
        <v>918</v>
      </c>
      <c r="S1844">
        <v>37</v>
      </c>
      <c r="T1844" s="29" t="str">
        <f t="shared" ref="T1844:T1854" si="78">HYPERLINK("https://ictv.global/ictv/proposals/2021.010B.R.Binomial_names.zip","2021.010B.R.Binomial_names.zip")</f>
        <v>2021.010B.R.Binomial_names.zip</v>
      </c>
      <c r="U1844" s="29" t="str">
        <f>HYPERLINK("https://ictv.global/taxonomy/taxondetails?taxnode_id=202311693","ictv.global=202311693")</f>
        <v>ictv.global=202311693</v>
      </c>
    </row>
    <row r="1845" spans="1:21">
      <c r="A1845">
        <v>1844</v>
      </c>
      <c r="B1845" s="30" t="s">
        <v>1587</v>
      </c>
      <c r="D1845" s="30" t="s">
        <v>1588</v>
      </c>
      <c r="F1845" s="30" t="s">
        <v>1591</v>
      </c>
      <c r="H1845" s="30" t="s">
        <v>1592</v>
      </c>
      <c r="L1845" s="30" t="s">
        <v>2321</v>
      </c>
      <c r="M1845" s="30" t="s">
        <v>2322</v>
      </c>
      <c r="N1845" s="30" t="s">
        <v>2323</v>
      </c>
      <c r="P1845" s="30" t="s">
        <v>5557</v>
      </c>
      <c r="Q1845" t="s">
        <v>619</v>
      </c>
      <c r="R1845" t="s">
        <v>918</v>
      </c>
      <c r="S1845">
        <v>37</v>
      </c>
      <c r="T1845" s="29" t="str">
        <f t="shared" si="78"/>
        <v>2021.010B.R.Binomial_names.zip</v>
      </c>
      <c r="U1845" s="29" t="str">
        <f>HYPERLINK("https://ictv.global/taxonomy/taxondetails?taxnode_id=202311694","ictv.global=202311694")</f>
        <v>ictv.global=202311694</v>
      </c>
    </row>
    <row r="1846" spans="1:21">
      <c r="A1846">
        <v>1845</v>
      </c>
      <c r="B1846" s="30" t="s">
        <v>1587</v>
      </c>
      <c r="D1846" s="30" t="s">
        <v>1588</v>
      </c>
      <c r="F1846" s="30" t="s">
        <v>1591</v>
      </c>
      <c r="H1846" s="30" t="s">
        <v>1592</v>
      </c>
      <c r="L1846" s="30" t="s">
        <v>2321</v>
      </c>
      <c r="M1846" s="30" t="s">
        <v>2322</v>
      </c>
      <c r="N1846" s="30" t="s">
        <v>2323</v>
      </c>
      <c r="P1846" s="30" t="s">
        <v>5558</v>
      </c>
      <c r="Q1846" t="s">
        <v>619</v>
      </c>
      <c r="R1846" t="s">
        <v>918</v>
      </c>
      <c r="S1846">
        <v>37</v>
      </c>
      <c r="T1846" s="29" t="str">
        <f t="shared" si="78"/>
        <v>2021.010B.R.Binomial_names.zip</v>
      </c>
      <c r="U1846" s="29" t="str">
        <f>HYPERLINK("https://ictv.global/taxonomy/taxondetails?taxnode_id=202311695","ictv.global=202311695")</f>
        <v>ictv.global=202311695</v>
      </c>
    </row>
    <row r="1847" spans="1:21">
      <c r="A1847">
        <v>1846</v>
      </c>
      <c r="B1847" s="30" t="s">
        <v>1587</v>
      </c>
      <c r="D1847" s="30" t="s">
        <v>1588</v>
      </c>
      <c r="F1847" s="30" t="s">
        <v>1591</v>
      </c>
      <c r="H1847" s="30" t="s">
        <v>1592</v>
      </c>
      <c r="L1847" s="30" t="s">
        <v>2321</v>
      </c>
      <c r="M1847" s="30" t="s">
        <v>2322</v>
      </c>
      <c r="N1847" s="30" t="s">
        <v>2323</v>
      </c>
      <c r="P1847" s="30" t="s">
        <v>5559</v>
      </c>
      <c r="Q1847" t="s">
        <v>619</v>
      </c>
      <c r="R1847" t="s">
        <v>918</v>
      </c>
      <c r="S1847">
        <v>37</v>
      </c>
      <c r="T1847" s="29" t="str">
        <f t="shared" si="78"/>
        <v>2021.010B.R.Binomial_names.zip</v>
      </c>
      <c r="U1847" s="29" t="str">
        <f>HYPERLINK("https://ictv.global/taxonomy/taxondetails?taxnode_id=202311701","ictv.global=202311701")</f>
        <v>ictv.global=202311701</v>
      </c>
    </row>
    <row r="1848" spans="1:21">
      <c r="A1848">
        <v>1847</v>
      </c>
      <c r="B1848" s="30" t="s">
        <v>1587</v>
      </c>
      <c r="D1848" s="30" t="s">
        <v>1588</v>
      </c>
      <c r="F1848" s="30" t="s">
        <v>1591</v>
      </c>
      <c r="H1848" s="30" t="s">
        <v>1592</v>
      </c>
      <c r="L1848" s="30" t="s">
        <v>2321</v>
      </c>
      <c r="M1848" s="30" t="s">
        <v>2322</v>
      </c>
      <c r="N1848" s="30" t="s">
        <v>2323</v>
      </c>
      <c r="P1848" s="30" t="s">
        <v>5560</v>
      </c>
      <c r="Q1848" t="s">
        <v>619</v>
      </c>
      <c r="R1848" t="s">
        <v>918</v>
      </c>
      <c r="S1848">
        <v>37</v>
      </c>
      <c r="T1848" s="29" t="str">
        <f t="shared" si="78"/>
        <v>2021.010B.R.Binomial_names.zip</v>
      </c>
      <c r="U1848" s="29" t="str">
        <f>HYPERLINK("https://ictv.global/taxonomy/taxondetails?taxnode_id=202311702","ictv.global=202311702")</f>
        <v>ictv.global=202311702</v>
      </c>
    </row>
    <row r="1849" spans="1:21">
      <c r="A1849">
        <v>1848</v>
      </c>
      <c r="B1849" s="30" t="s">
        <v>1587</v>
      </c>
      <c r="D1849" s="30" t="s">
        <v>1588</v>
      </c>
      <c r="F1849" s="30" t="s">
        <v>1591</v>
      </c>
      <c r="H1849" s="30" t="s">
        <v>1592</v>
      </c>
      <c r="L1849" s="30" t="s">
        <v>2321</v>
      </c>
      <c r="M1849" s="30" t="s">
        <v>2322</v>
      </c>
      <c r="N1849" s="30" t="s">
        <v>2323</v>
      </c>
      <c r="P1849" s="30" t="s">
        <v>5561</v>
      </c>
      <c r="Q1849" t="s">
        <v>619</v>
      </c>
      <c r="R1849" t="s">
        <v>918</v>
      </c>
      <c r="S1849">
        <v>37</v>
      </c>
      <c r="T1849" s="29" t="str">
        <f t="shared" si="78"/>
        <v>2021.010B.R.Binomial_names.zip</v>
      </c>
      <c r="U1849" s="29" t="str">
        <f>HYPERLINK("https://ictv.global/taxonomy/taxondetails?taxnode_id=202311692","ictv.global=202311692")</f>
        <v>ictv.global=202311692</v>
      </c>
    </row>
    <row r="1850" spans="1:21">
      <c r="A1850">
        <v>1849</v>
      </c>
      <c r="B1850" s="30" t="s">
        <v>1587</v>
      </c>
      <c r="D1850" s="30" t="s">
        <v>1588</v>
      </c>
      <c r="F1850" s="30" t="s">
        <v>1591</v>
      </c>
      <c r="H1850" s="30" t="s">
        <v>1592</v>
      </c>
      <c r="L1850" s="30" t="s">
        <v>2321</v>
      </c>
      <c r="M1850" s="30" t="s">
        <v>2322</v>
      </c>
      <c r="N1850" s="30" t="s">
        <v>2323</v>
      </c>
      <c r="P1850" s="30" t="s">
        <v>5562</v>
      </c>
      <c r="Q1850" t="s">
        <v>619</v>
      </c>
      <c r="R1850" t="s">
        <v>918</v>
      </c>
      <c r="S1850">
        <v>37</v>
      </c>
      <c r="T1850" s="29" t="str">
        <f t="shared" si="78"/>
        <v>2021.010B.R.Binomial_names.zip</v>
      </c>
      <c r="U1850" s="29" t="str">
        <f>HYPERLINK("https://ictv.global/taxonomy/taxondetails?taxnode_id=202311699","ictv.global=202311699")</f>
        <v>ictv.global=202311699</v>
      </c>
    </row>
    <row r="1851" spans="1:21">
      <c r="A1851">
        <v>1850</v>
      </c>
      <c r="B1851" s="30" t="s">
        <v>1587</v>
      </c>
      <c r="D1851" s="30" t="s">
        <v>1588</v>
      </c>
      <c r="F1851" s="30" t="s">
        <v>1591</v>
      </c>
      <c r="H1851" s="30" t="s">
        <v>1592</v>
      </c>
      <c r="L1851" s="30" t="s">
        <v>2321</v>
      </c>
      <c r="M1851" s="30" t="s">
        <v>2322</v>
      </c>
      <c r="N1851" s="30" t="s">
        <v>2323</v>
      </c>
      <c r="P1851" s="30" t="s">
        <v>5563</v>
      </c>
      <c r="Q1851" t="s">
        <v>619</v>
      </c>
      <c r="R1851" t="s">
        <v>918</v>
      </c>
      <c r="S1851">
        <v>37</v>
      </c>
      <c r="T1851" s="29" t="str">
        <f t="shared" si="78"/>
        <v>2021.010B.R.Binomial_names.zip</v>
      </c>
      <c r="U1851" s="29" t="str">
        <f>HYPERLINK("https://ictv.global/taxonomy/taxondetails?taxnode_id=202311697","ictv.global=202311697")</f>
        <v>ictv.global=202311697</v>
      </c>
    </row>
    <row r="1852" spans="1:21">
      <c r="A1852">
        <v>1851</v>
      </c>
      <c r="B1852" s="30" t="s">
        <v>1587</v>
      </c>
      <c r="D1852" s="30" t="s">
        <v>1588</v>
      </c>
      <c r="F1852" s="30" t="s">
        <v>1591</v>
      </c>
      <c r="H1852" s="30" t="s">
        <v>1592</v>
      </c>
      <c r="L1852" s="30" t="s">
        <v>2321</v>
      </c>
      <c r="M1852" s="30" t="s">
        <v>2322</v>
      </c>
      <c r="N1852" s="30" t="s">
        <v>2323</v>
      </c>
      <c r="P1852" s="30" t="s">
        <v>5564</v>
      </c>
      <c r="Q1852" t="s">
        <v>619</v>
      </c>
      <c r="R1852" t="s">
        <v>918</v>
      </c>
      <c r="S1852">
        <v>37</v>
      </c>
      <c r="T1852" s="29" t="str">
        <f t="shared" si="78"/>
        <v>2021.010B.R.Binomial_names.zip</v>
      </c>
      <c r="U1852" s="29" t="str">
        <f>HYPERLINK("https://ictv.global/taxonomy/taxondetails?taxnode_id=202311696","ictv.global=202311696")</f>
        <v>ictv.global=202311696</v>
      </c>
    </row>
    <row r="1853" spans="1:21">
      <c r="A1853">
        <v>1852</v>
      </c>
      <c r="B1853" s="30" t="s">
        <v>1587</v>
      </c>
      <c r="D1853" s="30" t="s">
        <v>1588</v>
      </c>
      <c r="F1853" s="30" t="s">
        <v>1591</v>
      </c>
      <c r="H1853" s="30" t="s">
        <v>1592</v>
      </c>
      <c r="L1853" s="30" t="s">
        <v>2321</v>
      </c>
      <c r="M1853" s="30" t="s">
        <v>2322</v>
      </c>
      <c r="N1853" s="30" t="s">
        <v>2323</v>
      </c>
      <c r="P1853" s="30" t="s">
        <v>5565</v>
      </c>
      <c r="Q1853" t="s">
        <v>619</v>
      </c>
      <c r="R1853" t="s">
        <v>918</v>
      </c>
      <c r="S1853">
        <v>37</v>
      </c>
      <c r="T1853" s="29" t="str">
        <f t="shared" si="78"/>
        <v>2021.010B.R.Binomial_names.zip</v>
      </c>
      <c r="U1853" s="29" t="str">
        <f>HYPERLINK("https://ictv.global/taxonomy/taxondetails?taxnode_id=202311698","ictv.global=202311698")</f>
        <v>ictv.global=202311698</v>
      </c>
    </row>
    <row r="1854" spans="1:21">
      <c r="A1854">
        <v>1853</v>
      </c>
      <c r="B1854" s="30" t="s">
        <v>1587</v>
      </c>
      <c r="D1854" s="30" t="s">
        <v>1588</v>
      </c>
      <c r="F1854" s="30" t="s">
        <v>1591</v>
      </c>
      <c r="H1854" s="30" t="s">
        <v>1592</v>
      </c>
      <c r="L1854" s="30" t="s">
        <v>2321</v>
      </c>
      <c r="M1854" s="30" t="s">
        <v>2322</v>
      </c>
      <c r="N1854" s="30" t="s">
        <v>2323</v>
      </c>
      <c r="P1854" s="30" t="s">
        <v>5566</v>
      </c>
      <c r="Q1854" t="s">
        <v>619</v>
      </c>
      <c r="R1854" t="s">
        <v>918</v>
      </c>
      <c r="S1854">
        <v>37</v>
      </c>
      <c r="T1854" s="29" t="str">
        <f t="shared" si="78"/>
        <v>2021.010B.R.Binomial_names.zip</v>
      </c>
      <c r="U1854" s="29" t="str">
        <f>HYPERLINK("https://ictv.global/taxonomy/taxondetails?taxnode_id=202311700","ictv.global=202311700")</f>
        <v>ictv.global=202311700</v>
      </c>
    </row>
    <row r="1855" spans="1:21">
      <c r="A1855">
        <v>1854</v>
      </c>
      <c r="B1855" s="30" t="s">
        <v>1587</v>
      </c>
      <c r="D1855" s="30" t="s">
        <v>1588</v>
      </c>
      <c r="F1855" s="30" t="s">
        <v>1591</v>
      </c>
      <c r="H1855" s="30" t="s">
        <v>1592</v>
      </c>
      <c r="L1855" s="30" t="s">
        <v>2321</v>
      </c>
      <c r="M1855" s="30" t="s">
        <v>2322</v>
      </c>
      <c r="N1855" s="30" t="s">
        <v>2323</v>
      </c>
      <c r="P1855" s="30" t="s">
        <v>5567</v>
      </c>
      <c r="Q1855" t="s">
        <v>619</v>
      </c>
      <c r="R1855" t="s">
        <v>917</v>
      </c>
      <c r="S1855">
        <v>38</v>
      </c>
      <c r="T1855" s="29" t="str">
        <f>HYPERLINK("https://ictv.global/ictv/proposals/2022.026B.Copernicusvirus_1nsp.zip","2022.026B.Copernicusvirus_1nsp.zip")</f>
        <v>2022.026B.Copernicusvirus_1nsp.zip</v>
      </c>
      <c r="U1855" s="29" t="str">
        <f>HYPERLINK("https://ictv.global/taxonomy/taxondetails?taxnode_id=202314564","ictv.global=202314564")</f>
        <v>ictv.global=202314564</v>
      </c>
    </row>
    <row r="1856" spans="1:21">
      <c r="A1856">
        <v>1855</v>
      </c>
      <c r="B1856" s="30" t="s">
        <v>1587</v>
      </c>
      <c r="D1856" s="30" t="s">
        <v>1588</v>
      </c>
      <c r="F1856" s="30" t="s">
        <v>1591</v>
      </c>
      <c r="H1856" s="30" t="s">
        <v>1592</v>
      </c>
      <c r="L1856" s="30" t="s">
        <v>2321</v>
      </c>
      <c r="M1856" s="30" t="s">
        <v>2322</v>
      </c>
      <c r="N1856" s="30" t="s">
        <v>2324</v>
      </c>
      <c r="P1856" s="30" t="s">
        <v>5568</v>
      </c>
      <c r="Q1856" t="s">
        <v>619</v>
      </c>
      <c r="R1856" t="s">
        <v>918</v>
      </c>
      <c r="S1856">
        <v>37</v>
      </c>
      <c r="T1856" s="29" t="str">
        <f>HYPERLINK("https://ictv.global/ictv/proposals/2021.010B.R.Binomial_names.zip","2021.010B.R.Binomial_names.zip")</f>
        <v>2021.010B.R.Binomial_names.zip</v>
      </c>
      <c r="U1856" s="29" t="str">
        <f>HYPERLINK("https://ictv.global/taxonomy/taxondetails?taxnode_id=202311690","ictv.global=202311690")</f>
        <v>ictv.global=202311690</v>
      </c>
    </row>
    <row r="1857" spans="1:21">
      <c r="A1857">
        <v>1856</v>
      </c>
      <c r="B1857" s="30" t="s">
        <v>1587</v>
      </c>
      <c r="D1857" s="30" t="s">
        <v>1588</v>
      </c>
      <c r="F1857" s="30" t="s">
        <v>1591</v>
      </c>
      <c r="H1857" s="30" t="s">
        <v>1592</v>
      </c>
      <c r="L1857" s="30" t="s">
        <v>2321</v>
      </c>
      <c r="M1857" s="30" t="s">
        <v>2322</v>
      </c>
      <c r="N1857" s="30" t="s">
        <v>2324</v>
      </c>
      <c r="P1857" s="30" t="s">
        <v>5569</v>
      </c>
      <c r="Q1857" t="s">
        <v>619</v>
      </c>
      <c r="R1857" t="s">
        <v>918</v>
      </c>
      <c r="S1857">
        <v>37</v>
      </c>
      <c r="T1857" s="29" t="str">
        <f>HYPERLINK("https://ictv.global/ictv/proposals/2021.010B.R.Binomial_names.zip","2021.010B.R.Binomial_names.zip")</f>
        <v>2021.010B.R.Binomial_names.zip</v>
      </c>
      <c r="U1857" s="29" t="str">
        <f>HYPERLINK("https://ictv.global/taxonomy/taxondetails?taxnode_id=202311689","ictv.global=202311689")</f>
        <v>ictv.global=202311689</v>
      </c>
    </row>
    <row r="1858" spans="1:21">
      <c r="A1858">
        <v>1857</v>
      </c>
      <c r="B1858" s="30" t="s">
        <v>1587</v>
      </c>
      <c r="D1858" s="30" t="s">
        <v>1588</v>
      </c>
      <c r="F1858" s="30" t="s">
        <v>1591</v>
      </c>
      <c r="H1858" s="30" t="s">
        <v>1592</v>
      </c>
      <c r="L1858" s="30" t="s">
        <v>2321</v>
      </c>
      <c r="N1858" s="30" t="s">
        <v>1863</v>
      </c>
      <c r="P1858" s="30" t="s">
        <v>5570</v>
      </c>
      <c r="Q1858" t="s">
        <v>619</v>
      </c>
      <c r="R1858" t="s">
        <v>918</v>
      </c>
      <c r="S1858">
        <v>37</v>
      </c>
      <c r="T1858" s="29" t="str">
        <f>HYPERLINK("https://ictv.global/ictv/proposals/2021.010B.R.Binomial_names.zip","2021.010B.R.Binomial_names.zip")</f>
        <v>2021.010B.R.Binomial_names.zip</v>
      </c>
      <c r="U1858" s="29" t="str">
        <f>HYPERLINK("https://ictv.global/taxonomy/taxondetails?taxnode_id=202300596","ictv.global=202300596")</f>
        <v>ictv.global=202300596</v>
      </c>
    </row>
    <row r="1859" spans="1:21">
      <c r="A1859">
        <v>1858</v>
      </c>
      <c r="B1859" s="30" t="s">
        <v>1587</v>
      </c>
      <c r="D1859" s="30" t="s">
        <v>1588</v>
      </c>
      <c r="F1859" s="30" t="s">
        <v>1591</v>
      </c>
      <c r="H1859" s="30" t="s">
        <v>1592</v>
      </c>
      <c r="L1859" s="30" t="s">
        <v>2321</v>
      </c>
      <c r="N1859" s="30" t="s">
        <v>1406</v>
      </c>
      <c r="P1859" s="30" t="s">
        <v>5571</v>
      </c>
      <c r="Q1859" t="s">
        <v>619</v>
      </c>
      <c r="R1859" t="s">
        <v>918</v>
      </c>
      <c r="S1859">
        <v>37</v>
      </c>
      <c r="T1859" s="29" t="str">
        <f>HYPERLINK("https://ictv.global/ictv/proposals/2021.010B.R.Binomial_names.zip","2021.010B.R.Binomial_names.zip")</f>
        <v>2021.010B.R.Binomial_names.zip</v>
      </c>
      <c r="U1859" s="29" t="str">
        <f>HYPERLINK("https://ictv.global/taxonomy/taxondetails?taxnode_id=202306293","ictv.global=202306293")</f>
        <v>ictv.global=202306293</v>
      </c>
    </row>
    <row r="1860" spans="1:21">
      <c r="A1860">
        <v>1859</v>
      </c>
      <c r="B1860" s="30" t="s">
        <v>1587</v>
      </c>
      <c r="D1860" s="30" t="s">
        <v>1588</v>
      </c>
      <c r="F1860" s="30" t="s">
        <v>1591</v>
      </c>
      <c r="H1860" s="30" t="s">
        <v>1592</v>
      </c>
      <c r="L1860" s="30" t="s">
        <v>12135</v>
      </c>
      <c r="N1860" s="30" t="s">
        <v>12136</v>
      </c>
      <c r="P1860" s="30" t="s">
        <v>12137</v>
      </c>
      <c r="Q1860" t="s">
        <v>619</v>
      </c>
      <c r="R1860" t="s">
        <v>917</v>
      </c>
      <c r="S1860">
        <v>39</v>
      </c>
      <c r="T1860" s="29" t="str">
        <f t="shared" ref="T1860:T1869" si="79">HYPERLINK("https://ictv.global/ictv/proposals/2023.057B.Saffermanviridae_nf.zip","2023.057B.Saffermanviridae_nf.zip")</f>
        <v>2023.057B.Saffermanviridae_nf.zip</v>
      </c>
      <c r="U1860" s="29" t="str">
        <f>HYPERLINK("https://ictv.global/taxonomy/taxondetails?taxnode_id=202319259","ictv.global=202319259")</f>
        <v>ictv.global=202319259</v>
      </c>
    </row>
    <row r="1861" spans="1:21">
      <c r="A1861">
        <v>1860</v>
      </c>
      <c r="B1861" s="30" t="s">
        <v>1587</v>
      </c>
      <c r="D1861" s="30" t="s">
        <v>1588</v>
      </c>
      <c r="F1861" s="30" t="s">
        <v>1591</v>
      </c>
      <c r="H1861" s="30" t="s">
        <v>1592</v>
      </c>
      <c r="L1861" s="30" t="s">
        <v>12135</v>
      </c>
      <c r="N1861" s="30" t="s">
        <v>2313</v>
      </c>
      <c r="P1861" s="30" t="s">
        <v>7549</v>
      </c>
      <c r="Q1861" t="s">
        <v>619</v>
      </c>
      <c r="R1861" t="s">
        <v>919</v>
      </c>
      <c r="S1861">
        <v>39</v>
      </c>
      <c r="T1861" s="29" t="str">
        <f t="shared" si="79"/>
        <v>2023.057B.Saffermanviridae_nf.zip</v>
      </c>
      <c r="U1861" s="29" t="str">
        <f>HYPERLINK("https://ictv.global/taxonomy/taxondetails?taxnode_id=202310153","ictv.global=202310153")</f>
        <v>ictv.global=202310153</v>
      </c>
    </row>
    <row r="1862" spans="1:21">
      <c r="A1862">
        <v>1861</v>
      </c>
      <c r="B1862" s="30" t="s">
        <v>1587</v>
      </c>
      <c r="D1862" s="30" t="s">
        <v>1588</v>
      </c>
      <c r="F1862" s="30" t="s">
        <v>1591</v>
      </c>
      <c r="H1862" s="30" t="s">
        <v>1592</v>
      </c>
      <c r="L1862" s="30" t="s">
        <v>12135</v>
      </c>
      <c r="N1862" s="30" t="s">
        <v>12138</v>
      </c>
      <c r="P1862" s="30" t="s">
        <v>12139</v>
      </c>
      <c r="Q1862" t="s">
        <v>619</v>
      </c>
      <c r="R1862" t="s">
        <v>917</v>
      </c>
      <c r="S1862">
        <v>39</v>
      </c>
      <c r="T1862" s="29" t="str">
        <f t="shared" si="79"/>
        <v>2023.057B.Saffermanviridae_nf.zip</v>
      </c>
      <c r="U1862" s="29" t="str">
        <f>HYPERLINK("https://ictv.global/taxonomy/taxondetails?taxnode_id=202319262","ictv.global=202319262")</f>
        <v>ictv.global=202319262</v>
      </c>
    </row>
    <row r="1863" spans="1:21">
      <c r="A1863">
        <v>1862</v>
      </c>
      <c r="B1863" s="30" t="s">
        <v>1587</v>
      </c>
      <c r="D1863" s="30" t="s">
        <v>1588</v>
      </c>
      <c r="F1863" s="30" t="s">
        <v>1591</v>
      </c>
      <c r="H1863" s="30" t="s">
        <v>1592</v>
      </c>
      <c r="L1863" s="30" t="s">
        <v>12135</v>
      </c>
      <c r="N1863" s="30" t="s">
        <v>12138</v>
      </c>
      <c r="P1863" s="30" t="s">
        <v>12140</v>
      </c>
      <c r="Q1863" t="s">
        <v>619</v>
      </c>
      <c r="R1863" t="s">
        <v>917</v>
      </c>
      <c r="S1863">
        <v>39</v>
      </c>
      <c r="T1863" s="29" t="str">
        <f t="shared" si="79"/>
        <v>2023.057B.Saffermanviridae_nf.zip</v>
      </c>
      <c r="U1863" s="29" t="str">
        <f>HYPERLINK("https://ictv.global/taxonomy/taxondetails?taxnode_id=202319257","ictv.global=202319257")</f>
        <v>ictv.global=202319257</v>
      </c>
    </row>
    <row r="1864" spans="1:21">
      <c r="A1864">
        <v>1863</v>
      </c>
      <c r="B1864" s="30" t="s">
        <v>1587</v>
      </c>
      <c r="D1864" s="30" t="s">
        <v>1588</v>
      </c>
      <c r="F1864" s="30" t="s">
        <v>1591</v>
      </c>
      <c r="H1864" s="30" t="s">
        <v>1592</v>
      </c>
      <c r="L1864" s="30" t="s">
        <v>12135</v>
      </c>
      <c r="N1864" s="30" t="s">
        <v>12138</v>
      </c>
      <c r="P1864" s="30" t="s">
        <v>12141</v>
      </c>
      <c r="Q1864" t="s">
        <v>619</v>
      </c>
      <c r="R1864" t="s">
        <v>917</v>
      </c>
      <c r="S1864">
        <v>39</v>
      </c>
      <c r="T1864" s="29" t="str">
        <f t="shared" si="79"/>
        <v>2023.057B.Saffermanviridae_nf.zip</v>
      </c>
      <c r="U1864" s="29" t="str">
        <f>HYPERLINK("https://ictv.global/taxonomy/taxondetails?taxnode_id=202319261","ictv.global=202319261")</f>
        <v>ictv.global=202319261</v>
      </c>
    </row>
    <row r="1865" spans="1:21">
      <c r="A1865">
        <v>1864</v>
      </c>
      <c r="B1865" s="30" t="s">
        <v>1587</v>
      </c>
      <c r="D1865" s="30" t="s">
        <v>1588</v>
      </c>
      <c r="F1865" s="30" t="s">
        <v>1591</v>
      </c>
      <c r="H1865" s="30" t="s">
        <v>1592</v>
      </c>
      <c r="L1865" s="30" t="s">
        <v>12135</v>
      </c>
      <c r="N1865" s="30" t="s">
        <v>2319</v>
      </c>
      <c r="P1865" s="30" t="s">
        <v>12142</v>
      </c>
      <c r="Q1865" t="s">
        <v>619</v>
      </c>
      <c r="R1865" t="s">
        <v>917</v>
      </c>
      <c r="S1865">
        <v>39</v>
      </c>
      <c r="T1865" s="29" t="str">
        <f t="shared" si="79"/>
        <v>2023.057B.Saffermanviridae_nf.zip</v>
      </c>
      <c r="U1865" s="29" t="str">
        <f>HYPERLINK("https://ictv.global/taxonomy/taxondetails?taxnode_id=202319260","ictv.global=202319260")</f>
        <v>ictv.global=202319260</v>
      </c>
    </row>
    <row r="1866" spans="1:21">
      <c r="A1866">
        <v>1865</v>
      </c>
      <c r="B1866" s="30" t="s">
        <v>1587</v>
      </c>
      <c r="D1866" s="30" t="s">
        <v>1588</v>
      </c>
      <c r="F1866" s="30" t="s">
        <v>1591</v>
      </c>
      <c r="H1866" s="30" t="s">
        <v>1592</v>
      </c>
      <c r="L1866" s="30" t="s">
        <v>12135</v>
      </c>
      <c r="N1866" s="30" t="s">
        <v>2319</v>
      </c>
      <c r="P1866" s="30" t="s">
        <v>8478</v>
      </c>
      <c r="Q1866" t="s">
        <v>619</v>
      </c>
      <c r="R1866" t="s">
        <v>919</v>
      </c>
      <c r="S1866">
        <v>39</v>
      </c>
      <c r="T1866" s="29" t="str">
        <f t="shared" si="79"/>
        <v>2023.057B.Saffermanviridae_nf.zip</v>
      </c>
      <c r="U1866" s="29" t="str">
        <f>HYPERLINK("https://ictv.global/taxonomy/taxondetails?taxnode_id=202300705","ictv.global=202300705")</f>
        <v>ictv.global=202300705</v>
      </c>
    </row>
    <row r="1867" spans="1:21">
      <c r="A1867">
        <v>1866</v>
      </c>
      <c r="B1867" s="30" t="s">
        <v>1587</v>
      </c>
      <c r="D1867" s="30" t="s">
        <v>1588</v>
      </c>
      <c r="F1867" s="30" t="s">
        <v>1591</v>
      </c>
      <c r="H1867" s="30" t="s">
        <v>1592</v>
      </c>
      <c r="L1867" s="30" t="s">
        <v>12135</v>
      </c>
      <c r="N1867" s="30" t="s">
        <v>2320</v>
      </c>
      <c r="P1867" s="30" t="s">
        <v>12143</v>
      </c>
      <c r="Q1867" t="s">
        <v>619</v>
      </c>
      <c r="R1867" t="s">
        <v>917</v>
      </c>
      <c r="S1867">
        <v>39</v>
      </c>
      <c r="T1867" s="29" t="str">
        <f t="shared" si="79"/>
        <v>2023.057B.Saffermanviridae_nf.zip</v>
      </c>
      <c r="U1867" s="29" t="str">
        <f>HYPERLINK("https://ictv.global/taxonomy/taxondetails?taxnode_id=202319258","ictv.global=202319258")</f>
        <v>ictv.global=202319258</v>
      </c>
    </row>
    <row r="1868" spans="1:21">
      <c r="A1868">
        <v>1867</v>
      </c>
      <c r="B1868" s="30" t="s">
        <v>1587</v>
      </c>
      <c r="D1868" s="30" t="s">
        <v>1588</v>
      </c>
      <c r="F1868" s="30" t="s">
        <v>1591</v>
      </c>
      <c r="H1868" s="30" t="s">
        <v>1592</v>
      </c>
      <c r="L1868" s="30" t="s">
        <v>12135</v>
      </c>
      <c r="N1868" s="30" t="s">
        <v>2320</v>
      </c>
      <c r="P1868" s="30" t="s">
        <v>8479</v>
      </c>
      <c r="Q1868" t="s">
        <v>619</v>
      </c>
      <c r="R1868" t="s">
        <v>919</v>
      </c>
      <c r="S1868">
        <v>39</v>
      </c>
      <c r="T1868" s="29" t="str">
        <f t="shared" si="79"/>
        <v>2023.057B.Saffermanviridae_nf.zip</v>
      </c>
      <c r="U1868" s="29" t="str">
        <f>HYPERLINK("https://ictv.global/taxonomy/taxondetails?taxnode_id=202312124","ictv.global=202312124")</f>
        <v>ictv.global=202312124</v>
      </c>
    </row>
    <row r="1869" spans="1:21">
      <c r="A1869">
        <v>1868</v>
      </c>
      <c r="B1869" s="30" t="s">
        <v>1587</v>
      </c>
      <c r="D1869" s="30" t="s">
        <v>1588</v>
      </c>
      <c r="F1869" s="30" t="s">
        <v>1591</v>
      </c>
      <c r="H1869" s="30" t="s">
        <v>1592</v>
      </c>
      <c r="L1869" s="30" t="s">
        <v>12135</v>
      </c>
      <c r="N1869" s="30" t="s">
        <v>2320</v>
      </c>
      <c r="P1869" s="30" t="s">
        <v>8480</v>
      </c>
      <c r="Q1869" t="s">
        <v>619</v>
      </c>
      <c r="R1869" t="s">
        <v>919</v>
      </c>
      <c r="S1869">
        <v>39</v>
      </c>
      <c r="T1869" s="29" t="str">
        <f t="shared" si="79"/>
        <v>2023.057B.Saffermanviridae_nf.zip</v>
      </c>
      <c r="U1869" s="29" t="str">
        <f>HYPERLINK("https://ictv.global/taxonomy/taxondetails?taxnode_id=202300704","ictv.global=202300704")</f>
        <v>ictv.global=202300704</v>
      </c>
    </row>
    <row r="1870" spans="1:21">
      <c r="A1870">
        <v>1869</v>
      </c>
      <c r="B1870" s="30" t="s">
        <v>1587</v>
      </c>
      <c r="D1870" s="30" t="s">
        <v>1588</v>
      </c>
      <c r="F1870" s="30" t="s">
        <v>1591</v>
      </c>
      <c r="H1870" s="30" t="s">
        <v>1592</v>
      </c>
      <c r="L1870" s="30" t="s">
        <v>2325</v>
      </c>
      <c r="M1870" s="30" t="s">
        <v>2326</v>
      </c>
      <c r="N1870" s="30" t="s">
        <v>2327</v>
      </c>
      <c r="P1870" s="30" t="s">
        <v>5572</v>
      </c>
      <c r="Q1870" t="s">
        <v>619</v>
      </c>
      <c r="R1870" t="s">
        <v>918</v>
      </c>
      <c r="S1870">
        <v>37</v>
      </c>
      <c r="T1870" s="29" t="str">
        <f>HYPERLINK("https://ictv.global/ictv/proposals/2021.010B.R.Binomial_names.zip","2021.010B.R.Binomial_names.zip")</f>
        <v>2021.010B.R.Binomial_names.zip</v>
      </c>
      <c r="U1870" s="29" t="str">
        <f>HYPERLINK("https://ictv.global/taxonomy/taxondetails?taxnode_id=202311740","ictv.global=202311740")</f>
        <v>ictv.global=202311740</v>
      </c>
    </row>
    <row r="1871" spans="1:21">
      <c r="A1871">
        <v>1870</v>
      </c>
      <c r="B1871" s="30" t="s">
        <v>1587</v>
      </c>
      <c r="D1871" s="30" t="s">
        <v>1588</v>
      </c>
      <c r="F1871" s="30" t="s">
        <v>1591</v>
      </c>
      <c r="H1871" s="30" t="s">
        <v>1592</v>
      </c>
      <c r="L1871" s="30" t="s">
        <v>2325</v>
      </c>
      <c r="M1871" s="30" t="s">
        <v>2326</v>
      </c>
      <c r="N1871" s="30" t="s">
        <v>2327</v>
      </c>
      <c r="P1871" s="30" t="s">
        <v>5573</v>
      </c>
      <c r="Q1871" t="s">
        <v>619</v>
      </c>
      <c r="R1871" t="s">
        <v>917</v>
      </c>
      <c r="S1871">
        <v>37</v>
      </c>
      <c r="T1871" s="29" t="str">
        <f>HYPERLINK("https://ictv.global/ictv/proposals/2021.017B.R.Claudivirus.zip","2021.017B.R.Claudivirus.zip")</f>
        <v>2021.017B.R.Claudivirus.zip</v>
      </c>
      <c r="U1871" s="29" t="str">
        <f>HYPERLINK("https://ictv.global/taxonomy/taxondetails?taxnode_id=202313049","ictv.global=202313049")</f>
        <v>ictv.global=202313049</v>
      </c>
    </row>
    <row r="1872" spans="1:21">
      <c r="A1872">
        <v>1871</v>
      </c>
      <c r="B1872" s="30" t="s">
        <v>1587</v>
      </c>
      <c r="D1872" s="30" t="s">
        <v>1588</v>
      </c>
      <c r="F1872" s="30" t="s">
        <v>1591</v>
      </c>
      <c r="H1872" s="30" t="s">
        <v>1592</v>
      </c>
      <c r="L1872" s="30" t="s">
        <v>2325</v>
      </c>
      <c r="M1872" s="30" t="s">
        <v>2326</v>
      </c>
      <c r="N1872" s="30" t="s">
        <v>2327</v>
      </c>
      <c r="P1872" s="30" t="s">
        <v>5574</v>
      </c>
      <c r="Q1872" t="s">
        <v>619</v>
      </c>
      <c r="R1872" t="s">
        <v>918</v>
      </c>
      <c r="S1872">
        <v>37</v>
      </c>
      <c r="T1872" s="29" t="str">
        <f t="shared" ref="T1872:T1878" si="80">HYPERLINK("https://ictv.global/ictv/proposals/2021.010B.R.Binomial_names.zip","2021.010B.R.Binomial_names.zip")</f>
        <v>2021.010B.R.Binomial_names.zip</v>
      </c>
      <c r="U1872" s="29" t="str">
        <f>HYPERLINK("https://ictv.global/taxonomy/taxondetails?taxnode_id=202311736","ictv.global=202311736")</f>
        <v>ictv.global=202311736</v>
      </c>
    </row>
    <row r="1873" spans="1:21">
      <c r="A1873">
        <v>1872</v>
      </c>
      <c r="B1873" s="30" t="s">
        <v>1587</v>
      </c>
      <c r="D1873" s="30" t="s">
        <v>1588</v>
      </c>
      <c r="F1873" s="30" t="s">
        <v>1591</v>
      </c>
      <c r="H1873" s="30" t="s">
        <v>1592</v>
      </c>
      <c r="L1873" s="30" t="s">
        <v>2325</v>
      </c>
      <c r="M1873" s="30" t="s">
        <v>2326</v>
      </c>
      <c r="N1873" s="30" t="s">
        <v>2327</v>
      </c>
      <c r="P1873" s="30" t="s">
        <v>5575</v>
      </c>
      <c r="Q1873" t="s">
        <v>619</v>
      </c>
      <c r="R1873" t="s">
        <v>918</v>
      </c>
      <c r="S1873">
        <v>37</v>
      </c>
      <c r="T1873" s="29" t="str">
        <f t="shared" si="80"/>
        <v>2021.010B.R.Binomial_names.zip</v>
      </c>
      <c r="U1873" s="29" t="str">
        <f>HYPERLINK("https://ictv.global/taxonomy/taxondetails?taxnode_id=202311739","ictv.global=202311739")</f>
        <v>ictv.global=202311739</v>
      </c>
    </row>
    <row r="1874" spans="1:21">
      <c r="A1874">
        <v>1873</v>
      </c>
      <c r="B1874" s="30" t="s">
        <v>1587</v>
      </c>
      <c r="D1874" s="30" t="s">
        <v>1588</v>
      </c>
      <c r="F1874" s="30" t="s">
        <v>1591</v>
      </c>
      <c r="H1874" s="30" t="s">
        <v>1592</v>
      </c>
      <c r="L1874" s="30" t="s">
        <v>2325</v>
      </c>
      <c r="M1874" s="30" t="s">
        <v>2326</v>
      </c>
      <c r="N1874" s="30" t="s">
        <v>2327</v>
      </c>
      <c r="P1874" s="30" t="s">
        <v>5576</v>
      </c>
      <c r="Q1874" t="s">
        <v>619</v>
      </c>
      <c r="R1874" t="s">
        <v>918</v>
      </c>
      <c r="S1874">
        <v>37</v>
      </c>
      <c r="T1874" s="29" t="str">
        <f t="shared" si="80"/>
        <v>2021.010B.R.Binomial_names.zip</v>
      </c>
      <c r="U1874" s="29" t="str">
        <f>HYPERLINK("https://ictv.global/taxonomy/taxondetails?taxnode_id=202311742","ictv.global=202311742")</f>
        <v>ictv.global=202311742</v>
      </c>
    </row>
    <row r="1875" spans="1:21">
      <c r="A1875">
        <v>1874</v>
      </c>
      <c r="B1875" s="30" t="s">
        <v>1587</v>
      </c>
      <c r="D1875" s="30" t="s">
        <v>1588</v>
      </c>
      <c r="F1875" s="30" t="s">
        <v>1591</v>
      </c>
      <c r="H1875" s="30" t="s">
        <v>1592</v>
      </c>
      <c r="L1875" s="30" t="s">
        <v>2325</v>
      </c>
      <c r="M1875" s="30" t="s">
        <v>2326</v>
      </c>
      <c r="N1875" s="30" t="s">
        <v>2327</v>
      </c>
      <c r="P1875" s="30" t="s">
        <v>5577</v>
      </c>
      <c r="Q1875" t="s">
        <v>619</v>
      </c>
      <c r="R1875" t="s">
        <v>918</v>
      </c>
      <c r="S1875">
        <v>37</v>
      </c>
      <c r="T1875" s="29" t="str">
        <f t="shared" si="80"/>
        <v>2021.010B.R.Binomial_names.zip</v>
      </c>
      <c r="U1875" s="29" t="str">
        <f>HYPERLINK("https://ictv.global/taxonomy/taxondetails?taxnode_id=202311762","ictv.global=202311762")</f>
        <v>ictv.global=202311762</v>
      </c>
    </row>
    <row r="1876" spans="1:21">
      <c r="A1876">
        <v>1875</v>
      </c>
      <c r="B1876" s="30" t="s">
        <v>1587</v>
      </c>
      <c r="D1876" s="30" t="s">
        <v>1588</v>
      </c>
      <c r="F1876" s="30" t="s">
        <v>1591</v>
      </c>
      <c r="H1876" s="30" t="s">
        <v>1592</v>
      </c>
      <c r="L1876" s="30" t="s">
        <v>2325</v>
      </c>
      <c r="M1876" s="30" t="s">
        <v>2326</v>
      </c>
      <c r="N1876" s="30" t="s">
        <v>2327</v>
      </c>
      <c r="P1876" s="30" t="s">
        <v>5578</v>
      </c>
      <c r="Q1876" t="s">
        <v>619</v>
      </c>
      <c r="R1876" t="s">
        <v>918</v>
      </c>
      <c r="S1876">
        <v>37</v>
      </c>
      <c r="T1876" s="29" t="str">
        <f t="shared" si="80"/>
        <v>2021.010B.R.Binomial_names.zip</v>
      </c>
      <c r="U1876" s="29" t="str">
        <f>HYPERLINK("https://ictv.global/taxonomy/taxondetails?taxnode_id=202311741","ictv.global=202311741")</f>
        <v>ictv.global=202311741</v>
      </c>
    </row>
    <row r="1877" spans="1:21">
      <c r="A1877">
        <v>1876</v>
      </c>
      <c r="B1877" s="30" t="s">
        <v>1587</v>
      </c>
      <c r="D1877" s="30" t="s">
        <v>1588</v>
      </c>
      <c r="F1877" s="30" t="s">
        <v>1591</v>
      </c>
      <c r="H1877" s="30" t="s">
        <v>1592</v>
      </c>
      <c r="L1877" s="30" t="s">
        <v>2325</v>
      </c>
      <c r="M1877" s="30" t="s">
        <v>2326</v>
      </c>
      <c r="N1877" s="30" t="s">
        <v>2327</v>
      </c>
      <c r="P1877" s="30" t="s">
        <v>5579</v>
      </c>
      <c r="Q1877" t="s">
        <v>619</v>
      </c>
      <c r="R1877" t="s">
        <v>918</v>
      </c>
      <c r="S1877">
        <v>37</v>
      </c>
      <c r="T1877" s="29" t="str">
        <f t="shared" si="80"/>
        <v>2021.010B.R.Binomial_names.zip</v>
      </c>
      <c r="U1877" s="29" t="str">
        <f>HYPERLINK("https://ictv.global/taxonomy/taxondetails?taxnode_id=202311737","ictv.global=202311737")</f>
        <v>ictv.global=202311737</v>
      </c>
    </row>
    <row r="1878" spans="1:21">
      <c r="A1878">
        <v>1877</v>
      </c>
      <c r="B1878" s="30" t="s">
        <v>1587</v>
      </c>
      <c r="D1878" s="30" t="s">
        <v>1588</v>
      </c>
      <c r="F1878" s="30" t="s">
        <v>1591</v>
      </c>
      <c r="H1878" s="30" t="s">
        <v>1592</v>
      </c>
      <c r="L1878" s="30" t="s">
        <v>2325</v>
      </c>
      <c r="M1878" s="30" t="s">
        <v>2326</v>
      </c>
      <c r="N1878" s="30" t="s">
        <v>2327</v>
      </c>
      <c r="P1878" s="30" t="s">
        <v>5580</v>
      </c>
      <c r="Q1878" t="s">
        <v>619</v>
      </c>
      <c r="R1878" t="s">
        <v>918</v>
      </c>
      <c r="S1878">
        <v>37</v>
      </c>
      <c r="T1878" s="29" t="str">
        <f t="shared" si="80"/>
        <v>2021.010B.R.Binomial_names.zip</v>
      </c>
      <c r="U1878" s="29" t="str">
        <f>HYPERLINK("https://ictv.global/taxonomy/taxondetails?taxnode_id=202311738","ictv.global=202311738")</f>
        <v>ictv.global=202311738</v>
      </c>
    </row>
    <row r="1879" spans="1:21">
      <c r="A1879">
        <v>1878</v>
      </c>
      <c r="B1879" s="30" t="s">
        <v>1587</v>
      </c>
      <c r="D1879" s="30" t="s">
        <v>1588</v>
      </c>
      <c r="F1879" s="30" t="s">
        <v>1591</v>
      </c>
      <c r="H1879" s="30" t="s">
        <v>1592</v>
      </c>
      <c r="L1879" s="30" t="s">
        <v>2325</v>
      </c>
      <c r="M1879" s="30" t="s">
        <v>2326</v>
      </c>
      <c r="N1879" s="30" t="s">
        <v>2327</v>
      </c>
      <c r="P1879" s="30" t="s">
        <v>5581</v>
      </c>
      <c r="Q1879" t="s">
        <v>619</v>
      </c>
      <c r="R1879" t="s">
        <v>917</v>
      </c>
      <c r="S1879">
        <v>37</v>
      </c>
      <c r="T1879" s="29" t="str">
        <f>HYPERLINK("https://ictv.global/ictv/proposals/2021.017B.R.Claudivirus.zip","2021.017B.R.Claudivirus.zip")</f>
        <v>2021.017B.R.Claudivirus.zip</v>
      </c>
      <c r="U1879" s="29" t="str">
        <f>HYPERLINK("https://ictv.global/taxonomy/taxondetails?taxnode_id=202313048","ictv.global=202313048")</f>
        <v>ictv.global=202313048</v>
      </c>
    </row>
    <row r="1880" spans="1:21">
      <c r="A1880">
        <v>1879</v>
      </c>
      <c r="B1880" s="30" t="s">
        <v>1587</v>
      </c>
      <c r="D1880" s="30" t="s">
        <v>1588</v>
      </c>
      <c r="F1880" s="30" t="s">
        <v>1591</v>
      </c>
      <c r="H1880" s="30" t="s">
        <v>1592</v>
      </c>
      <c r="L1880" s="30" t="s">
        <v>2325</v>
      </c>
      <c r="M1880" s="30" t="s">
        <v>2326</v>
      </c>
      <c r="N1880" s="30" t="s">
        <v>2328</v>
      </c>
      <c r="P1880" s="30" t="s">
        <v>12144</v>
      </c>
      <c r="Q1880" t="s">
        <v>619</v>
      </c>
      <c r="R1880" t="s">
        <v>917</v>
      </c>
      <c r="S1880">
        <v>39</v>
      </c>
      <c r="T1880" s="29" t="str">
        <f>HYPERLINK("https://ictv.global/ictv/proposals/2023.058B.Salasmaviridae_ng.zip","2023.058B.Salasmaviridae_ng.zip")</f>
        <v>2023.058B.Salasmaviridae_ng.zip</v>
      </c>
      <c r="U1880" s="29" t="str">
        <f>HYPERLINK("https://ictv.global/taxonomy/taxondetails?taxnode_id=202319265","ictv.global=202319265")</f>
        <v>ictv.global=202319265</v>
      </c>
    </row>
    <row r="1881" spans="1:21">
      <c r="A1881">
        <v>1880</v>
      </c>
      <c r="B1881" s="30" t="s">
        <v>1587</v>
      </c>
      <c r="D1881" s="30" t="s">
        <v>1588</v>
      </c>
      <c r="F1881" s="30" t="s">
        <v>1591</v>
      </c>
      <c r="H1881" s="30" t="s">
        <v>1592</v>
      </c>
      <c r="L1881" s="30" t="s">
        <v>2325</v>
      </c>
      <c r="M1881" s="30" t="s">
        <v>2326</v>
      </c>
      <c r="N1881" s="30" t="s">
        <v>2328</v>
      </c>
      <c r="P1881" s="30" t="s">
        <v>5582</v>
      </c>
      <c r="Q1881" t="s">
        <v>619</v>
      </c>
      <c r="R1881" t="s">
        <v>918</v>
      </c>
      <c r="S1881">
        <v>37</v>
      </c>
      <c r="T1881" s="29" t="str">
        <f>HYPERLINK("https://ictv.global/ictv/proposals/2021.010B.R.Binomial_names.zip","2021.010B.R.Binomial_names.zip")</f>
        <v>2021.010B.R.Binomial_names.zip</v>
      </c>
      <c r="U1881" s="29" t="str">
        <f>HYPERLINK("https://ictv.global/taxonomy/taxondetails?taxnode_id=202311746","ictv.global=202311746")</f>
        <v>ictv.global=202311746</v>
      </c>
    </row>
    <row r="1882" spans="1:21">
      <c r="A1882">
        <v>1881</v>
      </c>
      <c r="B1882" s="30" t="s">
        <v>1587</v>
      </c>
      <c r="D1882" s="30" t="s">
        <v>1588</v>
      </c>
      <c r="F1882" s="30" t="s">
        <v>1591</v>
      </c>
      <c r="H1882" s="30" t="s">
        <v>1592</v>
      </c>
      <c r="L1882" s="30" t="s">
        <v>2325</v>
      </c>
      <c r="M1882" s="30" t="s">
        <v>2326</v>
      </c>
      <c r="N1882" s="30" t="s">
        <v>2328</v>
      </c>
      <c r="P1882" s="30" t="s">
        <v>5583</v>
      </c>
      <c r="Q1882" t="s">
        <v>619</v>
      </c>
      <c r="R1882" t="s">
        <v>918</v>
      </c>
      <c r="S1882">
        <v>37</v>
      </c>
      <c r="T1882" s="29" t="str">
        <f>HYPERLINK("https://ictv.global/ictv/proposals/2021.010B.R.Binomial_names.zip","2021.010B.R.Binomial_names.zip")</f>
        <v>2021.010B.R.Binomial_names.zip</v>
      </c>
      <c r="U1882" s="29" t="str">
        <f>HYPERLINK("https://ictv.global/taxonomy/taxondetails?taxnode_id=202311747","ictv.global=202311747")</f>
        <v>ictv.global=202311747</v>
      </c>
    </row>
    <row r="1883" spans="1:21">
      <c r="A1883">
        <v>1882</v>
      </c>
      <c r="B1883" s="30" t="s">
        <v>1587</v>
      </c>
      <c r="D1883" s="30" t="s">
        <v>1588</v>
      </c>
      <c r="F1883" s="30" t="s">
        <v>1591</v>
      </c>
      <c r="H1883" s="30" t="s">
        <v>1592</v>
      </c>
      <c r="L1883" s="30" t="s">
        <v>2325</v>
      </c>
      <c r="M1883" s="30" t="s">
        <v>2326</v>
      </c>
      <c r="N1883" s="30" t="s">
        <v>2328</v>
      </c>
      <c r="P1883" s="30" t="s">
        <v>5584</v>
      </c>
      <c r="Q1883" t="s">
        <v>619</v>
      </c>
      <c r="R1883" t="s">
        <v>918</v>
      </c>
      <c r="S1883">
        <v>37</v>
      </c>
      <c r="T1883" s="29" t="str">
        <f>HYPERLINK("https://ictv.global/ictv/proposals/2021.010B.R.Binomial_names.zip","2021.010B.R.Binomial_names.zip")</f>
        <v>2021.010B.R.Binomial_names.zip</v>
      </c>
      <c r="U1883" s="29" t="str">
        <f>HYPERLINK("https://ictv.global/taxonomy/taxondetails?taxnode_id=202311748","ictv.global=202311748")</f>
        <v>ictv.global=202311748</v>
      </c>
    </row>
    <row r="1884" spans="1:21">
      <c r="A1884">
        <v>1883</v>
      </c>
      <c r="B1884" s="30" t="s">
        <v>1587</v>
      </c>
      <c r="D1884" s="30" t="s">
        <v>1588</v>
      </c>
      <c r="F1884" s="30" t="s">
        <v>1591</v>
      </c>
      <c r="H1884" s="30" t="s">
        <v>1592</v>
      </c>
      <c r="L1884" s="30" t="s">
        <v>2325</v>
      </c>
      <c r="M1884" s="30" t="s">
        <v>2326</v>
      </c>
      <c r="N1884" s="30" t="s">
        <v>2329</v>
      </c>
      <c r="P1884" s="30" t="s">
        <v>5585</v>
      </c>
      <c r="Q1884" t="s">
        <v>619</v>
      </c>
      <c r="R1884" t="s">
        <v>918</v>
      </c>
      <c r="S1884">
        <v>37</v>
      </c>
      <c r="T1884" s="29" t="str">
        <f>HYPERLINK("https://ictv.global/ictv/proposals/2021.010B.R.Binomial_names.zip","2021.010B.R.Binomial_names.zip")</f>
        <v>2021.010B.R.Binomial_names.zip</v>
      </c>
      <c r="U1884" s="29" t="str">
        <f>HYPERLINK("https://ictv.global/taxonomy/taxondetails?taxnode_id=202311744","ictv.global=202311744")</f>
        <v>ictv.global=202311744</v>
      </c>
    </row>
    <row r="1885" spans="1:21">
      <c r="A1885">
        <v>1884</v>
      </c>
      <c r="B1885" s="30" t="s">
        <v>1587</v>
      </c>
      <c r="D1885" s="30" t="s">
        <v>1588</v>
      </c>
      <c r="F1885" s="30" t="s">
        <v>1591</v>
      </c>
      <c r="H1885" s="30" t="s">
        <v>1592</v>
      </c>
      <c r="L1885" s="30" t="s">
        <v>2325</v>
      </c>
      <c r="M1885" s="30" t="s">
        <v>2326</v>
      </c>
      <c r="N1885" s="30" t="s">
        <v>12145</v>
      </c>
      <c r="P1885" s="30" t="s">
        <v>12146</v>
      </c>
      <c r="Q1885" t="s">
        <v>619</v>
      </c>
      <c r="R1885" t="s">
        <v>917</v>
      </c>
      <c r="S1885">
        <v>39</v>
      </c>
      <c r="T1885" s="29" t="str">
        <f>HYPERLINK("https://ictv.global/ictv/proposals/2023.045B.Layangcvirus_ng.zip","2023.045B.Layangcvirus_ng.zip")</f>
        <v>2023.045B.Layangcvirus_ng.zip</v>
      </c>
      <c r="U1885" s="29" t="str">
        <f>HYPERLINK("https://ictv.global/taxonomy/taxondetails?taxnode_id=202319208","ictv.global=202319208")</f>
        <v>ictv.global=202319208</v>
      </c>
    </row>
    <row r="1886" spans="1:21">
      <c r="A1886">
        <v>1885</v>
      </c>
      <c r="B1886" s="30" t="s">
        <v>1587</v>
      </c>
      <c r="D1886" s="30" t="s">
        <v>1588</v>
      </c>
      <c r="F1886" s="30" t="s">
        <v>1591</v>
      </c>
      <c r="H1886" s="30" t="s">
        <v>1592</v>
      </c>
      <c r="L1886" s="30" t="s">
        <v>2325</v>
      </c>
      <c r="M1886" s="30" t="s">
        <v>185</v>
      </c>
      <c r="N1886" s="30" t="s">
        <v>12147</v>
      </c>
      <c r="P1886" s="30" t="s">
        <v>12148</v>
      </c>
      <c r="Q1886" t="s">
        <v>619</v>
      </c>
      <c r="R1886" t="s">
        <v>917</v>
      </c>
      <c r="S1886">
        <v>39</v>
      </c>
      <c r="T1886" s="29" t="str">
        <f>HYPERLINK("https://ictv.global/ictv/proposals/2023.058B.Salasmaviridae_ng.zip","2023.058B.Salasmaviridae_ng.zip")</f>
        <v>2023.058B.Salasmaviridae_ng.zip</v>
      </c>
      <c r="U1886" s="29" t="str">
        <f>HYPERLINK("https://ictv.global/taxonomy/taxondetails?taxnode_id=202319263","ictv.global=202319263")</f>
        <v>ictv.global=202319263</v>
      </c>
    </row>
    <row r="1887" spans="1:21">
      <c r="A1887">
        <v>1886</v>
      </c>
      <c r="B1887" s="30" t="s">
        <v>1587</v>
      </c>
      <c r="D1887" s="30" t="s">
        <v>1588</v>
      </c>
      <c r="F1887" s="30" t="s">
        <v>1591</v>
      </c>
      <c r="H1887" s="30" t="s">
        <v>1592</v>
      </c>
      <c r="L1887" s="30" t="s">
        <v>2325</v>
      </c>
      <c r="M1887" s="30" t="s">
        <v>185</v>
      </c>
      <c r="N1887" s="30" t="s">
        <v>2330</v>
      </c>
      <c r="P1887" s="30" t="s">
        <v>5586</v>
      </c>
      <c r="Q1887" t="s">
        <v>619</v>
      </c>
      <c r="R1887" t="s">
        <v>918</v>
      </c>
      <c r="S1887">
        <v>37</v>
      </c>
      <c r="T1887" s="29" t="str">
        <f t="shared" ref="T1887:T1895" si="81">HYPERLINK("https://ictv.global/ictv/proposals/2021.010B.R.Binomial_names.zip","2021.010B.R.Binomial_names.zip")</f>
        <v>2021.010B.R.Binomial_names.zip</v>
      </c>
      <c r="U1887" s="29" t="str">
        <f>HYPERLINK("https://ictv.global/taxonomy/taxondetails?taxnode_id=202300598","ictv.global=202300598")</f>
        <v>ictv.global=202300598</v>
      </c>
    </row>
    <row r="1888" spans="1:21">
      <c r="A1888">
        <v>1887</v>
      </c>
      <c r="B1888" s="30" t="s">
        <v>1587</v>
      </c>
      <c r="D1888" s="30" t="s">
        <v>1588</v>
      </c>
      <c r="F1888" s="30" t="s">
        <v>1591</v>
      </c>
      <c r="H1888" s="30" t="s">
        <v>1592</v>
      </c>
      <c r="L1888" s="30" t="s">
        <v>2325</v>
      </c>
      <c r="M1888" s="30" t="s">
        <v>185</v>
      </c>
      <c r="N1888" s="30" t="s">
        <v>2330</v>
      </c>
      <c r="P1888" s="30" t="s">
        <v>5587</v>
      </c>
      <c r="Q1888" t="s">
        <v>619</v>
      </c>
      <c r="R1888" t="s">
        <v>918</v>
      </c>
      <c r="S1888">
        <v>37</v>
      </c>
      <c r="T1888" s="29" t="str">
        <f t="shared" si="81"/>
        <v>2021.010B.R.Binomial_names.zip</v>
      </c>
      <c r="U1888" s="29" t="str">
        <f>HYPERLINK("https://ictv.global/taxonomy/taxondetails?taxnode_id=202311729","ictv.global=202311729")</f>
        <v>ictv.global=202311729</v>
      </c>
    </row>
    <row r="1889" spans="1:21">
      <c r="A1889">
        <v>1888</v>
      </c>
      <c r="B1889" s="30" t="s">
        <v>1587</v>
      </c>
      <c r="D1889" s="30" t="s">
        <v>1588</v>
      </c>
      <c r="F1889" s="30" t="s">
        <v>1591</v>
      </c>
      <c r="H1889" s="30" t="s">
        <v>1592</v>
      </c>
      <c r="L1889" s="30" t="s">
        <v>2325</v>
      </c>
      <c r="M1889" s="30" t="s">
        <v>185</v>
      </c>
      <c r="N1889" s="30" t="s">
        <v>2330</v>
      </c>
      <c r="P1889" s="30" t="s">
        <v>5588</v>
      </c>
      <c r="Q1889" t="s">
        <v>619</v>
      </c>
      <c r="R1889" t="s">
        <v>918</v>
      </c>
      <c r="S1889">
        <v>37</v>
      </c>
      <c r="T1889" s="29" t="str">
        <f t="shared" si="81"/>
        <v>2021.010B.R.Binomial_names.zip</v>
      </c>
      <c r="U1889" s="29" t="str">
        <f>HYPERLINK("https://ictv.global/taxonomy/taxondetails?taxnode_id=202311730","ictv.global=202311730")</f>
        <v>ictv.global=202311730</v>
      </c>
    </row>
    <row r="1890" spans="1:21">
      <c r="A1890">
        <v>1889</v>
      </c>
      <c r="B1890" s="30" t="s">
        <v>1587</v>
      </c>
      <c r="D1890" s="30" t="s">
        <v>1588</v>
      </c>
      <c r="F1890" s="30" t="s">
        <v>1591</v>
      </c>
      <c r="H1890" s="30" t="s">
        <v>1592</v>
      </c>
      <c r="L1890" s="30" t="s">
        <v>2325</v>
      </c>
      <c r="M1890" s="30" t="s">
        <v>185</v>
      </c>
      <c r="N1890" s="30" t="s">
        <v>1408</v>
      </c>
      <c r="P1890" s="30" t="s">
        <v>5589</v>
      </c>
      <c r="Q1890" t="s">
        <v>619</v>
      </c>
      <c r="R1890" t="s">
        <v>918</v>
      </c>
      <c r="S1890">
        <v>37</v>
      </c>
      <c r="T1890" s="29" t="str">
        <f t="shared" si="81"/>
        <v>2021.010B.R.Binomial_names.zip</v>
      </c>
      <c r="U1890" s="29" t="str">
        <f>HYPERLINK("https://ictv.global/taxonomy/taxondetails?taxnode_id=202311732","ictv.global=202311732")</f>
        <v>ictv.global=202311732</v>
      </c>
    </row>
    <row r="1891" spans="1:21">
      <c r="A1891">
        <v>1890</v>
      </c>
      <c r="B1891" s="30" t="s">
        <v>1587</v>
      </c>
      <c r="D1891" s="30" t="s">
        <v>1588</v>
      </c>
      <c r="F1891" s="30" t="s">
        <v>1591</v>
      </c>
      <c r="H1891" s="30" t="s">
        <v>1592</v>
      </c>
      <c r="L1891" s="30" t="s">
        <v>2325</v>
      </c>
      <c r="M1891" s="30" t="s">
        <v>185</v>
      </c>
      <c r="N1891" s="30" t="s">
        <v>1408</v>
      </c>
      <c r="P1891" s="30" t="s">
        <v>5590</v>
      </c>
      <c r="Q1891" t="s">
        <v>619</v>
      </c>
      <c r="R1891" t="s">
        <v>918</v>
      </c>
      <c r="S1891">
        <v>37</v>
      </c>
      <c r="T1891" s="29" t="str">
        <f t="shared" si="81"/>
        <v>2021.010B.R.Binomial_names.zip</v>
      </c>
      <c r="U1891" s="29" t="str">
        <f>HYPERLINK("https://ictv.global/taxonomy/taxondetails?taxnode_id=202311733","ictv.global=202311733")</f>
        <v>ictv.global=202311733</v>
      </c>
    </row>
    <row r="1892" spans="1:21">
      <c r="A1892">
        <v>1891</v>
      </c>
      <c r="B1892" s="30" t="s">
        <v>1587</v>
      </c>
      <c r="D1892" s="30" t="s">
        <v>1588</v>
      </c>
      <c r="F1892" s="30" t="s">
        <v>1591</v>
      </c>
      <c r="H1892" s="30" t="s">
        <v>1592</v>
      </c>
      <c r="L1892" s="30" t="s">
        <v>2325</v>
      </c>
      <c r="M1892" s="30" t="s">
        <v>185</v>
      </c>
      <c r="N1892" s="30" t="s">
        <v>1408</v>
      </c>
      <c r="P1892" s="30" t="s">
        <v>5591</v>
      </c>
      <c r="Q1892" t="s">
        <v>619</v>
      </c>
      <c r="R1892" t="s">
        <v>918</v>
      </c>
      <c r="S1892">
        <v>37</v>
      </c>
      <c r="T1892" s="29" t="str">
        <f t="shared" si="81"/>
        <v>2021.010B.R.Binomial_names.zip</v>
      </c>
      <c r="U1892" s="29" t="str">
        <f>HYPERLINK("https://ictv.global/taxonomy/taxondetails?taxnode_id=202300600","ictv.global=202300600")</f>
        <v>ictv.global=202300600</v>
      </c>
    </row>
    <row r="1893" spans="1:21">
      <c r="A1893">
        <v>1892</v>
      </c>
      <c r="B1893" s="30" t="s">
        <v>1587</v>
      </c>
      <c r="D1893" s="30" t="s">
        <v>1588</v>
      </c>
      <c r="F1893" s="30" t="s">
        <v>1591</v>
      </c>
      <c r="H1893" s="30" t="s">
        <v>1592</v>
      </c>
      <c r="L1893" s="30" t="s">
        <v>2325</v>
      </c>
      <c r="M1893" s="30" t="s">
        <v>185</v>
      </c>
      <c r="N1893" s="30" t="s">
        <v>1408</v>
      </c>
      <c r="P1893" s="30" t="s">
        <v>5592</v>
      </c>
      <c r="Q1893" t="s">
        <v>619</v>
      </c>
      <c r="R1893" t="s">
        <v>918</v>
      </c>
      <c r="S1893">
        <v>37</v>
      </c>
      <c r="T1893" s="29" t="str">
        <f t="shared" si="81"/>
        <v>2021.010B.R.Binomial_names.zip</v>
      </c>
      <c r="U1893" s="29" t="str">
        <f>HYPERLINK("https://ictv.global/taxonomy/taxondetails?taxnode_id=202311731","ictv.global=202311731")</f>
        <v>ictv.global=202311731</v>
      </c>
    </row>
    <row r="1894" spans="1:21">
      <c r="A1894">
        <v>1893</v>
      </c>
      <c r="B1894" s="30" t="s">
        <v>1587</v>
      </c>
      <c r="D1894" s="30" t="s">
        <v>1588</v>
      </c>
      <c r="F1894" s="30" t="s">
        <v>1591</v>
      </c>
      <c r="H1894" s="30" t="s">
        <v>1592</v>
      </c>
      <c r="L1894" s="30" t="s">
        <v>2325</v>
      </c>
      <c r="M1894" s="30" t="s">
        <v>2331</v>
      </c>
      <c r="N1894" s="30" t="s">
        <v>2332</v>
      </c>
      <c r="P1894" s="30" t="s">
        <v>5593</v>
      </c>
      <c r="Q1894" t="s">
        <v>619</v>
      </c>
      <c r="R1894" t="s">
        <v>918</v>
      </c>
      <c r="S1894">
        <v>37</v>
      </c>
      <c r="T1894" s="29" t="str">
        <f t="shared" si="81"/>
        <v>2021.010B.R.Binomial_names.zip</v>
      </c>
      <c r="U1894" s="29" t="str">
        <f>HYPERLINK("https://ictv.global/taxonomy/taxondetails?taxnode_id=202300599","ictv.global=202300599")</f>
        <v>ictv.global=202300599</v>
      </c>
    </row>
    <row r="1895" spans="1:21">
      <c r="A1895">
        <v>1894</v>
      </c>
      <c r="B1895" s="30" t="s">
        <v>1587</v>
      </c>
      <c r="D1895" s="30" t="s">
        <v>1588</v>
      </c>
      <c r="F1895" s="30" t="s">
        <v>1591</v>
      </c>
      <c r="H1895" s="30" t="s">
        <v>1592</v>
      </c>
      <c r="L1895" s="30" t="s">
        <v>2325</v>
      </c>
      <c r="M1895" s="30" t="s">
        <v>2331</v>
      </c>
      <c r="N1895" s="30" t="s">
        <v>2332</v>
      </c>
      <c r="P1895" s="30" t="s">
        <v>5594</v>
      </c>
      <c r="Q1895" t="s">
        <v>619</v>
      </c>
      <c r="R1895" t="s">
        <v>918</v>
      </c>
      <c r="S1895">
        <v>37</v>
      </c>
      <c r="T1895" s="29" t="str">
        <f t="shared" si="81"/>
        <v>2021.010B.R.Binomial_names.zip</v>
      </c>
      <c r="U1895" s="29" t="str">
        <f>HYPERLINK("https://ictv.global/taxonomy/taxondetails?taxnode_id=202311753","ictv.global=202311753")</f>
        <v>ictv.global=202311753</v>
      </c>
    </row>
    <row r="1896" spans="1:21">
      <c r="A1896">
        <v>1895</v>
      </c>
      <c r="B1896" s="30" t="s">
        <v>1587</v>
      </c>
      <c r="D1896" s="30" t="s">
        <v>1588</v>
      </c>
      <c r="F1896" s="30" t="s">
        <v>1591</v>
      </c>
      <c r="H1896" s="30" t="s">
        <v>1592</v>
      </c>
      <c r="L1896" s="30" t="s">
        <v>2325</v>
      </c>
      <c r="M1896" s="30" t="s">
        <v>2331</v>
      </c>
      <c r="N1896" s="30" t="s">
        <v>2332</v>
      </c>
      <c r="P1896" s="30" t="s">
        <v>12149</v>
      </c>
      <c r="Q1896" t="s">
        <v>619</v>
      </c>
      <c r="R1896" t="s">
        <v>917</v>
      </c>
      <c r="S1896">
        <v>39</v>
      </c>
      <c r="T1896" s="29" t="str">
        <f>HYPERLINK("https://ictv.global/ictv/proposals/2023.058B.Salasmaviridae_ng.zip","2023.058B.Salasmaviridae_ng.zip")</f>
        <v>2023.058B.Salasmaviridae_ng.zip</v>
      </c>
      <c r="U1896" s="29" t="str">
        <f>HYPERLINK("https://ictv.global/taxonomy/taxondetails?taxnode_id=202319264","ictv.global=202319264")</f>
        <v>ictv.global=202319264</v>
      </c>
    </row>
    <row r="1897" spans="1:21">
      <c r="A1897">
        <v>1896</v>
      </c>
      <c r="B1897" s="30" t="s">
        <v>1587</v>
      </c>
      <c r="D1897" s="30" t="s">
        <v>1588</v>
      </c>
      <c r="F1897" s="30" t="s">
        <v>1591</v>
      </c>
      <c r="H1897" s="30" t="s">
        <v>1592</v>
      </c>
      <c r="L1897" s="30" t="s">
        <v>2325</v>
      </c>
      <c r="M1897" s="30" t="s">
        <v>2331</v>
      </c>
      <c r="N1897" s="30" t="s">
        <v>2333</v>
      </c>
      <c r="P1897" s="30" t="s">
        <v>5595</v>
      </c>
      <c r="Q1897" t="s">
        <v>619</v>
      </c>
      <c r="R1897" t="s">
        <v>918</v>
      </c>
      <c r="S1897">
        <v>37</v>
      </c>
      <c r="T1897" s="29" t="str">
        <f>HYPERLINK("https://ictv.global/ictv/proposals/2021.010B.R.Binomial_names.zip","2021.010B.R.Binomial_names.zip")</f>
        <v>2021.010B.R.Binomial_names.zip</v>
      </c>
      <c r="U1897" s="29" t="str">
        <f>HYPERLINK("https://ictv.global/taxonomy/taxondetails?taxnode_id=202311751","ictv.global=202311751")</f>
        <v>ictv.global=202311751</v>
      </c>
    </row>
    <row r="1898" spans="1:21">
      <c r="A1898">
        <v>1897</v>
      </c>
      <c r="B1898" s="30" t="s">
        <v>1587</v>
      </c>
      <c r="D1898" s="30" t="s">
        <v>1588</v>
      </c>
      <c r="F1898" s="30" t="s">
        <v>1591</v>
      </c>
      <c r="H1898" s="30" t="s">
        <v>1592</v>
      </c>
      <c r="L1898" s="30" t="s">
        <v>2325</v>
      </c>
      <c r="N1898" s="30" t="s">
        <v>2334</v>
      </c>
      <c r="P1898" s="30" t="s">
        <v>5596</v>
      </c>
      <c r="Q1898" t="s">
        <v>619</v>
      </c>
      <c r="R1898" t="s">
        <v>918</v>
      </c>
      <c r="S1898">
        <v>37</v>
      </c>
      <c r="T1898" s="29" t="str">
        <f>HYPERLINK("https://ictv.global/ictv/proposals/2021.010B.R.Binomial_names.zip","2021.010B.R.Binomial_names.zip")</f>
        <v>2021.010B.R.Binomial_names.zip</v>
      </c>
      <c r="U1898" s="29" t="str">
        <f>HYPERLINK("https://ictv.global/taxonomy/taxondetails?taxnode_id=202311755","ictv.global=202311755")</f>
        <v>ictv.global=202311755</v>
      </c>
    </row>
    <row r="1899" spans="1:21">
      <c r="A1899">
        <v>1898</v>
      </c>
      <c r="B1899" s="30" t="s">
        <v>1587</v>
      </c>
      <c r="D1899" s="30" t="s">
        <v>1588</v>
      </c>
      <c r="F1899" s="30" t="s">
        <v>1591</v>
      </c>
      <c r="H1899" s="30" t="s">
        <v>1592</v>
      </c>
      <c r="L1899" s="30" t="s">
        <v>2325</v>
      </c>
      <c r="N1899" s="30" t="s">
        <v>2334</v>
      </c>
      <c r="P1899" s="30" t="s">
        <v>5597</v>
      </c>
      <c r="Q1899" t="s">
        <v>619</v>
      </c>
      <c r="R1899" t="s">
        <v>918</v>
      </c>
      <c r="S1899">
        <v>37</v>
      </c>
      <c r="T1899" s="29" t="str">
        <f>HYPERLINK("https://ictv.global/ictv/proposals/2021.010B.R.Binomial_names.zip","2021.010B.R.Binomial_names.zip")</f>
        <v>2021.010B.R.Binomial_names.zip</v>
      </c>
      <c r="U1899" s="29" t="str">
        <f>HYPERLINK("https://ictv.global/taxonomy/taxondetails?taxnode_id=202311756","ictv.global=202311756")</f>
        <v>ictv.global=202311756</v>
      </c>
    </row>
    <row r="1900" spans="1:21">
      <c r="A1900">
        <v>1899</v>
      </c>
      <c r="B1900" s="30" t="s">
        <v>1587</v>
      </c>
      <c r="D1900" s="30" t="s">
        <v>1588</v>
      </c>
      <c r="F1900" s="30" t="s">
        <v>1591</v>
      </c>
      <c r="H1900" s="30" t="s">
        <v>1592</v>
      </c>
      <c r="L1900" s="30" t="s">
        <v>2325</v>
      </c>
      <c r="N1900" s="30" t="s">
        <v>2334</v>
      </c>
      <c r="P1900" s="30" t="s">
        <v>5598</v>
      </c>
      <c r="Q1900" t="s">
        <v>619</v>
      </c>
      <c r="R1900" t="s">
        <v>917</v>
      </c>
      <c r="S1900">
        <v>37</v>
      </c>
      <c r="T1900" s="29" t="str">
        <f>HYPERLINK("https://ictv.global/ictv/proposals/2021.014B.R.Bundooravirus.zip","2021.014B.R.Bundooravirus.zip")</f>
        <v>2021.014B.R.Bundooravirus.zip</v>
      </c>
      <c r="U1900" s="29" t="str">
        <f>HYPERLINK("https://ictv.global/taxonomy/taxondetails?taxnode_id=202312983","ictv.global=202312983")</f>
        <v>ictv.global=202312983</v>
      </c>
    </row>
    <row r="1901" spans="1:21">
      <c r="A1901">
        <v>1900</v>
      </c>
      <c r="B1901" s="30" t="s">
        <v>1587</v>
      </c>
      <c r="D1901" s="30" t="s">
        <v>1588</v>
      </c>
      <c r="F1901" s="30" t="s">
        <v>1591</v>
      </c>
      <c r="H1901" s="30" t="s">
        <v>1592</v>
      </c>
      <c r="L1901" s="30" t="s">
        <v>2325</v>
      </c>
      <c r="N1901" s="30" t="s">
        <v>2335</v>
      </c>
      <c r="P1901" s="30" t="s">
        <v>5601</v>
      </c>
      <c r="Q1901" t="s">
        <v>619</v>
      </c>
      <c r="R1901" t="s">
        <v>918</v>
      </c>
      <c r="S1901">
        <v>37</v>
      </c>
      <c r="T1901" s="29" t="str">
        <f>HYPERLINK("https://ictv.global/ictv/proposals/2021.010B.R.Binomial_names.zip","2021.010B.R.Binomial_names.zip")</f>
        <v>2021.010B.R.Binomial_names.zip</v>
      </c>
      <c r="U1901" s="29" t="str">
        <f>HYPERLINK("https://ictv.global/taxonomy/taxondetails?taxnode_id=202311761","ictv.global=202311761")</f>
        <v>ictv.global=202311761</v>
      </c>
    </row>
    <row r="1902" spans="1:21">
      <c r="A1902">
        <v>1901</v>
      </c>
      <c r="B1902" s="30" t="s">
        <v>1587</v>
      </c>
      <c r="D1902" s="30" t="s">
        <v>1588</v>
      </c>
      <c r="F1902" s="30" t="s">
        <v>1591</v>
      </c>
      <c r="H1902" s="30" t="s">
        <v>1592</v>
      </c>
      <c r="L1902" s="30" t="s">
        <v>2325</v>
      </c>
      <c r="N1902" s="30" t="s">
        <v>2335</v>
      </c>
      <c r="P1902" s="30" t="s">
        <v>5602</v>
      </c>
      <c r="Q1902" t="s">
        <v>619</v>
      </c>
      <c r="R1902" t="s">
        <v>918</v>
      </c>
      <c r="S1902">
        <v>37</v>
      </c>
      <c r="T1902" s="29" t="str">
        <f>HYPERLINK("https://ictv.global/ictv/proposals/2021.010B.R.Binomial_names.zip","2021.010B.R.Binomial_names.zip")</f>
        <v>2021.010B.R.Binomial_names.zip</v>
      </c>
      <c r="U1902" s="29" t="str">
        <f>HYPERLINK("https://ictv.global/taxonomy/taxondetails?taxnode_id=202311760","ictv.global=202311760")</f>
        <v>ictv.global=202311760</v>
      </c>
    </row>
    <row r="1903" spans="1:21">
      <c r="A1903">
        <v>1902</v>
      </c>
      <c r="B1903" s="30" t="s">
        <v>1587</v>
      </c>
      <c r="D1903" s="30" t="s">
        <v>1588</v>
      </c>
      <c r="F1903" s="30" t="s">
        <v>1591</v>
      </c>
      <c r="H1903" s="30" t="s">
        <v>1592</v>
      </c>
      <c r="L1903" s="30" t="s">
        <v>2325</v>
      </c>
      <c r="N1903" s="30" t="s">
        <v>5603</v>
      </c>
      <c r="P1903" s="30" t="s">
        <v>5604</v>
      </c>
      <c r="Q1903" t="s">
        <v>619</v>
      </c>
      <c r="R1903" t="s">
        <v>917</v>
      </c>
      <c r="S1903">
        <v>37</v>
      </c>
      <c r="T1903" s="29" t="str">
        <f>HYPERLINK("https://ictv.global/ictv/proposals/2021.037B.R.Huangshavirus.zip","2021.037B.R.Huangshavirus.zip")</f>
        <v>2021.037B.R.Huangshavirus.zip</v>
      </c>
      <c r="U1903" s="29" t="str">
        <f>HYPERLINK("https://ictv.global/taxonomy/taxondetails?taxnode_id=202312346","ictv.global=202312346")</f>
        <v>ictv.global=202312346</v>
      </c>
    </row>
    <row r="1904" spans="1:21">
      <c r="A1904">
        <v>1903</v>
      </c>
      <c r="B1904" s="30" t="s">
        <v>1587</v>
      </c>
      <c r="D1904" s="30" t="s">
        <v>1588</v>
      </c>
      <c r="F1904" s="30" t="s">
        <v>1591</v>
      </c>
      <c r="H1904" s="30" t="s">
        <v>1592</v>
      </c>
      <c r="L1904" s="30" t="s">
        <v>2325</v>
      </c>
      <c r="N1904" s="30" t="s">
        <v>2336</v>
      </c>
      <c r="P1904" s="30" t="s">
        <v>5605</v>
      </c>
      <c r="Q1904" t="s">
        <v>619</v>
      </c>
      <c r="R1904" t="s">
        <v>918</v>
      </c>
      <c r="S1904">
        <v>37</v>
      </c>
      <c r="T1904" s="29" t="str">
        <f>HYPERLINK("https://ictv.global/ictv/proposals/2021.010B.R.Binomial_names.zip","2021.010B.R.Binomial_names.zip")</f>
        <v>2021.010B.R.Binomial_names.zip</v>
      </c>
      <c r="U1904" s="29" t="str">
        <f>HYPERLINK("https://ictv.global/taxonomy/taxondetails?taxnode_id=202311758","ictv.global=202311758")</f>
        <v>ictv.global=202311758</v>
      </c>
    </row>
    <row r="1905" spans="1:21">
      <c r="A1905">
        <v>1904</v>
      </c>
      <c r="B1905" s="30" t="s">
        <v>1587</v>
      </c>
      <c r="D1905" s="30" t="s">
        <v>1588</v>
      </c>
      <c r="F1905" s="30" t="s">
        <v>1591</v>
      </c>
      <c r="H1905" s="30" t="s">
        <v>1592</v>
      </c>
      <c r="L1905" s="30" t="s">
        <v>5606</v>
      </c>
      <c r="N1905" s="30" t="s">
        <v>5607</v>
      </c>
      <c r="P1905" s="30" t="s">
        <v>12150</v>
      </c>
      <c r="Q1905" t="s">
        <v>619</v>
      </c>
      <c r="R1905" t="s">
        <v>920</v>
      </c>
      <c r="S1905">
        <v>39</v>
      </c>
      <c r="T1905" s="29" t="str">
        <f>HYPERLINK("https://ictv.global/ictv/proposals/2023.001A.Archaeal_binomials.zip","2023.001A.Archaeal_binomials.zip")</f>
        <v>2023.001A.Archaeal_binomials.zip</v>
      </c>
      <c r="U1905" s="29" t="str">
        <f>HYPERLINK("https://ictv.global/taxonomy/taxondetails?taxnode_id=202312177","ictv.global=202312177")</f>
        <v>ictv.global=202312177</v>
      </c>
    </row>
    <row r="1906" spans="1:21">
      <c r="A1906">
        <v>1905</v>
      </c>
      <c r="B1906" s="30" t="s">
        <v>1587</v>
      </c>
      <c r="D1906" s="30" t="s">
        <v>1588</v>
      </c>
      <c r="F1906" s="30" t="s">
        <v>1591</v>
      </c>
      <c r="H1906" s="30" t="s">
        <v>1592</v>
      </c>
      <c r="L1906" s="30" t="s">
        <v>5606</v>
      </c>
      <c r="N1906" s="30" t="s">
        <v>5608</v>
      </c>
      <c r="P1906" s="30" t="s">
        <v>12151</v>
      </c>
      <c r="Q1906" t="s">
        <v>619</v>
      </c>
      <c r="R1906" t="s">
        <v>920</v>
      </c>
      <c r="S1906">
        <v>39</v>
      </c>
      <c r="T1906" s="29" t="str">
        <f>HYPERLINK("https://ictv.global/ictv/proposals/2023.001A.Archaeal_binomials.zip","2023.001A.Archaeal_binomials.zip")</f>
        <v>2023.001A.Archaeal_binomials.zip</v>
      </c>
      <c r="U1906" s="29" t="str">
        <f>HYPERLINK("https://ictv.global/taxonomy/taxondetails?taxnode_id=202312176","ictv.global=202312176")</f>
        <v>ictv.global=202312176</v>
      </c>
    </row>
    <row r="1907" spans="1:21">
      <c r="A1907">
        <v>1906</v>
      </c>
      <c r="B1907" s="30" t="s">
        <v>1587</v>
      </c>
      <c r="D1907" s="30" t="s">
        <v>1588</v>
      </c>
      <c r="F1907" s="30" t="s">
        <v>1591</v>
      </c>
      <c r="H1907" s="30" t="s">
        <v>1592</v>
      </c>
      <c r="L1907" s="30" t="s">
        <v>2337</v>
      </c>
      <c r="M1907" s="30" t="s">
        <v>5609</v>
      </c>
      <c r="N1907" s="30" t="s">
        <v>5610</v>
      </c>
      <c r="P1907" s="30" t="s">
        <v>5611</v>
      </c>
      <c r="Q1907" t="s">
        <v>619</v>
      </c>
      <c r="R1907" t="s">
        <v>917</v>
      </c>
      <c r="S1907">
        <v>38</v>
      </c>
      <c r="T1907" s="29" t="str">
        <f t="shared" ref="T1907:T1912" si="82">HYPERLINK("https://ictv.global/ictv/proposals/2022.073B.Schitoviridae_1nsf_9ng_30nsp.zip","2022.073B.Schitoviridae_1nsf_9ng_30nsp.zip")</f>
        <v>2022.073B.Schitoviridae_1nsf_9ng_30nsp.zip</v>
      </c>
      <c r="U1907" s="29" t="str">
        <f>HYPERLINK("https://ictv.global/taxonomy/taxondetails?taxnode_id=202314819","ictv.global=202314819")</f>
        <v>ictv.global=202314819</v>
      </c>
    </row>
    <row r="1908" spans="1:21">
      <c r="A1908">
        <v>1907</v>
      </c>
      <c r="B1908" s="30" t="s">
        <v>1587</v>
      </c>
      <c r="D1908" s="30" t="s">
        <v>1588</v>
      </c>
      <c r="F1908" s="30" t="s">
        <v>1591</v>
      </c>
      <c r="H1908" s="30" t="s">
        <v>1592</v>
      </c>
      <c r="L1908" s="30" t="s">
        <v>2337</v>
      </c>
      <c r="M1908" s="30" t="s">
        <v>5609</v>
      </c>
      <c r="N1908" s="30" t="s">
        <v>5610</v>
      </c>
      <c r="P1908" s="30" t="s">
        <v>5612</v>
      </c>
      <c r="Q1908" t="s">
        <v>619</v>
      </c>
      <c r="R1908" t="s">
        <v>917</v>
      </c>
      <c r="S1908">
        <v>38</v>
      </c>
      <c r="T1908" s="29" t="str">
        <f t="shared" si="82"/>
        <v>2022.073B.Schitoviridae_1nsf_9ng_30nsp.zip</v>
      </c>
      <c r="U1908" s="29" t="str">
        <f>HYPERLINK("https://ictv.global/taxonomy/taxondetails?taxnode_id=202314818","ictv.global=202314818")</f>
        <v>ictv.global=202314818</v>
      </c>
    </row>
    <row r="1909" spans="1:21">
      <c r="A1909">
        <v>1908</v>
      </c>
      <c r="B1909" s="30" t="s">
        <v>1587</v>
      </c>
      <c r="D1909" s="30" t="s">
        <v>1588</v>
      </c>
      <c r="F1909" s="30" t="s">
        <v>1591</v>
      </c>
      <c r="H1909" s="30" t="s">
        <v>1592</v>
      </c>
      <c r="L1909" s="30" t="s">
        <v>2337</v>
      </c>
      <c r="M1909" s="30" t="s">
        <v>5609</v>
      </c>
      <c r="N1909" s="30" t="s">
        <v>5610</v>
      </c>
      <c r="P1909" s="30" t="s">
        <v>5613</v>
      </c>
      <c r="Q1909" t="s">
        <v>619</v>
      </c>
      <c r="R1909" t="s">
        <v>917</v>
      </c>
      <c r="S1909">
        <v>38</v>
      </c>
      <c r="T1909" s="29" t="str">
        <f t="shared" si="82"/>
        <v>2022.073B.Schitoviridae_1nsf_9ng_30nsp.zip</v>
      </c>
      <c r="U1909" s="29" t="str">
        <f>HYPERLINK("https://ictv.global/taxonomy/taxondetails?taxnode_id=202314817","ictv.global=202314817")</f>
        <v>ictv.global=202314817</v>
      </c>
    </row>
    <row r="1910" spans="1:21">
      <c r="A1910">
        <v>1909</v>
      </c>
      <c r="B1910" s="30" t="s">
        <v>1587</v>
      </c>
      <c r="D1910" s="30" t="s">
        <v>1588</v>
      </c>
      <c r="F1910" s="30" t="s">
        <v>1591</v>
      </c>
      <c r="H1910" s="30" t="s">
        <v>1592</v>
      </c>
      <c r="L1910" s="30" t="s">
        <v>2337</v>
      </c>
      <c r="M1910" s="30" t="s">
        <v>5609</v>
      </c>
      <c r="N1910" s="30" t="s">
        <v>5610</v>
      </c>
      <c r="P1910" s="30" t="s">
        <v>5614</v>
      </c>
      <c r="Q1910" t="s">
        <v>619</v>
      </c>
      <c r="R1910" t="s">
        <v>917</v>
      </c>
      <c r="S1910">
        <v>38</v>
      </c>
      <c r="T1910" s="29" t="str">
        <f t="shared" si="82"/>
        <v>2022.073B.Schitoviridae_1nsf_9ng_30nsp.zip</v>
      </c>
      <c r="U1910" s="29" t="str">
        <f>HYPERLINK("https://ictv.global/taxonomy/taxondetails?taxnode_id=202314816","ictv.global=202314816")</f>
        <v>ictv.global=202314816</v>
      </c>
    </row>
    <row r="1911" spans="1:21">
      <c r="A1911">
        <v>1910</v>
      </c>
      <c r="B1911" s="30" t="s">
        <v>1587</v>
      </c>
      <c r="D1911" s="30" t="s">
        <v>1588</v>
      </c>
      <c r="F1911" s="30" t="s">
        <v>1591</v>
      </c>
      <c r="H1911" s="30" t="s">
        <v>1592</v>
      </c>
      <c r="L1911" s="30" t="s">
        <v>2337</v>
      </c>
      <c r="M1911" s="30" t="s">
        <v>5609</v>
      </c>
      <c r="N1911" s="30" t="s">
        <v>5615</v>
      </c>
      <c r="P1911" s="30" t="s">
        <v>5616</v>
      </c>
      <c r="Q1911" t="s">
        <v>619</v>
      </c>
      <c r="R1911" t="s">
        <v>917</v>
      </c>
      <c r="S1911">
        <v>38</v>
      </c>
      <c r="T1911" s="29" t="str">
        <f t="shared" si="82"/>
        <v>2022.073B.Schitoviridae_1nsf_9ng_30nsp.zip</v>
      </c>
      <c r="U1911" s="29" t="str">
        <f>HYPERLINK("https://ictv.global/taxonomy/taxondetails?taxnode_id=202314815","ictv.global=202314815")</f>
        <v>ictv.global=202314815</v>
      </c>
    </row>
    <row r="1912" spans="1:21">
      <c r="A1912">
        <v>1911</v>
      </c>
      <c r="B1912" s="30" t="s">
        <v>1587</v>
      </c>
      <c r="D1912" s="30" t="s">
        <v>1588</v>
      </c>
      <c r="F1912" s="30" t="s">
        <v>1591</v>
      </c>
      <c r="H1912" s="30" t="s">
        <v>1592</v>
      </c>
      <c r="L1912" s="30" t="s">
        <v>2337</v>
      </c>
      <c r="M1912" s="30" t="s">
        <v>5609</v>
      </c>
      <c r="N1912" s="30" t="s">
        <v>5615</v>
      </c>
      <c r="P1912" s="30" t="s">
        <v>5617</v>
      </c>
      <c r="Q1912" t="s">
        <v>619</v>
      </c>
      <c r="R1912" t="s">
        <v>917</v>
      </c>
      <c r="S1912">
        <v>38</v>
      </c>
      <c r="T1912" s="29" t="str">
        <f t="shared" si="82"/>
        <v>2022.073B.Schitoviridae_1nsf_9ng_30nsp.zip</v>
      </c>
      <c r="U1912" s="29" t="str">
        <f>HYPERLINK("https://ictv.global/taxonomy/taxondetails?taxnode_id=202314814","ictv.global=202314814")</f>
        <v>ictv.global=202314814</v>
      </c>
    </row>
    <row r="1913" spans="1:21">
      <c r="A1913">
        <v>1912</v>
      </c>
      <c r="B1913" s="30" t="s">
        <v>1587</v>
      </c>
      <c r="D1913" s="30" t="s">
        <v>1588</v>
      </c>
      <c r="F1913" s="30" t="s">
        <v>1591</v>
      </c>
      <c r="H1913" s="30" t="s">
        <v>1592</v>
      </c>
      <c r="L1913" s="30" t="s">
        <v>2337</v>
      </c>
      <c r="M1913" s="30" t="s">
        <v>2338</v>
      </c>
      <c r="N1913" s="30" t="s">
        <v>1418</v>
      </c>
      <c r="P1913" s="30" t="s">
        <v>5618</v>
      </c>
      <c r="Q1913" t="s">
        <v>619</v>
      </c>
      <c r="R1913" t="s">
        <v>918</v>
      </c>
      <c r="S1913">
        <v>37</v>
      </c>
      <c r="T1913" s="29" t="str">
        <f t="shared" ref="T1913:T1918" si="83">HYPERLINK("https://ictv.global/ictv/proposals/2021.010B.R.Binomial_names.zip","2021.010B.R.Binomial_names.zip")</f>
        <v>2021.010B.R.Binomial_names.zip</v>
      </c>
      <c r="U1913" s="29" t="str">
        <f>HYPERLINK("https://ictv.global/taxonomy/taxondetails?taxnode_id=202300672","ictv.global=202300672")</f>
        <v>ictv.global=202300672</v>
      </c>
    </row>
    <row r="1914" spans="1:21">
      <c r="A1914">
        <v>1913</v>
      </c>
      <c r="B1914" s="30" t="s">
        <v>1587</v>
      </c>
      <c r="D1914" s="30" t="s">
        <v>1588</v>
      </c>
      <c r="F1914" s="30" t="s">
        <v>1591</v>
      </c>
      <c r="H1914" s="30" t="s">
        <v>1592</v>
      </c>
      <c r="L1914" s="30" t="s">
        <v>2337</v>
      </c>
      <c r="M1914" s="30" t="s">
        <v>2338</v>
      </c>
      <c r="N1914" s="30" t="s">
        <v>1420</v>
      </c>
      <c r="P1914" s="30" t="s">
        <v>5619</v>
      </c>
      <c r="Q1914" t="s">
        <v>619</v>
      </c>
      <c r="R1914" t="s">
        <v>918</v>
      </c>
      <c r="S1914">
        <v>37</v>
      </c>
      <c r="T1914" s="29" t="str">
        <f t="shared" si="83"/>
        <v>2021.010B.R.Binomial_names.zip</v>
      </c>
      <c r="U1914" s="29" t="str">
        <f>HYPERLINK("https://ictv.global/taxonomy/taxondetails?taxnode_id=202300643","ictv.global=202300643")</f>
        <v>ictv.global=202300643</v>
      </c>
    </row>
    <row r="1915" spans="1:21">
      <c r="A1915">
        <v>1914</v>
      </c>
      <c r="B1915" s="30" t="s">
        <v>1587</v>
      </c>
      <c r="D1915" s="30" t="s">
        <v>1588</v>
      </c>
      <c r="F1915" s="30" t="s">
        <v>1591</v>
      </c>
      <c r="H1915" s="30" t="s">
        <v>1592</v>
      </c>
      <c r="L1915" s="30" t="s">
        <v>2337</v>
      </c>
      <c r="M1915" s="30" t="s">
        <v>2338</v>
      </c>
      <c r="N1915" s="30" t="s">
        <v>1420</v>
      </c>
      <c r="P1915" s="30" t="s">
        <v>5620</v>
      </c>
      <c r="Q1915" t="s">
        <v>619</v>
      </c>
      <c r="R1915" t="s">
        <v>918</v>
      </c>
      <c r="S1915">
        <v>37</v>
      </c>
      <c r="T1915" s="29" t="str">
        <f t="shared" si="83"/>
        <v>2021.010B.R.Binomial_names.zip</v>
      </c>
      <c r="U1915" s="29" t="str">
        <f>HYPERLINK("https://ictv.global/taxonomy/taxondetails?taxnode_id=202300644","ictv.global=202300644")</f>
        <v>ictv.global=202300644</v>
      </c>
    </row>
    <row r="1916" spans="1:21">
      <c r="A1916">
        <v>1915</v>
      </c>
      <c r="B1916" s="30" t="s">
        <v>1587</v>
      </c>
      <c r="D1916" s="30" t="s">
        <v>1588</v>
      </c>
      <c r="F1916" s="30" t="s">
        <v>1591</v>
      </c>
      <c r="H1916" s="30" t="s">
        <v>1592</v>
      </c>
      <c r="L1916" s="30" t="s">
        <v>2337</v>
      </c>
      <c r="M1916" s="30" t="s">
        <v>2338</v>
      </c>
      <c r="N1916" s="30" t="s">
        <v>1420</v>
      </c>
      <c r="P1916" s="30" t="s">
        <v>5621</v>
      </c>
      <c r="Q1916" t="s">
        <v>619</v>
      </c>
      <c r="R1916" t="s">
        <v>918</v>
      </c>
      <c r="S1916">
        <v>37</v>
      </c>
      <c r="T1916" s="29" t="str">
        <f t="shared" si="83"/>
        <v>2021.010B.R.Binomial_names.zip</v>
      </c>
      <c r="U1916" s="29" t="str">
        <f>HYPERLINK("https://ictv.global/taxonomy/taxondetails?taxnode_id=202300645","ictv.global=202300645")</f>
        <v>ictv.global=202300645</v>
      </c>
    </row>
    <row r="1917" spans="1:21">
      <c r="A1917">
        <v>1916</v>
      </c>
      <c r="B1917" s="30" t="s">
        <v>1587</v>
      </c>
      <c r="D1917" s="30" t="s">
        <v>1588</v>
      </c>
      <c r="F1917" s="30" t="s">
        <v>1591</v>
      </c>
      <c r="H1917" s="30" t="s">
        <v>1592</v>
      </c>
      <c r="L1917" s="30" t="s">
        <v>2337</v>
      </c>
      <c r="M1917" s="30" t="s">
        <v>2338</v>
      </c>
      <c r="N1917" s="30" t="s">
        <v>1420</v>
      </c>
      <c r="P1917" s="30" t="s">
        <v>5622</v>
      </c>
      <c r="Q1917" t="s">
        <v>619</v>
      </c>
      <c r="R1917" t="s">
        <v>918</v>
      </c>
      <c r="S1917">
        <v>37</v>
      </c>
      <c r="T1917" s="29" t="str">
        <f t="shared" si="83"/>
        <v>2021.010B.R.Binomial_names.zip</v>
      </c>
      <c r="U1917" s="29" t="str">
        <f>HYPERLINK("https://ictv.global/taxonomy/taxondetails?taxnode_id=202300646","ictv.global=202300646")</f>
        <v>ictv.global=202300646</v>
      </c>
    </row>
    <row r="1918" spans="1:21">
      <c r="A1918">
        <v>1917</v>
      </c>
      <c r="B1918" s="30" t="s">
        <v>1587</v>
      </c>
      <c r="D1918" s="30" t="s">
        <v>1588</v>
      </c>
      <c r="F1918" s="30" t="s">
        <v>1591</v>
      </c>
      <c r="H1918" s="30" t="s">
        <v>1592</v>
      </c>
      <c r="L1918" s="30" t="s">
        <v>2337</v>
      </c>
      <c r="M1918" s="30" t="s">
        <v>2338</v>
      </c>
      <c r="N1918" s="30" t="s">
        <v>1420</v>
      </c>
      <c r="P1918" s="30" t="s">
        <v>5623</v>
      </c>
      <c r="Q1918" t="s">
        <v>619</v>
      </c>
      <c r="R1918" t="s">
        <v>918</v>
      </c>
      <c r="S1918">
        <v>37</v>
      </c>
      <c r="T1918" s="29" t="str">
        <f t="shared" si="83"/>
        <v>2021.010B.R.Binomial_names.zip</v>
      </c>
      <c r="U1918" s="29" t="str">
        <f>HYPERLINK("https://ictv.global/taxonomy/taxondetails?taxnode_id=202300647","ictv.global=202300647")</f>
        <v>ictv.global=202300647</v>
      </c>
    </row>
    <row r="1919" spans="1:21">
      <c r="A1919">
        <v>1918</v>
      </c>
      <c r="B1919" s="30" t="s">
        <v>1587</v>
      </c>
      <c r="D1919" s="30" t="s">
        <v>1588</v>
      </c>
      <c r="F1919" s="30" t="s">
        <v>1591</v>
      </c>
      <c r="H1919" s="30" t="s">
        <v>1592</v>
      </c>
      <c r="L1919" s="30" t="s">
        <v>2337</v>
      </c>
      <c r="M1919" s="30" t="s">
        <v>2338</v>
      </c>
      <c r="N1919" s="30" t="s">
        <v>1420</v>
      </c>
      <c r="P1919" s="30" t="s">
        <v>5624</v>
      </c>
      <c r="Q1919" t="s">
        <v>619</v>
      </c>
      <c r="R1919" t="s">
        <v>917</v>
      </c>
      <c r="S1919">
        <v>38</v>
      </c>
      <c r="T1919" s="29" t="str">
        <f>HYPERLINK("https://ictv.global/ictv/proposals/2022.073B.Schitoviridae_1nsf_9ng_30nsp.zip","2022.073B.Schitoviridae_1nsf_9ng_30nsp.zip")</f>
        <v>2022.073B.Schitoviridae_1nsf_9ng_30nsp.zip</v>
      </c>
      <c r="U1919" s="29" t="str">
        <f>HYPERLINK("https://ictv.global/taxonomy/taxondetails?taxnode_id=202314835","ictv.global=202314835")</f>
        <v>ictv.global=202314835</v>
      </c>
    </row>
    <row r="1920" spans="1:21">
      <c r="A1920">
        <v>1919</v>
      </c>
      <c r="B1920" s="30" t="s">
        <v>1587</v>
      </c>
      <c r="D1920" s="30" t="s">
        <v>1588</v>
      </c>
      <c r="F1920" s="30" t="s">
        <v>1591</v>
      </c>
      <c r="H1920" s="30" t="s">
        <v>1592</v>
      </c>
      <c r="L1920" s="30" t="s">
        <v>2337</v>
      </c>
      <c r="M1920" s="30" t="s">
        <v>2338</v>
      </c>
      <c r="N1920" s="30" t="s">
        <v>1420</v>
      </c>
      <c r="P1920" s="30" t="s">
        <v>5625</v>
      </c>
      <c r="Q1920" t="s">
        <v>619</v>
      </c>
      <c r="R1920" t="s">
        <v>918</v>
      </c>
      <c r="S1920">
        <v>37</v>
      </c>
      <c r="T1920" s="29" t="str">
        <f>HYPERLINK("https://ictv.global/ictv/proposals/2021.010B.R.Binomial_names.zip","2021.010B.R.Binomial_names.zip")</f>
        <v>2021.010B.R.Binomial_names.zip</v>
      </c>
      <c r="U1920" s="29" t="str">
        <f>HYPERLINK("https://ictv.global/taxonomy/taxondetails?taxnode_id=202300648","ictv.global=202300648")</f>
        <v>ictv.global=202300648</v>
      </c>
    </row>
    <row r="1921" spans="1:21">
      <c r="A1921">
        <v>1920</v>
      </c>
      <c r="B1921" s="30" t="s">
        <v>1587</v>
      </c>
      <c r="D1921" s="30" t="s">
        <v>1588</v>
      </c>
      <c r="F1921" s="30" t="s">
        <v>1591</v>
      </c>
      <c r="H1921" s="30" t="s">
        <v>1592</v>
      </c>
      <c r="L1921" s="30" t="s">
        <v>2337</v>
      </c>
      <c r="M1921" s="30" t="s">
        <v>2338</v>
      </c>
      <c r="N1921" s="30" t="s">
        <v>1420</v>
      </c>
      <c r="P1921" s="30" t="s">
        <v>5626</v>
      </c>
      <c r="Q1921" t="s">
        <v>619</v>
      </c>
      <c r="R1921" t="s">
        <v>918</v>
      </c>
      <c r="S1921">
        <v>37</v>
      </c>
      <c r="T1921" s="29" t="str">
        <f>HYPERLINK("https://ictv.global/ictv/proposals/2021.010B.R.Binomial_names.zip","2021.010B.R.Binomial_names.zip")</f>
        <v>2021.010B.R.Binomial_names.zip</v>
      </c>
      <c r="U1921" s="29" t="str">
        <f>HYPERLINK("https://ictv.global/taxonomy/taxondetails?taxnode_id=202300649","ictv.global=202300649")</f>
        <v>ictv.global=202300649</v>
      </c>
    </row>
    <row r="1922" spans="1:21">
      <c r="A1922">
        <v>1921</v>
      </c>
      <c r="B1922" s="30" t="s">
        <v>1587</v>
      </c>
      <c r="D1922" s="30" t="s">
        <v>1588</v>
      </c>
      <c r="F1922" s="30" t="s">
        <v>1591</v>
      </c>
      <c r="H1922" s="30" t="s">
        <v>1592</v>
      </c>
      <c r="L1922" s="30" t="s">
        <v>2337</v>
      </c>
      <c r="M1922" s="30" t="s">
        <v>2338</v>
      </c>
      <c r="N1922" s="30" t="s">
        <v>1420</v>
      </c>
      <c r="P1922" s="30" t="s">
        <v>5627</v>
      </c>
      <c r="Q1922" t="s">
        <v>619</v>
      </c>
      <c r="R1922" t="s">
        <v>917</v>
      </c>
      <c r="S1922">
        <v>38</v>
      </c>
      <c r="T1922" s="29" t="str">
        <f>HYPERLINK("https://ictv.global/ictv/proposals/2022.073B.Schitoviridae_1nsf_9ng_30nsp.zip","2022.073B.Schitoviridae_1nsf_9ng_30nsp.zip")</f>
        <v>2022.073B.Schitoviridae_1nsf_9ng_30nsp.zip</v>
      </c>
      <c r="U1922" s="29" t="str">
        <f>HYPERLINK("https://ictv.global/taxonomy/taxondetails?taxnode_id=202314836","ictv.global=202314836")</f>
        <v>ictv.global=202314836</v>
      </c>
    </row>
    <row r="1923" spans="1:21">
      <c r="A1923">
        <v>1922</v>
      </c>
      <c r="B1923" s="30" t="s">
        <v>1587</v>
      </c>
      <c r="D1923" s="30" t="s">
        <v>1588</v>
      </c>
      <c r="F1923" s="30" t="s">
        <v>1591</v>
      </c>
      <c r="H1923" s="30" t="s">
        <v>1592</v>
      </c>
      <c r="L1923" s="30" t="s">
        <v>2337</v>
      </c>
      <c r="M1923" s="30" t="s">
        <v>2338</v>
      </c>
      <c r="N1923" s="30" t="s">
        <v>1420</v>
      </c>
      <c r="P1923" s="30" t="s">
        <v>5628</v>
      </c>
      <c r="Q1923" t="s">
        <v>619</v>
      </c>
      <c r="R1923" t="s">
        <v>918</v>
      </c>
      <c r="S1923">
        <v>37</v>
      </c>
      <c r="T1923" s="29" t="str">
        <f>HYPERLINK("https://ictv.global/ictv/proposals/2021.010B.R.Binomial_names.zip","2021.010B.R.Binomial_names.zip")</f>
        <v>2021.010B.R.Binomial_names.zip</v>
      </c>
      <c r="U1923" s="29" t="str">
        <f>HYPERLINK("https://ictv.global/taxonomy/taxondetails?taxnode_id=202300650","ictv.global=202300650")</f>
        <v>ictv.global=202300650</v>
      </c>
    </row>
    <row r="1924" spans="1:21">
      <c r="A1924">
        <v>1923</v>
      </c>
      <c r="B1924" s="30" t="s">
        <v>1587</v>
      </c>
      <c r="D1924" s="30" t="s">
        <v>1588</v>
      </c>
      <c r="F1924" s="30" t="s">
        <v>1591</v>
      </c>
      <c r="H1924" s="30" t="s">
        <v>1592</v>
      </c>
      <c r="L1924" s="30" t="s">
        <v>2337</v>
      </c>
      <c r="M1924" s="30" t="s">
        <v>2338</v>
      </c>
      <c r="N1924" s="30" t="s">
        <v>1420</v>
      </c>
      <c r="P1924" s="30" t="s">
        <v>5629</v>
      </c>
      <c r="Q1924" t="s">
        <v>619</v>
      </c>
      <c r="R1924" t="s">
        <v>917</v>
      </c>
      <c r="S1924">
        <v>38</v>
      </c>
      <c r="T1924" s="29" t="str">
        <f>HYPERLINK("https://ictv.global/ictv/proposals/2022.073B.Schitoviridae_1nsf_9ng_30nsp.zip","2022.073B.Schitoviridae_1nsf_9ng_30nsp.zip")</f>
        <v>2022.073B.Schitoviridae_1nsf_9ng_30nsp.zip</v>
      </c>
      <c r="U1924" s="29" t="str">
        <f>HYPERLINK("https://ictv.global/taxonomy/taxondetails?taxnode_id=202314834","ictv.global=202314834")</f>
        <v>ictv.global=202314834</v>
      </c>
    </row>
    <row r="1925" spans="1:21">
      <c r="A1925">
        <v>1924</v>
      </c>
      <c r="B1925" s="30" t="s">
        <v>1587</v>
      </c>
      <c r="D1925" s="30" t="s">
        <v>1588</v>
      </c>
      <c r="F1925" s="30" t="s">
        <v>1591</v>
      </c>
      <c r="H1925" s="30" t="s">
        <v>1592</v>
      </c>
      <c r="L1925" s="30" t="s">
        <v>2337</v>
      </c>
      <c r="M1925" s="30" t="s">
        <v>2338</v>
      </c>
      <c r="N1925" s="30" t="s">
        <v>1420</v>
      </c>
      <c r="P1925" s="30" t="s">
        <v>5630</v>
      </c>
      <c r="Q1925" t="s">
        <v>619</v>
      </c>
      <c r="R1925" t="s">
        <v>917</v>
      </c>
      <c r="S1925">
        <v>38</v>
      </c>
      <c r="T1925" s="29" t="str">
        <f>HYPERLINK("https://ictv.global/ictv/proposals/2022.073B.Schitoviridae_1nsf_9ng_30nsp.zip","2022.073B.Schitoviridae_1nsf_9ng_30nsp.zip")</f>
        <v>2022.073B.Schitoviridae_1nsf_9ng_30nsp.zip</v>
      </c>
      <c r="U1925" s="29" t="str">
        <f>HYPERLINK("https://ictv.global/taxonomy/taxondetails?taxnode_id=202314838","ictv.global=202314838")</f>
        <v>ictv.global=202314838</v>
      </c>
    </row>
    <row r="1926" spans="1:21">
      <c r="A1926">
        <v>1925</v>
      </c>
      <c r="B1926" s="30" t="s">
        <v>1587</v>
      </c>
      <c r="D1926" s="30" t="s">
        <v>1588</v>
      </c>
      <c r="F1926" s="30" t="s">
        <v>1591</v>
      </c>
      <c r="H1926" s="30" t="s">
        <v>1592</v>
      </c>
      <c r="L1926" s="30" t="s">
        <v>2337</v>
      </c>
      <c r="M1926" s="30" t="s">
        <v>2338</v>
      </c>
      <c r="N1926" s="30" t="s">
        <v>1420</v>
      </c>
      <c r="P1926" s="30" t="s">
        <v>5631</v>
      </c>
      <c r="Q1926" t="s">
        <v>619</v>
      </c>
      <c r="R1926" t="s">
        <v>917</v>
      </c>
      <c r="S1926">
        <v>38</v>
      </c>
      <c r="T1926" s="29" t="str">
        <f>HYPERLINK("https://ictv.global/ictv/proposals/2022.073B.Schitoviridae_1nsf_9ng_30nsp.zip","2022.073B.Schitoviridae_1nsf_9ng_30nsp.zip")</f>
        <v>2022.073B.Schitoviridae_1nsf_9ng_30nsp.zip</v>
      </c>
      <c r="U1926" s="29" t="str">
        <f>HYPERLINK("https://ictv.global/taxonomy/taxondetails?taxnode_id=202314837","ictv.global=202314837")</f>
        <v>ictv.global=202314837</v>
      </c>
    </row>
    <row r="1927" spans="1:21">
      <c r="A1927">
        <v>1926</v>
      </c>
      <c r="B1927" s="30" t="s">
        <v>1587</v>
      </c>
      <c r="D1927" s="30" t="s">
        <v>1588</v>
      </c>
      <c r="F1927" s="30" t="s">
        <v>1591</v>
      </c>
      <c r="H1927" s="30" t="s">
        <v>1592</v>
      </c>
      <c r="L1927" s="30" t="s">
        <v>2337</v>
      </c>
      <c r="M1927" s="30" t="s">
        <v>2338</v>
      </c>
      <c r="N1927" s="30" t="s">
        <v>1420</v>
      </c>
      <c r="P1927" s="30" t="s">
        <v>5632</v>
      </c>
      <c r="Q1927" t="s">
        <v>619</v>
      </c>
      <c r="R1927" t="s">
        <v>917</v>
      </c>
      <c r="S1927">
        <v>38</v>
      </c>
      <c r="T1927" s="29" t="str">
        <f>HYPERLINK("https://ictv.global/ictv/proposals/2022.073B.Schitoviridae_1nsf_9ng_30nsp.zip","2022.073B.Schitoviridae_1nsf_9ng_30nsp.zip")</f>
        <v>2022.073B.Schitoviridae_1nsf_9ng_30nsp.zip</v>
      </c>
      <c r="U1927" s="29" t="str">
        <f>HYPERLINK("https://ictv.global/taxonomy/taxondetails?taxnode_id=202314839","ictv.global=202314839")</f>
        <v>ictv.global=202314839</v>
      </c>
    </row>
    <row r="1928" spans="1:21">
      <c r="A1928">
        <v>1927</v>
      </c>
      <c r="B1928" s="30" t="s">
        <v>1587</v>
      </c>
      <c r="D1928" s="30" t="s">
        <v>1588</v>
      </c>
      <c r="F1928" s="30" t="s">
        <v>1591</v>
      </c>
      <c r="H1928" s="30" t="s">
        <v>1592</v>
      </c>
      <c r="L1928" s="30" t="s">
        <v>2337</v>
      </c>
      <c r="M1928" s="30" t="s">
        <v>2338</v>
      </c>
      <c r="N1928" s="30" t="s">
        <v>2339</v>
      </c>
      <c r="P1928" s="30" t="s">
        <v>5633</v>
      </c>
      <c r="Q1928" t="s">
        <v>619</v>
      </c>
      <c r="R1928" t="s">
        <v>918</v>
      </c>
      <c r="S1928">
        <v>37</v>
      </c>
      <c r="T1928" s="29" t="str">
        <f>HYPERLINK("https://ictv.global/ictv/proposals/2021.010B.R.Binomial_names.zip","2021.010B.R.Binomial_names.zip")</f>
        <v>2021.010B.R.Binomial_names.zip</v>
      </c>
      <c r="U1928" s="29" t="str">
        <f>HYPERLINK("https://ictv.global/taxonomy/taxondetails?taxnode_id=202311771","ictv.global=202311771")</f>
        <v>ictv.global=202311771</v>
      </c>
    </row>
    <row r="1929" spans="1:21">
      <c r="A1929">
        <v>1928</v>
      </c>
      <c r="B1929" s="30" t="s">
        <v>1587</v>
      </c>
      <c r="D1929" s="30" t="s">
        <v>1588</v>
      </c>
      <c r="F1929" s="30" t="s">
        <v>1591</v>
      </c>
      <c r="H1929" s="30" t="s">
        <v>1592</v>
      </c>
      <c r="L1929" s="30" t="s">
        <v>2337</v>
      </c>
      <c r="M1929" s="30" t="s">
        <v>2338</v>
      </c>
      <c r="N1929" s="30" t="s">
        <v>5634</v>
      </c>
      <c r="P1929" s="30" t="s">
        <v>5635</v>
      </c>
      <c r="Q1929" t="s">
        <v>619</v>
      </c>
      <c r="R1929" t="s">
        <v>917</v>
      </c>
      <c r="S1929">
        <v>38</v>
      </c>
      <c r="T1929" s="29" t="str">
        <f>HYPERLINK("https://ictv.global/ictv/proposals/2022.073B.Schitoviridae_1nsf_9ng_30nsp.zip","2022.073B.Schitoviridae_1nsf_9ng_30nsp.zip")</f>
        <v>2022.073B.Schitoviridae_1nsf_9ng_30nsp.zip</v>
      </c>
      <c r="U1929" s="29" t="str">
        <f>HYPERLINK("https://ictv.global/taxonomy/taxondetails?taxnode_id=202314813","ictv.global=202314813")</f>
        <v>ictv.global=202314813</v>
      </c>
    </row>
    <row r="1930" spans="1:21">
      <c r="A1930">
        <v>1929</v>
      </c>
      <c r="B1930" s="30" t="s">
        <v>1587</v>
      </c>
      <c r="D1930" s="30" t="s">
        <v>1588</v>
      </c>
      <c r="F1930" s="30" t="s">
        <v>1591</v>
      </c>
      <c r="H1930" s="30" t="s">
        <v>1592</v>
      </c>
      <c r="L1930" s="30" t="s">
        <v>2337</v>
      </c>
      <c r="M1930" s="30" t="s">
        <v>2340</v>
      </c>
      <c r="N1930" s="30" t="s">
        <v>1424</v>
      </c>
      <c r="P1930" s="30" t="s">
        <v>5636</v>
      </c>
      <c r="Q1930" t="s">
        <v>619</v>
      </c>
      <c r="R1930" t="s">
        <v>918</v>
      </c>
      <c r="S1930">
        <v>37</v>
      </c>
      <c r="T1930" s="29" t="str">
        <f t="shared" ref="T1930:T1941" si="84">HYPERLINK("https://ictv.global/ictv/proposals/2021.010B.R.Binomial_names.zip","2021.010B.R.Binomial_names.zip")</f>
        <v>2021.010B.R.Binomial_names.zip</v>
      </c>
      <c r="U1930" s="29" t="str">
        <f>HYPERLINK("https://ictv.global/taxonomy/taxondetails?taxnode_id=202300633","ictv.global=202300633")</f>
        <v>ictv.global=202300633</v>
      </c>
    </row>
    <row r="1931" spans="1:21">
      <c r="A1931">
        <v>1930</v>
      </c>
      <c r="B1931" s="30" t="s">
        <v>1587</v>
      </c>
      <c r="D1931" s="30" t="s">
        <v>1588</v>
      </c>
      <c r="F1931" s="30" t="s">
        <v>1591</v>
      </c>
      <c r="H1931" s="30" t="s">
        <v>1592</v>
      </c>
      <c r="L1931" s="30" t="s">
        <v>2337</v>
      </c>
      <c r="M1931" s="30" t="s">
        <v>2340</v>
      </c>
      <c r="N1931" s="30" t="s">
        <v>1424</v>
      </c>
      <c r="P1931" s="30" t="s">
        <v>5637</v>
      </c>
      <c r="Q1931" t="s">
        <v>619</v>
      </c>
      <c r="R1931" t="s">
        <v>918</v>
      </c>
      <c r="S1931">
        <v>37</v>
      </c>
      <c r="T1931" s="29" t="str">
        <f t="shared" si="84"/>
        <v>2021.010B.R.Binomial_names.zip</v>
      </c>
      <c r="U1931" s="29" t="str">
        <f>HYPERLINK("https://ictv.global/taxonomy/taxondetails?taxnode_id=202300634","ictv.global=202300634")</f>
        <v>ictv.global=202300634</v>
      </c>
    </row>
    <row r="1932" spans="1:21">
      <c r="A1932">
        <v>1931</v>
      </c>
      <c r="B1932" s="30" t="s">
        <v>1587</v>
      </c>
      <c r="D1932" s="30" t="s">
        <v>1588</v>
      </c>
      <c r="F1932" s="30" t="s">
        <v>1591</v>
      </c>
      <c r="H1932" s="30" t="s">
        <v>1592</v>
      </c>
      <c r="L1932" s="30" t="s">
        <v>2337</v>
      </c>
      <c r="M1932" s="30" t="s">
        <v>2340</v>
      </c>
      <c r="N1932" s="30" t="s">
        <v>2341</v>
      </c>
      <c r="P1932" s="30" t="s">
        <v>5638</v>
      </c>
      <c r="Q1932" t="s">
        <v>619</v>
      </c>
      <c r="R1932" t="s">
        <v>918</v>
      </c>
      <c r="S1932">
        <v>37</v>
      </c>
      <c r="T1932" s="29" t="str">
        <f t="shared" si="84"/>
        <v>2021.010B.R.Binomial_names.zip</v>
      </c>
      <c r="U1932" s="29" t="str">
        <f>HYPERLINK("https://ictv.global/taxonomy/taxondetails?taxnode_id=202311774","ictv.global=202311774")</f>
        <v>ictv.global=202311774</v>
      </c>
    </row>
    <row r="1933" spans="1:21">
      <c r="A1933">
        <v>1932</v>
      </c>
      <c r="B1933" s="30" t="s">
        <v>1587</v>
      </c>
      <c r="D1933" s="30" t="s">
        <v>1588</v>
      </c>
      <c r="F1933" s="30" t="s">
        <v>1591</v>
      </c>
      <c r="H1933" s="30" t="s">
        <v>1592</v>
      </c>
      <c r="L1933" s="30" t="s">
        <v>2337</v>
      </c>
      <c r="M1933" s="30" t="s">
        <v>2342</v>
      </c>
      <c r="N1933" s="30" t="s">
        <v>2343</v>
      </c>
      <c r="P1933" s="30" t="s">
        <v>5639</v>
      </c>
      <c r="Q1933" t="s">
        <v>619</v>
      </c>
      <c r="R1933" t="s">
        <v>918</v>
      </c>
      <c r="S1933">
        <v>37</v>
      </c>
      <c r="T1933" s="29" t="str">
        <f t="shared" si="84"/>
        <v>2021.010B.R.Binomial_names.zip</v>
      </c>
      <c r="U1933" s="29" t="str">
        <f>HYPERLINK("https://ictv.global/taxonomy/taxondetails?taxnode_id=202311779","ictv.global=202311779")</f>
        <v>ictv.global=202311779</v>
      </c>
    </row>
    <row r="1934" spans="1:21">
      <c r="A1934">
        <v>1933</v>
      </c>
      <c r="B1934" s="30" t="s">
        <v>1587</v>
      </c>
      <c r="D1934" s="30" t="s">
        <v>1588</v>
      </c>
      <c r="F1934" s="30" t="s">
        <v>1591</v>
      </c>
      <c r="H1934" s="30" t="s">
        <v>1592</v>
      </c>
      <c r="L1934" s="30" t="s">
        <v>2337</v>
      </c>
      <c r="M1934" s="30" t="s">
        <v>2342</v>
      </c>
      <c r="N1934" s="30" t="s">
        <v>2344</v>
      </c>
      <c r="P1934" s="30" t="s">
        <v>5640</v>
      </c>
      <c r="Q1934" t="s">
        <v>619</v>
      </c>
      <c r="R1934" t="s">
        <v>918</v>
      </c>
      <c r="S1934">
        <v>37</v>
      </c>
      <c r="T1934" s="29" t="str">
        <f t="shared" si="84"/>
        <v>2021.010B.R.Binomial_names.zip</v>
      </c>
      <c r="U1934" s="29" t="str">
        <f>HYPERLINK("https://ictv.global/taxonomy/taxondetails?taxnode_id=202311777","ictv.global=202311777")</f>
        <v>ictv.global=202311777</v>
      </c>
    </row>
    <row r="1935" spans="1:21">
      <c r="A1935">
        <v>1934</v>
      </c>
      <c r="B1935" s="30" t="s">
        <v>1587</v>
      </c>
      <c r="D1935" s="30" t="s">
        <v>1588</v>
      </c>
      <c r="F1935" s="30" t="s">
        <v>1591</v>
      </c>
      <c r="H1935" s="30" t="s">
        <v>1592</v>
      </c>
      <c r="L1935" s="30" t="s">
        <v>2337</v>
      </c>
      <c r="M1935" s="30" t="s">
        <v>2345</v>
      </c>
      <c r="N1935" s="30" t="s">
        <v>1422</v>
      </c>
      <c r="P1935" s="30" t="s">
        <v>5641</v>
      </c>
      <c r="Q1935" t="s">
        <v>619</v>
      </c>
      <c r="R1935" t="s">
        <v>918</v>
      </c>
      <c r="S1935">
        <v>37</v>
      </c>
      <c r="T1935" s="29" t="str">
        <f t="shared" si="84"/>
        <v>2021.010B.R.Binomial_names.zip</v>
      </c>
      <c r="U1935" s="29" t="str">
        <f>HYPERLINK("https://ictv.global/taxonomy/taxondetails?taxnode_id=202305495","ictv.global=202305495")</f>
        <v>ictv.global=202305495</v>
      </c>
    </row>
    <row r="1936" spans="1:21">
      <c r="A1936">
        <v>1935</v>
      </c>
      <c r="B1936" s="30" t="s">
        <v>1587</v>
      </c>
      <c r="D1936" s="30" t="s">
        <v>1588</v>
      </c>
      <c r="F1936" s="30" t="s">
        <v>1591</v>
      </c>
      <c r="H1936" s="30" t="s">
        <v>1592</v>
      </c>
      <c r="L1936" s="30" t="s">
        <v>2337</v>
      </c>
      <c r="M1936" s="30" t="s">
        <v>2345</v>
      </c>
      <c r="N1936" s="30" t="s">
        <v>1422</v>
      </c>
      <c r="P1936" s="30" t="s">
        <v>5642</v>
      </c>
      <c r="Q1936" t="s">
        <v>619</v>
      </c>
      <c r="R1936" t="s">
        <v>918</v>
      </c>
      <c r="S1936">
        <v>37</v>
      </c>
      <c r="T1936" s="29" t="str">
        <f t="shared" si="84"/>
        <v>2021.010B.R.Binomial_names.zip</v>
      </c>
      <c r="U1936" s="29" t="str">
        <f>HYPERLINK("https://ictv.global/taxonomy/taxondetails?taxnode_id=202305496","ictv.global=202305496")</f>
        <v>ictv.global=202305496</v>
      </c>
    </row>
    <row r="1937" spans="1:21">
      <c r="A1937">
        <v>1936</v>
      </c>
      <c r="B1937" s="30" t="s">
        <v>1587</v>
      </c>
      <c r="D1937" s="30" t="s">
        <v>1588</v>
      </c>
      <c r="F1937" s="30" t="s">
        <v>1591</v>
      </c>
      <c r="H1937" s="30" t="s">
        <v>1592</v>
      </c>
      <c r="L1937" s="30" t="s">
        <v>2337</v>
      </c>
      <c r="M1937" s="30" t="s">
        <v>2345</v>
      </c>
      <c r="N1937" s="30" t="s">
        <v>2346</v>
      </c>
      <c r="P1937" s="30" t="s">
        <v>5643</v>
      </c>
      <c r="Q1937" t="s">
        <v>619</v>
      </c>
      <c r="R1937" t="s">
        <v>918</v>
      </c>
      <c r="S1937">
        <v>37</v>
      </c>
      <c r="T1937" s="29" t="str">
        <f t="shared" si="84"/>
        <v>2021.010B.R.Binomial_names.zip</v>
      </c>
      <c r="U1937" s="29" t="str">
        <f>HYPERLINK("https://ictv.global/taxonomy/taxondetails?taxnode_id=202305494","ictv.global=202305494")</f>
        <v>ictv.global=202305494</v>
      </c>
    </row>
    <row r="1938" spans="1:21">
      <c r="A1938">
        <v>1937</v>
      </c>
      <c r="B1938" s="30" t="s">
        <v>1587</v>
      </c>
      <c r="D1938" s="30" t="s">
        <v>1588</v>
      </c>
      <c r="F1938" s="30" t="s">
        <v>1591</v>
      </c>
      <c r="H1938" s="30" t="s">
        <v>1592</v>
      </c>
      <c r="L1938" s="30" t="s">
        <v>2337</v>
      </c>
      <c r="M1938" s="30" t="s">
        <v>2345</v>
      </c>
      <c r="N1938" s="30" t="s">
        <v>2347</v>
      </c>
      <c r="P1938" s="30" t="s">
        <v>5644</v>
      </c>
      <c r="Q1938" t="s">
        <v>619</v>
      </c>
      <c r="R1938" t="s">
        <v>918</v>
      </c>
      <c r="S1938">
        <v>37</v>
      </c>
      <c r="T1938" s="29" t="str">
        <f t="shared" si="84"/>
        <v>2021.010B.R.Binomial_names.zip</v>
      </c>
      <c r="U1938" s="29" t="str">
        <f>HYPERLINK("https://ictv.global/taxonomy/taxondetails?taxnode_id=202311637","ictv.global=202311637")</f>
        <v>ictv.global=202311637</v>
      </c>
    </row>
    <row r="1939" spans="1:21">
      <c r="A1939">
        <v>1938</v>
      </c>
      <c r="B1939" s="30" t="s">
        <v>1587</v>
      </c>
      <c r="D1939" s="30" t="s">
        <v>1588</v>
      </c>
      <c r="F1939" s="30" t="s">
        <v>1591</v>
      </c>
      <c r="H1939" s="30" t="s">
        <v>1592</v>
      </c>
      <c r="L1939" s="30" t="s">
        <v>2337</v>
      </c>
      <c r="M1939" s="30" t="s">
        <v>2345</v>
      </c>
      <c r="N1939" s="30" t="s">
        <v>2347</v>
      </c>
      <c r="P1939" s="30" t="s">
        <v>5645</v>
      </c>
      <c r="Q1939" t="s">
        <v>619</v>
      </c>
      <c r="R1939" t="s">
        <v>918</v>
      </c>
      <c r="S1939">
        <v>37</v>
      </c>
      <c r="T1939" s="29" t="str">
        <f t="shared" si="84"/>
        <v>2021.010B.R.Binomial_names.zip</v>
      </c>
      <c r="U1939" s="29" t="str">
        <f>HYPERLINK("https://ictv.global/taxonomy/taxondetails?taxnode_id=202311636","ictv.global=202311636")</f>
        <v>ictv.global=202311636</v>
      </c>
    </row>
    <row r="1940" spans="1:21">
      <c r="A1940">
        <v>1939</v>
      </c>
      <c r="B1940" s="30" t="s">
        <v>1587</v>
      </c>
      <c r="D1940" s="30" t="s">
        <v>1588</v>
      </c>
      <c r="F1940" s="30" t="s">
        <v>1591</v>
      </c>
      <c r="H1940" s="30" t="s">
        <v>1592</v>
      </c>
      <c r="L1940" s="30" t="s">
        <v>2337</v>
      </c>
      <c r="M1940" s="30" t="s">
        <v>2348</v>
      </c>
      <c r="N1940" s="30" t="s">
        <v>1432</v>
      </c>
      <c r="P1940" s="30" t="s">
        <v>5646</v>
      </c>
      <c r="Q1940" t="s">
        <v>619</v>
      </c>
      <c r="R1940" t="s">
        <v>918</v>
      </c>
      <c r="S1940">
        <v>37</v>
      </c>
      <c r="T1940" s="29" t="str">
        <f t="shared" si="84"/>
        <v>2021.010B.R.Binomial_names.zip</v>
      </c>
      <c r="U1940" s="29" t="str">
        <f>HYPERLINK("https://ictv.global/taxonomy/taxondetails?taxnode_id=202300657","ictv.global=202300657")</f>
        <v>ictv.global=202300657</v>
      </c>
    </row>
    <row r="1941" spans="1:21">
      <c r="A1941">
        <v>1940</v>
      </c>
      <c r="B1941" s="30" t="s">
        <v>1587</v>
      </c>
      <c r="D1941" s="30" t="s">
        <v>1588</v>
      </c>
      <c r="F1941" s="30" t="s">
        <v>1591</v>
      </c>
      <c r="H1941" s="30" t="s">
        <v>1592</v>
      </c>
      <c r="L1941" s="30" t="s">
        <v>2337</v>
      </c>
      <c r="M1941" s="30" t="s">
        <v>2348</v>
      </c>
      <c r="N1941" s="30" t="s">
        <v>1432</v>
      </c>
      <c r="P1941" s="30" t="s">
        <v>5647</v>
      </c>
      <c r="Q1941" t="s">
        <v>619</v>
      </c>
      <c r="R1941" t="s">
        <v>918</v>
      </c>
      <c r="S1941">
        <v>37</v>
      </c>
      <c r="T1941" s="29" t="str">
        <f t="shared" si="84"/>
        <v>2021.010B.R.Binomial_names.zip</v>
      </c>
      <c r="U1941" s="29" t="str">
        <f>HYPERLINK("https://ictv.global/taxonomy/taxondetails?taxnode_id=202300658","ictv.global=202300658")</f>
        <v>ictv.global=202300658</v>
      </c>
    </row>
    <row r="1942" spans="1:21">
      <c r="A1942">
        <v>1941</v>
      </c>
      <c r="B1942" s="30" t="s">
        <v>1587</v>
      </c>
      <c r="D1942" s="30" t="s">
        <v>1588</v>
      </c>
      <c r="F1942" s="30" t="s">
        <v>1591</v>
      </c>
      <c r="H1942" s="30" t="s">
        <v>1592</v>
      </c>
      <c r="L1942" s="30" t="s">
        <v>2337</v>
      </c>
      <c r="M1942" s="30" t="s">
        <v>2348</v>
      </c>
      <c r="N1942" s="30" t="s">
        <v>1432</v>
      </c>
      <c r="P1942" s="30" t="s">
        <v>5648</v>
      </c>
      <c r="Q1942" t="s">
        <v>619</v>
      </c>
      <c r="R1942" t="s">
        <v>917</v>
      </c>
      <c r="S1942">
        <v>38</v>
      </c>
      <c r="T1942" s="29" t="str">
        <f>HYPERLINK("https://ictv.global/ictv/proposals/2022.073B.Schitoviridae_1nsf_9ng_30nsp.zip","2022.073B.Schitoviridae_1nsf_9ng_30nsp.zip")</f>
        <v>2022.073B.Schitoviridae_1nsf_9ng_30nsp.zip</v>
      </c>
      <c r="U1942" s="29" t="str">
        <f>HYPERLINK("https://ictv.global/taxonomy/taxondetails?taxnode_id=202314827","ictv.global=202314827")</f>
        <v>ictv.global=202314827</v>
      </c>
    </row>
    <row r="1943" spans="1:21">
      <c r="A1943">
        <v>1942</v>
      </c>
      <c r="B1943" s="30" t="s">
        <v>1587</v>
      </c>
      <c r="D1943" s="30" t="s">
        <v>1588</v>
      </c>
      <c r="F1943" s="30" t="s">
        <v>1591</v>
      </c>
      <c r="H1943" s="30" t="s">
        <v>1592</v>
      </c>
      <c r="L1943" s="30" t="s">
        <v>2337</v>
      </c>
      <c r="M1943" s="30" t="s">
        <v>2348</v>
      </c>
      <c r="N1943" s="30" t="s">
        <v>1432</v>
      </c>
      <c r="P1943" s="30" t="s">
        <v>5649</v>
      </c>
      <c r="Q1943" t="s">
        <v>619</v>
      </c>
      <c r="R1943" t="s">
        <v>917</v>
      </c>
      <c r="S1943">
        <v>38</v>
      </c>
      <c r="T1943" s="29" t="str">
        <f>HYPERLINK("https://ictv.global/ictv/proposals/2022.073B.Schitoviridae_1nsf_9ng_30nsp.zip","2022.073B.Schitoviridae_1nsf_9ng_30nsp.zip")</f>
        <v>2022.073B.Schitoviridae_1nsf_9ng_30nsp.zip</v>
      </c>
      <c r="U1943" s="29" t="str">
        <f>HYPERLINK("https://ictv.global/taxonomy/taxondetails?taxnode_id=202314828","ictv.global=202314828")</f>
        <v>ictv.global=202314828</v>
      </c>
    </row>
    <row r="1944" spans="1:21">
      <c r="A1944">
        <v>1943</v>
      </c>
      <c r="B1944" s="30" t="s">
        <v>1587</v>
      </c>
      <c r="D1944" s="30" t="s">
        <v>1588</v>
      </c>
      <c r="F1944" s="30" t="s">
        <v>1591</v>
      </c>
      <c r="H1944" s="30" t="s">
        <v>1592</v>
      </c>
      <c r="L1944" s="30" t="s">
        <v>2337</v>
      </c>
      <c r="M1944" s="30" t="s">
        <v>2348</v>
      </c>
      <c r="N1944" s="30" t="s">
        <v>1432</v>
      </c>
      <c r="P1944" s="30" t="s">
        <v>5650</v>
      </c>
      <c r="Q1944" t="s">
        <v>619</v>
      </c>
      <c r="R1944" t="s">
        <v>918</v>
      </c>
      <c r="S1944">
        <v>37</v>
      </c>
      <c r="T1944" s="29" t="str">
        <f>HYPERLINK("https://ictv.global/ictv/proposals/2021.010B.R.Binomial_names.zip","2021.010B.R.Binomial_names.zip")</f>
        <v>2021.010B.R.Binomial_names.zip</v>
      </c>
      <c r="U1944" s="29" t="str">
        <f>HYPERLINK("https://ictv.global/taxonomy/taxondetails?taxnode_id=202300659","ictv.global=202300659")</f>
        <v>ictv.global=202300659</v>
      </c>
    </row>
    <row r="1945" spans="1:21">
      <c r="A1945">
        <v>1944</v>
      </c>
      <c r="B1945" s="30" t="s">
        <v>1587</v>
      </c>
      <c r="D1945" s="30" t="s">
        <v>1588</v>
      </c>
      <c r="F1945" s="30" t="s">
        <v>1591</v>
      </c>
      <c r="H1945" s="30" t="s">
        <v>1592</v>
      </c>
      <c r="L1945" s="30" t="s">
        <v>2337</v>
      </c>
      <c r="M1945" s="30" t="s">
        <v>2348</v>
      </c>
      <c r="N1945" s="30" t="s">
        <v>1432</v>
      </c>
      <c r="P1945" s="30" t="s">
        <v>5651</v>
      </c>
      <c r="Q1945" t="s">
        <v>619</v>
      </c>
      <c r="R1945" t="s">
        <v>917</v>
      </c>
      <c r="S1945">
        <v>38</v>
      </c>
      <c r="T1945" s="29" t="str">
        <f>HYPERLINK("https://ictv.global/ictv/proposals/2022.073B.Schitoviridae_1nsf_9ng_30nsp.zip","2022.073B.Schitoviridae_1nsf_9ng_30nsp.zip")</f>
        <v>2022.073B.Schitoviridae_1nsf_9ng_30nsp.zip</v>
      </c>
      <c r="U1945" s="29" t="str">
        <f>HYPERLINK("https://ictv.global/taxonomy/taxondetails?taxnode_id=202314830","ictv.global=202314830")</f>
        <v>ictv.global=202314830</v>
      </c>
    </row>
    <row r="1946" spans="1:21">
      <c r="A1946">
        <v>1945</v>
      </c>
      <c r="B1946" s="30" t="s">
        <v>1587</v>
      </c>
      <c r="D1946" s="30" t="s">
        <v>1588</v>
      </c>
      <c r="F1946" s="30" t="s">
        <v>1591</v>
      </c>
      <c r="H1946" s="30" t="s">
        <v>1592</v>
      </c>
      <c r="L1946" s="30" t="s">
        <v>2337</v>
      </c>
      <c r="M1946" s="30" t="s">
        <v>2348</v>
      </c>
      <c r="N1946" s="30" t="s">
        <v>1432</v>
      </c>
      <c r="P1946" s="30" t="s">
        <v>5652</v>
      </c>
      <c r="Q1946" t="s">
        <v>619</v>
      </c>
      <c r="R1946" t="s">
        <v>917</v>
      </c>
      <c r="S1946">
        <v>38</v>
      </c>
      <c r="T1946" s="29" t="str">
        <f>HYPERLINK("https://ictv.global/ictv/proposals/2022.073B.Schitoviridae_1nsf_9ng_30nsp.zip","2022.073B.Schitoviridae_1nsf_9ng_30nsp.zip")</f>
        <v>2022.073B.Schitoviridae_1nsf_9ng_30nsp.zip</v>
      </c>
      <c r="U1946" s="29" t="str">
        <f>HYPERLINK("https://ictv.global/taxonomy/taxondetails?taxnode_id=202314829","ictv.global=202314829")</f>
        <v>ictv.global=202314829</v>
      </c>
    </row>
    <row r="1947" spans="1:21">
      <c r="A1947">
        <v>1946</v>
      </c>
      <c r="B1947" s="30" t="s">
        <v>1587</v>
      </c>
      <c r="D1947" s="30" t="s">
        <v>1588</v>
      </c>
      <c r="F1947" s="30" t="s">
        <v>1591</v>
      </c>
      <c r="H1947" s="30" t="s">
        <v>1592</v>
      </c>
      <c r="L1947" s="30" t="s">
        <v>2337</v>
      </c>
      <c r="M1947" s="30" t="s">
        <v>2348</v>
      </c>
      <c r="N1947" s="30" t="s">
        <v>1432</v>
      </c>
      <c r="P1947" s="30" t="s">
        <v>5653</v>
      </c>
      <c r="Q1947" t="s">
        <v>619</v>
      </c>
      <c r="R1947" t="s">
        <v>917</v>
      </c>
      <c r="S1947">
        <v>38</v>
      </c>
      <c r="T1947" s="29" t="str">
        <f>HYPERLINK("https://ictv.global/ictv/proposals/2022.073B.Schitoviridae_1nsf_9ng_30nsp.zip","2022.073B.Schitoviridae_1nsf_9ng_30nsp.zip")</f>
        <v>2022.073B.Schitoviridae_1nsf_9ng_30nsp.zip</v>
      </c>
      <c r="U1947" s="29" t="str">
        <f>HYPERLINK("https://ictv.global/taxonomy/taxondetails?taxnode_id=202314825","ictv.global=202314825")</f>
        <v>ictv.global=202314825</v>
      </c>
    </row>
    <row r="1948" spans="1:21">
      <c r="A1948">
        <v>1947</v>
      </c>
      <c r="B1948" s="30" t="s">
        <v>1587</v>
      </c>
      <c r="D1948" s="30" t="s">
        <v>1588</v>
      </c>
      <c r="F1948" s="30" t="s">
        <v>1591</v>
      </c>
      <c r="H1948" s="30" t="s">
        <v>1592</v>
      </c>
      <c r="L1948" s="30" t="s">
        <v>2337</v>
      </c>
      <c r="M1948" s="30" t="s">
        <v>2348</v>
      </c>
      <c r="N1948" s="30" t="s">
        <v>1432</v>
      </c>
      <c r="P1948" s="30" t="s">
        <v>5654</v>
      </c>
      <c r="Q1948" t="s">
        <v>619</v>
      </c>
      <c r="R1948" t="s">
        <v>917</v>
      </c>
      <c r="S1948">
        <v>38</v>
      </c>
      <c r="T1948" s="29" t="str">
        <f>HYPERLINK("https://ictv.global/ictv/proposals/2022.073B.Schitoviridae_1nsf_9ng_30nsp.zip","2022.073B.Schitoviridae_1nsf_9ng_30nsp.zip")</f>
        <v>2022.073B.Schitoviridae_1nsf_9ng_30nsp.zip</v>
      </c>
      <c r="U1948" s="29" t="str">
        <f>HYPERLINK("https://ictv.global/taxonomy/taxondetails?taxnode_id=202314826","ictv.global=202314826")</f>
        <v>ictv.global=202314826</v>
      </c>
    </row>
    <row r="1949" spans="1:21">
      <c r="A1949">
        <v>1948</v>
      </c>
      <c r="B1949" s="30" t="s">
        <v>1587</v>
      </c>
      <c r="D1949" s="30" t="s">
        <v>1588</v>
      </c>
      <c r="F1949" s="30" t="s">
        <v>1591</v>
      </c>
      <c r="H1949" s="30" t="s">
        <v>1592</v>
      </c>
      <c r="L1949" s="30" t="s">
        <v>2337</v>
      </c>
      <c r="M1949" s="30" t="s">
        <v>2348</v>
      </c>
      <c r="N1949" s="30" t="s">
        <v>1433</v>
      </c>
      <c r="P1949" s="30" t="s">
        <v>5655</v>
      </c>
      <c r="Q1949" t="s">
        <v>619</v>
      </c>
      <c r="R1949" t="s">
        <v>918</v>
      </c>
      <c r="S1949">
        <v>37</v>
      </c>
      <c r="T1949" s="29" t="str">
        <f t="shared" ref="T1949:T1957" si="85">HYPERLINK("https://ictv.global/ictv/proposals/2021.010B.R.Binomial_names.zip","2021.010B.R.Binomial_names.zip")</f>
        <v>2021.010B.R.Binomial_names.zip</v>
      </c>
      <c r="U1949" s="29" t="str">
        <f>HYPERLINK("https://ictv.global/taxonomy/taxondetails?taxnode_id=202300669","ictv.global=202300669")</f>
        <v>ictv.global=202300669</v>
      </c>
    </row>
    <row r="1950" spans="1:21">
      <c r="A1950">
        <v>1949</v>
      </c>
      <c r="B1950" s="30" t="s">
        <v>1587</v>
      </c>
      <c r="D1950" s="30" t="s">
        <v>1588</v>
      </c>
      <c r="F1950" s="30" t="s">
        <v>1591</v>
      </c>
      <c r="H1950" s="30" t="s">
        <v>1592</v>
      </c>
      <c r="L1950" s="30" t="s">
        <v>2337</v>
      </c>
      <c r="M1950" s="30" t="s">
        <v>2348</v>
      </c>
      <c r="N1950" s="30" t="s">
        <v>1433</v>
      </c>
      <c r="P1950" s="30" t="s">
        <v>5656</v>
      </c>
      <c r="Q1950" t="s">
        <v>619</v>
      </c>
      <c r="R1950" t="s">
        <v>918</v>
      </c>
      <c r="S1950">
        <v>37</v>
      </c>
      <c r="T1950" s="29" t="str">
        <f t="shared" si="85"/>
        <v>2021.010B.R.Binomial_names.zip</v>
      </c>
      <c r="U1950" s="29" t="str">
        <f>HYPERLINK("https://ictv.global/taxonomy/taxondetails?taxnode_id=202300670","ictv.global=202300670")</f>
        <v>ictv.global=202300670</v>
      </c>
    </row>
    <row r="1951" spans="1:21">
      <c r="A1951">
        <v>1950</v>
      </c>
      <c r="B1951" s="30" t="s">
        <v>1587</v>
      </c>
      <c r="D1951" s="30" t="s">
        <v>1588</v>
      </c>
      <c r="F1951" s="30" t="s">
        <v>1591</v>
      </c>
      <c r="H1951" s="30" t="s">
        <v>1592</v>
      </c>
      <c r="L1951" s="30" t="s">
        <v>2337</v>
      </c>
      <c r="M1951" s="30" t="s">
        <v>2349</v>
      </c>
      <c r="N1951" s="30" t="s">
        <v>2350</v>
      </c>
      <c r="P1951" s="30" t="s">
        <v>5657</v>
      </c>
      <c r="Q1951" t="s">
        <v>619</v>
      </c>
      <c r="R1951" t="s">
        <v>918</v>
      </c>
      <c r="S1951">
        <v>37</v>
      </c>
      <c r="T1951" s="29" t="str">
        <f t="shared" si="85"/>
        <v>2021.010B.R.Binomial_names.zip</v>
      </c>
      <c r="U1951" s="29" t="str">
        <f>HYPERLINK("https://ictv.global/taxonomy/taxondetails?taxnode_id=202311786","ictv.global=202311786")</f>
        <v>ictv.global=202311786</v>
      </c>
    </row>
    <row r="1952" spans="1:21">
      <c r="A1952">
        <v>1951</v>
      </c>
      <c r="B1952" s="30" t="s">
        <v>1587</v>
      </c>
      <c r="D1952" s="30" t="s">
        <v>1588</v>
      </c>
      <c r="F1952" s="30" t="s">
        <v>1591</v>
      </c>
      <c r="H1952" s="30" t="s">
        <v>1592</v>
      </c>
      <c r="L1952" s="30" t="s">
        <v>2337</v>
      </c>
      <c r="M1952" s="30" t="s">
        <v>2349</v>
      </c>
      <c r="N1952" s="30" t="s">
        <v>2351</v>
      </c>
      <c r="P1952" s="30" t="s">
        <v>5658</v>
      </c>
      <c r="Q1952" t="s">
        <v>619</v>
      </c>
      <c r="R1952" t="s">
        <v>918</v>
      </c>
      <c r="S1952">
        <v>37</v>
      </c>
      <c r="T1952" s="29" t="str">
        <f t="shared" si="85"/>
        <v>2021.010B.R.Binomial_names.zip</v>
      </c>
      <c r="U1952" s="29" t="str">
        <f>HYPERLINK("https://ictv.global/taxonomy/taxondetails?taxnode_id=202311788","ictv.global=202311788")</f>
        <v>ictv.global=202311788</v>
      </c>
    </row>
    <row r="1953" spans="1:21">
      <c r="A1953">
        <v>1952</v>
      </c>
      <c r="B1953" s="30" t="s">
        <v>1587</v>
      </c>
      <c r="D1953" s="30" t="s">
        <v>1588</v>
      </c>
      <c r="F1953" s="30" t="s">
        <v>1591</v>
      </c>
      <c r="H1953" s="30" t="s">
        <v>1592</v>
      </c>
      <c r="L1953" s="30" t="s">
        <v>2337</v>
      </c>
      <c r="M1953" s="30" t="s">
        <v>2349</v>
      </c>
      <c r="N1953" s="30" t="s">
        <v>2352</v>
      </c>
      <c r="P1953" s="30" t="s">
        <v>5659</v>
      </c>
      <c r="Q1953" t="s">
        <v>619</v>
      </c>
      <c r="R1953" t="s">
        <v>918</v>
      </c>
      <c r="S1953">
        <v>37</v>
      </c>
      <c r="T1953" s="29" t="str">
        <f t="shared" si="85"/>
        <v>2021.010B.R.Binomial_names.zip</v>
      </c>
      <c r="U1953" s="29" t="str">
        <f>HYPERLINK("https://ictv.global/taxonomy/taxondetails?taxnode_id=202311784","ictv.global=202311784")</f>
        <v>ictv.global=202311784</v>
      </c>
    </row>
    <row r="1954" spans="1:21">
      <c r="A1954">
        <v>1953</v>
      </c>
      <c r="B1954" s="30" t="s">
        <v>1587</v>
      </c>
      <c r="D1954" s="30" t="s">
        <v>1588</v>
      </c>
      <c r="F1954" s="30" t="s">
        <v>1591</v>
      </c>
      <c r="H1954" s="30" t="s">
        <v>1592</v>
      </c>
      <c r="L1954" s="30" t="s">
        <v>2337</v>
      </c>
      <c r="M1954" s="30" t="s">
        <v>2353</v>
      </c>
      <c r="N1954" s="30" t="s">
        <v>2354</v>
      </c>
      <c r="P1954" s="30" t="s">
        <v>5660</v>
      </c>
      <c r="Q1954" t="s">
        <v>619</v>
      </c>
      <c r="R1954" t="s">
        <v>918</v>
      </c>
      <c r="S1954">
        <v>37</v>
      </c>
      <c r="T1954" s="29" t="str">
        <f t="shared" si="85"/>
        <v>2021.010B.R.Binomial_names.zip</v>
      </c>
      <c r="U1954" s="29" t="str">
        <f>HYPERLINK("https://ictv.global/taxonomy/taxondetails?taxnode_id=202311797","ictv.global=202311797")</f>
        <v>ictv.global=202311797</v>
      </c>
    </row>
    <row r="1955" spans="1:21">
      <c r="A1955">
        <v>1954</v>
      </c>
      <c r="B1955" s="30" t="s">
        <v>1587</v>
      </c>
      <c r="D1955" s="30" t="s">
        <v>1588</v>
      </c>
      <c r="F1955" s="30" t="s">
        <v>1591</v>
      </c>
      <c r="H1955" s="30" t="s">
        <v>1592</v>
      </c>
      <c r="L1955" s="30" t="s">
        <v>2337</v>
      </c>
      <c r="M1955" s="30" t="s">
        <v>2353</v>
      </c>
      <c r="N1955" s="30" t="s">
        <v>2355</v>
      </c>
      <c r="P1955" s="30" t="s">
        <v>5661</v>
      </c>
      <c r="Q1955" t="s">
        <v>619</v>
      </c>
      <c r="R1955" t="s">
        <v>918</v>
      </c>
      <c r="S1955">
        <v>37</v>
      </c>
      <c r="T1955" s="29" t="str">
        <f t="shared" si="85"/>
        <v>2021.010B.R.Binomial_names.zip</v>
      </c>
      <c r="U1955" s="29" t="str">
        <f>HYPERLINK("https://ictv.global/taxonomy/taxondetails?taxnode_id=202311801","ictv.global=202311801")</f>
        <v>ictv.global=202311801</v>
      </c>
    </row>
    <row r="1956" spans="1:21">
      <c r="A1956">
        <v>1955</v>
      </c>
      <c r="B1956" s="30" t="s">
        <v>1587</v>
      </c>
      <c r="D1956" s="30" t="s">
        <v>1588</v>
      </c>
      <c r="F1956" s="30" t="s">
        <v>1591</v>
      </c>
      <c r="H1956" s="30" t="s">
        <v>1592</v>
      </c>
      <c r="L1956" s="30" t="s">
        <v>2337</v>
      </c>
      <c r="M1956" s="30" t="s">
        <v>2353</v>
      </c>
      <c r="N1956" s="30" t="s">
        <v>2355</v>
      </c>
      <c r="P1956" s="30" t="s">
        <v>5662</v>
      </c>
      <c r="Q1956" t="s">
        <v>619</v>
      </c>
      <c r="R1956" t="s">
        <v>918</v>
      </c>
      <c r="S1956">
        <v>37</v>
      </c>
      <c r="T1956" s="29" t="str">
        <f t="shared" si="85"/>
        <v>2021.010B.R.Binomial_names.zip</v>
      </c>
      <c r="U1956" s="29" t="str">
        <f>HYPERLINK("https://ictv.global/taxonomy/taxondetails?taxnode_id=202311802","ictv.global=202311802")</f>
        <v>ictv.global=202311802</v>
      </c>
    </row>
    <row r="1957" spans="1:21">
      <c r="A1957">
        <v>1956</v>
      </c>
      <c r="B1957" s="30" t="s">
        <v>1587</v>
      </c>
      <c r="D1957" s="30" t="s">
        <v>1588</v>
      </c>
      <c r="F1957" s="30" t="s">
        <v>1591</v>
      </c>
      <c r="H1957" s="30" t="s">
        <v>1592</v>
      </c>
      <c r="L1957" s="30" t="s">
        <v>2337</v>
      </c>
      <c r="M1957" s="30" t="s">
        <v>2353</v>
      </c>
      <c r="N1957" s="30" t="s">
        <v>1413</v>
      </c>
      <c r="P1957" s="30" t="s">
        <v>5663</v>
      </c>
      <c r="Q1957" t="s">
        <v>619</v>
      </c>
      <c r="R1957" t="s">
        <v>918</v>
      </c>
      <c r="S1957">
        <v>37</v>
      </c>
      <c r="T1957" s="29" t="str">
        <f t="shared" si="85"/>
        <v>2021.010B.R.Binomial_names.zip</v>
      </c>
      <c r="U1957" s="29" t="str">
        <f>HYPERLINK("https://ictv.global/taxonomy/taxondetails?taxnode_id=202305488","ictv.global=202305488")</f>
        <v>ictv.global=202305488</v>
      </c>
    </row>
    <row r="1958" spans="1:21">
      <c r="A1958">
        <v>1957</v>
      </c>
      <c r="B1958" s="30" t="s">
        <v>1587</v>
      </c>
      <c r="D1958" s="30" t="s">
        <v>1588</v>
      </c>
      <c r="F1958" s="30" t="s">
        <v>1591</v>
      </c>
      <c r="H1958" s="30" t="s">
        <v>1592</v>
      </c>
      <c r="L1958" s="30" t="s">
        <v>2337</v>
      </c>
      <c r="M1958" s="30" t="s">
        <v>2353</v>
      </c>
      <c r="N1958" s="30" t="s">
        <v>5664</v>
      </c>
      <c r="P1958" s="30" t="s">
        <v>5665</v>
      </c>
      <c r="Q1958" t="s">
        <v>619</v>
      </c>
      <c r="R1958" t="s">
        <v>917</v>
      </c>
      <c r="S1958">
        <v>38</v>
      </c>
      <c r="T1958" s="29" t="str">
        <f>HYPERLINK("https://ictv.global/ictv/proposals/2022.073B.Schitoviridae_1nsf_9ng_30nsp.zip","2022.073B.Schitoviridae_1nsf_9ng_30nsp.zip")</f>
        <v>2022.073B.Schitoviridae_1nsf_9ng_30nsp.zip</v>
      </c>
      <c r="U1958" s="29" t="str">
        <f>HYPERLINK("https://ictv.global/taxonomy/taxondetails?taxnode_id=202314822","ictv.global=202314822")</f>
        <v>ictv.global=202314822</v>
      </c>
    </row>
    <row r="1959" spans="1:21">
      <c r="A1959">
        <v>1958</v>
      </c>
      <c r="B1959" s="30" t="s">
        <v>1587</v>
      </c>
      <c r="D1959" s="30" t="s">
        <v>1588</v>
      </c>
      <c r="F1959" s="30" t="s">
        <v>1591</v>
      </c>
      <c r="H1959" s="30" t="s">
        <v>1592</v>
      </c>
      <c r="L1959" s="30" t="s">
        <v>2337</v>
      </c>
      <c r="M1959" s="30" t="s">
        <v>2353</v>
      </c>
      <c r="N1959" s="30" t="s">
        <v>2356</v>
      </c>
      <c r="P1959" s="30" t="s">
        <v>5666</v>
      </c>
      <c r="Q1959" t="s">
        <v>619</v>
      </c>
      <c r="R1959" t="s">
        <v>918</v>
      </c>
      <c r="S1959">
        <v>37</v>
      </c>
      <c r="T1959" s="29" t="str">
        <f t="shared" ref="T1959:T1970" si="86">HYPERLINK("https://ictv.global/ictv/proposals/2021.010B.R.Binomial_names.zip","2021.010B.R.Binomial_names.zip")</f>
        <v>2021.010B.R.Binomial_names.zip</v>
      </c>
      <c r="U1959" s="29" t="str">
        <f>HYPERLINK("https://ictv.global/taxonomy/taxondetails?taxnode_id=202311791","ictv.global=202311791")</f>
        <v>ictv.global=202311791</v>
      </c>
    </row>
    <row r="1960" spans="1:21">
      <c r="A1960">
        <v>1959</v>
      </c>
      <c r="B1960" s="30" t="s">
        <v>1587</v>
      </c>
      <c r="D1960" s="30" t="s">
        <v>1588</v>
      </c>
      <c r="F1960" s="30" t="s">
        <v>1591</v>
      </c>
      <c r="H1960" s="30" t="s">
        <v>1592</v>
      </c>
      <c r="L1960" s="30" t="s">
        <v>2337</v>
      </c>
      <c r="M1960" s="30" t="s">
        <v>2353</v>
      </c>
      <c r="N1960" s="30" t="s">
        <v>2357</v>
      </c>
      <c r="P1960" s="30" t="s">
        <v>5667</v>
      </c>
      <c r="Q1960" t="s">
        <v>619</v>
      </c>
      <c r="R1960" t="s">
        <v>918</v>
      </c>
      <c r="S1960">
        <v>37</v>
      </c>
      <c r="T1960" s="29" t="str">
        <f t="shared" si="86"/>
        <v>2021.010B.R.Binomial_names.zip</v>
      </c>
      <c r="U1960" s="29" t="str">
        <f>HYPERLINK("https://ictv.global/taxonomy/taxondetails?taxnode_id=202311795","ictv.global=202311795")</f>
        <v>ictv.global=202311795</v>
      </c>
    </row>
    <row r="1961" spans="1:21">
      <c r="A1961">
        <v>1960</v>
      </c>
      <c r="B1961" s="30" t="s">
        <v>1587</v>
      </c>
      <c r="D1961" s="30" t="s">
        <v>1588</v>
      </c>
      <c r="F1961" s="30" t="s">
        <v>1591</v>
      </c>
      <c r="H1961" s="30" t="s">
        <v>1592</v>
      </c>
      <c r="L1961" s="30" t="s">
        <v>2337</v>
      </c>
      <c r="M1961" s="30" t="s">
        <v>2353</v>
      </c>
      <c r="N1961" s="30" t="s">
        <v>2358</v>
      </c>
      <c r="P1961" s="30" t="s">
        <v>5668</v>
      </c>
      <c r="Q1961" t="s">
        <v>619</v>
      </c>
      <c r="R1961" t="s">
        <v>918</v>
      </c>
      <c r="S1961">
        <v>37</v>
      </c>
      <c r="T1961" s="29" t="str">
        <f t="shared" si="86"/>
        <v>2021.010B.R.Binomial_names.zip</v>
      </c>
      <c r="U1961" s="29" t="str">
        <f>HYPERLINK("https://ictv.global/taxonomy/taxondetails?taxnode_id=202311799","ictv.global=202311799")</f>
        <v>ictv.global=202311799</v>
      </c>
    </row>
    <row r="1962" spans="1:21">
      <c r="A1962">
        <v>1961</v>
      </c>
      <c r="B1962" s="30" t="s">
        <v>1587</v>
      </c>
      <c r="D1962" s="30" t="s">
        <v>1588</v>
      </c>
      <c r="F1962" s="30" t="s">
        <v>1591</v>
      </c>
      <c r="H1962" s="30" t="s">
        <v>1592</v>
      </c>
      <c r="L1962" s="30" t="s">
        <v>2337</v>
      </c>
      <c r="M1962" s="30" t="s">
        <v>2353</v>
      </c>
      <c r="N1962" s="30" t="s">
        <v>2359</v>
      </c>
      <c r="P1962" s="30" t="s">
        <v>5669</v>
      </c>
      <c r="Q1962" t="s">
        <v>619</v>
      </c>
      <c r="R1962" t="s">
        <v>918</v>
      </c>
      <c r="S1962">
        <v>37</v>
      </c>
      <c r="T1962" s="29" t="str">
        <f t="shared" si="86"/>
        <v>2021.010B.R.Binomial_names.zip</v>
      </c>
      <c r="U1962" s="29" t="str">
        <f>HYPERLINK("https://ictv.global/taxonomy/taxondetails?taxnode_id=202311793","ictv.global=202311793")</f>
        <v>ictv.global=202311793</v>
      </c>
    </row>
    <row r="1963" spans="1:21">
      <c r="A1963">
        <v>1962</v>
      </c>
      <c r="B1963" s="30" t="s">
        <v>1587</v>
      </c>
      <c r="D1963" s="30" t="s">
        <v>1588</v>
      </c>
      <c r="F1963" s="30" t="s">
        <v>1591</v>
      </c>
      <c r="H1963" s="30" t="s">
        <v>1592</v>
      </c>
      <c r="L1963" s="30" t="s">
        <v>2337</v>
      </c>
      <c r="M1963" s="30" t="s">
        <v>2360</v>
      </c>
      <c r="N1963" s="30" t="s">
        <v>2361</v>
      </c>
      <c r="P1963" s="30" t="s">
        <v>5670</v>
      </c>
      <c r="Q1963" t="s">
        <v>619</v>
      </c>
      <c r="R1963" t="s">
        <v>918</v>
      </c>
      <c r="S1963">
        <v>37</v>
      </c>
      <c r="T1963" s="29" t="str">
        <f t="shared" si="86"/>
        <v>2021.010B.R.Binomial_names.zip</v>
      </c>
      <c r="U1963" s="29" t="str">
        <f>HYPERLINK("https://ictv.global/taxonomy/taxondetails?taxnode_id=202311810","ictv.global=202311810")</f>
        <v>ictv.global=202311810</v>
      </c>
    </row>
    <row r="1964" spans="1:21">
      <c r="A1964">
        <v>1963</v>
      </c>
      <c r="B1964" s="30" t="s">
        <v>1587</v>
      </c>
      <c r="D1964" s="30" t="s">
        <v>1588</v>
      </c>
      <c r="F1964" s="30" t="s">
        <v>1591</v>
      </c>
      <c r="H1964" s="30" t="s">
        <v>1592</v>
      </c>
      <c r="L1964" s="30" t="s">
        <v>2337</v>
      </c>
      <c r="M1964" s="30" t="s">
        <v>2360</v>
      </c>
      <c r="N1964" s="30" t="s">
        <v>2361</v>
      </c>
      <c r="P1964" s="30" t="s">
        <v>5671</v>
      </c>
      <c r="Q1964" t="s">
        <v>619</v>
      </c>
      <c r="R1964" t="s">
        <v>918</v>
      </c>
      <c r="S1964">
        <v>37</v>
      </c>
      <c r="T1964" s="29" t="str">
        <f t="shared" si="86"/>
        <v>2021.010B.R.Binomial_names.zip</v>
      </c>
      <c r="U1964" s="29" t="str">
        <f>HYPERLINK("https://ictv.global/taxonomy/taxondetails?taxnode_id=202311811","ictv.global=202311811")</f>
        <v>ictv.global=202311811</v>
      </c>
    </row>
    <row r="1965" spans="1:21">
      <c r="A1965">
        <v>1964</v>
      </c>
      <c r="B1965" s="30" t="s">
        <v>1587</v>
      </c>
      <c r="D1965" s="30" t="s">
        <v>1588</v>
      </c>
      <c r="F1965" s="30" t="s">
        <v>1591</v>
      </c>
      <c r="H1965" s="30" t="s">
        <v>1592</v>
      </c>
      <c r="L1965" s="30" t="s">
        <v>2337</v>
      </c>
      <c r="M1965" s="30" t="s">
        <v>2360</v>
      </c>
      <c r="N1965" s="30" t="s">
        <v>2361</v>
      </c>
      <c r="P1965" s="30" t="s">
        <v>5672</v>
      </c>
      <c r="Q1965" t="s">
        <v>619</v>
      </c>
      <c r="R1965" t="s">
        <v>918</v>
      </c>
      <c r="S1965">
        <v>37</v>
      </c>
      <c r="T1965" s="29" t="str">
        <f t="shared" si="86"/>
        <v>2021.010B.R.Binomial_names.zip</v>
      </c>
      <c r="U1965" s="29" t="str">
        <f>HYPERLINK("https://ictv.global/taxonomy/taxondetails?taxnode_id=202311812","ictv.global=202311812")</f>
        <v>ictv.global=202311812</v>
      </c>
    </row>
    <row r="1966" spans="1:21">
      <c r="A1966">
        <v>1965</v>
      </c>
      <c r="B1966" s="30" t="s">
        <v>1587</v>
      </c>
      <c r="D1966" s="30" t="s">
        <v>1588</v>
      </c>
      <c r="F1966" s="30" t="s">
        <v>1591</v>
      </c>
      <c r="H1966" s="30" t="s">
        <v>1592</v>
      </c>
      <c r="L1966" s="30" t="s">
        <v>2337</v>
      </c>
      <c r="M1966" s="30" t="s">
        <v>2360</v>
      </c>
      <c r="N1966" s="30" t="s">
        <v>2361</v>
      </c>
      <c r="P1966" s="30" t="s">
        <v>5673</v>
      </c>
      <c r="Q1966" t="s">
        <v>619</v>
      </c>
      <c r="R1966" t="s">
        <v>918</v>
      </c>
      <c r="S1966">
        <v>37</v>
      </c>
      <c r="T1966" s="29" t="str">
        <f t="shared" si="86"/>
        <v>2021.010B.R.Binomial_names.zip</v>
      </c>
      <c r="U1966" s="29" t="str">
        <f>HYPERLINK("https://ictv.global/taxonomy/taxondetails?taxnode_id=202311813","ictv.global=202311813")</f>
        <v>ictv.global=202311813</v>
      </c>
    </row>
    <row r="1967" spans="1:21">
      <c r="A1967">
        <v>1966</v>
      </c>
      <c r="B1967" s="30" t="s">
        <v>1587</v>
      </c>
      <c r="D1967" s="30" t="s">
        <v>1588</v>
      </c>
      <c r="F1967" s="30" t="s">
        <v>1591</v>
      </c>
      <c r="H1967" s="30" t="s">
        <v>1592</v>
      </c>
      <c r="L1967" s="30" t="s">
        <v>2337</v>
      </c>
      <c r="M1967" s="30" t="s">
        <v>2360</v>
      </c>
      <c r="N1967" s="30" t="s">
        <v>2362</v>
      </c>
      <c r="P1967" s="30" t="s">
        <v>5674</v>
      </c>
      <c r="Q1967" t="s">
        <v>619</v>
      </c>
      <c r="R1967" t="s">
        <v>918</v>
      </c>
      <c r="S1967">
        <v>37</v>
      </c>
      <c r="T1967" s="29" t="str">
        <f t="shared" si="86"/>
        <v>2021.010B.R.Binomial_names.zip</v>
      </c>
      <c r="U1967" s="29" t="str">
        <f>HYPERLINK("https://ictv.global/taxonomy/taxondetails?taxnode_id=202311808","ictv.global=202311808")</f>
        <v>ictv.global=202311808</v>
      </c>
    </row>
    <row r="1968" spans="1:21">
      <c r="A1968">
        <v>1967</v>
      </c>
      <c r="B1968" s="30" t="s">
        <v>1587</v>
      </c>
      <c r="D1968" s="30" t="s">
        <v>1588</v>
      </c>
      <c r="F1968" s="30" t="s">
        <v>1591</v>
      </c>
      <c r="H1968" s="30" t="s">
        <v>1592</v>
      </c>
      <c r="L1968" s="30" t="s">
        <v>2337</v>
      </c>
      <c r="M1968" s="30" t="s">
        <v>2360</v>
      </c>
      <c r="N1968" s="30" t="s">
        <v>927</v>
      </c>
      <c r="P1968" s="30" t="s">
        <v>5675</v>
      </c>
      <c r="Q1968" t="s">
        <v>619</v>
      </c>
      <c r="R1968" t="s">
        <v>918</v>
      </c>
      <c r="S1968">
        <v>37</v>
      </c>
      <c r="T1968" s="29" t="str">
        <f t="shared" si="86"/>
        <v>2021.010B.R.Binomial_names.zip</v>
      </c>
      <c r="U1968" s="29" t="str">
        <f>HYPERLINK("https://ictv.global/taxonomy/taxondetails?taxnode_id=202305491","ictv.global=202305491")</f>
        <v>ictv.global=202305491</v>
      </c>
    </row>
    <row r="1969" spans="1:21">
      <c r="A1969">
        <v>1968</v>
      </c>
      <c r="B1969" s="30" t="s">
        <v>1587</v>
      </c>
      <c r="D1969" s="30" t="s">
        <v>1588</v>
      </c>
      <c r="F1969" s="30" t="s">
        <v>1591</v>
      </c>
      <c r="H1969" s="30" t="s">
        <v>1592</v>
      </c>
      <c r="L1969" s="30" t="s">
        <v>2337</v>
      </c>
      <c r="M1969" s="30" t="s">
        <v>2360</v>
      </c>
      <c r="N1969" s="30" t="s">
        <v>2363</v>
      </c>
      <c r="P1969" s="30" t="s">
        <v>5676</v>
      </c>
      <c r="Q1969" t="s">
        <v>619</v>
      </c>
      <c r="R1969" t="s">
        <v>918</v>
      </c>
      <c r="S1969">
        <v>37</v>
      </c>
      <c r="T1969" s="29" t="str">
        <f t="shared" si="86"/>
        <v>2021.010B.R.Binomial_names.zip</v>
      </c>
      <c r="U1969" s="29" t="str">
        <f>HYPERLINK("https://ictv.global/taxonomy/taxondetails?taxnode_id=202311805","ictv.global=202311805")</f>
        <v>ictv.global=202311805</v>
      </c>
    </row>
    <row r="1970" spans="1:21">
      <c r="A1970">
        <v>1969</v>
      </c>
      <c r="B1970" s="30" t="s">
        <v>1587</v>
      </c>
      <c r="D1970" s="30" t="s">
        <v>1588</v>
      </c>
      <c r="F1970" s="30" t="s">
        <v>1591</v>
      </c>
      <c r="H1970" s="30" t="s">
        <v>1592</v>
      </c>
      <c r="L1970" s="30" t="s">
        <v>2337</v>
      </c>
      <c r="M1970" s="30" t="s">
        <v>2360</v>
      </c>
      <c r="N1970" s="30" t="s">
        <v>2363</v>
      </c>
      <c r="P1970" s="30" t="s">
        <v>5677</v>
      </c>
      <c r="Q1970" t="s">
        <v>619</v>
      </c>
      <c r="R1970" t="s">
        <v>918</v>
      </c>
      <c r="S1970">
        <v>37</v>
      </c>
      <c r="T1970" s="29" t="str">
        <f t="shared" si="86"/>
        <v>2021.010B.R.Binomial_names.zip</v>
      </c>
      <c r="U1970" s="29" t="str">
        <f>HYPERLINK("https://ictv.global/taxonomy/taxondetails?taxnode_id=202311806","ictv.global=202311806")</f>
        <v>ictv.global=202311806</v>
      </c>
    </row>
    <row r="1971" spans="1:21">
      <c r="A1971">
        <v>1970</v>
      </c>
      <c r="B1971" s="30" t="s">
        <v>1587</v>
      </c>
      <c r="D1971" s="30" t="s">
        <v>1588</v>
      </c>
      <c r="F1971" s="30" t="s">
        <v>1591</v>
      </c>
      <c r="H1971" s="30" t="s">
        <v>1592</v>
      </c>
      <c r="L1971" s="30" t="s">
        <v>2337</v>
      </c>
      <c r="N1971" s="30" t="s">
        <v>5678</v>
      </c>
      <c r="P1971" s="30" t="s">
        <v>5679</v>
      </c>
      <c r="Q1971" t="s">
        <v>619</v>
      </c>
      <c r="R1971" t="s">
        <v>917</v>
      </c>
      <c r="S1971">
        <v>38</v>
      </c>
      <c r="T1971" s="29" t="str">
        <f>HYPERLINK("https://ictv.global/ictv/proposals/2022.073B.Schitoviridae_1nsf_9ng_30nsp.zip","2022.073B.Schitoviridae_1nsf_9ng_30nsp.zip")</f>
        <v>2022.073B.Schitoviridae_1nsf_9ng_30nsp.zip</v>
      </c>
      <c r="U1971" s="29" t="str">
        <f>HYPERLINK("https://ictv.global/taxonomy/taxondetails?taxnode_id=202314821","ictv.global=202314821")</f>
        <v>ictv.global=202314821</v>
      </c>
    </row>
    <row r="1972" spans="1:21">
      <c r="A1972">
        <v>1971</v>
      </c>
      <c r="B1972" s="30" t="s">
        <v>1587</v>
      </c>
      <c r="D1972" s="30" t="s">
        <v>1588</v>
      </c>
      <c r="F1972" s="30" t="s">
        <v>1591</v>
      </c>
      <c r="H1972" s="30" t="s">
        <v>1592</v>
      </c>
      <c r="L1972" s="30" t="s">
        <v>2337</v>
      </c>
      <c r="N1972" s="30" t="s">
        <v>2364</v>
      </c>
      <c r="P1972" s="30" t="s">
        <v>5680</v>
      </c>
      <c r="Q1972" t="s">
        <v>619</v>
      </c>
      <c r="R1972" t="s">
        <v>918</v>
      </c>
      <c r="S1972">
        <v>37</v>
      </c>
      <c r="T1972" s="29" t="str">
        <f>HYPERLINK("https://ictv.global/ictv/proposals/2021.010B.R.Binomial_names.zip","2021.010B.R.Binomial_names.zip")</f>
        <v>2021.010B.R.Binomial_names.zip</v>
      </c>
      <c r="U1972" s="29" t="str">
        <f>HYPERLINK("https://ictv.global/taxonomy/taxondetails?taxnode_id=202311818","ictv.global=202311818")</f>
        <v>ictv.global=202311818</v>
      </c>
    </row>
    <row r="1973" spans="1:21">
      <c r="A1973">
        <v>1972</v>
      </c>
      <c r="B1973" s="30" t="s">
        <v>1587</v>
      </c>
      <c r="D1973" s="30" t="s">
        <v>1588</v>
      </c>
      <c r="F1973" s="30" t="s">
        <v>1591</v>
      </c>
      <c r="H1973" s="30" t="s">
        <v>1592</v>
      </c>
      <c r="L1973" s="30" t="s">
        <v>2337</v>
      </c>
      <c r="N1973" s="30" t="s">
        <v>2364</v>
      </c>
      <c r="P1973" s="30" t="s">
        <v>5681</v>
      </c>
      <c r="Q1973" t="s">
        <v>619</v>
      </c>
      <c r="R1973" t="s">
        <v>918</v>
      </c>
      <c r="S1973">
        <v>37</v>
      </c>
      <c r="T1973" s="29" t="str">
        <f>HYPERLINK("https://ictv.global/ictv/proposals/2021.010B.R.Binomial_names.zip","2021.010B.R.Binomial_names.zip")</f>
        <v>2021.010B.R.Binomial_names.zip</v>
      </c>
      <c r="U1973" s="29" t="str">
        <f>HYPERLINK("https://ictv.global/taxonomy/taxondetails?taxnode_id=202311815","ictv.global=202311815")</f>
        <v>ictv.global=202311815</v>
      </c>
    </row>
    <row r="1974" spans="1:21">
      <c r="A1974">
        <v>1973</v>
      </c>
      <c r="B1974" s="30" t="s">
        <v>1587</v>
      </c>
      <c r="D1974" s="30" t="s">
        <v>1588</v>
      </c>
      <c r="F1974" s="30" t="s">
        <v>1591</v>
      </c>
      <c r="H1974" s="30" t="s">
        <v>1592</v>
      </c>
      <c r="L1974" s="30" t="s">
        <v>2337</v>
      </c>
      <c r="N1974" s="30" t="s">
        <v>2364</v>
      </c>
      <c r="P1974" s="30" t="s">
        <v>5682</v>
      </c>
      <c r="Q1974" t="s">
        <v>619</v>
      </c>
      <c r="R1974" t="s">
        <v>918</v>
      </c>
      <c r="S1974">
        <v>37</v>
      </c>
      <c r="T1974" s="29" t="str">
        <f>HYPERLINK("https://ictv.global/ictv/proposals/2021.010B.R.Binomial_names.zip","2021.010B.R.Binomial_names.zip")</f>
        <v>2021.010B.R.Binomial_names.zip</v>
      </c>
      <c r="U1974" s="29" t="str">
        <f>HYPERLINK("https://ictv.global/taxonomy/taxondetails?taxnode_id=202311816","ictv.global=202311816")</f>
        <v>ictv.global=202311816</v>
      </c>
    </row>
    <row r="1975" spans="1:21">
      <c r="A1975">
        <v>1974</v>
      </c>
      <c r="B1975" s="30" t="s">
        <v>1587</v>
      </c>
      <c r="D1975" s="30" t="s">
        <v>1588</v>
      </c>
      <c r="F1975" s="30" t="s">
        <v>1591</v>
      </c>
      <c r="H1975" s="30" t="s">
        <v>1592</v>
      </c>
      <c r="L1975" s="30" t="s">
        <v>2337</v>
      </c>
      <c r="N1975" s="30" t="s">
        <v>2364</v>
      </c>
      <c r="P1975" s="30" t="s">
        <v>5683</v>
      </c>
      <c r="Q1975" t="s">
        <v>619</v>
      </c>
      <c r="R1975" t="s">
        <v>917</v>
      </c>
      <c r="S1975">
        <v>38</v>
      </c>
      <c r="T1975" s="29" t="str">
        <f>HYPERLINK("https://ictv.global/ictv/proposals/2022.073B.Schitoviridae_1nsf_9ng_30nsp.zip","2022.073B.Schitoviridae_1nsf_9ng_30nsp.zip")</f>
        <v>2022.073B.Schitoviridae_1nsf_9ng_30nsp.zip</v>
      </c>
      <c r="U1975" s="29" t="str">
        <f>HYPERLINK("https://ictv.global/taxonomy/taxondetails?taxnode_id=202314824","ictv.global=202314824")</f>
        <v>ictv.global=202314824</v>
      </c>
    </row>
    <row r="1976" spans="1:21">
      <c r="A1976">
        <v>1975</v>
      </c>
      <c r="B1976" s="30" t="s">
        <v>1587</v>
      </c>
      <c r="D1976" s="30" t="s">
        <v>1588</v>
      </c>
      <c r="F1976" s="30" t="s">
        <v>1591</v>
      </c>
      <c r="H1976" s="30" t="s">
        <v>1592</v>
      </c>
      <c r="L1976" s="30" t="s">
        <v>2337</v>
      </c>
      <c r="N1976" s="30" t="s">
        <v>2364</v>
      </c>
      <c r="P1976" s="30" t="s">
        <v>5684</v>
      </c>
      <c r="Q1976" t="s">
        <v>619</v>
      </c>
      <c r="R1976" t="s">
        <v>918</v>
      </c>
      <c r="S1976">
        <v>37</v>
      </c>
      <c r="T1976" s="29" t="str">
        <f>HYPERLINK("https://ictv.global/ictv/proposals/2021.010B.R.Binomial_names.zip","2021.010B.R.Binomial_names.zip")</f>
        <v>2021.010B.R.Binomial_names.zip</v>
      </c>
      <c r="U1976" s="29" t="str">
        <f>HYPERLINK("https://ictv.global/taxonomy/taxondetails?taxnode_id=202311817","ictv.global=202311817")</f>
        <v>ictv.global=202311817</v>
      </c>
    </row>
    <row r="1977" spans="1:21">
      <c r="A1977">
        <v>1976</v>
      </c>
      <c r="B1977" s="30" t="s">
        <v>1587</v>
      </c>
      <c r="D1977" s="30" t="s">
        <v>1588</v>
      </c>
      <c r="F1977" s="30" t="s">
        <v>1591</v>
      </c>
      <c r="H1977" s="30" t="s">
        <v>1592</v>
      </c>
      <c r="L1977" s="30" t="s">
        <v>2337</v>
      </c>
      <c r="N1977" s="30" t="s">
        <v>2364</v>
      </c>
      <c r="P1977" s="30" t="s">
        <v>5685</v>
      </c>
      <c r="Q1977" t="s">
        <v>619</v>
      </c>
      <c r="R1977" t="s">
        <v>917</v>
      </c>
      <c r="S1977">
        <v>38</v>
      </c>
      <c r="T1977" s="29" t="str">
        <f>HYPERLINK("https://ictv.global/ictv/proposals/2022.073B.Schitoviridae_1nsf_9ng_30nsp.zip","2022.073B.Schitoviridae_1nsf_9ng_30nsp.zip")</f>
        <v>2022.073B.Schitoviridae_1nsf_9ng_30nsp.zip</v>
      </c>
      <c r="U1977" s="29" t="str">
        <f>HYPERLINK("https://ictv.global/taxonomy/taxondetails?taxnode_id=202314823","ictv.global=202314823")</f>
        <v>ictv.global=202314823</v>
      </c>
    </row>
    <row r="1978" spans="1:21">
      <c r="A1978">
        <v>1977</v>
      </c>
      <c r="B1978" s="30" t="s">
        <v>1587</v>
      </c>
      <c r="D1978" s="30" t="s">
        <v>1588</v>
      </c>
      <c r="F1978" s="30" t="s">
        <v>1591</v>
      </c>
      <c r="H1978" s="30" t="s">
        <v>1592</v>
      </c>
      <c r="L1978" s="30" t="s">
        <v>2337</v>
      </c>
      <c r="N1978" s="30" t="s">
        <v>2365</v>
      </c>
      <c r="P1978" s="30" t="s">
        <v>5686</v>
      </c>
      <c r="Q1978" t="s">
        <v>619</v>
      </c>
      <c r="R1978" t="s">
        <v>918</v>
      </c>
      <c r="S1978">
        <v>37</v>
      </c>
      <c r="T1978" s="29" t="str">
        <f>HYPERLINK("https://ictv.global/ictv/proposals/2021.010B.R.Binomial_names.zip","2021.010B.R.Binomial_names.zip")</f>
        <v>2021.010B.R.Binomial_names.zip</v>
      </c>
      <c r="U1978" s="29" t="str">
        <f>HYPERLINK("https://ictv.global/taxonomy/taxondetails?taxnode_id=202311842","ictv.global=202311842")</f>
        <v>ictv.global=202311842</v>
      </c>
    </row>
    <row r="1979" spans="1:21">
      <c r="A1979">
        <v>1978</v>
      </c>
      <c r="B1979" s="30" t="s">
        <v>1587</v>
      </c>
      <c r="D1979" s="30" t="s">
        <v>1588</v>
      </c>
      <c r="F1979" s="30" t="s">
        <v>1591</v>
      </c>
      <c r="H1979" s="30" t="s">
        <v>1592</v>
      </c>
      <c r="L1979" s="30" t="s">
        <v>2337</v>
      </c>
      <c r="N1979" s="30" t="s">
        <v>2366</v>
      </c>
      <c r="P1979" s="30" t="s">
        <v>5687</v>
      </c>
      <c r="Q1979" t="s">
        <v>619</v>
      </c>
      <c r="R1979" t="s">
        <v>918</v>
      </c>
      <c r="S1979">
        <v>37</v>
      </c>
      <c r="T1979" s="29" t="str">
        <f>HYPERLINK("https://ictv.global/ictv/proposals/2021.010B.R.Binomial_names.zip","2021.010B.R.Binomial_names.zip")</f>
        <v>2021.010B.R.Binomial_names.zip</v>
      </c>
      <c r="U1979" s="29" t="str">
        <f>HYPERLINK("https://ictv.global/taxonomy/taxondetails?taxnode_id=202311820","ictv.global=202311820")</f>
        <v>ictv.global=202311820</v>
      </c>
    </row>
    <row r="1980" spans="1:21">
      <c r="A1980">
        <v>1979</v>
      </c>
      <c r="B1980" s="30" t="s">
        <v>1587</v>
      </c>
      <c r="D1980" s="30" t="s">
        <v>1588</v>
      </c>
      <c r="F1980" s="30" t="s">
        <v>1591</v>
      </c>
      <c r="H1980" s="30" t="s">
        <v>1592</v>
      </c>
      <c r="L1980" s="30" t="s">
        <v>2337</v>
      </c>
      <c r="N1980" s="30" t="s">
        <v>5688</v>
      </c>
      <c r="P1980" s="30" t="s">
        <v>5689</v>
      </c>
      <c r="Q1980" t="s">
        <v>619</v>
      </c>
      <c r="R1980" t="s">
        <v>917</v>
      </c>
      <c r="S1980">
        <v>37</v>
      </c>
      <c r="T1980" s="29" t="str">
        <f>HYPERLINK("https://ictv.global/ictv/proposals/2021.076B.R.Schitoviridae_new_genera.zip","2021.076B.R.Schitoviridae_new_genera.zip")</f>
        <v>2021.076B.R.Schitoviridae_new_genera.zip</v>
      </c>
      <c r="U1980" s="29" t="str">
        <f>HYPERLINK("https://ictv.global/taxonomy/taxondetails?taxnode_id=202312917","ictv.global=202312917")</f>
        <v>ictv.global=202312917</v>
      </c>
    </row>
    <row r="1981" spans="1:21">
      <c r="A1981">
        <v>1980</v>
      </c>
      <c r="B1981" s="30" t="s">
        <v>1587</v>
      </c>
      <c r="D1981" s="30" t="s">
        <v>1588</v>
      </c>
      <c r="F1981" s="30" t="s">
        <v>1591</v>
      </c>
      <c r="H1981" s="30" t="s">
        <v>1592</v>
      </c>
      <c r="L1981" s="30" t="s">
        <v>2337</v>
      </c>
      <c r="N1981" s="30" t="s">
        <v>5688</v>
      </c>
      <c r="P1981" s="30" t="s">
        <v>5690</v>
      </c>
      <c r="Q1981" t="s">
        <v>619</v>
      </c>
      <c r="R1981" t="s">
        <v>917</v>
      </c>
      <c r="S1981">
        <v>37</v>
      </c>
      <c r="T1981" s="29" t="str">
        <f>HYPERLINK("https://ictv.global/ictv/proposals/2021.076B.R.Schitoviridae_new_genera.zip","2021.076B.R.Schitoviridae_new_genera.zip")</f>
        <v>2021.076B.R.Schitoviridae_new_genera.zip</v>
      </c>
      <c r="U1981" s="29" t="str">
        <f>HYPERLINK("https://ictv.global/taxonomy/taxondetails?taxnode_id=202312918","ictv.global=202312918")</f>
        <v>ictv.global=202312918</v>
      </c>
    </row>
    <row r="1982" spans="1:21">
      <c r="A1982">
        <v>1981</v>
      </c>
      <c r="B1982" s="30" t="s">
        <v>1587</v>
      </c>
      <c r="D1982" s="30" t="s">
        <v>1588</v>
      </c>
      <c r="F1982" s="30" t="s">
        <v>1591</v>
      </c>
      <c r="H1982" s="30" t="s">
        <v>1592</v>
      </c>
      <c r="L1982" s="30" t="s">
        <v>2337</v>
      </c>
      <c r="N1982" s="30" t="s">
        <v>5691</v>
      </c>
      <c r="P1982" s="30" t="s">
        <v>5692</v>
      </c>
      <c r="Q1982" t="s">
        <v>619</v>
      </c>
      <c r="R1982" t="s">
        <v>917</v>
      </c>
      <c r="S1982">
        <v>37</v>
      </c>
      <c r="T1982" s="29" t="str">
        <f>HYPERLINK("https://ictv.global/ictv/proposals/2021.076B.R.Schitoviridae_new_genera.zip","2021.076B.R.Schitoviridae_new_genera.zip")</f>
        <v>2021.076B.R.Schitoviridae_new_genera.zip</v>
      </c>
      <c r="U1982" s="29" t="str">
        <f>HYPERLINK("https://ictv.global/taxonomy/taxondetails?taxnode_id=202313605","ictv.global=202313605")</f>
        <v>ictv.global=202313605</v>
      </c>
    </row>
    <row r="1983" spans="1:21">
      <c r="A1983">
        <v>1982</v>
      </c>
      <c r="B1983" s="30" t="s">
        <v>1587</v>
      </c>
      <c r="D1983" s="30" t="s">
        <v>1588</v>
      </c>
      <c r="F1983" s="30" t="s">
        <v>1591</v>
      </c>
      <c r="H1983" s="30" t="s">
        <v>1592</v>
      </c>
      <c r="L1983" s="30" t="s">
        <v>2337</v>
      </c>
      <c r="N1983" s="30" t="s">
        <v>5693</v>
      </c>
      <c r="P1983" s="30" t="s">
        <v>5694</v>
      </c>
      <c r="Q1983" t="s">
        <v>619</v>
      </c>
      <c r="R1983" t="s">
        <v>917</v>
      </c>
      <c r="S1983">
        <v>37</v>
      </c>
      <c r="T1983" s="29" t="str">
        <f>HYPERLINK("https://ictv.global/ictv/proposals/2021.076B.R.Schitoviridae_new_genera.zip","2021.076B.R.Schitoviridae_new_genera.zip")</f>
        <v>2021.076B.R.Schitoviridae_new_genera.zip</v>
      </c>
      <c r="U1983" s="29" t="str">
        <f>HYPERLINK("https://ictv.global/taxonomy/taxondetails?taxnode_id=202313612","ictv.global=202313612")</f>
        <v>ictv.global=202313612</v>
      </c>
    </row>
    <row r="1984" spans="1:21">
      <c r="A1984">
        <v>1983</v>
      </c>
      <c r="B1984" s="30" t="s">
        <v>1587</v>
      </c>
      <c r="D1984" s="30" t="s">
        <v>1588</v>
      </c>
      <c r="F1984" s="30" t="s">
        <v>1591</v>
      </c>
      <c r="H1984" s="30" t="s">
        <v>1592</v>
      </c>
      <c r="L1984" s="30" t="s">
        <v>2337</v>
      </c>
      <c r="N1984" s="30" t="s">
        <v>2367</v>
      </c>
      <c r="P1984" s="30" t="s">
        <v>5695</v>
      </c>
      <c r="Q1984" t="s">
        <v>619</v>
      </c>
      <c r="R1984" t="s">
        <v>918</v>
      </c>
      <c r="S1984">
        <v>37</v>
      </c>
      <c r="T1984" s="29" t="str">
        <f>HYPERLINK("https://ictv.global/ictv/proposals/2021.010B.R.Binomial_names.zip","2021.010B.R.Binomial_names.zip")</f>
        <v>2021.010B.R.Binomial_names.zip</v>
      </c>
      <c r="U1984" s="29" t="str">
        <f>HYPERLINK("https://ictv.global/taxonomy/taxondetails?taxnode_id=202311834","ictv.global=202311834")</f>
        <v>ictv.global=202311834</v>
      </c>
    </row>
    <row r="1985" spans="1:21">
      <c r="A1985">
        <v>1984</v>
      </c>
      <c r="B1985" s="30" t="s">
        <v>1587</v>
      </c>
      <c r="D1985" s="30" t="s">
        <v>1588</v>
      </c>
      <c r="F1985" s="30" t="s">
        <v>1591</v>
      </c>
      <c r="H1985" s="30" t="s">
        <v>1592</v>
      </c>
      <c r="L1985" s="30" t="s">
        <v>2337</v>
      </c>
      <c r="N1985" s="30" t="s">
        <v>2368</v>
      </c>
      <c r="P1985" s="30" t="s">
        <v>5696</v>
      </c>
      <c r="Q1985" t="s">
        <v>619</v>
      </c>
      <c r="R1985" t="s">
        <v>917</v>
      </c>
      <c r="S1985">
        <v>38</v>
      </c>
      <c r="T1985" s="29" t="str">
        <f>HYPERLINK("https://ictv.global/ictv/proposals/2022.073B.Schitoviridae_1nsf_9ng_30nsp.zip","2022.073B.Schitoviridae_1nsf_9ng_30nsp.zip")</f>
        <v>2022.073B.Schitoviridae_1nsf_9ng_30nsp.zip</v>
      </c>
      <c r="U1985" s="29" t="str">
        <f>HYPERLINK("https://ictv.global/taxonomy/taxondetails?taxnode_id=202314831","ictv.global=202314831")</f>
        <v>ictv.global=202314831</v>
      </c>
    </row>
    <row r="1986" spans="1:21">
      <c r="A1986">
        <v>1985</v>
      </c>
      <c r="B1986" s="30" t="s">
        <v>1587</v>
      </c>
      <c r="D1986" s="30" t="s">
        <v>1588</v>
      </c>
      <c r="F1986" s="30" t="s">
        <v>1591</v>
      </c>
      <c r="H1986" s="30" t="s">
        <v>1592</v>
      </c>
      <c r="L1986" s="30" t="s">
        <v>2337</v>
      </c>
      <c r="N1986" s="30" t="s">
        <v>2368</v>
      </c>
      <c r="P1986" s="30" t="s">
        <v>5697</v>
      </c>
      <c r="Q1986" t="s">
        <v>619</v>
      </c>
      <c r="R1986" t="s">
        <v>918</v>
      </c>
      <c r="S1986">
        <v>37</v>
      </c>
      <c r="T1986" s="29" t="str">
        <f>HYPERLINK("https://ictv.global/ictv/proposals/2021.010B.R.Binomial_names.zip","2021.010B.R.Binomial_names.zip")</f>
        <v>2021.010B.R.Binomial_names.zip</v>
      </c>
      <c r="U1986" s="29" t="str">
        <f>HYPERLINK("https://ictv.global/taxonomy/taxondetails?taxnode_id=202311830","ictv.global=202311830")</f>
        <v>ictv.global=202311830</v>
      </c>
    </row>
    <row r="1987" spans="1:21">
      <c r="A1987">
        <v>1986</v>
      </c>
      <c r="B1987" s="30" t="s">
        <v>1587</v>
      </c>
      <c r="D1987" s="30" t="s">
        <v>1588</v>
      </c>
      <c r="F1987" s="30" t="s">
        <v>1591</v>
      </c>
      <c r="H1987" s="30" t="s">
        <v>1592</v>
      </c>
      <c r="L1987" s="30" t="s">
        <v>2337</v>
      </c>
      <c r="N1987" s="30" t="s">
        <v>1865</v>
      </c>
      <c r="P1987" s="30" t="s">
        <v>5698</v>
      </c>
      <c r="Q1987" t="s">
        <v>619</v>
      </c>
      <c r="R1987" t="s">
        <v>918</v>
      </c>
      <c r="S1987">
        <v>37</v>
      </c>
      <c r="T1987" s="29" t="str">
        <f>HYPERLINK("https://ictv.global/ictv/proposals/2021.010B.R.Binomial_names.zip","2021.010B.R.Binomial_names.zip")</f>
        <v>2021.010B.R.Binomial_names.zip</v>
      </c>
      <c r="U1987" s="29" t="str">
        <f>HYPERLINK("https://ictv.global/taxonomy/taxondetails?taxnode_id=202307900","ictv.global=202307900")</f>
        <v>ictv.global=202307900</v>
      </c>
    </row>
    <row r="1988" spans="1:21">
      <c r="A1988">
        <v>1987</v>
      </c>
      <c r="B1988" s="30" t="s">
        <v>1587</v>
      </c>
      <c r="D1988" s="30" t="s">
        <v>1588</v>
      </c>
      <c r="F1988" s="30" t="s">
        <v>1591</v>
      </c>
      <c r="H1988" s="30" t="s">
        <v>1592</v>
      </c>
      <c r="L1988" s="30" t="s">
        <v>2337</v>
      </c>
      <c r="N1988" s="30" t="s">
        <v>1865</v>
      </c>
      <c r="P1988" s="30" t="s">
        <v>5699</v>
      </c>
      <c r="Q1988" t="s">
        <v>619</v>
      </c>
      <c r="R1988" t="s">
        <v>918</v>
      </c>
      <c r="S1988">
        <v>37</v>
      </c>
      <c r="T1988" s="29" t="str">
        <f>HYPERLINK("https://ictv.global/ictv/proposals/2021.010B.R.Binomial_names.zip","2021.010B.R.Binomial_names.zip")</f>
        <v>2021.010B.R.Binomial_names.zip</v>
      </c>
      <c r="U1988" s="29" t="str">
        <f>HYPERLINK("https://ictv.global/taxonomy/taxondetails?taxnode_id=202307903","ictv.global=202307903")</f>
        <v>ictv.global=202307903</v>
      </c>
    </row>
    <row r="1989" spans="1:21">
      <c r="A1989">
        <v>1988</v>
      </c>
      <c r="B1989" s="30" t="s">
        <v>1587</v>
      </c>
      <c r="D1989" s="30" t="s">
        <v>1588</v>
      </c>
      <c r="F1989" s="30" t="s">
        <v>1591</v>
      </c>
      <c r="H1989" s="30" t="s">
        <v>1592</v>
      </c>
      <c r="L1989" s="30" t="s">
        <v>2337</v>
      </c>
      <c r="N1989" s="30" t="s">
        <v>1865</v>
      </c>
      <c r="P1989" s="30" t="s">
        <v>5700</v>
      </c>
      <c r="Q1989" t="s">
        <v>619</v>
      </c>
      <c r="R1989" t="s">
        <v>918</v>
      </c>
      <c r="S1989">
        <v>37</v>
      </c>
      <c r="T1989" s="29" t="str">
        <f>HYPERLINK("https://ictv.global/ictv/proposals/2021.010B.R.Binomial_names.zip","2021.010B.R.Binomial_names.zip")</f>
        <v>2021.010B.R.Binomial_names.zip</v>
      </c>
      <c r="U1989" s="29" t="str">
        <f>HYPERLINK("https://ictv.global/taxonomy/taxondetails?taxnode_id=202307901","ictv.global=202307901")</f>
        <v>ictv.global=202307901</v>
      </c>
    </row>
    <row r="1990" spans="1:21">
      <c r="A1990">
        <v>1989</v>
      </c>
      <c r="B1990" s="30" t="s">
        <v>1587</v>
      </c>
      <c r="D1990" s="30" t="s">
        <v>1588</v>
      </c>
      <c r="F1990" s="30" t="s">
        <v>1591</v>
      </c>
      <c r="H1990" s="30" t="s">
        <v>1592</v>
      </c>
      <c r="L1990" s="30" t="s">
        <v>2337</v>
      </c>
      <c r="N1990" s="30" t="s">
        <v>1865</v>
      </c>
      <c r="P1990" s="30" t="s">
        <v>5701</v>
      </c>
      <c r="Q1990" t="s">
        <v>619</v>
      </c>
      <c r="R1990" t="s">
        <v>918</v>
      </c>
      <c r="S1990">
        <v>37</v>
      </c>
      <c r="T1990" s="29" t="str">
        <f>HYPERLINK("https://ictv.global/ictv/proposals/2021.010B.R.Binomial_names.zip","2021.010B.R.Binomial_names.zip")</f>
        <v>2021.010B.R.Binomial_names.zip</v>
      </c>
      <c r="U1990" s="29" t="str">
        <f>HYPERLINK("https://ictv.global/taxonomy/taxondetails?taxnode_id=202307902","ictv.global=202307902")</f>
        <v>ictv.global=202307902</v>
      </c>
    </row>
    <row r="1991" spans="1:21">
      <c r="A1991">
        <v>1990</v>
      </c>
      <c r="B1991" s="30" t="s">
        <v>1587</v>
      </c>
      <c r="D1991" s="30" t="s">
        <v>1588</v>
      </c>
      <c r="F1991" s="30" t="s">
        <v>1591</v>
      </c>
      <c r="H1991" s="30" t="s">
        <v>1592</v>
      </c>
      <c r="L1991" s="30" t="s">
        <v>2337</v>
      </c>
      <c r="N1991" s="30" t="s">
        <v>5702</v>
      </c>
      <c r="P1991" s="30" t="s">
        <v>5703</v>
      </c>
      <c r="Q1991" t="s">
        <v>619</v>
      </c>
      <c r="R1991" t="s">
        <v>917</v>
      </c>
      <c r="S1991">
        <v>37</v>
      </c>
      <c r="T1991" s="29" t="str">
        <f>HYPERLINK("https://ictv.global/ictv/proposals/2021.059B.R.Oliverunavirus.zip","2021.059B.R.Oliverunavirus.zip")</f>
        <v>2021.059B.R.Oliverunavirus.zip</v>
      </c>
      <c r="U1991" s="29" t="str">
        <f>HYPERLINK("https://ictv.global/taxonomy/taxondetails?taxnode_id=202312789","ictv.global=202312789")</f>
        <v>ictv.global=202312789</v>
      </c>
    </row>
    <row r="1992" spans="1:21">
      <c r="A1992">
        <v>1991</v>
      </c>
      <c r="B1992" s="30" t="s">
        <v>1587</v>
      </c>
      <c r="D1992" s="30" t="s">
        <v>1588</v>
      </c>
      <c r="F1992" s="30" t="s">
        <v>1591</v>
      </c>
      <c r="H1992" s="30" t="s">
        <v>1592</v>
      </c>
      <c r="L1992" s="30" t="s">
        <v>2337</v>
      </c>
      <c r="N1992" s="30" t="s">
        <v>2369</v>
      </c>
      <c r="P1992" s="30" t="s">
        <v>5704</v>
      </c>
      <c r="Q1992" t="s">
        <v>619</v>
      </c>
      <c r="R1992" t="s">
        <v>918</v>
      </c>
      <c r="S1992">
        <v>37</v>
      </c>
      <c r="T1992" s="29" t="str">
        <f>HYPERLINK("https://ictv.global/ictv/proposals/2021.010B.R.Binomial_names.zip","2021.010B.R.Binomial_names.zip")</f>
        <v>2021.010B.R.Binomial_names.zip</v>
      </c>
      <c r="U1992" s="29" t="str">
        <f>HYPERLINK("https://ictv.global/taxonomy/taxondetails?taxnode_id=202311823","ictv.global=202311823")</f>
        <v>ictv.global=202311823</v>
      </c>
    </row>
    <row r="1993" spans="1:21">
      <c r="A1993">
        <v>1992</v>
      </c>
      <c r="B1993" s="30" t="s">
        <v>1587</v>
      </c>
      <c r="D1993" s="30" t="s">
        <v>1588</v>
      </c>
      <c r="F1993" s="30" t="s">
        <v>1591</v>
      </c>
      <c r="H1993" s="30" t="s">
        <v>1592</v>
      </c>
      <c r="L1993" s="30" t="s">
        <v>2337</v>
      </c>
      <c r="N1993" s="30" t="s">
        <v>2369</v>
      </c>
      <c r="P1993" s="30" t="s">
        <v>5705</v>
      </c>
      <c r="Q1993" t="s">
        <v>619</v>
      </c>
      <c r="R1993" t="s">
        <v>918</v>
      </c>
      <c r="S1993">
        <v>37</v>
      </c>
      <c r="T1993" s="29" t="str">
        <f>HYPERLINK("https://ictv.global/ictv/proposals/2021.010B.R.Binomial_names.zip","2021.010B.R.Binomial_names.zip")</f>
        <v>2021.010B.R.Binomial_names.zip</v>
      </c>
      <c r="U1993" s="29" t="str">
        <f>HYPERLINK("https://ictv.global/taxonomy/taxondetails?taxnode_id=202311822","ictv.global=202311822")</f>
        <v>ictv.global=202311822</v>
      </c>
    </row>
    <row r="1994" spans="1:21">
      <c r="A1994">
        <v>1993</v>
      </c>
      <c r="B1994" s="30" t="s">
        <v>1587</v>
      </c>
      <c r="D1994" s="30" t="s">
        <v>1588</v>
      </c>
      <c r="F1994" s="30" t="s">
        <v>1591</v>
      </c>
      <c r="H1994" s="30" t="s">
        <v>1592</v>
      </c>
      <c r="L1994" s="30" t="s">
        <v>2337</v>
      </c>
      <c r="N1994" s="30" t="s">
        <v>5706</v>
      </c>
      <c r="P1994" s="30" t="s">
        <v>5707</v>
      </c>
      <c r="Q1994" t="s">
        <v>619</v>
      </c>
      <c r="R1994" t="s">
        <v>917</v>
      </c>
      <c r="S1994">
        <v>37</v>
      </c>
      <c r="T1994" s="29" t="str">
        <f>HYPERLINK("https://ictv.global/ictv/proposals/2021.076B.R.Schitoviridae_new_genera.zip","2021.076B.R.Schitoviridae_new_genera.zip")</f>
        <v>2021.076B.R.Schitoviridae_new_genera.zip</v>
      </c>
      <c r="U1994" s="29" t="str">
        <f>HYPERLINK("https://ictv.global/taxonomy/taxondetails?taxnode_id=202313608","ictv.global=202313608")</f>
        <v>ictv.global=202313608</v>
      </c>
    </row>
    <row r="1995" spans="1:21">
      <c r="A1995">
        <v>1994</v>
      </c>
      <c r="B1995" s="30" t="s">
        <v>1587</v>
      </c>
      <c r="D1995" s="30" t="s">
        <v>1588</v>
      </c>
      <c r="F1995" s="30" t="s">
        <v>1591</v>
      </c>
      <c r="H1995" s="30" t="s">
        <v>1592</v>
      </c>
      <c r="L1995" s="30" t="s">
        <v>2337</v>
      </c>
      <c r="N1995" s="30" t="s">
        <v>5706</v>
      </c>
      <c r="P1995" s="30" t="s">
        <v>5708</v>
      </c>
      <c r="Q1995" t="s">
        <v>619</v>
      </c>
      <c r="R1995" t="s">
        <v>917</v>
      </c>
      <c r="S1995">
        <v>37</v>
      </c>
      <c r="T1995" s="29" t="str">
        <f>HYPERLINK("https://ictv.global/ictv/proposals/2021.076B.R.Schitoviridae_new_genera.zip","2021.076B.R.Schitoviridae_new_genera.zip")</f>
        <v>2021.076B.R.Schitoviridae_new_genera.zip</v>
      </c>
      <c r="U1995" s="29" t="str">
        <f>HYPERLINK("https://ictv.global/taxonomy/taxondetails?taxnode_id=202313607","ictv.global=202313607")</f>
        <v>ictv.global=202313607</v>
      </c>
    </row>
    <row r="1996" spans="1:21">
      <c r="A1996">
        <v>1995</v>
      </c>
      <c r="B1996" s="30" t="s">
        <v>1587</v>
      </c>
      <c r="D1996" s="30" t="s">
        <v>1588</v>
      </c>
      <c r="F1996" s="30" t="s">
        <v>1591</v>
      </c>
      <c r="H1996" s="30" t="s">
        <v>1592</v>
      </c>
      <c r="L1996" s="30" t="s">
        <v>2337</v>
      </c>
      <c r="N1996" s="30" t="s">
        <v>5709</v>
      </c>
      <c r="P1996" s="30" t="s">
        <v>5710</v>
      </c>
      <c r="Q1996" t="s">
        <v>619</v>
      </c>
      <c r="R1996" t="s">
        <v>917</v>
      </c>
      <c r="S1996">
        <v>37</v>
      </c>
      <c r="T1996" s="29" t="str">
        <f>HYPERLINK("https://ictv.global/ictv/proposals/2021.076B.R.Schitoviridae_new_genera.zip","2021.076B.R.Schitoviridae_new_genera.zip")</f>
        <v>2021.076B.R.Schitoviridae_new_genera.zip</v>
      </c>
      <c r="U1996" s="29" t="str">
        <f>HYPERLINK("https://ictv.global/taxonomy/taxondetails?taxnode_id=202312920","ictv.global=202312920")</f>
        <v>ictv.global=202312920</v>
      </c>
    </row>
    <row r="1997" spans="1:21">
      <c r="A1997">
        <v>1996</v>
      </c>
      <c r="B1997" s="30" t="s">
        <v>1587</v>
      </c>
      <c r="D1997" s="30" t="s">
        <v>1588</v>
      </c>
      <c r="F1997" s="30" t="s">
        <v>1591</v>
      </c>
      <c r="H1997" s="30" t="s">
        <v>1592</v>
      </c>
      <c r="L1997" s="30" t="s">
        <v>2337</v>
      </c>
      <c r="N1997" s="30" t="s">
        <v>5711</v>
      </c>
      <c r="P1997" s="30" t="s">
        <v>5712</v>
      </c>
      <c r="Q1997" t="s">
        <v>619</v>
      </c>
      <c r="R1997" t="s">
        <v>917</v>
      </c>
      <c r="S1997">
        <v>38</v>
      </c>
      <c r="T1997" s="29" t="str">
        <f>HYPERLINK("https://ictv.global/ictv/proposals/2022.073B.Schitoviridae_1nsf_9ng_30nsp.zip","2022.073B.Schitoviridae_1nsf_9ng_30nsp.zip")</f>
        <v>2022.073B.Schitoviridae_1nsf_9ng_30nsp.zip</v>
      </c>
      <c r="U1997" s="29" t="str">
        <f>HYPERLINK("https://ictv.global/taxonomy/taxondetails?taxnode_id=202314812","ictv.global=202314812")</f>
        <v>ictv.global=202314812</v>
      </c>
    </row>
    <row r="1998" spans="1:21">
      <c r="A1998">
        <v>1997</v>
      </c>
      <c r="B1998" s="30" t="s">
        <v>1587</v>
      </c>
      <c r="D1998" s="30" t="s">
        <v>1588</v>
      </c>
      <c r="F1998" s="30" t="s">
        <v>1591</v>
      </c>
      <c r="H1998" s="30" t="s">
        <v>1592</v>
      </c>
      <c r="L1998" s="30" t="s">
        <v>2337</v>
      </c>
      <c r="N1998" s="30" t="s">
        <v>5713</v>
      </c>
      <c r="P1998" s="30" t="s">
        <v>5714</v>
      </c>
      <c r="Q1998" t="s">
        <v>619</v>
      </c>
      <c r="R1998" t="s">
        <v>917</v>
      </c>
      <c r="S1998">
        <v>38</v>
      </c>
      <c r="T1998" s="29" t="str">
        <f>HYPERLINK("https://ictv.global/ictv/proposals/2022.073B.Schitoviridae_1nsf_9ng_30nsp.zip","2022.073B.Schitoviridae_1nsf_9ng_30nsp.zip")</f>
        <v>2022.073B.Schitoviridae_1nsf_9ng_30nsp.zip</v>
      </c>
      <c r="U1998" s="29" t="str">
        <f>HYPERLINK("https://ictv.global/taxonomy/taxondetails?taxnode_id=202314810","ictv.global=202314810")</f>
        <v>ictv.global=202314810</v>
      </c>
    </row>
    <row r="1999" spans="1:21">
      <c r="A1999">
        <v>1998</v>
      </c>
      <c r="B1999" s="30" t="s">
        <v>1587</v>
      </c>
      <c r="D1999" s="30" t="s">
        <v>1588</v>
      </c>
      <c r="F1999" s="30" t="s">
        <v>1591</v>
      </c>
      <c r="H1999" s="30" t="s">
        <v>1592</v>
      </c>
      <c r="L1999" s="30" t="s">
        <v>2337</v>
      </c>
      <c r="N1999" s="30" t="s">
        <v>2370</v>
      </c>
      <c r="P1999" s="30" t="s">
        <v>5715</v>
      </c>
      <c r="Q1999" t="s">
        <v>619</v>
      </c>
      <c r="R1999" t="s">
        <v>917</v>
      </c>
      <c r="S1999">
        <v>38</v>
      </c>
      <c r="T1999" s="29" t="str">
        <f>HYPERLINK("https://ictv.global/ictv/proposals/2022.073B.Schitoviridae_1nsf_9ng_30nsp.zip","2022.073B.Schitoviridae_1nsf_9ng_30nsp.zip")</f>
        <v>2022.073B.Schitoviridae_1nsf_9ng_30nsp.zip</v>
      </c>
      <c r="U1999" s="29" t="str">
        <f>HYPERLINK("https://ictv.global/taxonomy/taxondetails?taxnode_id=202314832","ictv.global=202314832")</f>
        <v>ictv.global=202314832</v>
      </c>
    </row>
    <row r="2000" spans="1:21">
      <c r="A2000">
        <v>1999</v>
      </c>
      <c r="B2000" s="30" t="s">
        <v>1587</v>
      </c>
      <c r="D2000" s="30" t="s">
        <v>1588</v>
      </c>
      <c r="F2000" s="30" t="s">
        <v>1591</v>
      </c>
      <c r="H2000" s="30" t="s">
        <v>1592</v>
      </c>
      <c r="L2000" s="30" t="s">
        <v>2337</v>
      </c>
      <c r="N2000" s="30" t="s">
        <v>2370</v>
      </c>
      <c r="P2000" s="30" t="s">
        <v>5716</v>
      </c>
      <c r="Q2000" t="s">
        <v>619</v>
      </c>
      <c r="R2000" t="s">
        <v>917</v>
      </c>
      <c r="S2000">
        <v>38</v>
      </c>
      <c r="T2000" s="29" t="str">
        <f>HYPERLINK("https://ictv.global/ictv/proposals/2022.073B.Schitoviridae_1nsf_9ng_30nsp.zip","2022.073B.Schitoviridae_1nsf_9ng_30nsp.zip")</f>
        <v>2022.073B.Schitoviridae_1nsf_9ng_30nsp.zip</v>
      </c>
      <c r="U2000" s="29" t="str">
        <f>HYPERLINK("https://ictv.global/taxonomy/taxondetails?taxnode_id=202314833","ictv.global=202314833")</f>
        <v>ictv.global=202314833</v>
      </c>
    </row>
    <row r="2001" spans="1:21">
      <c r="A2001">
        <v>2000</v>
      </c>
      <c r="B2001" s="30" t="s">
        <v>1587</v>
      </c>
      <c r="D2001" s="30" t="s">
        <v>1588</v>
      </c>
      <c r="F2001" s="30" t="s">
        <v>1591</v>
      </c>
      <c r="H2001" s="30" t="s">
        <v>1592</v>
      </c>
      <c r="L2001" s="30" t="s">
        <v>2337</v>
      </c>
      <c r="N2001" s="30" t="s">
        <v>2370</v>
      </c>
      <c r="P2001" s="30" t="s">
        <v>5717</v>
      </c>
      <c r="Q2001" t="s">
        <v>619</v>
      </c>
      <c r="R2001" t="s">
        <v>918</v>
      </c>
      <c r="S2001">
        <v>37</v>
      </c>
      <c r="T2001" s="29" t="str">
        <f>HYPERLINK("https://ictv.global/ictv/proposals/2021.010B.R.Binomial_names.zip","2021.010B.R.Binomial_names.zip")</f>
        <v>2021.010B.R.Binomial_names.zip</v>
      </c>
      <c r="U2001" s="29" t="str">
        <f>HYPERLINK("https://ictv.global/taxonomy/taxondetails?taxnode_id=202311840","ictv.global=202311840")</f>
        <v>ictv.global=202311840</v>
      </c>
    </row>
    <row r="2002" spans="1:21">
      <c r="A2002">
        <v>2001</v>
      </c>
      <c r="B2002" s="30" t="s">
        <v>1587</v>
      </c>
      <c r="D2002" s="30" t="s">
        <v>1588</v>
      </c>
      <c r="F2002" s="30" t="s">
        <v>1591</v>
      </c>
      <c r="H2002" s="30" t="s">
        <v>1592</v>
      </c>
      <c r="L2002" s="30" t="s">
        <v>2337</v>
      </c>
      <c r="N2002" s="30" t="s">
        <v>2371</v>
      </c>
      <c r="P2002" s="30" t="s">
        <v>5718</v>
      </c>
      <c r="Q2002" t="s">
        <v>619</v>
      </c>
      <c r="R2002" t="s">
        <v>918</v>
      </c>
      <c r="S2002">
        <v>37</v>
      </c>
      <c r="T2002" s="29" t="str">
        <f>HYPERLINK("https://ictv.global/ictv/proposals/2021.010B.R.Binomial_names.zip","2021.010B.R.Binomial_names.zip")</f>
        <v>2021.010B.R.Binomial_names.zip</v>
      </c>
      <c r="U2002" s="29" t="str">
        <f>HYPERLINK("https://ictv.global/taxonomy/taxondetails?taxnode_id=202311828","ictv.global=202311828")</f>
        <v>ictv.global=202311828</v>
      </c>
    </row>
    <row r="2003" spans="1:21">
      <c r="A2003">
        <v>2002</v>
      </c>
      <c r="B2003" s="30" t="s">
        <v>1587</v>
      </c>
      <c r="D2003" s="30" t="s">
        <v>1588</v>
      </c>
      <c r="F2003" s="30" t="s">
        <v>1591</v>
      </c>
      <c r="H2003" s="30" t="s">
        <v>1592</v>
      </c>
      <c r="L2003" s="30" t="s">
        <v>2337</v>
      </c>
      <c r="N2003" s="30" t="s">
        <v>2372</v>
      </c>
      <c r="P2003" s="30" t="s">
        <v>5719</v>
      </c>
      <c r="Q2003" t="s">
        <v>619</v>
      </c>
      <c r="R2003" t="s">
        <v>918</v>
      </c>
      <c r="S2003">
        <v>37</v>
      </c>
      <c r="T2003" s="29" t="str">
        <f>HYPERLINK("https://ictv.global/ictv/proposals/2021.010B.R.Binomial_names.zip","2021.010B.R.Binomial_names.zip")</f>
        <v>2021.010B.R.Binomial_names.zip</v>
      </c>
      <c r="U2003" s="29" t="str">
        <f>HYPERLINK("https://ictv.global/taxonomy/taxondetails?taxnode_id=202311838","ictv.global=202311838")</f>
        <v>ictv.global=202311838</v>
      </c>
    </row>
    <row r="2004" spans="1:21">
      <c r="A2004">
        <v>2003</v>
      </c>
      <c r="B2004" s="30" t="s">
        <v>1587</v>
      </c>
      <c r="D2004" s="30" t="s">
        <v>1588</v>
      </c>
      <c r="F2004" s="30" t="s">
        <v>1591</v>
      </c>
      <c r="H2004" s="30" t="s">
        <v>1592</v>
      </c>
      <c r="L2004" s="30" t="s">
        <v>2337</v>
      </c>
      <c r="N2004" s="30" t="s">
        <v>1867</v>
      </c>
      <c r="P2004" s="30" t="s">
        <v>5720</v>
      </c>
      <c r="Q2004" t="s">
        <v>619</v>
      </c>
      <c r="R2004" t="s">
        <v>918</v>
      </c>
      <c r="S2004">
        <v>37</v>
      </c>
      <c r="T2004" s="29" t="str">
        <f>HYPERLINK("https://ictv.global/ictv/proposals/2021.010B.R.Binomial_names.zip","2021.010B.R.Binomial_names.zip")</f>
        <v>2021.010B.R.Binomial_names.zip</v>
      </c>
      <c r="U2004" s="29" t="str">
        <f>HYPERLINK("https://ictv.global/taxonomy/taxondetails?taxnode_id=202307691","ictv.global=202307691")</f>
        <v>ictv.global=202307691</v>
      </c>
    </row>
    <row r="2005" spans="1:21">
      <c r="A2005">
        <v>2004</v>
      </c>
      <c r="B2005" s="30" t="s">
        <v>1587</v>
      </c>
      <c r="D2005" s="30" t="s">
        <v>1588</v>
      </c>
      <c r="F2005" s="30" t="s">
        <v>1591</v>
      </c>
      <c r="H2005" s="30" t="s">
        <v>1592</v>
      </c>
      <c r="L2005" s="30" t="s">
        <v>2337</v>
      </c>
      <c r="N2005" s="30" t="s">
        <v>5721</v>
      </c>
      <c r="P2005" s="30" t="s">
        <v>5722</v>
      </c>
      <c r="Q2005" t="s">
        <v>619</v>
      </c>
      <c r="R2005" t="s">
        <v>917</v>
      </c>
      <c r="S2005">
        <v>37</v>
      </c>
      <c r="T2005" s="29" t="str">
        <f>HYPERLINK("https://ictv.global/ictv/proposals/2021.076B.R.Schitoviridae_new_genera.zip","2021.076B.R.Schitoviridae_new_genera.zip")</f>
        <v>2021.076B.R.Schitoviridae_new_genera.zip</v>
      </c>
      <c r="U2005" s="29" t="str">
        <f>HYPERLINK("https://ictv.global/taxonomy/taxondetails?taxnode_id=202313610","ictv.global=202313610")</f>
        <v>ictv.global=202313610</v>
      </c>
    </row>
    <row r="2006" spans="1:21">
      <c r="A2006">
        <v>2005</v>
      </c>
      <c r="B2006" s="30" t="s">
        <v>1587</v>
      </c>
      <c r="D2006" s="30" t="s">
        <v>1588</v>
      </c>
      <c r="F2006" s="30" t="s">
        <v>1591</v>
      </c>
      <c r="H2006" s="30" t="s">
        <v>1592</v>
      </c>
      <c r="L2006" s="30" t="s">
        <v>2337</v>
      </c>
      <c r="N2006" s="30" t="s">
        <v>5723</v>
      </c>
      <c r="P2006" s="30" t="s">
        <v>5724</v>
      </c>
      <c r="Q2006" t="s">
        <v>619</v>
      </c>
      <c r="R2006" t="s">
        <v>917</v>
      </c>
      <c r="S2006">
        <v>38</v>
      </c>
      <c r="T2006" s="29" t="str">
        <f>HYPERLINK("https://ictv.global/ictv/proposals/2022.073B.Schitoviridae_1nsf_9ng_30nsp.zip","2022.073B.Schitoviridae_1nsf_9ng_30nsp.zip")</f>
        <v>2022.073B.Schitoviridae_1nsf_9ng_30nsp.zip</v>
      </c>
      <c r="U2006" s="29" t="str">
        <f>HYPERLINK("https://ictv.global/taxonomy/taxondetails?taxnode_id=202314811","ictv.global=202314811")</f>
        <v>ictv.global=202314811</v>
      </c>
    </row>
    <row r="2007" spans="1:21">
      <c r="A2007">
        <v>2006</v>
      </c>
      <c r="B2007" s="30" t="s">
        <v>1587</v>
      </c>
      <c r="D2007" s="30" t="s">
        <v>1588</v>
      </c>
      <c r="F2007" s="30" t="s">
        <v>1591</v>
      </c>
      <c r="H2007" s="30" t="s">
        <v>1592</v>
      </c>
      <c r="L2007" s="30" t="s">
        <v>2337</v>
      </c>
      <c r="N2007" s="30" t="s">
        <v>5725</v>
      </c>
      <c r="P2007" s="30" t="s">
        <v>5726</v>
      </c>
      <c r="Q2007" t="s">
        <v>619</v>
      </c>
      <c r="R2007" t="s">
        <v>917</v>
      </c>
      <c r="S2007">
        <v>37</v>
      </c>
      <c r="T2007" s="29" t="str">
        <f>HYPERLINK("https://ictv.global/ictv/proposals/2021.076B.R.Schitoviridae_new_genera.zip","2021.076B.R.Schitoviridae_new_genera.zip")</f>
        <v>2021.076B.R.Schitoviridae_new_genera.zip</v>
      </c>
      <c r="U2007" s="29" t="str">
        <f>HYPERLINK("https://ictv.global/taxonomy/taxondetails?taxnode_id=202312922","ictv.global=202312922")</f>
        <v>ictv.global=202312922</v>
      </c>
    </row>
    <row r="2008" spans="1:21">
      <c r="A2008">
        <v>2007</v>
      </c>
      <c r="B2008" s="30" t="s">
        <v>1587</v>
      </c>
      <c r="D2008" s="30" t="s">
        <v>1588</v>
      </c>
      <c r="F2008" s="30" t="s">
        <v>1591</v>
      </c>
      <c r="H2008" s="30" t="s">
        <v>1592</v>
      </c>
      <c r="L2008" s="30" t="s">
        <v>2337</v>
      </c>
      <c r="N2008" s="30" t="s">
        <v>2373</v>
      </c>
      <c r="P2008" s="30" t="s">
        <v>5727</v>
      </c>
      <c r="Q2008" t="s">
        <v>619</v>
      </c>
      <c r="R2008" t="s">
        <v>918</v>
      </c>
      <c r="S2008">
        <v>37</v>
      </c>
      <c r="T2008" s="29" t="str">
        <f>HYPERLINK("https://ictv.global/ictv/proposals/2021.010B.R.Binomial_names.zip","2021.010B.R.Binomial_names.zip")</f>
        <v>2021.010B.R.Binomial_names.zip</v>
      </c>
      <c r="U2008" s="29" t="str">
        <f>HYPERLINK("https://ictv.global/taxonomy/taxondetails?taxnode_id=202311832","ictv.global=202311832")</f>
        <v>ictv.global=202311832</v>
      </c>
    </row>
    <row r="2009" spans="1:21">
      <c r="A2009">
        <v>2008</v>
      </c>
      <c r="B2009" s="30" t="s">
        <v>1587</v>
      </c>
      <c r="D2009" s="30" t="s">
        <v>1588</v>
      </c>
      <c r="F2009" s="30" t="s">
        <v>1591</v>
      </c>
      <c r="H2009" s="30" t="s">
        <v>1592</v>
      </c>
      <c r="L2009" s="30" t="s">
        <v>2337</v>
      </c>
      <c r="N2009" s="30" t="s">
        <v>5728</v>
      </c>
      <c r="P2009" s="30" t="s">
        <v>5729</v>
      </c>
      <c r="Q2009" t="s">
        <v>619</v>
      </c>
      <c r="R2009" t="s">
        <v>917</v>
      </c>
      <c r="S2009">
        <v>38</v>
      </c>
      <c r="T2009" s="29" t="str">
        <f>HYPERLINK("https://ictv.global/ictv/proposals/2022.073B.Schitoviridae_1nsf_9ng_30nsp.zip","2022.073B.Schitoviridae_1nsf_9ng_30nsp.zip")</f>
        <v>2022.073B.Schitoviridae_1nsf_9ng_30nsp.zip</v>
      </c>
      <c r="U2009" s="29" t="str">
        <f>HYPERLINK("https://ictv.global/taxonomy/taxondetails?taxnode_id=202314820","ictv.global=202314820")</f>
        <v>ictv.global=202314820</v>
      </c>
    </row>
    <row r="2010" spans="1:21">
      <c r="A2010">
        <v>2009</v>
      </c>
      <c r="B2010" s="30" t="s">
        <v>1587</v>
      </c>
      <c r="D2010" s="30" t="s">
        <v>1588</v>
      </c>
      <c r="F2010" s="30" t="s">
        <v>1591</v>
      </c>
      <c r="H2010" s="30" t="s">
        <v>1592</v>
      </c>
      <c r="L2010" s="30" t="s">
        <v>2337</v>
      </c>
      <c r="N2010" s="30" t="s">
        <v>2374</v>
      </c>
      <c r="P2010" s="30" t="s">
        <v>5730</v>
      </c>
      <c r="Q2010" t="s">
        <v>619</v>
      </c>
      <c r="R2010" t="s">
        <v>918</v>
      </c>
      <c r="S2010">
        <v>37</v>
      </c>
      <c r="T2010" s="29" t="str">
        <f>HYPERLINK("https://ictv.global/ictv/proposals/2021.010B.R.Binomial_names.zip","2021.010B.R.Binomial_names.zip")</f>
        <v>2021.010B.R.Binomial_names.zip</v>
      </c>
      <c r="U2010" s="29" t="str">
        <f>HYPERLINK("https://ictv.global/taxonomy/taxondetails?taxnode_id=202311825","ictv.global=202311825")</f>
        <v>ictv.global=202311825</v>
      </c>
    </row>
    <row r="2011" spans="1:21">
      <c r="A2011">
        <v>2010</v>
      </c>
      <c r="B2011" s="30" t="s">
        <v>1587</v>
      </c>
      <c r="D2011" s="30" t="s">
        <v>1588</v>
      </c>
      <c r="F2011" s="30" t="s">
        <v>1591</v>
      </c>
      <c r="H2011" s="30" t="s">
        <v>1592</v>
      </c>
      <c r="L2011" s="30" t="s">
        <v>2337</v>
      </c>
      <c r="N2011" s="30" t="s">
        <v>2374</v>
      </c>
      <c r="P2011" s="30" t="s">
        <v>5731</v>
      </c>
      <c r="Q2011" t="s">
        <v>619</v>
      </c>
      <c r="R2011" t="s">
        <v>918</v>
      </c>
      <c r="S2011">
        <v>37</v>
      </c>
      <c r="T2011" s="29" t="str">
        <f>HYPERLINK("https://ictv.global/ictv/proposals/2021.010B.R.Binomial_names.zip","2021.010B.R.Binomial_names.zip")</f>
        <v>2021.010B.R.Binomial_names.zip</v>
      </c>
      <c r="U2011" s="29" t="str">
        <f>HYPERLINK("https://ictv.global/taxonomy/taxondetails?taxnode_id=202311826","ictv.global=202311826")</f>
        <v>ictv.global=202311826</v>
      </c>
    </row>
    <row r="2012" spans="1:21">
      <c r="A2012">
        <v>2011</v>
      </c>
      <c r="B2012" s="30" t="s">
        <v>1587</v>
      </c>
      <c r="D2012" s="30" t="s">
        <v>1588</v>
      </c>
      <c r="F2012" s="30" t="s">
        <v>1591</v>
      </c>
      <c r="H2012" s="30" t="s">
        <v>1592</v>
      </c>
      <c r="L2012" s="30" t="s">
        <v>2337</v>
      </c>
      <c r="N2012" s="30" t="s">
        <v>2375</v>
      </c>
      <c r="P2012" s="30" t="s">
        <v>5732</v>
      </c>
      <c r="Q2012" t="s">
        <v>619</v>
      </c>
      <c r="R2012" t="s">
        <v>918</v>
      </c>
      <c r="S2012">
        <v>37</v>
      </c>
      <c r="T2012" s="29" t="str">
        <f>HYPERLINK("https://ictv.global/ictv/proposals/2021.010B.R.Binomial_names.zip","2021.010B.R.Binomial_names.zip")</f>
        <v>2021.010B.R.Binomial_names.zip</v>
      </c>
      <c r="U2012" s="29" t="str">
        <f>HYPERLINK("https://ictv.global/taxonomy/taxondetails?taxnode_id=202311836","ictv.global=202311836")</f>
        <v>ictv.global=202311836</v>
      </c>
    </row>
    <row r="2013" spans="1:21">
      <c r="A2013">
        <v>2012</v>
      </c>
      <c r="B2013" s="30" t="s">
        <v>1587</v>
      </c>
      <c r="D2013" s="30" t="s">
        <v>1588</v>
      </c>
      <c r="F2013" s="30" t="s">
        <v>1591</v>
      </c>
      <c r="H2013" s="30" t="s">
        <v>1592</v>
      </c>
      <c r="L2013" s="30" t="s">
        <v>5733</v>
      </c>
      <c r="N2013" s="30" t="s">
        <v>5734</v>
      </c>
      <c r="P2013" s="30" t="s">
        <v>5735</v>
      </c>
      <c r="Q2013" t="s">
        <v>619</v>
      </c>
      <c r="R2013" t="s">
        <v>917</v>
      </c>
      <c r="S2013">
        <v>38</v>
      </c>
      <c r="T2013" s="29" t="str">
        <f>HYPERLINK("https://ictv.global/ictv/proposals/2022.004A.Caudoviricetes_3nf.zip","2022.004A.Caudoviricetes_3nf.zip")</f>
        <v>2022.004A.Caudoviricetes_3nf.zip</v>
      </c>
      <c r="U2013" s="29" t="str">
        <f>HYPERLINK("https://ictv.global/taxonomy/taxondetails?taxnode_id=202314335","ictv.global=202314335")</f>
        <v>ictv.global=202314335</v>
      </c>
    </row>
    <row r="2014" spans="1:21">
      <c r="A2014">
        <v>2013</v>
      </c>
      <c r="B2014" s="30" t="s">
        <v>1587</v>
      </c>
      <c r="D2014" s="30" t="s">
        <v>1588</v>
      </c>
      <c r="F2014" s="30" t="s">
        <v>1591</v>
      </c>
      <c r="H2014" s="30" t="s">
        <v>1592</v>
      </c>
      <c r="L2014" s="30" t="s">
        <v>5736</v>
      </c>
      <c r="M2014" s="30" t="s">
        <v>5737</v>
      </c>
      <c r="N2014" s="30" t="s">
        <v>5738</v>
      </c>
      <c r="P2014" s="30" t="s">
        <v>5739</v>
      </c>
      <c r="Q2014" t="s">
        <v>619</v>
      </c>
      <c r="R2014" t="s">
        <v>917</v>
      </c>
      <c r="S2014">
        <v>38</v>
      </c>
      <c r="T2014" s="29" t="str">
        <f t="shared" ref="T2014:T2040" si="87">HYPERLINK("https://ictv.global/ictv/proposals/2022.085B.Stanwilliamsviridae_nf_2nsf_4ng_6nsp.zip","2022.085B.Stanwilliamsviridae_nf_2nsf_4ng_6nsp.zip")</f>
        <v>2022.085B.Stanwilliamsviridae_nf_2nsf_4ng_6nsp.zip</v>
      </c>
      <c r="U2014" s="29" t="str">
        <f>HYPERLINK("https://ictv.global/taxonomy/taxondetails?taxnode_id=202314932","ictv.global=202314932")</f>
        <v>ictv.global=202314932</v>
      </c>
    </row>
    <row r="2015" spans="1:21">
      <c r="A2015">
        <v>2014</v>
      </c>
      <c r="B2015" s="30" t="s">
        <v>1587</v>
      </c>
      <c r="D2015" s="30" t="s">
        <v>1588</v>
      </c>
      <c r="F2015" s="30" t="s">
        <v>1591</v>
      </c>
      <c r="H2015" s="30" t="s">
        <v>1592</v>
      </c>
      <c r="L2015" s="30" t="s">
        <v>5736</v>
      </c>
      <c r="M2015" s="30" t="s">
        <v>5737</v>
      </c>
      <c r="N2015" s="30" t="s">
        <v>2446</v>
      </c>
      <c r="P2015" s="30" t="s">
        <v>2447</v>
      </c>
      <c r="Q2015" t="s">
        <v>619</v>
      </c>
      <c r="R2015" t="s">
        <v>919</v>
      </c>
      <c r="S2015">
        <v>38</v>
      </c>
      <c r="T2015" s="29" t="str">
        <f t="shared" si="87"/>
        <v>2022.085B.Stanwilliamsviridae_nf_2nsf_4ng_6nsp.zip</v>
      </c>
      <c r="U2015" s="29" t="str">
        <f>HYPERLINK("https://ictv.global/taxonomy/taxondetails?taxnode_id=202310145","ictv.global=202310145")</f>
        <v>ictv.global=202310145</v>
      </c>
    </row>
    <row r="2016" spans="1:21">
      <c r="A2016">
        <v>2015</v>
      </c>
      <c r="B2016" s="30" t="s">
        <v>1587</v>
      </c>
      <c r="D2016" s="30" t="s">
        <v>1588</v>
      </c>
      <c r="F2016" s="30" t="s">
        <v>1591</v>
      </c>
      <c r="H2016" s="30" t="s">
        <v>1592</v>
      </c>
      <c r="L2016" s="30" t="s">
        <v>5736</v>
      </c>
      <c r="M2016" s="30" t="s">
        <v>5737</v>
      </c>
      <c r="N2016" s="30" t="s">
        <v>2446</v>
      </c>
      <c r="P2016" s="30" t="s">
        <v>2448</v>
      </c>
      <c r="Q2016" t="s">
        <v>619</v>
      </c>
      <c r="R2016" t="s">
        <v>919</v>
      </c>
      <c r="S2016">
        <v>38</v>
      </c>
      <c r="T2016" s="29" t="str">
        <f t="shared" si="87"/>
        <v>2022.085B.Stanwilliamsviridae_nf_2nsf_4ng_6nsp.zip</v>
      </c>
      <c r="U2016" s="29" t="str">
        <f>HYPERLINK("https://ictv.global/taxonomy/taxondetails?taxnode_id=202310146","ictv.global=202310146")</f>
        <v>ictv.global=202310146</v>
      </c>
    </row>
    <row r="2017" spans="1:21">
      <c r="A2017">
        <v>2016</v>
      </c>
      <c r="B2017" s="30" t="s">
        <v>1587</v>
      </c>
      <c r="D2017" s="30" t="s">
        <v>1588</v>
      </c>
      <c r="F2017" s="30" t="s">
        <v>1591</v>
      </c>
      <c r="H2017" s="30" t="s">
        <v>1592</v>
      </c>
      <c r="L2017" s="30" t="s">
        <v>5736</v>
      </c>
      <c r="M2017" s="30" t="s">
        <v>5737</v>
      </c>
      <c r="N2017" s="30" t="s">
        <v>2446</v>
      </c>
      <c r="P2017" s="30" t="s">
        <v>2449</v>
      </c>
      <c r="Q2017" t="s">
        <v>619</v>
      </c>
      <c r="R2017" t="s">
        <v>919</v>
      </c>
      <c r="S2017">
        <v>38</v>
      </c>
      <c r="T2017" s="29" t="str">
        <f t="shared" si="87"/>
        <v>2022.085B.Stanwilliamsviridae_nf_2nsf_4ng_6nsp.zip</v>
      </c>
      <c r="U2017" s="29" t="str">
        <f>HYPERLINK("https://ictv.global/taxonomy/taxondetails?taxnode_id=202310147","ictv.global=202310147")</f>
        <v>ictv.global=202310147</v>
      </c>
    </row>
    <row r="2018" spans="1:21">
      <c r="A2018">
        <v>2017</v>
      </c>
      <c r="B2018" s="30" t="s">
        <v>1587</v>
      </c>
      <c r="D2018" s="30" t="s">
        <v>1588</v>
      </c>
      <c r="F2018" s="30" t="s">
        <v>1591</v>
      </c>
      <c r="H2018" s="30" t="s">
        <v>1592</v>
      </c>
      <c r="L2018" s="30" t="s">
        <v>5736</v>
      </c>
      <c r="M2018" s="30" t="s">
        <v>5737</v>
      </c>
      <c r="N2018" s="30" t="s">
        <v>2446</v>
      </c>
      <c r="P2018" s="30" t="s">
        <v>2450</v>
      </c>
      <c r="Q2018" t="s">
        <v>619</v>
      </c>
      <c r="R2018" t="s">
        <v>919</v>
      </c>
      <c r="S2018">
        <v>38</v>
      </c>
      <c r="T2018" s="29" t="str">
        <f t="shared" si="87"/>
        <v>2022.085B.Stanwilliamsviridae_nf_2nsf_4ng_6nsp.zip</v>
      </c>
      <c r="U2018" s="29" t="str">
        <f>HYPERLINK("https://ictv.global/taxonomy/taxondetails?taxnode_id=202310149","ictv.global=202310149")</f>
        <v>ictv.global=202310149</v>
      </c>
    </row>
    <row r="2019" spans="1:21">
      <c r="A2019">
        <v>2018</v>
      </c>
      <c r="B2019" s="30" t="s">
        <v>1587</v>
      </c>
      <c r="D2019" s="30" t="s">
        <v>1588</v>
      </c>
      <c r="F2019" s="30" t="s">
        <v>1591</v>
      </c>
      <c r="H2019" s="30" t="s">
        <v>1592</v>
      </c>
      <c r="L2019" s="30" t="s">
        <v>5736</v>
      </c>
      <c r="M2019" s="30" t="s">
        <v>5737</v>
      </c>
      <c r="N2019" s="30" t="s">
        <v>2446</v>
      </c>
      <c r="P2019" s="30" t="s">
        <v>2451</v>
      </c>
      <c r="Q2019" t="s">
        <v>619</v>
      </c>
      <c r="R2019" t="s">
        <v>919</v>
      </c>
      <c r="S2019">
        <v>38</v>
      </c>
      <c r="T2019" s="29" t="str">
        <f t="shared" si="87"/>
        <v>2022.085B.Stanwilliamsviridae_nf_2nsf_4ng_6nsp.zip</v>
      </c>
      <c r="U2019" s="29" t="str">
        <f>HYPERLINK("https://ictv.global/taxonomy/taxondetails?taxnode_id=202310148","ictv.global=202310148")</f>
        <v>ictv.global=202310148</v>
      </c>
    </row>
    <row r="2020" spans="1:21">
      <c r="A2020">
        <v>2019</v>
      </c>
      <c r="B2020" s="30" t="s">
        <v>1587</v>
      </c>
      <c r="D2020" s="30" t="s">
        <v>1588</v>
      </c>
      <c r="F2020" s="30" t="s">
        <v>1591</v>
      </c>
      <c r="H2020" s="30" t="s">
        <v>1592</v>
      </c>
      <c r="L2020" s="30" t="s">
        <v>5736</v>
      </c>
      <c r="M2020" s="30" t="s">
        <v>5737</v>
      </c>
      <c r="N2020" s="30" t="s">
        <v>1544</v>
      </c>
      <c r="P2020" s="30" t="s">
        <v>5740</v>
      </c>
      <c r="Q2020" t="s">
        <v>619</v>
      </c>
      <c r="R2020" t="s">
        <v>919</v>
      </c>
      <c r="S2020">
        <v>38</v>
      </c>
      <c r="T2020" s="29" t="str">
        <f t="shared" si="87"/>
        <v>2022.085B.Stanwilliamsviridae_nf_2nsf_4ng_6nsp.zip</v>
      </c>
      <c r="U2020" s="29" t="str">
        <f>HYPERLINK("https://ictv.global/taxonomy/taxondetails?taxnode_id=202312977","ictv.global=202312977")</f>
        <v>ictv.global=202312977</v>
      </c>
    </row>
    <row r="2021" spans="1:21">
      <c r="A2021">
        <v>2020</v>
      </c>
      <c r="B2021" s="30" t="s">
        <v>1587</v>
      </c>
      <c r="D2021" s="30" t="s">
        <v>1588</v>
      </c>
      <c r="F2021" s="30" t="s">
        <v>1591</v>
      </c>
      <c r="H2021" s="30" t="s">
        <v>1592</v>
      </c>
      <c r="L2021" s="30" t="s">
        <v>5736</v>
      </c>
      <c r="M2021" s="30" t="s">
        <v>5737</v>
      </c>
      <c r="N2021" s="30" t="s">
        <v>1544</v>
      </c>
      <c r="P2021" s="30" t="s">
        <v>5741</v>
      </c>
      <c r="Q2021" t="s">
        <v>619</v>
      </c>
      <c r="R2021" t="s">
        <v>919</v>
      </c>
      <c r="S2021">
        <v>38</v>
      </c>
      <c r="T2021" s="29" t="str">
        <f t="shared" si="87"/>
        <v>2022.085B.Stanwilliamsviridae_nf_2nsf_4ng_6nsp.zip</v>
      </c>
      <c r="U2021" s="29" t="str">
        <f>HYPERLINK("https://ictv.global/taxonomy/taxondetails?taxnode_id=202312980","ictv.global=202312980")</f>
        <v>ictv.global=202312980</v>
      </c>
    </row>
    <row r="2022" spans="1:21">
      <c r="A2022">
        <v>2021</v>
      </c>
      <c r="B2022" s="30" t="s">
        <v>1587</v>
      </c>
      <c r="D2022" s="30" t="s">
        <v>1588</v>
      </c>
      <c r="F2022" s="30" t="s">
        <v>1591</v>
      </c>
      <c r="H2022" s="30" t="s">
        <v>1592</v>
      </c>
      <c r="L2022" s="30" t="s">
        <v>5736</v>
      </c>
      <c r="M2022" s="30" t="s">
        <v>5737</v>
      </c>
      <c r="N2022" s="30" t="s">
        <v>1544</v>
      </c>
      <c r="P2022" s="30" t="s">
        <v>5742</v>
      </c>
      <c r="Q2022" t="s">
        <v>619</v>
      </c>
      <c r="R2022" t="s">
        <v>919</v>
      </c>
      <c r="S2022">
        <v>38</v>
      </c>
      <c r="T2022" s="29" t="str">
        <f t="shared" si="87"/>
        <v>2022.085B.Stanwilliamsviridae_nf_2nsf_4ng_6nsp.zip</v>
      </c>
      <c r="U2022" s="29" t="str">
        <f>HYPERLINK("https://ictv.global/taxonomy/taxondetails?taxnode_id=202312976","ictv.global=202312976")</f>
        <v>ictv.global=202312976</v>
      </c>
    </row>
    <row r="2023" spans="1:21">
      <c r="A2023">
        <v>2022</v>
      </c>
      <c r="B2023" s="30" t="s">
        <v>1587</v>
      </c>
      <c r="D2023" s="30" t="s">
        <v>1588</v>
      </c>
      <c r="F2023" s="30" t="s">
        <v>1591</v>
      </c>
      <c r="H2023" s="30" t="s">
        <v>1592</v>
      </c>
      <c r="L2023" s="30" t="s">
        <v>5736</v>
      </c>
      <c r="M2023" s="30" t="s">
        <v>5737</v>
      </c>
      <c r="N2023" s="30" t="s">
        <v>1544</v>
      </c>
      <c r="P2023" s="30" t="s">
        <v>5743</v>
      </c>
      <c r="Q2023" t="s">
        <v>619</v>
      </c>
      <c r="R2023" t="s">
        <v>919</v>
      </c>
      <c r="S2023">
        <v>38</v>
      </c>
      <c r="T2023" s="29" t="str">
        <f t="shared" si="87"/>
        <v>2022.085B.Stanwilliamsviridae_nf_2nsf_4ng_6nsp.zip</v>
      </c>
      <c r="U2023" s="29" t="str">
        <f>HYPERLINK("https://ictv.global/taxonomy/taxondetails?taxnode_id=202312978","ictv.global=202312978")</f>
        <v>ictv.global=202312978</v>
      </c>
    </row>
    <row r="2024" spans="1:21">
      <c r="A2024">
        <v>2023</v>
      </c>
      <c r="B2024" s="30" t="s">
        <v>1587</v>
      </c>
      <c r="D2024" s="30" t="s">
        <v>1588</v>
      </c>
      <c r="F2024" s="30" t="s">
        <v>1591</v>
      </c>
      <c r="H2024" s="30" t="s">
        <v>1592</v>
      </c>
      <c r="L2024" s="30" t="s">
        <v>5736</v>
      </c>
      <c r="M2024" s="30" t="s">
        <v>5737</v>
      </c>
      <c r="N2024" s="30" t="s">
        <v>1544</v>
      </c>
      <c r="P2024" s="30" t="s">
        <v>5744</v>
      </c>
      <c r="Q2024" t="s">
        <v>619</v>
      </c>
      <c r="R2024" t="s">
        <v>919</v>
      </c>
      <c r="S2024">
        <v>38</v>
      </c>
      <c r="T2024" s="29" t="str">
        <f t="shared" si="87"/>
        <v>2022.085B.Stanwilliamsviridae_nf_2nsf_4ng_6nsp.zip</v>
      </c>
      <c r="U2024" s="29" t="str">
        <f>HYPERLINK("https://ictv.global/taxonomy/taxondetails?taxnode_id=202312979","ictv.global=202312979")</f>
        <v>ictv.global=202312979</v>
      </c>
    </row>
    <row r="2025" spans="1:21">
      <c r="A2025">
        <v>2024</v>
      </c>
      <c r="B2025" s="30" t="s">
        <v>1587</v>
      </c>
      <c r="D2025" s="30" t="s">
        <v>1588</v>
      </c>
      <c r="F2025" s="30" t="s">
        <v>1591</v>
      </c>
      <c r="H2025" s="30" t="s">
        <v>1592</v>
      </c>
      <c r="L2025" s="30" t="s">
        <v>5736</v>
      </c>
      <c r="M2025" s="30" t="s">
        <v>5737</v>
      </c>
      <c r="N2025" s="30" t="s">
        <v>1544</v>
      </c>
      <c r="P2025" s="30" t="s">
        <v>5745</v>
      </c>
      <c r="Q2025" t="s">
        <v>619</v>
      </c>
      <c r="R2025" t="s">
        <v>919</v>
      </c>
      <c r="S2025">
        <v>38</v>
      </c>
      <c r="T2025" s="29" t="str">
        <f t="shared" si="87"/>
        <v>2022.085B.Stanwilliamsviridae_nf_2nsf_4ng_6nsp.zip</v>
      </c>
      <c r="U2025" s="29" t="str">
        <f>HYPERLINK("https://ictv.global/taxonomy/taxondetails?taxnode_id=202306783","ictv.global=202306783")</f>
        <v>ictv.global=202306783</v>
      </c>
    </row>
    <row r="2026" spans="1:21">
      <c r="A2026">
        <v>2025</v>
      </c>
      <c r="B2026" s="30" t="s">
        <v>1587</v>
      </c>
      <c r="D2026" s="30" t="s">
        <v>1588</v>
      </c>
      <c r="F2026" s="30" t="s">
        <v>1591</v>
      </c>
      <c r="H2026" s="30" t="s">
        <v>1592</v>
      </c>
      <c r="L2026" s="30" t="s">
        <v>5736</v>
      </c>
      <c r="M2026" s="30" t="s">
        <v>5737</v>
      </c>
      <c r="N2026" s="30" t="s">
        <v>1544</v>
      </c>
      <c r="P2026" s="30" t="s">
        <v>5746</v>
      </c>
      <c r="Q2026" t="s">
        <v>619</v>
      </c>
      <c r="R2026" t="s">
        <v>919</v>
      </c>
      <c r="S2026">
        <v>38</v>
      </c>
      <c r="T2026" s="29" t="str">
        <f t="shared" si="87"/>
        <v>2022.085B.Stanwilliamsviridae_nf_2nsf_4ng_6nsp.zip</v>
      </c>
      <c r="U2026" s="29" t="str">
        <f>HYPERLINK("https://ictv.global/taxonomy/taxondetails?taxnode_id=202306785","ictv.global=202306785")</f>
        <v>ictv.global=202306785</v>
      </c>
    </row>
    <row r="2027" spans="1:21">
      <c r="A2027">
        <v>2026</v>
      </c>
      <c r="B2027" s="30" t="s">
        <v>1587</v>
      </c>
      <c r="D2027" s="30" t="s">
        <v>1588</v>
      </c>
      <c r="F2027" s="30" t="s">
        <v>1591</v>
      </c>
      <c r="H2027" s="30" t="s">
        <v>1592</v>
      </c>
      <c r="L2027" s="30" t="s">
        <v>5736</v>
      </c>
      <c r="M2027" s="30" t="s">
        <v>5737</v>
      </c>
      <c r="N2027" s="30" t="s">
        <v>1544</v>
      </c>
      <c r="P2027" s="30" t="s">
        <v>5747</v>
      </c>
      <c r="Q2027" t="s">
        <v>619</v>
      </c>
      <c r="R2027" t="s">
        <v>919</v>
      </c>
      <c r="S2027">
        <v>38</v>
      </c>
      <c r="T2027" s="29" t="str">
        <f t="shared" si="87"/>
        <v>2022.085B.Stanwilliamsviridae_nf_2nsf_4ng_6nsp.zip</v>
      </c>
      <c r="U2027" s="29" t="str">
        <f>HYPERLINK("https://ictv.global/taxonomy/taxondetails?taxnode_id=202306784","ictv.global=202306784")</f>
        <v>ictv.global=202306784</v>
      </c>
    </row>
    <row r="2028" spans="1:21">
      <c r="A2028">
        <v>2027</v>
      </c>
      <c r="B2028" s="30" t="s">
        <v>1587</v>
      </c>
      <c r="D2028" s="30" t="s">
        <v>1588</v>
      </c>
      <c r="F2028" s="30" t="s">
        <v>1591</v>
      </c>
      <c r="H2028" s="30" t="s">
        <v>1592</v>
      </c>
      <c r="L2028" s="30" t="s">
        <v>5736</v>
      </c>
      <c r="M2028" s="30" t="s">
        <v>5737</v>
      </c>
      <c r="N2028" s="30" t="s">
        <v>1544</v>
      </c>
      <c r="P2028" s="30" t="s">
        <v>5748</v>
      </c>
      <c r="Q2028" t="s">
        <v>619</v>
      </c>
      <c r="R2028" t="s">
        <v>919</v>
      </c>
      <c r="S2028">
        <v>38</v>
      </c>
      <c r="T2028" s="29" t="str">
        <f t="shared" si="87"/>
        <v>2022.085B.Stanwilliamsviridae_nf_2nsf_4ng_6nsp.zip</v>
      </c>
      <c r="U2028" s="29" t="str">
        <f>HYPERLINK("https://ictv.global/taxonomy/taxondetails?taxnode_id=202306782","ictv.global=202306782")</f>
        <v>ictv.global=202306782</v>
      </c>
    </row>
    <row r="2029" spans="1:21">
      <c r="A2029">
        <v>2028</v>
      </c>
      <c r="B2029" s="30" t="s">
        <v>1587</v>
      </c>
      <c r="D2029" s="30" t="s">
        <v>1588</v>
      </c>
      <c r="F2029" s="30" t="s">
        <v>1591</v>
      </c>
      <c r="H2029" s="30" t="s">
        <v>1592</v>
      </c>
      <c r="L2029" s="30" t="s">
        <v>5736</v>
      </c>
      <c r="M2029" s="30" t="s">
        <v>5737</v>
      </c>
      <c r="N2029" s="30" t="s">
        <v>1544</v>
      </c>
      <c r="P2029" s="30" t="s">
        <v>5749</v>
      </c>
      <c r="Q2029" t="s">
        <v>619</v>
      </c>
      <c r="R2029" t="s">
        <v>919</v>
      </c>
      <c r="S2029">
        <v>38</v>
      </c>
      <c r="T2029" s="29" t="str">
        <f t="shared" si="87"/>
        <v>2022.085B.Stanwilliamsviridae_nf_2nsf_4ng_6nsp.zip</v>
      </c>
      <c r="U2029" s="29" t="str">
        <f>HYPERLINK("https://ictv.global/taxonomy/taxondetails?taxnode_id=202306781","ictv.global=202306781")</f>
        <v>ictv.global=202306781</v>
      </c>
    </row>
    <row r="2030" spans="1:21">
      <c r="A2030">
        <v>2029</v>
      </c>
      <c r="B2030" s="30" t="s">
        <v>1587</v>
      </c>
      <c r="D2030" s="30" t="s">
        <v>1588</v>
      </c>
      <c r="F2030" s="30" t="s">
        <v>1591</v>
      </c>
      <c r="H2030" s="30" t="s">
        <v>1592</v>
      </c>
      <c r="L2030" s="30" t="s">
        <v>5736</v>
      </c>
      <c r="M2030" s="30" t="s">
        <v>5737</v>
      </c>
      <c r="N2030" s="30" t="s">
        <v>1544</v>
      </c>
      <c r="P2030" s="30" t="s">
        <v>5750</v>
      </c>
      <c r="Q2030" t="s">
        <v>619</v>
      </c>
      <c r="R2030" t="s">
        <v>919</v>
      </c>
      <c r="S2030">
        <v>38</v>
      </c>
      <c r="T2030" s="29" t="str">
        <f t="shared" si="87"/>
        <v>2022.085B.Stanwilliamsviridae_nf_2nsf_4ng_6nsp.zip</v>
      </c>
      <c r="U2030" s="29" t="str">
        <f>HYPERLINK("https://ictv.global/taxonomy/taxondetails?taxnode_id=202306780","ictv.global=202306780")</f>
        <v>ictv.global=202306780</v>
      </c>
    </row>
    <row r="2031" spans="1:21">
      <c r="A2031">
        <v>2030</v>
      </c>
      <c r="B2031" s="30" t="s">
        <v>1587</v>
      </c>
      <c r="D2031" s="30" t="s">
        <v>1588</v>
      </c>
      <c r="F2031" s="30" t="s">
        <v>1591</v>
      </c>
      <c r="H2031" s="30" t="s">
        <v>1592</v>
      </c>
      <c r="L2031" s="30" t="s">
        <v>5736</v>
      </c>
      <c r="M2031" s="30" t="s">
        <v>5737</v>
      </c>
      <c r="N2031" s="30" t="s">
        <v>5751</v>
      </c>
      <c r="P2031" s="30" t="s">
        <v>5752</v>
      </c>
      <c r="Q2031" t="s">
        <v>619</v>
      </c>
      <c r="R2031" t="s">
        <v>917</v>
      </c>
      <c r="S2031">
        <v>38</v>
      </c>
      <c r="T2031" s="29" t="str">
        <f t="shared" si="87"/>
        <v>2022.085B.Stanwilliamsviridae_nf_2nsf_4ng_6nsp.zip</v>
      </c>
      <c r="U2031" s="29" t="str">
        <f>HYPERLINK("https://ictv.global/taxonomy/taxondetails?taxnode_id=202314931","ictv.global=202314931")</f>
        <v>ictv.global=202314931</v>
      </c>
    </row>
    <row r="2032" spans="1:21">
      <c r="A2032">
        <v>2031</v>
      </c>
      <c r="B2032" s="30" t="s">
        <v>1587</v>
      </c>
      <c r="D2032" s="30" t="s">
        <v>1588</v>
      </c>
      <c r="F2032" s="30" t="s">
        <v>1591</v>
      </c>
      <c r="H2032" s="30" t="s">
        <v>1592</v>
      </c>
      <c r="L2032" s="30" t="s">
        <v>5736</v>
      </c>
      <c r="M2032" s="30" t="s">
        <v>5753</v>
      </c>
      <c r="N2032" s="30" t="s">
        <v>2412</v>
      </c>
      <c r="P2032" s="30" t="s">
        <v>5754</v>
      </c>
      <c r="Q2032" t="s">
        <v>619</v>
      </c>
      <c r="R2032" t="s">
        <v>919</v>
      </c>
      <c r="S2032">
        <v>38</v>
      </c>
      <c r="T2032" s="29" t="str">
        <f t="shared" si="87"/>
        <v>2022.085B.Stanwilliamsviridae_nf_2nsf_4ng_6nsp.zip</v>
      </c>
      <c r="U2032" s="29" t="str">
        <f>HYPERLINK("https://ictv.global/taxonomy/taxondetails?taxnode_id=202309262","ictv.global=202309262")</f>
        <v>ictv.global=202309262</v>
      </c>
    </row>
    <row r="2033" spans="1:21">
      <c r="A2033">
        <v>2032</v>
      </c>
      <c r="B2033" s="30" t="s">
        <v>1587</v>
      </c>
      <c r="D2033" s="30" t="s">
        <v>1588</v>
      </c>
      <c r="F2033" s="30" t="s">
        <v>1591</v>
      </c>
      <c r="H2033" s="30" t="s">
        <v>1592</v>
      </c>
      <c r="L2033" s="30" t="s">
        <v>5736</v>
      </c>
      <c r="M2033" s="30" t="s">
        <v>5753</v>
      </c>
      <c r="N2033" s="30" t="s">
        <v>2412</v>
      </c>
      <c r="P2033" s="30" t="s">
        <v>5755</v>
      </c>
      <c r="Q2033" t="s">
        <v>619</v>
      </c>
      <c r="R2033" t="s">
        <v>919</v>
      </c>
      <c r="S2033">
        <v>38</v>
      </c>
      <c r="T2033" s="29" t="str">
        <f t="shared" si="87"/>
        <v>2022.085B.Stanwilliamsviridae_nf_2nsf_4ng_6nsp.zip</v>
      </c>
      <c r="U2033" s="29" t="str">
        <f>HYPERLINK("https://ictv.global/taxonomy/taxondetails?taxnode_id=202309263","ictv.global=202309263")</f>
        <v>ictv.global=202309263</v>
      </c>
    </row>
    <row r="2034" spans="1:21">
      <c r="A2034">
        <v>2033</v>
      </c>
      <c r="B2034" s="30" t="s">
        <v>1587</v>
      </c>
      <c r="D2034" s="30" t="s">
        <v>1588</v>
      </c>
      <c r="F2034" s="30" t="s">
        <v>1591</v>
      </c>
      <c r="H2034" s="30" t="s">
        <v>1592</v>
      </c>
      <c r="L2034" s="30" t="s">
        <v>5736</v>
      </c>
      <c r="M2034" s="30" t="s">
        <v>5753</v>
      </c>
      <c r="N2034" s="30" t="s">
        <v>5756</v>
      </c>
      <c r="P2034" s="30" t="s">
        <v>5757</v>
      </c>
      <c r="Q2034" t="s">
        <v>619</v>
      </c>
      <c r="R2034" t="s">
        <v>917</v>
      </c>
      <c r="S2034">
        <v>38</v>
      </c>
      <c r="T2034" s="29" t="str">
        <f t="shared" si="87"/>
        <v>2022.085B.Stanwilliamsviridae_nf_2nsf_4ng_6nsp.zip</v>
      </c>
      <c r="U2034" s="29" t="str">
        <f>HYPERLINK("https://ictv.global/taxonomy/taxondetails?taxnode_id=202314933","ictv.global=202314933")</f>
        <v>ictv.global=202314933</v>
      </c>
    </row>
    <row r="2035" spans="1:21">
      <c r="A2035">
        <v>2034</v>
      </c>
      <c r="B2035" s="30" t="s">
        <v>1587</v>
      </c>
      <c r="D2035" s="30" t="s">
        <v>1588</v>
      </c>
      <c r="F2035" s="30" t="s">
        <v>1591</v>
      </c>
      <c r="H2035" s="30" t="s">
        <v>1592</v>
      </c>
      <c r="L2035" s="30" t="s">
        <v>5736</v>
      </c>
      <c r="M2035" s="30" t="s">
        <v>5753</v>
      </c>
      <c r="N2035" s="30" t="s">
        <v>5756</v>
      </c>
      <c r="P2035" s="30" t="s">
        <v>5758</v>
      </c>
      <c r="Q2035" t="s">
        <v>619</v>
      </c>
      <c r="R2035" t="s">
        <v>917</v>
      </c>
      <c r="S2035">
        <v>38</v>
      </c>
      <c r="T2035" s="29" t="str">
        <f t="shared" si="87"/>
        <v>2022.085B.Stanwilliamsviridae_nf_2nsf_4ng_6nsp.zip</v>
      </c>
      <c r="U2035" s="29" t="str">
        <f>HYPERLINK("https://ictv.global/taxonomy/taxondetails?taxnode_id=202314934","ictv.global=202314934")</f>
        <v>ictv.global=202314934</v>
      </c>
    </row>
    <row r="2036" spans="1:21">
      <c r="A2036">
        <v>2035</v>
      </c>
      <c r="B2036" s="30" t="s">
        <v>1587</v>
      </c>
      <c r="D2036" s="30" t="s">
        <v>1588</v>
      </c>
      <c r="F2036" s="30" t="s">
        <v>1591</v>
      </c>
      <c r="H2036" s="30" t="s">
        <v>1592</v>
      </c>
      <c r="L2036" s="30" t="s">
        <v>5736</v>
      </c>
      <c r="M2036" s="30" t="s">
        <v>5753</v>
      </c>
      <c r="N2036" s="30" t="s">
        <v>2434</v>
      </c>
      <c r="P2036" s="30" t="s">
        <v>5759</v>
      </c>
      <c r="Q2036" t="s">
        <v>619</v>
      </c>
      <c r="R2036" t="s">
        <v>919</v>
      </c>
      <c r="S2036">
        <v>38</v>
      </c>
      <c r="T2036" s="29" t="str">
        <f t="shared" si="87"/>
        <v>2022.085B.Stanwilliamsviridae_nf_2nsf_4ng_6nsp.zip</v>
      </c>
      <c r="U2036" s="29" t="str">
        <f>HYPERLINK("https://ictv.global/taxonomy/taxondetails?taxnode_id=202310042","ictv.global=202310042")</f>
        <v>ictv.global=202310042</v>
      </c>
    </row>
    <row r="2037" spans="1:21">
      <c r="A2037">
        <v>2036</v>
      </c>
      <c r="B2037" s="30" t="s">
        <v>1587</v>
      </c>
      <c r="D2037" s="30" t="s">
        <v>1588</v>
      </c>
      <c r="F2037" s="30" t="s">
        <v>1591</v>
      </c>
      <c r="H2037" s="30" t="s">
        <v>1592</v>
      </c>
      <c r="L2037" s="30" t="s">
        <v>5736</v>
      </c>
      <c r="M2037" s="30" t="s">
        <v>5753</v>
      </c>
      <c r="N2037" s="30" t="s">
        <v>2434</v>
      </c>
      <c r="P2037" s="30" t="s">
        <v>5760</v>
      </c>
      <c r="Q2037" t="s">
        <v>619</v>
      </c>
      <c r="R2037" t="s">
        <v>919</v>
      </c>
      <c r="S2037">
        <v>38</v>
      </c>
      <c r="T2037" s="29" t="str">
        <f t="shared" si="87"/>
        <v>2022.085B.Stanwilliamsviridae_nf_2nsf_4ng_6nsp.zip</v>
      </c>
      <c r="U2037" s="29" t="str">
        <f>HYPERLINK("https://ictv.global/taxonomy/taxondetails?taxnode_id=202310041","ictv.global=202310041")</f>
        <v>ictv.global=202310041</v>
      </c>
    </row>
    <row r="2038" spans="1:21">
      <c r="A2038">
        <v>2037</v>
      </c>
      <c r="B2038" s="30" t="s">
        <v>1587</v>
      </c>
      <c r="D2038" s="30" t="s">
        <v>1588</v>
      </c>
      <c r="F2038" s="30" t="s">
        <v>1591</v>
      </c>
      <c r="H2038" s="30" t="s">
        <v>1592</v>
      </c>
      <c r="L2038" s="30" t="s">
        <v>5736</v>
      </c>
      <c r="M2038" s="30" t="s">
        <v>5753</v>
      </c>
      <c r="N2038" s="30" t="s">
        <v>5761</v>
      </c>
      <c r="P2038" s="30" t="s">
        <v>5762</v>
      </c>
      <c r="Q2038" t="s">
        <v>619</v>
      </c>
      <c r="R2038" t="s">
        <v>917</v>
      </c>
      <c r="S2038">
        <v>38</v>
      </c>
      <c r="T2038" s="29" t="str">
        <f t="shared" si="87"/>
        <v>2022.085B.Stanwilliamsviridae_nf_2nsf_4ng_6nsp.zip</v>
      </c>
      <c r="U2038" s="29" t="str">
        <f>HYPERLINK("https://ictv.global/taxonomy/taxondetails?taxnode_id=202314936","ictv.global=202314936")</f>
        <v>ictv.global=202314936</v>
      </c>
    </row>
    <row r="2039" spans="1:21">
      <c r="A2039">
        <v>2038</v>
      </c>
      <c r="B2039" s="30" t="s">
        <v>1587</v>
      </c>
      <c r="D2039" s="30" t="s">
        <v>1588</v>
      </c>
      <c r="F2039" s="30" t="s">
        <v>1591</v>
      </c>
      <c r="H2039" s="30" t="s">
        <v>1592</v>
      </c>
      <c r="L2039" s="30" t="s">
        <v>5736</v>
      </c>
      <c r="M2039" s="30" t="s">
        <v>5753</v>
      </c>
      <c r="N2039" s="30" t="s">
        <v>5761</v>
      </c>
      <c r="P2039" s="30" t="s">
        <v>5763</v>
      </c>
      <c r="Q2039" t="s">
        <v>619</v>
      </c>
      <c r="R2039" t="s">
        <v>917</v>
      </c>
      <c r="S2039">
        <v>38</v>
      </c>
      <c r="T2039" s="29" t="str">
        <f t="shared" si="87"/>
        <v>2022.085B.Stanwilliamsviridae_nf_2nsf_4ng_6nsp.zip</v>
      </c>
      <c r="U2039" s="29" t="str">
        <f>HYPERLINK("https://ictv.global/taxonomy/taxondetails?taxnode_id=202314935","ictv.global=202314935")</f>
        <v>ictv.global=202314935</v>
      </c>
    </row>
    <row r="2040" spans="1:21">
      <c r="A2040">
        <v>2039</v>
      </c>
      <c r="B2040" s="30" t="s">
        <v>1587</v>
      </c>
      <c r="D2040" s="30" t="s">
        <v>1588</v>
      </c>
      <c r="F2040" s="30" t="s">
        <v>1591</v>
      </c>
      <c r="H2040" s="30" t="s">
        <v>1592</v>
      </c>
      <c r="L2040" s="30" t="s">
        <v>5736</v>
      </c>
      <c r="M2040" s="30" t="s">
        <v>5753</v>
      </c>
      <c r="N2040" s="30" t="s">
        <v>1571</v>
      </c>
      <c r="P2040" s="30" t="s">
        <v>5764</v>
      </c>
      <c r="Q2040" t="s">
        <v>619</v>
      </c>
      <c r="R2040" t="s">
        <v>919</v>
      </c>
      <c r="S2040">
        <v>38</v>
      </c>
      <c r="T2040" s="29" t="str">
        <f t="shared" si="87"/>
        <v>2022.085B.Stanwilliamsviridae_nf_2nsf_4ng_6nsp.zip</v>
      </c>
      <c r="U2040" s="29" t="str">
        <f>HYPERLINK("https://ictv.global/taxonomy/taxondetails?taxnode_id=202306797","ictv.global=202306797")</f>
        <v>ictv.global=202306797</v>
      </c>
    </row>
    <row r="2041" spans="1:21">
      <c r="A2041">
        <v>2040</v>
      </c>
      <c r="B2041" s="30" t="s">
        <v>1587</v>
      </c>
      <c r="D2041" s="30" t="s">
        <v>1588</v>
      </c>
      <c r="F2041" s="30" t="s">
        <v>1591</v>
      </c>
      <c r="H2041" s="30" t="s">
        <v>1592</v>
      </c>
      <c r="L2041" s="30" t="s">
        <v>5765</v>
      </c>
      <c r="M2041" s="30" t="s">
        <v>2239</v>
      </c>
      <c r="N2041" s="30" t="s">
        <v>2240</v>
      </c>
      <c r="P2041" s="30" t="s">
        <v>5766</v>
      </c>
      <c r="Q2041" t="s">
        <v>619</v>
      </c>
      <c r="R2041" t="s">
        <v>918</v>
      </c>
      <c r="S2041">
        <v>37</v>
      </c>
      <c r="T2041" s="29" t="str">
        <f t="shared" ref="T2041:T2056" si="88">HYPERLINK("https://ictv.global/ictv/proposals/2021.082B.R.Tevens_new_families.zip","2021.082B.R.Tevens_new_families.zip")</f>
        <v>2021.082B.R.Tevens_new_families.zip</v>
      </c>
      <c r="U2041" s="29" t="str">
        <f>HYPERLINK("https://ictv.global/taxonomy/taxondetails?taxnode_id=202309997","ictv.global=202309997")</f>
        <v>ictv.global=202309997</v>
      </c>
    </row>
    <row r="2042" spans="1:21">
      <c r="A2042">
        <v>2041</v>
      </c>
      <c r="B2042" s="30" t="s">
        <v>1587</v>
      </c>
      <c r="D2042" s="30" t="s">
        <v>1588</v>
      </c>
      <c r="F2042" s="30" t="s">
        <v>1591</v>
      </c>
      <c r="H2042" s="30" t="s">
        <v>1592</v>
      </c>
      <c r="L2042" s="30" t="s">
        <v>5765</v>
      </c>
      <c r="M2042" s="30" t="s">
        <v>2239</v>
      </c>
      <c r="N2042" s="30" t="s">
        <v>2240</v>
      </c>
      <c r="P2042" s="30" t="s">
        <v>5767</v>
      </c>
      <c r="Q2042" t="s">
        <v>619</v>
      </c>
      <c r="R2042" t="s">
        <v>918</v>
      </c>
      <c r="S2042">
        <v>37</v>
      </c>
      <c r="T2042" s="29" t="str">
        <f t="shared" si="88"/>
        <v>2021.082B.R.Tevens_new_families.zip</v>
      </c>
      <c r="U2042" s="29" t="str">
        <f>HYPERLINK("https://ictv.global/taxonomy/taxondetails?taxnode_id=202309996","ictv.global=202309996")</f>
        <v>ictv.global=202309996</v>
      </c>
    </row>
    <row r="2043" spans="1:21">
      <c r="A2043">
        <v>2042</v>
      </c>
      <c r="B2043" s="30" t="s">
        <v>1587</v>
      </c>
      <c r="D2043" s="30" t="s">
        <v>1588</v>
      </c>
      <c r="F2043" s="30" t="s">
        <v>1591</v>
      </c>
      <c r="H2043" s="30" t="s">
        <v>1592</v>
      </c>
      <c r="L2043" s="30" t="s">
        <v>5765</v>
      </c>
      <c r="M2043" s="30" t="s">
        <v>2239</v>
      </c>
      <c r="N2043" s="30" t="s">
        <v>2240</v>
      </c>
      <c r="P2043" s="30" t="s">
        <v>5768</v>
      </c>
      <c r="Q2043" t="s">
        <v>619</v>
      </c>
      <c r="R2043" t="s">
        <v>918</v>
      </c>
      <c r="S2043">
        <v>37</v>
      </c>
      <c r="T2043" s="29" t="str">
        <f t="shared" si="88"/>
        <v>2021.082B.R.Tevens_new_families.zip</v>
      </c>
      <c r="U2043" s="29" t="str">
        <f>HYPERLINK("https://ictv.global/taxonomy/taxondetails?taxnode_id=202309995","ictv.global=202309995")</f>
        <v>ictv.global=202309995</v>
      </c>
    </row>
    <row r="2044" spans="1:21">
      <c r="A2044">
        <v>2043</v>
      </c>
      <c r="B2044" s="30" t="s">
        <v>1587</v>
      </c>
      <c r="D2044" s="30" t="s">
        <v>1588</v>
      </c>
      <c r="F2044" s="30" t="s">
        <v>1591</v>
      </c>
      <c r="H2044" s="30" t="s">
        <v>1592</v>
      </c>
      <c r="L2044" s="30" t="s">
        <v>5765</v>
      </c>
      <c r="M2044" s="30" t="s">
        <v>2239</v>
      </c>
      <c r="N2044" s="30" t="s">
        <v>2241</v>
      </c>
      <c r="P2044" s="30" t="s">
        <v>5769</v>
      </c>
      <c r="Q2044" t="s">
        <v>619</v>
      </c>
      <c r="R2044" t="s">
        <v>918</v>
      </c>
      <c r="S2044">
        <v>37</v>
      </c>
      <c r="T2044" s="29" t="str">
        <f t="shared" si="88"/>
        <v>2021.082B.R.Tevens_new_families.zip</v>
      </c>
      <c r="U2044" s="29" t="str">
        <f>HYPERLINK("https://ictv.global/taxonomy/taxondetails?taxnode_id=202300339","ictv.global=202300339")</f>
        <v>ictv.global=202300339</v>
      </c>
    </row>
    <row r="2045" spans="1:21">
      <c r="A2045">
        <v>2044</v>
      </c>
      <c r="B2045" s="30" t="s">
        <v>1587</v>
      </c>
      <c r="D2045" s="30" t="s">
        <v>1588</v>
      </c>
      <c r="F2045" s="30" t="s">
        <v>1591</v>
      </c>
      <c r="H2045" s="30" t="s">
        <v>1592</v>
      </c>
      <c r="L2045" s="30" t="s">
        <v>5765</v>
      </c>
      <c r="M2045" s="30" t="s">
        <v>351</v>
      </c>
      <c r="N2045" s="30" t="s">
        <v>1330</v>
      </c>
      <c r="P2045" s="30" t="s">
        <v>5770</v>
      </c>
      <c r="Q2045" t="s">
        <v>619</v>
      </c>
      <c r="R2045" t="s">
        <v>917</v>
      </c>
      <c r="S2045">
        <v>37</v>
      </c>
      <c r="T2045" s="29" t="str">
        <f t="shared" si="88"/>
        <v>2021.082B.R.Tevens_new_families.zip</v>
      </c>
      <c r="U2045" s="29" t="str">
        <f>HYPERLINK("https://ictv.global/taxonomy/taxondetails?taxnode_id=202313693","ictv.global=202313693")</f>
        <v>ictv.global=202313693</v>
      </c>
    </row>
    <row r="2046" spans="1:21">
      <c r="A2046">
        <v>2045</v>
      </c>
      <c r="B2046" s="30" t="s">
        <v>1587</v>
      </c>
      <c r="D2046" s="30" t="s">
        <v>1588</v>
      </c>
      <c r="F2046" s="30" t="s">
        <v>1591</v>
      </c>
      <c r="H2046" s="30" t="s">
        <v>1592</v>
      </c>
      <c r="L2046" s="30" t="s">
        <v>5765</v>
      </c>
      <c r="M2046" s="30" t="s">
        <v>351</v>
      </c>
      <c r="N2046" s="30" t="s">
        <v>1330</v>
      </c>
      <c r="P2046" s="30" t="s">
        <v>5771</v>
      </c>
      <c r="Q2046" t="s">
        <v>619</v>
      </c>
      <c r="R2046" t="s">
        <v>918</v>
      </c>
      <c r="S2046">
        <v>37</v>
      </c>
      <c r="T2046" s="29" t="str">
        <f t="shared" si="88"/>
        <v>2021.082B.R.Tevens_new_families.zip</v>
      </c>
      <c r="U2046" s="29" t="str">
        <f>HYPERLINK("https://ictv.global/taxonomy/taxondetails?taxnode_id=202300286","ictv.global=202300286")</f>
        <v>ictv.global=202300286</v>
      </c>
    </row>
    <row r="2047" spans="1:21">
      <c r="A2047">
        <v>2046</v>
      </c>
      <c r="B2047" s="30" t="s">
        <v>1587</v>
      </c>
      <c r="D2047" s="30" t="s">
        <v>1588</v>
      </c>
      <c r="F2047" s="30" t="s">
        <v>1591</v>
      </c>
      <c r="H2047" s="30" t="s">
        <v>1592</v>
      </c>
      <c r="L2047" s="30" t="s">
        <v>5765</v>
      </c>
      <c r="M2047" s="30" t="s">
        <v>351</v>
      </c>
      <c r="N2047" s="30" t="s">
        <v>1330</v>
      </c>
      <c r="P2047" s="30" t="s">
        <v>5772</v>
      </c>
      <c r="Q2047" t="s">
        <v>619</v>
      </c>
      <c r="R2047" t="s">
        <v>917</v>
      </c>
      <c r="S2047">
        <v>37</v>
      </c>
      <c r="T2047" s="29" t="str">
        <f t="shared" si="88"/>
        <v>2021.082B.R.Tevens_new_families.zip</v>
      </c>
      <c r="U2047" s="29" t="str">
        <f>HYPERLINK("https://ictv.global/taxonomy/taxondetails?taxnode_id=202313694","ictv.global=202313694")</f>
        <v>ictv.global=202313694</v>
      </c>
    </row>
    <row r="2048" spans="1:21">
      <c r="A2048">
        <v>2047</v>
      </c>
      <c r="B2048" s="30" t="s">
        <v>1587</v>
      </c>
      <c r="D2048" s="30" t="s">
        <v>1588</v>
      </c>
      <c r="F2048" s="30" t="s">
        <v>1591</v>
      </c>
      <c r="H2048" s="30" t="s">
        <v>1592</v>
      </c>
      <c r="L2048" s="30" t="s">
        <v>5765</v>
      </c>
      <c r="M2048" s="30" t="s">
        <v>351</v>
      </c>
      <c r="N2048" s="30" t="s">
        <v>1330</v>
      </c>
      <c r="P2048" s="30" t="s">
        <v>5773</v>
      </c>
      <c r="Q2048" t="s">
        <v>619</v>
      </c>
      <c r="R2048" t="s">
        <v>918</v>
      </c>
      <c r="S2048">
        <v>37</v>
      </c>
      <c r="T2048" s="29" t="str">
        <f t="shared" si="88"/>
        <v>2021.082B.R.Tevens_new_families.zip</v>
      </c>
      <c r="U2048" s="29" t="str">
        <f>HYPERLINK("https://ictv.global/taxonomy/taxondetails?taxnode_id=202300287","ictv.global=202300287")</f>
        <v>ictv.global=202300287</v>
      </c>
    </row>
    <row r="2049" spans="1:21">
      <c r="A2049">
        <v>2048</v>
      </c>
      <c r="B2049" s="30" t="s">
        <v>1587</v>
      </c>
      <c r="D2049" s="30" t="s">
        <v>1588</v>
      </c>
      <c r="F2049" s="30" t="s">
        <v>1591</v>
      </c>
      <c r="H2049" s="30" t="s">
        <v>1592</v>
      </c>
      <c r="L2049" s="30" t="s">
        <v>5765</v>
      </c>
      <c r="M2049" s="30" t="s">
        <v>351</v>
      </c>
      <c r="N2049" s="30" t="s">
        <v>1330</v>
      </c>
      <c r="P2049" s="30" t="s">
        <v>5774</v>
      </c>
      <c r="Q2049" t="s">
        <v>619</v>
      </c>
      <c r="R2049" t="s">
        <v>917</v>
      </c>
      <c r="S2049">
        <v>37</v>
      </c>
      <c r="T2049" s="29" t="str">
        <f t="shared" si="88"/>
        <v>2021.082B.R.Tevens_new_families.zip</v>
      </c>
      <c r="U2049" s="29" t="str">
        <f>HYPERLINK("https://ictv.global/taxonomy/taxondetails?taxnode_id=202313691","ictv.global=202313691")</f>
        <v>ictv.global=202313691</v>
      </c>
    </row>
    <row r="2050" spans="1:21">
      <c r="A2050">
        <v>2049</v>
      </c>
      <c r="B2050" s="30" t="s">
        <v>1587</v>
      </c>
      <c r="D2050" s="30" t="s">
        <v>1588</v>
      </c>
      <c r="F2050" s="30" t="s">
        <v>1591</v>
      </c>
      <c r="H2050" s="30" t="s">
        <v>1592</v>
      </c>
      <c r="L2050" s="30" t="s">
        <v>5765</v>
      </c>
      <c r="M2050" s="30" t="s">
        <v>351</v>
      </c>
      <c r="N2050" s="30" t="s">
        <v>1330</v>
      </c>
      <c r="P2050" s="30" t="s">
        <v>5775</v>
      </c>
      <c r="Q2050" t="s">
        <v>619</v>
      </c>
      <c r="R2050" t="s">
        <v>917</v>
      </c>
      <c r="S2050">
        <v>37</v>
      </c>
      <c r="T2050" s="29" t="str">
        <f t="shared" si="88"/>
        <v>2021.082B.R.Tevens_new_families.zip</v>
      </c>
      <c r="U2050" s="29" t="str">
        <f>HYPERLINK("https://ictv.global/taxonomy/taxondetails?taxnode_id=202313692","ictv.global=202313692")</f>
        <v>ictv.global=202313692</v>
      </c>
    </row>
    <row r="2051" spans="1:21">
      <c r="A2051">
        <v>2050</v>
      </c>
      <c r="B2051" s="30" t="s">
        <v>1587</v>
      </c>
      <c r="D2051" s="30" t="s">
        <v>1588</v>
      </c>
      <c r="F2051" s="30" t="s">
        <v>1591</v>
      </c>
      <c r="H2051" s="30" t="s">
        <v>1592</v>
      </c>
      <c r="L2051" s="30" t="s">
        <v>5765</v>
      </c>
      <c r="M2051" s="30" t="s">
        <v>351</v>
      </c>
      <c r="N2051" s="30" t="s">
        <v>1330</v>
      </c>
      <c r="P2051" s="30" t="s">
        <v>5776</v>
      </c>
      <c r="Q2051" t="s">
        <v>619</v>
      </c>
      <c r="R2051" t="s">
        <v>918</v>
      </c>
      <c r="S2051">
        <v>37</v>
      </c>
      <c r="T2051" s="29" t="str">
        <f t="shared" si="88"/>
        <v>2021.082B.R.Tevens_new_families.zip</v>
      </c>
      <c r="U2051" s="29" t="str">
        <f>HYPERLINK("https://ictv.global/taxonomy/taxondetails?taxnode_id=202300288","ictv.global=202300288")</f>
        <v>ictv.global=202300288</v>
      </c>
    </row>
    <row r="2052" spans="1:21">
      <c r="A2052">
        <v>2051</v>
      </c>
      <c r="B2052" s="30" t="s">
        <v>1587</v>
      </c>
      <c r="D2052" s="30" t="s">
        <v>1588</v>
      </c>
      <c r="F2052" s="30" t="s">
        <v>1591</v>
      </c>
      <c r="H2052" s="30" t="s">
        <v>1592</v>
      </c>
      <c r="L2052" s="30" t="s">
        <v>5765</v>
      </c>
      <c r="M2052" s="30" t="s">
        <v>351</v>
      </c>
      <c r="N2052" s="30" t="s">
        <v>1330</v>
      </c>
      <c r="P2052" s="30" t="s">
        <v>5777</v>
      </c>
      <c r="Q2052" t="s">
        <v>619</v>
      </c>
      <c r="R2052" t="s">
        <v>918</v>
      </c>
      <c r="S2052">
        <v>37</v>
      </c>
      <c r="T2052" s="29" t="str">
        <f t="shared" si="88"/>
        <v>2021.082B.R.Tevens_new_families.zip</v>
      </c>
      <c r="U2052" s="29" t="str">
        <f>HYPERLINK("https://ictv.global/taxonomy/taxondetails?taxnode_id=202300289","ictv.global=202300289")</f>
        <v>ictv.global=202300289</v>
      </c>
    </row>
    <row r="2053" spans="1:21">
      <c r="A2053">
        <v>2052</v>
      </c>
      <c r="B2053" s="30" t="s">
        <v>1587</v>
      </c>
      <c r="D2053" s="30" t="s">
        <v>1588</v>
      </c>
      <c r="F2053" s="30" t="s">
        <v>1591</v>
      </c>
      <c r="H2053" s="30" t="s">
        <v>1592</v>
      </c>
      <c r="L2053" s="30" t="s">
        <v>5765</v>
      </c>
      <c r="M2053" s="30" t="s">
        <v>351</v>
      </c>
      <c r="N2053" s="30" t="s">
        <v>1330</v>
      </c>
      <c r="P2053" s="30" t="s">
        <v>5778</v>
      </c>
      <c r="Q2053" t="s">
        <v>619</v>
      </c>
      <c r="R2053" t="s">
        <v>918</v>
      </c>
      <c r="S2053">
        <v>37</v>
      </c>
      <c r="T2053" s="29" t="str">
        <f t="shared" si="88"/>
        <v>2021.082B.R.Tevens_new_families.zip</v>
      </c>
      <c r="U2053" s="29" t="str">
        <f>HYPERLINK("https://ictv.global/taxonomy/taxondetails?taxnode_id=202307034","ictv.global=202307034")</f>
        <v>ictv.global=202307034</v>
      </c>
    </row>
    <row r="2054" spans="1:21">
      <c r="A2054">
        <v>2053</v>
      </c>
      <c r="B2054" s="30" t="s">
        <v>1587</v>
      </c>
      <c r="D2054" s="30" t="s">
        <v>1588</v>
      </c>
      <c r="F2054" s="30" t="s">
        <v>1591</v>
      </c>
      <c r="H2054" s="30" t="s">
        <v>1592</v>
      </c>
      <c r="L2054" s="30" t="s">
        <v>5765</v>
      </c>
      <c r="M2054" s="30" t="s">
        <v>351</v>
      </c>
      <c r="N2054" s="30" t="s">
        <v>1330</v>
      </c>
      <c r="P2054" s="30" t="s">
        <v>5779</v>
      </c>
      <c r="Q2054" t="s">
        <v>619</v>
      </c>
      <c r="R2054" t="s">
        <v>918</v>
      </c>
      <c r="S2054">
        <v>37</v>
      </c>
      <c r="T2054" s="29" t="str">
        <f t="shared" si="88"/>
        <v>2021.082B.R.Tevens_new_families.zip</v>
      </c>
      <c r="U2054" s="29" t="str">
        <f>HYPERLINK("https://ictv.global/taxonomy/taxondetails?taxnode_id=202300290","ictv.global=202300290")</f>
        <v>ictv.global=202300290</v>
      </c>
    </row>
    <row r="2055" spans="1:21">
      <c r="A2055">
        <v>2054</v>
      </c>
      <c r="B2055" s="30" t="s">
        <v>1587</v>
      </c>
      <c r="D2055" s="30" t="s">
        <v>1588</v>
      </c>
      <c r="F2055" s="30" t="s">
        <v>1591</v>
      </c>
      <c r="H2055" s="30" t="s">
        <v>1592</v>
      </c>
      <c r="L2055" s="30" t="s">
        <v>5765</v>
      </c>
      <c r="M2055" s="30" t="s">
        <v>351</v>
      </c>
      <c r="N2055" s="30" t="s">
        <v>1330</v>
      </c>
      <c r="P2055" s="30" t="s">
        <v>5780</v>
      </c>
      <c r="Q2055" t="s">
        <v>619</v>
      </c>
      <c r="R2055" t="s">
        <v>918</v>
      </c>
      <c r="S2055">
        <v>37</v>
      </c>
      <c r="T2055" s="29" t="str">
        <f t="shared" si="88"/>
        <v>2021.082B.R.Tevens_new_families.zip</v>
      </c>
      <c r="U2055" s="29" t="str">
        <f>HYPERLINK("https://ictv.global/taxonomy/taxondetails?taxnode_id=202300291","ictv.global=202300291")</f>
        <v>ictv.global=202300291</v>
      </c>
    </row>
    <row r="2056" spans="1:21">
      <c r="A2056">
        <v>2055</v>
      </c>
      <c r="B2056" s="30" t="s">
        <v>1587</v>
      </c>
      <c r="D2056" s="30" t="s">
        <v>1588</v>
      </c>
      <c r="F2056" s="30" t="s">
        <v>1591</v>
      </c>
      <c r="H2056" s="30" t="s">
        <v>1592</v>
      </c>
      <c r="L2056" s="30" t="s">
        <v>5765</v>
      </c>
      <c r="M2056" s="30" t="s">
        <v>351</v>
      </c>
      <c r="N2056" s="30" t="s">
        <v>1330</v>
      </c>
      <c r="P2056" s="30" t="s">
        <v>5781</v>
      </c>
      <c r="Q2056" t="s">
        <v>619</v>
      </c>
      <c r="R2056" t="s">
        <v>918</v>
      </c>
      <c r="S2056">
        <v>37</v>
      </c>
      <c r="T2056" s="29" t="str">
        <f t="shared" si="88"/>
        <v>2021.082B.R.Tevens_new_families.zip</v>
      </c>
      <c r="U2056" s="29" t="str">
        <f>HYPERLINK("https://ictv.global/taxonomy/taxondetails?taxnode_id=202307035","ictv.global=202307035")</f>
        <v>ictv.global=202307035</v>
      </c>
    </row>
    <row r="2057" spans="1:21">
      <c r="A2057">
        <v>2056</v>
      </c>
      <c r="B2057" s="30" t="s">
        <v>1587</v>
      </c>
      <c r="D2057" s="30" t="s">
        <v>1588</v>
      </c>
      <c r="F2057" s="30" t="s">
        <v>1591</v>
      </c>
      <c r="H2057" s="30" t="s">
        <v>1592</v>
      </c>
      <c r="L2057" s="30" t="s">
        <v>5765</v>
      </c>
      <c r="M2057" s="30" t="s">
        <v>351</v>
      </c>
      <c r="N2057" s="30" t="s">
        <v>1331</v>
      </c>
      <c r="P2057" s="30" t="s">
        <v>5782</v>
      </c>
      <c r="Q2057" t="s">
        <v>619</v>
      </c>
      <c r="R2057" t="s">
        <v>917</v>
      </c>
      <c r="S2057">
        <v>38</v>
      </c>
      <c r="T2057" s="29" t="str">
        <f>HYPERLINK("https://ictv.global/ictv/proposals/2022.087B.Straboviridae_update.zip","2022.087B.Straboviridae_update.zip")</f>
        <v>2022.087B.Straboviridae_update.zip</v>
      </c>
      <c r="U2057" s="29" t="str">
        <f>HYPERLINK("https://ictv.global/taxonomy/taxondetails?taxnode_id=202314943","ictv.global=202314943")</f>
        <v>ictv.global=202314943</v>
      </c>
    </row>
    <row r="2058" spans="1:21">
      <c r="A2058">
        <v>2057</v>
      </c>
      <c r="B2058" s="30" t="s">
        <v>1587</v>
      </c>
      <c r="D2058" s="30" t="s">
        <v>1588</v>
      </c>
      <c r="F2058" s="30" t="s">
        <v>1591</v>
      </c>
      <c r="H2058" s="30" t="s">
        <v>1592</v>
      </c>
      <c r="L2058" s="30" t="s">
        <v>5765</v>
      </c>
      <c r="M2058" s="30" t="s">
        <v>351</v>
      </c>
      <c r="N2058" s="30" t="s">
        <v>1331</v>
      </c>
      <c r="P2058" s="30" t="s">
        <v>5783</v>
      </c>
      <c r="Q2058" t="s">
        <v>619</v>
      </c>
      <c r="R2058" t="s">
        <v>918</v>
      </c>
      <c r="S2058">
        <v>37</v>
      </c>
      <c r="T2058" s="29" t="str">
        <f t="shared" ref="T2058:T2075" si="89">HYPERLINK("https://ictv.global/ictv/proposals/2021.082B.R.Tevens_new_families.zip","2021.082B.R.Tevens_new_families.zip")</f>
        <v>2021.082B.R.Tevens_new_families.zip</v>
      </c>
      <c r="U2058" s="29" t="str">
        <f>HYPERLINK("https://ictv.global/taxonomy/taxondetails?taxnode_id=202300322","ictv.global=202300322")</f>
        <v>ictv.global=202300322</v>
      </c>
    </row>
    <row r="2059" spans="1:21">
      <c r="A2059">
        <v>2058</v>
      </c>
      <c r="B2059" s="30" t="s">
        <v>1587</v>
      </c>
      <c r="D2059" s="30" t="s">
        <v>1588</v>
      </c>
      <c r="F2059" s="30" t="s">
        <v>1591</v>
      </c>
      <c r="H2059" s="30" t="s">
        <v>1592</v>
      </c>
      <c r="L2059" s="30" t="s">
        <v>5765</v>
      </c>
      <c r="M2059" s="30" t="s">
        <v>351</v>
      </c>
      <c r="N2059" s="30" t="s">
        <v>1331</v>
      </c>
      <c r="P2059" s="30" t="s">
        <v>5784</v>
      </c>
      <c r="Q2059" t="s">
        <v>619</v>
      </c>
      <c r="R2059" t="s">
        <v>918</v>
      </c>
      <c r="S2059">
        <v>37</v>
      </c>
      <c r="T2059" s="29" t="str">
        <f t="shared" si="89"/>
        <v>2021.082B.R.Tevens_new_families.zip</v>
      </c>
      <c r="U2059" s="29" t="str">
        <f>HYPERLINK("https://ictv.global/taxonomy/taxondetails?taxnode_id=202300318","ictv.global=202300318")</f>
        <v>ictv.global=202300318</v>
      </c>
    </row>
    <row r="2060" spans="1:21">
      <c r="A2060">
        <v>2059</v>
      </c>
      <c r="B2060" s="30" t="s">
        <v>1587</v>
      </c>
      <c r="D2060" s="30" t="s">
        <v>1588</v>
      </c>
      <c r="F2060" s="30" t="s">
        <v>1591</v>
      </c>
      <c r="H2060" s="30" t="s">
        <v>1592</v>
      </c>
      <c r="L2060" s="30" t="s">
        <v>5765</v>
      </c>
      <c r="M2060" s="30" t="s">
        <v>351</v>
      </c>
      <c r="N2060" s="30" t="s">
        <v>1331</v>
      </c>
      <c r="P2060" s="30" t="s">
        <v>5785</v>
      </c>
      <c r="Q2060" t="s">
        <v>619</v>
      </c>
      <c r="R2060" t="s">
        <v>918</v>
      </c>
      <c r="S2060">
        <v>37</v>
      </c>
      <c r="T2060" s="29" t="str">
        <f t="shared" si="89"/>
        <v>2021.082B.R.Tevens_new_families.zip</v>
      </c>
      <c r="U2060" s="29" t="str">
        <f>HYPERLINK("https://ictv.global/taxonomy/taxondetails?taxnode_id=202300319","ictv.global=202300319")</f>
        <v>ictv.global=202300319</v>
      </c>
    </row>
    <row r="2061" spans="1:21">
      <c r="A2061">
        <v>2060</v>
      </c>
      <c r="B2061" s="30" t="s">
        <v>1587</v>
      </c>
      <c r="D2061" s="30" t="s">
        <v>1588</v>
      </c>
      <c r="F2061" s="30" t="s">
        <v>1591</v>
      </c>
      <c r="H2061" s="30" t="s">
        <v>1592</v>
      </c>
      <c r="L2061" s="30" t="s">
        <v>5765</v>
      </c>
      <c r="M2061" s="30" t="s">
        <v>351</v>
      </c>
      <c r="N2061" s="30" t="s">
        <v>1331</v>
      </c>
      <c r="P2061" s="30" t="s">
        <v>5786</v>
      </c>
      <c r="Q2061" t="s">
        <v>619</v>
      </c>
      <c r="R2061" t="s">
        <v>918</v>
      </c>
      <c r="S2061">
        <v>37</v>
      </c>
      <c r="T2061" s="29" t="str">
        <f t="shared" si="89"/>
        <v>2021.082B.R.Tevens_new_families.zip</v>
      </c>
      <c r="U2061" s="29" t="str">
        <f>HYPERLINK("https://ictv.global/taxonomy/taxondetails?taxnode_id=202300320","ictv.global=202300320")</f>
        <v>ictv.global=202300320</v>
      </c>
    </row>
    <row r="2062" spans="1:21">
      <c r="A2062">
        <v>2061</v>
      </c>
      <c r="B2062" s="30" t="s">
        <v>1587</v>
      </c>
      <c r="D2062" s="30" t="s">
        <v>1588</v>
      </c>
      <c r="F2062" s="30" t="s">
        <v>1591</v>
      </c>
      <c r="H2062" s="30" t="s">
        <v>1592</v>
      </c>
      <c r="L2062" s="30" t="s">
        <v>5765</v>
      </c>
      <c r="M2062" s="30" t="s">
        <v>351</v>
      </c>
      <c r="N2062" s="30" t="s">
        <v>1331</v>
      </c>
      <c r="P2062" s="30" t="s">
        <v>5787</v>
      </c>
      <c r="Q2062" t="s">
        <v>619</v>
      </c>
      <c r="R2062" t="s">
        <v>918</v>
      </c>
      <c r="S2062">
        <v>37</v>
      </c>
      <c r="T2062" s="29" t="str">
        <f t="shared" si="89"/>
        <v>2021.082B.R.Tevens_new_families.zip</v>
      </c>
      <c r="U2062" s="29" t="str">
        <f>HYPERLINK("https://ictv.global/taxonomy/taxondetails?taxnode_id=202300321","ictv.global=202300321")</f>
        <v>ictv.global=202300321</v>
      </c>
    </row>
    <row r="2063" spans="1:21">
      <c r="A2063">
        <v>2062</v>
      </c>
      <c r="B2063" s="30" t="s">
        <v>1587</v>
      </c>
      <c r="D2063" s="30" t="s">
        <v>1588</v>
      </c>
      <c r="F2063" s="30" t="s">
        <v>1591</v>
      </c>
      <c r="H2063" s="30" t="s">
        <v>1592</v>
      </c>
      <c r="L2063" s="30" t="s">
        <v>5765</v>
      </c>
      <c r="M2063" s="30" t="s">
        <v>351</v>
      </c>
      <c r="N2063" s="30" t="s">
        <v>1332</v>
      </c>
      <c r="P2063" s="30" t="s">
        <v>5788</v>
      </c>
      <c r="Q2063" t="s">
        <v>619</v>
      </c>
      <c r="R2063" t="s">
        <v>917</v>
      </c>
      <c r="S2063">
        <v>37</v>
      </c>
      <c r="T2063" s="29" t="str">
        <f t="shared" si="89"/>
        <v>2021.082B.R.Tevens_new_families.zip</v>
      </c>
      <c r="U2063" s="29" t="str">
        <f>HYPERLINK("https://ictv.global/taxonomy/taxondetails?taxnode_id=202313703","ictv.global=202313703")</f>
        <v>ictv.global=202313703</v>
      </c>
    </row>
    <row r="2064" spans="1:21">
      <c r="A2064">
        <v>2063</v>
      </c>
      <c r="B2064" s="30" t="s">
        <v>1587</v>
      </c>
      <c r="D2064" s="30" t="s">
        <v>1588</v>
      </c>
      <c r="F2064" s="30" t="s">
        <v>1591</v>
      </c>
      <c r="H2064" s="30" t="s">
        <v>1592</v>
      </c>
      <c r="L2064" s="30" t="s">
        <v>5765</v>
      </c>
      <c r="M2064" s="30" t="s">
        <v>351</v>
      </c>
      <c r="N2064" s="30" t="s">
        <v>1332</v>
      </c>
      <c r="P2064" s="30" t="s">
        <v>5789</v>
      </c>
      <c r="Q2064" t="s">
        <v>619</v>
      </c>
      <c r="R2064" t="s">
        <v>918</v>
      </c>
      <c r="S2064">
        <v>37</v>
      </c>
      <c r="T2064" s="29" t="str">
        <f t="shared" si="89"/>
        <v>2021.082B.R.Tevens_new_families.zip</v>
      </c>
      <c r="U2064" s="29" t="str">
        <f>HYPERLINK("https://ictv.global/taxonomy/taxondetails?taxnode_id=202307047","ictv.global=202307047")</f>
        <v>ictv.global=202307047</v>
      </c>
    </row>
    <row r="2065" spans="1:21">
      <c r="A2065">
        <v>2064</v>
      </c>
      <c r="B2065" s="30" t="s">
        <v>1587</v>
      </c>
      <c r="D2065" s="30" t="s">
        <v>1588</v>
      </c>
      <c r="F2065" s="30" t="s">
        <v>1591</v>
      </c>
      <c r="H2065" s="30" t="s">
        <v>1592</v>
      </c>
      <c r="L2065" s="30" t="s">
        <v>5765</v>
      </c>
      <c r="M2065" s="30" t="s">
        <v>351</v>
      </c>
      <c r="N2065" s="30" t="s">
        <v>1332</v>
      </c>
      <c r="P2065" s="30" t="s">
        <v>5790</v>
      </c>
      <c r="Q2065" t="s">
        <v>619</v>
      </c>
      <c r="R2065" t="s">
        <v>918</v>
      </c>
      <c r="S2065">
        <v>37</v>
      </c>
      <c r="T2065" s="29" t="str">
        <f t="shared" si="89"/>
        <v>2021.082B.R.Tevens_new_families.zip</v>
      </c>
      <c r="U2065" s="29" t="str">
        <f>HYPERLINK("https://ictv.global/taxonomy/taxondetails?taxnode_id=202300311","ictv.global=202300311")</f>
        <v>ictv.global=202300311</v>
      </c>
    </row>
    <row r="2066" spans="1:21">
      <c r="A2066">
        <v>2065</v>
      </c>
      <c r="B2066" s="30" t="s">
        <v>1587</v>
      </c>
      <c r="D2066" s="30" t="s">
        <v>1588</v>
      </c>
      <c r="F2066" s="30" t="s">
        <v>1591</v>
      </c>
      <c r="H2066" s="30" t="s">
        <v>1592</v>
      </c>
      <c r="L2066" s="30" t="s">
        <v>5765</v>
      </c>
      <c r="M2066" s="30" t="s">
        <v>351</v>
      </c>
      <c r="N2066" s="30" t="s">
        <v>1332</v>
      </c>
      <c r="P2066" s="30" t="s">
        <v>5791</v>
      </c>
      <c r="Q2066" t="s">
        <v>619</v>
      </c>
      <c r="R2066" t="s">
        <v>918</v>
      </c>
      <c r="S2066">
        <v>37</v>
      </c>
      <c r="T2066" s="29" t="str">
        <f t="shared" si="89"/>
        <v>2021.082B.R.Tevens_new_families.zip</v>
      </c>
      <c r="U2066" s="29" t="str">
        <f>HYPERLINK("https://ictv.global/taxonomy/taxondetails?taxnode_id=202300312","ictv.global=202300312")</f>
        <v>ictv.global=202300312</v>
      </c>
    </row>
    <row r="2067" spans="1:21">
      <c r="A2067">
        <v>2066</v>
      </c>
      <c r="B2067" s="30" t="s">
        <v>1587</v>
      </c>
      <c r="D2067" s="30" t="s">
        <v>1588</v>
      </c>
      <c r="F2067" s="30" t="s">
        <v>1591</v>
      </c>
      <c r="H2067" s="30" t="s">
        <v>1592</v>
      </c>
      <c r="L2067" s="30" t="s">
        <v>5765</v>
      </c>
      <c r="M2067" s="30" t="s">
        <v>351</v>
      </c>
      <c r="N2067" s="30" t="s">
        <v>1332</v>
      </c>
      <c r="P2067" s="30" t="s">
        <v>5792</v>
      </c>
      <c r="Q2067" t="s">
        <v>619</v>
      </c>
      <c r="R2067" t="s">
        <v>918</v>
      </c>
      <c r="S2067">
        <v>37</v>
      </c>
      <c r="T2067" s="29" t="str">
        <f t="shared" si="89"/>
        <v>2021.082B.R.Tevens_new_families.zip</v>
      </c>
      <c r="U2067" s="29" t="str">
        <f>HYPERLINK("https://ictv.global/taxonomy/taxondetails?taxnode_id=202307048","ictv.global=202307048")</f>
        <v>ictv.global=202307048</v>
      </c>
    </row>
    <row r="2068" spans="1:21">
      <c r="A2068">
        <v>2067</v>
      </c>
      <c r="B2068" s="30" t="s">
        <v>1587</v>
      </c>
      <c r="D2068" s="30" t="s">
        <v>1588</v>
      </c>
      <c r="F2068" s="30" t="s">
        <v>1591</v>
      </c>
      <c r="H2068" s="30" t="s">
        <v>1592</v>
      </c>
      <c r="L2068" s="30" t="s">
        <v>5765</v>
      </c>
      <c r="M2068" s="30" t="s">
        <v>351</v>
      </c>
      <c r="N2068" s="30" t="s">
        <v>1333</v>
      </c>
      <c r="P2068" s="30" t="s">
        <v>5793</v>
      </c>
      <c r="Q2068" t="s">
        <v>619</v>
      </c>
      <c r="R2068" t="s">
        <v>918</v>
      </c>
      <c r="S2068">
        <v>37</v>
      </c>
      <c r="T2068" s="29" t="str">
        <f t="shared" si="89"/>
        <v>2021.082B.R.Tevens_new_families.zip</v>
      </c>
      <c r="U2068" s="29" t="str">
        <f>HYPERLINK("https://ictv.global/taxonomy/taxondetails?taxnode_id=202300283","ictv.global=202300283")</f>
        <v>ictv.global=202300283</v>
      </c>
    </row>
    <row r="2069" spans="1:21">
      <c r="A2069">
        <v>2068</v>
      </c>
      <c r="B2069" s="30" t="s">
        <v>1587</v>
      </c>
      <c r="D2069" s="30" t="s">
        <v>1588</v>
      </c>
      <c r="F2069" s="30" t="s">
        <v>1591</v>
      </c>
      <c r="H2069" s="30" t="s">
        <v>1592</v>
      </c>
      <c r="L2069" s="30" t="s">
        <v>5765</v>
      </c>
      <c r="M2069" s="30" t="s">
        <v>351</v>
      </c>
      <c r="N2069" s="30" t="s">
        <v>1333</v>
      </c>
      <c r="P2069" s="30" t="s">
        <v>5794</v>
      </c>
      <c r="Q2069" t="s">
        <v>619</v>
      </c>
      <c r="R2069" t="s">
        <v>917</v>
      </c>
      <c r="S2069">
        <v>37</v>
      </c>
      <c r="T2069" s="29" t="str">
        <f t="shared" si="89"/>
        <v>2021.082B.R.Tevens_new_families.zip</v>
      </c>
      <c r="U2069" s="29" t="str">
        <f>HYPERLINK("https://ictv.global/taxonomy/taxondetails?taxnode_id=202313700","ictv.global=202313700")</f>
        <v>ictv.global=202313700</v>
      </c>
    </row>
    <row r="2070" spans="1:21">
      <c r="A2070">
        <v>2069</v>
      </c>
      <c r="B2070" s="30" t="s">
        <v>1587</v>
      </c>
      <c r="D2070" s="30" t="s">
        <v>1588</v>
      </c>
      <c r="F2070" s="30" t="s">
        <v>1591</v>
      </c>
      <c r="H2070" s="30" t="s">
        <v>1592</v>
      </c>
      <c r="L2070" s="30" t="s">
        <v>5765</v>
      </c>
      <c r="M2070" s="30" t="s">
        <v>351</v>
      </c>
      <c r="N2070" s="30" t="s">
        <v>1333</v>
      </c>
      <c r="P2070" s="30" t="s">
        <v>5795</v>
      </c>
      <c r="Q2070" t="s">
        <v>619</v>
      </c>
      <c r="R2070" t="s">
        <v>917</v>
      </c>
      <c r="S2070">
        <v>37</v>
      </c>
      <c r="T2070" s="29" t="str">
        <f t="shared" si="89"/>
        <v>2021.082B.R.Tevens_new_families.zip</v>
      </c>
      <c r="U2070" s="29" t="str">
        <f>HYPERLINK("https://ictv.global/taxonomy/taxondetails?taxnode_id=202313698","ictv.global=202313698")</f>
        <v>ictv.global=202313698</v>
      </c>
    </row>
    <row r="2071" spans="1:21">
      <c r="A2071">
        <v>2070</v>
      </c>
      <c r="B2071" s="30" t="s">
        <v>1587</v>
      </c>
      <c r="D2071" s="30" t="s">
        <v>1588</v>
      </c>
      <c r="F2071" s="30" t="s">
        <v>1591</v>
      </c>
      <c r="H2071" s="30" t="s">
        <v>1592</v>
      </c>
      <c r="L2071" s="30" t="s">
        <v>5765</v>
      </c>
      <c r="M2071" s="30" t="s">
        <v>351</v>
      </c>
      <c r="N2071" s="30" t="s">
        <v>1333</v>
      </c>
      <c r="P2071" s="30" t="s">
        <v>5796</v>
      </c>
      <c r="Q2071" t="s">
        <v>619</v>
      </c>
      <c r="R2071" t="s">
        <v>917</v>
      </c>
      <c r="S2071">
        <v>37</v>
      </c>
      <c r="T2071" s="29" t="str">
        <f t="shared" si="89"/>
        <v>2021.082B.R.Tevens_new_families.zip</v>
      </c>
      <c r="U2071" s="29" t="str">
        <f>HYPERLINK("https://ictv.global/taxonomy/taxondetails?taxnode_id=202313697","ictv.global=202313697")</f>
        <v>ictv.global=202313697</v>
      </c>
    </row>
    <row r="2072" spans="1:21">
      <c r="A2072">
        <v>2071</v>
      </c>
      <c r="B2072" s="30" t="s">
        <v>1587</v>
      </c>
      <c r="D2072" s="30" t="s">
        <v>1588</v>
      </c>
      <c r="F2072" s="30" t="s">
        <v>1591</v>
      </c>
      <c r="H2072" s="30" t="s">
        <v>1592</v>
      </c>
      <c r="L2072" s="30" t="s">
        <v>5765</v>
      </c>
      <c r="M2072" s="30" t="s">
        <v>351</v>
      </c>
      <c r="N2072" s="30" t="s">
        <v>1333</v>
      </c>
      <c r="P2072" s="30" t="s">
        <v>5797</v>
      </c>
      <c r="Q2072" t="s">
        <v>619</v>
      </c>
      <c r="R2072" t="s">
        <v>917</v>
      </c>
      <c r="S2072">
        <v>37</v>
      </c>
      <c r="T2072" s="29" t="str">
        <f t="shared" si="89"/>
        <v>2021.082B.R.Tevens_new_families.zip</v>
      </c>
      <c r="U2072" s="29" t="str">
        <f>HYPERLINK("https://ictv.global/taxonomy/taxondetails?taxnode_id=202313699","ictv.global=202313699")</f>
        <v>ictv.global=202313699</v>
      </c>
    </row>
    <row r="2073" spans="1:21">
      <c r="A2073">
        <v>2072</v>
      </c>
      <c r="B2073" s="30" t="s">
        <v>1587</v>
      </c>
      <c r="D2073" s="30" t="s">
        <v>1588</v>
      </c>
      <c r="F2073" s="30" t="s">
        <v>1591</v>
      </c>
      <c r="H2073" s="30" t="s">
        <v>1592</v>
      </c>
      <c r="L2073" s="30" t="s">
        <v>5765</v>
      </c>
      <c r="M2073" s="30" t="s">
        <v>351</v>
      </c>
      <c r="N2073" s="30" t="s">
        <v>1333</v>
      </c>
      <c r="P2073" s="30" t="s">
        <v>5798</v>
      </c>
      <c r="Q2073" t="s">
        <v>619</v>
      </c>
      <c r="R2073" t="s">
        <v>918</v>
      </c>
      <c r="S2073">
        <v>37</v>
      </c>
      <c r="T2073" s="29" t="str">
        <f t="shared" si="89"/>
        <v>2021.082B.R.Tevens_new_families.zip</v>
      </c>
      <c r="U2073" s="29" t="str">
        <f>HYPERLINK("https://ictv.global/taxonomy/taxondetails?taxnode_id=202300284","ictv.global=202300284")</f>
        <v>ictv.global=202300284</v>
      </c>
    </row>
    <row r="2074" spans="1:21">
      <c r="A2074">
        <v>2073</v>
      </c>
      <c r="B2074" s="30" t="s">
        <v>1587</v>
      </c>
      <c r="D2074" s="30" t="s">
        <v>1588</v>
      </c>
      <c r="F2074" s="30" t="s">
        <v>1591</v>
      </c>
      <c r="H2074" s="30" t="s">
        <v>1592</v>
      </c>
      <c r="L2074" s="30" t="s">
        <v>5765</v>
      </c>
      <c r="M2074" s="30" t="s">
        <v>351</v>
      </c>
      <c r="N2074" s="30" t="s">
        <v>5799</v>
      </c>
      <c r="P2074" s="30" t="s">
        <v>5800</v>
      </c>
      <c r="Q2074" t="s">
        <v>619</v>
      </c>
      <c r="R2074" t="s">
        <v>917</v>
      </c>
      <c r="S2074">
        <v>37</v>
      </c>
      <c r="T2074" s="29" t="str">
        <f t="shared" si="89"/>
        <v>2021.082B.R.Tevens_new_families.zip</v>
      </c>
      <c r="U2074" s="29" t="str">
        <f>HYPERLINK("https://ictv.global/taxonomy/taxondetails?taxnode_id=202313687","ictv.global=202313687")</f>
        <v>ictv.global=202313687</v>
      </c>
    </row>
    <row r="2075" spans="1:21">
      <c r="A2075">
        <v>2074</v>
      </c>
      <c r="B2075" s="30" t="s">
        <v>1587</v>
      </c>
      <c r="D2075" s="30" t="s">
        <v>1588</v>
      </c>
      <c r="F2075" s="30" t="s">
        <v>1591</v>
      </c>
      <c r="H2075" s="30" t="s">
        <v>1592</v>
      </c>
      <c r="L2075" s="30" t="s">
        <v>5765</v>
      </c>
      <c r="M2075" s="30" t="s">
        <v>351</v>
      </c>
      <c r="N2075" s="30" t="s">
        <v>2269</v>
      </c>
      <c r="P2075" s="30" t="s">
        <v>5801</v>
      </c>
      <c r="Q2075" t="s">
        <v>619</v>
      </c>
      <c r="R2075" t="s">
        <v>918</v>
      </c>
      <c r="S2075">
        <v>37</v>
      </c>
      <c r="T2075" s="29" t="str">
        <f t="shared" si="89"/>
        <v>2021.082B.R.Tevens_new_families.zip</v>
      </c>
      <c r="U2075" s="29" t="str">
        <f>HYPERLINK("https://ictv.global/taxonomy/taxondetails?taxnode_id=202310143","ictv.global=202310143")</f>
        <v>ictv.global=202310143</v>
      </c>
    </row>
    <row r="2076" spans="1:21">
      <c r="A2076">
        <v>2075</v>
      </c>
      <c r="B2076" s="30" t="s">
        <v>1587</v>
      </c>
      <c r="D2076" s="30" t="s">
        <v>1588</v>
      </c>
      <c r="F2076" s="30" t="s">
        <v>1591</v>
      </c>
      <c r="H2076" s="30" t="s">
        <v>1592</v>
      </c>
      <c r="L2076" s="30" t="s">
        <v>5765</v>
      </c>
      <c r="M2076" s="30" t="s">
        <v>351</v>
      </c>
      <c r="N2076" s="30" t="s">
        <v>2269</v>
      </c>
      <c r="P2076" s="30" t="s">
        <v>5802</v>
      </c>
      <c r="Q2076" t="s">
        <v>619</v>
      </c>
      <c r="R2076" t="s">
        <v>917</v>
      </c>
      <c r="S2076">
        <v>38</v>
      </c>
      <c r="T2076" s="29" t="str">
        <f>HYPERLINK("https://ictv.global/ictv/proposals/2022.087B.Straboviridae_update.zip","2022.087B.Straboviridae_update.zip")</f>
        <v>2022.087B.Straboviridae_update.zip</v>
      </c>
      <c r="U2076" s="29" t="str">
        <f>HYPERLINK("https://ictv.global/taxonomy/taxondetails?taxnode_id=202314940","ictv.global=202314940")</f>
        <v>ictv.global=202314940</v>
      </c>
    </row>
    <row r="2077" spans="1:21">
      <c r="A2077">
        <v>2076</v>
      </c>
      <c r="B2077" s="30" t="s">
        <v>1587</v>
      </c>
      <c r="D2077" s="30" t="s">
        <v>1588</v>
      </c>
      <c r="F2077" s="30" t="s">
        <v>1591</v>
      </c>
      <c r="H2077" s="30" t="s">
        <v>1592</v>
      </c>
      <c r="L2077" s="30" t="s">
        <v>5765</v>
      </c>
      <c r="M2077" s="30" t="s">
        <v>351</v>
      </c>
      <c r="N2077" s="30" t="s">
        <v>2269</v>
      </c>
      <c r="P2077" s="30" t="s">
        <v>5803</v>
      </c>
      <c r="Q2077" t="s">
        <v>619</v>
      </c>
      <c r="R2077" t="s">
        <v>917</v>
      </c>
      <c r="S2077">
        <v>38</v>
      </c>
      <c r="T2077" s="29" t="str">
        <f>HYPERLINK("https://ictv.global/ictv/proposals/2022.087B.Straboviridae_update.zip","2022.087B.Straboviridae_update.zip")</f>
        <v>2022.087B.Straboviridae_update.zip</v>
      </c>
      <c r="U2077" s="29" t="str">
        <f>HYPERLINK("https://ictv.global/taxonomy/taxondetails?taxnode_id=202314941","ictv.global=202314941")</f>
        <v>ictv.global=202314941</v>
      </c>
    </row>
    <row r="2078" spans="1:21">
      <c r="A2078">
        <v>2077</v>
      </c>
      <c r="B2078" s="30" t="s">
        <v>1587</v>
      </c>
      <c r="D2078" s="30" t="s">
        <v>1588</v>
      </c>
      <c r="F2078" s="30" t="s">
        <v>1591</v>
      </c>
      <c r="H2078" s="30" t="s">
        <v>1592</v>
      </c>
      <c r="L2078" s="30" t="s">
        <v>5765</v>
      </c>
      <c r="M2078" s="30" t="s">
        <v>351</v>
      </c>
      <c r="N2078" s="30" t="s">
        <v>2269</v>
      </c>
      <c r="P2078" s="30" t="s">
        <v>5804</v>
      </c>
      <c r="Q2078" t="s">
        <v>619</v>
      </c>
      <c r="R2078" t="s">
        <v>918</v>
      </c>
      <c r="S2078">
        <v>37</v>
      </c>
      <c r="T2078" s="29" t="str">
        <f>HYPERLINK("https://ictv.global/ictv/proposals/2021.082B.R.Tevens_new_families.zip","2021.082B.R.Tevens_new_families.zip")</f>
        <v>2021.082B.R.Tevens_new_families.zip</v>
      </c>
      <c r="U2078" s="29" t="str">
        <f>HYPERLINK("https://ictv.global/taxonomy/taxondetails?taxnode_id=202310142","ictv.global=202310142")</f>
        <v>ictv.global=202310142</v>
      </c>
    </row>
    <row r="2079" spans="1:21">
      <c r="A2079">
        <v>2078</v>
      </c>
      <c r="B2079" s="30" t="s">
        <v>1587</v>
      </c>
      <c r="D2079" s="30" t="s">
        <v>1588</v>
      </c>
      <c r="F2079" s="30" t="s">
        <v>1591</v>
      </c>
      <c r="H2079" s="30" t="s">
        <v>1592</v>
      </c>
      <c r="L2079" s="30" t="s">
        <v>5765</v>
      </c>
      <c r="M2079" s="30" t="s">
        <v>351</v>
      </c>
      <c r="N2079" s="30" t="s">
        <v>2269</v>
      </c>
      <c r="P2079" s="30" t="s">
        <v>5805</v>
      </c>
      <c r="Q2079" t="s">
        <v>619</v>
      </c>
      <c r="R2079" t="s">
        <v>917</v>
      </c>
      <c r="S2079">
        <v>38</v>
      </c>
      <c r="T2079" s="29" t="str">
        <f>HYPERLINK("https://ictv.global/ictv/proposals/2022.087B.Straboviridae_update.zip","2022.087B.Straboviridae_update.zip")</f>
        <v>2022.087B.Straboviridae_update.zip</v>
      </c>
      <c r="U2079" s="29" t="str">
        <f>HYPERLINK("https://ictv.global/taxonomy/taxondetails?taxnode_id=202314939","ictv.global=202314939")</f>
        <v>ictv.global=202314939</v>
      </c>
    </row>
    <row r="2080" spans="1:21">
      <c r="A2080">
        <v>2079</v>
      </c>
      <c r="B2080" s="30" t="s">
        <v>1587</v>
      </c>
      <c r="D2080" s="30" t="s">
        <v>1588</v>
      </c>
      <c r="F2080" s="30" t="s">
        <v>1591</v>
      </c>
      <c r="H2080" s="30" t="s">
        <v>1592</v>
      </c>
      <c r="L2080" s="30" t="s">
        <v>5765</v>
      </c>
      <c r="M2080" s="30" t="s">
        <v>351</v>
      </c>
      <c r="N2080" s="30" t="s">
        <v>1334</v>
      </c>
      <c r="P2080" s="30" t="s">
        <v>5806</v>
      </c>
      <c r="Q2080" t="s">
        <v>619</v>
      </c>
      <c r="R2080" t="s">
        <v>918</v>
      </c>
      <c r="S2080">
        <v>37</v>
      </c>
      <c r="T2080" s="29" t="str">
        <f>HYPERLINK("https://ictv.global/ictv/proposals/2021.082B.R.Tevens_new_families.zip","2021.082B.R.Tevens_new_families.zip")</f>
        <v>2021.082B.R.Tevens_new_families.zip</v>
      </c>
      <c r="U2080" s="29" t="str">
        <f>HYPERLINK("https://ictv.global/taxonomy/taxondetails?taxnode_id=202300281","ictv.global=202300281")</f>
        <v>ictv.global=202300281</v>
      </c>
    </row>
    <row r="2081" spans="1:21">
      <c r="A2081">
        <v>2080</v>
      </c>
      <c r="B2081" s="30" t="s">
        <v>1587</v>
      </c>
      <c r="D2081" s="30" t="s">
        <v>1588</v>
      </c>
      <c r="F2081" s="30" t="s">
        <v>1591</v>
      </c>
      <c r="H2081" s="30" t="s">
        <v>1592</v>
      </c>
      <c r="L2081" s="30" t="s">
        <v>5765</v>
      </c>
      <c r="M2081" s="30" t="s">
        <v>351</v>
      </c>
      <c r="N2081" s="30" t="s">
        <v>1334</v>
      </c>
      <c r="P2081" s="30" t="s">
        <v>5807</v>
      </c>
      <c r="Q2081" t="s">
        <v>619</v>
      </c>
      <c r="R2081" t="s">
        <v>917</v>
      </c>
      <c r="S2081">
        <v>37</v>
      </c>
      <c r="T2081" s="29" t="str">
        <f>HYPERLINK("https://ictv.global/ictv/proposals/2021.082B.R.Tevens_new_families.zip","2021.082B.R.Tevens_new_families.zip")</f>
        <v>2021.082B.R.Tevens_new_families.zip</v>
      </c>
      <c r="U2081" s="29" t="str">
        <f>HYPERLINK("https://ictv.global/taxonomy/taxondetails?taxnode_id=202313702","ictv.global=202313702")</f>
        <v>ictv.global=202313702</v>
      </c>
    </row>
    <row r="2082" spans="1:21">
      <c r="A2082">
        <v>2081</v>
      </c>
      <c r="B2082" s="30" t="s">
        <v>1587</v>
      </c>
      <c r="D2082" s="30" t="s">
        <v>1588</v>
      </c>
      <c r="F2082" s="30" t="s">
        <v>1591</v>
      </c>
      <c r="H2082" s="30" t="s">
        <v>1592</v>
      </c>
      <c r="L2082" s="30" t="s">
        <v>5765</v>
      </c>
      <c r="M2082" s="30" t="s">
        <v>351</v>
      </c>
      <c r="N2082" s="30" t="s">
        <v>1334</v>
      </c>
      <c r="P2082" s="30" t="s">
        <v>5808</v>
      </c>
      <c r="Q2082" t="s">
        <v>619</v>
      </c>
      <c r="R2082" t="s">
        <v>917</v>
      </c>
      <c r="S2082">
        <v>37</v>
      </c>
      <c r="T2082" s="29" t="str">
        <f>HYPERLINK("https://ictv.global/ictv/proposals/2021.082B.R.Tevens_new_families.zip","2021.082B.R.Tevens_new_families.zip")</f>
        <v>2021.082B.R.Tevens_new_families.zip</v>
      </c>
      <c r="U2082" s="29" t="str">
        <f>HYPERLINK("https://ictv.global/taxonomy/taxondetails?taxnode_id=202313701","ictv.global=202313701")</f>
        <v>ictv.global=202313701</v>
      </c>
    </row>
    <row r="2083" spans="1:21">
      <c r="A2083">
        <v>2082</v>
      </c>
      <c r="B2083" s="30" t="s">
        <v>1587</v>
      </c>
      <c r="D2083" s="30" t="s">
        <v>1588</v>
      </c>
      <c r="F2083" s="30" t="s">
        <v>1591</v>
      </c>
      <c r="H2083" s="30" t="s">
        <v>1592</v>
      </c>
      <c r="L2083" s="30" t="s">
        <v>5765</v>
      </c>
      <c r="M2083" s="30" t="s">
        <v>351</v>
      </c>
      <c r="N2083" s="30" t="s">
        <v>1334</v>
      </c>
      <c r="P2083" s="30" t="s">
        <v>5809</v>
      </c>
      <c r="Q2083" t="s">
        <v>619</v>
      </c>
      <c r="R2083" t="s">
        <v>918</v>
      </c>
      <c r="S2083">
        <v>37</v>
      </c>
      <c r="T2083" s="29" t="str">
        <f>HYPERLINK("https://ictv.global/ictv/proposals/2021.082B.R.Tevens_new_families.zip","2021.082B.R.Tevens_new_families.zip")</f>
        <v>2021.082B.R.Tevens_new_families.zip</v>
      </c>
      <c r="U2083" s="29" t="str">
        <f>HYPERLINK("https://ictv.global/taxonomy/taxondetails?taxnode_id=202300280","ictv.global=202300280")</f>
        <v>ictv.global=202300280</v>
      </c>
    </row>
    <row r="2084" spans="1:21">
      <c r="A2084">
        <v>2083</v>
      </c>
      <c r="B2084" s="30" t="s">
        <v>1587</v>
      </c>
      <c r="D2084" s="30" t="s">
        <v>1588</v>
      </c>
      <c r="F2084" s="30" t="s">
        <v>1591</v>
      </c>
      <c r="H2084" s="30" t="s">
        <v>1592</v>
      </c>
      <c r="L2084" s="30" t="s">
        <v>5765</v>
      </c>
      <c r="M2084" s="30" t="s">
        <v>351</v>
      </c>
      <c r="N2084" s="30" t="s">
        <v>847</v>
      </c>
      <c r="P2084" s="30" t="s">
        <v>5810</v>
      </c>
      <c r="Q2084" t="s">
        <v>619</v>
      </c>
      <c r="R2084" t="s">
        <v>918</v>
      </c>
      <c r="S2084">
        <v>37</v>
      </c>
      <c r="T2084" s="29" t="str">
        <f>HYPERLINK("https://ictv.global/ictv/proposals/2021.082B.R.Tevens_new_families.zip","2021.082B.R.Tevens_new_families.zip")</f>
        <v>2021.082B.R.Tevens_new_families.zip</v>
      </c>
      <c r="U2084" s="29" t="str">
        <f>HYPERLINK("https://ictv.global/taxonomy/taxondetails?taxnode_id=202307037","ictv.global=202307037")</f>
        <v>ictv.global=202307037</v>
      </c>
    </row>
    <row r="2085" spans="1:21">
      <c r="A2085">
        <v>2084</v>
      </c>
      <c r="B2085" s="30" t="s">
        <v>1587</v>
      </c>
      <c r="D2085" s="30" t="s">
        <v>1588</v>
      </c>
      <c r="F2085" s="30" t="s">
        <v>1591</v>
      </c>
      <c r="H2085" s="30" t="s">
        <v>1592</v>
      </c>
      <c r="L2085" s="30" t="s">
        <v>5765</v>
      </c>
      <c r="M2085" s="30" t="s">
        <v>351</v>
      </c>
      <c r="N2085" s="30" t="s">
        <v>847</v>
      </c>
      <c r="P2085" s="30" t="s">
        <v>5811</v>
      </c>
      <c r="Q2085" t="s">
        <v>619</v>
      </c>
      <c r="R2085" t="s">
        <v>917</v>
      </c>
      <c r="S2085">
        <v>38</v>
      </c>
      <c r="T2085" s="29" t="str">
        <f>HYPERLINK("https://ictv.global/ictv/proposals/2022.087B.Straboviridae_update.zip","2022.087B.Straboviridae_update.zip")</f>
        <v>2022.087B.Straboviridae_update.zip</v>
      </c>
      <c r="U2085" s="29" t="str">
        <f>HYPERLINK("https://ictv.global/taxonomy/taxondetails?taxnode_id=202314942","ictv.global=202314942")</f>
        <v>ictv.global=202314942</v>
      </c>
    </row>
    <row r="2086" spans="1:21">
      <c r="A2086">
        <v>2085</v>
      </c>
      <c r="B2086" s="30" t="s">
        <v>1587</v>
      </c>
      <c r="D2086" s="30" t="s">
        <v>1588</v>
      </c>
      <c r="F2086" s="30" t="s">
        <v>1591</v>
      </c>
      <c r="H2086" s="30" t="s">
        <v>1592</v>
      </c>
      <c r="L2086" s="30" t="s">
        <v>5765</v>
      </c>
      <c r="M2086" s="30" t="s">
        <v>351</v>
      </c>
      <c r="N2086" s="30" t="s">
        <v>847</v>
      </c>
      <c r="P2086" s="30" t="s">
        <v>5812</v>
      </c>
      <c r="Q2086" t="s">
        <v>619</v>
      </c>
      <c r="R2086" t="s">
        <v>918</v>
      </c>
      <c r="S2086">
        <v>37</v>
      </c>
      <c r="T2086" s="29" t="str">
        <f t="shared" ref="T2086:T2105" si="90">HYPERLINK("https://ictv.global/ictv/proposals/2021.082B.R.Tevens_new_families.zip","2021.082B.R.Tevens_new_families.zip")</f>
        <v>2021.082B.R.Tevens_new_families.zip</v>
      </c>
      <c r="U2086" s="29" t="str">
        <f>HYPERLINK("https://ictv.global/taxonomy/taxondetails?taxnode_id=202300299","ictv.global=202300299")</f>
        <v>ictv.global=202300299</v>
      </c>
    </row>
    <row r="2087" spans="1:21">
      <c r="A2087">
        <v>2086</v>
      </c>
      <c r="B2087" s="30" t="s">
        <v>1587</v>
      </c>
      <c r="D2087" s="30" t="s">
        <v>1588</v>
      </c>
      <c r="F2087" s="30" t="s">
        <v>1591</v>
      </c>
      <c r="H2087" s="30" t="s">
        <v>1592</v>
      </c>
      <c r="L2087" s="30" t="s">
        <v>5765</v>
      </c>
      <c r="M2087" s="30" t="s">
        <v>351</v>
      </c>
      <c r="N2087" s="30" t="s">
        <v>847</v>
      </c>
      <c r="P2087" s="30" t="s">
        <v>5813</v>
      </c>
      <c r="Q2087" t="s">
        <v>619</v>
      </c>
      <c r="R2087" t="s">
        <v>918</v>
      </c>
      <c r="S2087">
        <v>37</v>
      </c>
      <c r="T2087" s="29" t="str">
        <f t="shared" si="90"/>
        <v>2021.082B.R.Tevens_new_families.zip</v>
      </c>
      <c r="U2087" s="29" t="str">
        <f>HYPERLINK("https://ictv.global/taxonomy/taxondetails?taxnode_id=202300300","ictv.global=202300300")</f>
        <v>ictv.global=202300300</v>
      </c>
    </row>
    <row r="2088" spans="1:21">
      <c r="A2088">
        <v>2087</v>
      </c>
      <c r="B2088" s="30" t="s">
        <v>1587</v>
      </c>
      <c r="D2088" s="30" t="s">
        <v>1588</v>
      </c>
      <c r="F2088" s="30" t="s">
        <v>1591</v>
      </c>
      <c r="H2088" s="30" t="s">
        <v>1592</v>
      </c>
      <c r="L2088" s="30" t="s">
        <v>5765</v>
      </c>
      <c r="M2088" s="30" t="s">
        <v>351</v>
      </c>
      <c r="N2088" s="30" t="s">
        <v>1336</v>
      </c>
      <c r="P2088" s="30" t="s">
        <v>5814</v>
      </c>
      <c r="Q2088" t="s">
        <v>619</v>
      </c>
      <c r="R2088" t="s">
        <v>918</v>
      </c>
      <c r="S2088">
        <v>37</v>
      </c>
      <c r="T2088" s="29" t="str">
        <f t="shared" si="90"/>
        <v>2021.082B.R.Tevens_new_families.zip</v>
      </c>
      <c r="U2088" s="29" t="str">
        <f>HYPERLINK("https://ictv.global/taxonomy/taxondetails?taxnode_id=202307045","ictv.global=202307045")</f>
        <v>ictv.global=202307045</v>
      </c>
    </row>
    <row r="2089" spans="1:21">
      <c r="A2089">
        <v>2088</v>
      </c>
      <c r="B2089" s="30" t="s">
        <v>1587</v>
      </c>
      <c r="D2089" s="30" t="s">
        <v>1588</v>
      </c>
      <c r="F2089" s="30" t="s">
        <v>1591</v>
      </c>
      <c r="H2089" s="30" t="s">
        <v>1592</v>
      </c>
      <c r="L2089" s="30" t="s">
        <v>5765</v>
      </c>
      <c r="M2089" s="30" t="s">
        <v>351</v>
      </c>
      <c r="N2089" s="30" t="s">
        <v>1336</v>
      </c>
      <c r="P2089" s="30" t="s">
        <v>5815</v>
      </c>
      <c r="Q2089" t="s">
        <v>619</v>
      </c>
      <c r="R2089" t="s">
        <v>917</v>
      </c>
      <c r="S2089">
        <v>37</v>
      </c>
      <c r="T2089" s="29" t="str">
        <f t="shared" si="90"/>
        <v>2021.082B.R.Tevens_new_families.zip</v>
      </c>
      <c r="U2089" s="29" t="str">
        <f>HYPERLINK("https://ictv.global/taxonomy/taxondetails?taxnode_id=202313706","ictv.global=202313706")</f>
        <v>ictv.global=202313706</v>
      </c>
    </row>
    <row r="2090" spans="1:21">
      <c r="A2090">
        <v>2089</v>
      </c>
      <c r="B2090" s="30" t="s">
        <v>1587</v>
      </c>
      <c r="D2090" s="30" t="s">
        <v>1588</v>
      </c>
      <c r="F2090" s="30" t="s">
        <v>1591</v>
      </c>
      <c r="H2090" s="30" t="s">
        <v>1592</v>
      </c>
      <c r="L2090" s="30" t="s">
        <v>5765</v>
      </c>
      <c r="M2090" s="30" t="s">
        <v>351</v>
      </c>
      <c r="N2090" s="30" t="s">
        <v>1336</v>
      </c>
      <c r="P2090" s="30" t="s">
        <v>5816</v>
      </c>
      <c r="Q2090" t="s">
        <v>619</v>
      </c>
      <c r="R2090" t="s">
        <v>917</v>
      </c>
      <c r="S2090">
        <v>37</v>
      </c>
      <c r="T2090" s="29" t="str">
        <f t="shared" si="90"/>
        <v>2021.082B.R.Tevens_new_families.zip</v>
      </c>
      <c r="U2090" s="29" t="str">
        <f>HYPERLINK("https://ictv.global/taxonomy/taxondetails?taxnode_id=202313704","ictv.global=202313704")</f>
        <v>ictv.global=202313704</v>
      </c>
    </row>
    <row r="2091" spans="1:21">
      <c r="A2091">
        <v>2090</v>
      </c>
      <c r="B2091" s="30" t="s">
        <v>1587</v>
      </c>
      <c r="D2091" s="30" t="s">
        <v>1588</v>
      </c>
      <c r="F2091" s="30" t="s">
        <v>1591</v>
      </c>
      <c r="H2091" s="30" t="s">
        <v>1592</v>
      </c>
      <c r="L2091" s="30" t="s">
        <v>5765</v>
      </c>
      <c r="M2091" s="30" t="s">
        <v>351</v>
      </c>
      <c r="N2091" s="30" t="s">
        <v>1336</v>
      </c>
      <c r="P2091" s="30" t="s">
        <v>5817</v>
      </c>
      <c r="Q2091" t="s">
        <v>619</v>
      </c>
      <c r="R2091" t="s">
        <v>917</v>
      </c>
      <c r="S2091">
        <v>37</v>
      </c>
      <c r="T2091" s="29" t="str">
        <f t="shared" si="90"/>
        <v>2021.082B.R.Tevens_new_families.zip</v>
      </c>
      <c r="U2091" s="29" t="str">
        <f>HYPERLINK("https://ictv.global/taxonomy/taxondetails?taxnode_id=202313705","ictv.global=202313705")</f>
        <v>ictv.global=202313705</v>
      </c>
    </row>
    <row r="2092" spans="1:21">
      <c r="A2092">
        <v>2091</v>
      </c>
      <c r="B2092" s="30" t="s">
        <v>1587</v>
      </c>
      <c r="D2092" s="30" t="s">
        <v>1588</v>
      </c>
      <c r="F2092" s="30" t="s">
        <v>1591</v>
      </c>
      <c r="H2092" s="30" t="s">
        <v>1592</v>
      </c>
      <c r="L2092" s="30" t="s">
        <v>5765</v>
      </c>
      <c r="M2092" s="30" t="s">
        <v>351</v>
      </c>
      <c r="N2092" s="30" t="s">
        <v>1336</v>
      </c>
      <c r="P2092" s="30" t="s">
        <v>5818</v>
      </c>
      <c r="Q2092" t="s">
        <v>619</v>
      </c>
      <c r="R2092" t="s">
        <v>918</v>
      </c>
      <c r="S2092">
        <v>37</v>
      </c>
      <c r="T2092" s="29" t="str">
        <f t="shared" si="90"/>
        <v>2021.082B.R.Tevens_new_families.zip</v>
      </c>
      <c r="U2092" s="29" t="str">
        <f>HYPERLINK("https://ictv.global/taxonomy/taxondetails?taxnode_id=202300306","ictv.global=202300306")</f>
        <v>ictv.global=202300306</v>
      </c>
    </row>
    <row r="2093" spans="1:21">
      <c r="A2093">
        <v>2092</v>
      </c>
      <c r="B2093" s="30" t="s">
        <v>1587</v>
      </c>
      <c r="D2093" s="30" t="s">
        <v>1588</v>
      </c>
      <c r="F2093" s="30" t="s">
        <v>1591</v>
      </c>
      <c r="H2093" s="30" t="s">
        <v>1592</v>
      </c>
      <c r="L2093" s="30" t="s">
        <v>5765</v>
      </c>
      <c r="M2093" s="30" t="s">
        <v>351</v>
      </c>
      <c r="N2093" s="30" t="s">
        <v>1336</v>
      </c>
      <c r="P2093" s="30" t="s">
        <v>5819</v>
      </c>
      <c r="Q2093" t="s">
        <v>619</v>
      </c>
      <c r="R2093" t="s">
        <v>918</v>
      </c>
      <c r="S2093">
        <v>37</v>
      </c>
      <c r="T2093" s="29" t="str">
        <f t="shared" si="90"/>
        <v>2021.082B.R.Tevens_new_families.zip</v>
      </c>
      <c r="U2093" s="29" t="str">
        <f>HYPERLINK("https://ictv.global/taxonomy/taxondetails?taxnode_id=202300307","ictv.global=202300307")</f>
        <v>ictv.global=202300307</v>
      </c>
    </row>
    <row r="2094" spans="1:21">
      <c r="A2094">
        <v>2093</v>
      </c>
      <c r="B2094" s="30" t="s">
        <v>1587</v>
      </c>
      <c r="D2094" s="30" t="s">
        <v>1588</v>
      </c>
      <c r="F2094" s="30" t="s">
        <v>1591</v>
      </c>
      <c r="H2094" s="30" t="s">
        <v>1592</v>
      </c>
      <c r="L2094" s="30" t="s">
        <v>5765</v>
      </c>
      <c r="M2094" s="30" t="s">
        <v>351</v>
      </c>
      <c r="N2094" s="30" t="s">
        <v>1336</v>
      </c>
      <c r="P2094" s="30" t="s">
        <v>5820</v>
      </c>
      <c r="Q2094" t="s">
        <v>619</v>
      </c>
      <c r="R2094" t="s">
        <v>918</v>
      </c>
      <c r="S2094">
        <v>37</v>
      </c>
      <c r="T2094" s="29" t="str">
        <f t="shared" si="90"/>
        <v>2021.082B.R.Tevens_new_families.zip</v>
      </c>
      <c r="U2094" s="29" t="str">
        <f>HYPERLINK("https://ictv.global/taxonomy/taxondetails?taxnode_id=202307042","ictv.global=202307042")</f>
        <v>ictv.global=202307042</v>
      </c>
    </row>
    <row r="2095" spans="1:21">
      <c r="A2095">
        <v>2094</v>
      </c>
      <c r="B2095" s="30" t="s">
        <v>1587</v>
      </c>
      <c r="D2095" s="30" t="s">
        <v>1588</v>
      </c>
      <c r="F2095" s="30" t="s">
        <v>1591</v>
      </c>
      <c r="H2095" s="30" t="s">
        <v>1592</v>
      </c>
      <c r="L2095" s="30" t="s">
        <v>5765</v>
      </c>
      <c r="M2095" s="30" t="s">
        <v>351</v>
      </c>
      <c r="N2095" s="30" t="s">
        <v>1336</v>
      </c>
      <c r="P2095" s="30" t="s">
        <v>5821</v>
      </c>
      <c r="Q2095" t="s">
        <v>619</v>
      </c>
      <c r="R2095" t="s">
        <v>917</v>
      </c>
      <c r="S2095">
        <v>37</v>
      </c>
      <c r="T2095" s="29" t="str">
        <f t="shared" si="90"/>
        <v>2021.082B.R.Tevens_new_families.zip</v>
      </c>
      <c r="U2095" s="29" t="str">
        <f>HYPERLINK("https://ictv.global/taxonomy/taxondetails?taxnode_id=202313708","ictv.global=202313708")</f>
        <v>ictv.global=202313708</v>
      </c>
    </row>
    <row r="2096" spans="1:21">
      <c r="A2096">
        <v>2095</v>
      </c>
      <c r="B2096" s="30" t="s">
        <v>1587</v>
      </c>
      <c r="D2096" s="30" t="s">
        <v>1588</v>
      </c>
      <c r="F2096" s="30" t="s">
        <v>1591</v>
      </c>
      <c r="H2096" s="30" t="s">
        <v>1592</v>
      </c>
      <c r="L2096" s="30" t="s">
        <v>5765</v>
      </c>
      <c r="M2096" s="30" t="s">
        <v>351</v>
      </c>
      <c r="N2096" s="30" t="s">
        <v>1336</v>
      </c>
      <c r="P2096" s="30" t="s">
        <v>5822</v>
      </c>
      <c r="Q2096" t="s">
        <v>619</v>
      </c>
      <c r="R2096" t="s">
        <v>918</v>
      </c>
      <c r="S2096">
        <v>37</v>
      </c>
      <c r="T2096" s="29" t="str">
        <f t="shared" si="90"/>
        <v>2021.082B.R.Tevens_new_families.zip</v>
      </c>
      <c r="U2096" s="29" t="str">
        <f>HYPERLINK("https://ictv.global/taxonomy/taxondetails?taxnode_id=202307040","ictv.global=202307040")</f>
        <v>ictv.global=202307040</v>
      </c>
    </row>
    <row r="2097" spans="1:21">
      <c r="A2097">
        <v>2096</v>
      </c>
      <c r="B2097" s="30" t="s">
        <v>1587</v>
      </c>
      <c r="D2097" s="30" t="s">
        <v>1588</v>
      </c>
      <c r="F2097" s="30" t="s">
        <v>1591</v>
      </c>
      <c r="H2097" s="30" t="s">
        <v>1592</v>
      </c>
      <c r="L2097" s="30" t="s">
        <v>5765</v>
      </c>
      <c r="M2097" s="30" t="s">
        <v>351</v>
      </c>
      <c r="N2097" s="30" t="s">
        <v>1336</v>
      </c>
      <c r="P2097" s="30" t="s">
        <v>5823</v>
      </c>
      <c r="Q2097" t="s">
        <v>619</v>
      </c>
      <c r="R2097" t="s">
        <v>918</v>
      </c>
      <c r="S2097">
        <v>37</v>
      </c>
      <c r="T2097" s="29" t="str">
        <f t="shared" si="90"/>
        <v>2021.082B.R.Tevens_new_families.zip</v>
      </c>
      <c r="U2097" s="29" t="str">
        <f>HYPERLINK("https://ictv.global/taxonomy/taxondetails?taxnode_id=202300308","ictv.global=202300308")</f>
        <v>ictv.global=202300308</v>
      </c>
    </row>
    <row r="2098" spans="1:21">
      <c r="A2098">
        <v>2097</v>
      </c>
      <c r="B2098" s="30" t="s">
        <v>1587</v>
      </c>
      <c r="D2098" s="30" t="s">
        <v>1588</v>
      </c>
      <c r="F2098" s="30" t="s">
        <v>1591</v>
      </c>
      <c r="H2098" s="30" t="s">
        <v>1592</v>
      </c>
      <c r="L2098" s="30" t="s">
        <v>5765</v>
      </c>
      <c r="M2098" s="30" t="s">
        <v>351</v>
      </c>
      <c r="N2098" s="30" t="s">
        <v>1336</v>
      </c>
      <c r="P2098" s="30" t="s">
        <v>5824</v>
      </c>
      <c r="Q2098" t="s">
        <v>619</v>
      </c>
      <c r="R2098" t="s">
        <v>917</v>
      </c>
      <c r="S2098">
        <v>37</v>
      </c>
      <c r="T2098" s="29" t="str">
        <f t="shared" si="90"/>
        <v>2021.082B.R.Tevens_new_families.zip</v>
      </c>
      <c r="U2098" s="29" t="str">
        <f>HYPERLINK("https://ictv.global/taxonomy/taxondetails?taxnode_id=202313707","ictv.global=202313707")</f>
        <v>ictv.global=202313707</v>
      </c>
    </row>
    <row r="2099" spans="1:21">
      <c r="A2099">
        <v>2098</v>
      </c>
      <c r="B2099" s="30" t="s">
        <v>1587</v>
      </c>
      <c r="D2099" s="30" t="s">
        <v>1588</v>
      </c>
      <c r="F2099" s="30" t="s">
        <v>1591</v>
      </c>
      <c r="H2099" s="30" t="s">
        <v>1592</v>
      </c>
      <c r="L2099" s="30" t="s">
        <v>5765</v>
      </c>
      <c r="M2099" s="30" t="s">
        <v>351</v>
      </c>
      <c r="N2099" s="30" t="s">
        <v>1336</v>
      </c>
      <c r="P2099" s="30" t="s">
        <v>5825</v>
      </c>
      <c r="Q2099" t="s">
        <v>619</v>
      </c>
      <c r="R2099" t="s">
        <v>918</v>
      </c>
      <c r="S2099">
        <v>37</v>
      </c>
      <c r="T2099" s="29" t="str">
        <f t="shared" si="90"/>
        <v>2021.082B.R.Tevens_new_families.zip</v>
      </c>
      <c r="U2099" s="29" t="str">
        <f>HYPERLINK("https://ictv.global/taxonomy/taxondetails?taxnode_id=202307044","ictv.global=202307044")</f>
        <v>ictv.global=202307044</v>
      </c>
    </row>
    <row r="2100" spans="1:21">
      <c r="A2100">
        <v>2099</v>
      </c>
      <c r="B2100" s="30" t="s">
        <v>1587</v>
      </c>
      <c r="D2100" s="30" t="s">
        <v>1588</v>
      </c>
      <c r="F2100" s="30" t="s">
        <v>1591</v>
      </c>
      <c r="H2100" s="30" t="s">
        <v>1592</v>
      </c>
      <c r="L2100" s="30" t="s">
        <v>5765</v>
      </c>
      <c r="M2100" s="30" t="s">
        <v>351</v>
      </c>
      <c r="N2100" s="30" t="s">
        <v>1336</v>
      </c>
      <c r="P2100" s="30" t="s">
        <v>5826</v>
      </c>
      <c r="Q2100" t="s">
        <v>619</v>
      </c>
      <c r="R2100" t="s">
        <v>918</v>
      </c>
      <c r="S2100">
        <v>37</v>
      </c>
      <c r="T2100" s="29" t="str">
        <f t="shared" si="90"/>
        <v>2021.082B.R.Tevens_new_families.zip</v>
      </c>
      <c r="U2100" s="29" t="str">
        <f>HYPERLINK("https://ictv.global/taxonomy/taxondetails?taxnode_id=202300309","ictv.global=202300309")</f>
        <v>ictv.global=202300309</v>
      </c>
    </row>
    <row r="2101" spans="1:21">
      <c r="A2101">
        <v>2100</v>
      </c>
      <c r="B2101" s="30" t="s">
        <v>1587</v>
      </c>
      <c r="D2101" s="30" t="s">
        <v>1588</v>
      </c>
      <c r="F2101" s="30" t="s">
        <v>1591</v>
      </c>
      <c r="H2101" s="30" t="s">
        <v>1592</v>
      </c>
      <c r="L2101" s="30" t="s">
        <v>5765</v>
      </c>
      <c r="M2101" s="30" t="s">
        <v>351</v>
      </c>
      <c r="N2101" s="30" t="s">
        <v>5827</v>
      </c>
      <c r="P2101" s="30" t="s">
        <v>5828</v>
      </c>
      <c r="Q2101" t="s">
        <v>619</v>
      </c>
      <c r="R2101" t="s">
        <v>917</v>
      </c>
      <c r="S2101">
        <v>37</v>
      </c>
      <c r="T2101" s="29" t="str">
        <f t="shared" si="90"/>
        <v>2021.082B.R.Tevens_new_families.zip</v>
      </c>
      <c r="U2101" s="29" t="str">
        <f>HYPERLINK("https://ictv.global/taxonomy/taxondetails?taxnode_id=202313690","ictv.global=202313690")</f>
        <v>ictv.global=202313690</v>
      </c>
    </row>
    <row r="2102" spans="1:21">
      <c r="A2102">
        <v>2101</v>
      </c>
      <c r="B2102" s="30" t="s">
        <v>1587</v>
      </c>
      <c r="D2102" s="30" t="s">
        <v>1588</v>
      </c>
      <c r="F2102" s="30" t="s">
        <v>1591</v>
      </c>
      <c r="H2102" s="30" t="s">
        <v>1592</v>
      </c>
      <c r="L2102" s="30" t="s">
        <v>5765</v>
      </c>
      <c r="M2102" s="30" t="s">
        <v>351</v>
      </c>
      <c r="N2102" s="30" t="s">
        <v>5829</v>
      </c>
      <c r="P2102" s="30" t="s">
        <v>5830</v>
      </c>
      <c r="Q2102" t="s">
        <v>619</v>
      </c>
      <c r="R2102" t="s">
        <v>917</v>
      </c>
      <c r="S2102">
        <v>37</v>
      </c>
      <c r="T2102" s="29" t="str">
        <f t="shared" si="90"/>
        <v>2021.082B.R.Tevens_new_families.zip</v>
      </c>
      <c r="U2102" s="29" t="str">
        <f>HYPERLINK("https://ictv.global/taxonomy/taxondetails?taxnode_id=202313696","ictv.global=202313696")</f>
        <v>ictv.global=202313696</v>
      </c>
    </row>
    <row r="2103" spans="1:21">
      <c r="A2103">
        <v>2102</v>
      </c>
      <c r="B2103" s="30" t="s">
        <v>1587</v>
      </c>
      <c r="D2103" s="30" t="s">
        <v>1588</v>
      </c>
      <c r="F2103" s="30" t="s">
        <v>1591</v>
      </c>
      <c r="H2103" s="30" t="s">
        <v>1592</v>
      </c>
      <c r="L2103" s="30" t="s">
        <v>5765</v>
      </c>
      <c r="M2103" s="30" t="s">
        <v>351</v>
      </c>
      <c r="N2103" s="30" t="s">
        <v>1390</v>
      </c>
      <c r="P2103" s="30" t="s">
        <v>5831</v>
      </c>
      <c r="Q2103" t="s">
        <v>619</v>
      </c>
      <c r="R2103" t="s">
        <v>917</v>
      </c>
      <c r="S2103">
        <v>37</v>
      </c>
      <c r="T2103" s="29" t="str">
        <f t="shared" si="90"/>
        <v>2021.082B.R.Tevens_new_families.zip</v>
      </c>
      <c r="U2103" s="29" t="str">
        <f>HYPERLINK("https://ictv.global/taxonomy/taxondetails?taxnode_id=202313685","ictv.global=202313685")</f>
        <v>ictv.global=202313685</v>
      </c>
    </row>
    <row r="2104" spans="1:21">
      <c r="A2104">
        <v>2103</v>
      </c>
      <c r="B2104" s="30" t="s">
        <v>1587</v>
      </c>
      <c r="D2104" s="30" t="s">
        <v>1588</v>
      </c>
      <c r="F2104" s="30" t="s">
        <v>1591</v>
      </c>
      <c r="H2104" s="30" t="s">
        <v>1592</v>
      </c>
      <c r="L2104" s="30" t="s">
        <v>5765</v>
      </c>
      <c r="M2104" s="30" t="s">
        <v>351</v>
      </c>
      <c r="N2104" s="30" t="s">
        <v>1390</v>
      </c>
      <c r="P2104" s="30" t="s">
        <v>5832</v>
      </c>
      <c r="Q2104" t="s">
        <v>619</v>
      </c>
      <c r="R2104" t="s">
        <v>918</v>
      </c>
      <c r="S2104">
        <v>37</v>
      </c>
      <c r="T2104" s="29" t="str">
        <f t="shared" si="90"/>
        <v>2021.082B.R.Tevens_new_families.zip</v>
      </c>
      <c r="U2104" s="29" t="str">
        <f>HYPERLINK("https://ictv.global/taxonomy/taxondetails?taxnode_id=202300510","ictv.global=202300510")</f>
        <v>ictv.global=202300510</v>
      </c>
    </row>
    <row r="2105" spans="1:21">
      <c r="A2105">
        <v>2104</v>
      </c>
      <c r="B2105" s="30" t="s">
        <v>1587</v>
      </c>
      <c r="D2105" s="30" t="s">
        <v>1588</v>
      </c>
      <c r="F2105" s="30" t="s">
        <v>1591</v>
      </c>
      <c r="H2105" s="30" t="s">
        <v>1592</v>
      </c>
      <c r="L2105" s="30" t="s">
        <v>5765</v>
      </c>
      <c r="M2105" s="30" t="s">
        <v>351</v>
      </c>
      <c r="N2105" s="30" t="s">
        <v>1390</v>
      </c>
      <c r="P2105" s="30" t="s">
        <v>5833</v>
      </c>
      <c r="Q2105" t="s">
        <v>619</v>
      </c>
      <c r="R2105" t="s">
        <v>918</v>
      </c>
      <c r="S2105">
        <v>37</v>
      </c>
      <c r="T2105" s="29" t="str">
        <f t="shared" si="90"/>
        <v>2021.082B.R.Tevens_new_families.zip</v>
      </c>
      <c r="U2105" s="29" t="str">
        <f>HYPERLINK("https://ictv.global/taxonomy/taxondetails?taxnode_id=202300511","ictv.global=202300511")</f>
        <v>ictv.global=202300511</v>
      </c>
    </row>
    <row r="2106" spans="1:21">
      <c r="A2106">
        <v>2105</v>
      </c>
      <c r="B2106" s="30" t="s">
        <v>1587</v>
      </c>
      <c r="D2106" s="30" t="s">
        <v>1588</v>
      </c>
      <c r="F2106" s="30" t="s">
        <v>1591</v>
      </c>
      <c r="H2106" s="30" t="s">
        <v>1592</v>
      </c>
      <c r="L2106" s="30" t="s">
        <v>5765</v>
      </c>
      <c r="M2106" s="30" t="s">
        <v>351</v>
      </c>
      <c r="N2106" s="30" t="s">
        <v>1339</v>
      </c>
      <c r="P2106" s="30" t="s">
        <v>1340</v>
      </c>
      <c r="Q2106" t="s">
        <v>619</v>
      </c>
      <c r="R2106" t="s">
        <v>919</v>
      </c>
      <c r="S2106">
        <v>37</v>
      </c>
      <c r="T2106" s="29" t="str">
        <f>HYPERLINK("https://ictv.global/ictv/proposals/2021.001B.R.abolish_Caudovirales.zip","2021.001B.R.abolish_Caudovirales.zip;2021.082B.A.v1.Tevens_new_families.zip")</f>
        <v>2021.001B.R.abolish_Caudovirales.zip;2021.082B.A.v1.Tevens_new_families.zip</v>
      </c>
      <c r="U2106" s="29" t="str">
        <f>HYPERLINK("https://ictv.global/taxonomy/taxondetails?taxnode_id=202307051","ictv.global=202307051")</f>
        <v>ictv.global=202307051</v>
      </c>
    </row>
    <row r="2107" spans="1:21">
      <c r="A2107">
        <v>2106</v>
      </c>
      <c r="B2107" s="30" t="s">
        <v>1587</v>
      </c>
      <c r="D2107" s="30" t="s">
        <v>1588</v>
      </c>
      <c r="F2107" s="30" t="s">
        <v>1591</v>
      </c>
      <c r="H2107" s="30" t="s">
        <v>1592</v>
      </c>
      <c r="L2107" s="30" t="s">
        <v>5765</v>
      </c>
      <c r="M2107" s="30" t="s">
        <v>351</v>
      </c>
      <c r="N2107" s="30" t="s">
        <v>1339</v>
      </c>
      <c r="P2107" s="30" t="s">
        <v>5834</v>
      </c>
      <c r="Q2107" t="s">
        <v>619</v>
      </c>
      <c r="R2107" t="s">
        <v>918</v>
      </c>
      <c r="S2107">
        <v>37</v>
      </c>
      <c r="T2107" s="29" t="str">
        <f t="shared" ref="T2107:T2138" si="91">HYPERLINK("https://ictv.global/ictv/proposals/2021.082B.R.Tevens_new_families.zip","2021.082B.R.Tevens_new_families.zip")</f>
        <v>2021.082B.R.Tevens_new_families.zip</v>
      </c>
      <c r="U2107" s="29" t="str">
        <f>HYPERLINK("https://ictv.global/taxonomy/taxondetails?taxnode_id=202311969","ictv.global=202311969")</f>
        <v>ictv.global=202311969</v>
      </c>
    </row>
    <row r="2108" spans="1:21">
      <c r="A2108">
        <v>2107</v>
      </c>
      <c r="B2108" s="30" t="s">
        <v>1587</v>
      </c>
      <c r="D2108" s="30" t="s">
        <v>1588</v>
      </c>
      <c r="F2108" s="30" t="s">
        <v>1591</v>
      </c>
      <c r="H2108" s="30" t="s">
        <v>1592</v>
      </c>
      <c r="L2108" s="30" t="s">
        <v>5765</v>
      </c>
      <c r="M2108" s="30" t="s">
        <v>351</v>
      </c>
      <c r="N2108" s="30" t="s">
        <v>1339</v>
      </c>
      <c r="P2108" s="30" t="s">
        <v>5835</v>
      </c>
      <c r="Q2108" t="s">
        <v>619</v>
      </c>
      <c r="R2108" t="s">
        <v>918</v>
      </c>
      <c r="S2108">
        <v>37</v>
      </c>
      <c r="T2108" s="29" t="str">
        <f t="shared" si="91"/>
        <v>2021.082B.R.Tevens_new_families.zip</v>
      </c>
      <c r="U2108" s="29" t="str">
        <f>HYPERLINK("https://ictv.global/taxonomy/taxondetails?taxnode_id=202300324","ictv.global=202300324")</f>
        <v>ictv.global=202300324</v>
      </c>
    </row>
    <row r="2109" spans="1:21">
      <c r="A2109">
        <v>2108</v>
      </c>
      <c r="B2109" s="30" t="s">
        <v>1587</v>
      </c>
      <c r="D2109" s="30" t="s">
        <v>1588</v>
      </c>
      <c r="F2109" s="30" t="s">
        <v>1591</v>
      </c>
      <c r="H2109" s="30" t="s">
        <v>1592</v>
      </c>
      <c r="L2109" s="30" t="s">
        <v>5765</v>
      </c>
      <c r="M2109" s="30" t="s">
        <v>351</v>
      </c>
      <c r="N2109" s="30" t="s">
        <v>1339</v>
      </c>
      <c r="P2109" s="30" t="s">
        <v>5836</v>
      </c>
      <c r="Q2109" t="s">
        <v>619</v>
      </c>
      <c r="R2109" t="s">
        <v>918</v>
      </c>
      <c r="S2109">
        <v>37</v>
      </c>
      <c r="T2109" s="29" t="str">
        <f t="shared" si="91"/>
        <v>2021.082B.R.Tevens_new_families.zip</v>
      </c>
      <c r="U2109" s="29" t="str">
        <f>HYPERLINK("https://ictv.global/taxonomy/taxondetails?taxnode_id=202300325","ictv.global=202300325")</f>
        <v>ictv.global=202300325</v>
      </c>
    </row>
    <row r="2110" spans="1:21">
      <c r="A2110">
        <v>2109</v>
      </c>
      <c r="B2110" s="30" t="s">
        <v>1587</v>
      </c>
      <c r="D2110" s="30" t="s">
        <v>1588</v>
      </c>
      <c r="F2110" s="30" t="s">
        <v>1591</v>
      </c>
      <c r="H2110" s="30" t="s">
        <v>1592</v>
      </c>
      <c r="L2110" s="30" t="s">
        <v>5765</v>
      </c>
      <c r="M2110" s="30" t="s">
        <v>351</v>
      </c>
      <c r="N2110" s="30" t="s">
        <v>1339</v>
      </c>
      <c r="P2110" s="30" t="s">
        <v>5837</v>
      </c>
      <c r="Q2110" t="s">
        <v>619</v>
      </c>
      <c r="R2110" t="s">
        <v>918</v>
      </c>
      <c r="S2110">
        <v>37</v>
      </c>
      <c r="T2110" s="29" t="str">
        <f t="shared" si="91"/>
        <v>2021.082B.R.Tevens_new_families.zip</v>
      </c>
      <c r="U2110" s="29" t="str">
        <f>HYPERLINK("https://ictv.global/taxonomy/taxondetails?taxnode_id=202312009","ictv.global=202312009")</f>
        <v>ictv.global=202312009</v>
      </c>
    </row>
    <row r="2111" spans="1:21">
      <c r="A2111">
        <v>2110</v>
      </c>
      <c r="B2111" s="30" t="s">
        <v>1587</v>
      </c>
      <c r="D2111" s="30" t="s">
        <v>1588</v>
      </c>
      <c r="F2111" s="30" t="s">
        <v>1591</v>
      </c>
      <c r="H2111" s="30" t="s">
        <v>1592</v>
      </c>
      <c r="L2111" s="30" t="s">
        <v>5765</v>
      </c>
      <c r="M2111" s="30" t="s">
        <v>351</v>
      </c>
      <c r="N2111" s="30" t="s">
        <v>1339</v>
      </c>
      <c r="P2111" s="30" t="s">
        <v>5838</v>
      </c>
      <c r="Q2111" t="s">
        <v>619</v>
      </c>
      <c r="R2111" t="s">
        <v>918</v>
      </c>
      <c r="S2111">
        <v>37</v>
      </c>
      <c r="T2111" s="29" t="str">
        <f t="shared" si="91"/>
        <v>2021.082B.R.Tevens_new_families.zip</v>
      </c>
      <c r="U2111" s="29" t="str">
        <f>HYPERLINK("https://ictv.global/taxonomy/taxondetails?taxnode_id=202311968","ictv.global=202311968")</f>
        <v>ictv.global=202311968</v>
      </c>
    </row>
    <row r="2112" spans="1:21">
      <c r="A2112">
        <v>2111</v>
      </c>
      <c r="B2112" s="30" t="s">
        <v>1587</v>
      </c>
      <c r="D2112" s="30" t="s">
        <v>1588</v>
      </c>
      <c r="F2112" s="30" t="s">
        <v>1591</v>
      </c>
      <c r="H2112" s="30" t="s">
        <v>1592</v>
      </c>
      <c r="L2112" s="30" t="s">
        <v>5765</v>
      </c>
      <c r="M2112" s="30" t="s">
        <v>351</v>
      </c>
      <c r="N2112" s="30" t="s">
        <v>1339</v>
      </c>
      <c r="P2112" s="30" t="s">
        <v>5839</v>
      </c>
      <c r="Q2112" t="s">
        <v>619</v>
      </c>
      <c r="R2112" t="s">
        <v>918</v>
      </c>
      <c r="S2112">
        <v>37</v>
      </c>
      <c r="T2112" s="29" t="str">
        <f t="shared" si="91"/>
        <v>2021.082B.R.Tevens_new_families.zip</v>
      </c>
      <c r="U2112" s="29" t="str">
        <f>HYPERLINK("https://ictv.global/taxonomy/taxondetails?taxnode_id=202300335","ictv.global=202300335")</f>
        <v>ictv.global=202300335</v>
      </c>
    </row>
    <row r="2113" spans="1:21">
      <c r="A2113">
        <v>2112</v>
      </c>
      <c r="B2113" s="30" t="s">
        <v>1587</v>
      </c>
      <c r="D2113" s="30" t="s">
        <v>1588</v>
      </c>
      <c r="F2113" s="30" t="s">
        <v>1591</v>
      </c>
      <c r="H2113" s="30" t="s">
        <v>1592</v>
      </c>
      <c r="L2113" s="30" t="s">
        <v>5765</v>
      </c>
      <c r="M2113" s="30" t="s">
        <v>351</v>
      </c>
      <c r="N2113" s="30" t="s">
        <v>1339</v>
      </c>
      <c r="P2113" s="30" t="s">
        <v>5840</v>
      </c>
      <c r="Q2113" t="s">
        <v>619</v>
      </c>
      <c r="R2113" t="s">
        <v>918</v>
      </c>
      <c r="S2113">
        <v>37</v>
      </c>
      <c r="T2113" s="29" t="str">
        <f t="shared" si="91"/>
        <v>2021.082B.R.Tevens_new_families.zip</v>
      </c>
      <c r="U2113" s="29" t="str">
        <f>HYPERLINK("https://ictv.global/taxonomy/taxondetails?taxnode_id=202300326","ictv.global=202300326")</f>
        <v>ictv.global=202300326</v>
      </c>
    </row>
    <row r="2114" spans="1:21">
      <c r="A2114">
        <v>2113</v>
      </c>
      <c r="B2114" s="30" t="s">
        <v>1587</v>
      </c>
      <c r="D2114" s="30" t="s">
        <v>1588</v>
      </c>
      <c r="F2114" s="30" t="s">
        <v>1591</v>
      </c>
      <c r="H2114" s="30" t="s">
        <v>1592</v>
      </c>
      <c r="L2114" s="30" t="s">
        <v>5765</v>
      </c>
      <c r="M2114" s="30" t="s">
        <v>351</v>
      </c>
      <c r="N2114" s="30" t="s">
        <v>1339</v>
      </c>
      <c r="P2114" s="30" t="s">
        <v>5841</v>
      </c>
      <c r="Q2114" t="s">
        <v>619</v>
      </c>
      <c r="R2114" t="s">
        <v>918</v>
      </c>
      <c r="S2114">
        <v>37</v>
      </c>
      <c r="T2114" s="29" t="str">
        <f t="shared" si="91"/>
        <v>2021.082B.R.Tevens_new_families.zip</v>
      </c>
      <c r="U2114" s="29" t="str">
        <f>HYPERLINK("https://ictv.global/taxonomy/taxondetails?taxnode_id=202311978","ictv.global=202311978")</f>
        <v>ictv.global=202311978</v>
      </c>
    </row>
    <row r="2115" spans="1:21">
      <c r="A2115">
        <v>2114</v>
      </c>
      <c r="B2115" s="30" t="s">
        <v>1587</v>
      </c>
      <c r="D2115" s="30" t="s">
        <v>1588</v>
      </c>
      <c r="F2115" s="30" t="s">
        <v>1591</v>
      </c>
      <c r="H2115" s="30" t="s">
        <v>1592</v>
      </c>
      <c r="L2115" s="30" t="s">
        <v>5765</v>
      </c>
      <c r="M2115" s="30" t="s">
        <v>351</v>
      </c>
      <c r="N2115" s="30" t="s">
        <v>1339</v>
      </c>
      <c r="P2115" s="30" t="s">
        <v>5842</v>
      </c>
      <c r="Q2115" t="s">
        <v>619</v>
      </c>
      <c r="R2115" t="s">
        <v>918</v>
      </c>
      <c r="S2115">
        <v>37</v>
      </c>
      <c r="T2115" s="29" t="str">
        <f t="shared" si="91"/>
        <v>2021.082B.R.Tevens_new_families.zip</v>
      </c>
      <c r="U2115" s="29" t="str">
        <f>HYPERLINK("https://ictv.global/taxonomy/taxondetails?taxnode_id=202311976","ictv.global=202311976")</f>
        <v>ictv.global=202311976</v>
      </c>
    </row>
    <row r="2116" spans="1:21">
      <c r="A2116">
        <v>2115</v>
      </c>
      <c r="B2116" s="30" t="s">
        <v>1587</v>
      </c>
      <c r="D2116" s="30" t="s">
        <v>1588</v>
      </c>
      <c r="F2116" s="30" t="s">
        <v>1591</v>
      </c>
      <c r="H2116" s="30" t="s">
        <v>1592</v>
      </c>
      <c r="L2116" s="30" t="s">
        <v>5765</v>
      </c>
      <c r="M2116" s="30" t="s">
        <v>351</v>
      </c>
      <c r="N2116" s="30" t="s">
        <v>1339</v>
      </c>
      <c r="P2116" s="30" t="s">
        <v>5843</v>
      </c>
      <c r="Q2116" t="s">
        <v>619</v>
      </c>
      <c r="R2116" t="s">
        <v>918</v>
      </c>
      <c r="S2116">
        <v>37</v>
      </c>
      <c r="T2116" s="29" t="str">
        <f t="shared" si="91"/>
        <v>2021.082B.R.Tevens_new_families.zip</v>
      </c>
      <c r="U2116" s="29" t="str">
        <f>HYPERLINK("https://ictv.global/taxonomy/taxondetails?taxnode_id=202300327","ictv.global=202300327")</f>
        <v>ictv.global=202300327</v>
      </c>
    </row>
    <row r="2117" spans="1:21">
      <c r="A2117">
        <v>2116</v>
      </c>
      <c r="B2117" s="30" t="s">
        <v>1587</v>
      </c>
      <c r="D2117" s="30" t="s">
        <v>1588</v>
      </c>
      <c r="F2117" s="30" t="s">
        <v>1591</v>
      </c>
      <c r="H2117" s="30" t="s">
        <v>1592</v>
      </c>
      <c r="L2117" s="30" t="s">
        <v>5765</v>
      </c>
      <c r="M2117" s="30" t="s">
        <v>351</v>
      </c>
      <c r="N2117" s="30" t="s">
        <v>1339</v>
      </c>
      <c r="P2117" s="30" t="s">
        <v>5844</v>
      </c>
      <c r="Q2117" t="s">
        <v>619</v>
      </c>
      <c r="R2117" t="s">
        <v>918</v>
      </c>
      <c r="S2117">
        <v>37</v>
      </c>
      <c r="T2117" s="29" t="str">
        <f t="shared" si="91"/>
        <v>2021.082B.R.Tevens_new_families.zip</v>
      </c>
      <c r="U2117" s="29" t="str">
        <f>HYPERLINK("https://ictv.global/taxonomy/taxondetails?taxnode_id=202311977","ictv.global=202311977")</f>
        <v>ictv.global=202311977</v>
      </c>
    </row>
    <row r="2118" spans="1:21">
      <c r="A2118">
        <v>2117</v>
      </c>
      <c r="B2118" s="30" t="s">
        <v>1587</v>
      </c>
      <c r="D2118" s="30" t="s">
        <v>1588</v>
      </c>
      <c r="F2118" s="30" t="s">
        <v>1591</v>
      </c>
      <c r="H2118" s="30" t="s">
        <v>1592</v>
      </c>
      <c r="L2118" s="30" t="s">
        <v>5765</v>
      </c>
      <c r="M2118" s="30" t="s">
        <v>351</v>
      </c>
      <c r="N2118" s="30" t="s">
        <v>1339</v>
      </c>
      <c r="P2118" s="30" t="s">
        <v>5845</v>
      </c>
      <c r="Q2118" t="s">
        <v>619</v>
      </c>
      <c r="R2118" t="s">
        <v>918</v>
      </c>
      <c r="S2118">
        <v>37</v>
      </c>
      <c r="T2118" s="29" t="str">
        <f t="shared" si="91"/>
        <v>2021.082B.R.Tevens_new_families.zip</v>
      </c>
      <c r="U2118" s="29" t="str">
        <f>HYPERLINK("https://ictv.global/taxonomy/taxondetails?taxnode_id=202312001","ictv.global=202312001")</f>
        <v>ictv.global=202312001</v>
      </c>
    </row>
    <row r="2119" spans="1:21">
      <c r="A2119">
        <v>2118</v>
      </c>
      <c r="B2119" s="30" t="s">
        <v>1587</v>
      </c>
      <c r="D2119" s="30" t="s">
        <v>1588</v>
      </c>
      <c r="F2119" s="30" t="s">
        <v>1591</v>
      </c>
      <c r="H2119" s="30" t="s">
        <v>1592</v>
      </c>
      <c r="L2119" s="30" t="s">
        <v>5765</v>
      </c>
      <c r="M2119" s="30" t="s">
        <v>351</v>
      </c>
      <c r="N2119" s="30" t="s">
        <v>1339</v>
      </c>
      <c r="P2119" s="30" t="s">
        <v>5846</v>
      </c>
      <c r="Q2119" t="s">
        <v>619</v>
      </c>
      <c r="R2119" t="s">
        <v>918</v>
      </c>
      <c r="S2119">
        <v>37</v>
      </c>
      <c r="T2119" s="29" t="str">
        <f t="shared" si="91"/>
        <v>2021.082B.R.Tevens_new_families.zip</v>
      </c>
      <c r="U2119" s="29" t="str">
        <f>HYPERLINK("https://ictv.global/taxonomy/taxondetails?taxnode_id=202311988","ictv.global=202311988")</f>
        <v>ictv.global=202311988</v>
      </c>
    </row>
    <row r="2120" spans="1:21">
      <c r="A2120">
        <v>2119</v>
      </c>
      <c r="B2120" s="30" t="s">
        <v>1587</v>
      </c>
      <c r="D2120" s="30" t="s">
        <v>1588</v>
      </c>
      <c r="F2120" s="30" t="s">
        <v>1591</v>
      </c>
      <c r="H2120" s="30" t="s">
        <v>1592</v>
      </c>
      <c r="L2120" s="30" t="s">
        <v>5765</v>
      </c>
      <c r="M2120" s="30" t="s">
        <v>351</v>
      </c>
      <c r="N2120" s="30" t="s">
        <v>1339</v>
      </c>
      <c r="P2120" s="30" t="s">
        <v>5847</v>
      </c>
      <c r="Q2120" t="s">
        <v>619</v>
      </c>
      <c r="R2120" t="s">
        <v>918</v>
      </c>
      <c r="S2120">
        <v>37</v>
      </c>
      <c r="T2120" s="29" t="str">
        <f t="shared" si="91"/>
        <v>2021.082B.R.Tevens_new_families.zip</v>
      </c>
      <c r="U2120" s="29" t="str">
        <f>HYPERLINK("https://ictv.global/taxonomy/taxondetails?taxnode_id=202312002","ictv.global=202312002")</f>
        <v>ictv.global=202312002</v>
      </c>
    </row>
    <row r="2121" spans="1:21">
      <c r="A2121">
        <v>2120</v>
      </c>
      <c r="B2121" s="30" t="s">
        <v>1587</v>
      </c>
      <c r="D2121" s="30" t="s">
        <v>1588</v>
      </c>
      <c r="F2121" s="30" t="s">
        <v>1591</v>
      </c>
      <c r="H2121" s="30" t="s">
        <v>1592</v>
      </c>
      <c r="L2121" s="30" t="s">
        <v>5765</v>
      </c>
      <c r="M2121" s="30" t="s">
        <v>351</v>
      </c>
      <c r="N2121" s="30" t="s">
        <v>1339</v>
      </c>
      <c r="P2121" s="30" t="s">
        <v>5848</v>
      </c>
      <c r="Q2121" t="s">
        <v>619</v>
      </c>
      <c r="R2121" t="s">
        <v>917</v>
      </c>
      <c r="S2121">
        <v>37</v>
      </c>
      <c r="T2121" s="29" t="str">
        <f t="shared" si="91"/>
        <v>2021.082B.R.Tevens_new_families.zip</v>
      </c>
      <c r="U2121" s="29" t="str">
        <f>HYPERLINK("https://ictv.global/taxonomy/taxondetails?taxnode_id=202313952","ictv.global=202313952")</f>
        <v>ictv.global=202313952</v>
      </c>
    </row>
    <row r="2122" spans="1:21">
      <c r="A2122">
        <v>2121</v>
      </c>
      <c r="B2122" s="30" t="s">
        <v>1587</v>
      </c>
      <c r="D2122" s="30" t="s">
        <v>1588</v>
      </c>
      <c r="F2122" s="30" t="s">
        <v>1591</v>
      </c>
      <c r="H2122" s="30" t="s">
        <v>1592</v>
      </c>
      <c r="L2122" s="30" t="s">
        <v>5765</v>
      </c>
      <c r="M2122" s="30" t="s">
        <v>351</v>
      </c>
      <c r="N2122" s="30" t="s">
        <v>1339</v>
      </c>
      <c r="P2122" s="30" t="s">
        <v>5849</v>
      </c>
      <c r="Q2122" t="s">
        <v>619</v>
      </c>
      <c r="R2122" t="s">
        <v>918</v>
      </c>
      <c r="S2122">
        <v>37</v>
      </c>
      <c r="T2122" s="29" t="str">
        <f t="shared" si="91"/>
        <v>2021.082B.R.Tevens_new_families.zip</v>
      </c>
      <c r="U2122" s="29" t="str">
        <f>HYPERLINK("https://ictv.global/taxonomy/taxondetails?taxnode_id=202311975","ictv.global=202311975")</f>
        <v>ictv.global=202311975</v>
      </c>
    </row>
    <row r="2123" spans="1:21">
      <c r="A2123">
        <v>2122</v>
      </c>
      <c r="B2123" s="30" t="s">
        <v>1587</v>
      </c>
      <c r="D2123" s="30" t="s">
        <v>1588</v>
      </c>
      <c r="F2123" s="30" t="s">
        <v>1591</v>
      </c>
      <c r="H2123" s="30" t="s">
        <v>1592</v>
      </c>
      <c r="L2123" s="30" t="s">
        <v>5765</v>
      </c>
      <c r="M2123" s="30" t="s">
        <v>351</v>
      </c>
      <c r="N2123" s="30" t="s">
        <v>1339</v>
      </c>
      <c r="P2123" s="30" t="s">
        <v>5850</v>
      </c>
      <c r="Q2123" t="s">
        <v>619</v>
      </c>
      <c r="R2123" t="s">
        <v>918</v>
      </c>
      <c r="S2123">
        <v>37</v>
      </c>
      <c r="T2123" s="29" t="str">
        <f t="shared" si="91"/>
        <v>2021.082B.R.Tevens_new_families.zip</v>
      </c>
      <c r="U2123" s="29" t="str">
        <f>HYPERLINK("https://ictv.global/taxonomy/taxondetails?taxnode_id=202311998","ictv.global=202311998")</f>
        <v>ictv.global=202311998</v>
      </c>
    </row>
    <row r="2124" spans="1:21">
      <c r="A2124">
        <v>2123</v>
      </c>
      <c r="B2124" s="30" t="s">
        <v>1587</v>
      </c>
      <c r="D2124" s="30" t="s">
        <v>1588</v>
      </c>
      <c r="F2124" s="30" t="s">
        <v>1591</v>
      </c>
      <c r="H2124" s="30" t="s">
        <v>1592</v>
      </c>
      <c r="L2124" s="30" t="s">
        <v>5765</v>
      </c>
      <c r="M2124" s="30" t="s">
        <v>351</v>
      </c>
      <c r="N2124" s="30" t="s">
        <v>1339</v>
      </c>
      <c r="P2124" s="30" t="s">
        <v>5851</v>
      </c>
      <c r="Q2124" t="s">
        <v>619</v>
      </c>
      <c r="R2124" t="s">
        <v>917</v>
      </c>
      <c r="S2124">
        <v>37</v>
      </c>
      <c r="T2124" s="29" t="str">
        <f t="shared" si="91"/>
        <v>2021.082B.R.Tevens_new_families.zip</v>
      </c>
      <c r="U2124" s="29" t="str">
        <f>HYPERLINK("https://ictv.global/taxonomy/taxondetails?taxnode_id=202313947","ictv.global=202313947")</f>
        <v>ictv.global=202313947</v>
      </c>
    </row>
    <row r="2125" spans="1:21">
      <c r="A2125">
        <v>2124</v>
      </c>
      <c r="B2125" s="30" t="s">
        <v>1587</v>
      </c>
      <c r="D2125" s="30" t="s">
        <v>1588</v>
      </c>
      <c r="F2125" s="30" t="s">
        <v>1591</v>
      </c>
      <c r="H2125" s="30" t="s">
        <v>1592</v>
      </c>
      <c r="L2125" s="30" t="s">
        <v>5765</v>
      </c>
      <c r="M2125" s="30" t="s">
        <v>351</v>
      </c>
      <c r="N2125" s="30" t="s">
        <v>1339</v>
      </c>
      <c r="P2125" s="30" t="s">
        <v>5852</v>
      </c>
      <c r="Q2125" t="s">
        <v>619</v>
      </c>
      <c r="R2125" t="s">
        <v>918</v>
      </c>
      <c r="S2125">
        <v>37</v>
      </c>
      <c r="T2125" s="29" t="str">
        <f t="shared" si="91"/>
        <v>2021.082B.R.Tevens_new_families.zip</v>
      </c>
      <c r="U2125" s="29" t="str">
        <f>HYPERLINK("https://ictv.global/taxonomy/taxondetails?taxnode_id=202311989","ictv.global=202311989")</f>
        <v>ictv.global=202311989</v>
      </c>
    </row>
    <row r="2126" spans="1:21">
      <c r="A2126">
        <v>2125</v>
      </c>
      <c r="B2126" s="30" t="s">
        <v>1587</v>
      </c>
      <c r="D2126" s="30" t="s">
        <v>1588</v>
      </c>
      <c r="F2126" s="30" t="s">
        <v>1591</v>
      </c>
      <c r="H2126" s="30" t="s">
        <v>1592</v>
      </c>
      <c r="L2126" s="30" t="s">
        <v>5765</v>
      </c>
      <c r="M2126" s="30" t="s">
        <v>351</v>
      </c>
      <c r="N2126" s="30" t="s">
        <v>1339</v>
      </c>
      <c r="P2126" s="30" t="s">
        <v>5853</v>
      </c>
      <c r="Q2126" t="s">
        <v>619</v>
      </c>
      <c r="R2126" t="s">
        <v>918</v>
      </c>
      <c r="S2126">
        <v>37</v>
      </c>
      <c r="T2126" s="29" t="str">
        <f t="shared" si="91"/>
        <v>2021.082B.R.Tevens_new_families.zip</v>
      </c>
      <c r="U2126" s="29" t="str">
        <f>HYPERLINK("https://ictv.global/taxonomy/taxondetails?taxnode_id=202311979","ictv.global=202311979")</f>
        <v>ictv.global=202311979</v>
      </c>
    </row>
    <row r="2127" spans="1:21">
      <c r="A2127">
        <v>2126</v>
      </c>
      <c r="B2127" s="30" t="s">
        <v>1587</v>
      </c>
      <c r="D2127" s="30" t="s">
        <v>1588</v>
      </c>
      <c r="F2127" s="30" t="s">
        <v>1591</v>
      </c>
      <c r="H2127" s="30" t="s">
        <v>1592</v>
      </c>
      <c r="L2127" s="30" t="s">
        <v>5765</v>
      </c>
      <c r="M2127" s="30" t="s">
        <v>351</v>
      </c>
      <c r="N2127" s="30" t="s">
        <v>1339</v>
      </c>
      <c r="P2127" s="30" t="s">
        <v>5854</v>
      </c>
      <c r="Q2127" t="s">
        <v>619</v>
      </c>
      <c r="R2127" t="s">
        <v>918</v>
      </c>
      <c r="S2127">
        <v>37</v>
      </c>
      <c r="T2127" s="29" t="str">
        <f t="shared" si="91"/>
        <v>2021.082B.R.Tevens_new_families.zip</v>
      </c>
      <c r="U2127" s="29" t="str">
        <f>HYPERLINK("https://ictv.global/taxonomy/taxondetails?taxnode_id=202312016","ictv.global=202312016")</f>
        <v>ictv.global=202312016</v>
      </c>
    </row>
    <row r="2128" spans="1:21">
      <c r="A2128">
        <v>2127</v>
      </c>
      <c r="B2128" s="30" t="s">
        <v>1587</v>
      </c>
      <c r="D2128" s="30" t="s">
        <v>1588</v>
      </c>
      <c r="F2128" s="30" t="s">
        <v>1591</v>
      </c>
      <c r="H2128" s="30" t="s">
        <v>1592</v>
      </c>
      <c r="L2128" s="30" t="s">
        <v>5765</v>
      </c>
      <c r="M2128" s="30" t="s">
        <v>351</v>
      </c>
      <c r="N2128" s="30" t="s">
        <v>1339</v>
      </c>
      <c r="P2128" s="30" t="s">
        <v>5855</v>
      </c>
      <c r="Q2128" t="s">
        <v>619</v>
      </c>
      <c r="R2128" t="s">
        <v>917</v>
      </c>
      <c r="S2128">
        <v>37</v>
      </c>
      <c r="T2128" s="29" t="str">
        <f t="shared" si="91"/>
        <v>2021.082B.R.Tevens_new_families.zip</v>
      </c>
      <c r="U2128" s="29" t="str">
        <f>HYPERLINK("https://ictv.global/taxonomy/taxondetails?taxnode_id=202313954","ictv.global=202313954")</f>
        <v>ictv.global=202313954</v>
      </c>
    </row>
    <row r="2129" spans="1:21">
      <c r="A2129">
        <v>2128</v>
      </c>
      <c r="B2129" s="30" t="s">
        <v>1587</v>
      </c>
      <c r="D2129" s="30" t="s">
        <v>1588</v>
      </c>
      <c r="F2129" s="30" t="s">
        <v>1591</v>
      </c>
      <c r="H2129" s="30" t="s">
        <v>1592</v>
      </c>
      <c r="L2129" s="30" t="s">
        <v>5765</v>
      </c>
      <c r="M2129" s="30" t="s">
        <v>351</v>
      </c>
      <c r="N2129" s="30" t="s">
        <v>1339</v>
      </c>
      <c r="P2129" s="30" t="s">
        <v>5856</v>
      </c>
      <c r="Q2129" t="s">
        <v>619</v>
      </c>
      <c r="R2129" t="s">
        <v>917</v>
      </c>
      <c r="S2129">
        <v>37</v>
      </c>
      <c r="T2129" s="29" t="str">
        <f t="shared" si="91"/>
        <v>2021.082B.R.Tevens_new_families.zip</v>
      </c>
      <c r="U2129" s="29" t="str">
        <f>HYPERLINK("https://ictv.global/taxonomy/taxondetails?taxnode_id=202313951","ictv.global=202313951")</f>
        <v>ictv.global=202313951</v>
      </c>
    </row>
    <row r="2130" spans="1:21">
      <c r="A2130">
        <v>2129</v>
      </c>
      <c r="B2130" s="30" t="s">
        <v>1587</v>
      </c>
      <c r="D2130" s="30" t="s">
        <v>1588</v>
      </c>
      <c r="F2130" s="30" t="s">
        <v>1591</v>
      </c>
      <c r="H2130" s="30" t="s">
        <v>1592</v>
      </c>
      <c r="L2130" s="30" t="s">
        <v>5765</v>
      </c>
      <c r="M2130" s="30" t="s">
        <v>351</v>
      </c>
      <c r="N2130" s="30" t="s">
        <v>1339</v>
      </c>
      <c r="P2130" s="30" t="s">
        <v>5857</v>
      </c>
      <c r="Q2130" t="s">
        <v>619</v>
      </c>
      <c r="R2130" t="s">
        <v>918</v>
      </c>
      <c r="S2130">
        <v>37</v>
      </c>
      <c r="T2130" s="29" t="str">
        <f t="shared" si="91"/>
        <v>2021.082B.R.Tevens_new_families.zip</v>
      </c>
      <c r="U2130" s="29" t="str">
        <f>HYPERLINK("https://ictv.global/taxonomy/taxondetails?taxnode_id=202311992","ictv.global=202311992")</f>
        <v>ictv.global=202311992</v>
      </c>
    </row>
    <row r="2131" spans="1:21">
      <c r="A2131">
        <v>2130</v>
      </c>
      <c r="B2131" s="30" t="s">
        <v>1587</v>
      </c>
      <c r="D2131" s="30" t="s">
        <v>1588</v>
      </c>
      <c r="F2131" s="30" t="s">
        <v>1591</v>
      </c>
      <c r="H2131" s="30" t="s">
        <v>1592</v>
      </c>
      <c r="L2131" s="30" t="s">
        <v>5765</v>
      </c>
      <c r="M2131" s="30" t="s">
        <v>351</v>
      </c>
      <c r="N2131" s="30" t="s">
        <v>1339</v>
      </c>
      <c r="P2131" s="30" t="s">
        <v>5858</v>
      </c>
      <c r="Q2131" t="s">
        <v>619</v>
      </c>
      <c r="R2131" t="s">
        <v>918</v>
      </c>
      <c r="S2131">
        <v>37</v>
      </c>
      <c r="T2131" s="29" t="str">
        <f t="shared" si="91"/>
        <v>2021.082B.R.Tevens_new_families.zip</v>
      </c>
      <c r="U2131" s="29" t="str">
        <f>HYPERLINK("https://ictv.global/taxonomy/taxondetails?taxnode_id=202311990","ictv.global=202311990")</f>
        <v>ictv.global=202311990</v>
      </c>
    </row>
    <row r="2132" spans="1:21">
      <c r="A2132">
        <v>2131</v>
      </c>
      <c r="B2132" s="30" t="s">
        <v>1587</v>
      </c>
      <c r="D2132" s="30" t="s">
        <v>1588</v>
      </c>
      <c r="F2132" s="30" t="s">
        <v>1591</v>
      </c>
      <c r="H2132" s="30" t="s">
        <v>1592</v>
      </c>
      <c r="L2132" s="30" t="s">
        <v>5765</v>
      </c>
      <c r="M2132" s="30" t="s">
        <v>351</v>
      </c>
      <c r="N2132" s="30" t="s">
        <v>1339</v>
      </c>
      <c r="P2132" s="30" t="s">
        <v>5859</v>
      </c>
      <c r="Q2132" t="s">
        <v>619</v>
      </c>
      <c r="R2132" t="s">
        <v>918</v>
      </c>
      <c r="S2132">
        <v>37</v>
      </c>
      <c r="T2132" s="29" t="str">
        <f t="shared" si="91"/>
        <v>2021.082B.R.Tevens_new_families.zip</v>
      </c>
      <c r="U2132" s="29" t="str">
        <f>HYPERLINK("https://ictv.global/taxonomy/taxondetails?taxnode_id=202311991","ictv.global=202311991")</f>
        <v>ictv.global=202311991</v>
      </c>
    </row>
    <row r="2133" spans="1:21">
      <c r="A2133">
        <v>2132</v>
      </c>
      <c r="B2133" s="30" t="s">
        <v>1587</v>
      </c>
      <c r="D2133" s="30" t="s">
        <v>1588</v>
      </c>
      <c r="F2133" s="30" t="s">
        <v>1591</v>
      </c>
      <c r="H2133" s="30" t="s">
        <v>1592</v>
      </c>
      <c r="L2133" s="30" t="s">
        <v>5765</v>
      </c>
      <c r="M2133" s="30" t="s">
        <v>351</v>
      </c>
      <c r="N2133" s="30" t="s">
        <v>1339</v>
      </c>
      <c r="P2133" s="30" t="s">
        <v>5860</v>
      </c>
      <c r="Q2133" t="s">
        <v>619</v>
      </c>
      <c r="R2133" t="s">
        <v>918</v>
      </c>
      <c r="S2133">
        <v>37</v>
      </c>
      <c r="T2133" s="29" t="str">
        <f t="shared" si="91"/>
        <v>2021.082B.R.Tevens_new_families.zip</v>
      </c>
      <c r="U2133" s="29" t="str">
        <f>HYPERLINK("https://ictv.global/taxonomy/taxondetails?taxnode_id=202311994","ictv.global=202311994")</f>
        <v>ictv.global=202311994</v>
      </c>
    </row>
    <row r="2134" spans="1:21">
      <c r="A2134">
        <v>2133</v>
      </c>
      <c r="B2134" s="30" t="s">
        <v>1587</v>
      </c>
      <c r="D2134" s="30" t="s">
        <v>1588</v>
      </c>
      <c r="F2134" s="30" t="s">
        <v>1591</v>
      </c>
      <c r="H2134" s="30" t="s">
        <v>1592</v>
      </c>
      <c r="L2134" s="30" t="s">
        <v>5765</v>
      </c>
      <c r="M2134" s="30" t="s">
        <v>351</v>
      </c>
      <c r="N2134" s="30" t="s">
        <v>1339</v>
      </c>
      <c r="P2134" s="30" t="s">
        <v>5861</v>
      </c>
      <c r="Q2134" t="s">
        <v>619</v>
      </c>
      <c r="R2134" t="s">
        <v>918</v>
      </c>
      <c r="S2134">
        <v>37</v>
      </c>
      <c r="T2134" s="29" t="str">
        <f t="shared" si="91"/>
        <v>2021.082B.R.Tevens_new_families.zip</v>
      </c>
      <c r="U2134" s="29" t="str">
        <f>HYPERLINK("https://ictv.global/taxonomy/taxondetails?taxnode_id=202311993","ictv.global=202311993")</f>
        <v>ictv.global=202311993</v>
      </c>
    </row>
    <row r="2135" spans="1:21">
      <c r="A2135">
        <v>2134</v>
      </c>
      <c r="B2135" s="30" t="s">
        <v>1587</v>
      </c>
      <c r="D2135" s="30" t="s">
        <v>1588</v>
      </c>
      <c r="F2135" s="30" t="s">
        <v>1591</v>
      </c>
      <c r="H2135" s="30" t="s">
        <v>1592</v>
      </c>
      <c r="L2135" s="30" t="s">
        <v>5765</v>
      </c>
      <c r="M2135" s="30" t="s">
        <v>351</v>
      </c>
      <c r="N2135" s="30" t="s">
        <v>1339</v>
      </c>
      <c r="P2135" s="30" t="s">
        <v>5862</v>
      </c>
      <c r="Q2135" t="s">
        <v>619</v>
      </c>
      <c r="R2135" t="s">
        <v>918</v>
      </c>
      <c r="S2135">
        <v>37</v>
      </c>
      <c r="T2135" s="29" t="str">
        <f t="shared" si="91"/>
        <v>2021.082B.R.Tevens_new_families.zip</v>
      </c>
      <c r="U2135" s="29" t="str">
        <f>HYPERLINK("https://ictv.global/taxonomy/taxondetails?taxnode_id=202311970","ictv.global=202311970")</f>
        <v>ictv.global=202311970</v>
      </c>
    </row>
    <row r="2136" spans="1:21">
      <c r="A2136">
        <v>2135</v>
      </c>
      <c r="B2136" s="30" t="s">
        <v>1587</v>
      </c>
      <c r="D2136" s="30" t="s">
        <v>1588</v>
      </c>
      <c r="F2136" s="30" t="s">
        <v>1591</v>
      </c>
      <c r="H2136" s="30" t="s">
        <v>1592</v>
      </c>
      <c r="L2136" s="30" t="s">
        <v>5765</v>
      </c>
      <c r="M2136" s="30" t="s">
        <v>351</v>
      </c>
      <c r="N2136" s="30" t="s">
        <v>1339</v>
      </c>
      <c r="P2136" s="30" t="s">
        <v>5863</v>
      </c>
      <c r="Q2136" t="s">
        <v>619</v>
      </c>
      <c r="R2136" t="s">
        <v>918</v>
      </c>
      <c r="S2136">
        <v>37</v>
      </c>
      <c r="T2136" s="29" t="str">
        <f t="shared" si="91"/>
        <v>2021.082B.R.Tevens_new_families.zip</v>
      </c>
      <c r="U2136" s="29" t="str">
        <f>HYPERLINK("https://ictv.global/taxonomy/taxondetails?taxnode_id=202300328","ictv.global=202300328")</f>
        <v>ictv.global=202300328</v>
      </c>
    </row>
    <row r="2137" spans="1:21">
      <c r="A2137">
        <v>2136</v>
      </c>
      <c r="B2137" s="30" t="s">
        <v>1587</v>
      </c>
      <c r="D2137" s="30" t="s">
        <v>1588</v>
      </c>
      <c r="F2137" s="30" t="s">
        <v>1591</v>
      </c>
      <c r="H2137" s="30" t="s">
        <v>1592</v>
      </c>
      <c r="L2137" s="30" t="s">
        <v>5765</v>
      </c>
      <c r="M2137" s="30" t="s">
        <v>351</v>
      </c>
      <c r="N2137" s="30" t="s">
        <v>1339</v>
      </c>
      <c r="P2137" s="30" t="s">
        <v>5864</v>
      </c>
      <c r="Q2137" t="s">
        <v>619</v>
      </c>
      <c r="R2137" t="s">
        <v>918</v>
      </c>
      <c r="S2137">
        <v>37</v>
      </c>
      <c r="T2137" s="29" t="str">
        <f t="shared" si="91"/>
        <v>2021.082B.R.Tevens_new_families.zip</v>
      </c>
      <c r="U2137" s="29" t="str">
        <f>HYPERLINK("https://ictv.global/taxonomy/taxondetails?taxnode_id=202307049","ictv.global=202307049")</f>
        <v>ictv.global=202307049</v>
      </c>
    </row>
    <row r="2138" spans="1:21">
      <c r="A2138">
        <v>2137</v>
      </c>
      <c r="B2138" s="30" t="s">
        <v>1587</v>
      </c>
      <c r="D2138" s="30" t="s">
        <v>1588</v>
      </c>
      <c r="F2138" s="30" t="s">
        <v>1591</v>
      </c>
      <c r="H2138" s="30" t="s">
        <v>1592</v>
      </c>
      <c r="L2138" s="30" t="s">
        <v>5765</v>
      </c>
      <c r="M2138" s="30" t="s">
        <v>351</v>
      </c>
      <c r="N2138" s="30" t="s">
        <v>1339</v>
      </c>
      <c r="P2138" s="30" t="s">
        <v>5865</v>
      </c>
      <c r="Q2138" t="s">
        <v>619</v>
      </c>
      <c r="R2138" t="s">
        <v>918</v>
      </c>
      <c r="S2138">
        <v>37</v>
      </c>
      <c r="T2138" s="29" t="str">
        <f t="shared" si="91"/>
        <v>2021.082B.R.Tevens_new_families.zip</v>
      </c>
      <c r="U2138" s="29" t="str">
        <f>HYPERLINK("https://ictv.global/taxonomy/taxondetails?taxnode_id=202300329","ictv.global=202300329")</f>
        <v>ictv.global=202300329</v>
      </c>
    </row>
    <row r="2139" spans="1:21">
      <c r="A2139">
        <v>2138</v>
      </c>
      <c r="B2139" s="30" t="s">
        <v>1587</v>
      </c>
      <c r="D2139" s="30" t="s">
        <v>1588</v>
      </c>
      <c r="F2139" s="30" t="s">
        <v>1591</v>
      </c>
      <c r="H2139" s="30" t="s">
        <v>1592</v>
      </c>
      <c r="L2139" s="30" t="s">
        <v>5765</v>
      </c>
      <c r="M2139" s="30" t="s">
        <v>351</v>
      </c>
      <c r="N2139" s="30" t="s">
        <v>1339</v>
      </c>
      <c r="P2139" s="30" t="s">
        <v>5866</v>
      </c>
      <c r="Q2139" t="s">
        <v>619</v>
      </c>
      <c r="R2139" t="s">
        <v>918</v>
      </c>
      <c r="S2139">
        <v>37</v>
      </c>
      <c r="T2139" s="29" t="str">
        <f t="shared" ref="T2139:T2167" si="92">HYPERLINK("https://ictv.global/ictv/proposals/2021.082B.R.Tevens_new_families.zip","2021.082B.R.Tevens_new_families.zip")</f>
        <v>2021.082B.R.Tevens_new_families.zip</v>
      </c>
      <c r="U2139" s="29" t="str">
        <f>HYPERLINK("https://ictv.global/taxonomy/taxondetails?taxnode_id=202311995","ictv.global=202311995")</f>
        <v>ictv.global=202311995</v>
      </c>
    </row>
    <row r="2140" spans="1:21">
      <c r="A2140">
        <v>2139</v>
      </c>
      <c r="B2140" s="30" t="s">
        <v>1587</v>
      </c>
      <c r="D2140" s="30" t="s">
        <v>1588</v>
      </c>
      <c r="F2140" s="30" t="s">
        <v>1591</v>
      </c>
      <c r="H2140" s="30" t="s">
        <v>1592</v>
      </c>
      <c r="L2140" s="30" t="s">
        <v>5765</v>
      </c>
      <c r="M2140" s="30" t="s">
        <v>351</v>
      </c>
      <c r="N2140" s="30" t="s">
        <v>1339</v>
      </c>
      <c r="P2140" s="30" t="s">
        <v>5867</v>
      </c>
      <c r="Q2140" t="s">
        <v>619</v>
      </c>
      <c r="R2140" t="s">
        <v>918</v>
      </c>
      <c r="S2140">
        <v>37</v>
      </c>
      <c r="T2140" s="29" t="str">
        <f t="shared" si="92"/>
        <v>2021.082B.R.Tevens_new_families.zip</v>
      </c>
      <c r="U2140" s="29" t="str">
        <f>HYPERLINK("https://ictv.global/taxonomy/taxondetails?taxnode_id=202312010","ictv.global=202312010")</f>
        <v>ictv.global=202312010</v>
      </c>
    </row>
    <row r="2141" spans="1:21">
      <c r="A2141">
        <v>2140</v>
      </c>
      <c r="B2141" s="30" t="s">
        <v>1587</v>
      </c>
      <c r="D2141" s="30" t="s">
        <v>1588</v>
      </c>
      <c r="F2141" s="30" t="s">
        <v>1591</v>
      </c>
      <c r="H2141" s="30" t="s">
        <v>1592</v>
      </c>
      <c r="L2141" s="30" t="s">
        <v>5765</v>
      </c>
      <c r="M2141" s="30" t="s">
        <v>351</v>
      </c>
      <c r="N2141" s="30" t="s">
        <v>1339</v>
      </c>
      <c r="P2141" s="30" t="s">
        <v>5868</v>
      </c>
      <c r="Q2141" t="s">
        <v>619</v>
      </c>
      <c r="R2141" t="s">
        <v>918</v>
      </c>
      <c r="S2141">
        <v>37</v>
      </c>
      <c r="T2141" s="29" t="str">
        <f t="shared" si="92"/>
        <v>2021.082B.R.Tevens_new_families.zip</v>
      </c>
      <c r="U2141" s="29" t="str">
        <f>HYPERLINK("https://ictv.global/taxonomy/taxondetails?taxnode_id=202311996","ictv.global=202311996")</f>
        <v>ictv.global=202311996</v>
      </c>
    </row>
    <row r="2142" spans="1:21">
      <c r="A2142">
        <v>2141</v>
      </c>
      <c r="B2142" s="30" t="s">
        <v>1587</v>
      </c>
      <c r="D2142" s="30" t="s">
        <v>1588</v>
      </c>
      <c r="F2142" s="30" t="s">
        <v>1591</v>
      </c>
      <c r="H2142" s="30" t="s">
        <v>1592</v>
      </c>
      <c r="L2142" s="30" t="s">
        <v>5765</v>
      </c>
      <c r="M2142" s="30" t="s">
        <v>351</v>
      </c>
      <c r="N2142" s="30" t="s">
        <v>1339</v>
      </c>
      <c r="P2142" s="30" t="s">
        <v>5869</v>
      </c>
      <c r="Q2142" t="s">
        <v>619</v>
      </c>
      <c r="R2142" t="s">
        <v>918</v>
      </c>
      <c r="S2142">
        <v>37</v>
      </c>
      <c r="T2142" s="29" t="str">
        <f t="shared" si="92"/>
        <v>2021.082B.R.Tevens_new_families.zip</v>
      </c>
      <c r="U2142" s="29" t="str">
        <f>HYPERLINK("https://ictv.global/taxonomy/taxondetails?taxnode_id=202311971","ictv.global=202311971")</f>
        <v>ictv.global=202311971</v>
      </c>
    </row>
    <row r="2143" spans="1:21">
      <c r="A2143">
        <v>2142</v>
      </c>
      <c r="B2143" s="30" t="s">
        <v>1587</v>
      </c>
      <c r="D2143" s="30" t="s">
        <v>1588</v>
      </c>
      <c r="F2143" s="30" t="s">
        <v>1591</v>
      </c>
      <c r="H2143" s="30" t="s">
        <v>1592</v>
      </c>
      <c r="L2143" s="30" t="s">
        <v>5765</v>
      </c>
      <c r="M2143" s="30" t="s">
        <v>351</v>
      </c>
      <c r="N2143" s="30" t="s">
        <v>1339</v>
      </c>
      <c r="P2143" s="30" t="s">
        <v>5870</v>
      </c>
      <c r="Q2143" t="s">
        <v>619</v>
      </c>
      <c r="R2143" t="s">
        <v>918</v>
      </c>
      <c r="S2143">
        <v>37</v>
      </c>
      <c r="T2143" s="29" t="str">
        <f t="shared" si="92"/>
        <v>2021.082B.R.Tevens_new_families.zip</v>
      </c>
      <c r="U2143" s="29" t="str">
        <f>HYPERLINK("https://ictv.global/taxonomy/taxondetails?taxnode_id=202311980","ictv.global=202311980")</f>
        <v>ictv.global=202311980</v>
      </c>
    </row>
    <row r="2144" spans="1:21">
      <c r="A2144">
        <v>2143</v>
      </c>
      <c r="B2144" s="30" t="s">
        <v>1587</v>
      </c>
      <c r="D2144" s="30" t="s">
        <v>1588</v>
      </c>
      <c r="F2144" s="30" t="s">
        <v>1591</v>
      </c>
      <c r="H2144" s="30" t="s">
        <v>1592</v>
      </c>
      <c r="L2144" s="30" t="s">
        <v>5765</v>
      </c>
      <c r="M2144" s="30" t="s">
        <v>351</v>
      </c>
      <c r="N2144" s="30" t="s">
        <v>1339</v>
      </c>
      <c r="P2144" s="30" t="s">
        <v>5871</v>
      </c>
      <c r="Q2144" t="s">
        <v>619</v>
      </c>
      <c r="R2144" t="s">
        <v>917</v>
      </c>
      <c r="S2144">
        <v>37</v>
      </c>
      <c r="T2144" s="29" t="str">
        <f t="shared" si="92"/>
        <v>2021.082B.R.Tevens_new_families.zip</v>
      </c>
      <c r="U2144" s="29" t="str">
        <f>HYPERLINK("https://ictv.global/taxonomy/taxondetails?taxnode_id=202313948","ictv.global=202313948")</f>
        <v>ictv.global=202313948</v>
      </c>
    </row>
    <row r="2145" spans="1:21">
      <c r="A2145">
        <v>2144</v>
      </c>
      <c r="B2145" s="30" t="s">
        <v>1587</v>
      </c>
      <c r="D2145" s="30" t="s">
        <v>1588</v>
      </c>
      <c r="F2145" s="30" t="s">
        <v>1591</v>
      </c>
      <c r="H2145" s="30" t="s">
        <v>1592</v>
      </c>
      <c r="L2145" s="30" t="s">
        <v>5765</v>
      </c>
      <c r="M2145" s="30" t="s">
        <v>351</v>
      </c>
      <c r="N2145" s="30" t="s">
        <v>1339</v>
      </c>
      <c r="P2145" s="30" t="s">
        <v>5872</v>
      </c>
      <c r="Q2145" t="s">
        <v>619</v>
      </c>
      <c r="R2145" t="s">
        <v>918</v>
      </c>
      <c r="S2145">
        <v>37</v>
      </c>
      <c r="T2145" s="29" t="str">
        <f t="shared" si="92"/>
        <v>2021.082B.R.Tevens_new_families.zip</v>
      </c>
      <c r="U2145" s="29" t="str">
        <f>HYPERLINK("https://ictv.global/taxonomy/taxondetails?taxnode_id=202311997","ictv.global=202311997")</f>
        <v>ictv.global=202311997</v>
      </c>
    </row>
    <row r="2146" spans="1:21">
      <c r="A2146">
        <v>2145</v>
      </c>
      <c r="B2146" s="30" t="s">
        <v>1587</v>
      </c>
      <c r="D2146" s="30" t="s">
        <v>1588</v>
      </c>
      <c r="F2146" s="30" t="s">
        <v>1591</v>
      </c>
      <c r="H2146" s="30" t="s">
        <v>1592</v>
      </c>
      <c r="L2146" s="30" t="s">
        <v>5765</v>
      </c>
      <c r="M2146" s="30" t="s">
        <v>351</v>
      </c>
      <c r="N2146" s="30" t="s">
        <v>1339</v>
      </c>
      <c r="P2146" s="30" t="s">
        <v>5873</v>
      </c>
      <c r="Q2146" t="s">
        <v>619</v>
      </c>
      <c r="R2146" t="s">
        <v>917</v>
      </c>
      <c r="S2146">
        <v>37</v>
      </c>
      <c r="T2146" s="29" t="str">
        <f t="shared" si="92"/>
        <v>2021.082B.R.Tevens_new_families.zip</v>
      </c>
      <c r="U2146" s="29" t="str">
        <f>HYPERLINK("https://ictv.global/taxonomy/taxondetails?taxnode_id=202313953","ictv.global=202313953")</f>
        <v>ictv.global=202313953</v>
      </c>
    </row>
    <row r="2147" spans="1:21">
      <c r="A2147">
        <v>2146</v>
      </c>
      <c r="B2147" s="30" t="s">
        <v>1587</v>
      </c>
      <c r="D2147" s="30" t="s">
        <v>1588</v>
      </c>
      <c r="F2147" s="30" t="s">
        <v>1591</v>
      </c>
      <c r="H2147" s="30" t="s">
        <v>1592</v>
      </c>
      <c r="L2147" s="30" t="s">
        <v>5765</v>
      </c>
      <c r="M2147" s="30" t="s">
        <v>351</v>
      </c>
      <c r="N2147" s="30" t="s">
        <v>1339</v>
      </c>
      <c r="P2147" s="30" t="s">
        <v>5874</v>
      </c>
      <c r="Q2147" t="s">
        <v>619</v>
      </c>
      <c r="R2147" t="s">
        <v>918</v>
      </c>
      <c r="S2147">
        <v>37</v>
      </c>
      <c r="T2147" s="29" t="str">
        <f t="shared" si="92"/>
        <v>2021.082B.R.Tevens_new_families.zip</v>
      </c>
      <c r="U2147" s="29" t="str">
        <f>HYPERLINK("https://ictv.global/taxonomy/taxondetails?taxnode_id=202312005","ictv.global=202312005")</f>
        <v>ictv.global=202312005</v>
      </c>
    </row>
    <row r="2148" spans="1:21">
      <c r="A2148">
        <v>2147</v>
      </c>
      <c r="B2148" s="30" t="s">
        <v>1587</v>
      </c>
      <c r="D2148" s="30" t="s">
        <v>1588</v>
      </c>
      <c r="F2148" s="30" t="s">
        <v>1591</v>
      </c>
      <c r="H2148" s="30" t="s">
        <v>1592</v>
      </c>
      <c r="L2148" s="30" t="s">
        <v>5765</v>
      </c>
      <c r="M2148" s="30" t="s">
        <v>351</v>
      </c>
      <c r="N2148" s="30" t="s">
        <v>1339</v>
      </c>
      <c r="P2148" s="30" t="s">
        <v>5875</v>
      </c>
      <c r="Q2148" t="s">
        <v>619</v>
      </c>
      <c r="R2148" t="s">
        <v>918</v>
      </c>
      <c r="S2148">
        <v>37</v>
      </c>
      <c r="T2148" s="29" t="str">
        <f t="shared" si="92"/>
        <v>2021.082B.R.Tevens_new_families.zip</v>
      </c>
      <c r="U2148" s="29" t="str">
        <f>HYPERLINK("https://ictv.global/taxonomy/taxondetails?taxnode_id=202311999","ictv.global=202311999")</f>
        <v>ictv.global=202311999</v>
      </c>
    </row>
    <row r="2149" spans="1:21">
      <c r="A2149">
        <v>2148</v>
      </c>
      <c r="B2149" s="30" t="s">
        <v>1587</v>
      </c>
      <c r="D2149" s="30" t="s">
        <v>1588</v>
      </c>
      <c r="F2149" s="30" t="s">
        <v>1591</v>
      </c>
      <c r="H2149" s="30" t="s">
        <v>1592</v>
      </c>
      <c r="L2149" s="30" t="s">
        <v>5765</v>
      </c>
      <c r="M2149" s="30" t="s">
        <v>351</v>
      </c>
      <c r="N2149" s="30" t="s">
        <v>1339</v>
      </c>
      <c r="P2149" s="30" t="s">
        <v>5876</v>
      </c>
      <c r="Q2149" t="s">
        <v>619</v>
      </c>
      <c r="R2149" t="s">
        <v>918</v>
      </c>
      <c r="S2149">
        <v>37</v>
      </c>
      <c r="T2149" s="29" t="str">
        <f t="shared" si="92"/>
        <v>2021.082B.R.Tevens_new_families.zip</v>
      </c>
      <c r="U2149" s="29" t="str">
        <f>HYPERLINK("https://ictv.global/taxonomy/taxondetails?taxnode_id=202312000","ictv.global=202312000")</f>
        <v>ictv.global=202312000</v>
      </c>
    </row>
    <row r="2150" spans="1:21">
      <c r="A2150">
        <v>2149</v>
      </c>
      <c r="B2150" s="30" t="s">
        <v>1587</v>
      </c>
      <c r="D2150" s="30" t="s">
        <v>1588</v>
      </c>
      <c r="F2150" s="30" t="s">
        <v>1591</v>
      </c>
      <c r="H2150" s="30" t="s">
        <v>1592</v>
      </c>
      <c r="L2150" s="30" t="s">
        <v>5765</v>
      </c>
      <c r="M2150" s="30" t="s">
        <v>351</v>
      </c>
      <c r="N2150" s="30" t="s">
        <v>1339</v>
      </c>
      <c r="P2150" s="30" t="s">
        <v>5877</v>
      </c>
      <c r="Q2150" t="s">
        <v>619</v>
      </c>
      <c r="R2150" t="s">
        <v>918</v>
      </c>
      <c r="S2150">
        <v>37</v>
      </c>
      <c r="T2150" s="29" t="str">
        <f t="shared" si="92"/>
        <v>2021.082B.R.Tevens_new_families.zip</v>
      </c>
      <c r="U2150" s="29" t="str">
        <f>HYPERLINK("https://ictv.global/taxonomy/taxondetails?taxnode_id=202312003","ictv.global=202312003")</f>
        <v>ictv.global=202312003</v>
      </c>
    </row>
    <row r="2151" spans="1:21">
      <c r="A2151">
        <v>2150</v>
      </c>
      <c r="B2151" s="30" t="s">
        <v>1587</v>
      </c>
      <c r="D2151" s="30" t="s">
        <v>1588</v>
      </c>
      <c r="F2151" s="30" t="s">
        <v>1591</v>
      </c>
      <c r="H2151" s="30" t="s">
        <v>1592</v>
      </c>
      <c r="L2151" s="30" t="s">
        <v>5765</v>
      </c>
      <c r="M2151" s="30" t="s">
        <v>351</v>
      </c>
      <c r="N2151" s="30" t="s">
        <v>1339</v>
      </c>
      <c r="P2151" s="30" t="s">
        <v>5878</v>
      </c>
      <c r="Q2151" t="s">
        <v>619</v>
      </c>
      <c r="R2151" t="s">
        <v>918</v>
      </c>
      <c r="S2151">
        <v>37</v>
      </c>
      <c r="T2151" s="29" t="str">
        <f t="shared" si="92"/>
        <v>2021.082B.R.Tevens_new_families.zip</v>
      </c>
      <c r="U2151" s="29" t="str">
        <f>HYPERLINK("https://ictv.global/taxonomy/taxondetails?taxnode_id=202311981","ictv.global=202311981")</f>
        <v>ictv.global=202311981</v>
      </c>
    </row>
    <row r="2152" spans="1:21">
      <c r="A2152">
        <v>2151</v>
      </c>
      <c r="B2152" s="30" t="s">
        <v>1587</v>
      </c>
      <c r="D2152" s="30" t="s">
        <v>1588</v>
      </c>
      <c r="F2152" s="30" t="s">
        <v>1591</v>
      </c>
      <c r="H2152" s="30" t="s">
        <v>1592</v>
      </c>
      <c r="L2152" s="30" t="s">
        <v>5765</v>
      </c>
      <c r="M2152" s="30" t="s">
        <v>351</v>
      </c>
      <c r="N2152" s="30" t="s">
        <v>1339</v>
      </c>
      <c r="P2152" s="30" t="s">
        <v>5879</v>
      </c>
      <c r="Q2152" t="s">
        <v>619</v>
      </c>
      <c r="R2152" t="s">
        <v>918</v>
      </c>
      <c r="S2152">
        <v>37</v>
      </c>
      <c r="T2152" s="29" t="str">
        <f t="shared" si="92"/>
        <v>2021.082B.R.Tevens_new_families.zip</v>
      </c>
      <c r="U2152" s="29" t="str">
        <f>HYPERLINK("https://ictv.global/taxonomy/taxondetails?taxnode_id=202311982","ictv.global=202311982")</f>
        <v>ictv.global=202311982</v>
      </c>
    </row>
    <row r="2153" spans="1:21">
      <c r="A2153">
        <v>2152</v>
      </c>
      <c r="B2153" s="30" t="s">
        <v>1587</v>
      </c>
      <c r="D2153" s="30" t="s">
        <v>1588</v>
      </c>
      <c r="F2153" s="30" t="s">
        <v>1591</v>
      </c>
      <c r="H2153" s="30" t="s">
        <v>1592</v>
      </c>
      <c r="L2153" s="30" t="s">
        <v>5765</v>
      </c>
      <c r="M2153" s="30" t="s">
        <v>351</v>
      </c>
      <c r="N2153" s="30" t="s">
        <v>1339</v>
      </c>
      <c r="P2153" s="30" t="s">
        <v>5880</v>
      </c>
      <c r="Q2153" t="s">
        <v>619</v>
      </c>
      <c r="R2153" t="s">
        <v>918</v>
      </c>
      <c r="S2153">
        <v>37</v>
      </c>
      <c r="T2153" s="29" t="str">
        <f t="shared" si="92"/>
        <v>2021.082B.R.Tevens_new_families.zip</v>
      </c>
      <c r="U2153" s="29" t="str">
        <f>HYPERLINK("https://ictv.global/taxonomy/taxondetails?taxnode_id=202300333","ictv.global=202300333")</f>
        <v>ictv.global=202300333</v>
      </c>
    </row>
    <row r="2154" spans="1:21">
      <c r="A2154">
        <v>2153</v>
      </c>
      <c r="B2154" s="30" t="s">
        <v>1587</v>
      </c>
      <c r="D2154" s="30" t="s">
        <v>1588</v>
      </c>
      <c r="F2154" s="30" t="s">
        <v>1591</v>
      </c>
      <c r="H2154" s="30" t="s">
        <v>1592</v>
      </c>
      <c r="L2154" s="30" t="s">
        <v>5765</v>
      </c>
      <c r="M2154" s="30" t="s">
        <v>351</v>
      </c>
      <c r="N2154" s="30" t="s">
        <v>1339</v>
      </c>
      <c r="P2154" s="30" t="s">
        <v>5881</v>
      </c>
      <c r="Q2154" t="s">
        <v>619</v>
      </c>
      <c r="R2154" t="s">
        <v>918</v>
      </c>
      <c r="S2154">
        <v>37</v>
      </c>
      <c r="T2154" s="29" t="str">
        <f t="shared" si="92"/>
        <v>2021.082B.R.Tevens_new_families.zip</v>
      </c>
      <c r="U2154" s="29" t="str">
        <f>HYPERLINK("https://ictv.global/taxonomy/taxondetails?taxnode_id=202300336","ictv.global=202300336")</f>
        <v>ictv.global=202300336</v>
      </c>
    </row>
    <row r="2155" spans="1:21">
      <c r="A2155">
        <v>2154</v>
      </c>
      <c r="B2155" s="30" t="s">
        <v>1587</v>
      </c>
      <c r="D2155" s="30" t="s">
        <v>1588</v>
      </c>
      <c r="F2155" s="30" t="s">
        <v>1591</v>
      </c>
      <c r="H2155" s="30" t="s">
        <v>1592</v>
      </c>
      <c r="L2155" s="30" t="s">
        <v>5765</v>
      </c>
      <c r="M2155" s="30" t="s">
        <v>351</v>
      </c>
      <c r="N2155" s="30" t="s">
        <v>1339</v>
      </c>
      <c r="P2155" s="30" t="s">
        <v>5882</v>
      </c>
      <c r="Q2155" t="s">
        <v>619</v>
      </c>
      <c r="R2155" t="s">
        <v>918</v>
      </c>
      <c r="S2155">
        <v>37</v>
      </c>
      <c r="T2155" s="29" t="str">
        <f t="shared" si="92"/>
        <v>2021.082B.R.Tevens_new_families.zip</v>
      </c>
      <c r="U2155" s="29" t="str">
        <f>HYPERLINK("https://ictv.global/taxonomy/taxondetails?taxnode_id=202312017","ictv.global=202312017")</f>
        <v>ictv.global=202312017</v>
      </c>
    </row>
    <row r="2156" spans="1:21">
      <c r="A2156">
        <v>2155</v>
      </c>
      <c r="B2156" s="30" t="s">
        <v>1587</v>
      </c>
      <c r="D2156" s="30" t="s">
        <v>1588</v>
      </c>
      <c r="F2156" s="30" t="s">
        <v>1591</v>
      </c>
      <c r="H2156" s="30" t="s">
        <v>1592</v>
      </c>
      <c r="L2156" s="30" t="s">
        <v>5765</v>
      </c>
      <c r="M2156" s="30" t="s">
        <v>351</v>
      </c>
      <c r="N2156" s="30" t="s">
        <v>1339</v>
      </c>
      <c r="P2156" s="30" t="s">
        <v>5883</v>
      </c>
      <c r="Q2156" t="s">
        <v>619</v>
      </c>
      <c r="R2156" t="s">
        <v>918</v>
      </c>
      <c r="S2156">
        <v>37</v>
      </c>
      <c r="T2156" s="29" t="str">
        <f t="shared" si="92"/>
        <v>2021.082B.R.Tevens_new_families.zip</v>
      </c>
      <c r="U2156" s="29" t="str">
        <f>HYPERLINK("https://ictv.global/taxonomy/taxondetails?taxnode_id=202300330","ictv.global=202300330")</f>
        <v>ictv.global=202300330</v>
      </c>
    </row>
    <row r="2157" spans="1:21">
      <c r="A2157">
        <v>2156</v>
      </c>
      <c r="B2157" s="30" t="s">
        <v>1587</v>
      </c>
      <c r="D2157" s="30" t="s">
        <v>1588</v>
      </c>
      <c r="F2157" s="30" t="s">
        <v>1591</v>
      </c>
      <c r="H2157" s="30" t="s">
        <v>1592</v>
      </c>
      <c r="L2157" s="30" t="s">
        <v>5765</v>
      </c>
      <c r="M2157" s="30" t="s">
        <v>351</v>
      </c>
      <c r="N2157" s="30" t="s">
        <v>1339</v>
      </c>
      <c r="P2157" s="30" t="s">
        <v>5884</v>
      </c>
      <c r="Q2157" t="s">
        <v>619</v>
      </c>
      <c r="R2157" t="s">
        <v>918</v>
      </c>
      <c r="S2157">
        <v>37</v>
      </c>
      <c r="T2157" s="29" t="str">
        <f t="shared" si="92"/>
        <v>2021.082B.R.Tevens_new_families.zip</v>
      </c>
      <c r="U2157" s="29" t="str">
        <f>HYPERLINK("https://ictv.global/taxonomy/taxondetails?taxnode_id=202300331","ictv.global=202300331")</f>
        <v>ictv.global=202300331</v>
      </c>
    </row>
    <row r="2158" spans="1:21">
      <c r="A2158">
        <v>2157</v>
      </c>
      <c r="B2158" s="30" t="s">
        <v>1587</v>
      </c>
      <c r="D2158" s="30" t="s">
        <v>1588</v>
      </c>
      <c r="F2158" s="30" t="s">
        <v>1591</v>
      </c>
      <c r="H2158" s="30" t="s">
        <v>1592</v>
      </c>
      <c r="L2158" s="30" t="s">
        <v>5765</v>
      </c>
      <c r="M2158" s="30" t="s">
        <v>351</v>
      </c>
      <c r="N2158" s="30" t="s">
        <v>1339</v>
      </c>
      <c r="P2158" s="30" t="s">
        <v>5885</v>
      </c>
      <c r="Q2158" t="s">
        <v>619</v>
      </c>
      <c r="R2158" t="s">
        <v>918</v>
      </c>
      <c r="S2158">
        <v>37</v>
      </c>
      <c r="T2158" s="29" t="str">
        <f t="shared" si="92"/>
        <v>2021.082B.R.Tevens_new_families.zip</v>
      </c>
      <c r="U2158" s="29" t="str">
        <f>HYPERLINK("https://ictv.global/taxonomy/taxondetails?taxnode_id=202311972","ictv.global=202311972")</f>
        <v>ictv.global=202311972</v>
      </c>
    </row>
    <row r="2159" spans="1:21">
      <c r="A2159">
        <v>2158</v>
      </c>
      <c r="B2159" s="30" t="s">
        <v>1587</v>
      </c>
      <c r="D2159" s="30" t="s">
        <v>1588</v>
      </c>
      <c r="F2159" s="30" t="s">
        <v>1591</v>
      </c>
      <c r="H2159" s="30" t="s">
        <v>1592</v>
      </c>
      <c r="L2159" s="30" t="s">
        <v>5765</v>
      </c>
      <c r="M2159" s="30" t="s">
        <v>351</v>
      </c>
      <c r="N2159" s="30" t="s">
        <v>1339</v>
      </c>
      <c r="P2159" s="30" t="s">
        <v>5886</v>
      </c>
      <c r="Q2159" t="s">
        <v>619</v>
      </c>
      <c r="R2159" t="s">
        <v>918</v>
      </c>
      <c r="S2159">
        <v>37</v>
      </c>
      <c r="T2159" s="29" t="str">
        <f t="shared" si="92"/>
        <v>2021.082B.R.Tevens_new_families.zip</v>
      </c>
      <c r="U2159" s="29" t="str">
        <f>HYPERLINK("https://ictv.global/taxonomy/taxondetails?taxnode_id=202311973","ictv.global=202311973")</f>
        <v>ictv.global=202311973</v>
      </c>
    </row>
    <row r="2160" spans="1:21">
      <c r="A2160">
        <v>2159</v>
      </c>
      <c r="B2160" s="30" t="s">
        <v>1587</v>
      </c>
      <c r="D2160" s="30" t="s">
        <v>1588</v>
      </c>
      <c r="F2160" s="30" t="s">
        <v>1591</v>
      </c>
      <c r="H2160" s="30" t="s">
        <v>1592</v>
      </c>
      <c r="L2160" s="30" t="s">
        <v>5765</v>
      </c>
      <c r="M2160" s="30" t="s">
        <v>351</v>
      </c>
      <c r="N2160" s="30" t="s">
        <v>1339</v>
      </c>
      <c r="P2160" s="30" t="s">
        <v>5887</v>
      </c>
      <c r="Q2160" t="s">
        <v>619</v>
      </c>
      <c r="R2160" t="s">
        <v>918</v>
      </c>
      <c r="S2160">
        <v>37</v>
      </c>
      <c r="T2160" s="29" t="str">
        <f t="shared" si="92"/>
        <v>2021.082B.R.Tevens_new_families.zip</v>
      </c>
      <c r="U2160" s="29" t="str">
        <f>HYPERLINK("https://ictv.global/taxonomy/taxondetails?taxnode_id=202300342","ictv.global=202300342")</f>
        <v>ictv.global=202300342</v>
      </c>
    </row>
    <row r="2161" spans="1:21">
      <c r="A2161">
        <v>2160</v>
      </c>
      <c r="B2161" s="30" t="s">
        <v>1587</v>
      </c>
      <c r="D2161" s="30" t="s">
        <v>1588</v>
      </c>
      <c r="F2161" s="30" t="s">
        <v>1591</v>
      </c>
      <c r="H2161" s="30" t="s">
        <v>1592</v>
      </c>
      <c r="L2161" s="30" t="s">
        <v>5765</v>
      </c>
      <c r="M2161" s="30" t="s">
        <v>351</v>
      </c>
      <c r="N2161" s="30" t="s">
        <v>1339</v>
      </c>
      <c r="P2161" s="30" t="s">
        <v>5888</v>
      </c>
      <c r="Q2161" t="s">
        <v>619</v>
      </c>
      <c r="R2161" t="s">
        <v>917</v>
      </c>
      <c r="S2161">
        <v>37</v>
      </c>
      <c r="T2161" s="29" t="str">
        <f t="shared" si="92"/>
        <v>2021.082B.R.Tevens_new_families.zip</v>
      </c>
      <c r="U2161" s="29" t="str">
        <f>HYPERLINK("https://ictv.global/taxonomy/taxondetails?taxnode_id=202313945","ictv.global=202313945")</f>
        <v>ictv.global=202313945</v>
      </c>
    </row>
    <row r="2162" spans="1:21">
      <c r="A2162">
        <v>2161</v>
      </c>
      <c r="B2162" s="30" t="s">
        <v>1587</v>
      </c>
      <c r="D2162" s="30" t="s">
        <v>1588</v>
      </c>
      <c r="F2162" s="30" t="s">
        <v>1591</v>
      </c>
      <c r="H2162" s="30" t="s">
        <v>1592</v>
      </c>
      <c r="L2162" s="30" t="s">
        <v>5765</v>
      </c>
      <c r="M2162" s="30" t="s">
        <v>351</v>
      </c>
      <c r="N2162" s="30" t="s">
        <v>1339</v>
      </c>
      <c r="P2162" s="30" t="s">
        <v>5889</v>
      </c>
      <c r="Q2162" t="s">
        <v>619</v>
      </c>
      <c r="R2162" t="s">
        <v>918</v>
      </c>
      <c r="S2162">
        <v>37</v>
      </c>
      <c r="T2162" s="29" t="str">
        <f t="shared" si="92"/>
        <v>2021.082B.R.Tevens_new_families.zip</v>
      </c>
      <c r="U2162" s="29" t="str">
        <f>HYPERLINK("https://ictv.global/taxonomy/taxondetails?taxnode_id=202307050","ictv.global=202307050")</f>
        <v>ictv.global=202307050</v>
      </c>
    </row>
    <row r="2163" spans="1:21">
      <c r="A2163">
        <v>2162</v>
      </c>
      <c r="B2163" s="30" t="s">
        <v>1587</v>
      </c>
      <c r="D2163" s="30" t="s">
        <v>1588</v>
      </c>
      <c r="F2163" s="30" t="s">
        <v>1591</v>
      </c>
      <c r="H2163" s="30" t="s">
        <v>1592</v>
      </c>
      <c r="L2163" s="30" t="s">
        <v>5765</v>
      </c>
      <c r="M2163" s="30" t="s">
        <v>351</v>
      </c>
      <c r="N2163" s="30" t="s">
        <v>1339</v>
      </c>
      <c r="P2163" s="30" t="s">
        <v>5890</v>
      </c>
      <c r="Q2163" t="s">
        <v>619</v>
      </c>
      <c r="R2163" t="s">
        <v>918</v>
      </c>
      <c r="S2163">
        <v>37</v>
      </c>
      <c r="T2163" s="29" t="str">
        <f t="shared" si="92"/>
        <v>2021.082B.R.Tevens_new_families.zip</v>
      </c>
      <c r="U2163" s="29" t="str">
        <f>HYPERLINK("https://ictv.global/taxonomy/taxondetails?taxnode_id=202307052","ictv.global=202307052")</f>
        <v>ictv.global=202307052</v>
      </c>
    </row>
    <row r="2164" spans="1:21">
      <c r="A2164">
        <v>2163</v>
      </c>
      <c r="B2164" s="30" t="s">
        <v>1587</v>
      </c>
      <c r="D2164" s="30" t="s">
        <v>1588</v>
      </c>
      <c r="F2164" s="30" t="s">
        <v>1591</v>
      </c>
      <c r="H2164" s="30" t="s">
        <v>1592</v>
      </c>
      <c r="L2164" s="30" t="s">
        <v>5765</v>
      </c>
      <c r="M2164" s="30" t="s">
        <v>351</v>
      </c>
      <c r="N2164" s="30" t="s">
        <v>1339</v>
      </c>
      <c r="P2164" s="30" t="s">
        <v>5891</v>
      </c>
      <c r="Q2164" t="s">
        <v>619</v>
      </c>
      <c r="R2164" t="s">
        <v>918</v>
      </c>
      <c r="S2164">
        <v>37</v>
      </c>
      <c r="T2164" s="29" t="str">
        <f t="shared" si="92"/>
        <v>2021.082B.R.Tevens_new_families.zip</v>
      </c>
      <c r="U2164" s="29" t="str">
        <f>HYPERLINK("https://ictv.global/taxonomy/taxondetails?taxnode_id=202312011","ictv.global=202312011")</f>
        <v>ictv.global=202312011</v>
      </c>
    </row>
    <row r="2165" spans="1:21">
      <c r="A2165">
        <v>2164</v>
      </c>
      <c r="B2165" s="30" t="s">
        <v>1587</v>
      </c>
      <c r="D2165" s="30" t="s">
        <v>1588</v>
      </c>
      <c r="F2165" s="30" t="s">
        <v>1591</v>
      </c>
      <c r="H2165" s="30" t="s">
        <v>1592</v>
      </c>
      <c r="L2165" s="30" t="s">
        <v>5765</v>
      </c>
      <c r="M2165" s="30" t="s">
        <v>351</v>
      </c>
      <c r="N2165" s="30" t="s">
        <v>1339</v>
      </c>
      <c r="P2165" s="30" t="s">
        <v>5892</v>
      </c>
      <c r="Q2165" t="s">
        <v>619</v>
      </c>
      <c r="R2165" t="s">
        <v>918</v>
      </c>
      <c r="S2165">
        <v>37</v>
      </c>
      <c r="T2165" s="29" t="str">
        <f t="shared" si="92"/>
        <v>2021.082B.R.Tevens_new_families.zip</v>
      </c>
      <c r="U2165" s="29" t="str">
        <f>HYPERLINK("https://ictv.global/taxonomy/taxondetails?taxnode_id=202307053","ictv.global=202307053")</f>
        <v>ictv.global=202307053</v>
      </c>
    </row>
    <row r="2166" spans="1:21">
      <c r="A2166">
        <v>2165</v>
      </c>
      <c r="B2166" s="30" t="s">
        <v>1587</v>
      </c>
      <c r="D2166" s="30" t="s">
        <v>1588</v>
      </c>
      <c r="F2166" s="30" t="s">
        <v>1591</v>
      </c>
      <c r="H2166" s="30" t="s">
        <v>1592</v>
      </c>
      <c r="L2166" s="30" t="s">
        <v>5765</v>
      </c>
      <c r="M2166" s="30" t="s">
        <v>351</v>
      </c>
      <c r="N2166" s="30" t="s">
        <v>1339</v>
      </c>
      <c r="P2166" s="30" t="s">
        <v>5893</v>
      </c>
      <c r="Q2166" t="s">
        <v>619</v>
      </c>
      <c r="R2166" t="s">
        <v>918</v>
      </c>
      <c r="S2166">
        <v>37</v>
      </c>
      <c r="T2166" s="29" t="str">
        <f t="shared" si="92"/>
        <v>2021.082B.R.Tevens_new_families.zip</v>
      </c>
      <c r="U2166" s="29" t="str">
        <f>HYPERLINK("https://ictv.global/taxonomy/taxondetails?taxnode_id=202312007","ictv.global=202312007")</f>
        <v>ictv.global=202312007</v>
      </c>
    </row>
    <row r="2167" spans="1:21">
      <c r="A2167">
        <v>2166</v>
      </c>
      <c r="B2167" s="30" t="s">
        <v>1587</v>
      </c>
      <c r="D2167" s="30" t="s">
        <v>1588</v>
      </c>
      <c r="F2167" s="30" t="s">
        <v>1591</v>
      </c>
      <c r="H2167" s="30" t="s">
        <v>1592</v>
      </c>
      <c r="L2167" s="30" t="s">
        <v>5765</v>
      </c>
      <c r="M2167" s="30" t="s">
        <v>351</v>
      </c>
      <c r="N2167" s="30" t="s">
        <v>1339</v>
      </c>
      <c r="P2167" s="30" t="s">
        <v>5894</v>
      </c>
      <c r="Q2167" t="s">
        <v>619</v>
      </c>
      <c r="R2167" t="s">
        <v>918</v>
      </c>
      <c r="S2167">
        <v>37</v>
      </c>
      <c r="T2167" s="29" t="str">
        <f t="shared" si="92"/>
        <v>2021.082B.R.Tevens_new_families.zip</v>
      </c>
      <c r="U2167" s="29" t="str">
        <f>HYPERLINK("https://ictv.global/taxonomy/taxondetails?taxnode_id=202312012","ictv.global=202312012")</f>
        <v>ictv.global=202312012</v>
      </c>
    </row>
    <row r="2168" spans="1:21">
      <c r="A2168">
        <v>2167</v>
      </c>
      <c r="B2168" s="30" t="s">
        <v>1587</v>
      </c>
      <c r="D2168" s="30" t="s">
        <v>1588</v>
      </c>
      <c r="F2168" s="30" t="s">
        <v>1591</v>
      </c>
      <c r="H2168" s="30" t="s">
        <v>1592</v>
      </c>
      <c r="L2168" s="30" t="s">
        <v>5765</v>
      </c>
      <c r="M2168" s="30" t="s">
        <v>351</v>
      </c>
      <c r="N2168" s="30" t="s">
        <v>1339</v>
      </c>
      <c r="P2168" s="30" t="s">
        <v>5895</v>
      </c>
      <c r="Q2168" t="s">
        <v>619</v>
      </c>
      <c r="R2168" t="s">
        <v>920</v>
      </c>
      <c r="S2168">
        <v>38</v>
      </c>
      <c r="T2168" s="29" t="str">
        <f>HYPERLINK("https://ictv.global/ictv/proposals/2022.087B.Straboviridae_update.zip","2022.087B.Straboviridae_update.zip")</f>
        <v>2022.087B.Straboviridae_update.zip</v>
      </c>
      <c r="U2168" s="29" t="str">
        <f>HYPERLINK("https://ictv.global/taxonomy/taxondetails?taxnode_id=202307055","ictv.global=202307055")</f>
        <v>ictv.global=202307055</v>
      </c>
    </row>
    <row r="2169" spans="1:21">
      <c r="A2169">
        <v>2168</v>
      </c>
      <c r="B2169" s="30" t="s">
        <v>1587</v>
      </c>
      <c r="D2169" s="30" t="s">
        <v>1588</v>
      </c>
      <c r="F2169" s="30" t="s">
        <v>1591</v>
      </c>
      <c r="H2169" s="30" t="s">
        <v>1592</v>
      </c>
      <c r="L2169" s="30" t="s">
        <v>5765</v>
      </c>
      <c r="M2169" s="30" t="s">
        <v>351</v>
      </c>
      <c r="N2169" s="30" t="s">
        <v>1339</v>
      </c>
      <c r="P2169" s="30" t="s">
        <v>5896</v>
      </c>
      <c r="Q2169" t="s">
        <v>619</v>
      </c>
      <c r="R2169" t="s">
        <v>918</v>
      </c>
      <c r="S2169">
        <v>37</v>
      </c>
      <c r="T2169" s="29" t="str">
        <f t="shared" ref="T2169:T2182" si="93">HYPERLINK("https://ictv.global/ictv/proposals/2021.082B.R.Tevens_new_families.zip","2021.082B.R.Tevens_new_families.zip")</f>
        <v>2021.082B.R.Tevens_new_families.zip</v>
      </c>
      <c r="U2169" s="29" t="str">
        <f>HYPERLINK("https://ictv.global/taxonomy/taxondetails?taxnode_id=202300334","ictv.global=202300334")</f>
        <v>ictv.global=202300334</v>
      </c>
    </row>
    <row r="2170" spans="1:21">
      <c r="A2170">
        <v>2169</v>
      </c>
      <c r="B2170" s="30" t="s">
        <v>1587</v>
      </c>
      <c r="D2170" s="30" t="s">
        <v>1588</v>
      </c>
      <c r="F2170" s="30" t="s">
        <v>1591</v>
      </c>
      <c r="H2170" s="30" t="s">
        <v>1592</v>
      </c>
      <c r="L2170" s="30" t="s">
        <v>5765</v>
      </c>
      <c r="M2170" s="30" t="s">
        <v>351</v>
      </c>
      <c r="N2170" s="30" t="s">
        <v>1339</v>
      </c>
      <c r="P2170" s="30" t="s">
        <v>5897</v>
      </c>
      <c r="Q2170" t="s">
        <v>619</v>
      </c>
      <c r="R2170" t="s">
        <v>918</v>
      </c>
      <c r="S2170">
        <v>37</v>
      </c>
      <c r="T2170" s="29" t="str">
        <f t="shared" si="93"/>
        <v>2021.082B.R.Tevens_new_families.zip</v>
      </c>
      <c r="U2170" s="29" t="str">
        <f>HYPERLINK("https://ictv.global/taxonomy/taxondetails?taxnode_id=202312014","ictv.global=202312014")</f>
        <v>ictv.global=202312014</v>
      </c>
    </row>
    <row r="2171" spans="1:21">
      <c r="A2171">
        <v>2170</v>
      </c>
      <c r="B2171" s="30" t="s">
        <v>1587</v>
      </c>
      <c r="D2171" s="30" t="s">
        <v>1588</v>
      </c>
      <c r="F2171" s="30" t="s">
        <v>1591</v>
      </c>
      <c r="H2171" s="30" t="s">
        <v>1592</v>
      </c>
      <c r="L2171" s="30" t="s">
        <v>5765</v>
      </c>
      <c r="M2171" s="30" t="s">
        <v>351</v>
      </c>
      <c r="N2171" s="30" t="s">
        <v>1339</v>
      </c>
      <c r="P2171" s="30" t="s">
        <v>5898</v>
      </c>
      <c r="Q2171" t="s">
        <v>619</v>
      </c>
      <c r="R2171" t="s">
        <v>918</v>
      </c>
      <c r="S2171">
        <v>37</v>
      </c>
      <c r="T2171" s="29" t="str">
        <f t="shared" si="93"/>
        <v>2021.082B.R.Tevens_new_families.zip</v>
      </c>
      <c r="U2171" s="29" t="str">
        <f>HYPERLINK("https://ictv.global/taxonomy/taxondetails?taxnode_id=202312015","ictv.global=202312015")</f>
        <v>ictv.global=202312015</v>
      </c>
    </row>
    <row r="2172" spans="1:21">
      <c r="A2172">
        <v>2171</v>
      </c>
      <c r="B2172" s="30" t="s">
        <v>1587</v>
      </c>
      <c r="D2172" s="30" t="s">
        <v>1588</v>
      </c>
      <c r="F2172" s="30" t="s">
        <v>1591</v>
      </c>
      <c r="H2172" s="30" t="s">
        <v>1592</v>
      </c>
      <c r="L2172" s="30" t="s">
        <v>5765</v>
      </c>
      <c r="M2172" s="30" t="s">
        <v>351</v>
      </c>
      <c r="N2172" s="30" t="s">
        <v>1339</v>
      </c>
      <c r="P2172" s="30" t="s">
        <v>5899</v>
      </c>
      <c r="Q2172" t="s">
        <v>619</v>
      </c>
      <c r="R2172" t="s">
        <v>917</v>
      </c>
      <c r="S2172">
        <v>37</v>
      </c>
      <c r="T2172" s="29" t="str">
        <f t="shared" si="93"/>
        <v>2021.082B.R.Tevens_new_families.zip</v>
      </c>
      <c r="U2172" s="29" t="str">
        <f>HYPERLINK("https://ictv.global/taxonomy/taxondetails?taxnode_id=202313949","ictv.global=202313949")</f>
        <v>ictv.global=202313949</v>
      </c>
    </row>
    <row r="2173" spans="1:21">
      <c r="A2173">
        <v>2172</v>
      </c>
      <c r="B2173" s="30" t="s">
        <v>1587</v>
      </c>
      <c r="D2173" s="30" t="s">
        <v>1588</v>
      </c>
      <c r="F2173" s="30" t="s">
        <v>1591</v>
      </c>
      <c r="H2173" s="30" t="s">
        <v>1592</v>
      </c>
      <c r="L2173" s="30" t="s">
        <v>5765</v>
      </c>
      <c r="M2173" s="30" t="s">
        <v>351</v>
      </c>
      <c r="N2173" s="30" t="s">
        <v>1339</v>
      </c>
      <c r="P2173" s="30" t="s">
        <v>5900</v>
      </c>
      <c r="Q2173" t="s">
        <v>619</v>
      </c>
      <c r="R2173" t="s">
        <v>918</v>
      </c>
      <c r="S2173">
        <v>37</v>
      </c>
      <c r="T2173" s="29" t="str">
        <f t="shared" si="93"/>
        <v>2021.082B.R.Tevens_new_families.zip</v>
      </c>
      <c r="U2173" s="29" t="str">
        <f>HYPERLINK("https://ictv.global/taxonomy/taxondetails?taxnode_id=202307054","ictv.global=202307054")</f>
        <v>ictv.global=202307054</v>
      </c>
    </row>
    <row r="2174" spans="1:21">
      <c r="A2174">
        <v>2173</v>
      </c>
      <c r="B2174" s="30" t="s">
        <v>1587</v>
      </c>
      <c r="D2174" s="30" t="s">
        <v>1588</v>
      </c>
      <c r="F2174" s="30" t="s">
        <v>1591</v>
      </c>
      <c r="H2174" s="30" t="s">
        <v>1592</v>
      </c>
      <c r="L2174" s="30" t="s">
        <v>5765</v>
      </c>
      <c r="M2174" s="30" t="s">
        <v>351</v>
      </c>
      <c r="N2174" s="30" t="s">
        <v>1339</v>
      </c>
      <c r="P2174" s="30" t="s">
        <v>5901</v>
      </c>
      <c r="Q2174" t="s">
        <v>619</v>
      </c>
      <c r="R2174" t="s">
        <v>917</v>
      </c>
      <c r="S2174">
        <v>37</v>
      </c>
      <c r="T2174" s="29" t="str">
        <f t="shared" si="93"/>
        <v>2021.082B.R.Tevens_new_families.zip</v>
      </c>
      <c r="U2174" s="29" t="str">
        <f>HYPERLINK("https://ictv.global/taxonomy/taxondetails?taxnode_id=202313950","ictv.global=202313950")</f>
        <v>ictv.global=202313950</v>
      </c>
    </row>
    <row r="2175" spans="1:21">
      <c r="A2175">
        <v>2174</v>
      </c>
      <c r="B2175" s="30" t="s">
        <v>1587</v>
      </c>
      <c r="D2175" s="30" t="s">
        <v>1588</v>
      </c>
      <c r="F2175" s="30" t="s">
        <v>1591</v>
      </c>
      <c r="H2175" s="30" t="s">
        <v>1592</v>
      </c>
      <c r="L2175" s="30" t="s">
        <v>5765</v>
      </c>
      <c r="M2175" s="30" t="s">
        <v>351</v>
      </c>
      <c r="N2175" s="30" t="s">
        <v>1339</v>
      </c>
      <c r="P2175" s="30" t="s">
        <v>5902</v>
      </c>
      <c r="Q2175" t="s">
        <v>619</v>
      </c>
      <c r="R2175" t="s">
        <v>918</v>
      </c>
      <c r="S2175">
        <v>37</v>
      </c>
      <c r="T2175" s="29" t="str">
        <f t="shared" si="93"/>
        <v>2021.082B.R.Tevens_new_families.zip</v>
      </c>
      <c r="U2175" s="29" t="str">
        <f>HYPERLINK("https://ictv.global/taxonomy/taxondetails?taxnode_id=202312006","ictv.global=202312006")</f>
        <v>ictv.global=202312006</v>
      </c>
    </row>
    <row r="2176" spans="1:21">
      <c r="A2176">
        <v>2175</v>
      </c>
      <c r="B2176" s="30" t="s">
        <v>1587</v>
      </c>
      <c r="D2176" s="30" t="s">
        <v>1588</v>
      </c>
      <c r="F2176" s="30" t="s">
        <v>1591</v>
      </c>
      <c r="H2176" s="30" t="s">
        <v>1592</v>
      </c>
      <c r="L2176" s="30" t="s">
        <v>5765</v>
      </c>
      <c r="M2176" s="30" t="s">
        <v>351</v>
      </c>
      <c r="N2176" s="30" t="s">
        <v>1339</v>
      </c>
      <c r="P2176" s="30" t="s">
        <v>5903</v>
      </c>
      <c r="Q2176" t="s">
        <v>619</v>
      </c>
      <c r="R2176" t="s">
        <v>918</v>
      </c>
      <c r="S2176">
        <v>37</v>
      </c>
      <c r="T2176" s="29" t="str">
        <f t="shared" si="93"/>
        <v>2021.082B.R.Tevens_new_families.zip</v>
      </c>
      <c r="U2176" s="29" t="str">
        <f>HYPERLINK("https://ictv.global/taxonomy/taxondetails?taxnode_id=202311983","ictv.global=202311983")</f>
        <v>ictv.global=202311983</v>
      </c>
    </row>
    <row r="2177" spans="1:21">
      <c r="A2177">
        <v>2176</v>
      </c>
      <c r="B2177" s="30" t="s">
        <v>1587</v>
      </c>
      <c r="D2177" s="30" t="s">
        <v>1588</v>
      </c>
      <c r="F2177" s="30" t="s">
        <v>1591</v>
      </c>
      <c r="H2177" s="30" t="s">
        <v>1592</v>
      </c>
      <c r="L2177" s="30" t="s">
        <v>5765</v>
      </c>
      <c r="M2177" s="30" t="s">
        <v>351</v>
      </c>
      <c r="N2177" s="30" t="s">
        <v>1339</v>
      </c>
      <c r="P2177" s="30" t="s">
        <v>5904</v>
      </c>
      <c r="Q2177" t="s">
        <v>619</v>
      </c>
      <c r="R2177" t="s">
        <v>918</v>
      </c>
      <c r="S2177">
        <v>37</v>
      </c>
      <c r="T2177" s="29" t="str">
        <f t="shared" si="93"/>
        <v>2021.082B.R.Tevens_new_families.zip</v>
      </c>
      <c r="U2177" s="29" t="str">
        <f>HYPERLINK("https://ictv.global/taxonomy/taxondetails?taxnode_id=202300332","ictv.global=202300332")</f>
        <v>ictv.global=202300332</v>
      </c>
    </row>
    <row r="2178" spans="1:21">
      <c r="A2178">
        <v>2177</v>
      </c>
      <c r="B2178" s="30" t="s">
        <v>1587</v>
      </c>
      <c r="D2178" s="30" t="s">
        <v>1588</v>
      </c>
      <c r="F2178" s="30" t="s">
        <v>1591</v>
      </c>
      <c r="H2178" s="30" t="s">
        <v>1592</v>
      </c>
      <c r="L2178" s="30" t="s">
        <v>5765</v>
      </c>
      <c r="M2178" s="30" t="s">
        <v>351</v>
      </c>
      <c r="N2178" s="30" t="s">
        <v>1339</v>
      </c>
      <c r="P2178" s="30" t="s">
        <v>5905</v>
      </c>
      <c r="Q2178" t="s">
        <v>619</v>
      </c>
      <c r="R2178" t="s">
        <v>918</v>
      </c>
      <c r="S2178">
        <v>37</v>
      </c>
      <c r="T2178" s="29" t="str">
        <f t="shared" si="93"/>
        <v>2021.082B.R.Tevens_new_families.zip</v>
      </c>
      <c r="U2178" s="29" t="str">
        <f>HYPERLINK("https://ictv.global/taxonomy/taxondetails?taxnode_id=202311974","ictv.global=202311974")</f>
        <v>ictv.global=202311974</v>
      </c>
    </row>
    <row r="2179" spans="1:21">
      <c r="A2179">
        <v>2178</v>
      </c>
      <c r="B2179" s="30" t="s">
        <v>1587</v>
      </c>
      <c r="D2179" s="30" t="s">
        <v>1588</v>
      </c>
      <c r="F2179" s="30" t="s">
        <v>1591</v>
      </c>
      <c r="H2179" s="30" t="s">
        <v>1592</v>
      </c>
      <c r="L2179" s="30" t="s">
        <v>5765</v>
      </c>
      <c r="M2179" s="30" t="s">
        <v>351</v>
      </c>
      <c r="N2179" s="30" t="s">
        <v>1339</v>
      </c>
      <c r="P2179" s="30" t="s">
        <v>5906</v>
      </c>
      <c r="Q2179" t="s">
        <v>619</v>
      </c>
      <c r="R2179" t="s">
        <v>918</v>
      </c>
      <c r="S2179">
        <v>37</v>
      </c>
      <c r="T2179" s="29" t="str">
        <f t="shared" si="93"/>
        <v>2021.082B.R.Tevens_new_families.zip</v>
      </c>
      <c r="U2179" s="29" t="str">
        <f>HYPERLINK("https://ictv.global/taxonomy/taxondetails?taxnode_id=202311984","ictv.global=202311984")</f>
        <v>ictv.global=202311984</v>
      </c>
    </row>
    <row r="2180" spans="1:21">
      <c r="A2180">
        <v>2179</v>
      </c>
      <c r="B2180" s="30" t="s">
        <v>1587</v>
      </c>
      <c r="D2180" s="30" t="s">
        <v>1588</v>
      </c>
      <c r="F2180" s="30" t="s">
        <v>1591</v>
      </c>
      <c r="H2180" s="30" t="s">
        <v>1592</v>
      </c>
      <c r="L2180" s="30" t="s">
        <v>5765</v>
      </c>
      <c r="M2180" s="30" t="s">
        <v>351</v>
      </c>
      <c r="N2180" s="30" t="s">
        <v>1339</v>
      </c>
      <c r="P2180" s="30" t="s">
        <v>5907</v>
      </c>
      <c r="Q2180" t="s">
        <v>619</v>
      </c>
      <c r="R2180" t="s">
        <v>918</v>
      </c>
      <c r="S2180">
        <v>37</v>
      </c>
      <c r="T2180" s="29" t="str">
        <f t="shared" si="93"/>
        <v>2021.082B.R.Tevens_new_families.zip</v>
      </c>
      <c r="U2180" s="29" t="str">
        <f>HYPERLINK("https://ictv.global/taxonomy/taxondetails?taxnode_id=202311985","ictv.global=202311985")</f>
        <v>ictv.global=202311985</v>
      </c>
    </row>
    <row r="2181" spans="1:21">
      <c r="A2181">
        <v>2180</v>
      </c>
      <c r="B2181" s="30" t="s">
        <v>1587</v>
      </c>
      <c r="D2181" s="30" t="s">
        <v>1588</v>
      </c>
      <c r="F2181" s="30" t="s">
        <v>1591</v>
      </c>
      <c r="H2181" s="30" t="s">
        <v>1592</v>
      </c>
      <c r="L2181" s="30" t="s">
        <v>5765</v>
      </c>
      <c r="M2181" s="30" t="s">
        <v>351</v>
      </c>
      <c r="N2181" s="30" t="s">
        <v>1339</v>
      </c>
      <c r="P2181" s="30" t="s">
        <v>5908</v>
      </c>
      <c r="Q2181" t="s">
        <v>619</v>
      </c>
      <c r="R2181" t="s">
        <v>918</v>
      </c>
      <c r="S2181">
        <v>37</v>
      </c>
      <c r="T2181" s="29" t="str">
        <f t="shared" si="93"/>
        <v>2021.082B.R.Tevens_new_families.zip</v>
      </c>
      <c r="U2181" s="29" t="str">
        <f>HYPERLINK("https://ictv.global/taxonomy/taxondetails?taxnode_id=202311986","ictv.global=202311986")</f>
        <v>ictv.global=202311986</v>
      </c>
    </row>
    <row r="2182" spans="1:21">
      <c r="A2182">
        <v>2181</v>
      </c>
      <c r="B2182" s="30" t="s">
        <v>1587</v>
      </c>
      <c r="D2182" s="30" t="s">
        <v>1588</v>
      </c>
      <c r="F2182" s="30" t="s">
        <v>1591</v>
      </c>
      <c r="H2182" s="30" t="s">
        <v>1592</v>
      </c>
      <c r="L2182" s="30" t="s">
        <v>5765</v>
      </c>
      <c r="M2182" s="30" t="s">
        <v>351</v>
      </c>
      <c r="N2182" s="30" t="s">
        <v>1339</v>
      </c>
      <c r="P2182" s="30" t="s">
        <v>5909</v>
      </c>
      <c r="Q2182" t="s">
        <v>619</v>
      </c>
      <c r="R2182" t="s">
        <v>918</v>
      </c>
      <c r="S2182">
        <v>37</v>
      </c>
      <c r="T2182" s="29" t="str">
        <f t="shared" si="93"/>
        <v>2021.082B.R.Tevens_new_families.zip</v>
      </c>
      <c r="U2182" s="29" t="str">
        <f>HYPERLINK("https://ictv.global/taxonomy/taxondetails?taxnode_id=202311987","ictv.global=202311987")</f>
        <v>ictv.global=202311987</v>
      </c>
    </row>
    <row r="2183" spans="1:21">
      <c r="A2183">
        <v>2182</v>
      </c>
      <c r="B2183" s="30" t="s">
        <v>1587</v>
      </c>
      <c r="D2183" s="30" t="s">
        <v>1588</v>
      </c>
      <c r="F2183" s="30" t="s">
        <v>1591</v>
      </c>
      <c r="H2183" s="30" t="s">
        <v>1592</v>
      </c>
      <c r="L2183" s="30" t="s">
        <v>5765</v>
      </c>
      <c r="M2183" s="30" t="s">
        <v>351</v>
      </c>
      <c r="N2183" s="30" t="s">
        <v>1339</v>
      </c>
      <c r="P2183" s="30" t="s">
        <v>12152</v>
      </c>
      <c r="Q2183" t="s">
        <v>619</v>
      </c>
      <c r="R2183" t="s">
        <v>917</v>
      </c>
      <c r="S2183">
        <v>39</v>
      </c>
      <c r="T2183" s="29" t="str">
        <f>HYPERLINK("https://ictv.global/ictv/proposals/2023.066B.Tequatrovirus_1ns.zip","2023.066B.Tequatrovirus_1ns.zip")</f>
        <v>2023.066B.Tequatrovirus_1ns.zip</v>
      </c>
      <c r="U2183" s="29" t="str">
        <f>HYPERLINK("https://ictv.global/taxonomy/taxondetails?taxnode_id=202319345","ictv.global=202319345")</f>
        <v>ictv.global=202319345</v>
      </c>
    </row>
    <row r="2184" spans="1:21">
      <c r="A2184">
        <v>2183</v>
      </c>
      <c r="B2184" s="30" t="s">
        <v>1587</v>
      </c>
      <c r="D2184" s="30" t="s">
        <v>1588</v>
      </c>
      <c r="F2184" s="30" t="s">
        <v>1591</v>
      </c>
      <c r="H2184" s="30" t="s">
        <v>1592</v>
      </c>
      <c r="L2184" s="30" t="s">
        <v>5765</v>
      </c>
      <c r="M2184" s="30" t="s">
        <v>351</v>
      </c>
      <c r="N2184" s="30" t="s">
        <v>1339</v>
      </c>
      <c r="P2184" s="30" t="s">
        <v>5910</v>
      </c>
      <c r="Q2184" t="s">
        <v>619</v>
      </c>
      <c r="R2184" t="s">
        <v>917</v>
      </c>
      <c r="S2184">
        <v>37</v>
      </c>
      <c r="T2184" s="29" t="str">
        <f>HYPERLINK("https://ictv.global/ictv/proposals/2021.082B.R.Tevens_new_families.zip","2021.082B.R.Tevens_new_families.zip")</f>
        <v>2021.082B.R.Tevens_new_families.zip</v>
      </c>
      <c r="U2184" s="29" t="str">
        <f>HYPERLINK("https://ictv.global/taxonomy/taxondetails?taxnode_id=202313946","ictv.global=202313946")</f>
        <v>ictv.global=202313946</v>
      </c>
    </row>
    <row r="2185" spans="1:21">
      <c r="A2185">
        <v>2184</v>
      </c>
      <c r="B2185" s="30" t="s">
        <v>1587</v>
      </c>
      <c r="D2185" s="30" t="s">
        <v>1588</v>
      </c>
      <c r="F2185" s="30" t="s">
        <v>1591</v>
      </c>
      <c r="H2185" s="30" t="s">
        <v>1592</v>
      </c>
      <c r="L2185" s="30" t="s">
        <v>5765</v>
      </c>
      <c r="M2185" s="30" t="s">
        <v>351</v>
      </c>
      <c r="N2185" s="30" t="s">
        <v>1339</v>
      </c>
      <c r="P2185" s="30" t="s">
        <v>5911</v>
      </c>
      <c r="Q2185" t="s">
        <v>619</v>
      </c>
      <c r="R2185" t="s">
        <v>917</v>
      </c>
      <c r="S2185">
        <v>38</v>
      </c>
      <c r="T2185" s="29" t="str">
        <f>HYPERLINK("https://ictv.global/ictv/proposals/2022.087B.Straboviridae_update.zip","2022.087B.Straboviridae_update.zip")</f>
        <v>2022.087B.Straboviridae_update.zip</v>
      </c>
      <c r="U2185" s="29" t="str">
        <f>HYPERLINK("https://ictv.global/taxonomy/taxondetails?taxnode_id=202314944","ictv.global=202314944")</f>
        <v>ictv.global=202314944</v>
      </c>
    </row>
    <row r="2186" spans="1:21">
      <c r="A2186">
        <v>2185</v>
      </c>
      <c r="B2186" s="30" t="s">
        <v>1587</v>
      </c>
      <c r="D2186" s="30" t="s">
        <v>1588</v>
      </c>
      <c r="F2186" s="30" t="s">
        <v>1591</v>
      </c>
      <c r="H2186" s="30" t="s">
        <v>1592</v>
      </c>
      <c r="L2186" s="30" t="s">
        <v>5765</v>
      </c>
      <c r="M2186" s="30" t="s">
        <v>351</v>
      </c>
      <c r="N2186" s="30" t="s">
        <v>1339</v>
      </c>
      <c r="P2186" s="30" t="s">
        <v>5912</v>
      </c>
      <c r="Q2186" t="s">
        <v>619</v>
      </c>
      <c r="R2186" t="s">
        <v>918</v>
      </c>
      <c r="S2186">
        <v>37</v>
      </c>
      <c r="T2186" s="29" t="str">
        <f t="shared" ref="T2186:T2191" si="94">HYPERLINK("https://ictv.global/ictv/proposals/2021.082B.R.Tevens_new_families.zip","2021.082B.R.Tevens_new_families.zip")</f>
        <v>2021.082B.R.Tevens_new_families.zip</v>
      </c>
      <c r="U2186" s="29" t="str">
        <f>HYPERLINK("https://ictv.global/taxonomy/taxondetails?taxnode_id=202312018","ictv.global=202312018")</f>
        <v>ictv.global=202312018</v>
      </c>
    </row>
    <row r="2187" spans="1:21">
      <c r="A2187">
        <v>2186</v>
      </c>
      <c r="B2187" s="30" t="s">
        <v>1587</v>
      </c>
      <c r="D2187" s="30" t="s">
        <v>1588</v>
      </c>
      <c r="F2187" s="30" t="s">
        <v>1591</v>
      </c>
      <c r="H2187" s="30" t="s">
        <v>1592</v>
      </c>
      <c r="L2187" s="30" t="s">
        <v>5765</v>
      </c>
      <c r="M2187" s="30" t="s">
        <v>351</v>
      </c>
      <c r="N2187" s="30" t="s">
        <v>1339</v>
      </c>
      <c r="P2187" s="30" t="s">
        <v>5913</v>
      </c>
      <c r="Q2187" t="s">
        <v>619</v>
      </c>
      <c r="R2187" t="s">
        <v>918</v>
      </c>
      <c r="S2187">
        <v>37</v>
      </c>
      <c r="T2187" s="29" t="str">
        <f t="shared" si="94"/>
        <v>2021.082B.R.Tevens_new_families.zip</v>
      </c>
      <c r="U2187" s="29" t="str">
        <f>HYPERLINK("https://ictv.global/taxonomy/taxondetails?taxnode_id=202311966","ictv.global=202311966")</f>
        <v>ictv.global=202311966</v>
      </c>
    </row>
    <row r="2188" spans="1:21">
      <c r="A2188">
        <v>2187</v>
      </c>
      <c r="B2188" s="30" t="s">
        <v>1587</v>
      </c>
      <c r="D2188" s="30" t="s">
        <v>1588</v>
      </c>
      <c r="F2188" s="30" t="s">
        <v>1591</v>
      </c>
      <c r="H2188" s="30" t="s">
        <v>1592</v>
      </c>
      <c r="L2188" s="30" t="s">
        <v>5765</v>
      </c>
      <c r="M2188" s="30" t="s">
        <v>351</v>
      </c>
      <c r="N2188" s="30" t="s">
        <v>1339</v>
      </c>
      <c r="P2188" s="30" t="s">
        <v>5914</v>
      </c>
      <c r="Q2188" t="s">
        <v>619</v>
      </c>
      <c r="R2188" t="s">
        <v>918</v>
      </c>
      <c r="S2188">
        <v>37</v>
      </c>
      <c r="T2188" s="29" t="str">
        <f t="shared" si="94"/>
        <v>2021.082B.R.Tevens_new_families.zip</v>
      </c>
      <c r="U2188" s="29" t="str">
        <f>HYPERLINK("https://ictv.global/taxonomy/taxondetails?taxnode_id=202311967","ictv.global=202311967")</f>
        <v>ictv.global=202311967</v>
      </c>
    </row>
    <row r="2189" spans="1:21">
      <c r="A2189">
        <v>2188</v>
      </c>
      <c r="B2189" s="30" t="s">
        <v>1587</v>
      </c>
      <c r="D2189" s="30" t="s">
        <v>1588</v>
      </c>
      <c r="F2189" s="30" t="s">
        <v>1591</v>
      </c>
      <c r="H2189" s="30" t="s">
        <v>1592</v>
      </c>
      <c r="L2189" s="30" t="s">
        <v>5765</v>
      </c>
      <c r="M2189" s="30" t="s">
        <v>351</v>
      </c>
      <c r="N2189" s="30" t="s">
        <v>1339</v>
      </c>
      <c r="P2189" s="30" t="s">
        <v>5915</v>
      </c>
      <c r="Q2189" t="s">
        <v>619</v>
      </c>
      <c r="R2189" t="s">
        <v>918</v>
      </c>
      <c r="S2189">
        <v>37</v>
      </c>
      <c r="T2189" s="29" t="str">
        <f t="shared" si="94"/>
        <v>2021.082B.R.Tevens_new_families.zip</v>
      </c>
      <c r="U2189" s="29" t="str">
        <f>HYPERLINK("https://ictv.global/taxonomy/taxondetails?taxnode_id=202312008","ictv.global=202312008")</f>
        <v>ictv.global=202312008</v>
      </c>
    </row>
    <row r="2190" spans="1:21">
      <c r="A2190">
        <v>2189</v>
      </c>
      <c r="B2190" s="30" t="s">
        <v>1587</v>
      </c>
      <c r="D2190" s="30" t="s">
        <v>1588</v>
      </c>
      <c r="F2190" s="30" t="s">
        <v>1591</v>
      </c>
      <c r="H2190" s="30" t="s">
        <v>1592</v>
      </c>
      <c r="L2190" s="30" t="s">
        <v>5765</v>
      </c>
      <c r="M2190" s="30" t="s">
        <v>351</v>
      </c>
      <c r="N2190" s="30" t="s">
        <v>1395</v>
      </c>
      <c r="P2190" s="30" t="s">
        <v>5916</v>
      </c>
      <c r="Q2190" t="s">
        <v>619</v>
      </c>
      <c r="R2190" t="s">
        <v>918</v>
      </c>
      <c r="S2190">
        <v>37</v>
      </c>
      <c r="T2190" s="29" t="str">
        <f t="shared" si="94"/>
        <v>2021.082B.R.Tevens_new_families.zip</v>
      </c>
      <c r="U2190" s="29" t="str">
        <f>HYPERLINK("https://ictv.global/taxonomy/taxondetails?taxnode_id=202306871","ictv.global=202306871")</f>
        <v>ictv.global=202306871</v>
      </c>
    </row>
    <row r="2191" spans="1:21">
      <c r="A2191">
        <v>2190</v>
      </c>
      <c r="B2191" s="30" t="s">
        <v>1587</v>
      </c>
      <c r="D2191" s="30" t="s">
        <v>1588</v>
      </c>
      <c r="F2191" s="30" t="s">
        <v>1591</v>
      </c>
      <c r="H2191" s="30" t="s">
        <v>1592</v>
      </c>
      <c r="L2191" s="30" t="s">
        <v>5765</v>
      </c>
      <c r="M2191" s="30" t="s">
        <v>351</v>
      </c>
      <c r="N2191" s="30" t="s">
        <v>1395</v>
      </c>
      <c r="P2191" s="30" t="s">
        <v>5917</v>
      </c>
      <c r="Q2191" t="s">
        <v>619</v>
      </c>
      <c r="R2191" t="s">
        <v>917</v>
      </c>
      <c r="S2191">
        <v>37</v>
      </c>
      <c r="T2191" s="29" t="str">
        <f t="shared" si="94"/>
        <v>2021.082B.R.Tevens_new_families.zip</v>
      </c>
      <c r="U2191" s="29" t="str">
        <f>HYPERLINK("https://ictv.global/taxonomy/taxondetails?taxnode_id=202313688","ictv.global=202313688")</f>
        <v>ictv.global=202313688</v>
      </c>
    </row>
    <row r="2192" spans="1:21">
      <c r="A2192">
        <v>2191</v>
      </c>
      <c r="B2192" s="30" t="s">
        <v>1587</v>
      </c>
      <c r="D2192" s="30" t="s">
        <v>1588</v>
      </c>
      <c r="F2192" s="30" t="s">
        <v>1591</v>
      </c>
      <c r="H2192" s="30" t="s">
        <v>1592</v>
      </c>
      <c r="L2192" s="30" t="s">
        <v>5765</v>
      </c>
      <c r="M2192" s="30" t="s">
        <v>351</v>
      </c>
      <c r="P2192" s="30" t="s">
        <v>632</v>
      </c>
      <c r="Q2192" t="s">
        <v>619</v>
      </c>
      <c r="R2192" t="s">
        <v>919</v>
      </c>
      <c r="S2192">
        <v>37</v>
      </c>
      <c r="T2192" s="29" t="str">
        <f>HYPERLINK("https://ictv.global/ictv/proposals/2021.001B.R.abolish_Caudovirales.zip","2021.001B.R.abolish_Caudovirales.zip;2021.082B.A.v1.Tevens_new_families.zip")</f>
        <v>2021.001B.R.abolish_Caudovirales.zip;2021.082B.A.v1.Tevens_new_families.zip</v>
      </c>
      <c r="U2192" s="29" t="str">
        <f>HYPERLINK("https://ictv.global/taxonomy/taxondetails?taxnode_id=202300338","ictv.global=202300338")</f>
        <v>ictv.global=202300338</v>
      </c>
    </row>
    <row r="2193" spans="1:21">
      <c r="A2193">
        <v>2192</v>
      </c>
      <c r="B2193" s="30" t="s">
        <v>1587</v>
      </c>
      <c r="D2193" s="30" t="s">
        <v>1588</v>
      </c>
      <c r="F2193" s="30" t="s">
        <v>1591</v>
      </c>
      <c r="H2193" s="30" t="s">
        <v>1592</v>
      </c>
      <c r="L2193" s="30" t="s">
        <v>5765</v>
      </c>
      <c r="M2193" s="30" t="s">
        <v>2249</v>
      </c>
      <c r="N2193" s="30" t="s">
        <v>2250</v>
      </c>
      <c r="P2193" s="30" t="s">
        <v>5918</v>
      </c>
      <c r="Q2193" t="s">
        <v>619</v>
      </c>
      <c r="R2193" t="s">
        <v>918</v>
      </c>
      <c r="S2193">
        <v>37</v>
      </c>
      <c r="T2193" s="29" t="str">
        <f>HYPERLINK("https://ictv.global/ictv/proposals/2021.082B.R.Tevens_new_families.zip","2021.082B.R.Tevens_new_families.zip")</f>
        <v>2021.082B.R.Tevens_new_families.zip</v>
      </c>
      <c r="U2193" s="29" t="str">
        <f>HYPERLINK("https://ictv.global/taxonomy/taxondetails?taxnode_id=202312076","ictv.global=202312076")</f>
        <v>ictv.global=202312076</v>
      </c>
    </row>
    <row r="2194" spans="1:21">
      <c r="A2194">
        <v>2193</v>
      </c>
      <c r="B2194" s="30" t="s">
        <v>1587</v>
      </c>
      <c r="D2194" s="30" t="s">
        <v>1588</v>
      </c>
      <c r="F2194" s="30" t="s">
        <v>1591</v>
      </c>
      <c r="H2194" s="30" t="s">
        <v>1592</v>
      </c>
      <c r="L2194" s="30" t="s">
        <v>5765</v>
      </c>
      <c r="M2194" s="30" t="s">
        <v>2249</v>
      </c>
      <c r="N2194" s="30" t="s">
        <v>2251</v>
      </c>
      <c r="P2194" s="30" t="s">
        <v>5919</v>
      </c>
      <c r="Q2194" t="s">
        <v>619</v>
      </c>
      <c r="R2194" t="s">
        <v>918</v>
      </c>
      <c r="S2194">
        <v>37</v>
      </c>
      <c r="T2194" s="29" t="str">
        <f>HYPERLINK("https://ictv.global/ictv/proposals/2021.082B.R.Tevens_new_families.zip","2021.082B.R.Tevens_new_families.zip")</f>
        <v>2021.082B.R.Tevens_new_families.zip</v>
      </c>
      <c r="U2194" s="29" t="str">
        <f>HYPERLINK("https://ictv.global/taxonomy/taxondetails?taxnode_id=202312064","ictv.global=202312064")</f>
        <v>ictv.global=202312064</v>
      </c>
    </row>
    <row r="2195" spans="1:21">
      <c r="A2195">
        <v>2194</v>
      </c>
      <c r="B2195" s="30" t="s">
        <v>1587</v>
      </c>
      <c r="D2195" s="30" t="s">
        <v>1588</v>
      </c>
      <c r="F2195" s="30" t="s">
        <v>1591</v>
      </c>
      <c r="H2195" s="30" t="s">
        <v>1592</v>
      </c>
      <c r="L2195" s="30" t="s">
        <v>5765</v>
      </c>
      <c r="M2195" s="30" t="s">
        <v>2249</v>
      </c>
      <c r="N2195" s="30" t="s">
        <v>2251</v>
      </c>
      <c r="P2195" s="30" t="s">
        <v>5920</v>
      </c>
      <c r="Q2195" t="s">
        <v>619</v>
      </c>
      <c r="R2195" t="s">
        <v>918</v>
      </c>
      <c r="S2195">
        <v>37</v>
      </c>
      <c r="T2195" s="29" t="str">
        <f>HYPERLINK("https://ictv.global/ictv/proposals/2021.082B.R.Tevens_new_families.zip","2021.082B.R.Tevens_new_families.zip")</f>
        <v>2021.082B.R.Tevens_new_families.zip</v>
      </c>
      <c r="U2195" s="29" t="str">
        <f>HYPERLINK("https://ictv.global/taxonomy/taxondetails?taxnode_id=202312065","ictv.global=202312065")</f>
        <v>ictv.global=202312065</v>
      </c>
    </row>
    <row r="2196" spans="1:21">
      <c r="A2196">
        <v>2195</v>
      </c>
      <c r="B2196" s="30" t="s">
        <v>1587</v>
      </c>
      <c r="D2196" s="30" t="s">
        <v>1588</v>
      </c>
      <c r="F2196" s="30" t="s">
        <v>1591</v>
      </c>
      <c r="H2196" s="30" t="s">
        <v>1592</v>
      </c>
      <c r="L2196" s="30" t="s">
        <v>5765</v>
      </c>
      <c r="M2196" s="30" t="s">
        <v>2249</v>
      </c>
      <c r="N2196" s="30" t="s">
        <v>2252</v>
      </c>
      <c r="P2196" s="30" t="s">
        <v>2253</v>
      </c>
      <c r="Q2196" t="s">
        <v>619</v>
      </c>
      <c r="R2196" t="s">
        <v>919</v>
      </c>
      <c r="S2196">
        <v>37</v>
      </c>
      <c r="T2196" s="29" t="str">
        <f>HYPERLINK("https://ictv.global/ictv/proposals/2021.001B.R.abolish_Caudovirales.zip","2021.001B.R.abolish_Caudovirales.zip;2021.082B.A.v1.Tevens_new_families.zip")</f>
        <v>2021.001B.R.abolish_Caudovirales.zip;2021.082B.A.v1.Tevens_new_families.zip</v>
      </c>
      <c r="U2196" s="29" t="str">
        <f>HYPERLINK("https://ictv.global/taxonomy/taxondetails?taxnode_id=202312062","ictv.global=202312062")</f>
        <v>ictv.global=202312062</v>
      </c>
    </row>
    <row r="2197" spans="1:21">
      <c r="A2197">
        <v>2196</v>
      </c>
      <c r="B2197" s="30" t="s">
        <v>1587</v>
      </c>
      <c r="D2197" s="30" t="s">
        <v>1588</v>
      </c>
      <c r="F2197" s="30" t="s">
        <v>1591</v>
      </c>
      <c r="H2197" s="30" t="s">
        <v>1592</v>
      </c>
      <c r="L2197" s="30" t="s">
        <v>5765</v>
      </c>
      <c r="M2197" s="30" t="s">
        <v>2249</v>
      </c>
      <c r="N2197" s="30" t="s">
        <v>2254</v>
      </c>
      <c r="P2197" s="30" t="s">
        <v>5921</v>
      </c>
      <c r="Q2197" t="s">
        <v>619</v>
      </c>
      <c r="R2197" t="s">
        <v>918</v>
      </c>
      <c r="S2197">
        <v>37</v>
      </c>
      <c r="T2197" s="29" t="str">
        <f t="shared" ref="T2197:T2223" si="95">HYPERLINK("https://ictv.global/ictv/proposals/2021.082B.R.Tevens_new_families.zip","2021.082B.R.Tevens_new_families.zip")</f>
        <v>2021.082B.R.Tevens_new_families.zip</v>
      </c>
      <c r="U2197" s="29" t="str">
        <f>HYPERLINK("https://ictv.global/taxonomy/taxondetails?taxnode_id=202312070","ictv.global=202312070")</f>
        <v>ictv.global=202312070</v>
      </c>
    </row>
    <row r="2198" spans="1:21">
      <c r="A2198">
        <v>2197</v>
      </c>
      <c r="B2198" s="30" t="s">
        <v>1587</v>
      </c>
      <c r="D2198" s="30" t="s">
        <v>1588</v>
      </c>
      <c r="F2198" s="30" t="s">
        <v>1591</v>
      </c>
      <c r="H2198" s="30" t="s">
        <v>1592</v>
      </c>
      <c r="L2198" s="30" t="s">
        <v>5765</v>
      </c>
      <c r="M2198" s="30" t="s">
        <v>2249</v>
      </c>
      <c r="N2198" s="30" t="s">
        <v>2254</v>
      </c>
      <c r="P2198" s="30" t="s">
        <v>5922</v>
      </c>
      <c r="Q2198" t="s">
        <v>619</v>
      </c>
      <c r="R2198" t="s">
        <v>918</v>
      </c>
      <c r="S2198">
        <v>37</v>
      </c>
      <c r="T2198" s="29" t="str">
        <f t="shared" si="95"/>
        <v>2021.082B.R.Tevens_new_families.zip</v>
      </c>
      <c r="U2198" s="29" t="str">
        <f>HYPERLINK("https://ictv.global/taxonomy/taxondetails?taxnode_id=202312069","ictv.global=202312069")</f>
        <v>ictv.global=202312069</v>
      </c>
    </row>
    <row r="2199" spans="1:21">
      <c r="A2199">
        <v>2198</v>
      </c>
      <c r="B2199" s="30" t="s">
        <v>1587</v>
      </c>
      <c r="D2199" s="30" t="s">
        <v>1588</v>
      </c>
      <c r="F2199" s="30" t="s">
        <v>1591</v>
      </c>
      <c r="H2199" s="30" t="s">
        <v>1592</v>
      </c>
      <c r="L2199" s="30" t="s">
        <v>5765</v>
      </c>
      <c r="M2199" s="30" t="s">
        <v>2249</v>
      </c>
      <c r="N2199" s="30" t="s">
        <v>2254</v>
      </c>
      <c r="P2199" s="30" t="s">
        <v>5923</v>
      </c>
      <c r="Q2199" t="s">
        <v>619</v>
      </c>
      <c r="R2199" t="s">
        <v>918</v>
      </c>
      <c r="S2199">
        <v>37</v>
      </c>
      <c r="T2199" s="29" t="str">
        <f t="shared" si="95"/>
        <v>2021.082B.R.Tevens_new_families.zip</v>
      </c>
      <c r="U2199" s="29" t="str">
        <f>HYPERLINK("https://ictv.global/taxonomy/taxondetails?taxnode_id=202312071","ictv.global=202312071")</f>
        <v>ictv.global=202312071</v>
      </c>
    </row>
    <row r="2200" spans="1:21">
      <c r="A2200">
        <v>2199</v>
      </c>
      <c r="B2200" s="30" t="s">
        <v>1587</v>
      </c>
      <c r="D2200" s="30" t="s">
        <v>1588</v>
      </c>
      <c r="F2200" s="30" t="s">
        <v>1591</v>
      </c>
      <c r="H2200" s="30" t="s">
        <v>1592</v>
      </c>
      <c r="L2200" s="30" t="s">
        <v>5765</v>
      </c>
      <c r="M2200" s="30" t="s">
        <v>2249</v>
      </c>
      <c r="N2200" s="30" t="s">
        <v>2254</v>
      </c>
      <c r="P2200" s="30" t="s">
        <v>5924</v>
      </c>
      <c r="Q2200" t="s">
        <v>619</v>
      </c>
      <c r="R2200" t="s">
        <v>918</v>
      </c>
      <c r="S2200">
        <v>37</v>
      </c>
      <c r="T2200" s="29" t="str">
        <f t="shared" si="95"/>
        <v>2021.082B.R.Tevens_new_families.zip</v>
      </c>
      <c r="U2200" s="29" t="str">
        <f>HYPERLINK("https://ictv.global/taxonomy/taxondetails?taxnode_id=202312068","ictv.global=202312068")</f>
        <v>ictv.global=202312068</v>
      </c>
    </row>
    <row r="2201" spans="1:21">
      <c r="A2201">
        <v>2200</v>
      </c>
      <c r="B2201" s="30" t="s">
        <v>1587</v>
      </c>
      <c r="D2201" s="30" t="s">
        <v>1588</v>
      </c>
      <c r="F2201" s="30" t="s">
        <v>1591</v>
      </c>
      <c r="H2201" s="30" t="s">
        <v>1592</v>
      </c>
      <c r="L2201" s="30" t="s">
        <v>5765</v>
      </c>
      <c r="M2201" s="30" t="s">
        <v>2249</v>
      </c>
      <c r="N2201" s="30" t="s">
        <v>2254</v>
      </c>
      <c r="P2201" s="30" t="s">
        <v>5925</v>
      </c>
      <c r="Q2201" t="s">
        <v>619</v>
      </c>
      <c r="R2201" t="s">
        <v>918</v>
      </c>
      <c r="S2201">
        <v>37</v>
      </c>
      <c r="T2201" s="29" t="str">
        <f t="shared" si="95"/>
        <v>2021.082B.R.Tevens_new_families.zip</v>
      </c>
      <c r="U2201" s="29" t="str">
        <f>HYPERLINK("https://ictv.global/taxonomy/taxondetails?taxnode_id=202312072","ictv.global=202312072")</f>
        <v>ictv.global=202312072</v>
      </c>
    </row>
    <row r="2202" spans="1:21">
      <c r="A2202">
        <v>2201</v>
      </c>
      <c r="B2202" s="30" t="s">
        <v>1587</v>
      </c>
      <c r="D2202" s="30" t="s">
        <v>1588</v>
      </c>
      <c r="F2202" s="30" t="s">
        <v>1591</v>
      </c>
      <c r="H2202" s="30" t="s">
        <v>1592</v>
      </c>
      <c r="L2202" s="30" t="s">
        <v>5765</v>
      </c>
      <c r="M2202" s="30" t="s">
        <v>2249</v>
      </c>
      <c r="N2202" s="30" t="s">
        <v>2254</v>
      </c>
      <c r="P2202" s="30" t="s">
        <v>5926</v>
      </c>
      <c r="Q2202" t="s">
        <v>619</v>
      </c>
      <c r="R2202" t="s">
        <v>918</v>
      </c>
      <c r="S2202">
        <v>37</v>
      </c>
      <c r="T2202" s="29" t="str">
        <f t="shared" si="95"/>
        <v>2021.082B.R.Tevens_new_families.zip</v>
      </c>
      <c r="U2202" s="29" t="str">
        <f>HYPERLINK("https://ictv.global/taxonomy/taxondetails?taxnode_id=202312074","ictv.global=202312074")</f>
        <v>ictv.global=202312074</v>
      </c>
    </row>
    <row r="2203" spans="1:21">
      <c r="A2203">
        <v>2202</v>
      </c>
      <c r="B2203" s="30" t="s">
        <v>1587</v>
      </c>
      <c r="D2203" s="30" t="s">
        <v>1588</v>
      </c>
      <c r="F2203" s="30" t="s">
        <v>1591</v>
      </c>
      <c r="H2203" s="30" t="s">
        <v>1592</v>
      </c>
      <c r="L2203" s="30" t="s">
        <v>5765</v>
      </c>
      <c r="M2203" s="30" t="s">
        <v>2249</v>
      </c>
      <c r="N2203" s="30" t="s">
        <v>2254</v>
      </c>
      <c r="P2203" s="30" t="s">
        <v>5927</v>
      </c>
      <c r="Q2203" t="s">
        <v>619</v>
      </c>
      <c r="R2203" t="s">
        <v>918</v>
      </c>
      <c r="S2203">
        <v>37</v>
      </c>
      <c r="T2203" s="29" t="str">
        <f t="shared" si="95"/>
        <v>2021.082B.R.Tevens_new_families.zip</v>
      </c>
      <c r="U2203" s="29" t="str">
        <f>HYPERLINK("https://ictv.global/taxonomy/taxondetails?taxnode_id=202312073","ictv.global=202312073")</f>
        <v>ictv.global=202312073</v>
      </c>
    </row>
    <row r="2204" spans="1:21">
      <c r="A2204">
        <v>2203</v>
      </c>
      <c r="B2204" s="30" t="s">
        <v>1587</v>
      </c>
      <c r="D2204" s="30" t="s">
        <v>1588</v>
      </c>
      <c r="F2204" s="30" t="s">
        <v>1591</v>
      </c>
      <c r="H2204" s="30" t="s">
        <v>1592</v>
      </c>
      <c r="L2204" s="30" t="s">
        <v>5765</v>
      </c>
      <c r="M2204" s="30" t="s">
        <v>2249</v>
      </c>
      <c r="N2204" s="30" t="s">
        <v>2254</v>
      </c>
      <c r="P2204" s="30" t="s">
        <v>5928</v>
      </c>
      <c r="Q2204" t="s">
        <v>619</v>
      </c>
      <c r="R2204" t="s">
        <v>918</v>
      </c>
      <c r="S2204">
        <v>37</v>
      </c>
      <c r="T2204" s="29" t="str">
        <f t="shared" si="95"/>
        <v>2021.082B.R.Tevens_new_families.zip</v>
      </c>
      <c r="U2204" s="29" t="str">
        <f>HYPERLINK("https://ictv.global/taxonomy/taxondetails?taxnode_id=202312067","ictv.global=202312067")</f>
        <v>ictv.global=202312067</v>
      </c>
    </row>
    <row r="2205" spans="1:21">
      <c r="A2205">
        <v>2204</v>
      </c>
      <c r="B2205" s="30" t="s">
        <v>1587</v>
      </c>
      <c r="D2205" s="30" t="s">
        <v>1588</v>
      </c>
      <c r="F2205" s="30" t="s">
        <v>1591</v>
      </c>
      <c r="H2205" s="30" t="s">
        <v>1592</v>
      </c>
      <c r="L2205" s="30" t="s">
        <v>5765</v>
      </c>
      <c r="M2205" s="30" t="s">
        <v>2249</v>
      </c>
      <c r="N2205" s="30" t="s">
        <v>2255</v>
      </c>
      <c r="P2205" s="30" t="s">
        <v>5929</v>
      </c>
      <c r="Q2205" t="s">
        <v>619</v>
      </c>
      <c r="R2205" t="s">
        <v>918</v>
      </c>
      <c r="S2205">
        <v>37</v>
      </c>
      <c r="T2205" s="29" t="str">
        <f t="shared" si="95"/>
        <v>2021.082B.R.Tevens_new_families.zip</v>
      </c>
      <c r="U2205" s="29" t="str">
        <f>HYPERLINK("https://ictv.global/taxonomy/taxondetails?taxnode_id=202312060","ictv.global=202312060")</f>
        <v>ictv.global=202312060</v>
      </c>
    </row>
    <row r="2206" spans="1:21">
      <c r="A2206">
        <v>2205</v>
      </c>
      <c r="B2206" s="30" t="s">
        <v>1587</v>
      </c>
      <c r="D2206" s="30" t="s">
        <v>1588</v>
      </c>
      <c r="F2206" s="30" t="s">
        <v>1591</v>
      </c>
      <c r="H2206" s="30" t="s">
        <v>1592</v>
      </c>
      <c r="L2206" s="30" t="s">
        <v>5765</v>
      </c>
      <c r="N2206" s="30" t="s">
        <v>5930</v>
      </c>
      <c r="P2206" s="30" t="s">
        <v>5931</v>
      </c>
      <c r="Q2206" t="s">
        <v>619</v>
      </c>
      <c r="R2206" t="s">
        <v>917</v>
      </c>
      <c r="S2206">
        <v>37</v>
      </c>
      <c r="T2206" s="29" t="str">
        <f t="shared" si="95"/>
        <v>2021.082B.R.Tevens_new_families.zip</v>
      </c>
      <c r="U2206" s="29" t="str">
        <f>HYPERLINK("https://ictv.global/taxonomy/taxondetails?taxnode_id=202313672","ictv.global=202313672")</f>
        <v>ictv.global=202313672</v>
      </c>
    </row>
    <row r="2207" spans="1:21">
      <c r="A2207">
        <v>2206</v>
      </c>
      <c r="B2207" s="30" t="s">
        <v>1587</v>
      </c>
      <c r="D2207" s="30" t="s">
        <v>1588</v>
      </c>
      <c r="F2207" s="30" t="s">
        <v>1591</v>
      </c>
      <c r="H2207" s="30" t="s">
        <v>1592</v>
      </c>
      <c r="L2207" s="30" t="s">
        <v>5765</v>
      </c>
      <c r="N2207" s="30" t="s">
        <v>637</v>
      </c>
      <c r="P2207" s="30" t="s">
        <v>5932</v>
      </c>
      <c r="Q2207" t="s">
        <v>619</v>
      </c>
      <c r="R2207" t="s">
        <v>918</v>
      </c>
      <c r="S2207">
        <v>37</v>
      </c>
      <c r="T2207" s="29" t="str">
        <f t="shared" si="95"/>
        <v>2021.082B.R.Tevens_new_families.zip</v>
      </c>
      <c r="U2207" s="29" t="str">
        <f>HYPERLINK("https://ictv.global/taxonomy/taxondetails?taxnode_id=202300411","ictv.global=202300411")</f>
        <v>ictv.global=202300411</v>
      </c>
    </row>
    <row r="2208" spans="1:21">
      <c r="A2208">
        <v>2207</v>
      </c>
      <c r="B2208" s="30" t="s">
        <v>1587</v>
      </c>
      <c r="D2208" s="30" t="s">
        <v>1588</v>
      </c>
      <c r="F2208" s="30" t="s">
        <v>1591</v>
      </c>
      <c r="H2208" s="30" t="s">
        <v>1592</v>
      </c>
      <c r="L2208" s="30" t="s">
        <v>5765</v>
      </c>
      <c r="N2208" s="30" t="s">
        <v>5933</v>
      </c>
      <c r="P2208" s="30" t="s">
        <v>5934</v>
      </c>
      <c r="Q2208" t="s">
        <v>619</v>
      </c>
      <c r="R2208" t="s">
        <v>917</v>
      </c>
      <c r="S2208">
        <v>37</v>
      </c>
      <c r="T2208" s="29" t="str">
        <f t="shared" si="95"/>
        <v>2021.082B.R.Tevens_new_families.zip</v>
      </c>
      <c r="U2208" s="29" t="str">
        <f>HYPERLINK("https://ictv.global/taxonomy/taxondetails?taxnode_id=202313682","ictv.global=202313682")</f>
        <v>ictv.global=202313682</v>
      </c>
    </row>
    <row r="2209" spans="1:21">
      <c r="A2209">
        <v>2208</v>
      </c>
      <c r="B2209" s="30" t="s">
        <v>1587</v>
      </c>
      <c r="D2209" s="30" t="s">
        <v>1588</v>
      </c>
      <c r="F2209" s="30" t="s">
        <v>1591</v>
      </c>
      <c r="H2209" s="30" t="s">
        <v>1592</v>
      </c>
      <c r="L2209" s="30" t="s">
        <v>5765</v>
      </c>
      <c r="N2209" s="30" t="s">
        <v>5933</v>
      </c>
      <c r="P2209" s="30" t="s">
        <v>5935</v>
      </c>
      <c r="Q2209" t="s">
        <v>619</v>
      </c>
      <c r="R2209" t="s">
        <v>917</v>
      </c>
      <c r="S2209">
        <v>37</v>
      </c>
      <c r="T2209" s="29" t="str">
        <f t="shared" si="95"/>
        <v>2021.082B.R.Tevens_new_families.zip</v>
      </c>
      <c r="U2209" s="29" t="str">
        <f>HYPERLINK("https://ictv.global/taxonomy/taxondetails?taxnode_id=202313681","ictv.global=202313681")</f>
        <v>ictv.global=202313681</v>
      </c>
    </row>
    <row r="2210" spans="1:21">
      <c r="A2210">
        <v>2209</v>
      </c>
      <c r="B2210" s="30" t="s">
        <v>1587</v>
      </c>
      <c r="D2210" s="30" t="s">
        <v>1588</v>
      </c>
      <c r="F2210" s="30" t="s">
        <v>1591</v>
      </c>
      <c r="H2210" s="30" t="s">
        <v>1592</v>
      </c>
      <c r="L2210" s="30" t="s">
        <v>5765</v>
      </c>
      <c r="N2210" s="30" t="s">
        <v>5933</v>
      </c>
      <c r="P2210" s="30" t="s">
        <v>5936</v>
      </c>
      <c r="Q2210" t="s">
        <v>619</v>
      </c>
      <c r="R2210" t="s">
        <v>917</v>
      </c>
      <c r="S2210">
        <v>37</v>
      </c>
      <c r="T2210" s="29" t="str">
        <f t="shared" si="95"/>
        <v>2021.082B.R.Tevens_new_families.zip</v>
      </c>
      <c r="U2210" s="29" t="str">
        <f>HYPERLINK("https://ictv.global/taxonomy/taxondetails?taxnode_id=202313680","ictv.global=202313680")</f>
        <v>ictv.global=202313680</v>
      </c>
    </row>
    <row r="2211" spans="1:21">
      <c r="A2211">
        <v>2210</v>
      </c>
      <c r="B2211" s="30" t="s">
        <v>1587</v>
      </c>
      <c r="D2211" s="30" t="s">
        <v>1588</v>
      </c>
      <c r="F2211" s="30" t="s">
        <v>1591</v>
      </c>
      <c r="H2211" s="30" t="s">
        <v>1592</v>
      </c>
      <c r="L2211" s="30" t="s">
        <v>5765</v>
      </c>
      <c r="N2211" s="30" t="s">
        <v>5937</v>
      </c>
      <c r="P2211" s="30" t="s">
        <v>5938</v>
      </c>
      <c r="Q2211" t="s">
        <v>619</v>
      </c>
      <c r="R2211" t="s">
        <v>917</v>
      </c>
      <c r="S2211">
        <v>37</v>
      </c>
      <c r="T2211" s="29" t="str">
        <f t="shared" si="95"/>
        <v>2021.082B.R.Tevens_new_families.zip</v>
      </c>
      <c r="U2211" s="29" t="str">
        <f>HYPERLINK("https://ictv.global/taxonomy/taxondetails?taxnode_id=202313958","ictv.global=202313958")</f>
        <v>ictv.global=202313958</v>
      </c>
    </row>
    <row r="2212" spans="1:21">
      <c r="A2212">
        <v>2211</v>
      </c>
      <c r="B2212" s="30" t="s">
        <v>1587</v>
      </c>
      <c r="D2212" s="30" t="s">
        <v>1588</v>
      </c>
      <c r="F2212" s="30" t="s">
        <v>1591</v>
      </c>
      <c r="H2212" s="30" t="s">
        <v>1592</v>
      </c>
      <c r="L2212" s="30" t="s">
        <v>5765</v>
      </c>
      <c r="N2212" s="30" t="s">
        <v>5939</v>
      </c>
      <c r="P2212" s="30" t="s">
        <v>5940</v>
      </c>
      <c r="Q2212" t="s">
        <v>619</v>
      </c>
      <c r="R2212" t="s">
        <v>917</v>
      </c>
      <c r="S2212">
        <v>37</v>
      </c>
      <c r="T2212" s="29" t="str">
        <f t="shared" si="95"/>
        <v>2021.082B.R.Tevens_new_families.zip</v>
      </c>
      <c r="U2212" s="29" t="str">
        <f>HYPERLINK("https://ictv.global/taxonomy/taxondetails?taxnode_id=202313668","ictv.global=202313668")</f>
        <v>ictv.global=202313668</v>
      </c>
    </row>
    <row r="2213" spans="1:21">
      <c r="A2213">
        <v>2212</v>
      </c>
      <c r="B2213" s="30" t="s">
        <v>1587</v>
      </c>
      <c r="D2213" s="30" t="s">
        <v>1588</v>
      </c>
      <c r="F2213" s="30" t="s">
        <v>1591</v>
      </c>
      <c r="H2213" s="30" t="s">
        <v>1592</v>
      </c>
      <c r="L2213" s="30" t="s">
        <v>5765</v>
      </c>
      <c r="N2213" s="30" t="s">
        <v>5941</v>
      </c>
      <c r="P2213" s="30" t="s">
        <v>5942</v>
      </c>
      <c r="Q2213" t="s">
        <v>619</v>
      </c>
      <c r="R2213" t="s">
        <v>918</v>
      </c>
      <c r="S2213">
        <v>37</v>
      </c>
      <c r="T2213" s="29" t="str">
        <f t="shared" si="95"/>
        <v>2021.082B.R.Tevens_new_families.zip</v>
      </c>
      <c r="U2213" s="29" t="str">
        <f>HYPERLINK("https://ictv.global/taxonomy/taxondetails?taxnode_id=202300340","ictv.global=202300340")</f>
        <v>ictv.global=202300340</v>
      </c>
    </row>
    <row r="2214" spans="1:21">
      <c r="A2214">
        <v>2213</v>
      </c>
      <c r="B2214" s="30" t="s">
        <v>1587</v>
      </c>
      <c r="D2214" s="30" t="s">
        <v>1588</v>
      </c>
      <c r="F2214" s="30" t="s">
        <v>1591</v>
      </c>
      <c r="H2214" s="30" t="s">
        <v>1592</v>
      </c>
      <c r="L2214" s="30" t="s">
        <v>5765</v>
      </c>
      <c r="N2214" s="30" t="s">
        <v>5941</v>
      </c>
      <c r="P2214" s="30" t="s">
        <v>5943</v>
      </c>
      <c r="Q2214" t="s">
        <v>619</v>
      </c>
      <c r="R2214" t="s">
        <v>917</v>
      </c>
      <c r="S2214">
        <v>37</v>
      </c>
      <c r="T2214" s="29" t="str">
        <f t="shared" si="95"/>
        <v>2021.082B.R.Tevens_new_families.zip</v>
      </c>
      <c r="U2214" s="29" t="str">
        <f>HYPERLINK("https://ictv.global/taxonomy/taxondetails?taxnode_id=202313670","ictv.global=202313670")</f>
        <v>ictv.global=202313670</v>
      </c>
    </row>
    <row r="2215" spans="1:21">
      <c r="A2215">
        <v>2214</v>
      </c>
      <c r="B2215" s="30" t="s">
        <v>1587</v>
      </c>
      <c r="D2215" s="30" t="s">
        <v>1588</v>
      </c>
      <c r="F2215" s="30" t="s">
        <v>1591</v>
      </c>
      <c r="H2215" s="30" t="s">
        <v>1592</v>
      </c>
      <c r="L2215" s="30" t="s">
        <v>5765</v>
      </c>
      <c r="N2215" s="30" t="s">
        <v>5944</v>
      </c>
      <c r="P2215" s="30" t="s">
        <v>5945</v>
      </c>
      <c r="Q2215" t="s">
        <v>619</v>
      </c>
      <c r="R2215" t="s">
        <v>917</v>
      </c>
      <c r="S2215">
        <v>37</v>
      </c>
      <c r="T2215" s="29" t="str">
        <f t="shared" si="95"/>
        <v>2021.082B.R.Tevens_new_families.zip</v>
      </c>
      <c r="U2215" s="29" t="str">
        <f>HYPERLINK("https://ictv.global/taxonomy/taxondetails?taxnode_id=202313678","ictv.global=202313678")</f>
        <v>ictv.global=202313678</v>
      </c>
    </row>
    <row r="2216" spans="1:21">
      <c r="A2216">
        <v>2215</v>
      </c>
      <c r="B2216" s="30" t="s">
        <v>1587</v>
      </c>
      <c r="D2216" s="30" t="s">
        <v>1588</v>
      </c>
      <c r="F2216" s="30" t="s">
        <v>1591</v>
      </c>
      <c r="H2216" s="30" t="s">
        <v>1592</v>
      </c>
      <c r="L2216" s="30" t="s">
        <v>5765</v>
      </c>
      <c r="N2216" s="30" t="s">
        <v>5946</v>
      </c>
      <c r="P2216" s="30" t="s">
        <v>5947</v>
      </c>
      <c r="Q2216" t="s">
        <v>619</v>
      </c>
      <c r="R2216" t="s">
        <v>917</v>
      </c>
      <c r="S2216">
        <v>37</v>
      </c>
      <c r="T2216" s="29" t="str">
        <f t="shared" si="95"/>
        <v>2021.082B.R.Tevens_new_families.zip</v>
      </c>
      <c r="U2216" s="29" t="str">
        <f>HYPERLINK("https://ictv.global/taxonomy/taxondetails?taxnode_id=202313684","ictv.global=202313684")</f>
        <v>ictv.global=202313684</v>
      </c>
    </row>
    <row r="2217" spans="1:21">
      <c r="A2217">
        <v>2216</v>
      </c>
      <c r="B2217" s="30" t="s">
        <v>1587</v>
      </c>
      <c r="D2217" s="30" t="s">
        <v>1588</v>
      </c>
      <c r="F2217" s="30" t="s">
        <v>1591</v>
      </c>
      <c r="H2217" s="30" t="s">
        <v>1592</v>
      </c>
      <c r="L2217" s="30" t="s">
        <v>5765</v>
      </c>
      <c r="N2217" s="30" t="s">
        <v>1335</v>
      </c>
      <c r="P2217" s="30" t="s">
        <v>5948</v>
      </c>
      <c r="Q2217" t="s">
        <v>619</v>
      </c>
      <c r="R2217" t="s">
        <v>918</v>
      </c>
      <c r="S2217">
        <v>37</v>
      </c>
      <c r="T2217" s="29" t="str">
        <f t="shared" si="95"/>
        <v>2021.082B.R.Tevens_new_families.zip</v>
      </c>
      <c r="U2217" s="29" t="str">
        <f>HYPERLINK("https://ictv.global/taxonomy/taxondetails?taxnode_id=202307038","ictv.global=202307038")</f>
        <v>ictv.global=202307038</v>
      </c>
    </row>
    <row r="2218" spans="1:21">
      <c r="A2218">
        <v>2217</v>
      </c>
      <c r="B2218" s="30" t="s">
        <v>1587</v>
      </c>
      <c r="D2218" s="30" t="s">
        <v>1588</v>
      </c>
      <c r="F2218" s="30" t="s">
        <v>1591</v>
      </c>
      <c r="H2218" s="30" t="s">
        <v>1592</v>
      </c>
      <c r="L2218" s="30" t="s">
        <v>5765</v>
      </c>
      <c r="N2218" s="30" t="s">
        <v>1335</v>
      </c>
      <c r="P2218" s="30" t="s">
        <v>5949</v>
      </c>
      <c r="Q2218" t="s">
        <v>619</v>
      </c>
      <c r="R2218" t="s">
        <v>918</v>
      </c>
      <c r="S2218">
        <v>37</v>
      </c>
      <c r="T2218" s="29" t="str">
        <f t="shared" si="95"/>
        <v>2021.082B.R.Tevens_new_families.zip</v>
      </c>
      <c r="U2218" s="29" t="str">
        <f>HYPERLINK("https://ictv.global/taxonomy/taxondetails?taxnode_id=202307039","ictv.global=202307039")</f>
        <v>ictv.global=202307039</v>
      </c>
    </row>
    <row r="2219" spans="1:21">
      <c r="A2219">
        <v>2218</v>
      </c>
      <c r="B2219" s="30" t="s">
        <v>1587</v>
      </c>
      <c r="D2219" s="30" t="s">
        <v>1588</v>
      </c>
      <c r="F2219" s="30" t="s">
        <v>1591</v>
      </c>
      <c r="H2219" s="30" t="s">
        <v>1592</v>
      </c>
      <c r="L2219" s="30" t="s">
        <v>5765</v>
      </c>
      <c r="N2219" s="30" t="s">
        <v>1335</v>
      </c>
      <c r="P2219" s="30" t="s">
        <v>5950</v>
      </c>
      <c r="Q2219" t="s">
        <v>619</v>
      </c>
      <c r="R2219" t="s">
        <v>918</v>
      </c>
      <c r="S2219">
        <v>37</v>
      </c>
      <c r="T2219" s="29" t="str">
        <f t="shared" si="95"/>
        <v>2021.082B.R.Tevens_new_families.zip</v>
      </c>
      <c r="U2219" s="29" t="str">
        <f>HYPERLINK("https://ictv.global/taxonomy/taxondetails?taxnode_id=202300303","ictv.global=202300303")</f>
        <v>ictv.global=202300303</v>
      </c>
    </row>
    <row r="2220" spans="1:21">
      <c r="A2220">
        <v>2219</v>
      </c>
      <c r="B2220" s="30" t="s">
        <v>1587</v>
      </c>
      <c r="D2220" s="30" t="s">
        <v>1588</v>
      </c>
      <c r="F2220" s="30" t="s">
        <v>1591</v>
      </c>
      <c r="H2220" s="30" t="s">
        <v>1592</v>
      </c>
      <c r="L2220" s="30" t="s">
        <v>5765</v>
      </c>
      <c r="N2220" s="30" t="s">
        <v>1335</v>
      </c>
      <c r="P2220" s="30" t="s">
        <v>5951</v>
      </c>
      <c r="Q2220" t="s">
        <v>619</v>
      </c>
      <c r="R2220" t="s">
        <v>918</v>
      </c>
      <c r="S2220">
        <v>37</v>
      </c>
      <c r="T2220" s="29" t="str">
        <f t="shared" si="95"/>
        <v>2021.082B.R.Tevens_new_families.zip</v>
      </c>
      <c r="U2220" s="29" t="str">
        <f>HYPERLINK("https://ictv.global/taxonomy/taxondetails?taxnode_id=202300302","ictv.global=202300302")</f>
        <v>ictv.global=202300302</v>
      </c>
    </row>
    <row r="2221" spans="1:21">
      <c r="A2221">
        <v>2220</v>
      </c>
      <c r="B2221" s="30" t="s">
        <v>1587</v>
      </c>
      <c r="D2221" s="30" t="s">
        <v>1588</v>
      </c>
      <c r="F2221" s="30" t="s">
        <v>1591</v>
      </c>
      <c r="H2221" s="30" t="s">
        <v>1592</v>
      </c>
      <c r="L2221" s="30" t="s">
        <v>5765</v>
      </c>
      <c r="N2221" s="30" t="s">
        <v>1335</v>
      </c>
      <c r="P2221" s="30" t="s">
        <v>5952</v>
      </c>
      <c r="Q2221" t="s">
        <v>619</v>
      </c>
      <c r="R2221" t="s">
        <v>917</v>
      </c>
      <c r="S2221">
        <v>37</v>
      </c>
      <c r="T2221" s="29" t="str">
        <f t="shared" si="95"/>
        <v>2021.082B.R.Tevens_new_families.zip</v>
      </c>
      <c r="U2221" s="29" t="str">
        <f>HYPERLINK("https://ictv.global/taxonomy/taxondetails?taxnode_id=202313676","ictv.global=202313676")</f>
        <v>ictv.global=202313676</v>
      </c>
    </row>
    <row r="2222" spans="1:21">
      <c r="A2222">
        <v>2221</v>
      </c>
      <c r="B2222" s="30" t="s">
        <v>1587</v>
      </c>
      <c r="D2222" s="30" t="s">
        <v>1588</v>
      </c>
      <c r="F2222" s="30" t="s">
        <v>1591</v>
      </c>
      <c r="H2222" s="30" t="s">
        <v>1592</v>
      </c>
      <c r="L2222" s="30" t="s">
        <v>5765</v>
      </c>
      <c r="N2222" s="30" t="s">
        <v>1335</v>
      </c>
      <c r="P2222" s="30" t="s">
        <v>5953</v>
      </c>
      <c r="Q2222" t="s">
        <v>619</v>
      </c>
      <c r="R2222" t="s">
        <v>918</v>
      </c>
      <c r="S2222">
        <v>37</v>
      </c>
      <c r="T2222" s="29" t="str">
        <f t="shared" si="95"/>
        <v>2021.082B.R.Tevens_new_families.zip</v>
      </c>
      <c r="U2222" s="29" t="str">
        <f>HYPERLINK("https://ictv.global/taxonomy/taxondetails?taxnode_id=202300304","ictv.global=202300304")</f>
        <v>ictv.global=202300304</v>
      </c>
    </row>
    <row r="2223" spans="1:21">
      <c r="A2223">
        <v>2222</v>
      </c>
      <c r="B2223" s="30" t="s">
        <v>1587</v>
      </c>
      <c r="D2223" s="30" t="s">
        <v>1588</v>
      </c>
      <c r="F2223" s="30" t="s">
        <v>1591</v>
      </c>
      <c r="H2223" s="30" t="s">
        <v>1592</v>
      </c>
      <c r="L2223" s="30" t="s">
        <v>5765</v>
      </c>
      <c r="N2223" s="30" t="s">
        <v>5954</v>
      </c>
      <c r="P2223" s="30" t="s">
        <v>5955</v>
      </c>
      <c r="Q2223" t="s">
        <v>619</v>
      </c>
      <c r="R2223" t="s">
        <v>918</v>
      </c>
      <c r="S2223">
        <v>37</v>
      </c>
      <c r="T2223" s="29" t="str">
        <f t="shared" si="95"/>
        <v>2021.082B.R.Tevens_new_families.zip</v>
      </c>
      <c r="U2223" s="29" t="str">
        <f>HYPERLINK("https://ictv.global/taxonomy/taxondetails?taxnode_id=202300315","ictv.global=202300315")</f>
        <v>ictv.global=202300315</v>
      </c>
    </row>
    <row r="2224" spans="1:21">
      <c r="A2224">
        <v>2223</v>
      </c>
      <c r="B2224" s="30" t="s">
        <v>1587</v>
      </c>
      <c r="D2224" s="30" t="s">
        <v>1588</v>
      </c>
      <c r="F2224" s="30" t="s">
        <v>1591</v>
      </c>
      <c r="H2224" s="30" t="s">
        <v>1592</v>
      </c>
      <c r="L2224" s="30" t="s">
        <v>5765</v>
      </c>
      <c r="N2224" s="30" t="s">
        <v>5956</v>
      </c>
      <c r="P2224" s="30" t="s">
        <v>5957</v>
      </c>
      <c r="Q2224" t="s">
        <v>619</v>
      </c>
      <c r="R2224" t="s">
        <v>917</v>
      </c>
      <c r="S2224">
        <v>38</v>
      </c>
      <c r="T2224" s="29" t="str">
        <f>HYPERLINK("https://ictv.global/ictv/proposals/2022.055B.Nanhuvirus_ng.zip","2022.055B.Nanhuvirus_ng.zip")</f>
        <v>2022.055B.Nanhuvirus_ng.zip</v>
      </c>
      <c r="U2224" s="29" t="str">
        <f>HYPERLINK("https://ictv.global/taxonomy/taxondetails?taxnode_id=202314692","ictv.global=202314692")</f>
        <v>ictv.global=202314692</v>
      </c>
    </row>
    <row r="2225" spans="1:21">
      <c r="A2225">
        <v>2224</v>
      </c>
      <c r="B2225" s="30" t="s">
        <v>1587</v>
      </c>
      <c r="D2225" s="30" t="s">
        <v>1588</v>
      </c>
      <c r="F2225" s="30" t="s">
        <v>1591</v>
      </c>
      <c r="H2225" s="30" t="s">
        <v>1592</v>
      </c>
      <c r="L2225" s="30" t="s">
        <v>5765</v>
      </c>
      <c r="N2225" s="30" t="s">
        <v>2248</v>
      </c>
      <c r="P2225" s="30" t="s">
        <v>5958</v>
      </c>
      <c r="Q2225" t="s">
        <v>619</v>
      </c>
      <c r="R2225" t="s">
        <v>918</v>
      </c>
      <c r="S2225">
        <v>37</v>
      </c>
      <c r="T2225" s="29" t="str">
        <f t="shared" ref="T2225:T2249" si="96">HYPERLINK("https://ictv.global/ictv/proposals/2021.082B.R.Tevens_new_families.zip","2021.082B.R.Tevens_new_families.zip")</f>
        <v>2021.082B.R.Tevens_new_families.zip</v>
      </c>
      <c r="U2225" s="29" t="str">
        <f>HYPERLINK("https://ictv.global/taxonomy/taxondetails?taxnode_id=202311630","ictv.global=202311630")</f>
        <v>ictv.global=202311630</v>
      </c>
    </row>
    <row r="2226" spans="1:21">
      <c r="A2226">
        <v>2225</v>
      </c>
      <c r="B2226" s="30" t="s">
        <v>1587</v>
      </c>
      <c r="D2226" s="30" t="s">
        <v>1588</v>
      </c>
      <c r="F2226" s="30" t="s">
        <v>1591</v>
      </c>
      <c r="H2226" s="30" t="s">
        <v>1592</v>
      </c>
      <c r="L2226" s="30" t="s">
        <v>5765</v>
      </c>
      <c r="N2226" s="30" t="s">
        <v>2248</v>
      </c>
      <c r="P2226" s="30" t="s">
        <v>5959</v>
      </c>
      <c r="Q2226" t="s">
        <v>619</v>
      </c>
      <c r="R2226" t="s">
        <v>918</v>
      </c>
      <c r="S2226">
        <v>37</v>
      </c>
      <c r="T2226" s="29" t="str">
        <f t="shared" si="96"/>
        <v>2021.082B.R.Tevens_new_families.zip</v>
      </c>
      <c r="U2226" s="29" t="str">
        <f>HYPERLINK("https://ictv.global/taxonomy/taxondetails?taxnode_id=202311632","ictv.global=202311632")</f>
        <v>ictv.global=202311632</v>
      </c>
    </row>
    <row r="2227" spans="1:21">
      <c r="A2227">
        <v>2226</v>
      </c>
      <c r="B2227" s="30" t="s">
        <v>1587</v>
      </c>
      <c r="D2227" s="30" t="s">
        <v>1588</v>
      </c>
      <c r="F2227" s="30" t="s">
        <v>1591</v>
      </c>
      <c r="H2227" s="30" t="s">
        <v>1592</v>
      </c>
      <c r="L2227" s="30" t="s">
        <v>5765</v>
      </c>
      <c r="N2227" s="30" t="s">
        <v>2248</v>
      </c>
      <c r="P2227" s="30" t="s">
        <v>5960</v>
      </c>
      <c r="Q2227" t="s">
        <v>619</v>
      </c>
      <c r="R2227" t="s">
        <v>918</v>
      </c>
      <c r="S2227">
        <v>37</v>
      </c>
      <c r="T2227" s="29" t="str">
        <f t="shared" si="96"/>
        <v>2021.082B.R.Tevens_new_families.zip</v>
      </c>
      <c r="U2227" s="29" t="str">
        <f>HYPERLINK("https://ictv.global/taxonomy/taxondetails?taxnode_id=202311629","ictv.global=202311629")</f>
        <v>ictv.global=202311629</v>
      </c>
    </row>
    <row r="2228" spans="1:21">
      <c r="A2228">
        <v>2227</v>
      </c>
      <c r="B2228" s="30" t="s">
        <v>1587</v>
      </c>
      <c r="D2228" s="30" t="s">
        <v>1588</v>
      </c>
      <c r="F2228" s="30" t="s">
        <v>1591</v>
      </c>
      <c r="H2228" s="30" t="s">
        <v>1592</v>
      </c>
      <c r="L2228" s="30" t="s">
        <v>5765</v>
      </c>
      <c r="N2228" s="30" t="s">
        <v>2248</v>
      </c>
      <c r="P2228" s="30" t="s">
        <v>5961</v>
      </c>
      <c r="Q2228" t="s">
        <v>619</v>
      </c>
      <c r="R2228" t="s">
        <v>918</v>
      </c>
      <c r="S2228">
        <v>37</v>
      </c>
      <c r="T2228" s="29" t="str">
        <f t="shared" si="96"/>
        <v>2021.082B.R.Tevens_new_families.zip</v>
      </c>
      <c r="U2228" s="29" t="str">
        <f>HYPERLINK("https://ictv.global/taxonomy/taxondetails?taxnode_id=202311631","ictv.global=202311631")</f>
        <v>ictv.global=202311631</v>
      </c>
    </row>
    <row r="2229" spans="1:21">
      <c r="A2229">
        <v>2228</v>
      </c>
      <c r="B2229" s="30" t="s">
        <v>1587</v>
      </c>
      <c r="D2229" s="30" t="s">
        <v>1588</v>
      </c>
      <c r="F2229" s="30" t="s">
        <v>1591</v>
      </c>
      <c r="H2229" s="30" t="s">
        <v>1592</v>
      </c>
      <c r="L2229" s="30" t="s">
        <v>5765</v>
      </c>
      <c r="N2229" s="30" t="s">
        <v>2248</v>
      </c>
      <c r="P2229" s="30" t="s">
        <v>5962</v>
      </c>
      <c r="Q2229" t="s">
        <v>619</v>
      </c>
      <c r="R2229" t="s">
        <v>918</v>
      </c>
      <c r="S2229">
        <v>37</v>
      </c>
      <c r="T2229" s="29" t="str">
        <f t="shared" si="96"/>
        <v>2021.082B.R.Tevens_new_families.zip</v>
      </c>
      <c r="U2229" s="29" t="str">
        <f>HYPERLINK("https://ictv.global/taxonomy/taxondetails?taxnode_id=202311634","ictv.global=202311634")</f>
        <v>ictv.global=202311634</v>
      </c>
    </row>
    <row r="2230" spans="1:21">
      <c r="A2230">
        <v>2229</v>
      </c>
      <c r="B2230" s="30" t="s">
        <v>1587</v>
      </c>
      <c r="D2230" s="30" t="s">
        <v>1588</v>
      </c>
      <c r="F2230" s="30" t="s">
        <v>1591</v>
      </c>
      <c r="H2230" s="30" t="s">
        <v>1592</v>
      </c>
      <c r="L2230" s="30" t="s">
        <v>5765</v>
      </c>
      <c r="N2230" s="30" t="s">
        <v>2248</v>
      </c>
      <c r="P2230" s="30" t="s">
        <v>5963</v>
      </c>
      <c r="Q2230" t="s">
        <v>619</v>
      </c>
      <c r="R2230" t="s">
        <v>918</v>
      </c>
      <c r="S2230">
        <v>37</v>
      </c>
      <c r="T2230" s="29" t="str">
        <f t="shared" si="96"/>
        <v>2021.082B.R.Tevens_new_families.zip</v>
      </c>
      <c r="U2230" s="29" t="str">
        <f>HYPERLINK("https://ictv.global/taxonomy/taxondetails?taxnode_id=202311628","ictv.global=202311628")</f>
        <v>ictv.global=202311628</v>
      </c>
    </row>
    <row r="2231" spans="1:21">
      <c r="A2231">
        <v>2230</v>
      </c>
      <c r="B2231" s="30" t="s">
        <v>1587</v>
      </c>
      <c r="D2231" s="30" t="s">
        <v>1588</v>
      </c>
      <c r="F2231" s="30" t="s">
        <v>1591</v>
      </c>
      <c r="H2231" s="30" t="s">
        <v>1592</v>
      </c>
      <c r="L2231" s="30" t="s">
        <v>5765</v>
      </c>
      <c r="N2231" s="30" t="s">
        <v>2248</v>
      </c>
      <c r="P2231" s="30" t="s">
        <v>5964</v>
      </c>
      <c r="Q2231" t="s">
        <v>619</v>
      </c>
      <c r="R2231" t="s">
        <v>918</v>
      </c>
      <c r="S2231">
        <v>37</v>
      </c>
      <c r="T2231" s="29" t="str">
        <f t="shared" si="96"/>
        <v>2021.082B.R.Tevens_new_families.zip</v>
      </c>
      <c r="U2231" s="29" t="str">
        <f>HYPERLINK("https://ictv.global/taxonomy/taxondetails?taxnode_id=202311633","ictv.global=202311633")</f>
        <v>ictv.global=202311633</v>
      </c>
    </row>
    <row r="2232" spans="1:21">
      <c r="A2232">
        <v>2231</v>
      </c>
      <c r="B2232" s="30" t="s">
        <v>1587</v>
      </c>
      <c r="D2232" s="30" t="s">
        <v>1588</v>
      </c>
      <c r="F2232" s="30" t="s">
        <v>1591</v>
      </c>
      <c r="H2232" s="30" t="s">
        <v>1592</v>
      </c>
      <c r="L2232" s="30" t="s">
        <v>5765</v>
      </c>
      <c r="N2232" s="30" t="s">
        <v>2248</v>
      </c>
      <c r="P2232" s="30" t="s">
        <v>5965</v>
      </c>
      <c r="Q2232" t="s">
        <v>619</v>
      </c>
      <c r="R2232" t="s">
        <v>918</v>
      </c>
      <c r="S2232">
        <v>37</v>
      </c>
      <c r="T2232" s="29" t="str">
        <f t="shared" si="96"/>
        <v>2021.082B.R.Tevens_new_families.zip</v>
      </c>
      <c r="U2232" s="29" t="str">
        <f>HYPERLINK("https://ictv.global/taxonomy/taxondetails?taxnode_id=202300341","ictv.global=202300341")</f>
        <v>ictv.global=202300341</v>
      </c>
    </row>
    <row r="2233" spans="1:21">
      <c r="A2233">
        <v>2232</v>
      </c>
      <c r="B2233" s="30" t="s">
        <v>1587</v>
      </c>
      <c r="D2233" s="30" t="s">
        <v>1588</v>
      </c>
      <c r="F2233" s="30" t="s">
        <v>1591</v>
      </c>
      <c r="H2233" s="30" t="s">
        <v>1592</v>
      </c>
      <c r="L2233" s="30" t="s">
        <v>5765</v>
      </c>
      <c r="N2233" s="30" t="s">
        <v>2248</v>
      </c>
      <c r="P2233" s="30" t="s">
        <v>5966</v>
      </c>
      <c r="Q2233" t="s">
        <v>619</v>
      </c>
      <c r="R2233" t="s">
        <v>918</v>
      </c>
      <c r="S2233">
        <v>37</v>
      </c>
      <c r="T2233" s="29" t="str">
        <f t="shared" si="96"/>
        <v>2021.082B.R.Tevens_new_families.zip</v>
      </c>
      <c r="U2233" s="29" t="str">
        <f>HYPERLINK("https://ictv.global/taxonomy/taxondetails?taxnode_id=202300343","ictv.global=202300343")</f>
        <v>ictv.global=202300343</v>
      </c>
    </row>
    <row r="2234" spans="1:21">
      <c r="A2234">
        <v>2233</v>
      </c>
      <c r="B2234" s="30" t="s">
        <v>1587</v>
      </c>
      <c r="D2234" s="30" t="s">
        <v>1588</v>
      </c>
      <c r="F2234" s="30" t="s">
        <v>1591</v>
      </c>
      <c r="H2234" s="30" t="s">
        <v>1592</v>
      </c>
      <c r="L2234" s="30" t="s">
        <v>5765</v>
      </c>
      <c r="N2234" s="30" t="s">
        <v>1337</v>
      </c>
      <c r="P2234" s="30" t="s">
        <v>5967</v>
      </c>
      <c r="Q2234" t="s">
        <v>619</v>
      </c>
      <c r="R2234" t="s">
        <v>918</v>
      </c>
      <c r="S2234">
        <v>37</v>
      </c>
      <c r="T2234" s="29" t="str">
        <f t="shared" si="96"/>
        <v>2021.082B.R.Tevens_new_families.zip</v>
      </c>
      <c r="U2234" s="29" t="str">
        <f>HYPERLINK("https://ictv.global/taxonomy/taxondetails?taxnode_id=202300314","ictv.global=202300314")</f>
        <v>ictv.global=202300314</v>
      </c>
    </row>
    <row r="2235" spans="1:21">
      <c r="A2235">
        <v>2234</v>
      </c>
      <c r="B2235" s="30" t="s">
        <v>1587</v>
      </c>
      <c r="D2235" s="30" t="s">
        <v>1588</v>
      </c>
      <c r="F2235" s="30" t="s">
        <v>1591</v>
      </c>
      <c r="H2235" s="30" t="s">
        <v>1592</v>
      </c>
      <c r="L2235" s="30" t="s">
        <v>5765</v>
      </c>
      <c r="N2235" s="30" t="s">
        <v>1337</v>
      </c>
      <c r="P2235" s="30" t="s">
        <v>5968</v>
      </c>
      <c r="Q2235" t="s">
        <v>619</v>
      </c>
      <c r="R2235" t="s">
        <v>918</v>
      </c>
      <c r="S2235">
        <v>37</v>
      </c>
      <c r="T2235" s="29" t="str">
        <f t="shared" si="96"/>
        <v>2021.082B.R.Tevens_new_families.zip</v>
      </c>
      <c r="U2235" s="29" t="str">
        <f>HYPERLINK("https://ictv.global/taxonomy/taxondetails?taxnode_id=202300316","ictv.global=202300316")</f>
        <v>ictv.global=202300316</v>
      </c>
    </row>
    <row r="2236" spans="1:21">
      <c r="A2236">
        <v>2235</v>
      </c>
      <c r="B2236" s="30" t="s">
        <v>1587</v>
      </c>
      <c r="D2236" s="30" t="s">
        <v>1588</v>
      </c>
      <c r="F2236" s="30" t="s">
        <v>1591</v>
      </c>
      <c r="H2236" s="30" t="s">
        <v>1592</v>
      </c>
      <c r="L2236" s="30" t="s">
        <v>5765</v>
      </c>
      <c r="N2236" s="30" t="s">
        <v>1337</v>
      </c>
      <c r="P2236" s="30" t="s">
        <v>5969</v>
      </c>
      <c r="Q2236" t="s">
        <v>619</v>
      </c>
      <c r="R2236" t="s">
        <v>917</v>
      </c>
      <c r="S2236">
        <v>37</v>
      </c>
      <c r="T2236" s="29" t="str">
        <f t="shared" si="96"/>
        <v>2021.082B.R.Tevens_new_families.zip</v>
      </c>
      <c r="U2236" s="29" t="str">
        <f>HYPERLINK("https://ictv.global/taxonomy/taxondetails?taxnode_id=202313673","ictv.global=202313673")</f>
        <v>ictv.global=202313673</v>
      </c>
    </row>
    <row r="2237" spans="1:21">
      <c r="A2237">
        <v>2236</v>
      </c>
      <c r="B2237" s="30" t="s">
        <v>1587</v>
      </c>
      <c r="D2237" s="30" t="s">
        <v>1588</v>
      </c>
      <c r="F2237" s="30" t="s">
        <v>1591</v>
      </c>
      <c r="H2237" s="30" t="s">
        <v>1592</v>
      </c>
      <c r="L2237" s="30" t="s">
        <v>5765</v>
      </c>
      <c r="N2237" s="30" t="s">
        <v>1338</v>
      </c>
      <c r="P2237" s="30" t="s">
        <v>5970</v>
      </c>
      <c r="Q2237" t="s">
        <v>619</v>
      </c>
      <c r="R2237" t="s">
        <v>918</v>
      </c>
      <c r="S2237">
        <v>37</v>
      </c>
      <c r="T2237" s="29" t="str">
        <f t="shared" si="96"/>
        <v>2021.082B.R.Tevens_new_families.zip</v>
      </c>
      <c r="U2237" s="29" t="str">
        <f>HYPERLINK("https://ictv.global/taxonomy/taxondetails?taxnode_id=202300293","ictv.global=202300293")</f>
        <v>ictv.global=202300293</v>
      </c>
    </row>
    <row r="2238" spans="1:21">
      <c r="A2238">
        <v>2237</v>
      </c>
      <c r="B2238" s="30" t="s">
        <v>1587</v>
      </c>
      <c r="D2238" s="30" t="s">
        <v>1588</v>
      </c>
      <c r="F2238" s="30" t="s">
        <v>1591</v>
      </c>
      <c r="H2238" s="30" t="s">
        <v>1592</v>
      </c>
      <c r="L2238" s="30" t="s">
        <v>5765</v>
      </c>
      <c r="N2238" s="30" t="s">
        <v>1338</v>
      </c>
      <c r="P2238" s="30" t="s">
        <v>5971</v>
      </c>
      <c r="Q2238" t="s">
        <v>619</v>
      </c>
      <c r="R2238" t="s">
        <v>918</v>
      </c>
      <c r="S2238">
        <v>37</v>
      </c>
      <c r="T2238" s="29" t="str">
        <f t="shared" si="96"/>
        <v>2021.082B.R.Tevens_new_families.zip</v>
      </c>
      <c r="U2238" s="29" t="str">
        <f>HYPERLINK("https://ictv.global/taxonomy/taxondetails?taxnode_id=202300294","ictv.global=202300294")</f>
        <v>ictv.global=202300294</v>
      </c>
    </row>
    <row r="2239" spans="1:21">
      <c r="A2239">
        <v>2238</v>
      </c>
      <c r="B2239" s="30" t="s">
        <v>1587</v>
      </c>
      <c r="D2239" s="30" t="s">
        <v>1588</v>
      </c>
      <c r="F2239" s="30" t="s">
        <v>1591</v>
      </c>
      <c r="H2239" s="30" t="s">
        <v>1592</v>
      </c>
      <c r="L2239" s="30" t="s">
        <v>5765</v>
      </c>
      <c r="N2239" s="30" t="s">
        <v>1338</v>
      </c>
      <c r="P2239" s="30" t="s">
        <v>5972</v>
      </c>
      <c r="Q2239" t="s">
        <v>619</v>
      </c>
      <c r="R2239" t="s">
        <v>918</v>
      </c>
      <c r="S2239">
        <v>37</v>
      </c>
      <c r="T2239" s="29" t="str">
        <f t="shared" si="96"/>
        <v>2021.082B.R.Tevens_new_families.zip</v>
      </c>
      <c r="U2239" s="29" t="str">
        <f>HYPERLINK("https://ictv.global/taxonomy/taxondetails?taxnode_id=202300295","ictv.global=202300295")</f>
        <v>ictv.global=202300295</v>
      </c>
    </row>
    <row r="2240" spans="1:21">
      <c r="A2240">
        <v>2239</v>
      </c>
      <c r="B2240" s="30" t="s">
        <v>1587</v>
      </c>
      <c r="D2240" s="30" t="s">
        <v>1588</v>
      </c>
      <c r="F2240" s="30" t="s">
        <v>1591</v>
      </c>
      <c r="H2240" s="30" t="s">
        <v>1592</v>
      </c>
      <c r="L2240" s="30" t="s">
        <v>5765</v>
      </c>
      <c r="N2240" s="30" t="s">
        <v>1338</v>
      </c>
      <c r="P2240" s="30" t="s">
        <v>5973</v>
      </c>
      <c r="Q2240" t="s">
        <v>619</v>
      </c>
      <c r="R2240" t="s">
        <v>918</v>
      </c>
      <c r="S2240">
        <v>37</v>
      </c>
      <c r="T2240" s="29" t="str">
        <f t="shared" si="96"/>
        <v>2021.082B.R.Tevens_new_families.zip</v>
      </c>
      <c r="U2240" s="29" t="str">
        <f>HYPERLINK("https://ictv.global/taxonomy/taxondetails?taxnode_id=202300296","ictv.global=202300296")</f>
        <v>ictv.global=202300296</v>
      </c>
    </row>
    <row r="2241" spans="1:21">
      <c r="A2241">
        <v>2240</v>
      </c>
      <c r="B2241" s="30" t="s">
        <v>1587</v>
      </c>
      <c r="D2241" s="30" t="s">
        <v>1588</v>
      </c>
      <c r="F2241" s="30" t="s">
        <v>1591</v>
      </c>
      <c r="H2241" s="30" t="s">
        <v>1592</v>
      </c>
      <c r="L2241" s="30" t="s">
        <v>5765</v>
      </c>
      <c r="N2241" s="30" t="s">
        <v>1338</v>
      </c>
      <c r="P2241" s="30" t="s">
        <v>5974</v>
      </c>
      <c r="Q2241" t="s">
        <v>619</v>
      </c>
      <c r="R2241" t="s">
        <v>917</v>
      </c>
      <c r="S2241">
        <v>37</v>
      </c>
      <c r="T2241" s="29" t="str">
        <f t="shared" si="96"/>
        <v>2021.082B.R.Tevens_new_families.zip</v>
      </c>
      <c r="U2241" s="29" t="str">
        <f>HYPERLINK("https://ictv.global/taxonomy/taxondetails?taxnode_id=202313675","ictv.global=202313675")</f>
        <v>ictv.global=202313675</v>
      </c>
    </row>
    <row r="2242" spans="1:21">
      <c r="A2242">
        <v>2241</v>
      </c>
      <c r="B2242" s="30" t="s">
        <v>1587</v>
      </c>
      <c r="D2242" s="30" t="s">
        <v>1588</v>
      </c>
      <c r="F2242" s="30" t="s">
        <v>1591</v>
      </c>
      <c r="H2242" s="30" t="s">
        <v>1592</v>
      </c>
      <c r="L2242" s="30" t="s">
        <v>5765</v>
      </c>
      <c r="N2242" s="30" t="s">
        <v>1394</v>
      </c>
      <c r="P2242" s="30" t="s">
        <v>5975</v>
      </c>
      <c r="Q2242" t="s">
        <v>619</v>
      </c>
      <c r="R2242" t="s">
        <v>918</v>
      </c>
      <c r="S2242">
        <v>37</v>
      </c>
      <c r="T2242" s="29" t="str">
        <f t="shared" si="96"/>
        <v>2021.082B.R.Tevens_new_families.zip</v>
      </c>
      <c r="U2242" s="29" t="str">
        <f>HYPERLINK("https://ictv.global/taxonomy/taxondetails?taxnode_id=202300503","ictv.global=202300503")</f>
        <v>ictv.global=202300503</v>
      </c>
    </row>
    <row r="2243" spans="1:21">
      <c r="A2243">
        <v>2242</v>
      </c>
      <c r="B2243" s="30" t="s">
        <v>1587</v>
      </c>
      <c r="D2243" s="30" t="s">
        <v>1588</v>
      </c>
      <c r="F2243" s="30" t="s">
        <v>1591</v>
      </c>
      <c r="H2243" s="30" t="s">
        <v>1592</v>
      </c>
      <c r="L2243" s="30" t="s">
        <v>5765</v>
      </c>
      <c r="N2243" s="30" t="s">
        <v>1394</v>
      </c>
      <c r="P2243" s="30" t="s">
        <v>5976</v>
      </c>
      <c r="Q2243" t="s">
        <v>619</v>
      </c>
      <c r="R2243" t="s">
        <v>917</v>
      </c>
      <c r="S2243">
        <v>37</v>
      </c>
      <c r="T2243" s="29" t="str">
        <f t="shared" si="96"/>
        <v>2021.082B.R.Tevens_new_families.zip</v>
      </c>
      <c r="U2243" s="29" t="str">
        <f>HYPERLINK("https://ictv.global/taxonomy/taxondetails?taxnode_id=202313955","ictv.global=202313955")</f>
        <v>ictv.global=202313955</v>
      </c>
    </row>
    <row r="2244" spans="1:21">
      <c r="A2244">
        <v>2243</v>
      </c>
      <c r="B2244" s="30" t="s">
        <v>1587</v>
      </c>
      <c r="D2244" s="30" t="s">
        <v>1588</v>
      </c>
      <c r="F2244" s="30" t="s">
        <v>1591</v>
      </c>
      <c r="H2244" s="30" t="s">
        <v>1592</v>
      </c>
      <c r="L2244" s="30" t="s">
        <v>5765</v>
      </c>
      <c r="N2244" s="30" t="s">
        <v>1394</v>
      </c>
      <c r="P2244" s="30" t="s">
        <v>5977</v>
      </c>
      <c r="Q2244" t="s">
        <v>619</v>
      </c>
      <c r="R2244" t="s">
        <v>917</v>
      </c>
      <c r="S2244">
        <v>37</v>
      </c>
      <c r="T2244" s="29" t="str">
        <f t="shared" si="96"/>
        <v>2021.082B.R.Tevens_new_families.zip</v>
      </c>
      <c r="U2244" s="29" t="str">
        <f>HYPERLINK("https://ictv.global/taxonomy/taxondetails?taxnode_id=202313956","ictv.global=202313956")</f>
        <v>ictv.global=202313956</v>
      </c>
    </row>
    <row r="2245" spans="1:21">
      <c r="A2245">
        <v>2244</v>
      </c>
      <c r="B2245" s="30" t="s">
        <v>1587</v>
      </c>
      <c r="D2245" s="30" t="s">
        <v>1588</v>
      </c>
      <c r="F2245" s="30" t="s">
        <v>1591</v>
      </c>
      <c r="H2245" s="30" t="s">
        <v>1592</v>
      </c>
      <c r="L2245" s="30" t="s">
        <v>5765</v>
      </c>
      <c r="N2245" s="30" t="s">
        <v>1394</v>
      </c>
      <c r="P2245" s="30" t="s">
        <v>5978</v>
      </c>
      <c r="Q2245" t="s">
        <v>619</v>
      </c>
      <c r="R2245" t="s">
        <v>918</v>
      </c>
      <c r="S2245">
        <v>37</v>
      </c>
      <c r="T2245" s="29" t="str">
        <f t="shared" si="96"/>
        <v>2021.082B.R.Tevens_new_families.zip</v>
      </c>
      <c r="U2245" s="29" t="str">
        <f>HYPERLINK("https://ictv.global/taxonomy/taxondetails?taxnode_id=202300500","ictv.global=202300500")</f>
        <v>ictv.global=202300500</v>
      </c>
    </row>
    <row r="2246" spans="1:21">
      <c r="A2246">
        <v>2245</v>
      </c>
      <c r="B2246" s="30" t="s">
        <v>1587</v>
      </c>
      <c r="D2246" s="30" t="s">
        <v>1588</v>
      </c>
      <c r="F2246" s="30" t="s">
        <v>1591</v>
      </c>
      <c r="H2246" s="30" t="s">
        <v>1592</v>
      </c>
      <c r="L2246" s="30" t="s">
        <v>5765</v>
      </c>
      <c r="N2246" s="30" t="s">
        <v>1394</v>
      </c>
      <c r="P2246" s="30" t="s">
        <v>5979</v>
      </c>
      <c r="Q2246" t="s">
        <v>619</v>
      </c>
      <c r="R2246" t="s">
        <v>918</v>
      </c>
      <c r="S2246">
        <v>37</v>
      </c>
      <c r="T2246" s="29" t="str">
        <f t="shared" si="96"/>
        <v>2021.082B.R.Tevens_new_families.zip</v>
      </c>
      <c r="U2246" s="29" t="str">
        <f>HYPERLINK("https://ictv.global/taxonomy/taxondetails?taxnode_id=202300501","ictv.global=202300501")</f>
        <v>ictv.global=202300501</v>
      </c>
    </row>
    <row r="2247" spans="1:21">
      <c r="A2247">
        <v>2246</v>
      </c>
      <c r="B2247" s="30" t="s">
        <v>1587</v>
      </c>
      <c r="D2247" s="30" t="s">
        <v>1588</v>
      </c>
      <c r="F2247" s="30" t="s">
        <v>1591</v>
      </c>
      <c r="H2247" s="30" t="s">
        <v>1592</v>
      </c>
      <c r="L2247" s="30" t="s">
        <v>5765</v>
      </c>
      <c r="N2247" s="30" t="s">
        <v>1394</v>
      </c>
      <c r="P2247" s="30" t="s">
        <v>5980</v>
      </c>
      <c r="Q2247" t="s">
        <v>619</v>
      </c>
      <c r="R2247" t="s">
        <v>918</v>
      </c>
      <c r="S2247">
        <v>37</v>
      </c>
      <c r="T2247" s="29" t="str">
        <f t="shared" si="96"/>
        <v>2021.082B.R.Tevens_new_families.zip</v>
      </c>
      <c r="U2247" s="29" t="str">
        <f>HYPERLINK("https://ictv.global/taxonomy/taxondetails?taxnode_id=202300502","ictv.global=202300502")</f>
        <v>ictv.global=202300502</v>
      </c>
    </row>
    <row r="2248" spans="1:21">
      <c r="A2248">
        <v>2247</v>
      </c>
      <c r="B2248" s="30" t="s">
        <v>1587</v>
      </c>
      <c r="D2248" s="30" t="s">
        <v>1588</v>
      </c>
      <c r="F2248" s="30" t="s">
        <v>1591</v>
      </c>
      <c r="H2248" s="30" t="s">
        <v>1592</v>
      </c>
      <c r="L2248" s="30" t="s">
        <v>5765</v>
      </c>
      <c r="N2248" s="30" t="s">
        <v>1394</v>
      </c>
      <c r="P2248" s="30" t="s">
        <v>5981</v>
      </c>
      <c r="Q2248" t="s">
        <v>619</v>
      </c>
      <c r="R2248" t="s">
        <v>918</v>
      </c>
      <c r="S2248">
        <v>37</v>
      </c>
      <c r="T2248" s="29" t="str">
        <f t="shared" si="96"/>
        <v>2021.082B.R.Tevens_new_families.zip</v>
      </c>
      <c r="U2248" s="29" t="str">
        <f>HYPERLINK("https://ictv.global/taxonomy/taxondetails?taxnode_id=202307033","ictv.global=202307033")</f>
        <v>ictv.global=202307033</v>
      </c>
    </row>
    <row r="2249" spans="1:21">
      <c r="A2249">
        <v>2248</v>
      </c>
      <c r="B2249" s="30" t="s">
        <v>1587</v>
      </c>
      <c r="D2249" s="30" t="s">
        <v>1588</v>
      </c>
      <c r="F2249" s="30" t="s">
        <v>1591</v>
      </c>
      <c r="H2249" s="30" t="s">
        <v>1592</v>
      </c>
      <c r="L2249" s="30" t="s">
        <v>5765</v>
      </c>
      <c r="N2249" s="30" t="s">
        <v>1394</v>
      </c>
      <c r="P2249" s="30" t="s">
        <v>5982</v>
      </c>
      <c r="Q2249" t="s">
        <v>619</v>
      </c>
      <c r="R2249" t="s">
        <v>918</v>
      </c>
      <c r="S2249">
        <v>37</v>
      </c>
      <c r="T2249" s="29" t="str">
        <f t="shared" si="96"/>
        <v>2021.082B.R.Tevens_new_families.zip</v>
      </c>
      <c r="U2249" s="29" t="str">
        <f>HYPERLINK("https://ictv.global/taxonomy/taxondetails?taxnode_id=202300498","ictv.global=202300498")</f>
        <v>ictv.global=202300498</v>
      </c>
    </row>
    <row r="2250" spans="1:21">
      <c r="A2250">
        <v>2249</v>
      </c>
      <c r="B2250" s="30" t="s">
        <v>1587</v>
      </c>
      <c r="D2250" s="30" t="s">
        <v>1588</v>
      </c>
      <c r="F2250" s="30" t="s">
        <v>1591</v>
      </c>
      <c r="H2250" s="30" t="s">
        <v>1592</v>
      </c>
      <c r="L2250" s="30" t="s">
        <v>5983</v>
      </c>
      <c r="N2250" s="30" t="s">
        <v>5984</v>
      </c>
      <c r="P2250" s="30" t="s">
        <v>12153</v>
      </c>
      <c r="Q2250" t="s">
        <v>619</v>
      </c>
      <c r="R2250" t="s">
        <v>920</v>
      </c>
      <c r="S2250">
        <v>39</v>
      </c>
      <c r="T2250" s="29" t="str">
        <f>HYPERLINK("https://ictv.global/ictv/proposals/2023.001A.Archaeal_binomials.zip","2023.001A.Archaeal_binomials.zip")</f>
        <v>2023.001A.Archaeal_binomials.zip</v>
      </c>
      <c r="U2250" s="29" t="str">
        <f>HYPERLINK("https://ictv.global/taxonomy/taxondetails?taxnode_id=202312173","ictv.global=202312173")</f>
        <v>ictv.global=202312173</v>
      </c>
    </row>
    <row r="2251" spans="1:21">
      <c r="A2251">
        <v>2250</v>
      </c>
      <c r="B2251" s="30" t="s">
        <v>1587</v>
      </c>
      <c r="D2251" s="30" t="s">
        <v>1588</v>
      </c>
      <c r="F2251" s="30" t="s">
        <v>1591</v>
      </c>
      <c r="H2251" s="30" t="s">
        <v>1592</v>
      </c>
      <c r="L2251" s="30" t="s">
        <v>12154</v>
      </c>
      <c r="N2251" s="30" t="s">
        <v>12155</v>
      </c>
      <c r="P2251" s="30" t="s">
        <v>12156</v>
      </c>
      <c r="Q2251" t="s">
        <v>619</v>
      </c>
      <c r="R2251" t="s">
        <v>917</v>
      </c>
      <c r="S2251">
        <v>39</v>
      </c>
      <c r="T2251" s="29" t="str">
        <f>HYPERLINK("https://ictv.global/ictv/proposals/2023.069B.Toyamaviridae_nf.zip","2023.069B.Toyamaviridae_nf.zip")</f>
        <v>2023.069B.Toyamaviridae_nf.zip</v>
      </c>
      <c r="U2251" s="29" t="str">
        <f>HYPERLINK("https://ictv.global/taxonomy/taxondetails?taxnode_id=202319389","ictv.global=202319389")</f>
        <v>ictv.global=202319389</v>
      </c>
    </row>
    <row r="2252" spans="1:21">
      <c r="A2252">
        <v>2251</v>
      </c>
      <c r="B2252" s="30" t="s">
        <v>1587</v>
      </c>
      <c r="D2252" s="30" t="s">
        <v>1588</v>
      </c>
      <c r="F2252" s="30" t="s">
        <v>1591</v>
      </c>
      <c r="H2252" s="30" t="s">
        <v>1592</v>
      </c>
      <c r="L2252" s="30" t="s">
        <v>12154</v>
      </c>
      <c r="N2252" s="30" t="s">
        <v>12157</v>
      </c>
      <c r="P2252" s="30" t="s">
        <v>12158</v>
      </c>
      <c r="Q2252" t="s">
        <v>619</v>
      </c>
      <c r="R2252" t="s">
        <v>917</v>
      </c>
      <c r="S2252">
        <v>39</v>
      </c>
      <c r="T2252" s="29" t="str">
        <f>HYPERLINK("https://ictv.global/ictv/proposals/2023.069B.Toyamaviridae_nf.zip","2023.069B.Toyamaviridae_nf.zip")</f>
        <v>2023.069B.Toyamaviridae_nf.zip</v>
      </c>
      <c r="U2252" s="29" t="str">
        <f>HYPERLINK("https://ictv.global/taxonomy/taxondetails?taxnode_id=202319387","ictv.global=202319387")</f>
        <v>ictv.global=202319387</v>
      </c>
    </row>
    <row r="2253" spans="1:21">
      <c r="A2253">
        <v>2252</v>
      </c>
      <c r="B2253" s="30" t="s">
        <v>1587</v>
      </c>
      <c r="D2253" s="30" t="s">
        <v>1588</v>
      </c>
      <c r="F2253" s="30" t="s">
        <v>1591</v>
      </c>
      <c r="H2253" s="30" t="s">
        <v>1592</v>
      </c>
      <c r="L2253" s="30" t="s">
        <v>12154</v>
      </c>
      <c r="N2253" s="30" t="s">
        <v>12159</v>
      </c>
      <c r="P2253" s="30" t="s">
        <v>12160</v>
      </c>
      <c r="Q2253" t="s">
        <v>619</v>
      </c>
      <c r="R2253" t="s">
        <v>917</v>
      </c>
      <c r="S2253">
        <v>39</v>
      </c>
      <c r="T2253" s="29" t="str">
        <f>HYPERLINK("https://ictv.global/ictv/proposals/2023.069B.Toyamaviridae_nf.zip","2023.069B.Toyamaviridae_nf.zip")</f>
        <v>2023.069B.Toyamaviridae_nf.zip</v>
      </c>
      <c r="U2253" s="29" t="str">
        <f>HYPERLINK("https://ictv.global/taxonomy/taxondetails?taxnode_id=202319388","ictv.global=202319388")</f>
        <v>ictv.global=202319388</v>
      </c>
    </row>
    <row r="2254" spans="1:21">
      <c r="A2254">
        <v>2253</v>
      </c>
      <c r="B2254" s="30" t="s">
        <v>1587</v>
      </c>
      <c r="D2254" s="30" t="s">
        <v>1588</v>
      </c>
      <c r="F2254" s="30" t="s">
        <v>1591</v>
      </c>
      <c r="H2254" s="30" t="s">
        <v>1592</v>
      </c>
      <c r="L2254" s="30" t="s">
        <v>12161</v>
      </c>
      <c r="N2254" s="30" t="s">
        <v>12162</v>
      </c>
      <c r="P2254" s="30" t="s">
        <v>12163</v>
      </c>
      <c r="Q2254" t="s">
        <v>619</v>
      </c>
      <c r="R2254" t="s">
        <v>917</v>
      </c>
      <c r="S2254">
        <v>39</v>
      </c>
      <c r="T2254" s="29" t="str">
        <f t="shared" ref="T2254:T2285" si="97">HYPERLINK("https://ictv.global/ictv/proposals/2023.072B.Umezonoviridae_nf.zip","2023.072B.Umezonoviridae_nf.zip")</f>
        <v>2023.072B.Umezonoviridae_nf.zip</v>
      </c>
      <c r="U2254" s="29" t="str">
        <f>HYPERLINK("https://ictv.global/taxonomy/taxondetails?taxnode_id=202319454","ictv.global=202319454")</f>
        <v>ictv.global=202319454</v>
      </c>
    </row>
    <row r="2255" spans="1:21">
      <c r="A2255">
        <v>2254</v>
      </c>
      <c r="B2255" s="30" t="s">
        <v>1587</v>
      </c>
      <c r="D2255" s="30" t="s">
        <v>1588</v>
      </c>
      <c r="F2255" s="30" t="s">
        <v>1591</v>
      </c>
      <c r="H2255" s="30" t="s">
        <v>1592</v>
      </c>
      <c r="L2255" s="30" t="s">
        <v>12161</v>
      </c>
      <c r="N2255" s="30" t="s">
        <v>12162</v>
      </c>
      <c r="P2255" s="30" t="s">
        <v>12164</v>
      </c>
      <c r="Q2255" t="s">
        <v>619</v>
      </c>
      <c r="R2255" t="s">
        <v>917</v>
      </c>
      <c r="S2255">
        <v>39</v>
      </c>
      <c r="T2255" s="29" t="str">
        <f t="shared" si="97"/>
        <v>2023.072B.Umezonoviridae_nf.zip</v>
      </c>
      <c r="U2255" s="29" t="str">
        <f>HYPERLINK("https://ictv.global/taxonomy/taxondetails?taxnode_id=202319455","ictv.global=202319455")</f>
        <v>ictv.global=202319455</v>
      </c>
    </row>
    <row r="2256" spans="1:21">
      <c r="A2256">
        <v>2255</v>
      </c>
      <c r="B2256" s="30" t="s">
        <v>1587</v>
      </c>
      <c r="D2256" s="30" t="s">
        <v>1588</v>
      </c>
      <c r="F2256" s="30" t="s">
        <v>1591</v>
      </c>
      <c r="H2256" s="30" t="s">
        <v>1592</v>
      </c>
      <c r="L2256" s="30" t="s">
        <v>12161</v>
      </c>
      <c r="N2256" s="30" t="s">
        <v>12162</v>
      </c>
      <c r="P2256" s="30" t="s">
        <v>12165</v>
      </c>
      <c r="Q2256" t="s">
        <v>619</v>
      </c>
      <c r="R2256" t="s">
        <v>917</v>
      </c>
      <c r="S2256">
        <v>39</v>
      </c>
      <c r="T2256" s="29" t="str">
        <f t="shared" si="97"/>
        <v>2023.072B.Umezonoviridae_nf.zip</v>
      </c>
      <c r="U2256" s="29" t="str">
        <f>HYPERLINK("https://ictv.global/taxonomy/taxondetails?taxnode_id=202319456","ictv.global=202319456")</f>
        <v>ictv.global=202319456</v>
      </c>
    </row>
    <row r="2257" spans="1:21">
      <c r="A2257">
        <v>2256</v>
      </c>
      <c r="B2257" s="30" t="s">
        <v>1587</v>
      </c>
      <c r="D2257" s="30" t="s">
        <v>1588</v>
      </c>
      <c r="F2257" s="30" t="s">
        <v>1591</v>
      </c>
      <c r="H2257" s="30" t="s">
        <v>1592</v>
      </c>
      <c r="L2257" s="30" t="s">
        <v>12161</v>
      </c>
      <c r="N2257" s="30" t="s">
        <v>12162</v>
      </c>
      <c r="P2257" s="30" t="s">
        <v>12166</v>
      </c>
      <c r="Q2257" t="s">
        <v>619</v>
      </c>
      <c r="R2257" t="s">
        <v>917</v>
      </c>
      <c r="S2257">
        <v>39</v>
      </c>
      <c r="T2257" s="29" t="str">
        <f t="shared" si="97"/>
        <v>2023.072B.Umezonoviridae_nf.zip</v>
      </c>
      <c r="U2257" s="29" t="str">
        <f>HYPERLINK("https://ictv.global/taxonomy/taxondetails?taxnode_id=202319457","ictv.global=202319457")</f>
        <v>ictv.global=202319457</v>
      </c>
    </row>
    <row r="2258" spans="1:21">
      <c r="A2258">
        <v>2257</v>
      </c>
      <c r="B2258" s="30" t="s">
        <v>1587</v>
      </c>
      <c r="D2258" s="30" t="s">
        <v>1588</v>
      </c>
      <c r="F2258" s="30" t="s">
        <v>1591</v>
      </c>
      <c r="H2258" s="30" t="s">
        <v>1592</v>
      </c>
      <c r="L2258" s="30" t="s">
        <v>12161</v>
      </c>
      <c r="N2258" s="30" t="s">
        <v>12162</v>
      </c>
      <c r="P2258" s="30" t="s">
        <v>12167</v>
      </c>
      <c r="Q2258" t="s">
        <v>619</v>
      </c>
      <c r="R2258" t="s">
        <v>917</v>
      </c>
      <c r="S2258">
        <v>39</v>
      </c>
      <c r="T2258" s="29" t="str">
        <f t="shared" si="97"/>
        <v>2023.072B.Umezonoviridae_nf.zip</v>
      </c>
      <c r="U2258" s="29" t="str">
        <f>HYPERLINK("https://ictv.global/taxonomy/taxondetails?taxnode_id=202319458","ictv.global=202319458")</f>
        <v>ictv.global=202319458</v>
      </c>
    </row>
    <row r="2259" spans="1:21">
      <c r="A2259">
        <v>2258</v>
      </c>
      <c r="B2259" s="30" t="s">
        <v>1587</v>
      </c>
      <c r="D2259" s="30" t="s">
        <v>1588</v>
      </c>
      <c r="F2259" s="30" t="s">
        <v>1591</v>
      </c>
      <c r="H2259" s="30" t="s">
        <v>1592</v>
      </c>
      <c r="L2259" s="30" t="s">
        <v>12161</v>
      </c>
      <c r="N2259" s="30" t="s">
        <v>12162</v>
      </c>
      <c r="P2259" s="30" t="s">
        <v>12168</v>
      </c>
      <c r="Q2259" t="s">
        <v>619</v>
      </c>
      <c r="R2259" t="s">
        <v>917</v>
      </c>
      <c r="S2259">
        <v>39</v>
      </c>
      <c r="T2259" s="29" t="str">
        <f t="shared" si="97"/>
        <v>2023.072B.Umezonoviridae_nf.zip</v>
      </c>
      <c r="U2259" s="29" t="str">
        <f>HYPERLINK("https://ictv.global/taxonomy/taxondetails?taxnode_id=202319463","ictv.global=202319463")</f>
        <v>ictv.global=202319463</v>
      </c>
    </row>
    <row r="2260" spans="1:21">
      <c r="A2260">
        <v>2259</v>
      </c>
      <c r="B2260" s="30" t="s">
        <v>1587</v>
      </c>
      <c r="D2260" s="30" t="s">
        <v>1588</v>
      </c>
      <c r="F2260" s="30" t="s">
        <v>1591</v>
      </c>
      <c r="H2260" s="30" t="s">
        <v>1592</v>
      </c>
      <c r="L2260" s="30" t="s">
        <v>12161</v>
      </c>
      <c r="N2260" s="30" t="s">
        <v>12162</v>
      </c>
      <c r="P2260" s="30" t="s">
        <v>12169</v>
      </c>
      <c r="Q2260" t="s">
        <v>619</v>
      </c>
      <c r="R2260" t="s">
        <v>917</v>
      </c>
      <c r="S2260">
        <v>39</v>
      </c>
      <c r="T2260" s="29" t="str">
        <f t="shared" si="97"/>
        <v>2023.072B.Umezonoviridae_nf.zip</v>
      </c>
      <c r="U2260" s="29" t="str">
        <f>HYPERLINK("https://ictv.global/taxonomy/taxondetails?taxnode_id=202319459","ictv.global=202319459")</f>
        <v>ictv.global=202319459</v>
      </c>
    </row>
    <row r="2261" spans="1:21">
      <c r="A2261">
        <v>2260</v>
      </c>
      <c r="B2261" s="30" t="s">
        <v>1587</v>
      </c>
      <c r="D2261" s="30" t="s">
        <v>1588</v>
      </c>
      <c r="F2261" s="30" t="s">
        <v>1591</v>
      </c>
      <c r="H2261" s="30" t="s">
        <v>1592</v>
      </c>
      <c r="L2261" s="30" t="s">
        <v>12161</v>
      </c>
      <c r="N2261" s="30" t="s">
        <v>12162</v>
      </c>
      <c r="P2261" s="30" t="s">
        <v>12170</v>
      </c>
      <c r="Q2261" t="s">
        <v>619</v>
      </c>
      <c r="R2261" t="s">
        <v>917</v>
      </c>
      <c r="S2261">
        <v>39</v>
      </c>
      <c r="T2261" s="29" t="str">
        <f t="shared" si="97"/>
        <v>2023.072B.Umezonoviridae_nf.zip</v>
      </c>
      <c r="U2261" s="29" t="str">
        <f>HYPERLINK("https://ictv.global/taxonomy/taxondetails?taxnode_id=202319460","ictv.global=202319460")</f>
        <v>ictv.global=202319460</v>
      </c>
    </row>
    <row r="2262" spans="1:21">
      <c r="A2262">
        <v>2261</v>
      </c>
      <c r="B2262" s="30" t="s">
        <v>1587</v>
      </c>
      <c r="D2262" s="30" t="s">
        <v>1588</v>
      </c>
      <c r="F2262" s="30" t="s">
        <v>1591</v>
      </c>
      <c r="H2262" s="30" t="s">
        <v>1592</v>
      </c>
      <c r="L2262" s="30" t="s">
        <v>12161</v>
      </c>
      <c r="N2262" s="30" t="s">
        <v>12162</v>
      </c>
      <c r="P2262" s="30" t="s">
        <v>12171</v>
      </c>
      <c r="Q2262" t="s">
        <v>619</v>
      </c>
      <c r="R2262" t="s">
        <v>917</v>
      </c>
      <c r="S2262">
        <v>39</v>
      </c>
      <c r="T2262" s="29" t="str">
        <f t="shared" si="97"/>
        <v>2023.072B.Umezonoviridae_nf.zip</v>
      </c>
      <c r="U2262" s="29" t="str">
        <f>HYPERLINK("https://ictv.global/taxonomy/taxondetails?taxnode_id=202319461","ictv.global=202319461")</f>
        <v>ictv.global=202319461</v>
      </c>
    </row>
    <row r="2263" spans="1:21">
      <c r="A2263">
        <v>2262</v>
      </c>
      <c r="B2263" s="30" t="s">
        <v>1587</v>
      </c>
      <c r="D2263" s="30" t="s">
        <v>1588</v>
      </c>
      <c r="F2263" s="30" t="s">
        <v>1591</v>
      </c>
      <c r="H2263" s="30" t="s">
        <v>1592</v>
      </c>
      <c r="L2263" s="30" t="s">
        <v>12161</v>
      </c>
      <c r="N2263" s="30" t="s">
        <v>12162</v>
      </c>
      <c r="P2263" s="30" t="s">
        <v>12172</v>
      </c>
      <c r="Q2263" t="s">
        <v>619</v>
      </c>
      <c r="R2263" t="s">
        <v>917</v>
      </c>
      <c r="S2263">
        <v>39</v>
      </c>
      <c r="T2263" s="29" t="str">
        <f t="shared" si="97"/>
        <v>2023.072B.Umezonoviridae_nf.zip</v>
      </c>
      <c r="U2263" s="29" t="str">
        <f>HYPERLINK("https://ictv.global/taxonomy/taxondetails?taxnode_id=202319462","ictv.global=202319462")</f>
        <v>ictv.global=202319462</v>
      </c>
    </row>
    <row r="2264" spans="1:21">
      <c r="A2264">
        <v>2263</v>
      </c>
      <c r="B2264" s="30" t="s">
        <v>1587</v>
      </c>
      <c r="D2264" s="30" t="s">
        <v>1588</v>
      </c>
      <c r="F2264" s="30" t="s">
        <v>1591</v>
      </c>
      <c r="H2264" s="30" t="s">
        <v>1592</v>
      </c>
      <c r="L2264" s="30" t="s">
        <v>12161</v>
      </c>
      <c r="N2264" s="30" t="s">
        <v>12173</v>
      </c>
      <c r="P2264" s="30" t="s">
        <v>12174</v>
      </c>
      <c r="Q2264" t="s">
        <v>619</v>
      </c>
      <c r="R2264" t="s">
        <v>917</v>
      </c>
      <c r="S2264">
        <v>39</v>
      </c>
      <c r="T2264" s="29" t="str">
        <f t="shared" si="97"/>
        <v>2023.072B.Umezonoviridae_nf.zip</v>
      </c>
      <c r="U2264" s="29" t="str">
        <f>HYPERLINK("https://ictv.global/taxonomy/taxondetails?taxnode_id=202319409","ictv.global=202319409")</f>
        <v>ictv.global=202319409</v>
      </c>
    </row>
    <row r="2265" spans="1:21">
      <c r="A2265">
        <v>2264</v>
      </c>
      <c r="B2265" s="30" t="s">
        <v>1587</v>
      </c>
      <c r="D2265" s="30" t="s">
        <v>1588</v>
      </c>
      <c r="F2265" s="30" t="s">
        <v>1591</v>
      </c>
      <c r="H2265" s="30" t="s">
        <v>1592</v>
      </c>
      <c r="L2265" s="30" t="s">
        <v>12161</v>
      </c>
      <c r="N2265" s="30" t="s">
        <v>12173</v>
      </c>
      <c r="P2265" s="30" t="s">
        <v>12175</v>
      </c>
      <c r="Q2265" t="s">
        <v>619</v>
      </c>
      <c r="R2265" t="s">
        <v>917</v>
      </c>
      <c r="S2265">
        <v>39</v>
      </c>
      <c r="T2265" s="29" t="str">
        <f t="shared" si="97"/>
        <v>2023.072B.Umezonoviridae_nf.zip</v>
      </c>
      <c r="U2265" s="29" t="str">
        <f>HYPERLINK("https://ictv.global/taxonomy/taxondetails?taxnode_id=202319410","ictv.global=202319410")</f>
        <v>ictv.global=202319410</v>
      </c>
    </row>
    <row r="2266" spans="1:21">
      <c r="A2266">
        <v>2265</v>
      </c>
      <c r="B2266" s="30" t="s">
        <v>1587</v>
      </c>
      <c r="D2266" s="30" t="s">
        <v>1588</v>
      </c>
      <c r="F2266" s="30" t="s">
        <v>1591</v>
      </c>
      <c r="H2266" s="30" t="s">
        <v>1592</v>
      </c>
      <c r="L2266" s="30" t="s">
        <v>12161</v>
      </c>
      <c r="N2266" s="30" t="s">
        <v>12173</v>
      </c>
      <c r="P2266" s="30" t="s">
        <v>12176</v>
      </c>
      <c r="Q2266" t="s">
        <v>619</v>
      </c>
      <c r="R2266" t="s">
        <v>917</v>
      </c>
      <c r="S2266">
        <v>39</v>
      </c>
      <c r="T2266" s="29" t="str">
        <f t="shared" si="97"/>
        <v>2023.072B.Umezonoviridae_nf.zip</v>
      </c>
      <c r="U2266" s="29" t="str">
        <f>HYPERLINK("https://ictv.global/taxonomy/taxondetails?taxnode_id=202319411","ictv.global=202319411")</f>
        <v>ictv.global=202319411</v>
      </c>
    </row>
    <row r="2267" spans="1:21">
      <c r="A2267">
        <v>2266</v>
      </c>
      <c r="B2267" s="30" t="s">
        <v>1587</v>
      </c>
      <c r="D2267" s="30" t="s">
        <v>1588</v>
      </c>
      <c r="F2267" s="30" t="s">
        <v>1591</v>
      </c>
      <c r="H2267" s="30" t="s">
        <v>1592</v>
      </c>
      <c r="L2267" s="30" t="s">
        <v>12161</v>
      </c>
      <c r="N2267" s="30" t="s">
        <v>12173</v>
      </c>
      <c r="P2267" s="30" t="s">
        <v>12177</v>
      </c>
      <c r="Q2267" t="s">
        <v>619</v>
      </c>
      <c r="R2267" t="s">
        <v>917</v>
      </c>
      <c r="S2267">
        <v>39</v>
      </c>
      <c r="T2267" s="29" t="str">
        <f t="shared" si="97"/>
        <v>2023.072B.Umezonoviridae_nf.zip</v>
      </c>
      <c r="U2267" s="29" t="str">
        <f>HYPERLINK("https://ictv.global/taxonomy/taxondetails?taxnode_id=202319416","ictv.global=202319416")</f>
        <v>ictv.global=202319416</v>
      </c>
    </row>
    <row r="2268" spans="1:21">
      <c r="A2268">
        <v>2267</v>
      </c>
      <c r="B2268" s="30" t="s">
        <v>1587</v>
      </c>
      <c r="D2268" s="30" t="s">
        <v>1588</v>
      </c>
      <c r="F2268" s="30" t="s">
        <v>1591</v>
      </c>
      <c r="H2268" s="30" t="s">
        <v>1592</v>
      </c>
      <c r="L2268" s="30" t="s">
        <v>12161</v>
      </c>
      <c r="N2268" s="30" t="s">
        <v>12173</v>
      </c>
      <c r="P2268" s="30" t="s">
        <v>12178</v>
      </c>
      <c r="Q2268" t="s">
        <v>619</v>
      </c>
      <c r="R2268" t="s">
        <v>917</v>
      </c>
      <c r="S2268">
        <v>39</v>
      </c>
      <c r="T2268" s="29" t="str">
        <f t="shared" si="97"/>
        <v>2023.072B.Umezonoviridae_nf.zip</v>
      </c>
      <c r="U2268" s="29" t="str">
        <f>HYPERLINK("https://ictv.global/taxonomy/taxondetails?taxnode_id=202319412","ictv.global=202319412")</f>
        <v>ictv.global=202319412</v>
      </c>
    </row>
    <row r="2269" spans="1:21">
      <c r="A2269">
        <v>2268</v>
      </c>
      <c r="B2269" s="30" t="s">
        <v>1587</v>
      </c>
      <c r="D2269" s="30" t="s">
        <v>1588</v>
      </c>
      <c r="F2269" s="30" t="s">
        <v>1591</v>
      </c>
      <c r="H2269" s="30" t="s">
        <v>1592</v>
      </c>
      <c r="L2269" s="30" t="s">
        <v>12161</v>
      </c>
      <c r="N2269" s="30" t="s">
        <v>12173</v>
      </c>
      <c r="P2269" s="30" t="s">
        <v>12179</v>
      </c>
      <c r="Q2269" t="s">
        <v>619</v>
      </c>
      <c r="R2269" t="s">
        <v>917</v>
      </c>
      <c r="S2269">
        <v>39</v>
      </c>
      <c r="T2269" s="29" t="str">
        <f t="shared" si="97"/>
        <v>2023.072B.Umezonoviridae_nf.zip</v>
      </c>
      <c r="U2269" s="29" t="str">
        <f>HYPERLINK("https://ictv.global/taxonomy/taxondetails?taxnode_id=202319413","ictv.global=202319413")</f>
        <v>ictv.global=202319413</v>
      </c>
    </row>
    <row r="2270" spans="1:21">
      <c r="A2270">
        <v>2269</v>
      </c>
      <c r="B2270" s="30" t="s">
        <v>1587</v>
      </c>
      <c r="D2270" s="30" t="s">
        <v>1588</v>
      </c>
      <c r="F2270" s="30" t="s">
        <v>1591</v>
      </c>
      <c r="H2270" s="30" t="s">
        <v>1592</v>
      </c>
      <c r="L2270" s="30" t="s">
        <v>12161</v>
      </c>
      <c r="N2270" s="30" t="s">
        <v>12173</v>
      </c>
      <c r="P2270" s="30" t="s">
        <v>12180</v>
      </c>
      <c r="Q2270" t="s">
        <v>619</v>
      </c>
      <c r="R2270" t="s">
        <v>917</v>
      </c>
      <c r="S2270">
        <v>39</v>
      </c>
      <c r="T2270" s="29" t="str">
        <f t="shared" si="97"/>
        <v>2023.072B.Umezonoviridae_nf.zip</v>
      </c>
      <c r="U2270" s="29" t="str">
        <f>HYPERLINK("https://ictv.global/taxonomy/taxondetails?taxnode_id=202319414","ictv.global=202319414")</f>
        <v>ictv.global=202319414</v>
      </c>
    </row>
    <row r="2271" spans="1:21">
      <c r="A2271">
        <v>2270</v>
      </c>
      <c r="B2271" s="30" t="s">
        <v>1587</v>
      </c>
      <c r="D2271" s="30" t="s">
        <v>1588</v>
      </c>
      <c r="F2271" s="30" t="s">
        <v>1591</v>
      </c>
      <c r="H2271" s="30" t="s">
        <v>1592</v>
      </c>
      <c r="L2271" s="30" t="s">
        <v>12161</v>
      </c>
      <c r="N2271" s="30" t="s">
        <v>12173</v>
      </c>
      <c r="P2271" s="30" t="s">
        <v>12181</v>
      </c>
      <c r="Q2271" t="s">
        <v>619</v>
      </c>
      <c r="R2271" t="s">
        <v>917</v>
      </c>
      <c r="S2271">
        <v>39</v>
      </c>
      <c r="T2271" s="29" t="str">
        <f t="shared" si="97"/>
        <v>2023.072B.Umezonoviridae_nf.zip</v>
      </c>
      <c r="U2271" s="29" t="str">
        <f>HYPERLINK("https://ictv.global/taxonomy/taxondetails?taxnode_id=202319415","ictv.global=202319415")</f>
        <v>ictv.global=202319415</v>
      </c>
    </row>
    <row r="2272" spans="1:21">
      <c r="A2272">
        <v>2271</v>
      </c>
      <c r="B2272" s="30" t="s">
        <v>1587</v>
      </c>
      <c r="D2272" s="30" t="s">
        <v>1588</v>
      </c>
      <c r="F2272" s="30" t="s">
        <v>1591</v>
      </c>
      <c r="H2272" s="30" t="s">
        <v>1592</v>
      </c>
      <c r="L2272" s="30" t="s">
        <v>12161</v>
      </c>
      <c r="N2272" s="30" t="s">
        <v>12173</v>
      </c>
      <c r="P2272" s="30" t="s">
        <v>12182</v>
      </c>
      <c r="Q2272" t="s">
        <v>619</v>
      </c>
      <c r="R2272" t="s">
        <v>917</v>
      </c>
      <c r="S2272">
        <v>39</v>
      </c>
      <c r="T2272" s="29" t="str">
        <f t="shared" si="97"/>
        <v>2023.072B.Umezonoviridae_nf.zip</v>
      </c>
      <c r="U2272" s="29" t="str">
        <f>HYPERLINK("https://ictv.global/taxonomy/taxondetails?taxnode_id=202319417","ictv.global=202319417")</f>
        <v>ictv.global=202319417</v>
      </c>
    </row>
    <row r="2273" spans="1:21">
      <c r="A2273">
        <v>2272</v>
      </c>
      <c r="B2273" s="30" t="s">
        <v>1587</v>
      </c>
      <c r="D2273" s="30" t="s">
        <v>1588</v>
      </c>
      <c r="F2273" s="30" t="s">
        <v>1591</v>
      </c>
      <c r="H2273" s="30" t="s">
        <v>1592</v>
      </c>
      <c r="L2273" s="30" t="s">
        <v>12161</v>
      </c>
      <c r="N2273" s="30" t="s">
        <v>12173</v>
      </c>
      <c r="P2273" s="30" t="s">
        <v>12183</v>
      </c>
      <c r="Q2273" t="s">
        <v>619</v>
      </c>
      <c r="R2273" t="s">
        <v>917</v>
      </c>
      <c r="S2273">
        <v>39</v>
      </c>
      <c r="T2273" s="29" t="str">
        <f t="shared" si="97"/>
        <v>2023.072B.Umezonoviridae_nf.zip</v>
      </c>
      <c r="U2273" s="29" t="str">
        <f>HYPERLINK("https://ictv.global/taxonomy/taxondetails?taxnode_id=202319418","ictv.global=202319418")</f>
        <v>ictv.global=202319418</v>
      </c>
    </row>
    <row r="2274" spans="1:21">
      <c r="A2274">
        <v>2273</v>
      </c>
      <c r="B2274" s="30" t="s">
        <v>1587</v>
      </c>
      <c r="D2274" s="30" t="s">
        <v>1588</v>
      </c>
      <c r="F2274" s="30" t="s">
        <v>1591</v>
      </c>
      <c r="H2274" s="30" t="s">
        <v>1592</v>
      </c>
      <c r="L2274" s="30" t="s">
        <v>12161</v>
      </c>
      <c r="N2274" s="30" t="s">
        <v>12173</v>
      </c>
      <c r="P2274" s="30" t="s">
        <v>12184</v>
      </c>
      <c r="Q2274" t="s">
        <v>619</v>
      </c>
      <c r="R2274" t="s">
        <v>917</v>
      </c>
      <c r="S2274">
        <v>39</v>
      </c>
      <c r="T2274" s="29" t="str">
        <f t="shared" si="97"/>
        <v>2023.072B.Umezonoviridae_nf.zip</v>
      </c>
      <c r="U2274" s="29" t="str">
        <f>HYPERLINK("https://ictv.global/taxonomy/taxondetails?taxnode_id=202319419","ictv.global=202319419")</f>
        <v>ictv.global=202319419</v>
      </c>
    </row>
    <row r="2275" spans="1:21">
      <c r="A2275">
        <v>2274</v>
      </c>
      <c r="B2275" s="30" t="s">
        <v>1587</v>
      </c>
      <c r="D2275" s="30" t="s">
        <v>1588</v>
      </c>
      <c r="F2275" s="30" t="s">
        <v>1591</v>
      </c>
      <c r="H2275" s="30" t="s">
        <v>1592</v>
      </c>
      <c r="L2275" s="30" t="s">
        <v>12161</v>
      </c>
      <c r="N2275" s="30" t="s">
        <v>12173</v>
      </c>
      <c r="P2275" s="30" t="s">
        <v>12185</v>
      </c>
      <c r="Q2275" t="s">
        <v>619</v>
      </c>
      <c r="R2275" t="s">
        <v>917</v>
      </c>
      <c r="S2275">
        <v>39</v>
      </c>
      <c r="T2275" s="29" t="str">
        <f t="shared" si="97"/>
        <v>2023.072B.Umezonoviridae_nf.zip</v>
      </c>
      <c r="U2275" s="29" t="str">
        <f>HYPERLINK("https://ictv.global/taxonomy/taxondetails?taxnode_id=202319420","ictv.global=202319420")</f>
        <v>ictv.global=202319420</v>
      </c>
    </row>
    <row r="2276" spans="1:21">
      <c r="A2276">
        <v>2275</v>
      </c>
      <c r="B2276" s="30" t="s">
        <v>1587</v>
      </c>
      <c r="D2276" s="30" t="s">
        <v>1588</v>
      </c>
      <c r="F2276" s="30" t="s">
        <v>1591</v>
      </c>
      <c r="H2276" s="30" t="s">
        <v>1592</v>
      </c>
      <c r="L2276" s="30" t="s">
        <v>12161</v>
      </c>
      <c r="N2276" s="30" t="s">
        <v>12173</v>
      </c>
      <c r="P2276" s="30" t="s">
        <v>12186</v>
      </c>
      <c r="Q2276" t="s">
        <v>619</v>
      </c>
      <c r="R2276" t="s">
        <v>917</v>
      </c>
      <c r="S2276">
        <v>39</v>
      </c>
      <c r="T2276" s="29" t="str">
        <f t="shared" si="97"/>
        <v>2023.072B.Umezonoviridae_nf.zip</v>
      </c>
      <c r="U2276" s="29" t="str">
        <f>HYPERLINK("https://ictv.global/taxonomy/taxondetails?taxnode_id=202319421","ictv.global=202319421")</f>
        <v>ictv.global=202319421</v>
      </c>
    </row>
    <row r="2277" spans="1:21">
      <c r="A2277">
        <v>2276</v>
      </c>
      <c r="B2277" s="30" t="s">
        <v>1587</v>
      </c>
      <c r="D2277" s="30" t="s">
        <v>1588</v>
      </c>
      <c r="F2277" s="30" t="s">
        <v>1591</v>
      </c>
      <c r="H2277" s="30" t="s">
        <v>1592</v>
      </c>
      <c r="L2277" s="30" t="s">
        <v>12161</v>
      </c>
      <c r="N2277" s="30" t="s">
        <v>12173</v>
      </c>
      <c r="P2277" s="30" t="s">
        <v>12187</v>
      </c>
      <c r="Q2277" t="s">
        <v>619</v>
      </c>
      <c r="R2277" t="s">
        <v>917</v>
      </c>
      <c r="S2277">
        <v>39</v>
      </c>
      <c r="T2277" s="29" t="str">
        <f t="shared" si="97"/>
        <v>2023.072B.Umezonoviridae_nf.zip</v>
      </c>
      <c r="U2277" s="29" t="str">
        <f>HYPERLINK("https://ictv.global/taxonomy/taxondetails?taxnode_id=202319422","ictv.global=202319422")</f>
        <v>ictv.global=202319422</v>
      </c>
    </row>
    <row r="2278" spans="1:21">
      <c r="A2278">
        <v>2277</v>
      </c>
      <c r="B2278" s="30" t="s">
        <v>1587</v>
      </c>
      <c r="D2278" s="30" t="s">
        <v>1588</v>
      </c>
      <c r="F2278" s="30" t="s">
        <v>1591</v>
      </c>
      <c r="H2278" s="30" t="s">
        <v>1592</v>
      </c>
      <c r="L2278" s="30" t="s">
        <v>12161</v>
      </c>
      <c r="N2278" s="30" t="s">
        <v>12173</v>
      </c>
      <c r="P2278" s="30" t="s">
        <v>12188</v>
      </c>
      <c r="Q2278" t="s">
        <v>619</v>
      </c>
      <c r="R2278" t="s">
        <v>917</v>
      </c>
      <c r="S2278">
        <v>39</v>
      </c>
      <c r="T2278" s="29" t="str">
        <f t="shared" si="97"/>
        <v>2023.072B.Umezonoviridae_nf.zip</v>
      </c>
      <c r="U2278" s="29" t="str">
        <f>HYPERLINK("https://ictv.global/taxonomy/taxondetails?taxnode_id=202319423","ictv.global=202319423")</f>
        <v>ictv.global=202319423</v>
      </c>
    </row>
    <row r="2279" spans="1:21">
      <c r="A2279">
        <v>2278</v>
      </c>
      <c r="B2279" s="30" t="s">
        <v>1587</v>
      </c>
      <c r="D2279" s="30" t="s">
        <v>1588</v>
      </c>
      <c r="F2279" s="30" t="s">
        <v>1591</v>
      </c>
      <c r="H2279" s="30" t="s">
        <v>1592</v>
      </c>
      <c r="L2279" s="30" t="s">
        <v>12161</v>
      </c>
      <c r="N2279" s="30" t="s">
        <v>12173</v>
      </c>
      <c r="P2279" s="30" t="s">
        <v>12189</v>
      </c>
      <c r="Q2279" t="s">
        <v>619</v>
      </c>
      <c r="R2279" t="s">
        <v>917</v>
      </c>
      <c r="S2279">
        <v>39</v>
      </c>
      <c r="T2279" s="29" t="str">
        <f t="shared" si="97"/>
        <v>2023.072B.Umezonoviridae_nf.zip</v>
      </c>
      <c r="U2279" s="29" t="str">
        <f>HYPERLINK("https://ictv.global/taxonomy/taxondetails?taxnode_id=202319424","ictv.global=202319424")</f>
        <v>ictv.global=202319424</v>
      </c>
    </row>
    <row r="2280" spans="1:21">
      <c r="A2280">
        <v>2279</v>
      </c>
      <c r="B2280" s="30" t="s">
        <v>1587</v>
      </c>
      <c r="D2280" s="30" t="s">
        <v>1588</v>
      </c>
      <c r="F2280" s="30" t="s">
        <v>1591</v>
      </c>
      <c r="H2280" s="30" t="s">
        <v>1592</v>
      </c>
      <c r="L2280" s="30" t="s">
        <v>12161</v>
      </c>
      <c r="N2280" s="30" t="s">
        <v>12173</v>
      </c>
      <c r="P2280" s="30" t="s">
        <v>12190</v>
      </c>
      <c r="Q2280" t="s">
        <v>619</v>
      </c>
      <c r="R2280" t="s">
        <v>917</v>
      </c>
      <c r="S2280">
        <v>39</v>
      </c>
      <c r="T2280" s="29" t="str">
        <f t="shared" si="97"/>
        <v>2023.072B.Umezonoviridae_nf.zip</v>
      </c>
      <c r="U2280" s="29" t="str">
        <f>HYPERLINK("https://ictv.global/taxonomy/taxondetails?taxnode_id=202319425","ictv.global=202319425")</f>
        <v>ictv.global=202319425</v>
      </c>
    </row>
    <row r="2281" spans="1:21">
      <c r="A2281">
        <v>2280</v>
      </c>
      <c r="B2281" s="30" t="s">
        <v>1587</v>
      </c>
      <c r="D2281" s="30" t="s">
        <v>1588</v>
      </c>
      <c r="F2281" s="30" t="s">
        <v>1591</v>
      </c>
      <c r="H2281" s="30" t="s">
        <v>1592</v>
      </c>
      <c r="L2281" s="30" t="s">
        <v>12161</v>
      </c>
      <c r="N2281" s="30" t="s">
        <v>12173</v>
      </c>
      <c r="P2281" s="30" t="s">
        <v>12191</v>
      </c>
      <c r="Q2281" t="s">
        <v>619</v>
      </c>
      <c r="R2281" t="s">
        <v>917</v>
      </c>
      <c r="S2281">
        <v>39</v>
      </c>
      <c r="T2281" s="29" t="str">
        <f t="shared" si="97"/>
        <v>2023.072B.Umezonoviridae_nf.zip</v>
      </c>
      <c r="U2281" s="29" t="str">
        <f>HYPERLINK("https://ictv.global/taxonomy/taxondetails?taxnode_id=202319426","ictv.global=202319426")</f>
        <v>ictv.global=202319426</v>
      </c>
    </row>
    <row r="2282" spans="1:21">
      <c r="A2282">
        <v>2281</v>
      </c>
      <c r="B2282" s="30" t="s">
        <v>1587</v>
      </c>
      <c r="D2282" s="30" t="s">
        <v>1588</v>
      </c>
      <c r="F2282" s="30" t="s">
        <v>1591</v>
      </c>
      <c r="H2282" s="30" t="s">
        <v>1592</v>
      </c>
      <c r="L2282" s="30" t="s">
        <v>12161</v>
      </c>
      <c r="N2282" s="30" t="s">
        <v>12173</v>
      </c>
      <c r="P2282" s="30" t="s">
        <v>12192</v>
      </c>
      <c r="Q2282" t="s">
        <v>619</v>
      </c>
      <c r="R2282" t="s">
        <v>917</v>
      </c>
      <c r="S2282">
        <v>39</v>
      </c>
      <c r="T2282" s="29" t="str">
        <f t="shared" si="97"/>
        <v>2023.072B.Umezonoviridae_nf.zip</v>
      </c>
      <c r="U2282" s="29" t="str">
        <f>HYPERLINK("https://ictv.global/taxonomy/taxondetails?taxnode_id=202319427","ictv.global=202319427")</f>
        <v>ictv.global=202319427</v>
      </c>
    </row>
    <row r="2283" spans="1:21">
      <c r="A2283">
        <v>2282</v>
      </c>
      <c r="B2283" s="30" t="s">
        <v>1587</v>
      </c>
      <c r="D2283" s="30" t="s">
        <v>1588</v>
      </c>
      <c r="F2283" s="30" t="s">
        <v>1591</v>
      </c>
      <c r="H2283" s="30" t="s">
        <v>1592</v>
      </c>
      <c r="L2283" s="30" t="s">
        <v>12161</v>
      </c>
      <c r="N2283" s="30" t="s">
        <v>12173</v>
      </c>
      <c r="P2283" s="30" t="s">
        <v>12193</v>
      </c>
      <c r="Q2283" t="s">
        <v>619</v>
      </c>
      <c r="R2283" t="s">
        <v>917</v>
      </c>
      <c r="S2283">
        <v>39</v>
      </c>
      <c r="T2283" s="29" t="str">
        <f t="shared" si="97"/>
        <v>2023.072B.Umezonoviridae_nf.zip</v>
      </c>
      <c r="U2283" s="29" t="str">
        <f>HYPERLINK("https://ictv.global/taxonomy/taxondetails?taxnode_id=202319428","ictv.global=202319428")</f>
        <v>ictv.global=202319428</v>
      </c>
    </row>
    <row r="2284" spans="1:21">
      <c r="A2284">
        <v>2283</v>
      </c>
      <c r="B2284" s="30" t="s">
        <v>1587</v>
      </c>
      <c r="D2284" s="30" t="s">
        <v>1588</v>
      </c>
      <c r="F2284" s="30" t="s">
        <v>1591</v>
      </c>
      <c r="H2284" s="30" t="s">
        <v>1592</v>
      </c>
      <c r="L2284" s="30" t="s">
        <v>12161</v>
      </c>
      <c r="N2284" s="30" t="s">
        <v>12173</v>
      </c>
      <c r="P2284" s="30" t="s">
        <v>12194</v>
      </c>
      <c r="Q2284" t="s">
        <v>619</v>
      </c>
      <c r="R2284" t="s">
        <v>917</v>
      </c>
      <c r="S2284">
        <v>39</v>
      </c>
      <c r="T2284" s="29" t="str">
        <f t="shared" si="97"/>
        <v>2023.072B.Umezonoviridae_nf.zip</v>
      </c>
      <c r="U2284" s="29" t="str">
        <f>HYPERLINK("https://ictv.global/taxonomy/taxondetails?taxnode_id=202319429","ictv.global=202319429")</f>
        <v>ictv.global=202319429</v>
      </c>
    </row>
    <row r="2285" spans="1:21">
      <c r="A2285">
        <v>2284</v>
      </c>
      <c r="B2285" s="30" t="s">
        <v>1587</v>
      </c>
      <c r="D2285" s="30" t="s">
        <v>1588</v>
      </c>
      <c r="F2285" s="30" t="s">
        <v>1591</v>
      </c>
      <c r="H2285" s="30" t="s">
        <v>1592</v>
      </c>
      <c r="L2285" s="30" t="s">
        <v>12161</v>
      </c>
      <c r="N2285" s="30" t="s">
        <v>12173</v>
      </c>
      <c r="P2285" s="30" t="s">
        <v>12195</v>
      </c>
      <c r="Q2285" t="s">
        <v>619</v>
      </c>
      <c r="R2285" t="s">
        <v>917</v>
      </c>
      <c r="S2285">
        <v>39</v>
      </c>
      <c r="T2285" s="29" t="str">
        <f t="shared" si="97"/>
        <v>2023.072B.Umezonoviridae_nf.zip</v>
      </c>
      <c r="U2285" s="29" t="str">
        <f>HYPERLINK("https://ictv.global/taxonomy/taxondetails?taxnode_id=202319430","ictv.global=202319430")</f>
        <v>ictv.global=202319430</v>
      </c>
    </row>
    <row r="2286" spans="1:21">
      <c r="A2286">
        <v>2285</v>
      </c>
      <c r="B2286" s="30" t="s">
        <v>1587</v>
      </c>
      <c r="D2286" s="30" t="s">
        <v>1588</v>
      </c>
      <c r="F2286" s="30" t="s">
        <v>1591</v>
      </c>
      <c r="H2286" s="30" t="s">
        <v>1592</v>
      </c>
      <c r="L2286" s="30" t="s">
        <v>12161</v>
      </c>
      <c r="N2286" s="30" t="s">
        <v>12173</v>
      </c>
      <c r="P2286" s="30" t="s">
        <v>12196</v>
      </c>
      <c r="Q2286" t="s">
        <v>619</v>
      </c>
      <c r="R2286" t="s">
        <v>917</v>
      </c>
      <c r="S2286">
        <v>39</v>
      </c>
      <c r="T2286" s="29" t="str">
        <f t="shared" ref="T2286:T2308" si="98">HYPERLINK("https://ictv.global/ictv/proposals/2023.072B.Umezonoviridae_nf.zip","2023.072B.Umezonoviridae_nf.zip")</f>
        <v>2023.072B.Umezonoviridae_nf.zip</v>
      </c>
      <c r="U2286" s="29" t="str">
        <f>HYPERLINK("https://ictv.global/taxonomy/taxondetails?taxnode_id=202319431","ictv.global=202319431")</f>
        <v>ictv.global=202319431</v>
      </c>
    </row>
    <row r="2287" spans="1:21">
      <c r="A2287">
        <v>2286</v>
      </c>
      <c r="B2287" s="30" t="s">
        <v>1587</v>
      </c>
      <c r="D2287" s="30" t="s">
        <v>1588</v>
      </c>
      <c r="F2287" s="30" t="s">
        <v>1591</v>
      </c>
      <c r="H2287" s="30" t="s">
        <v>1592</v>
      </c>
      <c r="L2287" s="30" t="s">
        <v>12161</v>
      </c>
      <c r="N2287" s="30" t="s">
        <v>12173</v>
      </c>
      <c r="P2287" s="30" t="s">
        <v>12197</v>
      </c>
      <c r="Q2287" t="s">
        <v>619</v>
      </c>
      <c r="R2287" t="s">
        <v>917</v>
      </c>
      <c r="S2287">
        <v>39</v>
      </c>
      <c r="T2287" s="29" t="str">
        <f t="shared" si="98"/>
        <v>2023.072B.Umezonoviridae_nf.zip</v>
      </c>
      <c r="U2287" s="29" t="str">
        <f>HYPERLINK("https://ictv.global/taxonomy/taxondetails?taxnode_id=202319432","ictv.global=202319432")</f>
        <v>ictv.global=202319432</v>
      </c>
    </row>
    <row r="2288" spans="1:21">
      <c r="A2288">
        <v>2287</v>
      </c>
      <c r="B2288" s="30" t="s">
        <v>1587</v>
      </c>
      <c r="D2288" s="30" t="s">
        <v>1588</v>
      </c>
      <c r="F2288" s="30" t="s">
        <v>1591</v>
      </c>
      <c r="H2288" s="30" t="s">
        <v>1592</v>
      </c>
      <c r="L2288" s="30" t="s">
        <v>12161</v>
      </c>
      <c r="N2288" s="30" t="s">
        <v>12173</v>
      </c>
      <c r="P2288" s="30" t="s">
        <v>12198</v>
      </c>
      <c r="Q2288" t="s">
        <v>619</v>
      </c>
      <c r="R2288" t="s">
        <v>917</v>
      </c>
      <c r="S2288">
        <v>39</v>
      </c>
      <c r="T2288" s="29" t="str">
        <f t="shared" si="98"/>
        <v>2023.072B.Umezonoviridae_nf.zip</v>
      </c>
      <c r="U2288" s="29" t="str">
        <f>HYPERLINK("https://ictv.global/taxonomy/taxondetails?taxnode_id=202319433","ictv.global=202319433")</f>
        <v>ictv.global=202319433</v>
      </c>
    </row>
    <row r="2289" spans="1:21">
      <c r="A2289">
        <v>2288</v>
      </c>
      <c r="B2289" s="30" t="s">
        <v>1587</v>
      </c>
      <c r="D2289" s="30" t="s">
        <v>1588</v>
      </c>
      <c r="F2289" s="30" t="s">
        <v>1591</v>
      </c>
      <c r="H2289" s="30" t="s">
        <v>1592</v>
      </c>
      <c r="L2289" s="30" t="s">
        <v>12161</v>
      </c>
      <c r="N2289" s="30" t="s">
        <v>12173</v>
      </c>
      <c r="P2289" s="30" t="s">
        <v>12199</v>
      </c>
      <c r="Q2289" t="s">
        <v>619</v>
      </c>
      <c r="R2289" t="s">
        <v>917</v>
      </c>
      <c r="S2289">
        <v>39</v>
      </c>
      <c r="T2289" s="29" t="str">
        <f t="shared" si="98"/>
        <v>2023.072B.Umezonoviridae_nf.zip</v>
      </c>
      <c r="U2289" s="29" t="str">
        <f>HYPERLINK("https://ictv.global/taxonomy/taxondetails?taxnode_id=202319434","ictv.global=202319434")</f>
        <v>ictv.global=202319434</v>
      </c>
    </row>
    <row r="2290" spans="1:21">
      <c r="A2290">
        <v>2289</v>
      </c>
      <c r="B2290" s="30" t="s">
        <v>1587</v>
      </c>
      <c r="D2290" s="30" t="s">
        <v>1588</v>
      </c>
      <c r="F2290" s="30" t="s">
        <v>1591</v>
      </c>
      <c r="H2290" s="30" t="s">
        <v>1592</v>
      </c>
      <c r="L2290" s="30" t="s">
        <v>12161</v>
      </c>
      <c r="N2290" s="30" t="s">
        <v>12173</v>
      </c>
      <c r="P2290" s="30" t="s">
        <v>12200</v>
      </c>
      <c r="Q2290" t="s">
        <v>619</v>
      </c>
      <c r="R2290" t="s">
        <v>917</v>
      </c>
      <c r="S2290">
        <v>39</v>
      </c>
      <c r="T2290" s="29" t="str">
        <f t="shared" si="98"/>
        <v>2023.072B.Umezonoviridae_nf.zip</v>
      </c>
      <c r="U2290" s="29" t="str">
        <f>HYPERLINK("https://ictv.global/taxonomy/taxondetails?taxnode_id=202319435","ictv.global=202319435")</f>
        <v>ictv.global=202319435</v>
      </c>
    </row>
    <row r="2291" spans="1:21">
      <c r="A2291">
        <v>2290</v>
      </c>
      <c r="B2291" s="30" t="s">
        <v>1587</v>
      </c>
      <c r="D2291" s="30" t="s">
        <v>1588</v>
      </c>
      <c r="F2291" s="30" t="s">
        <v>1591</v>
      </c>
      <c r="H2291" s="30" t="s">
        <v>1592</v>
      </c>
      <c r="L2291" s="30" t="s">
        <v>12161</v>
      </c>
      <c r="N2291" s="30" t="s">
        <v>12173</v>
      </c>
      <c r="P2291" s="30" t="s">
        <v>12201</v>
      </c>
      <c r="Q2291" t="s">
        <v>619</v>
      </c>
      <c r="R2291" t="s">
        <v>917</v>
      </c>
      <c r="S2291">
        <v>39</v>
      </c>
      <c r="T2291" s="29" t="str">
        <f t="shared" si="98"/>
        <v>2023.072B.Umezonoviridae_nf.zip</v>
      </c>
      <c r="U2291" s="29" t="str">
        <f>HYPERLINK("https://ictv.global/taxonomy/taxondetails?taxnode_id=202319436","ictv.global=202319436")</f>
        <v>ictv.global=202319436</v>
      </c>
    </row>
    <row r="2292" spans="1:21">
      <c r="A2292">
        <v>2291</v>
      </c>
      <c r="B2292" s="30" t="s">
        <v>1587</v>
      </c>
      <c r="D2292" s="30" t="s">
        <v>1588</v>
      </c>
      <c r="F2292" s="30" t="s">
        <v>1591</v>
      </c>
      <c r="H2292" s="30" t="s">
        <v>1592</v>
      </c>
      <c r="L2292" s="30" t="s">
        <v>12161</v>
      </c>
      <c r="N2292" s="30" t="s">
        <v>12173</v>
      </c>
      <c r="P2292" s="30" t="s">
        <v>12202</v>
      </c>
      <c r="Q2292" t="s">
        <v>619</v>
      </c>
      <c r="R2292" t="s">
        <v>917</v>
      </c>
      <c r="S2292">
        <v>39</v>
      </c>
      <c r="T2292" s="29" t="str">
        <f t="shared" si="98"/>
        <v>2023.072B.Umezonoviridae_nf.zip</v>
      </c>
      <c r="U2292" s="29" t="str">
        <f>HYPERLINK("https://ictv.global/taxonomy/taxondetails?taxnode_id=202319437","ictv.global=202319437")</f>
        <v>ictv.global=202319437</v>
      </c>
    </row>
    <row r="2293" spans="1:21">
      <c r="A2293">
        <v>2292</v>
      </c>
      <c r="B2293" s="30" t="s">
        <v>1587</v>
      </c>
      <c r="D2293" s="30" t="s">
        <v>1588</v>
      </c>
      <c r="F2293" s="30" t="s">
        <v>1591</v>
      </c>
      <c r="H2293" s="30" t="s">
        <v>1592</v>
      </c>
      <c r="L2293" s="30" t="s">
        <v>12161</v>
      </c>
      <c r="N2293" s="30" t="s">
        <v>12173</v>
      </c>
      <c r="P2293" s="30" t="s">
        <v>12203</v>
      </c>
      <c r="Q2293" t="s">
        <v>619</v>
      </c>
      <c r="R2293" t="s">
        <v>917</v>
      </c>
      <c r="S2293">
        <v>39</v>
      </c>
      <c r="T2293" s="29" t="str">
        <f t="shared" si="98"/>
        <v>2023.072B.Umezonoviridae_nf.zip</v>
      </c>
      <c r="U2293" s="29" t="str">
        <f>HYPERLINK("https://ictv.global/taxonomy/taxondetails?taxnode_id=202319438","ictv.global=202319438")</f>
        <v>ictv.global=202319438</v>
      </c>
    </row>
    <row r="2294" spans="1:21">
      <c r="A2294">
        <v>2293</v>
      </c>
      <c r="B2294" s="30" t="s">
        <v>1587</v>
      </c>
      <c r="D2294" s="30" t="s">
        <v>1588</v>
      </c>
      <c r="F2294" s="30" t="s">
        <v>1591</v>
      </c>
      <c r="H2294" s="30" t="s">
        <v>1592</v>
      </c>
      <c r="L2294" s="30" t="s">
        <v>12161</v>
      </c>
      <c r="N2294" s="30" t="s">
        <v>12173</v>
      </c>
      <c r="P2294" s="30" t="s">
        <v>12204</v>
      </c>
      <c r="Q2294" t="s">
        <v>619</v>
      </c>
      <c r="R2294" t="s">
        <v>917</v>
      </c>
      <c r="S2294">
        <v>39</v>
      </c>
      <c r="T2294" s="29" t="str">
        <f t="shared" si="98"/>
        <v>2023.072B.Umezonoviridae_nf.zip</v>
      </c>
      <c r="U2294" s="29" t="str">
        <f>HYPERLINK("https://ictv.global/taxonomy/taxondetails?taxnode_id=202319439","ictv.global=202319439")</f>
        <v>ictv.global=202319439</v>
      </c>
    </row>
    <row r="2295" spans="1:21">
      <c r="A2295">
        <v>2294</v>
      </c>
      <c r="B2295" s="30" t="s">
        <v>1587</v>
      </c>
      <c r="D2295" s="30" t="s">
        <v>1588</v>
      </c>
      <c r="F2295" s="30" t="s">
        <v>1591</v>
      </c>
      <c r="H2295" s="30" t="s">
        <v>1592</v>
      </c>
      <c r="L2295" s="30" t="s">
        <v>12161</v>
      </c>
      <c r="N2295" s="30" t="s">
        <v>12173</v>
      </c>
      <c r="P2295" s="30" t="s">
        <v>12205</v>
      </c>
      <c r="Q2295" t="s">
        <v>619</v>
      </c>
      <c r="R2295" t="s">
        <v>917</v>
      </c>
      <c r="S2295">
        <v>39</v>
      </c>
      <c r="T2295" s="29" t="str">
        <f t="shared" si="98"/>
        <v>2023.072B.Umezonoviridae_nf.zip</v>
      </c>
      <c r="U2295" s="29" t="str">
        <f>HYPERLINK("https://ictv.global/taxonomy/taxondetails?taxnode_id=202319440","ictv.global=202319440")</f>
        <v>ictv.global=202319440</v>
      </c>
    </row>
    <row r="2296" spans="1:21">
      <c r="A2296">
        <v>2295</v>
      </c>
      <c r="B2296" s="30" t="s">
        <v>1587</v>
      </c>
      <c r="D2296" s="30" t="s">
        <v>1588</v>
      </c>
      <c r="F2296" s="30" t="s">
        <v>1591</v>
      </c>
      <c r="H2296" s="30" t="s">
        <v>1592</v>
      </c>
      <c r="L2296" s="30" t="s">
        <v>12161</v>
      </c>
      <c r="N2296" s="30" t="s">
        <v>12173</v>
      </c>
      <c r="P2296" s="30" t="s">
        <v>12206</v>
      </c>
      <c r="Q2296" t="s">
        <v>619</v>
      </c>
      <c r="R2296" t="s">
        <v>917</v>
      </c>
      <c r="S2296">
        <v>39</v>
      </c>
      <c r="T2296" s="29" t="str">
        <f t="shared" si="98"/>
        <v>2023.072B.Umezonoviridae_nf.zip</v>
      </c>
      <c r="U2296" s="29" t="str">
        <f>HYPERLINK("https://ictv.global/taxonomy/taxondetails?taxnode_id=202319441","ictv.global=202319441")</f>
        <v>ictv.global=202319441</v>
      </c>
    </row>
    <row r="2297" spans="1:21">
      <c r="A2297">
        <v>2296</v>
      </c>
      <c r="B2297" s="30" t="s">
        <v>1587</v>
      </c>
      <c r="D2297" s="30" t="s">
        <v>1588</v>
      </c>
      <c r="F2297" s="30" t="s">
        <v>1591</v>
      </c>
      <c r="H2297" s="30" t="s">
        <v>1592</v>
      </c>
      <c r="L2297" s="30" t="s">
        <v>12161</v>
      </c>
      <c r="N2297" s="30" t="s">
        <v>12173</v>
      </c>
      <c r="P2297" s="30" t="s">
        <v>12207</v>
      </c>
      <c r="Q2297" t="s">
        <v>619</v>
      </c>
      <c r="R2297" t="s">
        <v>917</v>
      </c>
      <c r="S2297">
        <v>39</v>
      </c>
      <c r="T2297" s="29" t="str">
        <f t="shared" si="98"/>
        <v>2023.072B.Umezonoviridae_nf.zip</v>
      </c>
      <c r="U2297" s="29" t="str">
        <f>HYPERLINK("https://ictv.global/taxonomy/taxondetails?taxnode_id=202319442","ictv.global=202319442")</f>
        <v>ictv.global=202319442</v>
      </c>
    </row>
    <row r="2298" spans="1:21">
      <c r="A2298">
        <v>2297</v>
      </c>
      <c r="B2298" s="30" t="s">
        <v>1587</v>
      </c>
      <c r="D2298" s="30" t="s">
        <v>1588</v>
      </c>
      <c r="F2298" s="30" t="s">
        <v>1591</v>
      </c>
      <c r="H2298" s="30" t="s">
        <v>1592</v>
      </c>
      <c r="L2298" s="30" t="s">
        <v>12161</v>
      </c>
      <c r="N2298" s="30" t="s">
        <v>12173</v>
      </c>
      <c r="P2298" s="30" t="s">
        <v>12208</v>
      </c>
      <c r="Q2298" t="s">
        <v>619</v>
      </c>
      <c r="R2298" t="s">
        <v>917</v>
      </c>
      <c r="S2298">
        <v>39</v>
      </c>
      <c r="T2298" s="29" t="str">
        <f t="shared" si="98"/>
        <v>2023.072B.Umezonoviridae_nf.zip</v>
      </c>
      <c r="U2298" s="29" t="str">
        <f>HYPERLINK("https://ictv.global/taxonomy/taxondetails?taxnode_id=202319443","ictv.global=202319443")</f>
        <v>ictv.global=202319443</v>
      </c>
    </row>
    <row r="2299" spans="1:21">
      <c r="A2299">
        <v>2298</v>
      </c>
      <c r="B2299" s="30" t="s">
        <v>1587</v>
      </c>
      <c r="D2299" s="30" t="s">
        <v>1588</v>
      </c>
      <c r="F2299" s="30" t="s">
        <v>1591</v>
      </c>
      <c r="H2299" s="30" t="s">
        <v>1592</v>
      </c>
      <c r="L2299" s="30" t="s">
        <v>12161</v>
      </c>
      <c r="N2299" s="30" t="s">
        <v>12173</v>
      </c>
      <c r="P2299" s="30" t="s">
        <v>12209</v>
      </c>
      <c r="Q2299" t="s">
        <v>619</v>
      </c>
      <c r="R2299" t="s">
        <v>917</v>
      </c>
      <c r="S2299">
        <v>39</v>
      </c>
      <c r="T2299" s="29" t="str">
        <f t="shared" si="98"/>
        <v>2023.072B.Umezonoviridae_nf.zip</v>
      </c>
      <c r="U2299" s="29" t="str">
        <f>HYPERLINK("https://ictv.global/taxonomy/taxondetails?taxnode_id=202319444","ictv.global=202319444")</f>
        <v>ictv.global=202319444</v>
      </c>
    </row>
    <row r="2300" spans="1:21">
      <c r="A2300">
        <v>2299</v>
      </c>
      <c r="B2300" s="30" t="s">
        <v>1587</v>
      </c>
      <c r="D2300" s="30" t="s">
        <v>1588</v>
      </c>
      <c r="F2300" s="30" t="s">
        <v>1591</v>
      </c>
      <c r="H2300" s="30" t="s">
        <v>1592</v>
      </c>
      <c r="L2300" s="30" t="s">
        <v>12161</v>
      </c>
      <c r="N2300" s="30" t="s">
        <v>12173</v>
      </c>
      <c r="P2300" s="30" t="s">
        <v>12210</v>
      </c>
      <c r="Q2300" t="s">
        <v>619</v>
      </c>
      <c r="R2300" t="s">
        <v>917</v>
      </c>
      <c r="S2300">
        <v>39</v>
      </c>
      <c r="T2300" s="29" t="str">
        <f t="shared" si="98"/>
        <v>2023.072B.Umezonoviridae_nf.zip</v>
      </c>
      <c r="U2300" s="29" t="str">
        <f>HYPERLINK("https://ictv.global/taxonomy/taxondetails?taxnode_id=202319445","ictv.global=202319445")</f>
        <v>ictv.global=202319445</v>
      </c>
    </row>
    <row r="2301" spans="1:21">
      <c r="A2301">
        <v>2300</v>
      </c>
      <c r="B2301" s="30" t="s">
        <v>1587</v>
      </c>
      <c r="D2301" s="30" t="s">
        <v>1588</v>
      </c>
      <c r="F2301" s="30" t="s">
        <v>1591</v>
      </c>
      <c r="H2301" s="30" t="s">
        <v>1592</v>
      </c>
      <c r="L2301" s="30" t="s">
        <v>12161</v>
      </c>
      <c r="N2301" s="30" t="s">
        <v>12173</v>
      </c>
      <c r="P2301" s="30" t="s">
        <v>12211</v>
      </c>
      <c r="Q2301" t="s">
        <v>619</v>
      </c>
      <c r="R2301" t="s">
        <v>917</v>
      </c>
      <c r="S2301">
        <v>39</v>
      </c>
      <c r="T2301" s="29" t="str">
        <f t="shared" si="98"/>
        <v>2023.072B.Umezonoviridae_nf.zip</v>
      </c>
      <c r="U2301" s="29" t="str">
        <f>HYPERLINK("https://ictv.global/taxonomy/taxondetails?taxnode_id=202319446","ictv.global=202319446")</f>
        <v>ictv.global=202319446</v>
      </c>
    </row>
    <row r="2302" spans="1:21">
      <c r="A2302">
        <v>2301</v>
      </c>
      <c r="B2302" s="30" t="s">
        <v>1587</v>
      </c>
      <c r="D2302" s="30" t="s">
        <v>1588</v>
      </c>
      <c r="F2302" s="30" t="s">
        <v>1591</v>
      </c>
      <c r="H2302" s="30" t="s">
        <v>1592</v>
      </c>
      <c r="L2302" s="30" t="s">
        <v>12161</v>
      </c>
      <c r="N2302" s="30" t="s">
        <v>12173</v>
      </c>
      <c r="P2302" s="30" t="s">
        <v>12212</v>
      </c>
      <c r="Q2302" t="s">
        <v>619</v>
      </c>
      <c r="R2302" t="s">
        <v>917</v>
      </c>
      <c r="S2302">
        <v>39</v>
      </c>
      <c r="T2302" s="29" t="str">
        <f t="shared" si="98"/>
        <v>2023.072B.Umezonoviridae_nf.zip</v>
      </c>
      <c r="U2302" s="29" t="str">
        <f>HYPERLINK("https://ictv.global/taxonomy/taxondetails?taxnode_id=202319447","ictv.global=202319447")</f>
        <v>ictv.global=202319447</v>
      </c>
    </row>
    <row r="2303" spans="1:21">
      <c r="A2303">
        <v>2302</v>
      </c>
      <c r="B2303" s="30" t="s">
        <v>1587</v>
      </c>
      <c r="D2303" s="30" t="s">
        <v>1588</v>
      </c>
      <c r="F2303" s="30" t="s">
        <v>1591</v>
      </c>
      <c r="H2303" s="30" t="s">
        <v>1592</v>
      </c>
      <c r="L2303" s="30" t="s">
        <v>12161</v>
      </c>
      <c r="N2303" s="30" t="s">
        <v>12173</v>
      </c>
      <c r="P2303" s="30" t="s">
        <v>12213</v>
      </c>
      <c r="Q2303" t="s">
        <v>619</v>
      </c>
      <c r="R2303" t="s">
        <v>917</v>
      </c>
      <c r="S2303">
        <v>39</v>
      </c>
      <c r="T2303" s="29" t="str">
        <f t="shared" si="98"/>
        <v>2023.072B.Umezonoviridae_nf.zip</v>
      </c>
      <c r="U2303" s="29" t="str">
        <f>HYPERLINK("https://ictv.global/taxonomy/taxondetails?taxnode_id=202319448","ictv.global=202319448")</f>
        <v>ictv.global=202319448</v>
      </c>
    </row>
    <row r="2304" spans="1:21">
      <c r="A2304">
        <v>2303</v>
      </c>
      <c r="B2304" s="30" t="s">
        <v>1587</v>
      </c>
      <c r="D2304" s="30" t="s">
        <v>1588</v>
      </c>
      <c r="F2304" s="30" t="s">
        <v>1591</v>
      </c>
      <c r="H2304" s="30" t="s">
        <v>1592</v>
      </c>
      <c r="L2304" s="30" t="s">
        <v>12161</v>
      </c>
      <c r="N2304" s="30" t="s">
        <v>12173</v>
      </c>
      <c r="P2304" s="30" t="s">
        <v>12214</v>
      </c>
      <c r="Q2304" t="s">
        <v>619</v>
      </c>
      <c r="R2304" t="s">
        <v>917</v>
      </c>
      <c r="S2304">
        <v>39</v>
      </c>
      <c r="T2304" s="29" t="str">
        <f t="shared" si="98"/>
        <v>2023.072B.Umezonoviridae_nf.zip</v>
      </c>
      <c r="U2304" s="29" t="str">
        <f>HYPERLINK("https://ictv.global/taxonomy/taxondetails?taxnode_id=202319449","ictv.global=202319449")</f>
        <v>ictv.global=202319449</v>
      </c>
    </row>
    <row r="2305" spans="1:21">
      <c r="A2305">
        <v>2304</v>
      </c>
      <c r="B2305" s="30" t="s">
        <v>1587</v>
      </c>
      <c r="D2305" s="30" t="s">
        <v>1588</v>
      </c>
      <c r="F2305" s="30" t="s">
        <v>1591</v>
      </c>
      <c r="H2305" s="30" t="s">
        <v>1592</v>
      </c>
      <c r="L2305" s="30" t="s">
        <v>12161</v>
      </c>
      <c r="N2305" s="30" t="s">
        <v>12173</v>
      </c>
      <c r="P2305" s="30" t="s">
        <v>12215</v>
      </c>
      <c r="Q2305" t="s">
        <v>619</v>
      </c>
      <c r="R2305" t="s">
        <v>917</v>
      </c>
      <c r="S2305">
        <v>39</v>
      </c>
      <c r="T2305" s="29" t="str">
        <f t="shared" si="98"/>
        <v>2023.072B.Umezonoviridae_nf.zip</v>
      </c>
      <c r="U2305" s="29" t="str">
        <f>HYPERLINK("https://ictv.global/taxonomy/taxondetails?taxnode_id=202319450","ictv.global=202319450")</f>
        <v>ictv.global=202319450</v>
      </c>
    </row>
    <row r="2306" spans="1:21">
      <c r="A2306">
        <v>2305</v>
      </c>
      <c r="B2306" s="30" t="s">
        <v>1587</v>
      </c>
      <c r="D2306" s="30" t="s">
        <v>1588</v>
      </c>
      <c r="F2306" s="30" t="s">
        <v>1591</v>
      </c>
      <c r="H2306" s="30" t="s">
        <v>1592</v>
      </c>
      <c r="L2306" s="30" t="s">
        <v>12161</v>
      </c>
      <c r="N2306" s="30" t="s">
        <v>12173</v>
      </c>
      <c r="P2306" s="30" t="s">
        <v>12216</v>
      </c>
      <c r="Q2306" t="s">
        <v>619</v>
      </c>
      <c r="R2306" t="s">
        <v>917</v>
      </c>
      <c r="S2306">
        <v>39</v>
      </c>
      <c r="T2306" s="29" t="str">
        <f t="shared" si="98"/>
        <v>2023.072B.Umezonoviridae_nf.zip</v>
      </c>
      <c r="U2306" s="29" t="str">
        <f>HYPERLINK("https://ictv.global/taxonomy/taxondetails?taxnode_id=202319451","ictv.global=202319451")</f>
        <v>ictv.global=202319451</v>
      </c>
    </row>
    <row r="2307" spans="1:21">
      <c r="A2307">
        <v>2306</v>
      </c>
      <c r="B2307" s="30" t="s">
        <v>1587</v>
      </c>
      <c r="D2307" s="30" t="s">
        <v>1588</v>
      </c>
      <c r="F2307" s="30" t="s">
        <v>1591</v>
      </c>
      <c r="H2307" s="30" t="s">
        <v>1592</v>
      </c>
      <c r="L2307" s="30" t="s">
        <v>12161</v>
      </c>
      <c r="N2307" s="30" t="s">
        <v>12173</v>
      </c>
      <c r="P2307" s="30" t="s">
        <v>12217</v>
      </c>
      <c r="Q2307" t="s">
        <v>619</v>
      </c>
      <c r="R2307" t="s">
        <v>917</v>
      </c>
      <c r="S2307">
        <v>39</v>
      </c>
      <c r="T2307" s="29" t="str">
        <f t="shared" si="98"/>
        <v>2023.072B.Umezonoviridae_nf.zip</v>
      </c>
      <c r="U2307" s="29" t="str">
        <f>HYPERLINK("https://ictv.global/taxonomy/taxondetails?taxnode_id=202319452","ictv.global=202319452")</f>
        <v>ictv.global=202319452</v>
      </c>
    </row>
    <row r="2308" spans="1:21">
      <c r="A2308">
        <v>2307</v>
      </c>
      <c r="B2308" s="30" t="s">
        <v>1587</v>
      </c>
      <c r="D2308" s="30" t="s">
        <v>1588</v>
      </c>
      <c r="F2308" s="30" t="s">
        <v>1591</v>
      </c>
      <c r="H2308" s="30" t="s">
        <v>1592</v>
      </c>
      <c r="L2308" s="30" t="s">
        <v>12161</v>
      </c>
      <c r="N2308" s="30" t="s">
        <v>12173</v>
      </c>
      <c r="P2308" s="30" t="s">
        <v>12218</v>
      </c>
      <c r="Q2308" t="s">
        <v>619</v>
      </c>
      <c r="R2308" t="s">
        <v>917</v>
      </c>
      <c r="S2308">
        <v>39</v>
      </c>
      <c r="T2308" s="29" t="str">
        <f t="shared" si="98"/>
        <v>2023.072B.Umezonoviridae_nf.zip</v>
      </c>
      <c r="U2308" s="29" t="str">
        <f>HYPERLINK("https://ictv.global/taxonomy/taxondetails?taxnode_id=202319453","ictv.global=202319453")</f>
        <v>ictv.global=202319453</v>
      </c>
    </row>
    <row r="2309" spans="1:21">
      <c r="A2309">
        <v>2308</v>
      </c>
      <c r="B2309" s="30" t="s">
        <v>1587</v>
      </c>
      <c r="D2309" s="30" t="s">
        <v>1588</v>
      </c>
      <c r="F2309" s="30" t="s">
        <v>1591</v>
      </c>
      <c r="H2309" s="30" t="s">
        <v>1592</v>
      </c>
      <c r="L2309" s="30" t="s">
        <v>5985</v>
      </c>
      <c r="N2309" s="30" t="s">
        <v>5986</v>
      </c>
      <c r="P2309" s="30" t="s">
        <v>5987</v>
      </c>
      <c r="Q2309" t="s">
        <v>619</v>
      </c>
      <c r="R2309" t="s">
        <v>917</v>
      </c>
      <c r="S2309">
        <v>38</v>
      </c>
      <c r="T2309" s="29" t="str">
        <f>HYPERLINK("https://ictv.global/ictv/proposals/2022.002A.Verdandiviridae_nf_Atrospovirales_no.zip","2022.002A.Verdandiviridae_nf_Atrospovirales_no.zip")</f>
        <v>2022.002A.Verdandiviridae_nf_Atrospovirales_no.zip</v>
      </c>
      <c r="U2309" s="29" t="str">
        <f>HYPERLINK("https://ictv.global/taxonomy/taxondetails?taxnode_id=202314309","ictv.global=202314309")</f>
        <v>ictv.global=202314309</v>
      </c>
    </row>
    <row r="2310" spans="1:21">
      <c r="A2310">
        <v>2309</v>
      </c>
      <c r="B2310" s="30" t="s">
        <v>1587</v>
      </c>
      <c r="D2310" s="30" t="s">
        <v>1588</v>
      </c>
      <c r="F2310" s="30" t="s">
        <v>1591</v>
      </c>
      <c r="H2310" s="30" t="s">
        <v>1592</v>
      </c>
      <c r="L2310" s="30" t="s">
        <v>5985</v>
      </c>
      <c r="N2310" s="30" t="s">
        <v>5986</v>
      </c>
      <c r="P2310" s="30" t="s">
        <v>5988</v>
      </c>
      <c r="Q2310" t="s">
        <v>619</v>
      </c>
      <c r="R2310" t="s">
        <v>917</v>
      </c>
      <c r="S2310">
        <v>38</v>
      </c>
      <c r="T2310" s="29" t="str">
        <f>HYPERLINK("https://ictv.global/ictv/proposals/2022.002A.Verdandiviridae_nf_Atrospovirales_no.zip","2022.002A.Verdandiviridae_nf_Atrospovirales_no.zip")</f>
        <v>2022.002A.Verdandiviridae_nf_Atrospovirales_no.zip</v>
      </c>
      <c r="U2310" s="29" t="str">
        <f>HYPERLINK("https://ictv.global/taxonomy/taxondetails?taxnode_id=202314308","ictv.global=202314308")</f>
        <v>ictv.global=202314308</v>
      </c>
    </row>
    <row r="2311" spans="1:21">
      <c r="A2311">
        <v>2310</v>
      </c>
      <c r="B2311" s="30" t="s">
        <v>1587</v>
      </c>
      <c r="D2311" s="30" t="s">
        <v>1588</v>
      </c>
      <c r="F2311" s="30" t="s">
        <v>1591</v>
      </c>
      <c r="H2311" s="30" t="s">
        <v>1592</v>
      </c>
      <c r="L2311" s="30" t="s">
        <v>5985</v>
      </c>
      <c r="N2311" s="30" t="s">
        <v>5989</v>
      </c>
      <c r="P2311" s="30" t="s">
        <v>5990</v>
      </c>
      <c r="Q2311" t="s">
        <v>619</v>
      </c>
      <c r="R2311" t="s">
        <v>917</v>
      </c>
      <c r="S2311">
        <v>38</v>
      </c>
      <c r="T2311" s="29" t="str">
        <f>HYPERLINK("https://ictv.global/ictv/proposals/2022.002A.Verdandiviridae_nf_Atrospovirales_no.zip","2022.002A.Verdandiviridae_nf_Atrospovirales_no.zip")</f>
        <v>2022.002A.Verdandiviridae_nf_Atrospovirales_no.zip</v>
      </c>
      <c r="U2311" s="29" t="str">
        <f>HYPERLINK("https://ictv.global/taxonomy/taxondetails?taxnode_id=202314307","ictv.global=202314307")</f>
        <v>ictv.global=202314307</v>
      </c>
    </row>
    <row r="2312" spans="1:21">
      <c r="A2312">
        <v>2311</v>
      </c>
      <c r="B2312" s="30" t="s">
        <v>1587</v>
      </c>
      <c r="D2312" s="30" t="s">
        <v>1588</v>
      </c>
      <c r="F2312" s="30" t="s">
        <v>1591</v>
      </c>
      <c r="H2312" s="30" t="s">
        <v>1592</v>
      </c>
      <c r="L2312" s="30" t="s">
        <v>5991</v>
      </c>
      <c r="N2312" s="30" t="s">
        <v>5992</v>
      </c>
      <c r="P2312" s="30" t="s">
        <v>12219</v>
      </c>
      <c r="Q2312" t="s">
        <v>619</v>
      </c>
      <c r="R2312" t="s">
        <v>920</v>
      </c>
      <c r="S2312">
        <v>39</v>
      </c>
      <c r="T2312" s="29" t="str">
        <f>HYPERLINK("https://ictv.global/ictv/proposals/2023.001A.Archaeal_binomials.zip","2023.001A.Archaeal_binomials.zip")</f>
        <v>2023.001A.Archaeal_binomials.zip</v>
      </c>
      <c r="U2312" s="29" t="str">
        <f>HYPERLINK("https://ictv.global/taxonomy/taxondetails?taxnode_id=202308718","ictv.global=202308718")</f>
        <v>ictv.global=202308718</v>
      </c>
    </row>
    <row r="2313" spans="1:21">
      <c r="A2313">
        <v>2312</v>
      </c>
      <c r="B2313" s="30" t="s">
        <v>1587</v>
      </c>
      <c r="D2313" s="30" t="s">
        <v>1588</v>
      </c>
      <c r="F2313" s="30" t="s">
        <v>1591</v>
      </c>
      <c r="H2313" s="30" t="s">
        <v>1592</v>
      </c>
      <c r="L2313" s="30" t="s">
        <v>5991</v>
      </c>
      <c r="N2313" s="30" t="s">
        <v>640</v>
      </c>
      <c r="P2313" s="30" t="s">
        <v>12220</v>
      </c>
      <c r="Q2313" t="s">
        <v>619</v>
      </c>
      <c r="R2313" t="s">
        <v>920</v>
      </c>
      <c r="S2313">
        <v>39</v>
      </c>
      <c r="T2313" s="29" t="str">
        <f>HYPERLINK("https://ictv.global/ictv/proposals/2023.001A.Archaeal_binomials.zip","2023.001A.Archaeal_binomials.zip")</f>
        <v>2023.001A.Archaeal_binomials.zip</v>
      </c>
      <c r="U2313" s="29" t="str">
        <f>HYPERLINK("https://ictv.global/taxonomy/taxondetails?taxnode_id=202308719","ictv.global=202308719")</f>
        <v>ictv.global=202308719</v>
      </c>
    </row>
    <row r="2314" spans="1:21">
      <c r="A2314">
        <v>2313</v>
      </c>
      <c r="B2314" s="30" t="s">
        <v>1587</v>
      </c>
      <c r="D2314" s="30" t="s">
        <v>1588</v>
      </c>
      <c r="F2314" s="30" t="s">
        <v>1591</v>
      </c>
      <c r="H2314" s="30" t="s">
        <v>1592</v>
      </c>
      <c r="L2314" s="30" t="s">
        <v>5991</v>
      </c>
      <c r="N2314" s="30" t="s">
        <v>640</v>
      </c>
      <c r="P2314" s="30" t="s">
        <v>12221</v>
      </c>
      <c r="Q2314" t="s">
        <v>619</v>
      </c>
      <c r="R2314" t="s">
        <v>920</v>
      </c>
      <c r="S2314">
        <v>39</v>
      </c>
      <c r="T2314" s="29" t="str">
        <f>HYPERLINK("https://ictv.global/ictv/proposals/2023.001A.Archaeal_binomials.zip","2023.001A.Archaeal_binomials.zip")</f>
        <v>2023.001A.Archaeal_binomials.zip</v>
      </c>
      <c r="U2314" s="29" t="str">
        <f>HYPERLINK("https://ictv.global/taxonomy/taxondetails?taxnode_id=202300459","ictv.global=202300459")</f>
        <v>ictv.global=202300459</v>
      </c>
    </row>
    <row r="2315" spans="1:21">
      <c r="A2315">
        <v>2314</v>
      </c>
      <c r="B2315" s="30" t="s">
        <v>1587</v>
      </c>
      <c r="D2315" s="30" t="s">
        <v>1588</v>
      </c>
      <c r="F2315" s="30" t="s">
        <v>1591</v>
      </c>
      <c r="H2315" s="30" t="s">
        <v>1592</v>
      </c>
      <c r="L2315" s="30" t="s">
        <v>5993</v>
      </c>
      <c r="M2315" s="30" t="s">
        <v>5994</v>
      </c>
      <c r="N2315" s="30" t="s">
        <v>5995</v>
      </c>
      <c r="P2315" s="30" t="s">
        <v>5996</v>
      </c>
      <c r="Q2315" t="s">
        <v>619</v>
      </c>
      <c r="R2315" t="s">
        <v>917</v>
      </c>
      <c r="S2315">
        <v>37</v>
      </c>
      <c r="T2315" s="29" t="str">
        <f t="shared" ref="T2315:T2320" si="99">HYPERLINK("https://ictv.global/ictv/proposals/2021.089B.R.Vilmaviridae.zip","2021.089B.R.Vilmaviridae.zip")</f>
        <v>2021.089B.R.Vilmaviridae.zip</v>
      </c>
      <c r="U2315" s="29" t="str">
        <f>HYPERLINK("https://ictv.global/taxonomy/taxondetails?taxnode_id=202312672","ictv.global=202312672")</f>
        <v>ictv.global=202312672</v>
      </c>
    </row>
    <row r="2316" spans="1:21">
      <c r="A2316">
        <v>2315</v>
      </c>
      <c r="B2316" s="30" t="s">
        <v>1587</v>
      </c>
      <c r="D2316" s="30" t="s">
        <v>1588</v>
      </c>
      <c r="F2316" s="30" t="s">
        <v>1591</v>
      </c>
      <c r="H2316" s="30" t="s">
        <v>1592</v>
      </c>
      <c r="L2316" s="30" t="s">
        <v>5993</v>
      </c>
      <c r="M2316" s="30" t="s">
        <v>5994</v>
      </c>
      <c r="N2316" s="30" t="s">
        <v>5995</v>
      </c>
      <c r="P2316" s="30" t="s">
        <v>5997</v>
      </c>
      <c r="Q2316" t="s">
        <v>619</v>
      </c>
      <c r="R2316" t="s">
        <v>917</v>
      </c>
      <c r="S2316">
        <v>37</v>
      </c>
      <c r="T2316" s="29" t="str">
        <f t="shared" si="99"/>
        <v>2021.089B.R.Vilmaviridae.zip</v>
      </c>
      <c r="U2316" s="29" t="str">
        <f>HYPERLINK("https://ictv.global/taxonomy/taxondetails?taxnode_id=202312673","ictv.global=202312673")</f>
        <v>ictv.global=202312673</v>
      </c>
    </row>
    <row r="2317" spans="1:21">
      <c r="A2317">
        <v>2316</v>
      </c>
      <c r="B2317" s="30" t="s">
        <v>1587</v>
      </c>
      <c r="D2317" s="30" t="s">
        <v>1588</v>
      </c>
      <c r="F2317" s="30" t="s">
        <v>1591</v>
      </c>
      <c r="H2317" s="30" t="s">
        <v>1592</v>
      </c>
      <c r="L2317" s="30" t="s">
        <v>5993</v>
      </c>
      <c r="M2317" s="30" t="s">
        <v>5994</v>
      </c>
      <c r="N2317" s="30" t="s">
        <v>661</v>
      </c>
      <c r="P2317" s="30" t="s">
        <v>5998</v>
      </c>
      <c r="Q2317" t="s">
        <v>619</v>
      </c>
      <c r="R2317" t="s">
        <v>917</v>
      </c>
      <c r="S2317">
        <v>37</v>
      </c>
      <c r="T2317" s="29" t="str">
        <f t="shared" si="99"/>
        <v>2021.089B.R.Vilmaviridae.zip</v>
      </c>
      <c r="U2317" s="29" t="str">
        <f>HYPERLINK("https://ictv.global/taxonomy/taxondetails?taxnode_id=202312683","ictv.global=202312683")</f>
        <v>ictv.global=202312683</v>
      </c>
    </row>
    <row r="2318" spans="1:21">
      <c r="A2318">
        <v>2317</v>
      </c>
      <c r="B2318" s="30" t="s">
        <v>1587</v>
      </c>
      <c r="D2318" s="30" t="s">
        <v>1588</v>
      </c>
      <c r="F2318" s="30" t="s">
        <v>1591</v>
      </c>
      <c r="H2318" s="30" t="s">
        <v>1592</v>
      </c>
      <c r="L2318" s="30" t="s">
        <v>5993</v>
      </c>
      <c r="M2318" s="30" t="s">
        <v>5994</v>
      </c>
      <c r="N2318" s="30" t="s">
        <v>661</v>
      </c>
      <c r="P2318" s="30" t="s">
        <v>5999</v>
      </c>
      <c r="Q2318" t="s">
        <v>619</v>
      </c>
      <c r="R2318" t="s">
        <v>917</v>
      </c>
      <c r="S2318">
        <v>37</v>
      </c>
      <c r="T2318" s="29" t="str">
        <f t="shared" si="99"/>
        <v>2021.089B.R.Vilmaviridae.zip</v>
      </c>
      <c r="U2318" s="29" t="str">
        <f>HYPERLINK("https://ictv.global/taxonomy/taxondetails?taxnode_id=202312681","ictv.global=202312681")</f>
        <v>ictv.global=202312681</v>
      </c>
    </row>
    <row r="2319" spans="1:21">
      <c r="A2319">
        <v>2318</v>
      </c>
      <c r="B2319" s="30" t="s">
        <v>1587</v>
      </c>
      <c r="D2319" s="30" t="s">
        <v>1588</v>
      </c>
      <c r="F2319" s="30" t="s">
        <v>1591</v>
      </c>
      <c r="H2319" s="30" t="s">
        <v>1592</v>
      </c>
      <c r="L2319" s="30" t="s">
        <v>5993</v>
      </c>
      <c r="M2319" s="30" t="s">
        <v>5994</v>
      </c>
      <c r="N2319" s="30" t="s">
        <v>661</v>
      </c>
      <c r="P2319" s="30" t="s">
        <v>6000</v>
      </c>
      <c r="Q2319" t="s">
        <v>619</v>
      </c>
      <c r="R2319" t="s">
        <v>917</v>
      </c>
      <c r="S2319">
        <v>37</v>
      </c>
      <c r="T2319" s="29" t="str">
        <f t="shared" si="99"/>
        <v>2021.089B.R.Vilmaviridae.zip</v>
      </c>
      <c r="U2319" s="29" t="str">
        <f>HYPERLINK("https://ictv.global/taxonomy/taxondetails?taxnode_id=202312682","ictv.global=202312682")</f>
        <v>ictv.global=202312682</v>
      </c>
    </row>
    <row r="2320" spans="1:21">
      <c r="A2320">
        <v>2319</v>
      </c>
      <c r="B2320" s="30" t="s">
        <v>1587</v>
      </c>
      <c r="D2320" s="30" t="s">
        <v>1588</v>
      </c>
      <c r="F2320" s="30" t="s">
        <v>1591</v>
      </c>
      <c r="H2320" s="30" t="s">
        <v>1592</v>
      </c>
      <c r="L2320" s="30" t="s">
        <v>5993</v>
      </c>
      <c r="M2320" s="30" t="s">
        <v>5994</v>
      </c>
      <c r="N2320" s="30" t="s">
        <v>661</v>
      </c>
      <c r="P2320" s="30" t="s">
        <v>6001</v>
      </c>
      <c r="Q2320" t="s">
        <v>619</v>
      </c>
      <c r="R2320" t="s">
        <v>917</v>
      </c>
      <c r="S2320">
        <v>37</v>
      </c>
      <c r="T2320" s="29" t="str">
        <f t="shared" si="99"/>
        <v>2021.089B.R.Vilmaviridae.zip</v>
      </c>
      <c r="U2320" s="29" t="str">
        <f>HYPERLINK("https://ictv.global/taxonomy/taxondetails?taxnode_id=202312680","ictv.global=202312680")</f>
        <v>ictv.global=202312680</v>
      </c>
    </row>
    <row r="2321" spans="1:21">
      <c r="A2321">
        <v>2320</v>
      </c>
      <c r="B2321" s="30" t="s">
        <v>1587</v>
      </c>
      <c r="D2321" s="30" t="s">
        <v>1588</v>
      </c>
      <c r="F2321" s="30" t="s">
        <v>1591</v>
      </c>
      <c r="H2321" s="30" t="s">
        <v>1592</v>
      </c>
      <c r="L2321" s="30" t="s">
        <v>5993</v>
      </c>
      <c r="M2321" s="30" t="s">
        <v>5994</v>
      </c>
      <c r="N2321" s="30" t="s">
        <v>661</v>
      </c>
      <c r="P2321" s="30" t="s">
        <v>662</v>
      </c>
      <c r="Q2321" t="s">
        <v>619</v>
      </c>
      <c r="R2321" t="s">
        <v>919</v>
      </c>
      <c r="S2321">
        <v>37</v>
      </c>
      <c r="T2321" s="29" t="str">
        <f>HYPERLINK("https://ictv.global/ictv/proposals/2021.001B.R.abolish_Caudovirales.zip","2021.001B.R.abolish_Caudovirales.zip;2021.089B.A.v1.Vilmaviridae.zip")</f>
        <v>2021.001B.R.abolish_Caudovirales.zip;2021.089B.A.v1.Vilmaviridae.zip</v>
      </c>
      <c r="U2321" s="29" t="str">
        <f>HYPERLINK("https://ictv.global/taxonomy/taxondetails?taxnode_id=202300864","ictv.global=202300864")</f>
        <v>ictv.global=202300864</v>
      </c>
    </row>
    <row r="2322" spans="1:21">
      <c r="A2322">
        <v>2321</v>
      </c>
      <c r="B2322" s="30" t="s">
        <v>1587</v>
      </c>
      <c r="D2322" s="30" t="s">
        <v>1588</v>
      </c>
      <c r="F2322" s="30" t="s">
        <v>1591</v>
      </c>
      <c r="H2322" s="30" t="s">
        <v>1592</v>
      </c>
      <c r="L2322" s="30" t="s">
        <v>5993</v>
      </c>
      <c r="M2322" s="30" t="s">
        <v>5994</v>
      </c>
      <c r="N2322" s="30" t="s">
        <v>661</v>
      </c>
      <c r="P2322" s="30" t="s">
        <v>1893</v>
      </c>
      <c r="Q2322" t="s">
        <v>619</v>
      </c>
      <c r="R2322" t="s">
        <v>919</v>
      </c>
      <c r="S2322">
        <v>37</v>
      </c>
      <c r="T2322" s="29" t="str">
        <f>HYPERLINK("https://ictv.global/ictv/proposals/2021.001B.R.abolish_Caudovirales.zip","2021.001B.R.abolish_Caudovirales.zip;2021.089B.A.v1.Vilmaviridae.zip")</f>
        <v>2021.001B.R.abolish_Caudovirales.zip;2021.089B.A.v1.Vilmaviridae.zip</v>
      </c>
      <c r="U2322" s="29" t="str">
        <f>HYPERLINK("https://ictv.global/taxonomy/taxondetails?taxnode_id=202300866","ictv.global=202300866")</f>
        <v>ictv.global=202300866</v>
      </c>
    </row>
    <row r="2323" spans="1:21">
      <c r="A2323">
        <v>2322</v>
      </c>
      <c r="B2323" s="30" t="s">
        <v>1587</v>
      </c>
      <c r="D2323" s="30" t="s">
        <v>1588</v>
      </c>
      <c r="F2323" s="30" t="s">
        <v>1591</v>
      </c>
      <c r="H2323" s="30" t="s">
        <v>1592</v>
      </c>
      <c r="L2323" s="30" t="s">
        <v>5993</v>
      </c>
      <c r="M2323" s="30" t="s">
        <v>5994</v>
      </c>
      <c r="N2323" s="30" t="s">
        <v>6002</v>
      </c>
      <c r="P2323" s="30" t="s">
        <v>6003</v>
      </c>
      <c r="Q2323" t="s">
        <v>619</v>
      </c>
      <c r="R2323" t="s">
        <v>917</v>
      </c>
      <c r="S2323">
        <v>37</v>
      </c>
      <c r="T2323" s="29" t="str">
        <f t="shared" ref="T2323:T2333" si="100">HYPERLINK("https://ictv.global/ictv/proposals/2021.089B.R.Vilmaviridae.zip","2021.089B.R.Vilmaviridae.zip")</f>
        <v>2021.089B.R.Vilmaviridae.zip</v>
      </c>
      <c r="U2323" s="29" t="str">
        <f>HYPERLINK("https://ictv.global/taxonomy/taxondetails?taxnode_id=202312666","ictv.global=202312666")</f>
        <v>ictv.global=202312666</v>
      </c>
    </row>
    <row r="2324" spans="1:21">
      <c r="A2324">
        <v>2323</v>
      </c>
      <c r="B2324" s="30" t="s">
        <v>1587</v>
      </c>
      <c r="D2324" s="30" t="s">
        <v>1588</v>
      </c>
      <c r="F2324" s="30" t="s">
        <v>1591</v>
      </c>
      <c r="H2324" s="30" t="s">
        <v>1592</v>
      </c>
      <c r="L2324" s="30" t="s">
        <v>5993</v>
      </c>
      <c r="M2324" s="30" t="s">
        <v>5994</v>
      </c>
      <c r="N2324" s="30" t="s">
        <v>6002</v>
      </c>
      <c r="P2324" s="30" t="s">
        <v>6004</v>
      </c>
      <c r="Q2324" t="s">
        <v>619</v>
      </c>
      <c r="R2324" t="s">
        <v>917</v>
      </c>
      <c r="S2324">
        <v>37</v>
      </c>
      <c r="T2324" s="29" t="str">
        <f t="shared" si="100"/>
        <v>2021.089B.R.Vilmaviridae.zip</v>
      </c>
      <c r="U2324" s="29" t="str">
        <f>HYPERLINK("https://ictv.global/taxonomy/taxondetails?taxnode_id=202312667","ictv.global=202312667")</f>
        <v>ictv.global=202312667</v>
      </c>
    </row>
    <row r="2325" spans="1:21">
      <c r="A2325">
        <v>2324</v>
      </c>
      <c r="B2325" s="30" t="s">
        <v>1587</v>
      </c>
      <c r="D2325" s="30" t="s">
        <v>1588</v>
      </c>
      <c r="F2325" s="30" t="s">
        <v>1591</v>
      </c>
      <c r="H2325" s="30" t="s">
        <v>1592</v>
      </c>
      <c r="L2325" s="30" t="s">
        <v>5993</v>
      </c>
      <c r="M2325" s="30" t="s">
        <v>5994</v>
      </c>
      <c r="N2325" s="30" t="s">
        <v>6002</v>
      </c>
      <c r="P2325" s="30" t="s">
        <v>6005</v>
      </c>
      <c r="Q2325" t="s">
        <v>619</v>
      </c>
      <c r="R2325" t="s">
        <v>918</v>
      </c>
      <c r="S2325">
        <v>37</v>
      </c>
      <c r="T2325" s="29" t="str">
        <f t="shared" si="100"/>
        <v>2021.089B.R.Vilmaviridae.zip</v>
      </c>
      <c r="U2325" s="29" t="str">
        <f>HYPERLINK("https://ictv.global/taxonomy/taxondetails?taxnode_id=202300865","ictv.global=202300865")</f>
        <v>ictv.global=202300865</v>
      </c>
    </row>
    <row r="2326" spans="1:21">
      <c r="A2326">
        <v>2325</v>
      </c>
      <c r="B2326" s="30" t="s">
        <v>1587</v>
      </c>
      <c r="D2326" s="30" t="s">
        <v>1588</v>
      </c>
      <c r="F2326" s="30" t="s">
        <v>1591</v>
      </c>
      <c r="H2326" s="30" t="s">
        <v>1592</v>
      </c>
      <c r="L2326" s="30" t="s">
        <v>5993</v>
      </c>
      <c r="M2326" s="30" t="s">
        <v>5994</v>
      </c>
      <c r="N2326" s="30" t="s">
        <v>6002</v>
      </c>
      <c r="P2326" s="30" t="s">
        <v>6006</v>
      </c>
      <c r="Q2326" t="s">
        <v>619</v>
      </c>
      <c r="R2326" t="s">
        <v>917</v>
      </c>
      <c r="S2326">
        <v>37</v>
      </c>
      <c r="T2326" s="29" t="str">
        <f t="shared" si="100"/>
        <v>2021.089B.R.Vilmaviridae.zip</v>
      </c>
      <c r="U2326" s="29" t="str">
        <f>HYPERLINK("https://ictv.global/taxonomy/taxondetails?taxnode_id=202312668","ictv.global=202312668")</f>
        <v>ictv.global=202312668</v>
      </c>
    </row>
    <row r="2327" spans="1:21">
      <c r="A2327">
        <v>2326</v>
      </c>
      <c r="B2327" s="30" t="s">
        <v>1587</v>
      </c>
      <c r="D2327" s="30" t="s">
        <v>1588</v>
      </c>
      <c r="F2327" s="30" t="s">
        <v>1591</v>
      </c>
      <c r="H2327" s="30" t="s">
        <v>1592</v>
      </c>
      <c r="L2327" s="30" t="s">
        <v>5993</v>
      </c>
      <c r="M2327" s="30" t="s">
        <v>5994</v>
      </c>
      <c r="N2327" s="30" t="s">
        <v>6002</v>
      </c>
      <c r="P2327" s="30" t="s">
        <v>6007</v>
      </c>
      <c r="Q2327" t="s">
        <v>619</v>
      </c>
      <c r="R2327" t="s">
        <v>917</v>
      </c>
      <c r="S2327">
        <v>37</v>
      </c>
      <c r="T2327" s="29" t="str">
        <f t="shared" si="100"/>
        <v>2021.089B.R.Vilmaviridae.zip</v>
      </c>
      <c r="U2327" s="29" t="str">
        <f>HYPERLINK("https://ictv.global/taxonomy/taxondetails?taxnode_id=202312669","ictv.global=202312669")</f>
        <v>ictv.global=202312669</v>
      </c>
    </row>
    <row r="2328" spans="1:21">
      <c r="A2328">
        <v>2327</v>
      </c>
      <c r="B2328" s="30" t="s">
        <v>1587</v>
      </c>
      <c r="D2328" s="30" t="s">
        <v>1588</v>
      </c>
      <c r="F2328" s="30" t="s">
        <v>1591</v>
      </c>
      <c r="H2328" s="30" t="s">
        <v>1592</v>
      </c>
      <c r="L2328" s="30" t="s">
        <v>5993</v>
      </c>
      <c r="M2328" s="30" t="s">
        <v>5994</v>
      </c>
      <c r="N2328" s="30" t="s">
        <v>6002</v>
      </c>
      <c r="P2328" s="30" t="s">
        <v>6008</v>
      </c>
      <c r="Q2328" t="s">
        <v>619</v>
      </c>
      <c r="R2328" t="s">
        <v>918</v>
      </c>
      <c r="S2328">
        <v>37</v>
      </c>
      <c r="T2328" s="29" t="str">
        <f t="shared" si="100"/>
        <v>2021.089B.R.Vilmaviridae.zip</v>
      </c>
      <c r="U2328" s="29" t="str">
        <f>HYPERLINK("https://ictv.global/taxonomy/taxondetails?taxnode_id=202300867","ictv.global=202300867")</f>
        <v>ictv.global=202300867</v>
      </c>
    </row>
    <row r="2329" spans="1:21">
      <c r="A2329">
        <v>2328</v>
      </c>
      <c r="B2329" s="30" t="s">
        <v>1587</v>
      </c>
      <c r="D2329" s="30" t="s">
        <v>1588</v>
      </c>
      <c r="F2329" s="30" t="s">
        <v>1591</v>
      </c>
      <c r="H2329" s="30" t="s">
        <v>1592</v>
      </c>
      <c r="L2329" s="30" t="s">
        <v>5993</v>
      </c>
      <c r="M2329" s="30" t="s">
        <v>5994</v>
      </c>
      <c r="N2329" s="30" t="s">
        <v>6002</v>
      </c>
      <c r="P2329" s="30" t="s">
        <v>6009</v>
      </c>
      <c r="Q2329" t="s">
        <v>619</v>
      </c>
      <c r="R2329" t="s">
        <v>917</v>
      </c>
      <c r="S2329">
        <v>37</v>
      </c>
      <c r="T2329" s="29" t="str">
        <f t="shared" si="100"/>
        <v>2021.089B.R.Vilmaviridae.zip</v>
      </c>
      <c r="U2329" s="29" t="str">
        <f>HYPERLINK("https://ictv.global/taxonomy/taxondetails?taxnode_id=202312670","ictv.global=202312670")</f>
        <v>ictv.global=202312670</v>
      </c>
    </row>
    <row r="2330" spans="1:21">
      <c r="A2330">
        <v>2329</v>
      </c>
      <c r="B2330" s="30" t="s">
        <v>1587</v>
      </c>
      <c r="D2330" s="30" t="s">
        <v>1588</v>
      </c>
      <c r="F2330" s="30" t="s">
        <v>1591</v>
      </c>
      <c r="H2330" s="30" t="s">
        <v>1592</v>
      </c>
      <c r="L2330" s="30" t="s">
        <v>5993</v>
      </c>
      <c r="M2330" s="30" t="s">
        <v>5994</v>
      </c>
      <c r="N2330" s="30" t="s">
        <v>6010</v>
      </c>
      <c r="P2330" s="30" t="s">
        <v>6011</v>
      </c>
      <c r="Q2330" t="s">
        <v>619</v>
      </c>
      <c r="R2330" t="s">
        <v>917</v>
      </c>
      <c r="S2330">
        <v>37</v>
      </c>
      <c r="T2330" s="29" t="str">
        <f t="shared" si="100"/>
        <v>2021.089B.R.Vilmaviridae.zip</v>
      </c>
      <c r="U2330" s="29" t="str">
        <f>HYPERLINK("https://ictv.global/taxonomy/taxondetails?taxnode_id=202312664","ictv.global=202312664")</f>
        <v>ictv.global=202312664</v>
      </c>
    </row>
    <row r="2331" spans="1:21">
      <c r="A2331">
        <v>2330</v>
      </c>
      <c r="B2331" s="30" t="s">
        <v>1587</v>
      </c>
      <c r="D2331" s="30" t="s">
        <v>1588</v>
      </c>
      <c r="F2331" s="30" t="s">
        <v>1591</v>
      </c>
      <c r="H2331" s="30" t="s">
        <v>1592</v>
      </c>
      <c r="L2331" s="30" t="s">
        <v>5993</v>
      </c>
      <c r="M2331" s="30" t="s">
        <v>5994</v>
      </c>
      <c r="N2331" s="30" t="s">
        <v>6010</v>
      </c>
      <c r="P2331" s="30" t="s">
        <v>6012</v>
      </c>
      <c r="Q2331" t="s">
        <v>619</v>
      </c>
      <c r="R2331" t="s">
        <v>917</v>
      </c>
      <c r="S2331">
        <v>37</v>
      </c>
      <c r="T2331" s="29" t="str">
        <f t="shared" si="100"/>
        <v>2021.089B.R.Vilmaviridae.zip</v>
      </c>
      <c r="U2331" s="29" t="str">
        <f>HYPERLINK("https://ictv.global/taxonomy/taxondetails?taxnode_id=202312662","ictv.global=202312662")</f>
        <v>ictv.global=202312662</v>
      </c>
    </row>
    <row r="2332" spans="1:21">
      <c r="A2332">
        <v>2331</v>
      </c>
      <c r="B2332" s="30" t="s">
        <v>1587</v>
      </c>
      <c r="D2332" s="30" t="s">
        <v>1588</v>
      </c>
      <c r="F2332" s="30" t="s">
        <v>1591</v>
      </c>
      <c r="H2332" s="30" t="s">
        <v>1592</v>
      </c>
      <c r="L2332" s="30" t="s">
        <v>5993</v>
      </c>
      <c r="M2332" s="30" t="s">
        <v>5994</v>
      </c>
      <c r="N2332" s="30" t="s">
        <v>6010</v>
      </c>
      <c r="P2332" s="30" t="s">
        <v>6013</v>
      </c>
      <c r="Q2332" t="s">
        <v>619</v>
      </c>
      <c r="R2332" t="s">
        <v>917</v>
      </c>
      <c r="S2332">
        <v>37</v>
      </c>
      <c r="T2332" s="29" t="str">
        <f t="shared" si="100"/>
        <v>2021.089B.R.Vilmaviridae.zip</v>
      </c>
      <c r="U2332" s="29" t="str">
        <f>HYPERLINK("https://ictv.global/taxonomy/taxondetails?taxnode_id=202312661","ictv.global=202312661")</f>
        <v>ictv.global=202312661</v>
      </c>
    </row>
    <row r="2333" spans="1:21">
      <c r="A2333">
        <v>2332</v>
      </c>
      <c r="B2333" s="30" t="s">
        <v>1587</v>
      </c>
      <c r="D2333" s="30" t="s">
        <v>1588</v>
      </c>
      <c r="F2333" s="30" t="s">
        <v>1591</v>
      </c>
      <c r="H2333" s="30" t="s">
        <v>1592</v>
      </c>
      <c r="L2333" s="30" t="s">
        <v>5993</v>
      </c>
      <c r="M2333" s="30" t="s">
        <v>5994</v>
      </c>
      <c r="N2333" s="30" t="s">
        <v>6010</v>
      </c>
      <c r="P2333" s="30" t="s">
        <v>6014</v>
      </c>
      <c r="Q2333" t="s">
        <v>619</v>
      </c>
      <c r="R2333" t="s">
        <v>917</v>
      </c>
      <c r="S2333">
        <v>37</v>
      </c>
      <c r="T2333" s="29" t="str">
        <f t="shared" si="100"/>
        <v>2021.089B.R.Vilmaviridae.zip</v>
      </c>
      <c r="U2333" s="29" t="str">
        <f>HYPERLINK("https://ictv.global/taxonomy/taxondetails?taxnode_id=202312663","ictv.global=202312663")</f>
        <v>ictv.global=202312663</v>
      </c>
    </row>
    <row r="2334" spans="1:21">
      <c r="A2334">
        <v>2333</v>
      </c>
      <c r="B2334" s="30" t="s">
        <v>1587</v>
      </c>
      <c r="D2334" s="30" t="s">
        <v>1588</v>
      </c>
      <c r="F2334" s="30" t="s">
        <v>1591</v>
      </c>
      <c r="H2334" s="30" t="s">
        <v>1592</v>
      </c>
      <c r="L2334" s="30" t="s">
        <v>5993</v>
      </c>
      <c r="M2334" s="30" t="s">
        <v>824</v>
      </c>
      <c r="N2334" s="30" t="s">
        <v>825</v>
      </c>
      <c r="P2334" s="30" t="s">
        <v>6015</v>
      </c>
      <c r="Q2334" t="s">
        <v>619</v>
      </c>
      <c r="R2334" t="s">
        <v>918</v>
      </c>
      <c r="S2334">
        <v>37</v>
      </c>
      <c r="T2334" s="29" t="str">
        <f>HYPERLINK("https://ictv.global/ictv/proposals/2021.010B.R.Binomial_names.zip","2021.010B.R.Binomial_names.zip")</f>
        <v>2021.010B.R.Binomial_names.zip</v>
      </c>
      <c r="U2334" s="29" t="str">
        <f>HYPERLINK("https://ictv.global/taxonomy/taxondetails?taxnode_id=202300789","ictv.global=202300789")</f>
        <v>ictv.global=202300789</v>
      </c>
    </row>
    <row r="2335" spans="1:21">
      <c r="A2335">
        <v>2334</v>
      </c>
      <c r="B2335" s="30" t="s">
        <v>1587</v>
      </c>
      <c r="D2335" s="30" t="s">
        <v>1588</v>
      </c>
      <c r="F2335" s="30" t="s">
        <v>1591</v>
      </c>
      <c r="H2335" s="30" t="s">
        <v>1592</v>
      </c>
      <c r="L2335" s="30" t="s">
        <v>5993</v>
      </c>
      <c r="M2335" s="30" t="s">
        <v>824</v>
      </c>
      <c r="N2335" s="30" t="s">
        <v>825</v>
      </c>
      <c r="P2335" s="30" t="s">
        <v>6016</v>
      </c>
      <c r="Q2335" t="s">
        <v>619</v>
      </c>
      <c r="R2335" t="s">
        <v>917</v>
      </c>
      <c r="S2335">
        <v>37</v>
      </c>
      <c r="T2335" s="29" t="str">
        <f>HYPERLINK("https://ictv.global/ictv/proposals/2021.089B.R.Vilmaviridae.zip","2021.089B.R.Vilmaviridae.zip")</f>
        <v>2021.089B.R.Vilmaviridae.zip</v>
      </c>
      <c r="U2335" s="29" t="str">
        <f>HYPERLINK("https://ictv.global/taxonomy/taxondetails?taxnode_id=202312679","ictv.global=202312679")</f>
        <v>ictv.global=202312679</v>
      </c>
    </row>
    <row r="2336" spans="1:21">
      <c r="A2336">
        <v>2335</v>
      </c>
      <c r="B2336" s="30" t="s">
        <v>1587</v>
      </c>
      <c r="D2336" s="30" t="s">
        <v>1588</v>
      </c>
      <c r="F2336" s="30" t="s">
        <v>1591</v>
      </c>
      <c r="H2336" s="30" t="s">
        <v>1592</v>
      </c>
      <c r="L2336" s="30" t="s">
        <v>5993</v>
      </c>
      <c r="M2336" s="30" t="s">
        <v>824</v>
      </c>
      <c r="N2336" s="30" t="s">
        <v>699</v>
      </c>
      <c r="P2336" s="30" t="s">
        <v>6017</v>
      </c>
      <c r="Q2336" t="s">
        <v>619</v>
      </c>
      <c r="R2336" t="s">
        <v>917</v>
      </c>
      <c r="S2336">
        <v>37</v>
      </c>
      <c r="T2336" s="29" t="str">
        <f>HYPERLINK("https://ictv.global/ictv/proposals/2021.089B.R.Vilmaviridae.zip","2021.089B.R.Vilmaviridae.zip")</f>
        <v>2021.089B.R.Vilmaviridae.zip</v>
      </c>
      <c r="U2336" s="29" t="str">
        <f>HYPERLINK("https://ictv.global/taxonomy/taxondetails?taxnode_id=202312676","ictv.global=202312676")</f>
        <v>ictv.global=202312676</v>
      </c>
    </row>
    <row r="2337" spans="1:21">
      <c r="A2337">
        <v>2336</v>
      </c>
      <c r="B2337" s="30" t="s">
        <v>1587</v>
      </c>
      <c r="D2337" s="30" t="s">
        <v>1588</v>
      </c>
      <c r="F2337" s="30" t="s">
        <v>1591</v>
      </c>
      <c r="H2337" s="30" t="s">
        <v>1592</v>
      </c>
      <c r="L2337" s="30" t="s">
        <v>5993</v>
      </c>
      <c r="M2337" s="30" t="s">
        <v>824</v>
      </c>
      <c r="N2337" s="30" t="s">
        <v>699</v>
      </c>
      <c r="P2337" s="30" t="s">
        <v>6018</v>
      </c>
      <c r="Q2337" t="s">
        <v>619</v>
      </c>
      <c r="R2337" t="s">
        <v>917</v>
      </c>
      <c r="S2337">
        <v>37</v>
      </c>
      <c r="T2337" s="29" t="str">
        <f>HYPERLINK("https://ictv.global/ictv/proposals/2021.089B.R.Vilmaviridae.zip","2021.089B.R.Vilmaviridae.zip")</f>
        <v>2021.089B.R.Vilmaviridae.zip</v>
      </c>
      <c r="U2337" s="29" t="str">
        <f>HYPERLINK("https://ictv.global/taxonomy/taxondetails?taxnode_id=202312677","ictv.global=202312677")</f>
        <v>ictv.global=202312677</v>
      </c>
    </row>
    <row r="2338" spans="1:21">
      <c r="A2338">
        <v>2337</v>
      </c>
      <c r="B2338" s="30" t="s">
        <v>1587</v>
      </c>
      <c r="D2338" s="30" t="s">
        <v>1588</v>
      </c>
      <c r="F2338" s="30" t="s">
        <v>1591</v>
      </c>
      <c r="H2338" s="30" t="s">
        <v>1592</v>
      </c>
      <c r="L2338" s="30" t="s">
        <v>5993</v>
      </c>
      <c r="M2338" s="30" t="s">
        <v>824</v>
      </c>
      <c r="N2338" s="30" t="s">
        <v>699</v>
      </c>
      <c r="P2338" s="30" t="s">
        <v>6019</v>
      </c>
      <c r="Q2338" t="s">
        <v>619</v>
      </c>
      <c r="R2338" t="s">
        <v>917</v>
      </c>
      <c r="S2338">
        <v>37</v>
      </c>
      <c r="T2338" s="29" t="str">
        <f>HYPERLINK("https://ictv.global/ictv/proposals/2021.089B.R.Vilmaviridae.zip","2021.089B.R.Vilmaviridae.zip")</f>
        <v>2021.089B.R.Vilmaviridae.zip</v>
      </c>
      <c r="U2338" s="29" t="str">
        <f>HYPERLINK("https://ictv.global/taxonomy/taxondetails?taxnode_id=202312678","ictv.global=202312678")</f>
        <v>ictv.global=202312678</v>
      </c>
    </row>
    <row r="2339" spans="1:21">
      <c r="A2339">
        <v>2338</v>
      </c>
      <c r="B2339" s="30" t="s">
        <v>1587</v>
      </c>
      <c r="D2339" s="30" t="s">
        <v>1588</v>
      </c>
      <c r="F2339" s="30" t="s">
        <v>1591</v>
      </c>
      <c r="H2339" s="30" t="s">
        <v>1592</v>
      </c>
      <c r="L2339" s="30" t="s">
        <v>5993</v>
      </c>
      <c r="M2339" s="30" t="s">
        <v>824</v>
      </c>
      <c r="N2339" s="30" t="s">
        <v>699</v>
      </c>
      <c r="P2339" s="30" t="s">
        <v>6020</v>
      </c>
      <c r="Q2339" t="s">
        <v>619</v>
      </c>
      <c r="R2339" t="s">
        <v>918</v>
      </c>
      <c r="S2339">
        <v>37</v>
      </c>
      <c r="T2339" s="29" t="str">
        <f>HYPERLINK("https://ictv.global/ictv/proposals/2021.010B.R.Binomial_names.zip","2021.010B.R.Binomial_names.zip")</f>
        <v>2021.010B.R.Binomial_names.zip</v>
      </c>
      <c r="U2339" s="29" t="str">
        <f>HYPERLINK("https://ictv.global/taxonomy/taxondetails?taxnode_id=202300791","ictv.global=202300791")</f>
        <v>ictv.global=202300791</v>
      </c>
    </row>
    <row r="2340" spans="1:21">
      <c r="A2340">
        <v>2339</v>
      </c>
      <c r="B2340" s="30" t="s">
        <v>1587</v>
      </c>
      <c r="D2340" s="30" t="s">
        <v>1588</v>
      </c>
      <c r="F2340" s="30" t="s">
        <v>1591</v>
      </c>
      <c r="H2340" s="30" t="s">
        <v>1592</v>
      </c>
      <c r="L2340" s="30" t="s">
        <v>5993</v>
      </c>
      <c r="N2340" s="30" t="s">
        <v>6021</v>
      </c>
      <c r="P2340" s="30" t="s">
        <v>6022</v>
      </c>
      <c r="Q2340" t="s">
        <v>619</v>
      </c>
      <c r="R2340" t="s">
        <v>917</v>
      </c>
      <c r="S2340">
        <v>37</v>
      </c>
      <c r="T2340" s="29" t="str">
        <f>HYPERLINK("https://ictv.global/ictv/proposals/2021.089B.R.Vilmaviridae.zip","2021.089B.R.Vilmaviridae.zip")</f>
        <v>2021.089B.R.Vilmaviridae.zip</v>
      </c>
      <c r="U2340" s="29" t="str">
        <f>HYPERLINK("https://ictv.global/taxonomy/taxondetails?taxnode_id=202312675","ictv.global=202312675")</f>
        <v>ictv.global=202312675</v>
      </c>
    </row>
    <row r="2341" spans="1:21">
      <c r="A2341">
        <v>2340</v>
      </c>
      <c r="B2341" s="30" t="s">
        <v>1587</v>
      </c>
      <c r="D2341" s="30" t="s">
        <v>1588</v>
      </c>
      <c r="F2341" s="30" t="s">
        <v>1591</v>
      </c>
      <c r="H2341" s="30" t="s">
        <v>1592</v>
      </c>
      <c r="L2341" s="30" t="s">
        <v>5993</v>
      </c>
      <c r="N2341" s="30" t="s">
        <v>882</v>
      </c>
      <c r="P2341" s="30" t="s">
        <v>883</v>
      </c>
      <c r="Q2341" t="s">
        <v>619</v>
      </c>
      <c r="R2341" t="s">
        <v>919</v>
      </c>
      <c r="S2341">
        <v>37</v>
      </c>
      <c r="T2341" s="29" t="str">
        <f>HYPERLINK("https://ictv.global/ictv/proposals/2021.001B.R.abolish_Caudovirales.zip","2021.001B.R.abolish_Caudovirales.zip;2021.089B.A.v1.Vilmaviridae.zip")</f>
        <v>2021.001B.R.abolish_Caudovirales.zip;2021.089B.A.v1.Vilmaviridae.zip</v>
      </c>
      <c r="U2341" s="29" t="str">
        <f>HYPERLINK("https://ictv.global/taxonomy/taxondetails?taxnode_id=202301371","ictv.global=202301371")</f>
        <v>ictv.global=202301371</v>
      </c>
    </row>
    <row r="2342" spans="1:21">
      <c r="A2342">
        <v>2341</v>
      </c>
      <c r="B2342" s="30" t="s">
        <v>1587</v>
      </c>
      <c r="D2342" s="30" t="s">
        <v>1588</v>
      </c>
      <c r="F2342" s="30" t="s">
        <v>1591</v>
      </c>
      <c r="H2342" s="30" t="s">
        <v>1592</v>
      </c>
      <c r="L2342" s="30" t="s">
        <v>6023</v>
      </c>
      <c r="N2342" s="30" t="s">
        <v>6024</v>
      </c>
      <c r="P2342" s="30" t="s">
        <v>6025</v>
      </c>
      <c r="Q2342" t="s">
        <v>619</v>
      </c>
      <c r="R2342" t="s">
        <v>917</v>
      </c>
      <c r="S2342">
        <v>37</v>
      </c>
      <c r="T2342" s="29" t="str">
        <f>HYPERLINK("https://ictv.global/ictv/proposals/2021.029B.R.Flavophages_9_families.zip","2021.029B.R.Flavophages_9_families.zip")</f>
        <v>2021.029B.R.Flavophages_9_families.zip</v>
      </c>
      <c r="U2342" s="29" t="str">
        <f>HYPERLINK("https://ictv.global/taxonomy/taxondetails?taxnode_id=202313568","ictv.global=202313568")</f>
        <v>ictv.global=202313568</v>
      </c>
    </row>
    <row r="2343" spans="1:21">
      <c r="A2343">
        <v>2342</v>
      </c>
      <c r="B2343" s="30" t="s">
        <v>1587</v>
      </c>
      <c r="D2343" s="30" t="s">
        <v>1588</v>
      </c>
      <c r="F2343" s="30" t="s">
        <v>1591</v>
      </c>
      <c r="H2343" s="30" t="s">
        <v>1592</v>
      </c>
      <c r="L2343" s="30" t="s">
        <v>6023</v>
      </c>
      <c r="N2343" s="30" t="s">
        <v>2284</v>
      </c>
      <c r="P2343" s="30" t="s">
        <v>6026</v>
      </c>
      <c r="Q2343" t="s">
        <v>619</v>
      </c>
      <c r="R2343" t="s">
        <v>918</v>
      </c>
      <c r="S2343">
        <v>37</v>
      </c>
      <c r="T2343" s="29" t="str">
        <f>HYPERLINK("https://ictv.global/ictv/proposals/2021.029B.R.Flavophages_9_families.zip","2021.029B.R.Flavophages_9_families.zip")</f>
        <v>2021.029B.R.Flavophages_9_families.zip</v>
      </c>
      <c r="U2343" s="29" t="str">
        <f>HYPERLINK("https://ictv.global/taxonomy/taxondetails?taxnode_id=202310015","ictv.global=202310015")</f>
        <v>ictv.global=202310015</v>
      </c>
    </row>
    <row r="2344" spans="1:21">
      <c r="A2344">
        <v>2343</v>
      </c>
      <c r="B2344" s="30" t="s">
        <v>1587</v>
      </c>
      <c r="D2344" s="30" t="s">
        <v>1588</v>
      </c>
      <c r="F2344" s="30" t="s">
        <v>1591</v>
      </c>
      <c r="H2344" s="30" t="s">
        <v>1592</v>
      </c>
      <c r="L2344" s="30" t="s">
        <v>6023</v>
      </c>
      <c r="N2344" s="30" t="s">
        <v>2284</v>
      </c>
      <c r="P2344" s="30" t="s">
        <v>6027</v>
      </c>
      <c r="Q2344" t="s">
        <v>619</v>
      </c>
      <c r="R2344" t="s">
        <v>918</v>
      </c>
      <c r="S2344">
        <v>37</v>
      </c>
      <c r="T2344" s="29" t="str">
        <f>HYPERLINK("https://ictv.global/ictv/proposals/2021.029B.R.Flavophages_9_families.zip","2021.029B.R.Flavophages_9_families.zip")</f>
        <v>2021.029B.R.Flavophages_9_families.zip</v>
      </c>
      <c r="U2344" s="29" t="str">
        <f>HYPERLINK("https://ictv.global/taxonomy/taxondetails?taxnode_id=202310014","ictv.global=202310014")</f>
        <v>ictv.global=202310014</v>
      </c>
    </row>
    <row r="2345" spans="1:21">
      <c r="A2345">
        <v>2344</v>
      </c>
      <c r="B2345" s="30" t="s">
        <v>1587</v>
      </c>
      <c r="D2345" s="30" t="s">
        <v>1588</v>
      </c>
      <c r="F2345" s="30" t="s">
        <v>1591</v>
      </c>
      <c r="H2345" s="30" t="s">
        <v>1592</v>
      </c>
      <c r="L2345" s="30" t="s">
        <v>6028</v>
      </c>
      <c r="M2345" s="30" t="s">
        <v>6029</v>
      </c>
      <c r="N2345" s="30" t="s">
        <v>12222</v>
      </c>
      <c r="P2345" s="30" t="s">
        <v>12223</v>
      </c>
      <c r="Q2345" t="s">
        <v>619</v>
      </c>
      <c r="R2345" t="s">
        <v>917</v>
      </c>
      <c r="S2345">
        <v>39</v>
      </c>
      <c r="T2345" s="29" t="str">
        <f>HYPERLINK("https://ictv.global/ictv/proposals/2023.016B.Commandariavirus_ng.zip","2023.016B.Commandariavirus_ng.zip")</f>
        <v>2023.016B.Commandariavirus_ng.zip</v>
      </c>
      <c r="U2345" s="29" t="str">
        <f>HYPERLINK("https://ictv.global/taxonomy/taxondetails?taxnode_id=202318264","ictv.global=202318264")</f>
        <v>ictv.global=202318264</v>
      </c>
    </row>
    <row r="2346" spans="1:21">
      <c r="A2346">
        <v>2345</v>
      </c>
      <c r="B2346" s="30" t="s">
        <v>1587</v>
      </c>
      <c r="D2346" s="30" t="s">
        <v>1588</v>
      </c>
      <c r="F2346" s="30" t="s">
        <v>1591</v>
      </c>
      <c r="H2346" s="30" t="s">
        <v>1592</v>
      </c>
      <c r="L2346" s="30" t="s">
        <v>6028</v>
      </c>
      <c r="M2346" s="30" t="s">
        <v>6029</v>
      </c>
      <c r="N2346" s="30" t="s">
        <v>6030</v>
      </c>
      <c r="P2346" s="30" t="s">
        <v>6031</v>
      </c>
      <c r="Q2346" t="s">
        <v>619</v>
      </c>
      <c r="R2346" t="s">
        <v>917</v>
      </c>
      <c r="S2346">
        <v>37</v>
      </c>
      <c r="T2346" s="29" t="str">
        <f t="shared" ref="T2346:T2367" si="101">HYPERLINK("https://ictv.global/ictv/proposals/2021.094B.R.Zierdtviridae.zip","2021.094B.R.Zierdtviridae.zip")</f>
        <v>2021.094B.R.Zierdtviridae.zip</v>
      </c>
      <c r="U2346" s="29" t="str">
        <f>HYPERLINK("https://ictv.global/taxonomy/taxondetails?taxnode_id=202313403","ictv.global=202313403")</f>
        <v>ictv.global=202313403</v>
      </c>
    </row>
    <row r="2347" spans="1:21">
      <c r="A2347">
        <v>2346</v>
      </c>
      <c r="B2347" s="30" t="s">
        <v>1587</v>
      </c>
      <c r="D2347" s="30" t="s">
        <v>1588</v>
      </c>
      <c r="F2347" s="30" t="s">
        <v>1591</v>
      </c>
      <c r="H2347" s="30" t="s">
        <v>1592</v>
      </c>
      <c r="L2347" s="30" t="s">
        <v>6028</v>
      </c>
      <c r="M2347" s="30" t="s">
        <v>6029</v>
      </c>
      <c r="N2347" s="30" t="s">
        <v>6030</v>
      </c>
      <c r="P2347" s="30" t="s">
        <v>6032</v>
      </c>
      <c r="Q2347" t="s">
        <v>619</v>
      </c>
      <c r="R2347" t="s">
        <v>917</v>
      </c>
      <c r="S2347">
        <v>37</v>
      </c>
      <c r="T2347" s="29" t="str">
        <f t="shared" si="101"/>
        <v>2021.094B.R.Zierdtviridae.zip</v>
      </c>
      <c r="U2347" s="29" t="str">
        <f>HYPERLINK("https://ictv.global/taxonomy/taxondetails?taxnode_id=202313400","ictv.global=202313400")</f>
        <v>ictv.global=202313400</v>
      </c>
    </row>
    <row r="2348" spans="1:21">
      <c r="A2348">
        <v>2347</v>
      </c>
      <c r="B2348" s="30" t="s">
        <v>1587</v>
      </c>
      <c r="D2348" s="30" t="s">
        <v>1588</v>
      </c>
      <c r="F2348" s="30" t="s">
        <v>1591</v>
      </c>
      <c r="H2348" s="30" t="s">
        <v>1592</v>
      </c>
      <c r="L2348" s="30" t="s">
        <v>6028</v>
      </c>
      <c r="M2348" s="30" t="s">
        <v>6029</v>
      </c>
      <c r="N2348" s="30" t="s">
        <v>6030</v>
      </c>
      <c r="P2348" s="30" t="s">
        <v>6033</v>
      </c>
      <c r="Q2348" t="s">
        <v>619</v>
      </c>
      <c r="R2348" t="s">
        <v>917</v>
      </c>
      <c r="S2348">
        <v>37</v>
      </c>
      <c r="T2348" s="29" t="str">
        <f t="shared" si="101"/>
        <v>2021.094B.R.Zierdtviridae.zip</v>
      </c>
      <c r="U2348" s="29" t="str">
        <f>HYPERLINK("https://ictv.global/taxonomy/taxondetails?taxnode_id=202313401","ictv.global=202313401")</f>
        <v>ictv.global=202313401</v>
      </c>
    </row>
    <row r="2349" spans="1:21">
      <c r="A2349">
        <v>2348</v>
      </c>
      <c r="B2349" s="30" t="s">
        <v>1587</v>
      </c>
      <c r="D2349" s="30" t="s">
        <v>1588</v>
      </c>
      <c r="F2349" s="30" t="s">
        <v>1591</v>
      </c>
      <c r="H2349" s="30" t="s">
        <v>1592</v>
      </c>
      <c r="L2349" s="30" t="s">
        <v>6028</v>
      </c>
      <c r="M2349" s="30" t="s">
        <v>6029</v>
      </c>
      <c r="N2349" s="30" t="s">
        <v>6030</v>
      </c>
      <c r="P2349" s="30" t="s">
        <v>6034</v>
      </c>
      <c r="Q2349" t="s">
        <v>619</v>
      </c>
      <c r="R2349" t="s">
        <v>917</v>
      </c>
      <c r="S2349">
        <v>37</v>
      </c>
      <c r="T2349" s="29" t="str">
        <f t="shared" si="101"/>
        <v>2021.094B.R.Zierdtviridae.zip</v>
      </c>
      <c r="U2349" s="29" t="str">
        <f>HYPERLINK("https://ictv.global/taxonomy/taxondetails?taxnode_id=202313402","ictv.global=202313402")</f>
        <v>ictv.global=202313402</v>
      </c>
    </row>
    <row r="2350" spans="1:21">
      <c r="A2350">
        <v>2349</v>
      </c>
      <c r="B2350" s="30" t="s">
        <v>1587</v>
      </c>
      <c r="D2350" s="30" t="s">
        <v>1588</v>
      </c>
      <c r="F2350" s="30" t="s">
        <v>1591</v>
      </c>
      <c r="H2350" s="30" t="s">
        <v>1592</v>
      </c>
      <c r="L2350" s="30" t="s">
        <v>6028</v>
      </c>
      <c r="M2350" s="30" t="s">
        <v>6029</v>
      </c>
      <c r="N2350" s="30" t="s">
        <v>6030</v>
      </c>
      <c r="P2350" s="30" t="s">
        <v>6035</v>
      </c>
      <c r="Q2350" t="s">
        <v>619</v>
      </c>
      <c r="R2350" t="s">
        <v>917</v>
      </c>
      <c r="S2350">
        <v>37</v>
      </c>
      <c r="T2350" s="29" t="str">
        <f t="shared" si="101"/>
        <v>2021.094B.R.Zierdtviridae.zip</v>
      </c>
      <c r="U2350" s="29" t="str">
        <f>HYPERLINK("https://ictv.global/taxonomy/taxondetails?taxnode_id=202313404","ictv.global=202313404")</f>
        <v>ictv.global=202313404</v>
      </c>
    </row>
    <row r="2351" spans="1:21">
      <c r="A2351">
        <v>2350</v>
      </c>
      <c r="B2351" s="30" t="s">
        <v>1587</v>
      </c>
      <c r="D2351" s="30" t="s">
        <v>1588</v>
      </c>
      <c r="F2351" s="30" t="s">
        <v>1591</v>
      </c>
      <c r="H2351" s="30" t="s">
        <v>1592</v>
      </c>
      <c r="L2351" s="30" t="s">
        <v>6028</v>
      </c>
      <c r="M2351" s="30" t="s">
        <v>6029</v>
      </c>
      <c r="N2351" s="30" t="s">
        <v>6036</v>
      </c>
      <c r="P2351" s="30" t="s">
        <v>6037</v>
      </c>
      <c r="Q2351" t="s">
        <v>619</v>
      </c>
      <c r="R2351" t="s">
        <v>917</v>
      </c>
      <c r="S2351">
        <v>37</v>
      </c>
      <c r="T2351" s="29" t="str">
        <f t="shared" si="101"/>
        <v>2021.094B.R.Zierdtviridae.zip</v>
      </c>
      <c r="U2351" s="29" t="str">
        <f>HYPERLINK("https://ictv.global/taxonomy/taxondetails?taxnode_id=202313415","ictv.global=202313415")</f>
        <v>ictv.global=202313415</v>
      </c>
    </row>
    <row r="2352" spans="1:21">
      <c r="A2352">
        <v>2351</v>
      </c>
      <c r="B2352" s="30" t="s">
        <v>1587</v>
      </c>
      <c r="D2352" s="30" t="s">
        <v>1588</v>
      </c>
      <c r="F2352" s="30" t="s">
        <v>1591</v>
      </c>
      <c r="H2352" s="30" t="s">
        <v>1592</v>
      </c>
      <c r="L2352" s="30" t="s">
        <v>6028</v>
      </c>
      <c r="M2352" s="30" t="s">
        <v>6029</v>
      </c>
      <c r="N2352" s="30" t="s">
        <v>6036</v>
      </c>
      <c r="P2352" s="30" t="s">
        <v>6038</v>
      </c>
      <c r="Q2352" t="s">
        <v>619</v>
      </c>
      <c r="R2352" t="s">
        <v>917</v>
      </c>
      <c r="S2352">
        <v>37</v>
      </c>
      <c r="T2352" s="29" t="str">
        <f t="shared" si="101"/>
        <v>2021.094B.R.Zierdtviridae.zip</v>
      </c>
      <c r="U2352" s="29" t="str">
        <f>HYPERLINK("https://ictv.global/taxonomy/taxondetails?taxnode_id=202313412","ictv.global=202313412")</f>
        <v>ictv.global=202313412</v>
      </c>
    </row>
    <row r="2353" spans="1:21">
      <c r="A2353">
        <v>2352</v>
      </c>
      <c r="B2353" s="30" t="s">
        <v>1587</v>
      </c>
      <c r="D2353" s="30" t="s">
        <v>1588</v>
      </c>
      <c r="F2353" s="30" t="s">
        <v>1591</v>
      </c>
      <c r="H2353" s="30" t="s">
        <v>1592</v>
      </c>
      <c r="L2353" s="30" t="s">
        <v>6028</v>
      </c>
      <c r="M2353" s="30" t="s">
        <v>6029</v>
      </c>
      <c r="N2353" s="30" t="s">
        <v>6036</v>
      </c>
      <c r="P2353" s="30" t="s">
        <v>6039</v>
      </c>
      <c r="Q2353" t="s">
        <v>619</v>
      </c>
      <c r="R2353" t="s">
        <v>917</v>
      </c>
      <c r="S2353">
        <v>37</v>
      </c>
      <c r="T2353" s="29" t="str">
        <f t="shared" si="101"/>
        <v>2021.094B.R.Zierdtviridae.zip</v>
      </c>
      <c r="U2353" s="29" t="str">
        <f>HYPERLINK("https://ictv.global/taxonomy/taxondetails?taxnode_id=202313414","ictv.global=202313414")</f>
        <v>ictv.global=202313414</v>
      </c>
    </row>
    <row r="2354" spans="1:21">
      <c r="A2354">
        <v>2353</v>
      </c>
      <c r="B2354" s="30" t="s">
        <v>1587</v>
      </c>
      <c r="D2354" s="30" t="s">
        <v>1588</v>
      </c>
      <c r="F2354" s="30" t="s">
        <v>1591</v>
      </c>
      <c r="H2354" s="30" t="s">
        <v>1592</v>
      </c>
      <c r="L2354" s="30" t="s">
        <v>6028</v>
      </c>
      <c r="M2354" s="30" t="s">
        <v>6029</v>
      </c>
      <c r="N2354" s="30" t="s">
        <v>6036</v>
      </c>
      <c r="P2354" s="30" t="s">
        <v>6040</v>
      </c>
      <c r="Q2354" t="s">
        <v>619</v>
      </c>
      <c r="R2354" t="s">
        <v>917</v>
      </c>
      <c r="S2354">
        <v>37</v>
      </c>
      <c r="T2354" s="29" t="str">
        <f t="shared" si="101"/>
        <v>2021.094B.R.Zierdtviridae.zip</v>
      </c>
      <c r="U2354" s="29" t="str">
        <f>HYPERLINK("https://ictv.global/taxonomy/taxondetails?taxnode_id=202313413","ictv.global=202313413")</f>
        <v>ictv.global=202313413</v>
      </c>
    </row>
    <row r="2355" spans="1:21">
      <c r="A2355">
        <v>2354</v>
      </c>
      <c r="B2355" s="30" t="s">
        <v>1587</v>
      </c>
      <c r="D2355" s="30" t="s">
        <v>1588</v>
      </c>
      <c r="F2355" s="30" t="s">
        <v>1591</v>
      </c>
      <c r="H2355" s="30" t="s">
        <v>1592</v>
      </c>
      <c r="L2355" s="30" t="s">
        <v>6028</v>
      </c>
      <c r="M2355" s="30" t="s">
        <v>6029</v>
      </c>
      <c r="N2355" s="30" t="s">
        <v>6041</v>
      </c>
      <c r="P2355" s="30" t="s">
        <v>6042</v>
      </c>
      <c r="Q2355" t="s">
        <v>619</v>
      </c>
      <c r="R2355" t="s">
        <v>917</v>
      </c>
      <c r="S2355">
        <v>37</v>
      </c>
      <c r="T2355" s="29" t="str">
        <f t="shared" si="101"/>
        <v>2021.094B.R.Zierdtviridae.zip</v>
      </c>
      <c r="U2355" s="29" t="str">
        <f>HYPERLINK("https://ictv.global/taxonomy/taxondetails?taxnode_id=202313397","ictv.global=202313397")</f>
        <v>ictv.global=202313397</v>
      </c>
    </row>
    <row r="2356" spans="1:21">
      <c r="A2356">
        <v>2355</v>
      </c>
      <c r="B2356" s="30" t="s">
        <v>1587</v>
      </c>
      <c r="D2356" s="30" t="s">
        <v>1588</v>
      </c>
      <c r="F2356" s="30" t="s">
        <v>1591</v>
      </c>
      <c r="H2356" s="30" t="s">
        <v>1592</v>
      </c>
      <c r="L2356" s="30" t="s">
        <v>6028</v>
      </c>
      <c r="M2356" s="30" t="s">
        <v>6029</v>
      </c>
      <c r="N2356" s="30" t="s">
        <v>6041</v>
      </c>
      <c r="P2356" s="30" t="s">
        <v>6043</v>
      </c>
      <c r="Q2356" t="s">
        <v>619</v>
      </c>
      <c r="R2356" t="s">
        <v>917</v>
      </c>
      <c r="S2356">
        <v>37</v>
      </c>
      <c r="T2356" s="29" t="str">
        <f t="shared" si="101"/>
        <v>2021.094B.R.Zierdtviridae.zip</v>
      </c>
      <c r="U2356" s="29" t="str">
        <f>HYPERLINK("https://ictv.global/taxonomy/taxondetails?taxnode_id=202313396","ictv.global=202313396")</f>
        <v>ictv.global=202313396</v>
      </c>
    </row>
    <row r="2357" spans="1:21">
      <c r="A2357">
        <v>2356</v>
      </c>
      <c r="B2357" s="30" t="s">
        <v>1587</v>
      </c>
      <c r="D2357" s="30" t="s">
        <v>1588</v>
      </c>
      <c r="F2357" s="30" t="s">
        <v>1591</v>
      </c>
      <c r="H2357" s="30" t="s">
        <v>1592</v>
      </c>
      <c r="L2357" s="30" t="s">
        <v>6028</v>
      </c>
      <c r="M2357" s="30" t="s">
        <v>6029</v>
      </c>
      <c r="N2357" s="30" t="s">
        <v>6041</v>
      </c>
      <c r="P2357" s="30" t="s">
        <v>6044</v>
      </c>
      <c r="Q2357" t="s">
        <v>619</v>
      </c>
      <c r="R2357" t="s">
        <v>917</v>
      </c>
      <c r="S2357">
        <v>37</v>
      </c>
      <c r="T2357" s="29" t="str">
        <f t="shared" si="101"/>
        <v>2021.094B.R.Zierdtviridae.zip</v>
      </c>
      <c r="U2357" s="29" t="str">
        <f>HYPERLINK("https://ictv.global/taxonomy/taxondetails?taxnode_id=202313398","ictv.global=202313398")</f>
        <v>ictv.global=202313398</v>
      </c>
    </row>
    <row r="2358" spans="1:21">
      <c r="A2358">
        <v>2357</v>
      </c>
      <c r="B2358" s="30" t="s">
        <v>1587</v>
      </c>
      <c r="D2358" s="30" t="s">
        <v>1588</v>
      </c>
      <c r="F2358" s="30" t="s">
        <v>1591</v>
      </c>
      <c r="H2358" s="30" t="s">
        <v>1592</v>
      </c>
      <c r="L2358" s="30" t="s">
        <v>6028</v>
      </c>
      <c r="M2358" s="30" t="s">
        <v>6029</v>
      </c>
      <c r="N2358" s="30" t="s">
        <v>6045</v>
      </c>
      <c r="P2358" s="30" t="s">
        <v>6046</v>
      </c>
      <c r="Q2358" t="s">
        <v>619</v>
      </c>
      <c r="R2358" t="s">
        <v>917</v>
      </c>
      <c r="S2358">
        <v>37</v>
      </c>
      <c r="T2358" s="29" t="str">
        <f t="shared" si="101"/>
        <v>2021.094B.R.Zierdtviridae.zip</v>
      </c>
      <c r="U2358" s="29" t="str">
        <f>HYPERLINK("https://ictv.global/taxonomy/taxondetails?taxnode_id=202313406","ictv.global=202313406")</f>
        <v>ictv.global=202313406</v>
      </c>
    </row>
    <row r="2359" spans="1:21">
      <c r="A2359">
        <v>2358</v>
      </c>
      <c r="B2359" s="30" t="s">
        <v>1587</v>
      </c>
      <c r="D2359" s="30" t="s">
        <v>1588</v>
      </c>
      <c r="F2359" s="30" t="s">
        <v>1591</v>
      </c>
      <c r="H2359" s="30" t="s">
        <v>1592</v>
      </c>
      <c r="L2359" s="30" t="s">
        <v>6028</v>
      </c>
      <c r="M2359" s="30" t="s">
        <v>6029</v>
      </c>
      <c r="N2359" s="30" t="s">
        <v>6047</v>
      </c>
      <c r="P2359" s="30" t="s">
        <v>6048</v>
      </c>
      <c r="Q2359" t="s">
        <v>619</v>
      </c>
      <c r="R2359" t="s">
        <v>917</v>
      </c>
      <c r="S2359">
        <v>37</v>
      </c>
      <c r="T2359" s="29" t="str">
        <f t="shared" si="101"/>
        <v>2021.094B.R.Zierdtviridae.zip</v>
      </c>
      <c r="U2359" s="29" t="str">
        <f>HYPERLINK("https://ictv.global/taxonomy/taxondetails?taxnode_id=202313410","ictv.global=202313410")</f>
        <v>ictv.global=202313410</v>
      </c>
    </row>
    <row r="2360" spans="1:21">
      <c r="A2360">
        <v>2359</v>
      </c>
      <c r="B2360" s="30" t="s">
        <v>1587</v>
      </c>
      <c r="D2360" s="30" t="s">
        <v>1588</v>
      </c>
      <c r="F2360" s="30" t="s">
        <v>1591</v>
      </c>
      <c r="H2360" s="30" t="s">
        <v>1592</v>
      </c>
      <c r="L2360" s="30" t="s">
        <v>6028</v>
      </c>
      <c r="M2360" s="30" t="s">
        <v>6029</v>
      </c>
      <c r="N2360" s="30" t="s">
        <v>6047</v>
      </c>
      <c r="P2360" s="30" t="s">
        <v>6049</v>
      </c>
      <c r="Q2360" t="s">
        <v>619</v>
      </c>
      <c r="R2360" t="s">
        <v>917</v>
      </c>
      <c r="S2360">
        <v>37</v>
      </c>
      <c r="T2360" s="29" t="str">
        <f t="shared" si="101"/>
        <v>2021.094B.R.Zierdtviridae.zip</v>
      </c>
      <c r="U2360" s="29" t="str">
        <f>HYPERLINK("https://ictv.global/taxonomy/taxondetails?taxnode_id=202313409","ictv.global=202313409")</f>
        <v>ictv.global=202313409</v>
      </c>
    </row>
    <row r="2361" spans="1:21">
      <c r="A2361">
        <v>2360</v>
      </c>
      <c r="B2361" s="30" t="s">
        <v>1587</v>
      </c>
      <c r="D2361" s="30" t="s">
        <v>1588</v>
      </c>
      <c r="F2361" s="30" t="s">
        <v>1591</v>
      </c>
      <c r="H2361" s="30" t="s">
        <v>1592</v>
      </c>
      <c r="L2361" s="30" t="s">
        <v>6028</v>
      </c>
      <c r="M2361" s="30" t="s">
        <v>6029</v>
      </c>
      <c r="N2361" s="30" t="s">
        <v>6047</v>
      </c>
      <c r="P2361" s="30" t="s">
        <v>6050</v>
      </c>
      <c r="Q2361" t="s">
        <v>619</v>
      </c>
      <c r="R2361" t="s">
        <v>917</v>
      </c>
      <c r="S2361">
        <v>37</v>
      </c>
      <c r="T2361" s="29" t="str">
        <f t="shared" si="101"/>
        <v>2021.094B.R.Zierdtviridae.zip</v>
      </c>
      <c r="U2361" s="29" t="str">
        <f>HYPERLINK("https://ictv.global/taxonomy/taxondetails?taxnode_id=202313408","ictv.global=202313408")</f>
        <v>ictv.global=202313408</v>
      </c>
    </row>
    <row r="2362" spans="1:21">
      <c r="A2362">
        <v>2361</v>
      </c>
      <c r="B2362" s="30" t="s">
        <v>1587</v>
      </c>
      <c r="D2362" s="30" t="s">
        <v>1588</v>
      </c>
      <c r="F2362" s="30" t="s">
        <v>1591</v>
      </c>
      <c r="H2362" s="30" t="s">
        <v>1592</v>
      </c>
      <c r="L2362" s="30" t="s">
        <v>6028</v>
      </c>
      <c r="M2362" s="30" t="s">
        <v>6029</v>
      </c>
      <c r="N2362" s="30" t="s">
        <v>6051</v>
      </c>
      <c r="P2362" s="30" t="s">
        <v>6052</v>
      </c>
      <c r="Q2362" t="s">
        <v>619</v>
      </c>
      <c r="R2362" t="s">
        <v>917</v>
      </c>
      <c r="S2362">
        <v>37</v>
      </c>
      <c r="T2362" s="29" t="str">
        <f t="shared" si="101"/>
        <v>2021.094B.R.Zierdtviridae.zip</v>
      </c>
      <c r="U2362" s="29" t="str">
        <f>HYPERLINK("https://ictv.global/taxonomy/taxondetails?taxnode_id=202313392","ictv.global=202313392")</f>
        <v>ictv.global=202313392</v>
      </c>
    </row>
    <row r="2363" spans="1:21">
      <c r="A2363">
        <v>2362</v>
      </c>
      <c r="B2363" s="30" t="s">
        <v>1587</v>
      </c>
      <c r="D2363" s="30" t="s">
        <v>1588</v>
      </c>
      <c r="F2363" s="30" t="s">
        <v>1591</v>
      </c>
      <c r="H2363" s="30" t="s">
        <v>1592</v>
      </c>
      <c r="L2363" s="30" t="s">
        <v>6028</v>
      </c>
      <c r="M2363" s="30" t="s">
        <v>6029</v>
      </c>
      <c r="N2363" s="30" t="s">
        <v>6051</v>
      </c>
      <c r="P2363" s="30" t="s">
        <v>6053</v>
      </c>
      <c r="Q2363" t="s">
        <v>619</v>
      </c>
      <c r="R2363" t="s">
        <v>917</v>
      </c>
      <c r="S2363">
        <v>37</v>
      </c>
      <c r="T2363" s="29" t="str">
        <f t="shared" si="101"/>
        <v>2021.094B.R.Zierdtviridae.zip</v>
      </c>
      <c r="U2363" s="29" t="str">
        <f>HYPERLINK("https://ictv.global/taxonomy/taxondetails?taxnode_id=202313394","ictv.global=202313394")</f>
        <v>ictv.global=202313394</v>
      </c>
    </row>
    <row r="2364" spans="1:21">
      <c r="A2364">
        <v>2363</v>
      </c>
      <c r="B2364" s="30" t="s">
        <v>1587</v>
      </c>
      <c r="D2364" s="30" t="s">
        <v>1588</v>
      </c>
      <c r="F2364" s="30" t="s">
        <v>1591</v>
      </c>
      <c r="H2364" s="30" t="s">
        <v>1592</v>
      </c>
      <c r="L2364" s="30" t="s">
        <v>6028</v>
      </c>
      <c r="M2364" s="30" t="s">
        <v>6029</v>
      </c>
      <c r="N2364" s="30" t="s">
        <v>6051</v>
      </c>
      <c r="P2364" s="30" t="s">
        <v>6054</v>
      </c>
      <c r="Q2364" t="s">
        <v>619</v>
      </c>
      <c r="R2364" t="s">
        <v>917</v>
      </c>
      <c r="S2364">
        <v>37</v>
      </c>
      <c r="T2364" s="29" t="str">
        <f t="shared" si="101"/>
        <v>2021.094B.R.Zierdtviridae.zip</v>
      </c>
      <c r="U2364" s="29" t="str">
        <f>HYPERLINK("https://ictv.global/taxonomy/taxondetails?taxnode_id=202313393","ictv.global=202313393")</f>
        <v>ictv.global=202313393</v>
      </c>
    </row>
    <row r="2365" spans="1:21">
      <c r="A2365">
        <v>2364</v>
      </c>
      <c r="B2365" s="30" t="s">
        <v>1587</v>
      </c>
      <c r="D2365" s="30" t="s">
        <v>1588</v>
      </c>
      <c r="F2365" s="30" t="s">
        <v>1591</v>
      </c>
      <c r="H2365" s="30" t="s">
        <v>1592</v>
      </c>
      <c r="L2365" s="30" t="s">
        <v>6028</v>
      </c>
      <c r="M2365" s="30" t="s">
        <v>6029</v>
      </c>
      <c r="N2365" s="30" t="s">
        <v>6051</v>
      </c>
      <c r="P2365" s="30" t="s">
        <v>6055</v>
      </c>
      <c r="Q2365" t="s">
        <v>619</v>
      </c>
      <c r="R2365" t="s">
        <v>917</v>
      </c>
      <c r="S2365">
        <v>37</v>
      </c>
      <c r="T2365" s="29" t="str">
        <f t="shared" si="101"/>
        <v>2021.094B.R.Zierdtviridae.zip</v>
      </c>
      <c r="U2365" s="29" t="str">
        <f>HYPERLINK("https://ictv.global/taxonomy/taxondetails?taxnode_id=202313391","ictv.global=202313391")</f>
        <v>ictv.global=202313391</v>
      </c>
    </row>
    <row r="2366" spans="1:21">
      <c r="A2366">
        <v>2365</v>
      </c>
      <c r="B2366" s="30" t="s">
        <v>1587</v>
      </c>
      <c r="D2366" s="30" t="s">
        <v>1588</v>
      </c>
      <c r="F2366" s="30" t="s">
        <v>1591</v>
      </c>
      <c r="H2366" s="30" t="s">
        <v>1592</v>
      </c>
      <c r="L2366" s="30" t="s">
        <v>6028</v>
      </c>
      <c r="M2366" s="30" t="s">
        <v>6056</v>
      </c>
      <c r="N2366" s="30" t="s">
        <v>1467</v>
      </c>
      <c r="P2366" s="30" t="s">
        <v>6057</v>
      </c>
      <c r="Q2366" t="s">
        <v>619</v>
      </c>
      <c r="R2366" t="s">
        <v>917</v>
      </c>
      <c r="S2366">
        <v>37</v>
      </c>
      <c r="T2366" s="29" t="str">
        <f t="shared" si="101"/>
        <v>2021.094B.R.Zierdtviridae.zip</v>
      </c>
      <c r="U2366" s="29" t="str">
        <f>HYPERLINK("https://ictv.global/taxonomy/taxondetails?taxnode_id=202313417","ictv.global=202313417")</f>
        <v>ictv.global=202313417</v>
      </c>
    </row>
    <row r="2367" spans="1:21">
      <c r="A2367">
        <v>2366</v>
      </c>
      <c r="B2367" s="30" t="s">
        <v>1587</v>
      </c>
      <c r="D2367" s="30" t="s">
        <v>1588</v>
      </c>
      <c r="F2367" s="30" t="s">
        <v>1591</v>
      </c>
      <c r="H2367" s="30" t="s">
        <v>1592</v>
      </c>
      <c r="L2367" s="30" t="s">
        <v>6028</v>
      </c>
      <c r="M2367" s="30" t="s">
        <v>6056</v>
      </c>
      <c r="N2367" s="30" t="s">
        <v>1467</v>
      </c>
      <c r="P2367" s="30" t="s">
        <v>6058</v>
      </c>
      <c r="Q2367" t="s">
        <v>619</v>
      </c>
      <c r="R2367" t="s">
        <v>917</v>
      </c>
      <c r="S2367">
        <v>37</v>
      </c>
      <c r="T2367" s="29" t="str">
        <f t="shared" si="101"/>
        <v>2021.094B.R.Zierdtviridae.zip</v>
      </c>
      <c r="U2367" s="29" t="str">
        <f>HYPERLINK("https://ictv.global/taxonomy/taxondetails?taxnode_id=202313418","ictv.global=202313418")</f>
        <v>ictv.global=202313418</v>
      </c>
    </row>
    <row r="2368" spans="1:21">
      <c r="A2368">
        <v>2367</v>
      </c>
      <c r="B2368" s="30" t="s">
        <v>1587</v>
      </c>
      <c r="D2368" s="30" t="s">
        <v>1588</v>
      </c>
      <c r="F2368" s="30" t="s">
        <v>1591</v>
      </c>
      <c r="H2368" s="30" t="s">
        <v>1592</v>
      </c>
      <c r="L2368" s="30" t="s">
        <v>6028</v>
      </c>
      <c r="M2368" s="30" t="s">
        <v>6056</v>
      </c>
      <c r="N2368" s="30" t="s">
        <v>1467</v>
      </c>
      <c r="P2368" s="30" t="s">
        <v>1468</v>
      </c>
      <c r="Q2368" t="s">
        <v>619</v>
      </c>
      <c r="R2368" t="s">
        <v>919</v>
      </c>
      <c r="S2368">
        <v>37</v>
      </c>
      <c r="T2368" s="29" t="str">
        <f>HYPERLINK("https://ictv.global/ictv/proposals/2021.001B.R.abolish_Caudovirales.zip","2021.001B.R.abolish_Caudovirales.zip;2021.094B.A.v1.Zierdtviridae.zip")</f>
        <v>2021.001B.R.abolish_Caudovirales.zip;2021.094B.A.v1.Zierdtviridae.zip</v>
      </c>
      <c r="U2368" s="29" t="str">
        <f>HYPERLINK("https://ictv.global/taxonomy/taxondetails?taxnode_id=202306763","ictv.global=202306763")</f>
        <v>ictv.global=202306763</v>
      </c>
    </row>
    <row r="2369" spans="1:21">
      <c r="A2369">
        <v>2368</v>
      </c>
      <c r="B2369" s="30" t="s">
        <v>1587</v>
      </c>
      <c r="D2369" s="30" t="s">
        <v>1588</v>
      </c>
      <c r="F2369" s="30" t="s">
        <v>1591</v>
      </c>
      <c r="H2369" s="30" t="s">
        <v>1592</v>
      </c>
      <c r="L2369" s="30" t="s">
        <v>6028</v>
      </c>
      <c r="M2369" s="30" t="s">
        <v>6056</v>
      </c>
      <c r="N2369" s="30" t="s">
        <v>1467</v>
      </c>
      <c r="P2369" s="30" t="s">
        <v>1469</v>
      </c>
      <c r="Q2369" t="s">
        <v>619</v>
      </c>
      <c r="R2369" t="s">
        <v>919</v>
      </c>
      <c r="S2369">
        <v>37</v>
      </c>
      <c r="T2369" s="29" t="str">
        <f>HYPERLINK("https://ictv.global/ictv/proposals/2021.001B.R.abolish_Caudovirales.zip","2021.001B.R.abolish_Caudovirales.zip;2021.094B.A.v1.Zierdtviridae.zip")</f>
        <v>2021.001B.R.abolish_Caudovirales.zip;2021.094B.A.v1.Zierdtviridae.zip</v>
      </c>
      <c r="U2369" s="29" t="str">
        <f>HYPERLINK("https://ictv.global/taxonomy/taxondetails?taxnode_id=202306765","ictv.global=202306765")</f>
        <v>ictv.global=202306765</v>
      </c>
    </row>
    <row r="2370" spans="1:21">
      <c r="A2370">
        <v>2369</v>
      </c>
      <c r="B2370" s="30" t="s">
        <v>1587</v>
      </c>
      <c r="D2370" s="30" t="s">
        <v>1588</v>
      </c>
      <c r="F2370" s="30" t="s">
        <v>1591</v>
      </c>
      <c r="H2370" s="30" t="s">
        <v>1592</v>
      </c>
      <c r="L2370" s="30" t="s">
        <v>6028</v>
      </c>
      <c r="M2370" s="30" t="s">
        <v>6056</v>
      </c>
      <c r="N2370" s="30" t="s">
        <v>1467</v>
      </c>
      <c r="P2370" s="30" t="s">
        <v>1470</v>
      </c>
      <c r="Q2370" t="s">
        <v>619</v>
      </c>
      <c r="R2370" t="s">
        <v>919</v>
      </c>
      <c r="S2370">
        <v>37</v>
      </c>
      <c r="T2370" s="29" t="str">
        <f>HYPERLINK("https://ictv.global/ictv/proposals/2021.001B.R.abolish_Caudovirales.zip","2021.001B.R.abolish_Caudovirales.zip;2021.094B.A.v1.Zierdtviridae.zip")</f>
        <v>2021.001B.R.abolish_Caudovirales.zip;2021.094B.A.v1.Zierdtviridae.zip</v>
      </c>
      <c r="U2370" s="29" t="str">
        <f>HYPERLINK("https://ictv.global/taxonomy/taxondetails?taxnode_id=202306764","ictv.global=202306764")</f>
        <v>ictv.global=202306764</v>
      </c>
    </row>
    <row r="2371" spans="1:21">
      <c r="A2371">
        <v>2370</v>
      </c>
      <c r="B2371" s="30" t="s">
        <v>1587</v>
      </c>
      <c r="D2371" s="30" t="s">
        <v>1588</v>
      </c>
      <c r="F2371" s="30" t="s">
        <v>1591</v>
      </c>
      <c r="H2371" s="30" t="s">
        <v>1592</v>
      </c>
      <c r="L2371" s="30" t="s">
        <v>6028</v>
      </c>
      <c r="M2371" s="30" t="s">
        <v>6056</v>
      </c>
      <c r="N2371" s="30" t="s">
        <v>1475</v>
      </c>
      <c r="P2371" s="30" t="s">
        <v>1476</v>
      </c>
      <c r="Q2371" t="s">
        <v>619</v>
      </c>
      <c r="R2371" t="s">
        <v>919</v>
      </c>
      <c r="S2371">
        <v>37</v>
      </c>
      <c r="T2371" s="29" t="str">
        <f>HYPERLINK("https://ictv.global/ictv/proposals/2021.001B.R.abolish_Caudovirales.zip","2021.001B.R.abolish_Caudovirales.zip;2021.094B.A.v1.Zierdtviridae.zip")</f>
        <v>2021.001B.R.abolish_Caudovirales.zip;2021.094B.A.v1.Zierdtviridae.zip</v>
      </c>
      <c r="U2371" s="29" t="str">
        <f>HYPERLINK("https://ictv.global/taxonomy/taxondetails?taxnode_id=202306767","ictv.global=202306767")</f>
        <v>ictv.global=202306767</v>
      </c>
    </row>
    <row r="2372" spans="1:21">
      <c r="A2372">
        <v>2371</v>
      </c>
      <c r="B2372" s="30" t="s">
        <v>1587</v>
      </c>
      <c r="D2372" s="30" t="s">
        <v>1588</v>
      </c>
      <c r="F2372" s="30" t="s">
        <v>1591</v>
      </c>
      <c r="H2372" s="30" t="s">
        <v>1592</v>
      </c>
      <c r="L2372" s="30" t="s">
        <v>2502</v>
      </c>
      <c r="M2372" s="30" t="s">
        <v>2503</v>
      </c>
      <c r="N2372" s="30" t="s">
        <v>2504</v>
      </c>
      <c r="P2372" s="30" t="s">
        <v>6059</v>
      </c>
      <c r="Q2372" t="s">
        <v>619</v>
      </c>
      <c r="R2372" t="s">
        <v>918</v>
      </c>
      <c r="S2372">
        <v>37</v>
      </c>
      <c r="T2372" s="29" t="str">
        <f t="shared" ref="T2372:T2382" si="102">HYPERLINK("https://ictv.global/ictv/proposals/2021.010B.R.Binomial_names.zip","2021.010B.R.Binomial_names.zip")</f>
        <v>2021.010B.R.Binomial_names.zip</v>
      </c>
      <c r="U2372" s="29" t="str">
        <f>HYPERLINK("https://ictv.global/taxonomy/taxondetails?taxnode_id=202300707","ictv.global=202300707")</f>
        <v>ictv.global=202300707</v>
      </c>
    </row>
    <row r="2373" spans="1:21">
      <c r="A2373">
        <v>2372</v>
      </c>
      <c r="B2373" s="30" t="s">
        <v>1587</v>
      </c>
      <c r="D2373" s="30" t="s">
        <v>1588</v>
      </c>
      <c r="F2373" s="30" t="s">
        <v>1591</v>
      </c>
      <c r="H2373" s="30" t="s">
        <v>1592</v>
      </c>
      <c r="L2373" s="30" t="s">
        <v>2502</v>
      </c>
      <c r="M2373" s="30" t="s">
        <v>2503</v>
      </c>
      <c r="N2373" s="30" t="s">
        <v>2504</v>
      </c>
      <c r="P2373" s="30" t="s">
        <v>6060</v>
      </c>
      <c r="Q2373" t="s">
        <v>619</v>
      </c>
      <c r="R2373" t="s">
        <v>918</v>
      </c>
      <c r="S2373">
        <v>37</v>
      </c>
      <c r="T2373" s="29" t="str">
        <f t="shared" si="102"/>
        <v>2021.010B.R.Binomial_names.zip</v>
      </c>
      <c r="U2373" s="29" t="str">
        <f>HYPERLINK("https://ictv.global/taxonomy/taxondetails?taxnode_id=202312138","ictv.global=202312138")</f>
        <v>ictv.global=202312138</v>
      </c>
    </row>
    <row r="2374" spans="1:21">
      <c r="A2374">
        <v>2373</v>
      </c>
      <c r="B2374" s="30" t="s">
        <v>1587</v>
      </c>
      <c r="D2374" s="30" t="s">
        <v>1588</v>
      </c>
      <c r="F2374" s="30" t="s">
        <v>1591</v>
      </c>
      <c r="H2374" s="30" t="s">
        <v>1592</v>
      </c>
      <c r="L2374" s="30" t="s">
        <v>2502</v>
      </c>
      <c r="M2374" s="30" t="s">
        <v>2503</v>
      </c>
      <c r="N2374" s="30" t="s">
        <v>2504</v>
      </c>
      <c r="P2374" s="30" t="s">
        <v>6061</v>
      </c>
      <c r="Q2374" t="s">
        <v>619</v>
      </c>
      <c r="R2374" t="s">
        <v>918</v>
      </c>
      <c r="S2374">
        <v>37</v>
      </c>
      <c r="T2374" s="29" t="str">
        <f t="shared" si="102"/>
        <v>2021.010B.R.Binomial_names.zip</v>
      </c>
      <c r="U2374" s="29" t="str">
        <f>HYPERLINK("https://ictv.global/taxonomy/taxondetails?taxnode_id=202312137","ictv.global=202312137")</f>
        <v>ictv.global=202312137</v>
      </c>
    </row>
    <row r="2375" spans="1:21">
      <c r="A2375">
        <v>2374</v>
      </c>
      <c r="B2375" s="30" t="s">
        <v>1587</v>
      </c>
      <c r="D2375" s="30" t="s">
        <v>1588</v>
      </c>
      <c r="F2375" s="30" t="s">
        <v>1591</v>
      </c>
      <c r="H2375" s="30" t="s">
        <v>1592</v>
      </c>
      <c r="L2375" s="30" t="s">
        <v>2502</v>
      </c>
      <c r="M2375" s="30" t="s">
        <v>2503</v>
      </c>
      <c r="N2375" s="30" t="s">
        <v>2505</v>
      </c>
      <c r="P2375" s="30" t="s">
        <v>6062</v>
      </c>
      <c r="Q2375" t="s">
        <v>619</v>
      </c>
      <c r="R2375" t="s">
        <v>918</v>
      </c>
      <c r="S2375">
        <v>37</v>
      </c>
      <c r="T2375" s="29" t="str">
        <f t="shared" si="102"/>
        <v>2021.010B.R.Binomial_names.zip</v>
      </c>
      <c r="U2375" s="29" t="str">
        <f>HYPERLINK("https://ictv.global/taxonomy/taxondetails?taxnode_id=202312140","ictv.global=202312140")</f>
        <v>ictv.global=202312140</v>
      </c>
    </row>
    <row r="2376" spans="1:21">
      <c r="A2376">
        <v>2375</v>
      </c>
      <c r="B2376" s="30" t="s">
        <v>1587</v>
      </c>
      <c r="D2376" s="30" t="s">
        <v>1588</v>
      </c>
      <c r="F2376" s="30" t="s">
        <v>1591</v>
      </c>
      <c r="H2376" s="30" t="s">
        <v>1592</v>
      </c>
      <c r="L2376" s="30" t="s">
        <v>2502</v>
      </c>
      <c r="N2376" s="30" t="s">
        <v>2506</v>
      </c>
      <c r="P2376" s="30" t="s">
        <v>6063</v>
      </c>
      <c r="Q2376" t="s">
        <v>619</v>
      </c>
      <c r="R2376" t="s">
        <v>918</v>
      </c>
      <c r="S2376">
        <v>37</v>
      </c>
      <c r="T2376" s="29" t="str">
        <f t="shared" si="102"/>
        <v>2021.010B.R.Binomial_names.zip</v>
      </c>
      <c r="U2376" s="29" t="str">
        <f>HYPERLINK("https://ictv.global/taxonomy/taxondetails?taxnode_id=202312147","ictv.global=202312147")</f>
        <v>ictv.global=202312147</v>
      </c>
    </row>
    <row r="2377" spans="1:21">
      <c r="A2377">
        <v>2376</v>
      </c>
      <c r="B2377" s="30" t="s">
        <v>1587</v>
      </c>
      <c r="D2377" s="30" t="s">
        <v>1588</v>
      </c>
      <c r="F2377" s="30" t="s">
        <v>1591</v>
      </c>
      <c r="H2377" s="30" t="s">
        <v>1592</v>
      </c>
      <c r="L2377" s="30" t="s">
        <v>2502</v>
      </c>
      <c r="N2377" s="30" t="s">
        <v>2507</v>
      </c>
      <c r="P2377" s="30" t="s">
        <v>6064</v>
      </c>
      <c r="Q2377" t="s">
        <v>619</v>
      </c>
      <c r="R2377" t="s">
        <v>918</v>
      </c>
      <c r="S2377">
        <v>37</v>
      </c>
      <c r="T2377" s="29" t="str">
        <f t="shared" si="102"/>
        <v>2021.010B.R.Binomial_names.zip</v>
      </c>
      <c r="U2377" s="29" t="str">
        <f>HYPERLINK("https://ictv.global/taxonomy/taxondetails?taxnode_id=202312142","ictv.global=202312142")</f>
        <v>ictv.global=202312142</v>
      </c>
    </row>
    <row r="2378" spans="1:21">
      <c r="A2378">
        <v>2377</v>
      </c>
      <c r="B2378" s="30" t="s">
        <v>1587</v>
      </c>
      <c r="D2378" s="30" t="s">
        <v>1588</v>
      </c>
      <c r="F2378" s="30" t="s">
        <v>1591</v>
      </c>
      <c r="H2378" s="30" t="s">
        <v>1592</v>
      </c>
      <c r="L2378" s="30" t="s">
        <v>2502</v>
      </c>
      <c r="N2378" s="30" t="s">
        <v>2508</v>
      </c>
      <c r="P2378" s="30" t="s">
        <v>6065</v>
      </c>
      <c r="Q2378" t="s">
        <v>619</v>
      </c>
      <c r="R2378" t="s">
        <v>918</v>
      </c>
      <c r="S2378">
        <v>37</v>
      </c>
      <c r="T2378" s="29" t="str">
        <f t="shared" si="102"/>
        <v>2021.010B.R.Binomial_names.zip</v>
      </c>
      <c r="U2378" s="29" t="str">
        <f>HYPERLINK("https://ictv.global/taxonomy/taxondetails?taxnode_id=202312152","ictv.global=202312152")</f>
        <v>ictv.global=202312152</v>
      </c>
    </row>
    <row r="2379" spans="1:21">
      <c r="A2379">
        <v>2378</v>
      </c>
      <c r="B2379" s="30" t="s">
        <v>1587</v>
      </c>
      <c r="D2379" s="30" t="s">
        <v>1588</v>
      </c>
      <c r="F2379" s="30" t="s">
        <v>1591</v>
      </c>
      <c r="H2379" s="30" t="s">
        <v>1592</v>
      </c>
      <c r="L2379" s="30" t="s">
        <v>2502</v>
      </c>
      <c r="N2379" s="30" t="s">
        <v>2508</v>
      </c>
      <c r="P2379" s="30" t="s">
        <v>6066</v>
      </c>
      <c r="Q2379" t="s">
        <v>619</v>
      </c>
      <c r="R2379" t="s">
        <v>918</v>
      </c>
      <c r="S2379">
        <v>37</v>
      </c>
      <c r="T2379" s="29" t="str">
        <f t="shared" si="102"/>
        <v>2021.010B.R.Binomial_names.zip</v>
      </c>
      <c r="U2379" s="29" t="str">
        <f>HYPERLINK("https://ictv.global/taxonomy/taxondetails?taxnode_id=202312151","ictv.global=202312151")</f>
        <v>ictv.global=202312151</v>
      </c>
    </row>
    <row r="2380" spans="1:21">
      <c r="A2380">
        <v>2379</v>
      </c>
      <c r="B2380" s="30" t="s">
        <v>1587</v>
      </c>
      <c r="D2380" s="30" t="s">
        <v>1588</v>
      </c>
      <c r="F2380" s="30" t="s">
        <v>1591</v>
      </c>
      <c r="H2380" s="30" t="s">
        <v>1592</v>
      </c>
      <c r="L2380" s="30" t="s">
        <v>2502</v>
      </c>
      <c r="N2380" s="30" t="s">
        <v>2509</v>
      </c>
      <c r="P2380" s="30" t="s">
        <v>6067</v>
      </c>
      <c r="Q2380" t="s">
        <v>619</v>
      </c>
      <c r="R2380" t="s">
        <v>918</v>
      </c>
      <c r="S2380">
        <v>37</v>
      </c>
      <c r="T2380" s="29" t="str">
        <f t="shared" si="102"/>
        <v>2021.010B.R.Binomial_names.zip</v>
      </c>
      <c r="U2380" s="29" t="str">
        <f>HYPERLINK("https://ictv.global/taxonomy/taxondetails?taxnode_id=202312149","ictv.global=202312149")</f>
        <v>ictv.global=202312149</v>
      </c>
    </row>
    <row r="2381" spans="1:21">
      <c r="A2381">
        <v>2380</v>
      </c>
      <c r="B2381" s="30" t="s">
        <v>1587</v>
      </c>
      <c r="D2381" s="30" t="s">
        <v>1588</v>
      </c>
      <c r="F2381" s="30" t="s">
        <v>1591</v>
      </c>
      <c r="H2381" s="30" t="s">
        <v>1592</v>
      </c>
      <c r="L2381" s="30" t="s">
        <v>2502</v>
      </c>
      <c r="N2381" s="30" t="s">
        <v>2510</v>
      </c>
      <c r="P2381" s="30" t="s">
        <v>6068</v>
      </c>
      <c r="Q2381" t="s">
        <v>619</v>
      </c>
      <c r="R2381" t="s">
        <v>918</v>
      </c>
      <c r="S2381">
        <v>37</v>
      </c>
      <c r="T2381" s="29" t="str">
        <f t="shared" si="102"/>
        <v>2021.010B.R.Binomial_names.zip</v>
      </c>
      <c r="U2381" s="29" t="str">
        <f>HYPERLINK("https://ictv.global/taxonomy/taxondetails?taxnode_id=202312145","ictv.global=202312145")</f>
        <v>ictv.global=202312145</v>
      </c>
    </row>
    <row r="2382" spans="1:21">
      <c r="A2382">
        <v>2381</v>
      </c>
      <c r="B2382" s="30" t="s">
        <v>1587</v>
      </c>
      <c r="D2382" s="30" t="s">
        <v>1588</v>
      </c>
      <c r="F2382" s="30" t="s">
        <v>1591</v>
      </c>
      <c r="H2382" s="30" t="s">
        <v>1592</v>
      </c>
      <c r="L2382" s="30" t="s">
        <v>2502</v>
      </c>
      <c r="N2382" s="30" t="s">
        <v>2511</v>
      </c>
      <c r="P2382" s="30" t="s">
        <v>6069</v>
      </c>
      <c r="Q2382" t="s">
        <v>619</v>
      </c>
      <c r="R2382" t="s">
        <v>918</v>
      </c>
      <c r="S2382">
        <v>37</v>
      </c>
      <c r="T2382" s="29" t="str">
        <f t="shared" si="102"/>
        <v>2021.010B.R.Binomial_names.zip</v>
      </c>
      <c r="U2382" s="29" t="str">
        <f>HYPERLINK("https://ictv.global/taxonomy/taxondetails?taxnode_id=202300708","ictv.global=202300708")</f>
        <v>ictv.global=202300708</v>
      </c>
    </row>
    <row r="2383" spans="1:21">
      <c r="A2383">
        <v>2382</v>
      </c>
      <c r="B2383" s="30" t="s">
        <v>1587</v>
      </c>
      <c r="D2383" s="30" t="s">
        <v>1588</v>
      </c>
      <c r="F2383" s="30" t="s">
        <v>1591</v>
      </c>
      <c r="H2383" s="30" t="s">
        <v>1592</v>
      </c>
      <c r="M2383" s="30" t="s">
        <v>6070</v>
      </c>
      <c r="N2383" s="30" t="s">
        <v>6071</v>
      </c>
      <c r="P2383" s="30" t="s">
        <v>6072</v>
      </c>
      <c r="Q2383" t="s">
        <v>619</v>
      </c>
      <c r="R2383" t="s">
        <v>917</v>
      </c>
      <c r="S2383">
        <v>38</v>
      </c>
      <c r="T2383" s="29" t="str">
        <f>HYPERLINK("https://ictv.global/ictv/proposals/2022.005B.Andregratiavirinae_Joanripponvirinae_nsf.zip","2022.005B.Andregratiavirinae_Joanripponvirinae_nsf.zip")</f>
        <v>2022.005B.Andregratiavirinae_Joanripponvirinae_nsf.zip</v>
      </c>
      <c r="U2383" s="29" t="str">
        <f>HYPERLINK("https://ictv.global/taxonomy/taxondetails?taxnode_id=202314475","ictv.global=202314475")</f>
        <v>ictv.global=202314475</v>
      </c>
    </row>
    <row r="2384" spans="1:21">
      <c r="A2384">
        <v>2383</v>
      </c>
      <c r="B2384" s="30" t="s">
        <v>1587</v>
      </c>
      <c r="D2384" s="30" t="s">
        <v>1588</v>
      </c>
      <c r="F2384" s="30" t="s">
        <v>1591</v>
      </c>
      <c r="H2384" s="30" t="s">
        <v>1592</v>
      </c>
      <c r="M2384" s="30" t="s">
        <v>6070</v>
      </c>
      <c r="N2384" s="30" t="s">
        <v>6073</v>
      </c>
      <c r="P2384" s="30" t="s">
        <v>6074</v>
      </c>
      <c r="Q2384" t="s">
        <v>619</v>
      </c>
      <c r="R2384" t="s">
        <v>917</v>
      </c>
      <c r="S2384">
        <v>38</v>
      </c>
      <c r="T2384" s="29" t="str">
        <f>HYPERLINK("https://ictv.global/ictv/proposals/2022.005B.Andregratiavirinae_Joanripponvirinae_nsf.zip","2022.005B.Andregratiavirinae_Joanripponvirinae_nsf.zip")</f>
        <v>2022.005B.Andregratiavirinae_Joanripponvirinae_nsf.zip</v>
      </c>
      <c r="U2384" s="29" t="str">
        <f>HYPERLINK("https://ictv.global/taxonomy/taxondetails?taxnode_id=202314476","ictv.global=202314476")</f>
        <v>ictv.global=202314476</v>
      </c>
    </row>
    <row r="2385" spans="1:21">
      <c r="A2385">
        <v>2384</v>
      </c>
      <c r="B2385" s="30" t="s">
        <v>1587</v>
      </c>
      <c r="D2385" s="30" t="s">
        <v>1588</v>
      </c>
      <c r="F2385" s="30" t="s">
        <v>1591</v>
      </c>
      <c r="H2385" s="30" t="s">
        <v>1592</v>
      </c>
      <c r="M2385" s="30" t="s">
        <v>6075</v>
      </c>
      <c r="N2385" s="30" t="s">
        <v>6076</v>
      </c>
      <c r="P2385" s="30" t="s">
        <v>6077</v>
      </c>
      <c r="Q2385" t="s">
        <v>619</v>
      </c>
      <c r="R2385" t="s">
        <v>917</v>
      </c>
      <c r="S2385">
        <v>37</v>
      </c>
      <c r="T2385" s="29" t="str">
        <f>HYPERLINK("https://ictv.global/ictv/proposals/2021.002B.R.Andrewesvirinae.zip","2021.002B.R.Andrewesvirinae.zip")</f>
        <v>2021.002B.R.Andrewesvirinae.zip</v>
      </c>
      <c r="U2385" s="29" t="str">
        <f>HYPERLINK("https://ictv.global/taxonomy/taxondetails?taxnode_id=202313119","ictv.global=202313119")</f>
        <v>ictv.global=202313119</v>
      </c>
    </row>
    <row r="2386" spans="1:21">
      <c r="A2386">
        <v>2385</v>
      </c>
      <c r="B2386" s="30" t="s">
        <v>1587</v>
      </c>
      <c r="D2386" s="30" t="s">
        <v>1588</v>
      </c>
      <c r="F2386" s="30" t="s">
        <v>1591</v>
      </c>
      <c r="H2386" s="30" t="s">
        <v>1592</v>
      </c>
      <c r="M2386" s="30" t="s">
        <v>6075</v>
      </c>
      <c r="N2386" s="30" t="s">
        <v>6078</v>
      </c>
      <c r="P2386" s="30" t="s">
        <v>6079</v>
      </c>
      <c r="Q2386" t="s">
        <v>619</v>
      </c>
      <c r="R2386" t="s">
        <v>917</v>
      </c>
      <c r="S2386">
        <v>37</v>
      </c>
      <c r="T2386" s="29" t="str">
        <f>HYPERLINK("https://ictv.global/ictv/proposals/2021.002B.R.Andrewesvirinae.zip","2021.002B.R.Andrewesvirinae.zip")</f>
        <v>2021.002B.R.Andrewesvirinae.zip</v>
      </c>
      <c r="U2386" s="29" t="str">
        <f>HYPERLINK("https://ictv.global/taxonomy/taxondetails?taxnode_id=202313123","ictv.global=202313123")</f>
        <v>ictv.global=202313123</v>
      </c>
    </row>
    <row r="2387" spans="1:21">
      <c r="A2387">
        <v>2386</v>
      </c>
      <c r="B2387" s="30" t="s">
        <v>1587</v>
      </c>
      <c r="D2387" s="30" t="s">
        <v>1588</v>
      </c>
      <c r="F2387" s="30" t="s">
        <v>1591</v>
      </c>
      <c r="H2387" s="30" t="s">
        <v>1592</v>
      </c>
      <c r="M2387" s="30" t="s">
        <v>6075</v>
      </c>
      <c r="N2387" s="30" t="s">
        <v>6078</v>
      </c>
      <c r="P2387" s="30" t="s">
        <v>6080</v>
      </c>
      <c r="Q2387" t="s">
        <v>619</v>
      </c>
      <c r="R2387" t="s">
        <v>917</v>
      </c>
      <c r="S2387">
        <v>37</v>
      </c>
      <c r="T2387" s="29" t="str">
        <f>HYPERLINK("https://ictv.global/ictv/proposals/2021.002B.R.Andrewesvirinae.zip","2021.002B.R.Andrewesvirinae.zip")</f>
        <v>2021.002B.R.Andrewesvirinae.zip</v>
      </c>
      <c r="U2387" s="29" t="str">
        <f>HYPERLINK("https://ictv.global/taxonomy/taxondetails?taxnode_id=202313121","ictv.global=202313121")</f>
        <v>ictv.global=202313121</v>
      </c>
    </row>
    <row r="2388" spans="1:21">
      <c r="A2388">
        <v>2387</v>
      </c>
      <c r="B2388" s="30" t="s">
        <v>1587</v>
      </c>
      <c r="D2388" s="30" t="s">
        <v>1588</v>
      </c>
      <c r="F2388" s="30" t="s">
        <v>1591</v>
      </c>
      <c r="H2388" s="30" t="s">
        <v>1592</v>
      </c>
      <c r="M2388" s="30" t="s">
        <v>6075</v>
      </c>
      <c r="N2388" s="30" t="s">
        <v>6078</v>
      </c>
      <c r="P2388" s="30" t="s">
        <v>6081</v>
      </c>
      <c r="Q2388" t="s">
        <v>619</v>
      </c>
      <c r="R2388" t="s">
        <v>917</v>
      </c>
      <c r="S2388">
        <v>37</v>
      </c>
      <c r="T2388" s="29" t="str">
        <f>HYPERLINK("https://ictv.global/ictv/proposals/2021.002B.R.Andrewesvirinae.zip","2021.002B.R.Andrewesvirinae.zip")</f>
        <v>2021.002B.R.Andrewesvirinae.zip</v>
      </c>
      <c r="U2388" s="29" t="str">
        <f>HYPERLINK("https://ictv.global/taxonomy/taxondetails?taxnode_id=202313122","ictv.global=202313122")</f>
        <v>ictv.global=202313122</v>
      </c>
    </row>
    <row r="2389" spans="1:21">
      <c r="A2389">
        <v>2388</v>
      </c>
      <c r="B2389" s="30" t="s">
        <v>1587</v>
      </c>
      <c r="D2389" s="30" t="s">
        <v>1588</v>
      </c>
      <c r="F2389" s="30" t="s">
        <v>1591</v>
      </c>
      <c r="H2389" s="30" t="s">
        <v>1592</v>
      </c>
      <c r="M2389" s="30" t="s">
        <v>853</v>
      </c>
      <c r="N2389" s="30" t="s">
        <v>1441</v>
      </c>
      <c r="P2389" s="30" t="s">
        <v>6082</v>
      </c>
      <c r="Q2389" t="s">
        <v>619</v>
      </c>
      <c r="R2389" t="s">
        <v>918</v>
      </c>
      <c r="S2389">
        <v>37</v>
      </c>
      <c r="T2389" s="29" t="str">
        <f>HYPERLINK("https://ictv.global/ictv/proposals/2021.010B.R.Binomial_names.zip","2021.010B.R.Binomial_names.zip")</f>
        <v>2021.010B.R.Binomial_names.zip</v>
      </c>
      <c r="U2389" s="29" t="str">
        <f>HYPERLINK("https://ictv.global/taxonomy/taxondetails?taxnode_id=202300729","ictv.global=202300729")</f>
        <v>ictv.global=202300729</v>
      </c>
    </row>
    <row r="2390" spans="1:21">
      <c r="A2390">
        <v>2389</v>
      </c>
      <c r="B2390" s="30" t="s">
        <v>1587</v>
      </c>
      <c r="D2390" s="30" t="s">
        <v>1588</v>
      </c>
      <c r="F2390" s="30" t="s">
        <v>1591</v>
      </c>
      <c r="H2390" s="30" t="s">
        <v>1592</v>
      </c>
      <c r="M2390" s="30" t="s">
        <v>853</v>
      </c>
      <c r="N2390" s="30" t="s">
        <v>1441</v>
      </c>
      <c r="P2390" s="30" t="s">
        <v>6083</v>
      </c>
      <c r="Q2390" t="s">
        <v>619</v>
      </c>
      <c r="R2390" t="s">
        <v>917</v>
      </c>
      <c r="S2390">
        <v>37</v>
      </c>
      <c r="T2390" s="29" t="str">
        <f>HYPERLINK("https://ictv.global/ictv/proposals/2021.005B.R.Arquatrovirinae.zip","2021.005B.R.Arquatrovirinae.zip")</f>
        <v>2021.005B.R.Arquatrovirinae.zip</v>
      </c>
      <c r="U2390" s="29" t="str">
        <f>HYPERLINK("https://ictv.global/taxonomy/taxondetails?taxnode_id=202313152","ictv.global=202313152")</f>
        <v>ictv.global=202313152</v>
      </c>
    </row>
    <row r="2391" spans="1:21">
      <c r="A2391">
        <v>2390</v>
      </c>
      <c r="B2391" s="30" t="s">
        <v>1587</v>
      </c>
      <c r="D2391" s="30" t="s">
        <v>1588</v>
      </c>
      <c r="F2391" s="30" t="s">
        <v>1591</v>
      </c>
      <c r="H2391" s="30" t="s">
        <v>1592</v>
      </c>
      <c r="M2391" s="30" t="s">
        <v>853</v>
      </c>
      <c r="N2391" s="30" t="s">
        <v>1441</v>
      </c>
      <c r="P2391" s="30" t="s">
        <v>6084</v>
      </c>
      <c r="Q2391" t="s">
        <v>619</v>
      </c>
      <c r="R2391" t="s">
        <v>918</v>
      </c>
      <c r="S2391">
        <v>37</v>
      </c>
      <c r="T2391" s="29" t="str">
        <f>HYPERLINK("https://ictv.global/ictv/proposals/2021.010B.R.Binomial_names.zip","2021.010B.R.Binomial_names.zip")</f>
        <v>2021.010B.R.Binomial_names.zip</v>
      </c>
      <c r="U2391" s="29" t="str">
        <f>HYPERLINK("https://ictv.global/taxonomy/taxondetails?taxnode_id=202300730","ictv.global=202300730")</f>
        <v>ictv.global=202300730</v>
      </c>
    </row>
    <row r="2392" spans="1:21">
      <c r="A2392">
        <v>2391</v>
      </c>
      <c r="B2392" s="30" t="s">
        <v>1587</v>
      </c>
      <c r="D2392" s="30" t="s">
        <v>1588</v>
      </c>
      <c r="F2392" s="30" t="s">
        <v>1591</v>
      </c>
      <c r="H2392" s="30" t="s">
        <v>1592</v>
      </c>
      <c r="M2392" s="30" t="s">
        <v>853</v>
      </c>
      <c r="N2392" s="30" t="s">
        <v>6085</v>
      </c>
      <c r="P2392" s="30" t="s">
        <v>6086</v>
      </c>
      <c r="Q2392" t="s">
        <v>619</v>
      </c>
      <c r="R2392" t="s">
        <v>917</v>
      </c>
      <c r="S2392">
        <v>37</v>
      </c>
      <c r="T2392" s="29" t="str">
        <f t="shared" ref="T2392:T2397" si="103">HYPERLINK("https://ictv.global/ictv/proposals/2021.005B.R.Arquatrovirinae.zip","2021.005B.R.Arquatrovirinae.zip")</f>
        <v>2021.005B.R.Arquatrovirinae.zip</v>
      </c>
      <c r="U2392" s="29" t="str">
        <f>HYPERLINK("https://ictv.global/taxonomy/taxondetails?taxnode_id=202313150","ictv.global=202313150")</f>
        <v>ictv.global=202313150</v>
      </c>
    </row>
    <row r="2393" spans="1:21">
      <c r="A2393">
        <v>2392</v>
      </c>
      <c r="B2393" s="30" t="s">
        <v>1587</v>
      </c>
      <c r="D2393" s="30" t="s">
        <v>1588</v>
      </c>
      <c r="F2393" s="30" t="s">
        <v>1591</v>
      </c>
      <c r="H2393" s="30" t="s">
        <v>1592</v>
      </c>
      <c r="M2393" s="30" t="s">
        <v>853</v>
      </c>
      <c r="N2393" s="30" t="s">
        <v>6085</v>
      </c>
      <c r="P2393" s="30" t="s">
        <v>6087</v>
      </c>
      <c r="Q2393" t="s">
        <v>619</v>
      </c>
      <c r="R2393" t="s">
        <v>917</v>
      </c>
      <c r="S2393">
        <v>37</v>
      </c>
      <c r="T2393" s="29" t="str">
        <f t="shared" si="103"/>
        <v>2021.005B.R.Arquatrovirinae.zip</v>
      </c>
      <c r="U2393" s="29" t="str">
        <f>HYPERLINK("https://ictv.global/taxonomy/taxondetails?taxnode_id=202313147","ictv.global=202313147")</f>
        <v>ictv.global=202313147</v>
      </c>
    </row>
    <row r="2394" spans="1:21">
      <c r="A2394">
        <v>2393</v>
      </c>
      <c r="B2394" s="30" t="s">
        <v>1587</v>
      </c>
      <c r="D2394" s="30" t="s">
        <v>1588</v>
      </c>
      <c r="F2394" s="30" t="s">
        <v>1591</v>
      </c>
      <c r="H2394" s="30" t="s">
        <v>1592</v>
      </c>
      <c r="M2394" s="30" t="s">
        <v>853</v>
      </c>
      <c r="N2394" s="30" t="s">
        <v>6085</v>
      </c>
      <c r="P2394" s="30" t="s">
        <v>6088</v>
      </c>
      <c r="Q2394" t="s">
        <v>619</v>
      </c>
      <c r="R2394" t="s">
        <v>917</v>
      </c>
      <c r="S2394">
        <v>37</v>
      </c>
      <c r="T2394" s="29" t="str">
        <f t="shared" si="103"/>
        <v>2021.005B.R.Arquatrovirinae.zip</v>
      </c>
      <c r="U2394" s="29" t="str">
        <f>HYPERLINK("https://ictv.global/taxonomy/taxondetails?taxnode_id=202313149","ictv.global=202313149")</f>
        <v>ictv.global=202313149</v>
      </c>
    </row>
    <row r="2395" spans="1:21">
      <c r="A2395">
        <v>2394</v>
      </c>
      <c r="B2395" s="30" t="s">
        <v>1587</v>
      </c>
      <c r="D2395" s="30" t="s">
        <v>1588</v>
      </c>
      <c r="F2395" s="30" t="s">
        <v>1591</v>
      </c>
      <c r="H2395" s="30" t="s">
        <v>1592</v>
      </c>
      <c r="M2395" s="30" t="s">
        <v>853</v>
      </c>
      <c r="N2395" s="30" t="s">
        <v>6085</v>
      </c>
      <c r="P2395" s="30" t="s">
        <v>6089</v>
      </c>
      <c r="Q2395" t="s">
        <v>619</v>
      </c>
      <c r="R2395" t="s">
        <v>917</v>
      </c>
      <c r="S2395">
        <v>37</v>
      </c>
      <c r="T2395" s="29" t="str">
        <f t="shared" si="103"/>
        <v>2021.005B.R.Arquatrovirinae.zip</v>
      </c>
      <c r="U2395" s="29" t="str">
        <f>HYPERLINK("https://ictv.global/taxonomy/taxondetails?taxnode_id=202313148","ictv.global=202313148")</f>
        <v>ictv.global=202313148</v>
      </c>
    </row>
    <row r="2396" spans="1:21">
      <c r="A2396">
        <v>2395</v>
      </c>
      <c r="B2396" s="30" t="s">
        <v>1587</v>
      </c>
      <c r="D2396" s="30" t="s">
        <v>1588</v>
      </c>
      <c r="F2396" s="30" t="s">
        <v>1591</v>
      </c>
      <c r="H2396" s="30" t="s">
        <v>1592</v>
      </c>
      <c r="M2396" s="30" t="s">
        <v>853</v>
      </c>
      <c r="N2396" s="30" t="s">
        <v>6085</v>
      </c>
      <c r="P2396" s="30" t="s">
        <v>6090</v>
      </c>
      <c r="Q2396" t="s">
        <v>619</v>
      </c>
      <c r="R2396" t="s">
        <v>917</v>
      </c>
      <c r="S2396">
        <v>37</v>
      </c>
      <c r="T2396" s="29" t="str">
        <f t="shared" si="103"/>
        <v>2021.005B.R.Arquatrovirinae.zip</v>
      </c>
      <c r="U2396" s="29" t="str">
        <f>HYPERLINK("https://ictv.global/taxonomy/taxondetails?taxnode_id=202313151","ictv.global=202313151")</f>
        <v>ictv.global=202313151</v>
      </c>
    </row>
    <row r="2397" spans="1:21">
      <c r="A2397">
        <v>2396</v>
      </c>
      <c r="B2397" s="30" t="s">
        <v>1587</v>
      </c>
      <c r="D2397" s="30" t="s">
        <v>1588</v>
      </c>
      <c r="F2397" s="30" t="s">
        <v>1591</v>
      </c>
      <c r="H2397" s="30" t="s">
        <v>1592</v>
      </c>
      <c r="M2397" s="30" t="s">
        <v>853</v>
      </c>
      <c r="N2397" s="30" t="s">
        <v>854</v>
      </c>
      <c r="P2397" s="30" t="s">
        <v>6091</v>
      </c>
      <c r="Q2397" t="s">
        <v>619</v>
      </c>
      <c r="R2397" t="s">
        <v>917</v>
      </c>
      <c r="S2397">
        <v>37</v>
      </c>
      <c r="T2397" s="29" t="str">
        <f t="shared" si="103"/>
        <v>2021.005B.R.Arquatrovirinae.zip</v>
      </c>
      <c r="U2397" s="29" t="str">
        <f>HYPERLINK("https://ictv.global/taxonomy/taxondetails?taxnode_id=202313158","ictv.global=202313158")</f>
        <v>ictv.global=202313158</v>
      </c>
    </row>
    <row r="2398" spans="1:21">
      <c r="A2398">
        <v>2397</v>
      </c>
      <c r="B2398" s="30" t="s">
        <v>1587</v>
      </c>
      <c r="D2398" s="30" t="s">
        <v>1588</v>
      </c>
      <c r="F2398" s="30" t="s">
        <v>1591</v>
      </c>
      <c r="H2398" s="30" t="s">
        <v>1592</v>
      </c>
      <c r="M2398" s="30" t="s">
        <v>853</v>
      </c>
      <c r="N2398" s="30" t="s">
        <v>854</v>
      </c>
      <c r="P2398" s="30" t="s">
        <v>6092</v>
      </c>
      <c r="Q2398" t="s">
        <v>619</v>
      </c>
      <c r="R2398" t="s">
        <v>918</v>
      </c>
      <c r="S2398">
        <v>37</v>
      </c>
      <c r="T2398" s="29" t="str">
        <f>HYPERLINK("https://ictv.global/ictv/proposals/2021.010B.R.Binomial_names.zip","2021.010B.R.Binomial_names.zip")</f>
        <v>2021.010B.R.Binomial_names.zip</v>
      </c>
      <c r="U2398" s="29" t="str">
        <f>HYPERLINK("https://ictv.global/taxonomy/taxondetails?taxnode_id=202300716","ictv.global=202300716")</f>
        <v>ictv.global=202300716</v>
      </c>
    </row>
    <row r="2399" spans="1:21">
      <c r="A2399">
        <v>2398</v>
      </c>
      <c r="B2399" s="30" t="s">
        <v>1587</v>
      </c>
      <c r="D2399" s="30" t="s">
        <v>1588</v>
      </c>
      <c r="F2399" s="30" t="s">
        <v>1591</v>
      </c>
      <c r="H2399" s="30" t="s">
        <v>1592</v>
      </c>
      <c r="M2399" s="30" t="s">
        <v>853</v>
      </c>
      <c r="N2399" s="30" t="s">
        <v>854</v>
      </c>
      <c r="P2399" s="30" t="s">
        <v>6093</v>
      </c>
      <c r="Q2399" t="s">
        <v>619</v>
      </c>
      <c r="R2399" t="s">
        <v>918</v>
      </c>
      <c r="S2399">
        <v>37</v>
      </c>
      <c r="T2399" s="29" t="str">
        <f>HYPERLINK("https://ictv.global/ictv/proposals/2021.010B.R.Binomial_names.zip","2021.010B.R.Binomial_names.zip")</f>
        <v>2021.010B.R.Binomial_names.zip</v>
      </c>
      <c r="U2399" s="29" t="str">
        <f>HYPERLINK("https://ictv.global/taxonomy/taxondetails?taxnode_id=202300717","ictv.global=202300717")</f>
        <v>ictv.global=202300717</v>
      </c>
    </row>
    <row r="2400" spans="1:21">
      <c r="A2400">
        <v>2399</v>
      </c>
      <c r="B2400" s="30" t="s">
        <v>1587</v>
      </c>
      <c r="D2400" s="30" t="s">
        <v>1588</v>
      </c>
      <c r="F2400" s="30" t="s">
        <v>1591</v>
      </c>
      <c r="H2400" s="30" t="s">
        <v>1592</v>
      </c>
      <c r="M2400" s="30" t="s">
        <v>853</v>
      </c>
      <c r="N2400" s="30" t="s">
        <v>854</v>
      </c>
      <c r="P2400" s="30" t="s">
        <v>6094</v>
      </c>
      <c r="Q2400" t="s">
        <v>619</v>
      </c>
      <c r="R2400" t="s">
        <v>917</v>
      </c>
      <c r="S2400">
        <v>37</v>
      </c>
      <c r="T2400" s="29" t="str">
        <f t="shared" ref="T2400:T2408" si="104">HYPERLINK("https://ictv.global/ictv/proposals/2021.005B.R.Arquatrovirinae.zip","2021.005B.R.Arquatrovirinae.zip")</f>
        <v>2021.005B.R.Arquatrovirinae.zip</v>
      </c>
      <c r="U2400" s="29" t="str">
        <f>HYPERLINK("https://ictv.global/taxonomy/taxondetails?taxnode_id=202313153","ictv.global=202313153")</f>
        <v>ictv.global=202313153</v>
      </c>
    </row>
    <row r="2401" spans="1:21">
      <c r="A2401">
        <v>2400</v>
      </c>
      <c r="B2401" s="30" t="s">
        <v>1587</v>
      </c>
      <c r="D2401" s="30" t="s">
        <v>1588</v>
      </c>
      <c r="F2401" s="30" t="s">
        <v>1591</v>
      </c>
      <c r="H2401" s="30" t="s">
        <v>1592</v>
      </c>
      <c r="M2401" s="30" t="s">
        <v>853</v>
      </c>
      <c r="N2401" s="30" t="s">
        <v>854</v>
      </c>
      <c r="P2401" s="30" t="s">
        <v>6095</v>
      </c>
      <c r="Q2401" t="s">
        <v>619</v>
      </c>
      <c r="R2401" t="s">
        <v>917</v>
      </c>
      <c r="S2401">
        <v>37</v>
      </c>
      <c r="T2401" s="29" t="str">
        <f t="shared" si="104"/>
        <v>2021.005B.R.Arquatrovirinae.zip</v>
      </c>
      <c r="U2401" s="29" t="str">
        <f>HYPERLINK("https://ictv.global/taxonomy/taxondetails?taxnode_id=202313154","ictv.global=202313154")</f>
        <v>ictv.global=202313154</v>
      </c>
    </row>
    <row r="2402" spans="1:21">
      <c r="A2402">
        <v>2401</v>
      </c>
      <c r="B2402" s="30" t="s">
        <v>1587</v>
      </c>
      <c r="D2402" s="30" t="s">
        <v>1588</v>
      </c>
      <c r="F2402" s="30" t="s">
        <v>1591</v>
      </c>
      <c r="H2402" s="30" t="s">
        <v>1592</v>
      </c>
      <c r="M2402" s="30" t="s">
        <v>853</v>
      </c>
      <c r="N2402" s="30" t="s">
        <v>854</v>
      </c>
      <c r="P2402" s="30" t="s">
        <v>6096</v>
      </c>
      <c r="Q2402" t="s">
        <v>619</v>
      </c>
      <c r="R2402" t="s">
        <v>917</v>
      </c>
      <c r="S2402">
        <v>37</v>
      </c>
      <c r="T2402" s="29" t="str">
        <f t="shared" si="104"/>
        <v>2021.005B.R.Arquatrovirinae.zip</v>
      </c>
      <c r="U2402" s="29" t="str">
        <f>HYPERLINK("https://ictv.global/taxonomy/taxondetails?taxnode_id=202313155","ictv.global=202313155")</f>
        <v>ictv.global=202313155</v>
      </c>
    </row>
    <row r="2403" spans="1:21">
      <c r="A2403">
        <v>2402</v>
      </c>
      <c r="B2403" s="30" t="s">
        <v>1587</v>
      </c>
      <c r="D2403" s="30" t="s">
        <v>1588</v>
      </c>
      <c r="F2403" s="30" t="s">
        <v>1591</v>
      </c>
      <c r="H2403" s="30" t="s">
        <v>1592</v>
      </c>
      <c r="M2403" s="30" t="s">
        <v>853</v>
      </c>
      <c r="N2403" s="30" t="s">
        <v>854</v>
      </c>
      <c r="P2403" s="30" t="s">
        <v>6097</v>
      </c>
      <c r="Q2403" t="s">
        <v>619</v>
      </c>
      <c r="R2403" t="s">
        <v>917</v>
      </c>
      <c r="S2403">
        <v>37</v>
      </c>
      <c r="T2403" s="29" t="str">
        <f t="shared" si="104"/>
        <v>2021.005B.R.Arquatrovirinae.zip</v>
      </c>
      <c r="U2403" s="29" t="str">
        <f>HYPERLINK("https://ictv.global/taxonomy/taxondetails?taxnode_id=202313156","ictv.global=202313156")</f>
        <v>ictv.global=202313156</v>
      </c>
    </row>
    <row r="2404" spans="1:21">
      <c r="A2404">
        <v>2403</v>
      </c>
      <c r="B2404" s="30" t="s">
        <v>1587</v>
      </c>
      <c r="D2404" s="30" t="s">
        <v>1588</v>
      </c>
      <c r="F2404" s="30" t="s">
        <v>1591</v>
      </c>
      <c r="H2404" s="30" t="s">
        <v>1592</v>
      </c>
      <c r="M2404" s="30" t="s">
        <v>853</v>
      </c>
      <c r="N2404" s="30" t="s">
        <v>854</v>
      </c>
      <c r="P2404" s="30" t="s">
        <v>6098</v>
      </c>
      <c r="Q2404" t="s">
        <v>619</v>
      </c>
      <c r="R2404" t="s">
        <v>917</v>
      </c>
      <c r="S2404">
        <v>37</v>
      </c>
      <c r="T2404" s="29" t="str">
        <f t="shared" si="104"/>
        <v>2021.005B.R.Arquatrovirinae.zip</v>
      </c>
      <c r="U2404" s="29" t="str">
        <f>HYPERLINK("https://ictv.global/taxonomy/taxondetails?taxnode_id=202313157","ictv.global=202313157")</f>
        <v>ictv.global=202313157</v>
      </c>
    </row>
    <row r="2405" spans="1:21">
      <c r="A2405">
        <v>2404</v>
      </c>
      <c r="B2405" s="30" t="s">
        <v>1587</v>
      </c>
      <c r="D2405" s="30" t="s">
        <v>1588</v>
      </c>
      <c r="F2405" s="30" t="s">
        <v>1591</v>
      </c>
      <c r="H2405" s="30" t="s">
        <v>1592</v>
      </c>
      <c r="M2405" s="30" t="s">
        <v>853</v>
      </c>
      <c r="N2405" s="30" t="s">
        <v>6099</v>
      </c>
      <c r="P2405" s="30" t="s">
        <v>6100</v>
      </c>
      <c r="Q2405" t="s">
        <v>619</v>
      </c>
      <c r="R2405" t="s">
        <v>917</v>
      </c>
      <c r="S2405">
        <v>37</v>
      </c>
      <c r="T2405" s="29" t="str">
        <f t="shared" si="104"/>
        <v>2021.005B.R.Arquatrovirinae.zip</v>
      </c>
      <c r="U2405" s="29" t="str">
        <f>HYPERLINK("https://ictv.global/taxonomy/taxondetails?taxnode_id=202313129","ictv.global=202313129")</f>
        <v>ictv.global=202313129</v>
      </c>
    </row>
    <row r="2406" spans="1:21">
      <c r="A2406">
        <v>2405</v>
      </c>
      <c r="B2406" s="30" t="s">
        <v>1587</v>
      </c>
      <c r="D2406" s="30" t="s">
        <v>1588</v>
      </c>
      <c r="F2406" s="30" t="s">
        <v>1591</v>
      </c>
      <c r="H2406" s="30" t="s">
        <v>1592</v>
      </c>
      <c r="M2406" s="30" t="s">
        <v>853</v>
      </c>
      <c r="N2406" s="30" t="s">
        <v>6101</v>
      </c>
      <c r="P2406" s="30" t="s">
        <v>6102</v>
      </c>
      <c r="Q2406" t="s">
        <v>619</v>
      </c>
      <c r="R2406" t="s">
        <v>918</v>
      </c>
      <c r="S2406">
        <v>37</v>
      </c>
      <c r="T2406" s="29" t="str">
        <f t="shared" si="104"/>
        <v>2021.005B.R.Arquatrovirinae.zip</v>
      </c>
      <c r="U2406" s="29" t="str">
        <f>HYPERLINK("https://ictv.global/taxonomy/taxondetails?taxnode_id=202300732","ictv.global=202300732")</f>
        <v>ictv.global=202300732</v>
      </c>
    </row>
    <row r="2407" spans="1:21">
      <c r="A2407">
        <v>2406</v>
      </c>
      <c r="B2407" s="30" t="s">
        <v>1587</v>
      </c>
      <c r="D2407" s="30" t="s">
        <v>1588</v>
      </c>
      <c r="F2407" s="30" t="s">
        <v>1591</v>
      </c>
      <c r="H2407" s="30" t="s">
        <v>1592</v>
      </c>
      <c r="M2407" s="30" t="s">
        <v>853</v>
      </c>
      <c r="N2407" s="30" t="s">
        <v>6103</v>
      </c>
      <c r="P2407" s="30" t="s">
        <v>6104</v>
      </c>
      <c r="Q2407" t="s">
        <v>619</v>
      </c>
      <c r="R2407" t="s">
        <v>917</v>
      </c>
      <c r="S2407">
        <v>37</v>
      </c>
      <c r="T2407" s="29" t="str">
        <f t="shared" si="104"/>
        <v>2021.005B.R.Arquatrovirinae.zip</v>
      </c>
      <c r="U2407" s="29" t="str">
        <f>HYPERLINK("https://ictv.global/taxonomy/taxondetails?taxnode_id=202313140","ictv.global=202313140")</f>
        <v>ictv.global=202313140</v>
      </c>
    </row>
    <row r="2408" spans="1:21">
      <c r="A2408">
        <v>2407</v>
      </c>
      <c r="B2408" s="30" t="s">
        <v>1587</v>
      </c>
      <c r="D2408" s="30" t="s">
        <v>1588</v>
      </c>
      <c r="F2408" s="30" t="s">
        <v>1591</v>
      </c>
      <c r="H2408" s="30" t="s">
        <v>1592</v>
      </c>
      <c r="M2408" s="30" t="s">
        <v>853</v>
      </c>
      <c r="N2408" s="30" t="s">
        <v>6103</v>
      </c>
      <c r="P2408" s="30" t="s">
        <v>6105</v>
      </c>
      <c r="Q2408" t="s">
        <v>619</v>
      </c>
      <c r="R2408" t="s">
        <v>917</v>
      </c>
      <c r="S2408">
        <v>37</v>
      </c>
      <c r="T2408" s="29" t="str">
        <f t="shared" si="104"/>
        <v>2021.005B.R.Arquatrovirinae.zip</v>
      </c>
      <c r="U2408" s="29" t="str">
        <f>HYPERLINK("https://ictv.global/taxonomy/taxondetails?taxnode_id=202313139","ictv.global=202313139")</f>
        <v>ictv.global=202313139</v>
      </c>
    </row>
    <row r="2409" spans="1:21">
      <c r="A2409">
        <v>2408</v>
      </c>
      <c r="B2409" s="30" t="s">
        <v>1587</v>
      </c>
      <c r="D2409" s="30" t="s">
        <v>1588</v>
      </c>
      <c r="F2409" s="30" t="s">
        <v>1591</v>
      </c>
      <c r="H2409" s="30" t="s">
        <v>1592</v>
      </c>
      <c r="M2409" s="30" t="s">
        <v>853</v>
      </c>
      <c r="N2409" s="30" t="s">
        <v>6103</v>
      </c>
      <c r="P2409" s="30" t="s">
        <v>6106</v>
      </c>
      <c r="Q2409" t="s">
        <v>619</v>
      </c>
      <c r="R2409" t="s">
        <v>917</v>
      </c>
      <c r="S2409">
        <v>38</v>
      </c>
      <c r="T2409" s="29" t="str">
        <f>HYPERLINK("https://ictv.global/ictv/proposals/2022.041B.Janusvirus_1nsp.zip","2022.041B.Janusvirus_1nsp.zip")</f>
        <v>2022.041B.Janusvirus_1nsp.zip</v>
      </c>
      <c r="U2409" s="29" t="str">
        <f>HYPERLINK("https://ictv.global/taxonomy/taxondetails?taxnode_id=202314639","ictv.global=202314639")</f>
        <v>ictv.global=202314639</v>
      </c>
    </row>
    <row r="2410" spans="1:21">
      <c r="A2410">
        <v>2409</v>
      </c>
      <c r="B2410" s="30" t="s">
        <v>1587</v>
      </c>
      <c r="D2410" s="30" t="s">
        <v>1588</v>
      </c>
      <c r="F2410" s="30" t="s">
        <v>1591</v>
      </c>
      <c r="H2410" s="30" t="s">
        <v>1592</v>
      </c>
      <c r="M2410" s="30" t="s">
        <v>853</v>
      </c>
      <c r="N2410" s="30" t="s">
        <v>855</v>
      </c>
      <c r="P2410" s="30" t="s">
        <v>6107</v>
      </c>
      <c r="Q2410" t="s">
        <v>619</v>
      </c>
      <c r="R2410" t="s">
        <v>918</v>
      </c>
      <c r="S2410">
        <v>37</v>
      </c>
      <c r="T2410" s="29" t="str">
        <f>HYPERLINK("https://ictv.global/ictv/proposals/2021.010B.R.Binomial_names.zip","2021.010B.R.Binomial_names.zip")</f>
        <v>2021.010B.R.Binomial_names.zip</v>
      </c>
      <c r="U2410" s="29" t="str">
        <f>HYPERLINK("https://ictv.global/taxonomy/taxondetails?taxnode_id=202300719","ictv.global=202300719")</f>
        <v>ictv.global=202300719</v>
      </c>
    </row>
    <row r="2411" spans="1:21">
      <c r="A2411">
        <v>2410</v>
      </c>
      <c r="B2411" s="30" t="s">
        <v>1587</v>
      </c>
      <c r="D2411" s="30" t="s">
        <v>1588</v>
      </c>
      <c r="F2411" s="30" t="s">
        <v>1591</v>
      </c>
      <c r="H2411" s="30" t="s">
        <v>1592</v>
      </c>
      <c r="M2411" s="30" t="s">
        <v>853</v>
      </c>
      <c r="N2411" s="30" t="s">
        <v>855</v>
      </c>
      <c r="P2411" s="30" t="s">
        <v>6108</v>
      </c>
      <c r="Q2411" t="s">
        <v>619</v>
      </c>
      <c r="R2411" t="s">
        <v>918</v>
      </c>
      <c r="S2411">
        <v>37</v>
      </c>
      <c r="T2411" s="29" t="str">
        <f>HYPERLINK("https://ictv.global/ictv/proposals/2021.010B.R.Binomial_names.zip","2021.010B.R.Binomial_names.zip")</f>
        <v>2021.010B.R.Binomial_names.zip</v>
      </c>
      <c r="U2411" s="29" t="str">
        <f>HYPERLINK("https://ictv.global/taxonomy/taxondetails?taxnode_id=202300720","ictv.global=202300720")</f>
        <v>ictv.global=202300720</v>
      </c>
    </row>
    <row r="2412" spans="1:21">
      <c r="A2412">
        <v>2411</v>
      </c>
      <c r="B2412" s="30" t="s">
        <v>1587</v>
      </c>
      <c r="D2412" s="30" t="s">
        <v>1588</v>
      </c>
      <c r="F2412" s="30" t="s">
        <v>1591</v>
      </c>
      <c r="H2412" s="30" t="s">
        <v>1592</v>
      </c>
      <c r="M2412" s="30" t="s">
        <v>853</v>
      </c>
      <c r="N2412" s="30" t="s">
        <v>855</v>
      </c>
      <c r="P2412" s="30" t="s">
        <v>6109</v>
      </c>
      <c r="Q2412" t="s">
        <v>619</v>
      </c>
      <c r="R2412" t="s">
        <v>918</v>
      </c>
      <c r="S2412">
        <v>37</v>
      </c>
      <c r="T2412" s="29" t="str">
        <f>HYPERLINK("https://ictv.global/ictv/proposals/2021.010B.R.Binomial_names.zip","2021.010B.R.Binomial_names.zip")</f>
        <v>2021.010B.R.Binomial_names.zip</v>
      </c>
      <c r="U2412" s="29" t="str">
        <f>HYPERLINK("https://ictv.global/taxonomy/taxondetails?taxnode_id=202300721","ictv.global=202300721")</f>
        <v>ictv.global=202300721</v>
      </c>
    </row>
    <row r="2413" spans="1:21">
      <c r="A2413">
        <v>2412</v>
      </c>
      <c r="B2413" s="30" t="s">
        <v>1587</v>
      </c>
      <c r="D2413" s="30" t="s">
        <v>1588</v>
      </c>
      <c r="F2413" s="30" t="s">
        <v>1591</v>
      </c>
      <c r="H2413" s="30" t="s">
        <v>1592</v>
      </c>
      <c r="M2413" s="30" t="s">
        <v>853</v>
      </c>
      <c r="N2413" s="30" t="s">
        <v>855</v>
      </c>
      <c r="P2413" s="30" t="s">
        <v>6110</v>
      </c>
      <c r="Q2413" t="s">
        <v>619</v>
      </c>
      <c r="R2413" t="s">
        <v>917</v>
      </c>
      <c r="S2413">
        <v>37</v>
      </c>
      <c r="T2413" s="29" t="str">
        <f>HYPERLINK("https://ictv.global/ictv/proposals/2021.005B.R.Arquatrovirinae.zip","2021.005B.R.Arquatrovirinae.zip")</f>
        <v>2021.005B.R.Arquatrovirinae.zip</v>
      </c>
      <c r="U2413" s="29" t="str">
        <f>HYPERLINK("https://ictv.global/taxonomy/taxondetails?taxnode_id=202313161","ictv.global=202313161")</f>
        <v>ictv.global=202313161</v>
      </c>
    </row>
    <row r="2414" spans="1:21">
      <c r="A2414">
        <v>2413</v>
      </c>
      <c r="B2414" s="30" t="s">
        <v>1587</v>
      </c>
      <c r="D2414" s="30" t="s">
        <v>1588</v>
      </c>
      <c r="F2414" s="30" t="s">
        <v>1591</v>
      </c>
      <c r="H2414" s="30" t="s">
        <v>1592</v>
      </c>
      <c r="M2414" s="30" t="s">
        <v>853</v>
      </c>
      <c r="N2414" s="30" t="s">
        <v>855</v>
      </c>
      <c r="P2414" s="30" t="s">
        <v>6111</v>
      </c>
      <c r="Q2414" t="s">
        <v>619</v>
      </c>
      <c r="R2414" t="s">
        <v>918</v>
      </c>
      <c r="S2414">
        <v>37</v>
      </c>
      <c r="T2414" s="29" t="str">
        <f>HYPERLINK("https://ictv.global/ictv/proposals/2021.010B.R.Binomial_names.zip","2021.010B.R.Binomial_names.zip")</f>
        <v>2021.010B.R.Binomial_names.zip</v>
      </c>
      <c r="U2414" s="29" t="str">
        <f>HYPERLINK("https://ictv.global/taxonomy/taxondetails?taxnode_id=202300722","ictv.global=202300722")</f>
        <v>ictv.global=202300722</v>
      </c>
    </row>
    <row r="2415" spans="1:21">
      <c r="A2415">
        <v>2414</v>
      </c>
      <c r="B2415" s="30" t="s">
        <v>1587</v>
      </c>
      <c r="D2415" s="30" t="s">
        <v>1588</v>
      </c>
      <c r="F2415" s="30" t="s">
        <v>1591</v>
      </c>
      <c r="H2415" s="30" t="s">
        <v>1592</v>
      </c>
      <c r="M2415" s="30" t="s">
        <v>853</v>
      </c>
      <c r="N2415" s="30" t="s">
        <v>855</v>
      </c>
      <c r="P2415" s="30" t="s">
        <v>6112</v>
      </c>
      <c r="Q2415" t="s">
        <v>619</v>
      </c>
      <c r="R2415" t="s">
        <v>918</v>
      </c>
      <c r="S2415">
        <v>37</v>
      </c>
      <c r="T2415" s="29" t="str">
        <f>HYPERLINK("https://ictv.global/ictv/proposals/2021.010B.R.Binomial_names.zip","2021.010B.R.Binomial_names.zip")</f>
        <v>2021.010B.R.Binomial_names.zip</v>
      </c>
      <c r="U2415" s="29" t="str">
        <f>HYPERLINK("https://ictv.global/taxonomy/taxondetails?taxnode_id=202300723","ictv.global=202300723")</f>
        <v>ictv.global=202300723</v>
      </c>
    </row>
    <row r="2416" spans="1:21">
      <c r="A2416">
        <v>2415</v>
      </c>
      <c r="B2416" s="30" t="s">
        <v>1587</v>
      </c>
      <c r="D2416" s="30" t="s">
        <v>1588</v>
      </c>
      <c r="F2416" s="30" t="s">
        <v>1591</v>
      </c>
      <c r="H2416" s="30" t="s">
        <v>1592</v>
      </c>
      <c r="M2416" s="30" t="s">
        <v>853</v>
      </c>
      <c r="N2416" s="30" t="s">
        <v>855</v>
      </c>
      <c r="P2416" s="30" t="s">
        <v>6113</v>
      </c>
      <c r="Q2416" t="s">
        <v>619</v>
      </c>
      <c r="R2416" t="s">
        <v>918</v>
      </c>
      <c r="S2416">
        <v>37</v>
      </c>
      <c r="T2416" s="29" t="str">
        <f>HYPERLINK("https://ictv.global/ictv/proposals/2021.010B.R.Binomial_names.zip","2021.010B.R.Binomial_names.zip")</f>
        <v>2021.010B.R.Binomial_names.zip</v>
      </c>
      <c r="U2416" s="29" t="str">
        <f>HYPERLINK("https://ictv.global/taxonomy/taxondetails?taxnode_id=202300724","ictv.global=202300724")</f>
        <v>ictv.global=202300724</v>
      </c>
    </row>
    <row r="2417" spans="1:21">
      <c r="A2417">
        <v>2416</v>
      </c>
      <c r="B2417" s="30" t="s">
        <v>1587</v>
      </c>
      <c r="D2417" s="30" t="s">
        <v>1588</v>
      </c>
      <c r="F2417" s="30" t="s">
        <v>1591</v>
      </c>
      <c r="H2417" s="30" t="s">
        <v>1592</v>
      </c>
      <c r="M2417" s="30" t="s">
        <v>853</v>
      </c>
      <c r="N2417" s="30" t="s">
        <v>855</v>
      </c>
      <c r="P2417" s="30" t="s">
        <v>6114</v>
      </c>
      <c r="Q2417" t="s">
        <v>619</v>
      </c>
      <c r="R2417" t="s">
        <v>918</v>
      </c>
      <c r="S2417">
        <v>37</v>
      </c>
      <c r="T2417" s="29" t="str">
        <f>HYPERLINK("https://ictv.global/ictv/proposals/2021.010B.R.Binomial_names.zip","2021.010B.R.Binomial_names.zip")</f>
        <v>2021.010B.R.Binomial_names.zip</v>
      </c>
      <c r="U2417" s="29" t="str">
        <f>HYPERLINK("https://ictv.global/taxonomy/taxondetails?taxnode_id=202300725","ictv.global=202300725")</f>
        <v>ictv.global=202300725</v>
      </c>
    </row>
    <row r="2418" spans="1:21">
      <c r="A2418">
        <v>2417</v>
      </c>
      <c r="B2418" s="30" t="s">
        <v>1587</v>
      </c>
      <c r="D2418" s="30" t="s">
        <v>1588</v>
      </c>
      <c r="F2418" s="30" t="s">
        <v>1591</v>
      </c>
      <c r="H2418" s="30" t="s">
        <v>1592</v>
      </c>
      <c r="M2418" s="30" t="s">
        <v>853</v>
      </c>
      <c r="N2418" s="30" t="s">
        <v>855</v>
      </c>
      <c r="P2418" s="30" t="s">
        <v>6115</v>
      </c>
      <c r="Q2418" t="s">
        <v>619</v>
      </c>
      <c r="R2418" t="s">
        <v>917</v>
      </c>
      <c r="S2418">
        <v>37</v>
      </c>
      <c r="T2418" s="29" t="str">
        <f>HYPERLINK("https://ictv.global/ictv/proposals/2021.005B.R.Arquatrovirinae.zip","2021.005B.R.Arquatrovirinae.zip")</f>
        <v>2021.005B.R.Arquatrovirinae.zip</v>
      </c>
      <c r="U2418" s="29" t="str">
        <f>HYPERLINK("https://ictv.global/taxonomy/taxondetails?taxnode_id=202313162","ictv.global=202313162")</f>
        <v>ictv.global=202313162</v>
      </c>
    </row>
    <row r="2419" spans="1:21">
      <c r="A2419">
        <v>2418</v>
      </c>
      <c r="B2419" s="30" t="s">
        <v>1587</v>
      </c>
      <c r="D2419" s="30" t="s">
        <v>1588</v>
      </c>
      <c r="F2419" s="30" t="s">
        <v>1591</v>
      </c>
      <c r="H2419" s="30" t="s">
        <v>1592</v>
      </c>
      <c r="M2419" s="30" t="s">
        <v>853</v>
      </c>
      <c r="N2419" s="30" t="s">
        <v>855</v>
      </c>
      <c r="P2419" s="30" t="s">
        <v>6116</v>
      </c>
      <c r="Q2419" t="s">
        <v>619</v>
      </c>
      <c r="R2419" t="s">
        <v>917</v>
      </c>
      <c r="S2419">
        <v>37</v>
      </c>
      <c r="T2419" s="29" t="str">
        <f>HYPERLINK("https://ictv.global/ictv/proposals/2021.005B.R.Arquatrovirinae.zip","2021.005B.R.Arquatrovirinae.zip")</f>
        <v>2021.005B.R.Arquatrovirinae.zip</v>
      </c>
      <c r="U2419" s="29" t="str">
        <f>HYPERLINK("https://ictv.global/taxonomy/taxondetails?taxnode_id=202313163","ictv.global=202313163")</f>
        <v>ictv.global=202313163</v>
      </c>
    </row>
    <row r="2420" spans="1:21">
      <c r="A2420">
        <v>2419</v>
      </c>
      <c r="B2420" s="30" t="s">
        <v>1587</v>
      </c>
      <c r="D2420" s="30" t="s">
        <v>1588</v>
      </c>
      <c r="F2420" s="30" t="s">
        <v>1591</v>
      </c>
      <c r="H2420" s="30" t="s">
        <v>1592</v>
      </c>
      <c r="M2420" s="30" t="s">
        <v>853</v>
      </c>
      <c r="N2420" s="30" t="s">
        <v>855</v>
      </c>
      <c r="P2420" s="30" t="s">
        <v>6117</v>
      </c>
      <c r="Q2420" t="s">
        <v>619</v>
      </c>
      <c r="R2420" t="s">
        <v>918</v>
      </c>
      <c r="S2420">
        <v>37</v>
      </c>
      <c r="T2420" s="29" t="str">
        <f>HYPERLINK("https://ictv.global/ictv/proposals/2021.010B.R.Binomial_names.zip","2021.010B.R.Binomial_names.zip")</f>
        <v>2021.010B.R.Binomial_names.zip</v>
      </c>
      <c r="U2420" s="29" t="str">
        <f>HYPERLINK("https://ictv.global/taxonomy/taxondetails?taxnode_id=202300726","ictv.global=202300726")</f>
        <v>ictv.global=202300726</v>
      </c>
    </row>
    <row r="2421" spans="1:21">
      <c r="A2421">
        <v>2420</v>
      </c>
      <c r="B2421" s="30" t="s">
        <v>1587</v>
      </c>
      <c r="D2421" s="30" t="s">
        <v>1588</v>
      </c>
      <c r="F2421" s="30" t="s">
        <v>1591</v>
      </c>
      <c r="H2421" s="30" t="s">
        <v>1592</v>
      </c>
      <c r="M2421" s="30" t="s">
        <v>853</v>
      </c>
      <c r="N2421" s="30" t="s">
        <v>855</v>
      </c>
      <c r="P2421" s="30" t="s">
        <v>6118</v>
      </c>
      <c r="Q2421" t="s">
        <v>619</v>
      </c>
      <c r="R2421" t="s">
        <v>917</v>
      </c>
      <c r="S2421">
        <v>37</v>
      </c>
      <c r="T2421" s="29" t="str">
        <f>HYPERLINK("https://ictv.global/ictv/proposals/2021.005B.R.Arquatrovirinae.zip","2021.005B.R.Arquatrovirinae.zip")</f>
        <v>2021.005B.R.Arquatrovirinae.zip</v>
      </c>
      <c r="U2421" s="29" t="str">
        <f>HYPERLINK("https://ictv.global/taxonomy/taxondetails?taxnode_id=202313160","ictv.global=202313160")</f>
        <v>ictv.global=202313160</v>
      </c>
    </row>
    <row r="2422" spans="1:21">
      <c r="A2422">
        <v>2421</v>
      </c>
      <c r="B2422" s="30" t="s">
        <v>1587</v>
      </c>
      <c r="D2422" s="30" t="s">
        <v>1588</v>
      </c>
      <c r="F2422" s="30" t="s">
        <v>1591</v>
      </c>
      <c r="H2422" s="30" t="s">
        <v>1592</v>
      </c>
      <c r="M2422" s="30" t="s">
        <v>853</v>
      </c>
      <c r="N2422" s="30" t="s">
        <v>855</v>
      </c>
      <c r="P2422" s="30" t="s">
        <v>6119</v>
      </c>
      <c r="Q2422" t="s">
        <v>619</v>
      </c>
      <c r="R2422" t="s">
        <v>917</v>
      </c>
      <c r="S2422">
        <v>37</v>
      </c>
      <c r="T2422" s="29" t="str">
        <f>HYPERLINK("https://ictv.global/ictv/proposals/2021.005B.R.Arquatrovirinae.zip","2021.005B.R.Arquatrovirinae.zip")</f>
        <v>2021.005B.R.Arquatrovirinae.zip</v>
      </c>
      <c r="U2422" s="29" t="str">
        <f>HYPERLINK("https://ictv.global/taxonomy/taxondetails?taxnode_id=202313159","ictv.global=202313159")</f>
        <v>ictv.global=202313159</v>
      </c>
    </row>
    <row r="2423" spans="1:21">
      <c r="A2423">
        <v>2422</v>
      </c>
      <c r="B2423" s="30" t="s">
        <v>1587</v>
      </c>
      <c r="D2423" s="30" t="s">
        <v>1588</v>
      </c>
      <c r="F2423" s="30" t="s">
        <v>1591</v>
      </c>
      <c r="H2423" s="30" t="s">
        <v>1592</v>
      </c>
      <c r="M2423" s="30" t="s">
        <v>853</v>
      </c>
      <c r="N2423" s="30" t="s">
        <v>855</v>
      </c>
      <c r="P2423" s="30" t="s">
        <v>6120</v>
      </c>
      <c r="Q2423" t="s">
        <v>619</v>
      </c>
      <c r="R2423" t="s">
        <v>918</v>
      </c>
      <c r="S2423">
        <v>37</v>
      </c>
      <c r="T2423" s="29" t="str">
        <f>HYPERLINK("https://ictv.global/ictv/proposals/2021.010B.R.Binomial_names.zip","2021.010B.R.Binomial_names.zip")</f>
        <v>2021.010B.R.Binomial_names.zip</v>
      </c>
      <c r="U2423" s="29" t="str">
        <f>HYPERLINK("https://ictv.global/taxonomy/taxondetails?taxnode_id=202300727","ictv.global=202300727")</f>
        <v>ictv.global=202300727</v>
      </c>
    </row>
    <row r="2424" spans="1:21">
      <c r="A2424">
        <v>2423</v>
      </c>
      <c r="B2424" s="30" t="s">
        <v>1587</v>
      </c>
      <c r="D2424" s="30" t="s">
        <v>1588</v>
      </c>
      <c r="F2424" s="30" t="s">
        <v>1591</v>
      </c>
      <c r="H2424" s="30" t="s">
        <v>1592</v>
      </c>
      <c r="M2424" s="30" t="s">
        <v>853</v>
      </c>
      <c r="N2424" s="30" t="s">
        <v>6121</v>
      </c>
      <c r="P2424" s="30" t="s">
        <v>6122</v>
      </c>
      <c r="Q2424" t="s">
        <v>619</v>
      </c>
      <c r="R2424" t="s">
        <v>917</v>
      </c>
      <c r="S2424">
        <v>37</v>
      </c>
      <c r="T2424" s="29" t="str">
        <f t="shared" ref="T2424:T2431" si="105">HYPERLINK("https://ictv.global/ictv/proposals/2021.005B.R.Arquatrovirinae.zip","2021.005B.R.Arquatrovirinae.zip")</f>
        <v>2021.005B.R.Arquatrovirinae.zip</v>
      </c>
      <c r="U2424" s="29" t="str">
        <f>HYPERLINK("https://ictv.global/taxonomy/taxondetails?taxnode_id=202313144","ictv.global=202313144")</f>
        <v>ictv.global=202313144</v>
      </c>
    </row>
    <row r="2425" spans="1:21">
      <c r="A2425">
        <v>2424</v>
      </c>
      <c r="B2425" s="30" t="s">
        <v>1587</v>
      </c>
      <c r="D2425" s="30" t="s">
        <v>1588</v>
      </c>
      <c r="F2425" s="30" t="s">
        <v>1591</v>
      </c>
      <c r="H2425" s="30" t="s">
        <v>1592</v>
      </c>
      <c r="M2425" s="30" t="s">
        <v>853</v>
      </c>
      <c r="N2425" s="30" t="s">
        <v>6121</v>
      </c>
      <c r="P2425" s="30" t="s">
        <v>6123</v>
      </c>
      <c r="Q2425" t="s">
        <v>619</v>
      </c>
      <c r="R2425" t="s">
        <v>917</v>
      </c>
      <c r="S2425">
        <v>37</v>
      </c>
      <c r="T2425" s="29" t="str">
        <f t="shared" si="105"/>
        <v>2021.005B.R.Arquatrovirinae.zip</v>
      </c>
      <c r="U2425" s="29" t="str">
        <f>HYPERLINK("https://ictv.global/taxonomy/taxondetails?taxnode_id=202313143","ictv.global=202313143")</f>
        <v>ictv.global=202313143</v>
      </c>
    </row>
    <row r="2426" spans="1:21">
      <c r="A2426">
        <v>2425</v>
      </c>
      <c r="B2426" s="30" t="s">
        <v>1587</v>
      </c>
      <c r="D2426" s="30" t="s">
        <v>1588</v>
      </c>
      <c r="F2426" s="30" t="s">
        <v>1591</v>
      </c>
      <c r="H2426" s="30" t="s">
        <v>1592</v>
      </c>
      <c r="M2426" s="30" t="s">
        <v>853</v>
      </c>
      <c r="N2426" s="30" t="s">
        <v>6121</v>
      </c>
      <c r="P2426" s="30" t="s">
        <v>6124</v>
      </c>
      <c r="Q2426" t="s">
        <v>619</v>
      </c>
      <c r="R2426" t="s">
        <v>917</v>
      </c>
      <c r="S2426">
        <v>37</v>
      </c>
      <c r="T2426" s="29" t="str">
        <f t="shared" si="105"/>
        <v>2021.005B.R.Arquatrovirinae.zip</v>
      </c>
      <c r="U2426" s="29" t="str">
        <f>HYPERLINK("https://ictv.global/taxonomy/taxondetails?taxnode_id=202313142","ictv.global=202313142")</f>
        <v>ictv.global=202313142</v>
      </c>
    </row>
    <row r="2427" spans="1:21">
      <c r="A2427">
        <v>2426</v>
      </c>
      <c r="B2427" s="30" t="s">
        <v>1587</v>
      </c>
      <c r="D2427" s="30" t="s">
        <v>1588</v>
      </c>
      <c r="F2427" s="30" t="s">
        <v>1591</v>
      </c>
      <c r="H2427" s="30" t="s">
        <v>1592</v>
      </c>
      <c r="M2427" s="30" t="s">
        <v>853</v>
      </c>
      <c r="N2427" s="30" t="s">
        <v>6121</v>
      </c>
      <c r="P2427" s="30" t="s">
        <v>6125</v>
      </c>
      <c r="Q2427" t="s">
        <v>619</v>
      </c>
      <c r="R2427" t="s">
        <v>917</v>
      </c>
      <c r="S2427">
        <v>37</v>
      </c>
      <c r="T2427" s="29" t="str">
        <f t="shared" si="105"/>
        <v>2021.005B.R.Arquatrovirinae.zip</v>
      </c>
      <c r="U2427" s="29" t="str">
        <f>HYPERLINK("https://ictv.global/taxonomy/taxondetails?taxnode_id=202313145","ictv.global=202313145")</f>
        <v>ictv.global=202313145</v>
      </c>
    </row>
    <row r="2428" spans="1:21">
      <c r="A2428">
        <v>2427</v>
      </c>
      <c r="B2428" s="30" t="s">
        <v>1587</v>
      </c>
      <c r="D2428" s="30" t="s">
        <v>1588</v>
      </c>
      <c r="F2428" s="30" t="s">
        <v>1591</v>
      </c>
      <c r="H2428" s="30" t="s">
        <v>1592</v>
      </c>
      <c r="M2428" s="30" t="s">
        <v>853</v>
      </c>
      <c r="N2428" s="30" t="s">
        <v>6126</v>
      </c>
      <c r="P2428" s="30" t="s">
        <v>6127</v>
      </c>
      <c r="Q2428" t="s">
        <v>619</v>
      </c>
      <c r="R2428" t="s">
        <v>917</v>
      </c>
      <c r="S2428">
        <v>37</v>
      </c>
      <c r="T2428" s="29" t="str">
        <f t="shared" si="105"/>
        <v>2021.005B.R.Arquatrovirinae.zip</v>
      </c>
      <c r="U2428" s="29" t="str">
        <f>HYPERLINK("https://ictv.global/taxonomy/taxondetails?taxnode_id=202313134","ictv.global=202313134")</f>
        <v>ictv.global=202313134</v>
      </c>
    </row>
    <row r="2429" spans="1:21">
      <c r="A2429">
        <v>2428</v>
      </c>
      <c r="B2429" s="30" t="s">
        <v>1587</v>
      </c>
      <c r="D2429" s="30" t="s">
        <v>1588</v>
      </c>
      <c r="F2429" s="30" t="s">
        <v>1591</v>
      </c>
      <c r="H2429" s="30" t="s">
        <v>1592</v>
      </c>
      <c r="M2429" s="30" t="s">
        <v>853</v>
      </c>
      <c r="N2429" s="30" t="s">
        <v>6128</v>
      </c>
      <c r="P2429" s="30" t="s">
        <v>6129</v>
      </c>
      <c r="Q2429" t="s">
        <v>619</v>
      </c>
      <c r="R2429" t="s">
        <v>917</v>
      </c>
      <c r="S2429">
        <v>37</v>
      </c>
      <c r="T2429" s="29" t="str">
        <f t="shared" si="105"/>
        <v>2021.005B.R.Arquatrovirinae.zip</v>
      </c>
      <c r="U2429" s="29" t="str">
        <f>HYPERLINK("https://ictv.global/taxonomy/taxondetails?taxnode_id=202313136","ictv.global=202313136")</f>
        <v>ictv.global=202313136</v>
      </c>
    </row>
    <row r="2430" spans="1:21">
      <c r="A2430">
        <v>2429</v>
      </c>
      <c r="B2430" s="30" t="s">
        <v>1587</v>
      </c>
      <c r="D2430" s="30" t="s">
        <v>1588</v>
      </c>
      <c r="F2430" s="30" t="s">
        <v>1591</v>
      </c>
      <c r="H2430" s="30" t="s">
        <v>1592</v>
      </c>
      <c r="M2430" s="30" t="s">
        <v>853</v>
      </c>
      <c r="N2430" s="30" t="s">
        <v>6128</v>
      </c>
      <c r="P2430" s="30" t="s">
        <v>6130</v>
      </c>
      <c r="Q2430" t="s">
        <v>619</v>
      </c>
      <c r="R2430" t="s">
        <v>917</v>
      </c>
      <c r="S2430">
        <v>37</v>
      </c>
      <c r="T2430" s="29" t="str">
        <f t="shared" si="105"/>
        <v>2021.005B.R.Arquatrovirinae.zip</v>
      </c>
      <c r="U2430" s="29" t="str">
        <f>HYPERLINK("https://ictv.global/taxonomy/taxondetails?taxnode_id=202313137","ictv.global=202313137")</f>
        <v>ictv.global=202313137</v>
      </c>
    </row>
    <row r="2431" spans="1:21">
      <c r="A2431">
        <v>2430</v>
      </c>
      <c r="B2431" s="30" t="s">
        <v>1587</v>
      </c>
      <c r="D2431" s="30" t="s">
        <v>1588</v>
      </c>
      <c r="F2431" s="30" t="s">
        <v>1591</v>
      </c>
      <c r="H2431" s="30" t="s">
        <v>1592</v>
      </c>
      <c r="M2431" s="30" t="s">
        <v>853</v>
      </c>
      <c r="N2431" s="30" t="s">
        <v>6131</v>
      </c>
      <c r="P2431" s="30" t="s">
        <v>6132</v>
      </c>
      <c r="Q2431" t="s">
        <v>619</v>
      </c>
      <c r="R2431" t="s">
        <v>917</v>
      </c>
      <c r="S2431">
        <v>37</v>
      </c>
      <c r="T2431" s="29" t="str">
        <f t="shared" si="105"/>
        <v>2021.005B.R.Arquatrovirinae.zip</v>
      </c>
      <c r="U2431" s="29" t="str">
        <f>HYPERLINK("https://ictv.global/taxonomy/taxondetails?taxnode_id=202313132","ictv.global=202313132")</f>
        <v>ictv.global=202313132</v>
      </c>
    </row>
    <row r="2432" spans="1:21">
      <c r="A2432">
        <v>2431</v>
      </c>
      <c r="B2432" s="30" t="s">
        <v>1587</v>
      </c>
      <c r="D2432" s="30" t="s">
        <v>1588</v>
      </c>
      <c r="F2432" s="30" t="s">
        <v>1591</v>
      </c>
      <c r="H2432" s="30" t="s">
        <v>1592</v>
      </c>
      <c r="M2432" s="30" t="s">
        <v>6133</v>
      </c>
      <c r="N2432" s="30" t="s">
        <v>6134</v>
      </c>
      <c r="P2432" s="30" t="s">
        <v>6135</v>
      </c>
      <c r="Q2432" t="s">
        <v>619</v>
      </c>
      <c r="R2432" t="s">
        <v>917</v>
      </c>
      <c r="S2432">
        <v>38</v>
      </c>
      <c r="T2432" s="29" t="str">
        <f t="shared" ref="T2432:T2447" si="106">HYPERLINK("https://ictv.global/ictv/proposals/2022.010B.Azeevirinae_nsf.zip","2022.010B.Azeevirinae_nsf.zip")</f>
        <v>2022.010B.Azeevirinae_nsf.zip</v>
      </c>
      <c r="U2432" s="29" t="str">
        <f>HYPERLINK("https://ictv.global/taxonomy/taxondetails?taxnode_id=202314510","ictv.global=202314510")</f>
        <v>ictv.global=202314510</v>
      </c>
    </row>
    <row r="2433" spans="1:21">
      <c r="A2433">
        <v>2432</v>
      </c>
      <c r="B2433" s="30" t="s">
        <v>1587</v>
      </c>
      <c r="D2433" s="30" t="s">
        <v>1588</v>
      </c>
      <c r="F2433" s="30" t="s">
        <v>1591</v>
      </c>
      <c r="H2433" s="30" t="s">
        <v>1592</v>
      </c>
      <c r="M2433" s="30" t="s">
        <v>6133</v>
      </c>
      <c r="N2433" s="30" t="s">
        <v>1915</v>
      </c>
      <c r="P2433" s="30" t="s">
        <v>2462</v>
      </c>
      <c r="Q2433" t="s">
        <v>619</v>
      </c>
      <c r="R2433" t="s">
        <v>919</v>
      </c>
      <c r="S2433">
        <v>38</v>
      </c>
      <c r="T2433" s="29" t="str">
        <f t="shared" si="106"/>
        <v>2022.010B.Azeevirinae_nsf.zip</v>
      </c>
      <c r="U2433" s="29" t="str">
        <f>HYPERLINK("https://ictv.global/taxonomy/taxondetails?taxnode_id=202308063","ictv.global=202308063")</f>
        <v>ictv.global=202308063</v>
      </c>
    </row>
    <row r="2434" spans="1:21">
      <c r="A2434">
        <v>2433</v>
      </c>
      <c r="B2434" s="30" t="s">
        <v>1587</v>
      </c>
      <c r="D2434" s="30" t="s">
        <v>1588</v>
      </c>
      <c r="F2434" s="30" t="s">
        <v>1591</v>
      </c>
      <c r="H2434" s="30" t="s">
        <v>1592</v>
      </c>
      <c r="M2434" s="30" t="s">
        <v>6133</v>
      </c>
      <c r="N2434" s="30" t="s">
        <v>1920</v>
      </c>
      <c r="P2434" s="30" t="s">
        <v>6136</v>
      </c>
      <c r="Q2434" t="s">
        <v>619</v>
      </c>
      <c r="R2434" t="s">
        <v>917</v>
      </c>
      <c r="S2434">
        <v>38</v>
      </c>
      <c r="T2434" s="29" t="str">
        <f t="shared" si="106"/>
        <v>2022.010B.Azeevirinae_nsf.zip</v>
      </c>
      <c r="U2434" s="29" t="str">
        <f>HYPERLINK("https://ictv.global/taxonomy/taxondetails?taxnode_id=202314508","ictv.global=202314508")</f>
        <v>ictv.global=202314508</v>
      </c>
    </row>
    <row r="2435" spans="1:21">
      <c r="A2435">
        <v>2434</v>
      </c>
      <c r="B2435" s="30" t="s">
        <v>1587</v>
      </c>
      <c r="D2435" s="30" t="s">
        <v>1588</v>
      </c>
      <c r="F2435" s="30" t="s">
        <v>1591</v>
      </c>
      <c r="H2435" s="30" t="s">
        <v>1592</v>
      </c>
      <c r="M2435" s="30" t="s">
        <v>6133</v>
      </c>
      <c r="N2435" s="30" t="s">
        <v>1920</v>
      </c>
      <c r="P2435" s="30" t="s">
        <v>6137</v>
      </c>
      <c r="Q2435" t="s">
        <v>619</v>
      </c>
      <c r="R2435" t="s">
        <v>919</v>
      </c>
      <c r="S2435">
        <v>38</v>
      </c>
      <c r="T2435" s="29" t="str">
        <f t="shared" si="106"/>
        <v>2022.010B.Azeevirinae_nsf.zip</v>
      </c>
      <c r="U2435" s="29" t="str">
        <f>HYPERLINK("https://ictv.global/taxonomy/taxondetails?taxnode_id=202308065","ictv.global=202308065")</f>
        <v>ictv.global=202308065</v>
      </c>
    </row>
    <row r="2436" spans="1:21">
      <c r="A2436">
        <v>2435</v>
      </c>
      <c r="B2436" s="30" t="s">
        <v>1587</v>
      </c>
      <c r="D2436" s="30" t="s">
        <v>1588</v>
      </c>
      <c r="F2436" s="30" t="s">
        <v>1591</v>
      </c>
      <c r="H2436" s="30" t="s">
        <v>1592</v>
      </c>
      <c r="M2436" s="30" t="s">
        <v>6133</v>
      </c>
      <c r="N2436" s="30" t="s">
        <v>1920</v>
      </c>
      <c r="P2436" s="30" t="s">
        <v>6138</v>
      </c>
      <c r="Q2436" t="s">
        <v>619</v>
      </c>
      <c r="R2436" t="s">
        <v>917</v>
      </c>
      <c r="S2436">
        <v>38</v>
      </c>
      <c r="T2436" s="29" t="str">
        <f t="shared" si="106"/>
        <v>2022.010B.Azeevirinae_nsf.zip</v>
      </c>
      <c r="U2436" s="29" t="str">
        <f>HYPERLINK("https://ictv.global/taxonomy/taxondetails?taxnode_id=202314509","ictv.global=202314509")</f>
        <v>ictv.global=202314509</v>
      </c>
    </row>
    <row r="2437" spans="1:21">
      <c r="A2437">
        <v>2436</v>
      </c>
      <c r="B2437" s="30" t="s">
        <v>1587</v>
      </c>
      <c r="D2437" s="30" t="s">
        <v>1588</v>
      </c>
      <c r="F2437" s="30" t="s">
        <v>1591</v>
      </c>
      <c r="H2437" s="30" t="s">
        <v>1592</v>
      </c>
      <c r="M2437" s="30" t="s">
        <v>6133</v>
      </c>
      <c r="N2437" s="30" t="s">
        <v>1920</v>
      </c>
      <c r="P2437" s="30" t="s">
        <v>6139</v>
      </c>
      <c r="Q2437" t="s">
        <v>619</v>
      </c>
      <c r="R2437" t="s">
        <v>917</v>
      </c>
      <c r="S2437">
        <v>38</v>
      </c>
      <c r="T2437" s="29" t="str">
        <f t="shared" si="106"/>
        <v>2022.010B.Azeevirinae_nsf.zip</v>
      </c>
      <c r="U2437" s="29" t="str">
        <f>HYPERLINK("https://ictv.global/taxonomy/taxondetails?taxnode_id=202314506","ictv.global=202314506")</f>
        <v>ictv.global=202314506</v>
      </c>
    </row>
    <row r="2438" spans="1:21">
      <c r="A2438">
        <v>2437</v>
      </c>
      <c r="B2438" s="30" t="s">
        <v>1587</v>
      </c>
      <c r="D2438" s="30" t="s">
        <v>1588</v>
      </c>
      <c r="F2438" s="30" t="s">
        <v>1591</v>
      </c>
      <c r="H2438" s="30" t="s">
        <v>1592</v>
      </c>
      <c r="M2438" s="30" t="s">
        <v>6133</v>
      </c>
      <c r="N2438" s="30" t="s">
        <v>1920</v>
      </c>
      <c r="P2438" s="30" t="s">
        <v>6140</v>
      </c>
      <c r="Q2438" t="s">
        <v>619</v>
      </c>
      <c r="R2438" t="s">
        <v>917</v>
      </c>
      <c r="S2438">
        <v>38</v>
      </c>
      <c r="T2438" s="29" t="str">
        <f t="shared" si="106"/>
        <v>2022.010B.Azeevirinae_nsf.zip</v>
      </c>
      <c r="U2438" s="29" t="str">
        <f>HYPERLINK("https://ictv.global/taxonomy/taxondetails?taxnode_id=202314507","ictv.global=202314507")</f>
        <v>ictv.global=202314507</v>
      </c>
    </row>
    <row r="2439" spans="1:21">
      <c r="A2439">
        <v>2438</v>
      </c>
      <c r="B2439" s="30" t="s">
        <v>1587</v>
      </c>
      <c r="D2439" s="30" t="s">
        <v>1588</v>
      </c>
      <c r="F2439" s="30" t="s">
        <v>1591</v>
      </c>
      <c r="H2439" s="30" t="s">
        <v>1592</v>
      </c>
      <c r="M2439" s="30" t="s">
        <v>6133</v>
      </c>
      <c r="N2439" s="30" t="s">
        <v>1954</v>
      </c>
      <c r="P2439" s="30" t="s">
        <v>6141</v>
      </c>
      <c r="Q2439" t="s">
        <v>619</v>
      </c>
      <c r="R2439" t="s">
        <v>917</v>
      </c>
      <c r="S2439">
        <v>38</v>
      </c>
      <c r="T2439" s="29" t="str">
        <f t="shared" si="106"/>
        <v>2022.010B.Azeevirinae_nsf.zip</v>
      </c>
      <c r="U2439" s="29" t="str">
        <f>HYPERLINK("https://ictv.global/taxonomy/taxondetails?taxnode_id=202314503","ictv.global=202314503")</f>
        <v>ictv.global=202314503</v>
      </c>
    </row>
    <row r="2440" spans="1:21">
      <c r="A2440">
        <v>2439</v>
      </c>
      <c r="B2440" s="30" t="s">
        <v>1587</v>
      </c>
      <c r="D2440" s="30" t="s">
        <v>1588</v>
      </c>
      <c r="F2440" s="30" t="s">
        <v>1591</v>
      </c>
      <c r="H2440" s="30" t="s">
        <v>1592</v>
      </c>
      <c r="M2440" s="30" t="s">
        <v>6133</v>
      </c>
      <c r="N2440" s="30" t="s">
        <v>1954</v>
      </c>
      <c r="P2440" s="30" t="s">
        <v>6142</v>
      </c>
      <c r="Q2440" t="s">
        <v>619</v>
      </c>
      <c r="R2440" t="s">
        <v>917</v>
      </c>
      <c r="S2440">
        <v>38</v>
      </c>
      <c r="T2440" s="29" t="str">
        <f t="shared" si="106"/>
        <v>2022.010B.Azeevirinae_nsf.zip</v>
      </c>
      <c r="U2440" s="29" t="str">
        <f>HYPERLINK("https://ictv.global/taxonomy/taxondetails?taxnode_id=202314500","ictv.global=202314500")</f>
        <v>ictv.global=202314500</v>
      </c>
    </row>
    <row r="2441" spans="1:21">
      <c r="A2441">
        <v>2440</v>
      </c>
      <c r="B2441" s="30" t="s">
        <v>1587</v>
      </c>
      <c r="D2441" s="30" t="s">
        <v>1588</v>
      </c>
      <c r="F2441" s="30" t="s">
        <v>1591</v>
      </c>
      <c r="H2441" s="30" t="s">
        <v>1592</v>
      </c>
      <c r="M2441" s="30" t="s">
        <v>6133</v>
      </c>
      <c r="N2441" s="30" t="s">
        <v>1954</v>
      </c>
      <c r="P2441" s="30" t="s">
        <v>6143</v>
      </c>
      <c r="Q2441" t="s">
        <v>619</v>
      </c>
      <c r="R2441" t="s">
        <v>917</v>
      </c>
      <c r="S2441">
        <v>38</v>
      </c>
      <c r="T2441" s="29" t="str">
        <f t="shared" si="106"/>
        <v>2022.010B.Azeevirinae_nsf.zip</v>
      </c>
      <c r="U2441" s="29" t="str">
        <f>HYPERLINK("https://ictv.global/taxonomy/taxondetails?taxnode_id=202314504","ictv.global=202314504")</f>
        <v>ictv.global=202314504</v>
      </c>
    </row>
    <row r="2442" spans="1:21">
      <c r="A2442">
        <v>2441</v>
      </c>
      <c r="B2442" s="30" t="s">
        <v>1587</v>
      </c>
      <c r="D2442" s="30" t="s">
        <v>1588</v>
      </c>
      <c r="F2442" s="30" t="s">
        <v>1591</v>
      </c>
      <c r="H2442" s="30" t="s">
        <v>1592</v>
      </c>
      <c r="M2442" s="30" t="s">
        <v>6133</v>
      </c>
      <c r="N2442" s="30" t="s">
        <v>1954</v>
      </c>
      <c r="P2442" s="30" t="s">
        <v>6144</v>
      </c>
      <c r="Q2442" t="s">
        <v>619</v>
      </c>
      <c r="R2442" t="s">
        <v>917</v>
      </c>
      <c r="S2442">
        <v>38</v>
      </c>
      <c r="T2442" s="29" t="str">
        <f t="shared" si="106"/>
        <v>2022.010B.Azeevirinae_nsf.zip</v>
      </c>
      <c r="U2442" s="29" t="str">
        <f>HYPERLINK("https://ictv.global/taxonomy/taxondetails?taxnode_id=202314505","ictv.global=202314505")</f>
        <v>ictv.global=202314505</v>
      </c>
    </row>
    <row r="2443" spans="1:21">
      <c r="A2443">
        <v>2442</v>
      </c>
      <c r="B2443" s="30" t="s">
        <v>1587</v>
      </c>
      <c r="D2443" s="30" t="s">
        <v>1588</v>
      </c>
      <c r="F2443" s="30" t="s">
        <v>1591</v>
      </c>
      <c r="H2443" s="30" t="s">
        <v>1592</v>
      </c>
      <c r="M2443" s="30" t="s">
        <v>6133</v>
      </c>
      <c r="N2443" s="30" t="s">
        <v>1954</v>
      </c>
      <c r="P2443" s="30" t="s">
        <v>6145</v>
      </c>
      <c r="Q2443" t="s">
        <v>619</v>
      </c>
      <c r="R2443" t="s">
        <v>917</v>
      </c>
      <c r="S2443">
        <v>38</v>
      </c>
      <c r="T2443" s="29" t="str">
        <f t="shared" si="106"/>
        <v>2022.010B.Azeevirinae_nsf.zip</v>
      </c>
      <c r="U2443" s="29" t="str">
        <f>HYPERLINK("https://ictv.global/taxonomy/taxondetails?taxnode_id=202314498","ictv.global=202314498")</f>
        <v>ictv.global=202314498</v>
      </c>
    </row>
    <row r="2444" spans="1:21">
      <c r="A2444">
        <v>2443</v>
      </c>
      <c r="B2444" s="30" t="s">
        <v>1587</v>
      </c>
      <c r="D2444" s="30" t="s">
        <v>1588</v>
      </c>
      <c r="F2444" s="30" t="s">
        <v>1591</v>
      </c>
      <c r="H2444" s="30" t="s">
        <v>1592</v>
      </c>
      <c r="M2444" s="30" t="s">
        <v>6133</v>
      </c>
      <c r="N2444" s="30" t="s">
        <v>1954</v>
      </c>
      <c r="P2444" s="30" t="s">
        <v>6146</v>
      </c>
      <c r="Q2444" t="s">
        <v>619</v>
      </c>
      <c r="R2444" t="s">
        <v>917</v>
      </c>
      <c r="S2444">
        <v>38</v>
      </c>
      <c r="T2444" s="29" t="str">
        <f t="shared" si="106"/>
        <v>2022.010B.Azeevirinae_nsf.zip</v>
      </c>
      <c r="U2444" s="29" t="str">
        <f>HYPERLINK("https://ictv.global/taxonomy/taxondetails?taxnode_id=202314499","ictv.global=202314499")</f>
        <v>ictv.global=202314499</v>
      </c>
    </row>
    <row r="2445" spans="1:21">
      <c r="A2445">
        <v>2444</v>
      </c>
      <c r="B2445" s="30" t="s">
        <v>1587</v>
      </c>
      <c r="D2445" s="30" t="s">
        <v>1588</v>
      </c>
      <c r="F2445" s="30" t="s">
        <v>1591</v>
      </c>
      <c r="H2445" s="30" t="s">
        <v>1592</v>
      </c>
      <c r="M2445" s="30" t="s">
        <v>6133</v>
      </c>
      <c r="N2445" s="30" t="s">
        <v>1954</v>
      </c>
      <c r="P2445" s="30" t="s">
        <v>6147</v>
      </c>
      <c r="Q2445" t="s">
        <v>619</v>
      </c>
      <c r="R2445" t="s">
        <v>917</v>
      </c>
      <c r="S2445">
        <v>38</v>
      </c>
      <c r="T2445" s="29" t="str">
        <f t="shared" si="106"/>
        <v>2022.010B.Azeevirinae_nsf.zip</v>
      </c>
      <c r="U2445" s="29" t="str">
        <f>HYPERLINK("https://ictv.global/taxonomy/taxondetails?taxnode_id=202314501","ictv.global=202314501")</f>
        <v>ictv.global=202314501</v>
      </c>
    </row>
    <row r="2446" spans="1:21">
      <c r="A2446">
        <v>2445</v>
      </c>
      <c r="B2446" s="30" t="s">
        <v>1587</v>
      </c>
      <c r="D2446" s="30" t="s">
        <v>1588</v>
      </c>
      <c r="F2446" s="30" t="s">
        <v>1591</v>
      </c>
      <c r="H2446" s="30" t="s">
        <v>1592</v>
      </c>
      <c r="M2446" s="30" t="s">
        <v>6133</v>
      </c>
      <c r="N2446" s="30" t="s">
        <v>1954</v>
      </c>
      <c r="P2446" s="30" t="s">
        <v>6148</v>
      </c>
      <c r="Q2446" t="s">
        <v>619</v>
      </c>
      <c r="R2446" t="s">
        <v>917</v>
      </c>
      <c r="S2446">
        <v>38</v>
      </c>
      <c r="T2446" s="29" t="str">
        <f t="shared" si="106"/>
        <v>2022.010B.Azeevirinae_nsf.zip</v>
      </c>
      <c r="U2446" s="29" t="str">
        <f>HYPERLINK("https://ictv.global/taxonomy/taxondetails?taxnode_id=202314502","ictv.global=202314502")</f>
        <v>ictv.global=202314502</v>
      </c>
    </row>
    <row r="2447" spans="1:21">
      <c r="A2447">
        <v>2446</v>
      </c>
      <c r="B2447" s="30" t="s">
        <v>1587</v>
      </c>
      <c r="D2447" s="30" t="s">
        <v>1588</v>
      </c>
      <c r="F2447" s="30" t="s">
        <v>1591</v>
      </c>
      <c r="H2447" s="30" t="s">
        <v>1592</v>
      </c>
      <c r="M2447" s="30" t="s">
        <v>6133</v>
      </c>
      <c r="N2447" s="30" t="s">
        <v>1954</v>
      </c>
      <c r="P2447" s="30" t="s">
        <v>6149</v>
      </c>
      <c r="Q2447" t="s">
        <v>619</v>
      </c>
      <c r="R2447" t="s">
        <v>919</v>
      </c>
      <c r="S2447">
        <v>38</v>
      </c>
      <c r="T2447" s="29" t="str">
        <f t="shared" si="106"/>
        <v>2022.010B.Azeevirinae_nsf.zip</v>
      </c>
      <c r="U2447" s="29" t="str">
        <f>HYPERLINK("https://ictv.global/taxonomy/taxondetails?taxnode_id=202308061","ictv.global=202308061")</f>
        <v>ictv.global=202308061</v>
      </c>
    </row>
    <row r="2448" spans="1:21">
      <c r="A2448">
        <v>2447</v>
      </c>
      <c r="B2448" s="30" t="s">
        <v>1587</v>
      </c>
      <c r="D2448" s="30" t="s">
        <v>1588</v>
      </c>
      <c r="F2448" s="30" t="s">
        <v>1591</v>
      </c>
      <c r="H2448" s="30" t="s">
        <v>1592</v>
      </c>
      <c r="M2448" s="30" t="s">
        <v>2376</v>
      </c>
      <c r="N2448" s="30" t="s">
        <v>2377</v>
      </c>
      <c r="P2448" s="30" t="s">
        <v>6150</v>
      </c>
      <c r="Q2448" t="s">
        <v>619</v>
      </c>
      <c r="R2448" t="s">
        <v>918</v>
      </c>
      <c r="S2448">
        <v>37</v>
      </c>
      <c r="T2448" s="29" t="str">
        <f t="shared" ref="T2448:T2479" si="107">HYPERLINK("https://ictv.global/ictv/proposals/2021.010B.R.Binomial_names.zip","2021.010B.R.Binomial_names.zip")</f>
        <v>2021.010B.R.Binomial_names.zip</v>
      </c>
      <c r="U2448" s="29" t="str">
        <f>HYPERLINK("https://ictv.global/taxonomy/taxondetails?taxnode_id=202309559","ictv.global=202309559")</f>
        <v>ictv.global=202309559</v>
      </c>
    </row>
    <row r="2449" spans="1:21">
      <c r="A2449">
        <v>2448</v>
      </c>
      <c r="B2449" s="30" t="s">
        <v>1587</v>
      </c>
      <c r="D2449" s="30" t="s">
        <v>1588</v>
      </c>
      <c r="F2449" s="30" t="s">
        <v>1591</v>
      </c>
      <c r="H2449" s="30" t="s">
        <v>1592</v>
      </c>
      <c r="M2449" s="30" t="s">
        <v>2376</v>
      </c>
      <c r="N2449" s="30" t="s">
        <v>2377</v>
      </c>
      <c r="P2449" s="30" t="s">
        <v>6151</v>
      </c>
      <c r="Q2449" t="s">
        <v>619</v>
      </c>
      <c r="R2449" t="s">
        <v>918</v>
      </c>
      <c r="S2449">
        <v>37</v>
      </c>
      <c r="T2449" s="29" t="str">
        <f t="shared" si="107"/>
        <v>2021.010B.R.Binomial_names.zip</v>
      </c>
      <c r="U2449" s="29" t="str">
        <f>HYPERLINK("https://ictv.global/taxonomy/taxondetails?taxnode_id=202301195","ictv.global=202301195")</f>
        <v>ictv.global=202301195</v>
      </c>
    </row>
    <row r="2450" spans="1:21">
      <c r="A2450">
        <v>2449</v>
      </c>
      <c r="B2450" s="30" t="s">
        <v>1587</v>
      </c>
      <c r="D2450" s="30" t="s">
        <v>1588</v>
      </c>
      <c r="F2450" s="30" t="s">
        <v>1591</v>
      </c>
      <c r="H2450" s="30" t="s">
        <v>1592</v>
      </c>
      <c r="M2450" s="30" t="s">
        <v>2376</v>
      </c>
      <c r="N2450" s="30" t="s">
        <v>2377</v>
      </c>
      <c r="P2450" s="30" t="s">
        <v>6152</v>
      </c>
      <c r="Q2450" t="s">
        <v>619</v>
      </c>
      <c r="R2450" t="s">
        <v>918</v>
      </c>
      <c r="S2450">
        <v>37</v>
      </c>
      <c r="T2450" s="29" t="str">
        <f t="shared" si="107"/>
        <v>2021.010B.R.Binomial_names.zip</v>
      </c>
      <c r="U2450" s="29" t="str">
        <f>HYPERLINK("https://ictv.global/taxonomy/taxondetails?taxnode_id=202301198","ictv.global=202301198")</f>
        <v>ictv.global=202301198</v>
      </c>
    </row>
    <row r="2451" spans="1:21">
      <c r="A2451">
        <v>2450</v>
      </c>
      <c r="B2451" s="30" t="s">
        <v>1587</v>
      </c>
      <c r="D2451" s="30" t="s">
        <v>1588</v>
      </c>
      <c r="F2451" s="30" t="s">
        <v>1591</v>
      </c>
      <c r="H2451" s="30" t="s">
        <v>1592</v>
      </c>
      <c r="M2451" s="30" t="s">
        <v>2376</v>
      </c>
      <c r="N2451" s="30" t="s">
        <v>2377</v>
      </c>
      <c r="P2451" s="30" t="s">
        <v>6153</v>
      </c>
      <c r="Q2451" t="s">
        <v>619</v>
      </c>
      <c r="R2451" t="s">
        <v>918</v>
      </c>
      <c r="S2451">
        <v>37</v>
      </c>
      <c r="T2451" s="29" t="str">
        <f t="shared" si="107"/>
        <v>2021.010B.R.Binomial_names.zip</v>
      </c>
      <c r="U2451" s="29" t="str">
        <f>HYPERLINK("https://ictv.global/taxonomy/taxondetails?taxnode_id=202301200","ictv.global=202301200")</f>
        <v>ictv.global=202301200</v>
      </c>
    </row>
    <row r="2452" spans="1:21">
      <c r="A2452">
        <v>2451</v>
      </c>
      <c r="B2452" s="30" t="s">
        <v>1587</v>
      </c>
      <c r="D2452" s="30" t="s">
        <v>1588</v>
      </c>
      <c r="F2452" s="30" t="s">
        <v>1591</v>
      </c>
      <c r="H2452" s="30" t="s">
        <v>1592</v>
      </c>
      <c r="M2452" s="30" t="s">
        <v>2376</v>
      </c>
      <c r="N2452" s="30" t="s">
        <v>2377</v>
      </c>
      <c r="P2452" s="30" t="s">
        <v>6154</v>
      </c>
      <c r="Q2452" t="s">
        <v>619</v>
      </c>
      <c r="R2452" t="s">
        <v>918</v>
      </c>
      <c r="S2452">
        <v>37</v>
      </c>
      <c r="T2452" s="29" t="str">
        <f t="shared" si="107"/>
        <v>2021.010B.R.Binomial_names.zip</v>
      </c>
      <c r="U2452" s="29" t="str">
        <f>HYPERLINK("https://ictv.global/taxonomy/taxondetails?taxnode_id=202301203","ictv.global=202301203")</f>
        <v>ictv.global=202301203</v>
      </c>
    </row>
    <row r="2453" spans="1:21">
      <c r="A2453">
        <v>2452</v>
      </c>
      <c r="B2453" s="30" t="s">
        <v>1587</v>
      </c>
      <c r="D2453" s="30" t="s">
        <v>1588</v>
      </c>
      <c r="F2453" s="30" t="s">
        <v>1591</v>
      </c>
      <c r="H2453" s="30" t="s">
        <v>1592</v>
      </c>
      <c r="M2453" s="30" t="s">
        <v>2376</v>
      </c>
      <c r="N2453" s="30" t="s">
        <v>2377</v>
      </c>
      <c r="P2453" s="30" t="s">
        <v>6155</v>
      </c>
      <c r="Q2453" t="s">
        <v>619</v>
      </c>
      <c r="R2453" t="s">
        <v>918</v>
      </c>
      <c r="S2453">
        <v>37</v>
      </c>
      <c r="T2453" s="29" t="str">
        <f t="shared" si="107"/>
        <v>2021.010B.R.Binomial_names.zip</v>
      </c>
      <c r="U2453" s="29" t="str">
        <f>HYPERLINK("https://ictv.global/taxonomy/taxondetails?taxnode_id=202301209","ictv.global=202301209")</f>
        <v>ictv.global=202301209</v>
      </c>
    </row>
    <row r="2454" spans="1:21">
      <c r="A2454">
        <v>2453</v>
      </c>
      <c r="B2454" s="30" t="s">
        <v>1587</v>
      </c>
      <c r="D2454" s="30" t="s">
        <v>1588</v>
      </c>
      <c r="F2454" s="30" t="s">
        <v>1591</v>
      </c>
      <c r="H2454" s="30" t="s">
        <v>1592</v>
      </c>
      <c r="M2454" s="30" t="s">
        <v>2376</v>
      </c>
      <c r="N2454" s="30" t="s">
        <v>2377</v>
      </c>
      <c r="P2454" s="30" t="s">
        <v>6156</v>
      </c>
      <c r="Q2454" t="s">
        <v>619</v>
      </c>
      <c r="R2454" t="s">
        <v>918</v>
      </c>
      <c r="S2454">
        <v>37</v>
      </c>
      <c r="T2454" s="29" t="str">
        <f t="shared" si="107"/>
        <v>2021.010B.R.Binomial_names.zip</v>
      </c>
      <c r="U2454" s="29" t="str">
        <f>HYPERLINK("https://ictv.global/taxonomy/taxondetails?taxnode_id=202301217","ictv.global=202301217")</f>
        <v>ictv.global=202301217</v>
      </c>
    </row>
    <row r="2455" spans="1:21">
      <c r="A2455">
        <v>2454</v>
      </c>
      <c r="B2455" s="30" t="s">
        <v>1587</v>
      </c>
      <c r="D2455" s="30" t="s">
        <v>1588</v>
      </c>
      <c r="F2455" s="30" t="s">
        <v>1591</v>
      </c>
      <c r="H2455" s="30" t="s">
        <v>1592</v>
      </c>
      <c r="M2455" s="30" t="s">
        <v>2376</v>
      </c>
      <c r="N2455" s="30" t="s">
        <v>2377</v>
      </c>
      <c r="P2455" s="30" t="s">
        <v>6157</v>
      </c>
      <c r="Q2455" t="s">
        <v>619</v>
      </c>
      <c r="R2455" t="s">
        <v>918</v>
      </c>
      <c r="S2455">
        <v>37</v>
      </c>
      <c r="T2455" s="29" t="str">
        <f t="shared" si="107"/>
        <v>2021.010B.R.Binomial_names.zip</v>
      </c>
      <c r="U2455" s="29" t="str">
        <f>HYPERLINK("https://ictv.global/taxonomy/taxondetails?taxnode_id=202309557","ictv.global=202309557")</f>
        <v>ictv.global=202309557</v>
      </c>
    </row>
    <row r="2456" spans="1:21">
      <c r="A2456">
        <v>2455</v>
      </c>
      <c r="B2456" s="30" t="s">
        <v>1587</v>
      </c>
      <c r="D2456" s="30" t="s">
        <v>1588</v>
      </c>
      <c r="F2456" s="30" t="s">
        <v>1591</v>
      </c>
      <c r="H2456" s="30" t="s">
        <v>1592</v>
      </c>
      <c r="M2456" s="30" t="s">
        <v>2376</v>
      </c>
      <c r="N2456" s="30" t="s">
        <v>2377</v>
      </c>
      <c r="P2456" s="30" t="s">
        <v>6158</v>
      </c>
      <c r="Q2456" t="s">
        <v>619</v>
      </c>
      <c r="R2456" t="s">
        <v>918</v>
      </c>
      <c r="S2456">
        <v>37</v>
      </c>
      <c r="T2456" s="29" t="str">
        <f t="shared" si="107"/>
        <v>2021.010B.R.Binomial_names.zip</v>
      </c>
      <c r="U2456" s="29" t="str">
        <f>HYPERLINK("https://ictv.global/taxonomy/taxondetails?taxnode_id=202301214","ictv.global=202301214")</f>
        <v>ictv.global=202301214</v>
      </c>
    </row>
    <row r="2457" spans="1:21">
      <c r="A2457">
        <v>2456</v>
      </c>
      <c r="B2457" s="30" t="s">
        <v>1587</v>
      </c>
      <c r="D2457" s="30" t="s">
        <v>1588</v>
      </c>
      <c r="F2457" s="30" t="s">
        <v>1591</v>
      </c>
      <c r="H2457" s="30" t="s">
        <v>1592</v>
      </c>
      <c r="M2457" s="30" t="s">
        <v>2376</v>
      </c>
      <c r="N2457" s="30" t="s">
        <v>2377</v>
      </c>
      <c r="P2457" s="30" t="s">
        <v>6159</v>
      </c>
      <c r="Q2457" t="s">
        <v>619</v>
      </c>
      <c r="R2457" t="s">
        <v>918</v>
      </c>
      <c r="S2457">
        <v>37</v>
      </c>
      <c r="T2457" s="29" t="str">
        <f t="shared" si="107"/>
        <v>2021.010B.R.Binomial_names.zip</v>
      </c>
      <c r="U2457" s="29" t="str">
        <f>HYPERLINK("https://ictv.global/taxonomy/taxondetails?taxnode_id=202301220","ictv.global=202301220")</f>
        <v>ictv.global=202301220</v>
      </c>
    </row>
    <row r="2458" spans="1:21">
      <c r="A2458">
        <v>2457</v>
      </c>
      <c r="B2458" s="30" t="s">
        <v>1587</v>
      </c>
      <c r="D2458" s="30" t="s">
        <v>1588</v>
      </c>
      <c r="F2458" s="30" t="s">
        <v>1591</v>
      </c>
      <c r="H2458" s="30" t="s">
        <v>1592</v>
      </c>
      <c r="M2458" s="30" t="s">
        <v>2376</v>
      </c>
      <c r="N2458" s="30" t="s">
        <v>2377</v>
      </c>
      <c r="P2458" s="30" t="s">
        <v>6160</v>
      </c>
      <c r="Q2458" t="s">
        <v>619</v>
      </c>
      <c r="R2458" t="s">
        <v>918</v>
      </c>
      <c r="S2458">
        <v>37</v>
      </c>
      <c r="T2458" s="29" t="str">
        <f t="shared" si="107"/>
        <v>2021.010B.R.Binomial_names.zip</v>
      </c>
      <c r="U2458" s="29" t="str">
        <f>HYPERLINK("https://ictv.global/taxonomy/taxondetails?taxnode_id=202301221","ictv.global=202301221")</f>
        <v>ictv.global=202301221</v>
      </c>
    </row>
    <row r="2459" spans="1:21">
      <c r="A2459">
        <v>2458</v>
      </c>
      <c r="B2459" s="30" t="s">
        <v>1587</v>
      </c>
      <c r="D2459" s="30" t="s">
        <v>1588</v>
      </c>
      <c r="F2459" s="30" t="s">
        <v>1591</v>
      </c>
      <c r="H2459" s="30" t="s">
        <v>1592</v>
      </c>
      <c r="M2459" s="30" t="s">
        <v>2376</v>
      </c>
      <c r="N2459" s="30" t="s">
        <v>2377</v>
      </c>
      <c r="P2459" s="30" t="s">
        <v>6161</v>
      </c>
      <c r="Q2459" t="s">
        <v>619</v>
      </c>
      <c r="R2459" t="s">
        <v>918</v>
      </c>
      <c r="S2459">
        <v>37</v>
      </c>
      <c r="T2459" s="29" t="str">
        <f t="shared" si="107"/>
        <v>2021.010B.R.Binomial_names.zip</v>
      </c>
      <c r="U2459" s="29" t="str">
        <f>HYPERLINK("https://ictv.global/taxonomy/taxondetails?taxnode_id=202301222","ictv.global=202301222")</f>
        <v>ictv.global=202301222</v>
      </c>
    </row>
    <row r="2460" spans="1:21">
      <c r="A2460">
        <v>2459</v>
      </c>
      <c r="B2460" s="30" t="s">
        <v>1587</v>
      </c>
      <c r="D2460" s="30" t="s">
        <v>1588</v>
      </c>
      <c r="F2460" s="30" t="s">
        <v>1591</v>
      </c>
      <c r="H2460" s="30" t="s">
        <v>1592</v>
      </c>
      <c r="M2460" s="30" t="s">
        <v>2376</v>
      </c>
      <c r="N2460" s="30" t="s">
        <v>2377</v>
      </c>
      <c r="P2460" s="30" t="s">
        <v>6162</v>
      </c>
      <c r="Q2460" t="s">
        <v>619</v>
      </c>
      <c r="R2460" t="s">
        <v>918</v>
      </c>
      <c r="S2460">
        <v>37</v>
      </c>
      <c r="T2460" s="29" t="str">
        <f t="shared" si="107"/>
        <v>2021.010B.R.Binomial_names.zip</v>
      </c>
      <c r="U2460" s="29" t="str">
        <f>HYPERLINK("https://ictv.global/taxonomy/taxondetails?taxnode_id=202309560","ictv.global=202309560")</f>
        <v>ictv.global=202309560</v>
      </c>
    </row>
    <row r="2461" spans="1:21">
      <c r="A2461">
        <v>2460</v>
      </c>
      <c r="B2461" s="30" t="s">
        <v>1587</v>
      </c>
      <c r="D2461" s="30" t="s">
        <v>1588</v>
      </c>
      <c r="F2461" s="30" t="s">
        <v>1591</v>
      </c>
      <c r="H2461" s="30" t="s">
        <v>1592</v>
      </c>
      <c r="M2461" s="30" t="s">
        <v>2376</v>
      </c>
      <c r="N2461" s="30" t="s">
        <v>2377</v>
      </c>
      <c r="P2461" s="30" t="s">
        <v>6163</v>
      </c>
      <c r="Q2461" t="s">
        <v>619</v>
      </c>
      <c r="R2461" t="s">
        <v>918</v>
      </c>
      <c r="S2461">
        <v>37</v>
      </c>
      <c r="T2461" s="29" t="str">
        <f t="shared" si="107"/>
        <v>2021.010B.R.Binomial_names.zip</v>
      </c>
      <c r="U2461" s="29" t="str">
        <f>HYPERLINK("https://ictv.global/taxonomy/taxondetails?taxnode_id=202309558","ictv.global=202309558")</f>
        <v>ictv.global=202309558</v>
      </c>
    </row>
    <row r="2462" spans="1:21">
      <c r="A2462">
        <v>2461</v>
      </c>
      <c r="B2462" s="30" t="s">
        <v>1587</v>
      </c>
      <c r="D2462" s="30" t="s">
        <v>1588</v>
      </c>
      <c r="F2462" s="30" t="s">
        <v>1591</v>
      </c>
      <c r="H2462" s="30" t="s">
        <v>1592</v>
      </c>
      <c r="M2462" s="30" t="s">
        <v>2376</v>
      </c>
      <c r="N2462" s="30" t="s">
        <v>2377</v>
      </c>
      <c r="P2462" s="30" t="s">
        <v>6164</v>
      </c>
      <c r="Q2462" t="s">
        <v>619</v>
      </c>
      <c r="R2462" t="s">
        <v>918</v>
      </c>
      <c r="S2462">
        <v>37</v>
      </c>
      <c r="T2462" s="29" t="str">
        <f t="shared" si="107"/>
        <v>2021.010B.R.Binomial_names.zip</v>
      </c>
      <c r="U2462" s="29" t="str">
        <f>HYPERLINK("https://ictv.global/taxonomy/taxondetails?taxnode_id=202301224","ictv.global=202301224")</f>
        <v>ictv.global=202301224</v>
      </c>
    </row>
    <row r="2463" spans="1:21">
      <c r="A2463">
        <v>2462</v>
      </c>
      <c r="B2463" s="30" t="s">
        <v>1587</v>
      </c>
      <c r="D2463" s="30" t="s">
        <v>1588</v>
      </c>
      <c r="F2463" s="30" t="s">
        <v>1591</v>
      </c>
      <c r="H2463" s="30" t="s">
        <v>1592</v>
      </c>
      <c r="M2463" s="30" t="s">
        <v>2376</v>
      </c>
      <c r="N2463" s="30" t="s">
        <v>2377</v>
      </c>
      <c r="P2463" s="30" t="s">
        <v>6165</v>
      </c>
      <c r="Q2463" t="s">
        <v>619</v>
      </c>
      <c r="R2463" t="s">
        <v>918</v>
      </c>
      <c r="S2463">
        <v>37</v>
      </c>
      <c r="T2463" s="29" t="str">
        <f t="shared" si="107"/>
        <v>2021.010B.R.Binomial_names.zip</v>
      </c>
      <c r="U2463" s="29" t="str">
        <f>HYPERLINK("https://ictv.global/taxonomy/taxondetails?taxnode_id=202309555","ictv.global=202309555")</f>
        <v>ictv.global=202309555</v>
      </c>
    </row>
    <row r="2464" spans="1:21">
      <c r="A2464">
        <v>2463</v>
      </c>
      <c r="B2464" s="30" t="s">
        <v>1587</v>
      </c>
      <c r="D2464" s="30" t="s">
        <v>1588</v>
      </c>
      <c r="F2464" s="30" t="s">
        <v>1591</v>
      </c>
      <c r="H2464" s="30" t="s">
        <v>1592</v>
      </c>
      <c r="M2464" s="30" t="s">
        <v>2376</v>
      </c>
      <c r="N2464" s="30" t="s">
        <v>2377</v>
      </c>
      <c r="P2464" s="30" t="s">
        <v>6166</v>
      </c>
      <c r="Q2464" t="s">
        <v>619</v>
      </c>
      <c r="R2464" t="s">
        <v>918</v>
      </c>
      <c r="S2464">
        <v>37</v>
      </c>
      <c r="T2464" s="29" t="str">
        <f t="shared" si="107"/>
        <v>2021.010B.R.Binomial_names.zip</v>
      </c>
      <c r="U2464" s="29" t="str">
        <f>HYPERLINK("https://ictv.global/taxonomy/taxondetails?taxnode_id=202309556","ictv.global=202309556")</f>
        <v>ictv.global=202309556</v>
      </c>
    </row>
    <row r="2465" spans="1:21">
      <c r="A2465">
        <v>2464</v>
      </c>
      <c r="B2465" s="30" t="s">
        <v>1587</v>
      </c>
      <c r="D2465" s="30" t="s">
        <v>1588</v>
      </c>
      <c r="F2465" s="30" t="s">
        <v>1591</v>
      </c>
      <c r="H2465" s="30" t="s">
        <v>1592</v>
      </c>
      <c r="M2465" s="30" t="s">
        <v>2376</v>
      </c>
      <c r="N2465" s="30" t="s">
        <v>2377</v>
      </c>
      <c r="P2465" s="30" t="s">
        <v>6167</v>
      </c>
      <c r="Q2465" t="s">
        <v>619</v>
      </c>
      <c r="R2465" t="s">
        <v>918</v>
      </c>
      <c r="S2465">
        <v>37</v>
      </c>
      <c r="T2465" s="29" t="str">
        <f t="shared" si="107"/>
        <v>2021.010B.R.Binomial_names.zip</v>
      </c>
      <c r="U2465" s="29" t="str">
        <f>HYPERLINK("https://ictv.global/taxonomy/taxondetails?taxnode_id=202309554","ictv.global=202309554")</f>
        <v>ictv.global=202309554</v>
      </c>
    </row>
    <row r="2466" spans="1:21">
      <c r="A2466">
        <v>2465</v>
      </c>
      <c r="B2466" s="30" t="s">
        <v>1587</v>
      </c>
      <c r="D2466" s="30" t="s">
        <v>1588</v>
      </c>
      <c r="F2466" s="30" t="s">
        <v>1591</v>
      </c>
      <c r="H2466" s="30" t="s">
        <v>1592</v>
      </c>
      <c r="M2466" s="30" t="s">
        <v>2376</v>
      </c>
      <c r="N2466" s="30" t="s">
        <v>695</v>
      </c>
      <c r="P2466" s="30" t="s">
        <v>6168</v>
      </c>
      <c r="Q2466" t="s">
        <v>619</v>
      </c>
      <c r="R2466" t="s">
        <v>918</v>
      </c>
      <c r="S2466">
        <v>37</v>
      </c>
      <c r="T2466" s="29" t="str">
        <f t="shared" si="107"/>
        <v>2021.010B.R.Binomial_names.zip</v>
      </c>
      <c r="U2466" s="29" t="str">
        <f>HYPERLINK("https://ictv.global/taxonomy/taxondetails?taxnode_id=202309565","ictv.global=202309565")</f>
        <v>ictv.global=202309565</v>
      </c>
    </row>
    <row r="2467" spans="1:21">
      <c r="A2467">
        <v>2466</v>
      </c>
      <c r="B2467" s="30" t="s">
        <v>1587</v>
      </c>
      <c r="D2467" s="30" t="s">
        <v>1588</v>
      </c>
      <c r="F2467" s="30" t="s">
        <v>1591</v>
      </c>
      <c r="H2467" s="30" t="s">
        <v>1592</v>
      </c>
      <c r="M2467" s="30" t="s">
        <v>2376</v>
      </c>
      <c r="N2467" s="30" t="s">
        <v>695</v>
      </c>
      <c r="P2467" s="30" t="s">
        <v>6169</v>
      </c>
      <c r="Q2467" t="s">
        <v>619</v>
      </c>
      <c r="R2467" t="s">
        <v>918</v>
      </c>
      <c r="S2467">
        <v>37</v>
      </c>
      <c r="T2467" s="29" t="str">
        <f t="shared" si="107"/>
        <v>2021.010B.R.Binomial_names.zip</v>
      </c>
      <c r="U2467" s="29" t="str">
        <f>HYPERLINK("https://ictv.global/taxonomy/taxondetails?taxnode_id=202309564","ictv.global=202309564")</f>
        <v>ictv.global=202309564</v>
      </c>
    </row>
    <row r="2468" spans="1:21">
      <c r="A2468">
        <v>2467</v>
      </c>
      <c r="B2468" s="30" t="s">
        <v>1587</v>
      </c>
      <c r="D2468" s="30" t="s">
        <v>1588</v>
      </c>
      <c r="F2468" s="30" t="s">
        <v>1591</v>
      </c>
      <c r="H2468" s="30" t="s">
        <v>1592</v>
      </c>
      <c r="M2468" s="30" t="s">
        <v>2376</v>
      </c>
      <c r="N2468" s="30" t="s">
        <v>695</v>
      </c>
      <c r="P2468" s="30" t="s">
        <v>6170</v>
      </c>
      <c r="Q2468" t="s">
        <v>619</v>
      </c>
      <c r="R2468" t="s">
        <v>918</v>
      </c>
      <c r="S2468">
        <v>37</v>
      </c>
      <c r="T2468" s="29" t="str">
        <f t="shared" si="107"/>
        <v>2021.010B.R.Binomial_names.zip</v>
      </c>
      <c r="U2468" s="29" t="str">
        <f>HYPERLINK("https://ictv.global/taxonomy/taxondetails?taxnode_id=202309571","ictv.global=202309571")</f>
        <v>ictv.global=202309571</v>
      </c>
    </row>
    <row r="2469" spans="1:21">
      <c r="A2469">
        <v>2468</v>
      </c>
      <c r="B2469" s="30" t="s">
        <v>1587</v>
      </c>
      <c r="D2469" s="30" t="s">
        <v>1588</v>
      </c>
      <c r="F2469" s="30" t="s">
        <v>1591</v>
      </c>
      <c r="H2469" s="30" t="s">
        <v>1592</v>
      </c>
      <c r="M2469" s="30" t="s">
        <v>2376</v>
      </c>
      <c r="N2469" s="30" t="s">
        <v>695</v>
      </c>
      <c r="P2469" s="30" t="s">
        <v>6171</v>
      </c>
      <c r="Q2469" t="s">
        <v>619</v>
      </c>
      <c r="R2469" t="s">
        <v>918</v>
      </c>
      <c r="S2469">
        <v>37</v>
      </c>
      <c r="T2469" s="29" t="str">
        <f t="shared" si="107"/>
        <v>2021.010B.R.Binomial_names.zip</v>
      </c>
      <c r="U2469" s="29" t="str">
        <f>HYPERLINK("https://ictv.global/taxonomy/taxondetails?taxnode_id=202301216","ictv.global=202301216")</f>
        <v>ictv.global=202301216</v>
      </c>
    </row>
    <row r="2470" spans="1:21">
      <c r="A2470">
        <v>2469</v>
      </c>
      <c r="B2470" s="30" t="s">
        <v>1587</v>
      </c>
      <c r="D2470" s="30" t="s">
        <v>1588</v>
      </c>
      <c r="F2470" s="30" t="s">
        <v>1591</v>
      </c>
      <c r="H2470" s="30" t="s">
        <v>1592</v>
      </c>
      <c r="M2470" s="30" t="s">
        <v>2376</v>
      </c>
      <c r="N2470" s="30" t="s">
        <v>695</v>
      </c>
      <c r="P2470" s="30" t="s">
        <v>6172</v>
      </c>
      <c r="Q2470" t="s">
        <v>619</v>
      </c>
      <c r="R2470" t="s">
        <v>918</v>
      </c>
      <c r="S2470">
        <v>37</v>
      </c>
      <c r="T2470" s="29" t="str">
        <f t="shared" si="107"/>
        <v>2021.010B.R.Binomial_names.zip</v>
      </c>
      <c r="U2470" s="29" t="str">
        <f>HYPERLINK("https://ictv.global/taxonomy/taxondetails?taxnode_id=202301218","ictv.global=202301218")</f>
        <v>ictv.global=202301218</v>
      </c>
    </row>
    <row r="2471" spans="1:21">
      <c r="A2471">
        <v>2470</v>
      </c>
      <c r="B2471" s="30" t="s">
        <v>1587</v>
      </c>
      <c r="D2471" s="30" t="s">
        <v>1588</v>
      </c>
      <c r="F2471" s="30" t="s">
        <v>1591</v>
      </c>
      <c r="H2471" s="30" t="s">
        <v>1592</v>
      </c>
      <c r="M2471" s="30" t="s">
        <v>2376</v>
      </c>
      <c r="N2471" s="30" t="s">
        <v>695</v>
      </c>
      <c r="P2471" s="30" t="s">
        <v>6173</v>
      </c>
      <c r="Q2471" t="s">
        <v>619</v>
      </c>
      <c r="R2471" t="s">
        <v>918</v>
      </c>
      <c r="S2471">
        <v>37</v>
      </c>
      <c r="T2471" s="29" t="str">
        <f t="shared" si="107"/>
        <v>2021.010B.R.Binomial_names.zip</v>
      </c>
      <c r="U2471" s="29" t="str">
        <f>HYPERLINK("https://ictv.global/taxonomy/taxondetails?taxnode_id=202301211","ictv.global=202301211")</f>
        <v>ictv.global=202301211</v>
      </c>
    </row>
    <row r="2472" spans="1:21">
      <c r="A2472">
        <v>2471</v>
      </c>
      <c r="B2472" s="30" t="s">
        <v>1587</v>
      </c>
      <c r="D2472" s="30" t="s">
        <v>1588</v>
      </c>
      <c r="F2472" s="30" t="s">
        <v>1591</v>
      </c>
      <c r="H2472" s="30" t="s">
        <v>1592</v>
      </c>
      <c r="M2472" s="30" t="s">
        <v>2376</v>
      </c>
      <c r="N2472" s="30" t="s">
        <v>695</v>
      </c>
      <c r="P2472" s="30" t="s">
        <v>6174</v>
      </c>
      <c r="Q2472" t="s">
        <v>619</v>
      </c>
      <c r="R2472" t="s">
        <v>918</v>
      </c>
      <c r="S2472">
        <v>37</v>
      </c>
      <c r="T2472" s="29" t="str">
        <f t="shared" si="107"/>
        <v>2021.010B.R.Binomial_names.zip</v>
      </c>
      <c r="U2472" s="29" t="str">
        <f>HYPERLINK("https://ictv.global/taxonomy/taxondetails?taxnode_id=202309568","ictv.global=202309568")</f>
        <v>ictv.global=202309568</v>
      </c>
    </row>
    <row r="2473" spans="1:21">
      <c r="A2473">
        <v>2472</v>
      </c>
      <c r="B2473" s="30" t="s">
        <v>1587</v>
      </c>
      <c r="D2473" s="30" t="s">
        <v>1588</v>
      </c>
      <c r="F2473" s="30" t="s">
        <v>1591</v>
      </c>
      <c r="H2473" s="30" t="s">
        <v>1592</v>
      </c>
      <c r="M2473" s="30" t="s">
        <v>2376</v>
      </c>
      <c r="N2473" s="30" t="s">
        <v>695</v>
      </c>
      <c r="P2473" s="30" t="s">
        <v>6175</v>
      </c>
      <c r="Q2473" t="s">
        <v>619</v>
      </c>
      <c r="R2473" t="s">
        <v>918</v>
      </c>
      <c r="S2473">
        <v>37</v>
      </c>
      <c r="T2473" s="29" t="str">
        <f t="shared" si="107"/>
        <v>2021.010B.R.Binomial_names.zip</v>
      </c>
      <c r="U2473" s="29" t="str">
        <f>HYPERLINK("https://ictv.global/taxonomy/taxondetails?taxnode_id=202309567","ictv.global=202309567")</f>
        <v>ictv.global=202309567</v>
      </c>
    </row>
    <row r="2474" spans="1:21">
      <c r="A2474">
        <v>2473</v>
      </c>
      <c r="B2474" s="30" t="s">
        <v>1587</v>
      </c>
      <c r="D2474" s="30" t="s">
        <v>1588</v>
      </c>
      <c r="F2474" s="30" t="s">
        <v>1591</v>
      </c>
      <c r="H2474" s="30" t="s">
        <v>1592</v>
      </c>
      <c r="M2474" s="30" t="s">
        <v>2376</v>
      </c>
      <c r="N2474" s="30" t="s">
        <v>695</v>
      </c>
      <c r="P2474" s="30" t="s">
        <v>6176</v>
      </c>
      <c r="Q2474" t="s">
        <v>619</v>
      </c>
      <c r="R2474" t="s">
        <v>918</v>
      </c>
      <c r="S2474">
        <v>37</v>
      </c>
      <c r="T2474" s="29" t="str">
        <f t="shared" si="107"/>
        <v>2021.010B.R.Binomial_names.zip</v>
      </c>
      <c r="U2474" s="29" t="str">
        <f>HYPERLINK("https://ictv.global/taxonomy/taxondetails?taxnode_id=202301219","ictv.global=202301219")</f>
        <v>ictv.global=202301219</v>
      </c>
    </row>
    <row r="2475" spans="1:21">
      <c r="A2475">
        <v>2474</v>
      </c>
      <c r="B2475" s="30" t="s">
        <v>1587</v>
      </c>
      <c r="D2475" s="30" t="s">
        <v>1588</v>
      </c>
      <c r="F2475" s="30" t="s">
        <v>1591</v>
      </c>
      <c r="H2475" s="30" t="s">
        <v>1592</v>
      </c>
      <c r="M2475" s="30" t="s">
        <v>2376</v>
      </c>
      <c r="N2475" s="30" t="s">
        <v>695</v>
      </c>
      <c r="P2475" s="30" t="s">
        <v>6177</v>
      </c>
      <c r="Q2475" t="s">
        <v>619</v>
      </c>
      <c r="R2475" t="s">
        <v>918</v>
      </c>
      <c r="S2475">
        <v>37</v>
      </c>
      <c r="T2475" s="29" t="str">
        <f t="shared" si="107"/>
        <v>2021.010B.R.Binomial_names.zip</v>
      </c>
      <c r="U2475" s="29" t="str">
        <f>HYPERLINK("https://ictv.global/taxonomy/taxondetails?taxnode_id=202301223","ictv.global=202301223")</f>
        <v>ictv.global=202301223</v>
      </c>
    </row>
    <row r="2476" spans="1:21">
      <c r="A2476">
        <v>2475</v>
      </c>
      <c r="B2476" s="30" t="s">
        <v>1587</v>
      </c>
      <c r="D2476" s="30" t="s">
        <v>1588</v>
      </c>
      <c r="F2476" s="30" t="s">
        <v>1591</v>
      </c>
      <c r="H2476" s="30" t="s">
        <v>1592</v>
      </c>
      <c r="M2476" s="30" t="s">
        <v>2376</v>
      </c>
      <c r="N2476" s="30" t="s">
        <v>695</v>
      </c>
      <c r="P2476" s="30" t="s">
        <v>6178</v>
      </c>
      <c r="Q2476" t="s">
        <v>619</v>
      </c>
      <c r="R2476" t="s">
        <v>918</v>
      </c>
      <c r="S2476">
        <v>37</v>
      </c>
      <c r="T2476" s="29" t="str">
        <f t="shared" si="107"/>
        <v>2021.010B.R.Binomial_names.zip</v>
      </c>
      <c r="U2476" s="29" t="str">
        <f>HYPERLINK("https://ictv.global/taxonomy/taxondetails?taxnode_id=202301196","ictv.global=202301196")</f>
        <v>ictv.global=202301196</v>
      </c>
    </row>
    <row r="2477" spans="1:21">
      <c r="A2477">
        <v>2476</v>
      </c>
      <c r="B2477" s="30" t="s">
        <v>1587</v>
      </c>
      <c r="D2477" s="30" t="s">
        <v>1588</v>
      </c>
      <c r="F2477" s="30" t="s">
        <v>1591</v>
      </c>
      <c r="H2477" s="30" t="s">
        <v>1592</v>
      </c>
      <c r="M2477" s="30" t="s">
        <v>2376</v>
      </c>
      <c r="N2477" s="30" t="s">
        <v>695</v>
      </c>
      <c r="P2477" s="30" t="s">
        <v>6179</v>
      </c>
      <c r="Q2477" t="s">
        <v>619</v>
      </c>
      <c r="R2477" t="s">
        <v>918</v>
      </c>
      <c r="S2477">
        <v>37</v>
      </c>
      <c r="T2477" s="29" t="str">
        <f t="shared" si="107"/>
        <v>2021.010B.R.Binomial_names.zip</v>
      </c>
      <c r="U2477" s="29" t="str">
        <f>HYPERLINK("https://ictv.global/taxonomy/taxondetails?taxnode_id=202301197","ictv.global=202301197")</f>
        <v>ictv.global=202301197</v>
      </c>
    </row>
    <row r="2478" spans="1:21">
      <c r="A2478">
        <v>2477</v>
      </c>
      <c r="B2478" s="30" t="s">
        <v>1587</v>
      </c>
      <c r="D2478" s="30" t="s">
        <v>1588</v>
      </c>
      <c r="F2478" s="30" t="s">
        <v>1591</v>
      </c>
      <c r="H2478" s="30" t="s">
        <v>1592</v>
      </c>
      <c r="M2478" s="30" t="s">
        <v>2376</v>
      </c>
      <c r="N2478" s="30" t="s">
        <v>695</v>
      </c>
      <c r="P2478" s="30" t="s">
        <v>6180</v>
      </c>
      <c r="Q2478" t="s">
        <v>619</v>
      </c>
      <c r="R2478" t="s">
        <v>918</v>
      </c>
      <c r="S2478">
        <v>37</v>
      </c>
      <c r="T2478" s="29" t="str">
        <f t="shared" si="107"/>
        <v>2021.010B.R.Binomial_names.zip</v>
      </c>
      <c r="U2478" s="29" t="str">
        <f>HYPERLINK("https://ictv.global/taxonomy/taxondetails?taxnode_id=202301199","ictv.global=202301199")</f>
        <v>ictv.global=202301199</v>
      </c>
    </row>
    <row r="2479" spans="1:21">
      <c r="A2479">
        <v>2478</v>
      </c>
      <c r="B2479" s="30" t="s">
        <v>1587</v>
      </c>
      <c r="D2479" s="30" t="s">
        <v>1588</v>
      </c>
      <c r="F2479" s="30" t="s">
        <v>1591</v>
      </c>
      <c r="H2479" s="30" t="s">
        <v>1592</v>
      </c>
      <c r="M2479" s="30" t="s">
        <v>2376</v>
      </c>
      <c r="N2479" s="30" t="s">
        <v>695</v>
      </c>
      <c r="P2479" s="30" t="s">
        <v>6181</v>
      </c>
      <c r="Q2479" t="s">
        <v>619</v>
      </c>
      <c r="R2479" t="s">
        <v>918</v>
      </c>
      <c r="S2479">
        <v>37</v>
      </c>
      <c r="T2479" s="29" t="str">
        <f t="shared" si="107"/>
        <v>2021.010B.R.Binomial_names.zip</v>
      </c>
      <c r="U2479" s="29" t="str">
        <f>HYPERLINK("https://ictv.global/taxonomy/taxondetails?taxnode_id=202301201","ictv.global=202301201")</f>
        <v>ictv.global=202301201</v>
      </c>
    </row>
    <row r="2480" spans="1:21">
      <c r="A2480">
        <v>2479</v>
      </c>
      <c r="B2480" s="30" t="s">
        <v>1587</v>
      </c>
      <c r="D2480" s="30" t="s">
        <v>1588</v>
      </c>
      <c r="F2480" s="30" t="s">
        <v>1591</v>
      </c>
      <c r="H2480" s="30" t="s">
        <v>1592</v>
      </c>
      <c r="M2480" s="30" t="s">
        <v>2376</v>
      </c>
      <c r="N2480" s="30" t="s">
        <v>695</v>
      </c>
      <c r="P2480" s="30" t="s">
        <v>6182</v>
      </c>
      <c r="Q2480" t="s">
        <v>619</v>
      </c>
      <c r="R2480" t="s">
        <v>918</v>
      </c>
      <c r="S2480">
        <v>37</v>
      </c>
      <c r="T2480" s="29" t="str">
        <f t="shared" ref="T2480:T2498" si="108">HYPERLINK("https://ictv.global/ictv/proposals/2021.010B.R.Binomial_names.zip","2021.010B.R.Binomial_names.zip")</f>
        <v>2021.010B.R.Binomial_names.zip</v>
      </c>
      <c r="U2480" s="29" t="str">
        <f>HYPERLINK("https://ictv.global/taxonomy/taxondetails?taxnode_id=202301202","ictv.global=202301202")</f>
        <v>ictv.global=202301202</v>
      </c>
    </row>
    <row r="2481" spans="1:21">
      <c r="A2481">
        <v>2480</v>
      </c>
      <c r="B2481" s="30" t="s">
        <v>1587</v>
      </c>
      <c r="D2481" s="30" t="s">
        <v>1588</v>
      </c>
      <c r="F2481" s="30" t="s">
        <v>1591</v>
      </c>
      <c r="H2481" s="30" t="s">
        <v>1592</v>
      </c>
      <c r="M2481" s="30" t="s">
        <v>2376</v>
      </c>
      <c r="N2481" s="30" t="s">
        <v>695</v>
      </c>
      <c r="P2481" s="30" t="s">
        <v>6183</v>
      </c>
      <c r="Q2481" t="s">
        <v>619</v>
      </c>
      <c r="R2481" t="s">
        <v>918</v>
      </c>
      <c r="S2481">
        <v>37</v>
      </c>
      <c r="T2481" s="29" t="str">
        <f t="shared" si="108"/>
        <v>2021.010B.R.Binomial_names.zip</v>
      </c>
      <c r="U2481" s="29" t="str">
        <f>HYPERLINK("https://ictv.global/taxonomy/taxondetails?taxnode_id=202301204","ictv.global=202301204")</f>
        <v>ictv.global=202301204</v>
      </c>
    </row>
    <row r="2482" spans="1:21">
      <c r="A2482">
        <v>2481</v>
      </c>
      <c r="B2482" s="30" t="s">
        <v>1587</v>
      </c>
      <c r="D2482" s="30" t="s">
        <v>1588</v>
      </c>
      <c r="F2482" s="30" t="s">
        <v>1591</v>
      </c>
      <c r="H2482" s="30" t="s">
        <v>1592</v>
      </c>
      <c r="M2482" s="30" t="s">
        <v>2376</v>
      </c>
      <c r="N2482" s="30" t="s">
        <v>695</v>
      </c>
      <c r="P2482" s="30" t="s">
        <v>6184</v>
      </c>
      <c r="Q2482" t="s">
        <v>619</v>
      </c>
      <c r="R2482" t="s">
        <v>918</v>
      </c>
      <c r="S2482">
        <v>37</v>
      </c>
      <c r="T2482" s="29" t="str">
        <f t="shared" si="108"/>
        <v>2021.010B.R.Binomial_names.zip</v>
      </c>
      <c r="U2482" s="29" t="str">
        <f>HYPERLINK("https://ictv.global/taxonomy/taxondetails?taxnode_id=202301205","ictv.global=202301205")</f>
        <v>ictv.global=202301205</v>
      </c>
    </row>
    <row r="2483" spans="1:21">
      <c r="A2483">
        <v>2482</v>
      </c>
      <c r="B2483" s="30" t="s">
        <v>1587</v>
      </c>
      <c r="D2483" s="30" t="s">
        <v>1588</v>
      </c>
      <c r="F2483" s="30" t="s">
        <v>1591</v>
      </c>
      <c r="H2483" s="30" t="s">
        <v>1592</v>
      </c>
      <c r="M2483" s="30" t="s">
        <v>2376</v>
      </c>
      <c r="N2483" s="30" t="s">
        <v>695</v>
      </c>
      <c r="P2483" s="30" t="s">
        <v>6185</v>
      </c>
      <c r="Q2483" t="s">
        <v>619</v>
      </c>
      <c r="R2483" t="s">
        <v>918</v>
      </c>
      <c r="S2483">
        <v>37</v>
      </c>
      <c r="T2483" s="29" t="str">
        <f t="shared" si="108"/>
        <v>2021.010B.R.Binomial_names.zip</v>
      </c>
      <c r="U2483" s="29" t="str">
        <f>HYPERLINK("https://ictv.global/taxonomy/taxondetails?taxnode_id=202301206","ictv.global=202301206")</f>
        <v>ictv.global=202301206</v>
      </c>
    </row>
    <row r="2484" spans="1:21">
      <c r="A2484">
        <v>2483</v>
      </c>
      <c r="B2484" s="30" t="s">
        <v>1587</v>
      </c>
      <c r="D2484" s="30" t="s">
        <v>1588</v>
      </c>
      <c r="F2484" s="30" t="s">
        <v>1591</v>
      </c>
      <c r="H2484" s="30" t="s">
        <v>1592</v>
      </c>
      <c r="M2484" s="30" t="s">
        <v>2376</v>
      </c>
      <c r="N2484" s="30" t="s">
        <v>695</v>
      </c>
      <c r="P2484" s="30" t="s">
        <v>6186</v>
      </c>
      <c r="Q2484" t="s">
        <v>619</v>
      </c>
      <c r="R2484" t="s">
        <v>918</v>
      </c>
      <c r="S2484">
        <v>37</v>
      </c>
      <c r="T2484" s="29" t="str">
        <f t="shared" si="108"/>
        <v>2021.010B.R.Binomial_names.zip</v>
      </c>
      <c r="U2484" s="29" t="str">
        <f>HYPERLINK("https://ictv.global/taxonomy/taxondetails?taxnode_id=202301207","ictv.global=202301207")</f>
        <v>ictv.global=202301207</v>
      </c>
    </row>
    <row r="2485" spans="1:21">
      <c r="A2485">
        <v>2484</v>
      </c>
      <c r="B2485" s="30" t="s">
        <v>1587</v>
      </c>
      <c r="D2485" s="30" t="s">
        <v>1588</v>
      </c>
      <c r="F2485" s="30" t="s">
        <v>1591</v>
      </c>
      <c r="H2485" s="30" t="s">
        <v>1592</v>
      </c>
      <c r="M2485" s="30" t="s">
        <v>2376</v>
      </c>
      <c r="N2485" s="30" t="s">
        <v>695</v>
      </c>
      <c r="P2485" s="30" t="s">
        <v>6187</v>
      </c>
      <c r="Q2485" t="s">
        <v>619</v>
      </c>
      <c r="R2485" t="s">
        <v>918</v>
      </c>
      <c r="S2485">
        <v>37</v>
      </c>
      <c r="T2485" s="29" t="str">
        <f t="shared" si="108"/>
        <v>2021.010B.R.Binomial_names.zip</v>
      </c>
      <c r="U2485" s="29" t="str">
        <f>HYPERLINK("https://ictv.global/taxonomy/taxondetails?taxnode_id=202309563","ictv.global=202309563")</f>
        <v>ictv.global=202309563</v>
      </c>
    </row>
    <row r="2486" spans="1:21">
      <c r="A2486">
        <v>2485</v>
      </c>
      <c r="B2486" s="30" t="s">
        <v>1587</v>
      </c>
      <c r="D2486" s="30" t="s">
        <v>1588</v>
      </c>
      <c r="F2486" s="30" t="s">
        <v>1591</v>
      </c>
      <c r="H2486" s="30" t="s">
        <v>1592</v>
      </c>
      <c r="M2486" s="30" t="s">
        <v>2376</v>
      </c>
      <c r="N2486" s="30" t="s">
        <v>695</v>
      </c>
      <c r="P2486" s="30" t="s">
        <v>6188</v>
      </c>
      <c r="Q2486" t="s">
        <v>619</v>
      </c>
      <c r="R2486" t="s">
        <v>918</v>
      </c>
      <c r="S2486">
        <v>37</v>
      </c>
      <c r="T2486" s="29" t="str">
        <f t="shared" si="108"/>
        <v>2021.010B.R.Binomial_names.zip</v>
      </c>
      <c r="U2486" s="29" t="str">
        <f>HYPERLINK("https://ictv.global/taxonomy/taxondetails?taxnode_id=202301208","ictv.global=202301208")</f>
        <v>ictv.global=202301208</v>
      </c>
    </row>
    <row r="2487" spans="1:21">
      <c r="A2487">
        <v>2486</v>
      </c>
      <c r="B2487" s="30" t="s">
        <v>1587</v>
      </c>
      <c r="D2487" s="30" t="s">
        <v>1588</v>
      </c>
      <c r="F2487" s="30" t="s">
        <v>1591</v>
      </c>
      <c r="H2487" s="30" t="s">
        <v>1592</v>
      </c>
      <c r="M2487" s="30" t="s">
        <v>2376</v>
      </c>
      <c r="N2487" s="30" t="s">
        <v>695</v>
      </c>
      <c r="P2487" s="30" t="s">
        <v>6189</v>
      </c>
      <c r="Q2487" t="s">
        <v>619</v>
      </c>
      <c r="R2487" t="s">
        <v>918</v>
      </c>
      <c r="S2487">
        <v>37</v>
      </c>
      <c r="T2487" s="29" t="str">
        <f t="shared" si="108"/>
        <v>2021.010B.R.Binomial_names.zip</v>
      </c>
      <c r="U2487" s="29" t="str">
        <f>HYPERLINK("https://ictv.global/taxonomy/taxondetails?taxnode_id=202309566","ictv.global=202309566")</f>
        <v>ictv.global=202309566</v>
      </c>
    </row>
    <row r="2488" spans="1:21">
      <c r="A2488">
        <v>2487</v>
      </c>
      <c r="B2488" s="30" t="s">
        <v>1587</v>
      </c>
      <c r="D2488" s="30" t="s">
        <v>1588</v>
      </c>
      <c r="F2488" s="30" t="s">
        <v>1591</v>
      </c>
      <c r="H2488" s="30" t="s">
        <v>1592</v>
      </c>
      <c r="M2488" s="30" t="s">
        <v>2376</v>
      </c>
      <c r="N2488" s="30" t="s">
        <v>695</v>
      </c>
      <c r="P2488" s="30" t="s">
        <v>6190</v>
      </c>
      <c r="Q2488" t="s">
        <v>619</v>
      </c>
      <c r="R2488" t="s">
        <v>918</v>
      </c>
      <c r="S2488">
        <v>37</v>
      </c>
      <c r="T2488" s="29" t="str">
        <f t="shared" si="108"/>
        <v>2021.010B.R.Binomial_names.zip</v>
      </c>
      <c r="U2488" s="29" t="str">
        <f>HYPERLINK("https://ictv.global/taxonomy/taxondetails?taxnode_id=202309572","ictv.global=202309572")</f>
        <v>ictv.global=202309572</v>
      </c>
    </row>
    <row r="2489" spans="1:21">
      <c r="A2489">
        <v>2488</v>
      </c>
      <c r="B2489" s="30" t="s">
        <v>1587</v>
      </c>
      <c r="D2489" s="30" t="s">
        <v>1588</v>
      </c>
      <c r="F2489" s="30" t="s">
        <v>1591</v>
      </c>
      <c r="H2489" s="30" t="s">
        <v>1592</v>
      </c>
      <c r="M2489" s="30" t="s">
        <v>2376</v>
      </c>
      <c r="N2489" s="30" t="s">
        <v>695</v>
      </c>
      <c r="P2489" s="30" t="s">
        <v>6191</v>
      </c>
      <c r="Q2489" t="s">
        <v>619</v>
      </c>
      <c r="R2489" t="s">
        <v>918</v>
      </c>
      <c r="S2489">
        <v>37</v>
      </c>
      <c r="T2489" s="29" t="str">
        <f t="shared" si="108"/>
        <v>2021.010B.R.Binomial_names.zip</v>
      </c>
      <c r="U2489" s="29" t="str">
        <f>HYPERLINK("https://ictv.global/taxonomy/taxondetails?taxnode_id=202309574","ictv.global=202309574")</f>
        <v>ictv.global=202309574</v>
      </c>
    </row>
    <row r="2490" spans="1:21">
      <c r="A2490">
        <v>2489</v>
      </c>
      <c r="B2490" s="30" t="s">
        <v>1587</v>
      </c>
      <c r="D2490" s="30" t="s">
        <v>1588</v>
      </c>
      <c r="F2490" s="30" t="s">
        <v>1591</v>
      </c>
      <c r="H2490" s="30" t="s">
        <v>1592</v>
      </c>
      <c r="M2490" s="30" t="s">
        <v>2376</v>
      </c>
      <c r="N2490" s="30" t="s">
        <v>695</v>
      </c>
      <c r="P2490" s="30" t="s">
        <v>6192</v>
      </c>
      <c r="Q2490" t="s">
        <v>619</v>
      </c>
      <c r="R2490" t="s">
        <v>918</v>
      </c>
      <c r="S2490">
        <v>37</v>
      </c>
      <c r="T2490" s="29" t="str">
        <f t="shared" si="108"/>
        <v>2021.010B.R.Binomial_names.zip</v>
      </c>
      <c r="U2490" s="29" t="str">
        <f>HYPERLINK("https://ictv.global/taxonomy/taxondetails?taxnode_id=202309562","ictv.global=202309562")</f>
        <v>ictv.global=202309562</v>
      </c>
    </row>
    <row r="2491" spans="1:21">
      <c r="A2491">
        <v>2490</v>
      </c>
      <c r="B2491" s="30" t="s">
        <v>1587</v>
      </c>
      <c r="D2491" s="30" t="s">
        <v>1588</v>
      </c>
      <c r="F2491" s="30" t="s">
        <v>1591</v>
      </c>
      <c r="H2491" s="30" t="s">
        <v>1592</v>
      </c>
      <c r="M2491" s="30" t="s">
        <v>2376</v>
      </c>
      <c r="N2491" s="30" t="s">
        <v>695</v>
      </c>
      <c r="P2491" s="30" t="s">
        <v>6193</v>
      </c>
      <c r="Q2491" t="s">
        <v>619</v>
      </c>
      <c r="R2491" t="s">
        <v>918</v>
      </c>
      <c r="S2491">
        <v>37</v>
      </c>
      <c r="T2491" s="29" t="str">
        <f t="shared" si="108"/>
        <v>2021.010B.R.Binomial_names.zip</v>
      </c>
      <c r="U2491" s="29" t="str">
        <f>HYPERLINK("https://ictv.global/taxonomy/taxondetails?taxnode_id=202309569","ictv.global=202309569")</f>
        <v>ictv.global=202309569</v>
      </c>
    </row>
    <row r="2492" spans="1:21">
      <c r="A2492">
        <v>2491</v>
      </c>
      <c r="B2492" s="30" t="s">
        <v>1587</v>
      </c>
      <c r="D2492" s="30" t="s">
        <v>1588</v>
      </c>
      <c r="F2492" s="30" t="s">
        <v>1591</v>
      </c>
      <c r="H2492" s="30" t="s">
        <v>1592</v>
      </c>
      <c r="M2492" s="30" t="s">
        <v>2376</v>
      </c>
      <c r="N2492" s="30" t="s">
        <v>695</v>
      </c>
      <c r="P2492" s="30" t="s">
        <v>6194</v>
      </c>
      <c r="Q2492" t="s">
        <v>619</v>
      </c>
      <c r="R2492" t="s">
        <v>918</v>
      </c>
      <c r="S2492">
        <v>37</v>
      </c>
      <c r="T2492" s="29" t="str">
        <f t="shared" si="108"/>
        <v>2021.010B.R.Binomial_names.zip</v>
      </c>
      <c r="U2492" s="29" t="str">
        <f>HYPERLINK("https://ictv.global/taxonomy/taxondetails?taxnode_id=202309561","ictv.global=202309561")</f>
        <v>ictv.global=202309561</v>
      </c>
    </row>
    <row r="2493" spans="1:21">
      <c r="A2493">
        <v>2492</v>
      </c>
      <c r="B2493" s="30" t="s">
        <v>1587</v>
      </c>
      <c r="D2493" s="30" t="s">
        <v>1588</v>
      </c>
      <c r="F2493" s="30" t="s">
        <v>1591</v>
      </c>
      <c r="H2493" s="30" t="s">
        <v>1592</v>
      </c>
      <c r="M2493" s="30" t="s">
        <v>2376</v>
      </c>
      <c r="N2493" s="30" t="s">
        <v>695</v>
      </c>
      <c r="P2493" s="30" t="s">
        <v>6195</v>
      </c>
      <c r="Q2493" t="s">
        <v>619</v>
      </c>
      <c r="R2493" t="s">
        <v>918</v>
      </c>
      <c r="S2493">
        <v>37</v>
      </c>
      <c r="T2493" s="29" t="str">
        <f t="shared" si="108"/>
        <v>2021.010B.R.Binomial_names.zip</v>
      </c>
      <c r="U2493" s="29" t="str">
        <f>HYPERLINK("https://ictv.global/taxonomy/taxondetails?taxnode_id=202309570","ictv.global=202309570")</f>
        <v>ictv.global=202309570</v>
      </c>
    </row>
    <row r="2494" spans="1:21">
      <c r="A2494">
        <v>2493</v>
      </c>
      <c r="B2494" s="30" t="s">
        <v>1587</v>
      </c>
      <c r="D2494" s="30" t="s">
        <v>1588</v>
      </c>
      <c r="F2494" s="30" t="s">
        <v>1591</v>
      </c>
      <c r="H2494" s="30" t="s">
        <v>1592</v>
      </c>
      <c r="M2494" s="30" t="s">
        <v>2376</v>
      </c>
      <c r="N2494" s="30" t="s">
        <v>695</v>
      </c>
      <c r="P2494" s="30" t="s">
        <v>6196</v>
      </c>
      <c r="Q2494" t="s">
        <v>619</v>
      </c>
      <c r="R2494" t="s">
        <v>918</v>
      </c>
      <c r="S2494">
        <v>37</v>
      </c>
      <c r="T2494" s="29" t="str">
        <f t="shared" si="108"/>
        <v>2021.010B.R.Binomial_names.zip</v>
      </c>
      <c r="U2494" s="29" t="str">
        <f>HYPERLINK("https://ictv.global/taxonomy/taxondetails?taxnode_id=202309573","ictv.global=202309573")</f>
        <v>ictv.global=202309573</v>
      </c>
    </row>
    <row r="2495" spans="1:21">
      <c r="A2495">
        <v>2494</v>
      </c>
      <c r="B2495" s="30" t="s">
        <v>1587</v>
      </c>
      <c r="D2495" s="30" t="s">
        <v>1588</v>
      </c>
      <c r="F2495" s="30" t="s">
        <v>1591</v>
      </c>
      <c r="H2495" s="30" t="s">
        <v>1592</v>
      </c>
      <c r="M2495" s="30" t="s">
        <v>2376</v>
      </c>
      <c r="N2495" s="30" t="s">
        <v>695</v>
      </c>
      <c r="P2495" s="30" t="s">
        <v>6197</v>
      </c>
      <c r="Q2495" t="s">
        <v>619</v>
      </c>
      <c r="R2495" t="s">
        <v>918</v>
      </c>
      <c r="S2495">
        <v>37</v>
      </c>
      <c r="T2495" s="29" t="str">
        <f t="shared" si="108"/>
        <v>2021.010B.R.Binomial_names.zip</v>
      </c>
      <c r="U2495" s="29" t="str">
        <f>HYPERLINK("https://ictv.global/taxonomy/taxondetails?taxnode_id=202301225","ictv.global=202301225")</f>
        <v>ictv.global=202301225</v>
      </c>
    </row>
    <row r="2496" spans="1:21">
      <c r="A2496">
        <v>2495</v>
      </c>
      <c r="B2496" s="30" t="s">
        <v>1587</v>
      </c>
      <c r="D2496" s="30" t="s">
        <v>1588</v>
      </c>
      <c r="F2496" s="30" t="s">
        <v>1591</v>
      </c>
      <c r="H2496" s="30" t="s">
        <v>1592</v>
      </c>
      <c r="M2496" s="30" t="s">
        <v>819</v>
      </c>
      <c r="N2496" s="30" t="s">
        <v>820</v>
      </c>
      <c r="P2496" s="30" t="s">
        <v>6198</v>
      </c>
      <c r="Q2496" t="s">
        <v>619</v>
      </c>
      <c r="R2496" t="s">
        <v>918</v>
      </c>
      <c r="S2496">
        <v>37</v>
      </c>
      <c r="T2496" s="29" t="str">
        <f t="shared" si="108"/>
        <v>2021.010B.R.Binomial_names.zip</v>
      </c>
      <c r="U2496" s="29" t="str">
        <f>HYPERLINK("https://ictv.global/taxonomy/taxondetails?taxnode_id=202300735","ictv.global=202300735")</f>
        <v>ictv.global=202300735</v>
      </c>
    </row>
    <row r="2497" spans="1:21">
      <c r="A2497">
        <v>2496</v>
      </c>
      <c r="B2497" s="30" t="s">
        <v>1587</v>
      </c>
      <c r="D2497" s="30" t="s">
        <v>1588</v>
      </c>
      <c r="F2497" s="30" t="s">
        <v>1591</v>
      </c>
      <c r="H2497" s="30" t="s">
        <v>1592</v>
      </c>
      <c r="M2497" s="30" t="s">
        <v>819</v>
      </c>
      <c r="N2497" s="30" t="s">
        <v>820</v>
      </c>
      <c r="P2497" s="30" t="s">
        <v>6199</v>
      </c>
      <c r="Q2497" t="s">
        <v>619</v>
      </c>
      <c r="R2497" t="s">
        <v>918</v>
      </c>
      <c r="S2497">
        <v>37</v>
      </c>
      <c r="T2497" s="29" t="str">
        <f t="shared" si="108"/>
        <v>2021.010B.R.Binomial_names.zip</v>
      </c>
      <c r="U2497" s="29" t="str">
        <f>HYPERLINK("https://ictv.global/taxonomy/taxondetails?taxnode_id=202300736","ictv.global=202300736")</f>
        <v>ictv.global=202300736</v>
      </c>
    </row>
    <row r="2498" spans="1:21">
      <c r="A2498">
        <v>2497</v>
      </c>
      <c r="B2498" s="30" t="s">
        <v>1587</v>
      </c>
      <c r="D2498" s="30" t="s">
        <v>1588</v>
      </c>
      <c r="F2498" s="30" t="s">
        <v>1591</v>
      </c>
      <c r="H2498" s="30" t="s">
        <v>1592</v>
      </c>
      <c r="M2498" s="30" t="s">
        <v>819</v>
      </c>
      <c r="N2498" s="30" t="s">
        <v>820</v>
      </c>
      <c r="P2498" s="30" t="s">
        <v>6200</v>
      </c>
      <c r="Q2498" t="s">
        <v>619</v>
      </c>
      <c r="R2498" t="s">
        <v>918</v>
      </c>
      <c r="S2498">
        <v>37</v>
      </c>
      <c r="T2498" s="29" t="str">
        <f t="shared" si="108"/>
        <v>2021.010B.R.Binomial_names.zip</v>
      </c>
      <c r="U2498" s="29" t="str">
        <f>HYPERLINK("https://ictv.global/taxonomy/taxondetails?taxnode_id=202300737","ictv.global=202300737")</f>
        <v>ictv.global=202300737</v>
      </c>
    </row>
    <row r="2499" spans="1:21">
      <c r="A2499">
        <v>2498</v>
      </c>
      <c r="B2499" s="30" t="s">
        <v>1587</v>
      </c>
      <c r="D2499" s="30" t="s">
        <v>1588</v>
      </c>
      <c r="F2499" s="30" t="s">
        <v>1591</v>
      </c>
      <c r="H2499" s="30" t="s">
        <v>1592</v>
      </c>
      <c r="M2499" s="30" t="s">
        <v>819</v>
      </c>
      <c r="N2499" s="30" t="s">
        <v>820</v>
      </c>
      <c r="P2499" s="30" t="s">
        <v>6201</v>
      </c>
      <c r="Q2499" t="s">
        <v>619</v>
      </c>
      <c r="R2499" t="s">
        <v>917</v>
      </c>
      <c r="S2499">
        <v>37</v>
      </c>
      <c r="T2499" s="29" t="str">
        <f>HYPERLINK("https://ictv.global/ictv/proposals/2021.007B.R.Bclasvirinae.zip","2021.007B.R.Bclasvirinae.zip")</f>
        <v>2021.007B.R.Bclasvirinae.zip</v>
      </c>
      <c r="U2499" s="29" t="str">
        <f>HYPERLINK("https://ictv.global/taxonomy/taxondetails?taxnode_id=202313192","ictv.global=202313192")</f>
        <v>ictv.global=202313192</v>
      </c>
    </row>
    <row r="2500" spans="1:21">
      <c r="A2500">
        <v>2499</v>
      </c>
      <c r="B2500" s="30" t="s">
        <v>1587</v>
      </c>
      <c r="D2500" s="30" t="s">
        <v>1588</v>
      </c>
      <c r="F2500" s="30" t="s">
        <v>1591</v>
      </c>
      <c r="H2500" s="30" t="s">
        <v>1592</v>
      </c>
      <c r="M2500" s="30" t="s">
        <v>819</v>
      </c>
      <c r="N2500" s="30" t="s">
        <v>6202</v>
      </c>
      <c r="P2500" s="30" t="s">
        <v>6203</v>
      </c>
      <c r="Q2500" t="s">
        <v>619</v>
      </c>
      <c r="R2500" t="s">
        <v>917</v>
      </c>
      <c r="S2500">
        <v>37</v>
      </c>
      <c r="T2500" s="29" t="str">
        <f>HYPERLINK("https://ictv.global/ictv/proposals/2021.007B.R.Bclasvirinae.zip","2021.007B.R.Bclasvirinae.zip")</f>
        <v>2021.007B.R.Bclasvirinae.zip</v>
      </c>
      <c r="U2500" s="29" t="str">
        <f>HYPERLINK("https://ictv.global/taxonomy/taxondetails?taxnode_id=202313180","ictv.global=202313180")</f>
        <v>ictv.global=202313180</v>
      </c>
    </row>
    <row r="2501" spans="1:21">
      <c r="A2501">
        <v>2500</v>
      </c>
      <c r="B2501" s="30" t="s">
        <v>1587</v>
      </c>
      <c r="D2501" s="30" t="s">
        <v>1588</v>
      </c>
      <c r="F2501" s="30" t="s">
        <v>1591</v>
      </c>
      <c r="H2501" s="30" t="s">
        <v>1592</v>
      </c>
      <c r="M2501" s="30" t="s">
        <v>819</v>
      </c>
      <c r="N2501" s="30" t="s">
        <v>821</v>
      </c>
      <c r="P2501" s="30" t="s">
        <v>6204</v>
      </c>
      <c r="Q2501" t="s">
        <v>619</v>
      </c>
      <c r="R2501" t="s">
        <v>918</v>
      </c>
      <c r="S2501">
        <v>37</v>
      </c>
      <c r="T2501" s="29" t="str">
        <f>HYPERLINK("https://ictv.global/ictv/proposals/2021.010B.R.Binomial_names.zip","2021.010B.R.Binomial_names.zip")</f>
        <v>2021.010B.R.Binomial_names.zip</v>
      </c>
      <c r="U2501" s="29" t="str">
        <f>HYPERLINK("https://ictv.global/taxonomy/taxondetails?taxnode_id=202300739","ictv.global=202300739")</f>
        <v>ictv.global=202300739</v>
      </c>
    </row>
    <row r="2502" spans="1:21">
      <c r="A2502">
        <v>2501</v>
      </c>
      <c r="B2502" s="30" t="s">
        <v>1587</v>
      </c>
      <c r="D2502" s="30" t="s">
        <v>1588</v>
      </c>
      <c r="F2502" s="30" t="s">
        <v>1591</v>
      </c>
      <c r="H2502" s="30" t="s">
        <v>1592</v>
      </c>
      <c r="M2502" s="30" t="s">
        <v>819</v>
      </c>
      <c r="N2502" s="30" t="s">
        <v>821</v>
      </c>
      <c r="P2502" s="30" t="s">
        <v>6205</v>
      </c>
      <c r="Q2502" t="s">
        <v>619</v>
      </c>
      <c r="R2502" t="s">
        <v>918</v>
      </c>
      <c r="S2502">
        <v>37</v>
      </c>
      <c r="T2502" s="29" t="str">
        <f>HYPERLINK("https://ictv.global/ictv/proposals/2021.010B.R.Binomial_names.zip","2021.010B.R.Binomial_names.zip")</f>
        <v>2021.010B.R.Binomial_names.zip</v>
      </c>
      <c r="U2502" s="29" t="str">
        <f>HYPERLINK("https://ictv.global/taxonomy/taxondetails?taxnode_id=202300740","ictv.global=202300740")</f>
        <v>ictv.global=202300740</v>
      </c>
    </row>
    <row r="2503" spans="1:21">
      <c r="A2503">
        <v>2502</v>
      </c>
      <c r="B2503" s="30" t="s">
        <v>1587</v>
      </c>
      <c r="D2503" s="30" t="s">
        <v>1588</v>
      </c>
      <c r="F2503" s="30" t="s">
        <v>1591</v>
      </c>
      <c r="H2503" s="30" t="s">
        <v>1592</v>
      </c>
      <c r="M2503" s="30" t="s">
        <v>819</v>
      </c>
      <c r="N2503" s="30" t="s">
        <v>821</v>
      </c>
      <c r="P2503" s="30" t="s">
        <v>6206</v>
      </c>
      <c r="Q2503" t="s">
        <v>619</v>
      </c>
      <c r="R2503" t="s">
        <v>918</v>
      </c>
      <c r="S2503">
        <v>37</v>
      </c>
      <c r="T2503" s="29" t="str">
        <f>HYPERLINK("https://ictv.global/ictv/proposals/2021.010B.R.Binomial_names.zip","2021.010B.R.Binomial_names.zip")</f>
        <v>2021.010B.R.Binomial_names.zip</v>
      </c>
      <c r="U2503" s="29" t="str">
        <f>HYPERLINK("https://ictv.global/taxonomy/taxondetails?taxnode_id=202300741","ictv.global=202300741")</f>
        <v>ictv.global=202300741</v>
      </c>
    </row>
    <row r="2504" spans="1:21">
      <c r="A2504">
        <v>2503</v>
      </c>
      <c r="B2504" s="30" t="s">
        <v>1587</v>
      </c>
      <c r="D2504" s="30" t="s">
        <v>1588</v>
      </c>
      <c r="F2504" s="30" t="s">
        <v>1591</v>
      </c>
      <c r="H2504" s="30" t="s">
        <v>1592</v>
      </c>
      <c r="M2504" s="30" t="s">
        <v>819</v>
      </c>
      <c r="N2504" s="30" t="s">
        <v>821</v>
      </c>
      <c r="P2504" s="30" t="s">
        <v>6207</v>
      </c>
      <c r="Q2504" t="s">
        <v>619</v>
      </c>
      <c r="R2504" t="s">
        <v>918</v>
      </c>
      <c r="S2504">
        <v>37</v>
      </c>
      <c r="T2504" s="29" t="str">
        <f>HYPERLINK("https://ictv.global/ictv/proposals/2021.010B.R.Binomial_names.zip","2021.010B.R.Binomial_names.zip")</f>
        <v>2021.010B.R.Binomial_names.zip</v>
      </c>
      <c r="U2504" s="29" t="str">
        <f>HYPERLINK("https://ictv.global/taxonomy/taxondetails?taxnode_id=202300742","ictv.global=202300742")</f>
        <v>ictv.global=202300742</v>
      </c>
    </row>
    <row r="2505" spans="1:21">
      <c r="A2505">
        <v>2504</v>
      </c>
      <c r="B2505" s="30" t="s">
        <v>1587</v>
      </c>
      <c r="D2505" s="30" t="s">
        <v>1588</v>
      </c>
      <c r="F2505" s="30" t="s">
        <v>1591</v>
      </c>
      <c r="H2505" s="30" t="s">
        <v>1592</v>
      </c>
      <c r="M2505" s="30" t="s">
        <v>819</v>
      </c>
      <c r="N2505" s="30" t="s">
        <v>821</v>
      </c>
      <c r="P2505" s="30" t="s">
        <v>6208</v>
      </c>
      <c r="Q2505" t="s">
        <v>619</v>
      </c>
      <c r="R2505" t="s">
        <v>918</v>
      </c>
      <c r="S2505">
        <v>37</v>
      </c>
      <c r="T2505" s="29" t="str">
        <f>HYPERLINK("https://ictv.global/ictv/proposals/2021.010B.R.Binomial_names.zip","2021.010B.R.Binomial_names.zip")</f>
        <v>2021.010B.R.Binomial_names.zip</v>
      </c>
      <c r="U2505" s="29" t="str">
        <f>HYPERLINK("https://ictv.global/taxonomy/taxondetails?taxnode_id=202300743","ictv.global=202300743")</f>
        <v>ictv.global=202300743</v>
      </c>
    </row>
    <row r="2506" spans="1:21">
      <c r="A2506">
        <v>2505</v>
      </c>
      <c r="B2506" s="30" t="s">
        <v>1587</v>
      </c>
      <c r="D2506" s="30" t="s">
        <v>1588</v>
      </c>
      <c r="F2506" s="30" t="s">
        <v>1591</v>
      </c>
      <c r="H2506" s="30" t="s">
        <v>1592</v>
      </c>
      <c r="M2506" s="30" t="s">
        <v>819</v>
      </c>
      <c r="N2506" s="30" t="s">
        <v>821</v>
      </c>
      <c r="P2506" s="30" t="s">
        <v>6209</v>
      </c>
      <c r="Q2506" t="s">
        <v>619</v>
      </c>
      <c r="R2506" t="s">
        <v>917</v>
      </c>
      <c r="S2506">
        <v>37</v>
      </c>
      <c r="T2506" s="29" t="str">
        <f>HYPERLINK("https://ictv.global/ictv/proposals/2021.007B.R.Bclasvirinae.zip","2021.007B.R.Bclasvirinae.zip")</f>
        <v>2021.007B.R.Bclasvirinae.zip</v>
      </c>
      <c r="U2506" s="29" t="str">
        <f>HYPERLINK("https://ictv.global/taxonomy/taxondetails?taxnode_id=202313197","ictv.global=202313197")</f>
        <v>ictv.global=202313197</v>
      </c>
    </row>
    <row r="2507" spans="1:21">
      <c r="A2507">
        <v>2506</v>
      </c>
      <c r="B2507" s="30" t="s">
        <v>1587</v>
      </c>
      <c r="D2507" s="30" t="s">
        <v>1588</v>
      </c>
      <c r="F2507" s="30" t="s">
        <v>1591</v>
      </c>
      <c r="H2507" s="30" t="s">
        <v>1592</v>
      </c>
      <c r="M2507" s="30" t="s">
        <v>819</v>
      </c>
      <c r="N2507" s="30" t="s">
        <v>821</v>
      </c>
      <c r="P2507" s="30" t="s">
        <v>6210</v>
      </c>
      <c r="Q2507" t="s">
        <v>619</v>
      </c>
      <c r="R2507" t="s">
        <v>917</v>
      </c>
      <c r="S2507">
        <v>37</v>
      </c>
      <c r="T2507" s="29" t="str">
        <f>HYPERLINK("https://ictv.global/ictv/proposals/2021.007B.R.Bclasvirinae.zip","2021.007B.R.Bclasvirinae.zip")</f>
        <v>2021.007B.R.Bclasvirinae.zip</v>
      </c>
      <c r="U2507" s="29" t="str">
        <f>HYPERLINK("https://ictv.global/taxonomy/taxondetails?taxnode_id=202313196","ictv.global=202313196")</f>
        <v>ictv.global=202313196</v>
      </c>
    </row>
    <row r="2508" spans="1:21">
      <c r="A2508">
        <v>2507</v>
      </c>
      <c r="B2508" s="30" t="s">
        <v>1587</v>
      </c>
      <c r="D2508" s="30" t="s">
        <v>1588</v>
      </c>
      <c r="F2508" s="30" t="s">
        <v>1591</v>
      </c>
      <c r="H2508" s="30" t="s">
        <v>1592</v>
      </c>
      <c r="M2508" s="30" t="s">
        <v>819</v>
      </c>
      <c r="N2508" s="30" t="s">
        <v>821</v>
      </c>
      <c r="P2508" s="30" t="s">
        <v>6211</v>
      </c>
      <c r="Q2508" t="s">
        <v>619</v>
      </c>
      <c r="R2508" t="s">
        <v>918</v>
      </c>
      <c r="S2508">
        <v>37</v>
      </c>
      <c r="T2508" s="29" t="str">
        <f>HYPERLINK("https://ictv.global/ictv/proposals/2021.010B.R.Binomial_names.zip","2021.010B.R.Binomial_names.zip")</f>
        <v>2021.010B.R.Binomial_names.zip</v>
      </c>
      <c r="U2508" s="29" t="str">
        <f>HYPERLINK("https://ictv.global/taxonomy/taxondetails?taxnode_id=202300744","ictv.global=202300744")</f>
        <v>ictv.global=202300744</v>
      </c>
    </row>
    <row r="2509" spans="1:21">
      <c r="A2509">
        <v>2508</v>
      </c>
      <c r="B2509" s="30" t="s">
        <v>1587</v>
      </c>
      <c r="D2509" s="30" t="s">
        <v>1588</v>
      </c>
      <c r="F2509" s="30" t="s">
        <v>1591</v>
      </c>
      <c r="H2509" s="30" t="s">
        <v>1592</v>
      </c>
      <c r="M2509" s="30" t="s">
        <v>819</v>
      </c>
      <c r="N2509" s="30" t="s">
        <v>821</v>
      </c>
      <c r="P2509" s="30" t="s">
        <v>6212</v>
      </c>
      <c r="Q2509" t="s">
        <v>619</v>
      </c>
      <c r="R2509" t="s">
        <v>918</v>
      </c>
      <c r="S2509">
        <v>37</v>
      </c>
      <c r="T2509" s="29" t="str">
        <f>HYPERLINK("https://ictv.global/ictv/proposals/2021.010B.R.Binomial_names.zip","2021.010B.R.Binomial_names.zip")</f>
        <v>2021.010B.R.Binomial_names.zip</v>
      </c>
      <c r="U2509" s="29" t="str">
        <f>HYPERLINK("https://ictv.global/taxonomy/taxondetails?taxnode_id=202300745","ictv.global=202300745")</f>
        <v>ictv.global=202300745</v>
      </c>
    </row>
    <row r="2510" spans="1:21">
      <c r="A2510">
        <v>2509</v>
      </c>
      <c r="B2510" s="30" t="s">
        <v>1587</v>
      </c>
      <c r="D2510" s="30" t="s">
        <v>1588</v>
      </c>
      <c r="F2510" s="30" t="s">
        <v>1591</v>
      </c>
      <c r="H2510" s="30" t="s">
        <v>1592</v>
      </c>
      <c r="M2510" s="30" t="s">
        <v>819</v>
      </c>
      <c r="N2510" s="30" t="s">
        <v>821</v>
      </c>
      <c r="P2510" s="30" t="s">
        <v>6213</v>
      </c>
      <c r="Q2510" t="s">
        <v>619</v>
      </c>
      <c r="R2510" t="s">
        <v>918</v>
      </c>
      <c r="S2510">
        <v>37</v>
      </c>
      <c r="T2510" s="29" t="str">
        <f>HYPERLINK("https://ictv.global/ictv/proposals/2021.010B.R.Binomial_names.zip","2021.010B.R.Binomial_names.zip")</f>
        <v>2021.010B.R.Binomial_names.zip</v>
      </c>
      <c r="U2510" s="29" t="str">
        <f>HYPERLINK("https://ictv.global/taxonomy/taxondetails?taxnode_id=202300746","ictv.global=202300746")</f>
        <v>ictv.global=202300746</v>
      </c>
    </row>
    <row r="2511" spans="1:21">
      <c r="A2511">
        <v>2510</v>
      </c>
      <c r="B2511" s="30" t="s">
        <v>1587</v>
      </c>
      <c r="D2511" s="30" t="s">
        <v>1588</v>
      </c>
      <c r="F2511" s="30" t="s">
        <v>1591</v>
      </c>
      <c r="H2511" s="30" t="s">
        <v>1592</v>
      </c>
      <c r="M2511" s="30" t="s">
        <v>819</v>
      </c>
      <c r="N2511" s="30" t="s">
        <v>821</v>
      </c>
      <c r="P2511" s="30" t="s">
        <v>6214</v>
      </c>
      <c r="Q2511" t="s">
        <v>619</v>
      </c>
      <c r="R2511" t="s">
        <v>918</v>
      </c>
      <c r="S2511">
        <v>37</v>
      </c>
      <c r="T2511" s="29" t="str">
        <f>HYPERLINK("https://ictv.global/ictv/proposals/2021.010B.R.Binomial_names.zip","2021.010B.R.Binomial_names.zip")</f>
        <v>2021.010B.R.Binomial_names.zip</v>
      </c>
      <c r="U2511" s="29" t="str">
        <f>HYPERLINK("https://ictv.global/taxonomy/taxondetails?taxnode_id=202300747","ictv.global=202300747")</f>
        <v>ictv.global=202300747</v>
      </c>
    </row>
    <row r="2512" spans="1:21">
      <c r="A2512">
        <v>2511</v>
      </c>
      <c r="B2512" s="30" t="s">
        <v>1587</v>
      </c>
      <c r="D2512" s="30" t="s">
        <v>1588</v>
      </c>
      <c r="F2512" s="30" t="s">
        <v>1591</v>
      </c>
      <c r="H2512" s="30" t="s">
        <v>1592</v>
      </c>
      <c r="M2512" s="30" t="s">
        <v>819</v>
      </c>
      <c r="N2512" s="30" t="s">
        <v>821</v>
      </c>
      <c r="P2512" s="30" t="s">
        <v>6215</v>
      </c>
      <c r="Q2512" t="s">
        <v>619</v>
      </c>
      <c r="R2512" t="s">
        <v>918</v>
      </c>
      <c r="S2512">
        <v>37</v>
      </c>
      <c r="T2512" s="29" t="str">
        <f>HYPERLINK("https://ictv.global/ictv/proposals/2021.010B.R.Binomial_names.zip","2021.010B.R.Binomial_names.zip")</f>
        <v>2021.010B.R.Binomial_names.zip</v>
      </c>
      <c r="U2512" s="29" t="str">
        <f>HYPERLINK("https://ictv.global/taxonomy/taxondetails?taxnode_id=202300748","ictv.global=202300748")</f>
        <v>ictv.global=202300748</v>
      </c>
    </row>
    <row r="2513" spans="1:21">
      <c r="A2513">
        <v>2512</v>
      </c>
      <c r="B2513" s="30" t="s">
        <v>1587</v>
      </c>
      <c r="D2513" s="30" t="s">
        <v>1588</v>
      </c>
      <c r="F2513" s="30" t="s">
        <v>1591</v>
      </c>
      <c r="H2513" s="30" t="s">
        <v>1592</v>
      </c>
      <c r="M2513" s="30" t="s">
        <v>819</v>
      </c>
      <c r="N2513" s="30" t="s">
        <v>6216</v>
      </c>
      <c r="P2513" s="30" t="s">
        <v>6217</v>
      </c>
      <c r="Q2513" t="s">
        <v>619</v>
      </c>
      <c r="R2513" t="s">
        <v>917</v>
      </c>
      <c r="S2513">
        <v>37</v>
      </c>
      <c r="T2513" s="29" t="str">
        <f>HYPERLINK("https://ictv.global/ictv/proposals/2021.007B.R.Bclasvirinae.zip","2021.007B.R.Bclasvirinae.zip")</f>
        <v>2021.007B.R.Bclasvirinae.zip</v>
      </c>
      <c r="U2513" s="29" t="str">
        <f>HYPERLINK("https://ictv.global/taxonomy/taxondetails?taxnode_id=202313189","ictv.global=202313189")</f>
        <v>ictv.global=202313189</v>
      </c>
    </row>
    <row r="2514" spans="1:21">
      <c r="A2514">
        <v>2513</v>
      </c>
      <c r="B2514" s="30" t="s">
        <v>1587</v>
      </c>
      <c r="D2514" s="30" t="s">
        <v>1588</v>
      </c>
      <c r="F2514" s="30" t="s">
        <v>1591</v>
      </c>
      <c r="H2514" s="30" t="s">
        <v>1592</v>
      </c>
      <c r="M2514" s="30" t="s">
        <v>819</v>
      </c>
      <c r="N2514" s="30" t="s">
        <v>6218</v>
      </c>
      <c r="P2514" s="30" t="s">
        <v>6219</v>
      </c>
      <c r="Q2514" t="s">
        <v>619</v>
      </c>
      <c r="R2514" t="s">
        <v>917</v>
      </c>
      <c r="S2514">
        <v>37</v>
      </c>
      <c r="T2514" s="29" t="str">
        <f>HYPERLINK("https://ictv.global/ictv/proposals/2021.007B.R.Bclasvirinae.zip","2021.007B.R.Bclasvirinae.zip")</f>
        <v>2021.007B.R.Bclasvirinae.zip</v>
      </c>
      <c r="U2514" s="29" t="str">
        <f>HYPERLINK("https://ictv.global/taxonomy/taxondetails?taxnode_id=202313191","ictv.global=202313191")</f>
        <v>ictv.global=202313191</v>
      </c>
    </row>
    <row r="2515" spans="1:21">
      <c r="A2515">
        <v>2514</v>
      </c>
      <c r="B2515" s="30" t="s">
        <v>1587</v>
      </c>
      <c r="D2515" s="30" t="s">
        <v>1588</v>
      </c>
      <c r="F2515" s="30" t="s">
        <v>1591</v>
      </c>
      <c r="H2515" s="30" t="s">
        <v>1592</v>
      </c>
      <c r="M2515" s="30" t="s">
        <v>819</v>
      </c>
      <c r="N2515" s="30" t="s">
        <v>6220</v>
      </c>
      <c r="P2515" s="30" t="s">
        <v>6221</v>
      </c>
      <c r="Q2515" t="s">
        <v>619</v>
      </c>
      <c r="R2515" t="s">
        <v>917</v>
      </c>
      <c r="S2515">
        <v>37</v>
      </c>
      <c r="T2515" s="29" t="str">
        <f>HYPERLINK("https://ictv.global/ictv/proposals/2021.007B.R.Bclasvirinae.zip","2021.007B.R.Bclasvirinae.zip")</f>
        <v>2021.007B.R.Bclasvirinae.zip</v>
      </c>
      <c r="U2515" s="29" t="str">
        <f>HYPERLINK("https://ictv.global/taxonomy/taxondetails?taxnode_id=202313182","ictv.global=202313182")</f>
        <v>ictv.global=202313182</v>
      </c>
    </row>
    <row r="2516" spans="1:21">
      <c r="A2516">
        <v>2515</v>
      </c>
      <c r="B2516" s="30" t="s">
        <v>1587</v>
      </c>
      <c r="D2516" s="30" t="s">
        <v>1588</v>
      </c>
      <c r="F2516" s="30" t="s">
        <v>1591</v>
      </c>
      <c r="H2516" s="30" t="s">
        <v>1592</v>
      </c>
      <c r="M2516" s="30" t="s">
        <v>819</v>
      </c>
      <c r="N2516" s="30" t="s">
        <v>1442</v>
      </c>
      <c r="P2516" s="30" t="s">
        <v>6222</v>
      </c>
      <c r="Q2516" t="s">
        <v>619</v>
      </c>
      <c r="R2516" t="s">
        <v>918</v>
      </c>
      <c r="S2516">
        <v>37</v>
      </c>
      <c r="T2516" s="29" t="str">
        <f>HYPERLINK("https://ictv.global/ictv/proposals/2021.010B.R.Binomial_names.zip","2021.010B.R.Binomial_names.zip")</f>
        <v>2021.010B.R.Binomial_names.zip</v>
      </c>
      <c r="U2516" s="29" t="str">
        <f>HYPERLINK("https://ictv.global/taxonomy/taxondetails?taxnode_id=202300750","ictv.global=202300750")</f>
        <v>ictv.global=202300750</v>
      </c>
    </row>
    <row r="2517" spans="1:21">
      <c r="A2517">
        <v>2516</v>
      </c>
      <c r="B2517" s="30" t="s">
        <v>1587</v>
      </c>
      <c r="D2517" s="30" t="s">
        <v>1588</v>
      </c>
      <c r="F2517" s="30" t="s">
        <v>1591</v>
      </c>
      <c r="H2517" s="30" t="s">
        <v>1592</v>
      </c>
      <c r="M2517" s="30" t="s">
        <v>819</v>
      </c>
      <c r="N2517" s="30" t="s">
        <v>1442</v>
      </c>
      <c r="P2517" s="30" t="s">
        <v>6223</v>
      </c>
      <c r="Q2517" t="s">
        <v>619</v>
      </c>
      <c r="R2517" t="s">
        <v>917</v>
      </c>
      <c r="S2517">
        <v>37</v>
      </c>
      <c r="T2517" s="29" t="str">
        <f>HYPERLINK("https://ictv.global/ictv/proposals/2021.007B.R.Bclasvirinae.zip","2021.007B.R.Bclasvirinae.zip")</f>
        <v>2021.007B.R.Bclasvirinae.zip</v>
      </c>
      <c r="U2517" s="29" t="str">
        <f>HYPERLINK("https://ictv.global/taxonomy/taxondetails?taxnode_id=202313195","ictv.global=202313195")</f>
        <v>ictv.global=202313195</v>
      </c>
    </row>
    <row r="2518" spans="1:21">
      <c r="A2518">
        <v>2517</v>
      </c>
      <c r="B2518" s="30" t="s">
        <v>1587</v>
      </c>
      <c r="D2518" s="30" t="s">
        <v>1588</v>
      </c>
      <c r="F2518" s="30" t="s">
        <v>1591</v>
      </c>
      <c r="H2518" s="30" t="s">
        <v>1592</v>
      </c>
      <c r="M2518" s="30" t="s">
        <v>819</v>
      </c>
      <c r="N2518" s="30" t="s">
        <v>1442</v>
      </c>
      <c r="P2518" s="30" t="s">
        <v>6224</v>
      </c>
      <c r="Q2518" t="s">
        <v>619</v>
      </c>
      <c r="R2518" t="s">
        <v>918</v>
      </c>
      <c r="S2518">
        <v>37</v>
      </c>
      <c r="T2518" s="29" t="str">
        <f t="shared" ref="T2518:T2526" si="109">HYPERLINK("https://ictv.global/ictv/proposals/2021.010B.R.Binomial_names.zip","2021.010B.R.Binomial_names.zip")</f>
        <v>2021.010B.R.Binomial_names.zip</v>
      </c>
      <c r="U2518" s="29" t="str">
        <f>HYPERLINK("https://ictv.global/taxonomy/taxondetails?taxnode_id=202300751","ictv.global=202300751")</f>
        <v>ictv.global=202300751</v>
      </c>
    </row>
    <row r="2519" spans="1:21">
      <c r="A2519">
        <v>2518</v>
      </c>
      <c r="B2519" s="30" t="s">
        <v>1587</v>
      </c>
      <c r="D2519" s="30" t="s">
        <v>1588</v>
      </c>
      <c r="F2519" s="30" t="s">
        <v>1591</v>
      </c>
      <c r="H2519" s="30" t="s">
        <v>1592</v>
      </c>
      <c r="M2519" s="30" t="s">
        <v>819</v>
      </c>
      <c r="N2519" s="30" t="s">
        <v>1442</v>
      </c>
      <c r="P2519" s="30" t="s">
        <v>6225</v>
      </c>
      <c r="Q2519" t="s">
        <v>619</v>
      </c>
      <c r="R2519" t="s">
        <v>918</v>
      </c>
      <c r="S2519">
        <v>37</v>
      </c>
      <c r="T2519" s="29" t="str">
        <f t="shared" si="109"/>
        <v>2021.010B.R.Binomial_names.zip</v>
      </c>
      <c r="U2519" s="29" t="str">
        <f>HYPERLINK("https://ictv.global/taxonomy/taxondetails?taxnode_id=202300752","ictv.global=202300752")</f>
        <v>ictv.global=202300752</v>
      </c>
    </row>
    <row r="2520" spans="1:21">
      <c r="A2520">
        <v>2519</v>
      </c>
      <c r="B2520" s="30" t="s">
        <v>1587</v>
      </c>
      <c r="D2520" s="30" t="s">
        <v>1588</v>
      </c>
      <c r="F2520" s="30" t="s">
        <v>1591</v>
      </c>
      <c r="H2520" s="30" t="s">
        <v>1592</v>
      </c>
      <c r="M2520" s="30" t="s">
        <v>819</v>
      </c>
      <c r="N2520" s="30" t="s">
        <v>1442</v>
      </c>
      <c r="P2520" s="30" t="s">
        <v>6226</v>
      </c>
      <c r="Q2520" t="s">
        <v>619</v>
      </c>
      <c r="R2520" t="s">
        <v>918</v>
      </c>
      <c r="S2520">
        <v>37</v>
      </c>
      <c r="T2520" s="29" t="str">
        <f t="shared" si="109"/>
        <v>2021.010B.R.Binomial_names.zip</v>
      </c>
      <c r="U2520" s="29" t="str">
        <f>HYPERLINK("https://ictv.global/taxonomy/taxondetails?taxnode_id=202300753","ictv.global=202300753")</f>
        <v>ictv.global=202300753</v>
      </c>
    </row>
    <row r="2521" spans="1:21">
      <c r="A2521">
        <v>2520</v>
      </c>
      <c r="B2521" s="30" t="s">
        <v>1587</v>
      </c>
      <c r="D2521" s="30" t="s">
        <v>1588</v>
      </c>
      <c r="F2521" s="30" t="s">
        <v>1591</v>
      </c>
      <c r="H2521" s="30" t="s">
        <v>1592</v>
      </c>
      <c r="M2521" s="30" t="s">
        <v>819</v>
      </c>
      <c r="N2521" s="30" t="s">
        <v>1442</v>
      </c>
      <c r="P2521" s="30" t="s">
        <v>6227</v>
      </c>
      <c r="Q2521" t="s">
        <v>619</v>
      </c>
      <c r="R2521" t="s">
        <v>918</v>
      </c>
      <c r="S2521">
        <v>37</v>
      </c>
      <c r="T2521" s="29" t="str">
        <f t="shared" si="109"/>
        <v>2021.010B.R.Binomial_names.zip</v>
      </c>
      <c r="U2521" s="29" t="str">
        <f>HYPERLINK("https://ictv.global/taxonomy/taxondetails?taxnode_id=202300754","ictv.global=202300754")</f>
        <v>ictv.global=202300754</v>
      </c>
    </row>
    <row r="2522" spans="1:21">
      <c r="A2522">
        <v>2521</v>
      </c>
      <c r="B2522" s="30" t="s">
        <v>1587</v>
      </c>
      <c r="D2522" s="30" t="s">
        <v>1588</v>
      </c>
      <c r="F2522" s="30" t="s">
        <v>1591</v>
      </c>
      <c r="H2522" s="30" t="s">
        <v>1592</v>
      </c>
      <c r="M2522" s="30" t="s">
        <v>819</v>
      </c>
      <c r="N2522" s="30" t="s">
        <v>1442</v>
      </c>
      <c r="P2522" s="30" t="s">
        <v>6228</v>
      </c>
      <c r="Q2522" t="s">
        <v>619</v>
      </c>
      <c r="R2522" t="s">
        <v>918</v>
      </c>
      <c r="S2522">
        <v>37</v>
      </c>
      <c r="T2522" s="29" t="str">
        <f t="shared" si="109"/>
        <v>2021.010B.R.Binomial_names.zip</v>
      </c>
      <c r="U2522" s="29" t="str">
        <f>HYPERLINK("https://ictv.global/taxonomy/taxondetails?taxnode_id=202300755","ictv.global=202300755")</f>
        <v>ictv.global=202300755</v>
      </c>
    </row>
    <row r="2523" spans="1:21">
      <c r="A2523">
        <v>2522</v>
      </c>
      <c r="B2523" s="30" t="s">
        <v>1587</v>
      </c>
      <c r="D2523" s="30" t="s">
        <v>1588</v>
      </c>
      <c r="F2523" s="30" t="s">
        <v>1591</v>
      </c>
      <c r="H2523" s="30" t="s">
        <v>1592</v>
      </c>
      <c r="M2523" s="30" t="s">
        <v>819</v>
      </c>
      <c r="N2523" s="30" t="s">
        <v>1442</v>
      </c>
      <c r="P2523" s="30" t="s">
        <v>6229</v>
      </c>
      <c r="Q2523" t="s">
        <v>619</v>
      </c>
      <c r="R2523" t="s">
        <v>918</v>
      </c>
      <c r="S2523">
        <v>37</v>
      </c>
      <c r="T2523" s="29" t="str">
        <f t="shared" si="109"/>
        <v>2021.010B.R.Binomial_names.zip</v>
      </c>
      <c r="U2523" s="29" t="str">
        <f>HYPERLINK("https://ictv.global/taxonomy/taxondetails?taxnode_id=202300756","ictv.global=202300756")</f>
        <v>ictv.global=202300756</v>
      </c>
    </row>
    <row r="2524" spans="1:21">
      <c r="A2524">
        <v>2523</v>
      </c>
      <c r="B2524" s="30" t="s">
        <v>1587</v>
      </c>
      <c r="D2524" s="30" t="s">
        <v>1588</v>
      </c>
      <c r="F2524" s="30" t="s">
        <v>1591</v>
      </c>
      <c r="H2524" s="30" t="s">
        <v>1592</v>
      </c>
      <c r="M2524" s="30" t="s">
        <v>819</v>
      </c>
      <c r="N2524" s="30" t="s">
        <v>822</v>
      </c>
      <c r="P2524" s="30" t="s">
        <v>6230</v>
      </c>
      <c r="Q2524" t="s">
        <v>619</v>
      </c>
      <c r="R2524" t="s">
        <v>918</v>
      </c>
      <c r="S2524">
        <v>37</v>
      </c>
      <c r="T2524" s="29" t="str">
        <f t="shared" si="109"/>
        <v>2021.010B.R.Binomial_names.zip</v>
      </c>
      <c r="U2524" s="29" t="str">
        <f>HYPERLINK("https://ictv.global/taxonomy/taxondetails?taxnode_id=202300758","ictv.global=202300758")</f>
        <v>ictv.global=202300758</v>
      </c>
    </row>
    <row r="2525" spans="1:21">
      <c r="A2525">
        <v>2524</v>
      </c>
      <c r="B2525" s="30" t="s">
        <v>1587</v>
      </c>
      <c r="D2525" s="30" t="s">
        <v>1588</v>
      </c>
      <c r="F2525" s="30" t="s">
        <v>1591</v>
      </c>
      <c r="H2525" s="30" t="s">
        <v>1592</v>
      </c>
      <c r="M2525" s="30" t="s">
        <v>819</v>
      </c>
      <c r="N2525" s="30" t="s">
        <v>822</v>
      </c>
      <c r="P2525" s="30" t="s">
        <v>6231</v>
      </c>
      <c r="Q2525" t="s">
        <v>619</v>
      </c>
      <c r="R2525" t="s">
        <v>918</v>
      </c>
      <c r="S2525">
        <v>37</v>
      </c>
      <c r="T2525" s="29" t="str">
        <f t="shared" si="109"/>
        <v>2021.010B.R.Binomial_names.zip</v>
      </c>
      <c r="U2525" s="29" t="str">
        <f>HYPERLINK("https://ictv.global/taxonomy/taxondetails?taxnode_id=202300759","ictv.global=202300759")</f>
        <v>ictv.global=202300759</v>
      </c>
    </row>
    <row r="2526" spans="1:21">
      <c r="A2526">
        <v>2525</v>
      </c>
      <c r="B2526" s="30" t="s">
        <v>1587</v>
      </c>
      <c r="D2526" s="30" t="s">
        <v>1588</v>
      </c>
      <c r="F2526" s="30" t="s">
        <v>1591</v>
      </c>
      <c r="H2526" s="30" t="s">
        <v>1592</v>
      </c>
      <c r="M2526" s="30" t="s">
        <v>819</v>
      </c>
      <c r="N2526" s="30" t="s">
        <v>822</v>
      </c>
      <c r="P2526" s="30" t="s">
        <v>6232</v>
      </c>
      <c r="Q2526" t="s">
        <v>619</v>
      </c>
      <c r="R2526" t="s">
        <v>918</v>
      </c>
      <c r="S2526">
        <v>37</v>
      </c>
      <c r="T2526" s="29" t="str">
        <f t="shared" si="109"/>
        <v>2021.010B.R.Binomial_names.zip</v>
      </c>
      <c r="U2526" s="29" t="str">
        <f>HYPERLINK("https://ictv.global/taxonomy/taxondetails?taxnode_id=202300760","ictv.global=202300760")</f>
        <v>ictv.global=202300760</v>
      </c>
    </row>
    <row r="2527" spans="1:21">
      <c r="A2527">
        <v>2526</v>
      </c>
      <c r="B2527" s="30" t="s">
        <v>1587</v>
      </c>
      <c r="D2527" s="30" t="s">
        <v>1588</v>
      </c>
      <c r="F2527" s="30" t="s">
        <v>1591</v>
      </c>
      <c r="H2527" s="30" t="s">
        <v>1592</v>
      </c>
      <c r="M2527" s="30" t="s">
        <v>819</v>
      </c>
      <c r="N2527" s="30" t="s">
        <v>822</v>
      </c>
      <c r="P2527" s="30" t="s">
        <v>6233</v>
      </c>
      <c r="Q2527" t="s">
        <v>619</v>
      </c>
      <c r="R2527" t="s">
        <v>917</v>
      </c>
      <c r="S2527">
        <v>37</v>
      </c>
      <c r="T2527" s="29" t="str">
        <f>HYPERLINK("https://ictv.global/ictv/proposals/2021.007B.R.Bclasvirinae.zip","2021.007B.R.Bclasvirinae.zip")</f>
        <v>2021.007B.R.Bclasvirinae.zip</v>
      </c>
      <c r="U2527" s="29" t="str">
        <f>HYPERLINK("https://ictv.global/taxonomy/taxondetails?taxnode_id=202313193","ictv.global=202313193")</f>
        <v>ictv.global=202313193</v>
      </c>
    </row>
    <row r="2528" spans="1:21">
      <c r="A2528">
        <v>2527</v>
      </c>
      <c r="B2528" s="30" t="s">
        <v>1587</v>
      </c>
      <c r="D2528" s="30" t="s">
        <v>1588</v>
      </c>
      <c r="F2528" s="30" t="s">
        <v>1591</v>
      </c>
      <c r="H2528" s="30" t="s">
        <v>1592</v>
      </c>
      <c r="M2528" s="30" t="s">
        <v>819</v>
      </c>
      <c r="N2528" s="30" t="s">
        <v>822</v>
      </c>
      <c r="P2528" s="30" t="s">
        <v>6234</v>
      </c>
      <c r="Q2528" t="s">
        <v>619</v>
      </c>
      <c r="R2528" t="s">
        <v>918</v>
      </c>
      <c r="S2528">
        <v>37</v>
      </c>
      <c r="T2528" s="29" t="str">
        <f>HYPERLINK("https://ictv.global/ictv/proposals/2021.010B.R.Binomial_names.zip","2021.010B.R.Binomial_names.zip")</f>
        <v>2021.010B.R.Binomial_names.zip</v>
      </c>
      <c r="U2528" s="29" t="str">
        <f>HYPERLINK("https://ictv.global/taxonomy/taxondetails?taxnode_id=202300761","ictv.global=202300761")</f>
        <v>ictv.global=202300761</v>
      </c>
    </row>
    <row r="2529" spans="1:21">
      <c r="A2529">
        <v>2528</v>
      </c>
      <c r="B2529" s="30" t="s">
        <v>1587</v>
      </c>
      <c r="D2529" s="30" t="s">
        <v>1588</v>
      </c>
      <c r="F2529" s="30" t="s">
        <v>1591</v>
      </c>
      <c r="H2529" s="30" t="s">
        <v>1592</v>
      </c>
      <c r="M2529" s="30" t="s">
        <v>819</v>
      </c>
      <c r="N2529" s="30" t="s">
        <v>6235</v>
      </c>
      <c r="P2529" s="30" t="s">
        <v>6236</v>
      </c>
      <c r="Q2529" t="s">
        <v>619</v>
      </c>
      <c r="R2529" t="s">
        <v>917</v>
      </c>
      <c r="S2529">
        <v>37</v>
      </c>
      <c r="T2529" s="29" t="str">
        <f>HYPERLINK("https://ictv.global/ictv/proposals/2021.007B.R.Bclasvirinae.zip","2021.007B.R.Bclasvirinae.zip")</f>
        <v>2021.007B.R.Bclasvirinae.zip</v>
      </c>
      <c r="U2529" s="29" t="str">
        <f>HYPERLINK("https://ictv.global/taxonomy/taxondetails?taxnode_id=202313187","ictv.global=202313187")</f>
        <v>ictv.global=202313187</v>
      </c>
    </row>
    <row r="2530" spans="1:21">
      <c r="A2530">
        <v>2529</v>
      </c>
      <c r="B2530" s="30" t="s">
        <v>1587</v>
      </c>
      <c r="D2530" s="30" t="s">
        <v>1588</v>
      </c>
      <c r="F2530" s="30" t="s">
        <v>1591</v>
      </c>
      <c r="H2530" s="30" t="s">
        <v>1592</v>
      </c>
      <c r="M2530" s="30" t="s">
        <v>819</v>
      </c>
      <c r="N2530" s="30" t="s">
        <v>6235</v>
      </c>
      <c r="P2530" s="30" t="s">
        <v>6237</v>
      </c>
      <c r="Q2530" t="s">
        <v>619</v>
      </c>
      <c r="R2530" t="s">
        <v>917</v>
      </c>
      <c r="S2530">
        <v>37</v>
      </c>
      <c r="T2530" s="29" t="str">
        <f>HYPERLINK("https://ictv.global/ictv/proposals/2021.007B.R.Bclasvirinae.zip","2021.007B.R.Bclasvirinae.zip")</f>
        <v>2021.007B.R.Bclasvirinae.zip</v>
      </c>
      <c r="U2530" s="29" t="str">
        <f>HYPERLINK("https://ictv.global/taxonomy/taxondetails?taxnode_id=202313186","ictv.global=202313186")</f>
        <v>ictv.global=202313186</v>
      </c>
    </row>
    <row r="2531" spans="1:21">
      <c r="A2531">
        <v>2530</v>
      </c>
      <c r="B2531" s="30" t="s">
        <v>1587</v>
      </c>
      <c r="D2531" s="30" t="s">
        <v>1588</v>
      </c>
      <c r="F2531" s="30" t="s">
        <v>1591</v>
      </c>
      <c r="H2531" s="30" t="s">
        <v>1592</v>
      </c>
      <c r="M2531" s="30" t="s">
        <v>819</v>
      </c>
      <c r="N2531" s="30" t="s">
        <v>823</v>
      </c>
      <c r="P2531" s="30" t="s">
        <v>6238</v>
      </c>
      <c r="Q2531" t="s">
        <v>619</v>
      </c>
      <c r="R2531" t="s">
        <v>918</v>
      </c>
      <c r="S2531">
        <v>37</v>
      </c>
      <c r="T2531" s="29" t="str">
        <f>HYPERLINK("https://ictv.global/ictv/proposals/2021.010B.R.Binomial_names.zip","2021.010B.R.Binomial_names.zip")</f>
        <v>2021.010B.R.Binomial_names.zip</v>
      </c>
      <c r="U2531" s="29" t="str">
        <f>HYPERLINK("https://ictv.global/taxonomy/taxondetails?taxnode_id=202300763","ictv.global=202300763")</f>
        <v>ictv.global=202300763</v>
      </c>
    </row>
    <row r="2532" spans="1:21">
      <c r="A2532">
        <v>2531</v>
      </c>
      <c r="B2532" s="30" t="s">
        <v>1587</v>
      </c>
      <c r="D2532" s="30" t="s">
        <v>1588</v>
      </c>
      <c r="F2532" s="30" t="s">
        <v>1591</v>
      </c>
      <c r="H2532" s="30" t="s">
        <v>1592</v>
      </c>
      <c r="M2532" s="30" t="s">
        <v>819</v>
      </c>
      <c r="N2532" s="30" t="s">
        <v>823</v>
      </c>
      <c r="P2532" s="30" t="s">
        <v>6239</v>
      </c>
      <c r="Q2532" t="s">
        <v>619</v>
      </c>
      <c r="R2532" t="s">
        <v>917</v>
      </c>
      <c r="S2532">
        <v>37</v>
      </c>
      <c r="T2532" s="29" t="str">
        <f>HYPERLINK("https://ictv.global/ictv/proposals/2021.007B.R.Bclasvirinae.zip","2021.007B.R.Bclasvirinae.zip")</f>
        <v>2021.007B.R.Bclasvirinae.zip</v>
      </c>
      <c r="U2532" s="29" t="str">
        <f>HYPERLINK("https://ictv.global/taxonomy/taxondetails?taxnode_id=202313194","ictv.global=202313194")</f>
        <v>ictv.global=202313194</v>
      </c>
    </row>
    <row r="2533" spans="1:21">
      <c r="A2533">
        <v>2532</v>
      </c>
      <c r="B2533" s="30" t="s">
        <v>1587</v>
      </c>
      <c r="D2533" s="30" t="s">
        <v>1588</v>
      </c>
      <c r="F2533" s="30" t="s">
        <v>1591</v>
      </c>
      <c r="H2533" s="30" t="s">
        <v>1592</v>
      </c>
      <c r="M2533" s="30" t="s">
        <v>819</v>
      </c>
      <c r="N2533" s="30" t="s">
        <v>823</v>
      </c>
      <c r="P2533" s="30" t="s">
        <v>6240</v>
      </c>
      <c r="Q2533" t="s">
        <v>619</v>
      </c>
      <c r="R2533" t="s">
        <v>918</v>
      </c>
      <c r="S2533">
        <v>37</v>
      </c>
      <c r="T2533" s="29" t="str">
        <f>HYPERLINK("https://ictv.global/ictv/proposals/2021.010B.R.Binomial_names.zip","2021.010B.R.Binomial_names.zip")</f>
        <v>2021.010B.R.Binomial_names.zip</v>
      </c>
      <c r="U2533" s="29" t="str">
        <f>HYPERLINK("https://ictv.global/taxonomy/taxondetails?taxnode_id=202300764","ictv.global=202300764")</f>
        <v>ictv.global=202300764</v>
      </c>
    </row>
    <row r="2534" spans="1:21">
      <c r="A2534">
        <v>2533</v>
      </c>
      <c r="B2534" s="30" t="s">
        <v>1587</v>
      </c>
      <c r="D2534" s="30" t="s">
        <v>1588</v>
      </c>
      <c r="F2534" s="30" t="s">
        <v>1591</v>
      </c>
      <c r="H2534" s="30" t="s">
        <v>1592</v>
      </c>
      <c r="M2534" s="30" t="s">
        <v>819</v>
      </c>
      <c r="N2534" s="30" t="s">
        <v>823</v>
      </c>
      <c r="P2534" s="30" t="s">
        <v>6241</v>
      </c>
      <c r="Q2534" t="s">
        <v>619</v>
      </c>
      <c r="R2534" t="s">
        <v>918</v>
      </c>
      <c r="S2534">
        <v>37</v>
      </c>
      <c r="T2534" s="29" t="str">
        <f>HYPERLINK("https://ictv.global/ictv/proposals/2021.010B.R.Binomial_names.zip","2021.010B.R.Binomial_names.zip")</f>
        <v>2021.010B.R.Binomial_names.zip</v>
      </c>
      <c r="U2534" s="29" t="str">
        <f>HYPERLINK("https://ictv.global/taxonomy/taxondetails?taxnode_id=202301060","ictv.global=202301060")</f>
        <v>ictv.global=202301060</v>
      </c>
    </row>
    <row r="2535" spans="1:21">
      <c r="A2535">
        <v>2534</v>
      </c>
      <c r="B2535" s="30" t="s">
        <v>1587</v>
      </c>
      <c r="D2535" s="30" t="s">
        <v>1588</v>
      </c>
      <c r="F2535" s="30" t="s">
        <v>1591</v>
      </c>
      <c r="H2535" s="30" t="s">
        <v>1592</v>
      </c>
      <c r="M2535" s="30" t="s">
        <v>819</v>
      </c>
      <c r="N2535" s="30" t="s">
        <v>6242</v>
      </c>
      <c r="P2535" s="30" t="s">
        <v>6243</v>
      </c>
      <c r="Q2535" t="s">
        <v>619</v>
      </c>
      <c r="R2535" t="s">
        <v>917</v>
      </c>
      <c r="S2535">
        <v>37</v>
      </c>
      <c r="T2535" s="29" t="str">
        <f>HYPERLINK("https://ictv.global/ictv/proposals/2021.007B.R.Bclasvirinae.zip","2021.007B.R.Bclasvirinae.zip")</f>
        <v>2021.007B.R.Bclasvirinae.zip</v>
      </c>
      <c r="U2535" s="29" t="str">
        <f>HYPERLINK("https://ictv.global/taxonomy/taxondetails?taxnode_id=202313184","ictv.global=202313184")</f>
        <v>ictv.global=202313184</v>
      </c>
    </row>
    <row r="2536" spans="1:21">
      <c r="A2536">
        <v>2535</v>
      </c>
      <c r="B2536" s="30" t="s">
        <v>1587</v>
      </c>
      <c r="D2536" s="30" t="s">
        <v>1588</v>
      </c>
      <c r="F2536" s="30" t="s">
        <v>1591</v>
      </c>
      <c r="H2536" s="30" t="s">
        <v>1592</v>
      </c>
      <c r="M2536" s="30" t="s">
        <v>819</v>
      </c>
      <c r="N2536" s="30" t="s">
        <v>6244</v>
      </c>
      <c r="P2536" s="30" t="s">
        <v>6245</v>
      </c>
      <c r="Q2536" t="s">
        <v>619</v>
      </c>
      <c r="R2536" t="s">
        <v>917</v>
      </c>
      <c r="S2536">
        <v>37</v>
      </c>
      <c r="T2536" s="29" t="str">
        <f>HYPERLINK("https://ictv.global/ictv/proposals/2021.007B.R.Bclasvirinae.zip","2021.007B.R.Bclasvirinae.zip")</f>
        <v>2021.007B.R.Bclasvirinae.zip</v>
      </c>
      <c r="U2536" s="29" t="str">
        <f>HYPERLINK("https://ictv.global/taxonomy/taxondetails?taxnode_id=202313178","ictv.global=202313178")</f>
        <v>ictv.global=202313178</v>
      </c>
    </row>
    <row r="2537" spans="1:21">
      <c r="A2537">
        <v>2536</v>
      </c>
      <c r="B2537" s="30" t="s">
        <v>1587</v>
      </c>
      <c r="D2537" s="30" t="s">
        <v>1588</v>
      </c>
      <c r="F2537" s="30" t="s">
        <v>1591</v>
      </c>
      <c r="H2537" s="30" t="s">
        <v>1592</v>
      </c>
      <c r="M2537" s="30" t="s">
        <v>6246</v>
      </c>
      <c r="N2537" s="30" t="s">
        <v>6247</v>
      </c>
      <c r="P2537" s="30" t="s">
        <v>6248</v>
      </c>
      <c r="Q2537" t="s">
        <v>619</v>
      </c>
      <c r="R2537" t="s">
        <v>917</v>
      </c>
      <c r="S2537">
        <v>38</v>
      </c>
      <c r="T2537" s="29" t="str">
        <f>HYPERLINK("https://ictv.global/ictv/proposals/2022.012B.Beaumontvirinae_nsf.zip","2022.012B.Beaumontvirinae_nsf.zip")</f>
        <v>2022.012B.Beaumontvirinae_nsf.zip</v>
      </c>
      <c r="U2537" s="29" t="str">
        <f>HYPERLINK("https://ictv.global/taxonomy/taxondetails?taxnode_id=202314519","ictv.global=202314519")</f>
        <v>ictv.global=202314519</v>
      </c>
    </row>
    <row r="2538" spans="1:21">
      <c r="A2538">
        <v>2537</v>
      </c>
      <c r="B2538" s="30" t="s">
        <v>1587</v>
      </c>
      <c r="D2538" s="30" t="s">
        <v>1588</v>
      </c>
      <c r="F2538" s="30" t="s">
        <v>1591</v>
      </c>
      <c r="H2538" s="30" t="s">
        <v>1592</v>
      </c>
      <c r="M2538" s="30" t="s">
        <v>6246</v>
      </c>
      <c r="N2538" s="30" t="s">
        <v>6247</v>
      </c>
      <c r="P2538" s="30" t="s">
        <v>6249</v>
      </c>
      <c r="Q2538" t="s">
        <v>619</v>
      </c>
      <c r="R2538" t="s">
        <v>917</v>
      </c>
      <c r="S2538">
        <v>38</v>
      </c>
      <c r="T2538" s="29" t="str">
        <f>HYPERLINK("https://ictv.global/ictv/proposals/2022.012B.Beaumontvirinae_nsf.zip","2022.012B.Beaumontvirinae_nsf.zip")</f>
        <v>2022.012B.Beaumontvirinae_nsf.zip</v>
      </c>
      <c r="U2538" s="29" t="str">
        <f>HYPERLINK("https://ictv.global/taxonomy/taxondetails?taxnode_id=202314520","ictv.global=202314520")</f>
        <v>ictv.global=202314520</v>
      </c>
    </row>
    <row r="2539" spans="1:21">
      <c r="A2539">
        <v>2538</v>
      </c>
      <c r="B2539" s="30" t="s">
        <v>1587</v>
      </c>
      <c r="D2539" s="30" t="s">
        <v>1588</v>
      </c>
      <c r="F2539" s="30" t="s">
        <v>1591</v>
      </c>
      <c r="H2539" s="30" t="s">
        <v>1592</v>
      </c>
      <c r="M2539" s="30" t="s">
        <v>6246</v>
      </c>
      <c r="N2539" s="30" t="s">
        <v>6247</v>
      </c>
      <c r="P2539" s="30" t="s">
        <v>6250</v>
      </c>
      <c r="Q2539" t="s">
        <v>619</v>
      </c>
      <c r="R2539" t="s">
        <v>917</v>
      </c>
      <c r="S2539">
        <v>38</v>
      </c>
      <c r="T2539" s="29" t="str">
        <f>HYPERLINK("https://ictv.global/ictv/proposals/2022.012B.Beaumontvirinae_nsf.zip","2022.012B.Beaumontvirinae_nsf.zip")</f>
        <v>2022.012B.Beaumontvirinae_nsf.zip</v>
      </c>
      <c r="U2539" s="29" t="str">
        <f>HYPERLINK("https://ictv.global/taxonomy/taxondetails?taxnode_id=202314521","ictv.global=202314521")</f>
        <v>ictv.global=202314521</v>
      </c>
    </row>
    <row r="2540" spans="1:21">
      <c r="A2540">
        <v>2539</v>
      </c>
      <c r="B2540" s="30" t="s">
        <v>1587</v>
      </c>
      <c r="D2540" s="30" t="s">
        <v>1588</v>
      </c>
      <c r="F2540" s="30" t="s">
        <v>1591</v>
      </c>
      <c r="H2540" s="30" t="s">
        <v>1592</v>
      </c>
      <c r="M2540" s="30" t="s">
        <v>6246</v>
      </c>
      <c r="N2540" s="30" t="s">
        <v>6251</v>
      </c>
      <c r="P2540" s="30" t="s">
        <v>6252</v>
      </c>
      <c r="Q2540" t="s">
        <v>619</v>
      </c>
      <c r="R2540" t="s">
        <v>917</v>
      </c>
      <c r="S2540">
        <v>38</v>
      </c>
      <c r="T2540" s="29" t="str">
        <f>HYPERLINK("https://ictv.global/ictv/proposals/2022.012B.Beaumontvirinae_nsf.zip","2022.012B.Beaumontvirinae_nsf.zip")</f>
        <v>2022.012B.Beaumontvirinae_nsf.zip</v>
      </c>
      <c r="U2540" s="29" t="str">
        <f>HYPERLINK("https://ictv.global/taxonomy/taxondetails?taxnode_id=202314517","ictv.global=202314517")</f>
        <v>ictv.global=202314517</v>
      </c>
    </row>
    <row r="2541" spans="1:21">
      <c r="A2541">
        <v>2540</v>
      </c>
      <c r="B2541" s="30" t="s">
        <v>1587</v>
      </c>
      <c r="D2541" s="30" t="s">
        <v>1588</v>
      </c>
      <c r="F2541" s="30" t="s">
        <v>1591</v>
      </c>
      <c r="H2541" s="30" t="s">
        <v>1592</v>
      </c>
      <c r="M2541" s="30" t="s">
        <v>6246</v>
      </c>
      <c r="N2541" s="30" t="s">
        <v>6253</v>
      </c>
      <c r="P2541" s="30" t="s">
        <v>6254</v>
      </c>
      <c r="Q2541" t="s">
        <v>619</v>
      </c>
      <c r="R2541" t="s">
        <v>917</v>
      </c>
      <c r="S2541">
        <v>38</v>
      </c>
      <c r="T2541" s="29" t="str">
        <f>HYPERLINK("https://ictv.global/ictv/proposals/2022.012B.Beaumontvirinae_nsf.zip","2022.012B.Beaumontvirinae_nsf.zip")</f>
        <v>2022.012B.Beaumontvirinae_nsf.zip</v>
      </c>
      <c r="U2541" s="29" t="str">
        <f>HYPERLINK("https://ictv.global/taxonomy/taxondetails?taxnode_id=202314518","ictv.global=202314518")</f>
        <v>ictv.global=202314518</v>
      </c>
    </row>
    <row r="2542" spans="1:21">
      <c r="A2542">
        <v>2541</v>
      </c>
      <c r="B2542" s="30" t="s">
        <v>1587</v>
      </c>
      <c r="D2542" s="30" t="s">
        <v>1588</v>
      </c>
      <c r="F2542" s="30" t="s">
        <v>1591</v>
      </c>
      <c r="H2542" s="30" t="s">
        <v>1592</v>
      </c>
      <c r="M2542" s="30" t="s">
        <v>2296</v>
      </c>
      <c r="N2542" s="30" t="s">
        <v>2297</v>
      </c>
      <c r="P2542" s="30" t="s">
        <v>6255</v>
      </c>
      <c r="Q2542" t="s">
        <v>619</v>
      </c>
      <c r="R2542" t="s">
        <v>918</v>
      </c>
      <c r="S2542">
        <v>37</v>
      </c>
      <c r="T2542" s="29" t="str">
        <f t="shared" ref="T2542:T2571" si="110">HYPERLINK("https://ictv.global/ictv/proposals/2021.010B.R.Binomial_names.zip","2021.010B.R.Binomial_names.zip")</f>
        <v>2021.010B.R.Binomial_names.zip</v>
      </c>
      <c r="U2542" s="29" t="str">
        <f>HYPERLINK("https://ictv.global/taxonomy/taxondetails?taxnode_id=202309630","ictv.global=202309630")</f>
        <v>ictv.global=202309630</v>
      </c>
    </row>
    <row r="2543" spans="1:21">
      <c r="A2543">
        <v>2542</v>
      </c>
      <c r="B2543" s="30" t="s">
        <v>1587</v>
      </c>
      <c r="D2543" s="30" t="s">
        <v>1588</v>
      </c>
      <c r="F2543" s="30" t="s">
        <v>1591</v>
      </c>
      <c r="H2543" s="30" t="s">
        <v>1592</v>
      </c>
      <c r="M2543" s="30" t="s">
        <v>2296</v>
      </c>
      <c r="N2543" s="30" t="s">
        <v>2298</v>
      </c>
      <c r="P2543" s="30" t="s">
        <v>6256</v>
      </c>
      <c r="Q2543" t="s">
        <v>619</v>
      </c>
      <c r="R2543" t="s">
        <v>918</v>
      </c>
      <c r="S2543">
        <v>37</v>
      </c>
      <c r="T2543" s="29" t="str">
        <f t="shared" si="110"/>
        <v>2021.010B.R.Binomial_names.zip</v>
      </c>
      <c r="U2543" s="29" t="str">
        <f>HYPERLINK("https://ictv.global/taxonomy/taxondetails?taxnode_id=202309628","ictv.global=202309628")</f>
        <v>ictv.global=202309628</v>
      </c>
    </row>
    <row r="2544" spans="1:21">
      <c r="A2544">
        <v>2543</v>
      </c>
      <c r="B2544" s="30" t="s">
        <v>1587</v>
      </c>
      <c r="D2544" s="30" t="s">
        <v>1588</v>
      </c>
      <c r="F2544" s="30" t="s">
        <v>1591</v>
      </c>
      <c r="H2544" s="30" t="s">
        <v>1592</v>
      </c>
      <c r="M2544" s="30" t="s">
        <v>2296</v>
      </c>
      <c r="N2544" s="30" t="s">
        <v>2299</v>
      </c>
      <c r="P2544" s="30" t="s">
        <v>6257</v>
      </c>
      <c r="Q2544" t="s">
        <v>619</v>
      </c>
      <c r="R2544" t="s">
        <v>918</v>
      </c>
      <c r="S2544">
        <v>37</v>
      </c>
      <c r="T2544" s="29" t="str">
        <f t="shared" si="110"/>
        <v>2021.010B.R.Binomial_names.zip</v>
      </c>
      <c r="U2544" s="29" t="str">
        <f>HYPERLINK("https://ictv.global/taxonomy/taxondetails?taxnode_id=202309634","ictv.global=202309634")</f>
        <v>ictv.global=202309634</v>
      </c>
    </row>
    <row r="2545" spans="1:21">
      <c r="A2545">
        <v>2544</v>
      </c>
      <c r="B2545" s="30" t="s">
        <v>1587</v>
      </c>
      <c r="D2545" s="30" t="s">
        <v>1588</v>
      </c>
      <c r="F2545" s="30" t="s">
        <v>1591</v>
      </c>
      <c r="H2545" s="30" t="s">
        <v>1592</v>
      </c>
      <c r="M2545" s="30" t="s">
        <v>2296</v>
      </c>
      <c r="N2545" s="30" t="s">
        <v>2299</v>
      </c>
      <c r="P2545" s="30" t="s">
        <v>6258</v>
      </c>
      <c r="Q2545" t="s">
        <v>619</v>
      </c>
      <c r="R2545" t="s">
        <v>918</v>
      </c>
      <c r="S2545">
        <v>37</v>
      </c>
      <c r="T2545" s="29" t="str">
        <f t="shared" si="110"/>
        <v>2021.010B.R.Binomial_names.zip</v>
      </c>
      <c r="U2545" s="29" t="str">
        <f>HYPERLINK("https://ictv.global/taxonomy/taxondetails?taxnode_id=202309632","ictv.global=202309632")</f>
        <v>ictv.global=202309632</v>
      </c>
    </row>
    <row r="2546" spans="1:21">
      <c r="A2546">
        <v>2545</v>
      </c>
      <c r="B2546" s="30" t="s">
        <v>1587</v>
      </c>
      <c r="D2546" s="30" t="s">
        <v>1588</v>
      </c>
      <c r="F2546" s="30" t="s">
        <v>1591</v>
      </c>
      <c r="H2546" s="30" t="s">
        <v>1592</v>
      </c>
      <c r="M2546" s="30" t="s">
        <v>2296</v>
      </c>
      <c r="N2546" s="30" t="s">
        <v>2299</v>
      </c>
      <c r="P2546" s="30" t="s">
        <v>6259</v>
      </c>
      <c r="Q2546" t="s">
        <v>619</v>
      </c>
      <c r="R2546" t="s">
        <v>918</v>
      </c>
      <c r="S2546">
        <v>37</v>
      </c>
      <c r="T2546" s="29" t="str">
        <f t="shared" si="110"/>
        <v>2021.010B.R.Binomial_names.zip</v>
      </c>
      <c r="U2546" s="29" t="str">
        <f>HYPERLINK("https://ictv.global/taxonomy/taxondetails?taxnode_id=202309633","ictv.global=202309633")</f>
        <v>ictv.global=202309633</v>
      </c>
    </row>
    <row r="2547" spans="1:21">
      <c r="A2547">
        <v>2546</v>
      </c>
      <c r="B2547" s="30" t="s">
        <v>1587</v>
      </c>
      <c r="D2547" s="30" t="s">
        <v>1588</v>
      </c>
      <c r="F2547" s="30" t="s">
        <v>1591</v>
      </c>
      <c r="H2547" s="30" t="s">
        <v>1592</v>
      </c>
      <c r="M2547" s="30" t="s">
        <v>2378</v>
      </c>
      <c r="N2547" s="30" t="s">
        <v>660</v>
      </c>
      <c r="P2547" s="30" t="s">
        <v>6260</v>
      </c>
      <c r="Q2547" t="s">
        <v>619</v>
      </c>
      <c r="R2547" t="s">
        <v>918</v>
      </c>
      <c r="S2547">
        <v>37</v>
      </c>
      <c r="T2547" s="29" t="str">
        <f t="shared" si="110"/>
        <v>2021.010B.R.Binomial_names.zip</v>
      </c>
      <c r="U2547" s="29" t="str">
        <f>HYPERLINK("https://ictv.global/taxonomy/taxondetails?taxnode_id=202309695","ictv.global=202309695")</f>
        <v>ictv.global=202309695</v>
      </c>
    </row>
    <row r="2548" spans="1:21">
      <c r="A2548">
        <v>2547</v>
      </c>
      <c r="B2548" s="30" t="s">
        <v>1587</v>
      </c>
      <c r="D2548" s="30" t="s">
        <v>1588</v>
      </c>
      <c r="F2548" s="30" t="s">
        <v>1591</v>
      </c>
      <c r="H2548" s="30" t="s">
        <v>1592</v>
      </c>
      <c r="M2548" s="30" t="s">
        <v>2378</v>
      </c>
      <c r="N2548" s="30" t="s">
        <v>660</v>
      </c>
      <c r="P2548" s="30" t="s">
        <v>6261</v>
      </c>
      <c r="Q2548" t="s">
        <v>619</v>
      </c>
      <c r="R2548" t="s">
        <v>918</v>
      </c>
      <c r="S2548">
        <v>37</v>
      </c>
      <c r="T2548" s="29" t="str">
        <f t="shared" si="110"/>
        <v>2021.010B.R.Binomial_names.zip</v>
      </c>
      <c r="U2548" s="29" t="str">
        <f>HYPERLINK("https://ictv.global/taxonomy/taxondetails?taxnode_id=202300861","ictv.global=202300861")</f>
        <v>ictv.global=202300861</v>
      </c>
    </row>
    <row r="2549" spans="1:21">
      <c r="A2549">
        <v>2548</v>
      </c>
      <c r="B2549" s="30" t="s">
        <v>1587</v>
      </c>
      <c r="D2549" s="30" t="s">
        <v>1588</v>
      </c>
      <c r="F2549" s="30" t="s">
        <v>1591</v>
      </c>
      <c r="H2549" s="30" t="s">
        <v>1592</v>
      </c>
      <c r="M2549" s="30" t="s">
        <v>2378</v>
      </c>
      <c r="N2549" s="30" t="s">
        <v>660</v>
      </c>
      <c r="P2549" s="30" t="s">
        <v>6262</v>
      </c>
      <c r="Q2549" t="s">
        <v>619</v>
      </c>
      <c r="R2549" t="s">
        <v>918</v>
      </c>
      <c r="S2549">
        <v>37</v>
      </c>
      <c r="T2549" s="29" t="str">
        <f t="shared" si="110"/>
        <v>2021.010B.R.Binomial_names.zip</v>
      </c>
      <c r="U2549" s="29" t="str">
        <f>HYPERLINK("https://ictv.global/taxonomy/taxondetails?taxnode_id=202309694","ictv.global=202309694")</f>
        <v>ictv.global=202309694</v>
      </c>
    </row>
    <row r="2550" spans="1:21">
      <c r="A2550">
        <v>2549</v>
      </c>
      <c r="B2550" s="30" t="s">
        <v>1587</v>
      </c>
      <c r="D2550" s="30" t="s">
        <v>1588</v>
      </c>
      <c r="F2550" s="30" t="s">
        <v>1591</v>
      </c>
      <c r="H2550" s="30" t="s">
        <v>1592</v>
      </c>
      <c r="M2550" s="30" t="s">
        <v>2378</v>
      </c>
      <c r="N2550" s="30" t="s">
        <v>660</v>
      </c>
      <c r="P2550" s="30" t="s">
        <v>6263</v>
      </c>
      <c r="Q2550" t="s">
        <v>619</v>
      </c>
      <c r="R2550" t="s">
        <v>918</v>
      </c>
      <c r="S2550">
        <v>37</v>
      </c>
      <c r="T2550" s="29" t="str">
        <f t="shared" si="110"/>
        <v>2021.010B.R.Binomial_names.zip</v>
      </c>
      <c r="U2550" s="29" t="str">
        <f>HYPERLINK("https://ictv.global/taxonomy/taxondetails?taxnode_id=202309697","ictv.global=202309697")</f>
        <v>ictv.global=202309697</v>
      </c>
    </row>
    <row r="2551" spans="1:21">
      <c r="A2551">
        <v>2550</v>
      </c>
      <c r="B2551" s="30" t="s">
        <v>1587</v>
      </c>
      <c r="D2551" s="30" t="s">
        <v>1588</v>
      </c>
      <c r="F2551" s="30" t="s">
        <v>1591</v>
      </c>
      <c r="H2551" s="30" t="s">
        <v>1592</v>
      </c>
      <c r="M2551" s="30" t="s">
        <v>2378</v>
      </c>
      <c r="N2551" s="30" t="s">
        <v>660</v>
      </c>
      <c r="P2551" s="30" t="s">
        <v>6264</v>
      </c>
      <c r="Q2551" t="s">
        <v>619</v>
      </c>
      <c r="R2551" t="s">
        <v>918</v>
      </c>
      <c r="S2551">
        <v>37</v>
      </c>
      <c r="T2551" s="29" t="str">
        <f t="shared" si="110"/>
        <v>2021.010B.R.Binomial_names.zip</v>
      </c>
      <c r="U2551" s="29" t="str">
        <f>HYPERLINK("https://ictv.global/taxonomy/taxondetails?taxnode_id=202309693","ictv.global=202309693")</f>
        <v>ictv.global=202309693</v>
      </c>
    </row>
    <row r="2552" spans="1:21">
      <c r="A2552">
        <v>2551</v>
      </c>
      <c r="B2552" s="30" t="s">
        <v>1587</v>
      </c>
      <c r="D2552" s="30" t="s">
        <v>1588</v>
      </c>
      <c r="F2552" s="30" t="s">
        <v>1591</v>
      </c>
      <c r="H2552" s="30" t="s">
        <v>1592</v>
      </c>
      <c r="M2552" s="30" t="s">
        <v>2378</v>
      </c>
      <c r="N2552" s="30" t="s">
        <v>660</v>
      </c>
      <c r="P2552" s="30" t="s">
        <v>6265</v>
      </c>
      <c r="Q2552" t="s">
        <v>619</v>
      </c>
      <c r="R2552" t="s">
        <v>918</v>
      </c>
      <c r="S2552">
        <v>37</v>
      </c>
      <c r="T2552" s="29" t="str">
        <f t="shared" si="110"/>
        <v>2021.010B.R.Binomial_names.zip</v>
      </c>
      <c r="U2552" s="29" t="str">
        <f>HYPERLINK("https://ictv.global/taxonomy/taxondetails?taxnode_id=202309688","ictv.global=202309688")</f>
        <v>ictv.global=202309688</v>
      </c>
    </row>
    <row r="2553" spans="1:21">
      <c r="A2553">
        <v>2552</v>
      </c>
      <c r="B2553" s="30" t="s">
        <v>1587</v>
      </c>
      <c r="D2553" s="30" t="s">
        <v>1588</v>
      </c>
      <c r="F2553" s="30" t="s">
        <v>1591</v>
      </c>
      <c r="H2553" s="30" t="s">
        <v>1592</v>
      </c>
      <c r="M2553" s="30" t="s">
        <v>2378</v>
      </c>
      <c r="N2553" s="30" t="s">
        <v>660</v>
      </c>
      <c r="P2553" s="30" t="s">
        <v>6266</v>
      </c>
      <c r="Q2553" t="s">
        <v>619</v>
      </c>
      <c r="R2553" t="s">
        <v>918</v>
      </c>
      <c r="S2553">
        <v>37</v>
      </c>
      <c r="T2553" s="29" t="str">
        <f t="shared" si="110"/>
        <v>2021.010B.R.Binomial_names.zip</v>
      </c>
      <c r="U2553" s="29" t="str">
        <f>HYPERLINK("https://ictv.global/taxonomy/taxondetails?taxnode_id=202309690","ictv.global=202309690")</f>
        <v>ictv.global=202309690</v>
      </c>
    </row>
    <row r="2554" spans="1:21">
      <c r="A2554">
        <v>2553</v>
      </c>
      <c r="B2554" s="30" t="s">
        <v>1587</v>
      </c>
      <c r="D2554" s="30" t="s">
        <v>1588</v>
      </c>
      <c r="F2554" s="30" t="s">
        <v>1591</v>
      </c>
      <c r="H2554" s="30" t="s">
        <v>1592</v>
      </c>
      <c r="M2554" s="30" t="s">
        <v>2378</v>
      </c>
      <c r="N2554" s="30" t="s">
        <v>660</v>
      </c>
      <c r="P2554" s="30" t="s">
        <v>6267</v>
      </c>
      <c r="Q2554" t="s">
        <v>619</v>
      </c>
      <c r="R2554" t="s">
        <v>918</v>
      </c>
      <c r="S2554">
        <v>37</v>
      </c>
      <c r="T2554" s="29" t="str">
        <f t="shared" si="110"/>
        <v>2021.010B.R.Binomial_names.zip</v>
      </c>
      <c r="U2554" s="29" t="str">
        <f>HYPERLINK("https://ictv.global/taxonomy/taxondetails?taxnode_id=202309689","ictv.global=202309689")</f>
        <v>ictv.global=202309689</v>
      </c>
    </row>
    <row r="2555" spans="1:21">
      <c r="A2555">
        <v>2554</v>
      </c>
      <c r="B2555" s="30" t="s">
        <v>1587</v>
      </c>
      <c r="D2555" s="30" t="s">
        <v>1588</v>
      </c>
      <c r="F2555" s="30" t="s">
        <v>1591</v>
      </c>
      <c r="H2555" s="30" t="s">
        <v>1592</v>
      </c>
      <c r="M2555" s="30" t="s">
        <v>2378</v>
      </c>
      <c r="N2555" s="30" t="s">
        <v>660</v>
      </c>
      <c r="P2555" s="30" t="s">
        <v>6268</v>
      </c>
      <c r="Q2555" t="s">
        <v>619</v>
      </c>
      <c r="R2555" t="s">
        <v>918</v>
      </c>
      <c r="S2555">
        <v>37</v>
      </c>
      <c r="T2555" s="29" t="str">
        <f t="shared" si="110"/>
        <v>2021.010B.R.Binomial_names.zip</v>
      </c>
      <c r="U2555" s="29" t="str">
        <f>HYPERLINK("https://ictv.global/taxonomy/taxondetails?taxnode_id=202309687","ictv.global=202309687")</f>
        <v>ictv.global=202309687</v>
      </c>
    </row>
    <row r="2556" spans="1:21">
      <c r="A2556">
        <v>2555</v>
      </c>
      <c r="B2556" s="30" t="s">
        <v>1587</v>
      </c>
      <c r="D2556" s="30" t="s">
        <v>1588</v>
      </c>
      <c r="F2556" s="30" t="s">
        <v>1591</v>
      </c>
      <c r="H2556" s="30" t="s">
        <v>1592</v>
      </c>
      <c r="M2556" s="30" t="s">
        <v>2378</v>
      </c>
      <c r="N2556" s="30" t="s">
        <v>660</v>
      </c>
      <c r="P2556" s="30" t="s">
        <v>6269</v>
      </c>
      <c r="Q2556" t="s">
        <v>619</v>
      </c>
      <c r="R2556" t="s">
        <v>918</v>
      </c>
      <c r="S2556">
        <v>37</v>
      </c>
      <c r="T2556" s="29" t="str">
        <f t="shared" si="110"/>
        <v>2021.010B.R.Binomial_names.zip</v>
      </c>
      <c r="U2556" s="29" t="str">
        <f>HYPERLINK("https://ictv.global/taxonomy/taxondetails?taxnode_id=202309686","ictv.global=202309686")</f>
        <v>ictv.global=202309686</v>
      </c>
    </row>
    <row r="2557" spans="1:21">
      <c r="A2557">
        <v>2556</v>
      </c>
      <c r="B2557" s="30" t="s">
        <v>1587</v>
      </c>
      <c r="D2557" s="30" t="s">
        <v>1588</v>
      </c>
      <c r="F2557" s="30" t="s">
        <v>1591</v>
      </c>
      <c r="H2557" s="30" t="s">
        <v>1592</v>
      </c>
      <c r="M2557" s="30" t="s">
        <v>2378</v>
      </c>
      <c r="N2557" s="30" t="s">
        <v>660</v>
      </c>
      <c r="P2557" s="30" t="s">
        <v>6270</v>
      </c>
      <c r="Q2557" t="s">
        <v>619</v>
      </c>
      <c r="R2557" t="s">
        <v>918</v>
      </c>
      <c r="S2557">
        <v>37</v>
      </c>
      <c r="T2557" s="29" t="str">
        <f t="shared" si="110"/>
        <v>2021.010B.R.Binomial_names.zip</v>
      </c>
      <c r="U2557" s="29" t="str">
        <f>HYPERLINK("https://ictv.global/taxonomy/taxondetails?taxnode_id=202309696","ictv.global=202309696")</f>
        <v>ictv.global=202309696</v>
      </c>
    </row>
    <row r="2558" spans="1:21">
      <c r="A2558">
        <v>2557</v>
      </c>
      <c r="B2558" s="30" t="s">
        <v>1587</v>
      </c>
      <c r="D2558" s="30" t="s">
        <v>1588</v>
      </c>
      <c r="F2558" s="30" t="s">
        <v>1591</v>
      </c>
      <c r="H2558" s="30" t="s">
        <v>1592</v>
      </c>
      <c r="M2558" s="30" t="s">
        <v>2378</v>
      </c>
      <c r="N2558" s="30" t="s">
        <v>660</v>
      </c>
      <c r="P2558" s="30" t="s">
        <v>6271</v>
      </c>
      <c r="Q2558" t="s">
        <v>619</v>
      </c>
      <c r="R2558" t="s">
        <v>918</v>
      </c>
      <c r="S2558">
        <v>37</v>
      </c>
      <c r="T2558" s="29" t="str">
        <f t="shared" si="110"/>
        <v>2021.010B.R.Binomial_names.zip</v>
      </c>
      <c r="U2558" s="29" t="str">
        <f>HYPERLINK("https://ictv.global/taxonomy/taxondetails?taxnode_id=202309698","ictv.global=202309698")</f>
        <v>ictv.global=202309698</v>
      </c>
    </row>
    <row r="2559" spans="1:21">
      <c r="A2559">
        <v>2558</v>
      </c>
      <c r="B2559" s="30" t="s">
        <v>1587</v>
      </c>
      <c r="D2559" s="30" t="s">
        <v>1588</v>
      </c>
      <c r="F2559" s="30" t="s">
        <v>1591</v>
      </c>
      <c r="H2559" s="30" t="s">
        <v>1592</v>
      </c>
      <c r="M2559" s="30" t="s">
        <v>2378</v>
      </c>
      <c r="N2559" s="30" t="s">
        <v>660</v>
      </c>
      <c r="P2559" s="30" t="s">
        <v>6272</v>
      </c>
      <c r="Q2559" t="s">
        <v>619</v>
      </c>
      <c r="R2559" t="s">
        <v>918</v>
      </c>
      <c r="S2559">
        <v>37</v>
      </c>
      <c r="T2559" s="29" t="str">
        <f t="shared" si="110"/>
        <v>2021.010B.R.Binomial_names.zip</v>
      </c>
      <c r="U2559" s="29" t="str">
        <f>HYPERLINK("https://ictv.global/taxonomy/taxondetails?taxnode_id=202309691","ictv.global=202309691")</f>
        <v>ictv.global=202309691</v>
      </c>
    </row>
    <row r="2560" spans="1:21">
      <c r="A2560">
        <v>2559</v>
      </c>
      <c r="B2560" s="30" t="s">
        <v>1587</v>
      </c>
      <c r="D2560" s="30" t="s">
        <v>1588</v>
      </c>
      <c r="F2560" s="30" t="s">
        <v>1591</v>
      </c>
      <c r="H2560" s="30" t="s">
        <v>1592</v>
      </c>
      <c r="M2560" s="30" t="s">
        <v>2378</v>
      </c>
      <c r="N2560" s="30" t="s">
        <v>660</v>
      </c>
      <c r="P2560" s="30" t="s">
        <v>6273</v>
      </c>
      <c r="Q2560" t="s">
        <v>619</v>
      </c>
      <c r="R2560" t="s">
        <v>918</v>
      </c>
      <c r="S2560">
        <v>37</v>
      </c>
      <c r="T2560" s="29" t="str">
        <f t="shared" si="110"/>
        <v>2021.010B.R.Binomial_names.zip</v>
      </c>
      <c r="U2560" s="29" t="str">
        <f>HYPERLINK("https://ictv.global/taxonomy/taxondetails?taxnode_id=202309692","ictv.global=202309692")</f>
        <v>ictv.global=202309692</v>
      </c>
    </row>
    <row r="2561" spans="1:21">
      <c r="A2561">
        <v>2560</v>
      </c>
      <c r="B2561" s="30" t="s">
        <v>1587</v>
      </c>
      <c r="D2561" s="30" t="s">
        <v>1588</v>
      </c>
      <c r="F2561" s="30" t="s">
        <v>1591</v>
      </c>
      <c r="H2561" s="30" t="s">
        <v>1592</v>
      </c>
      <c r="M2561" s="30" t="s">
        <v>2378</v>
      </c>
      <c r="N2561" s="30" t="s">
        <v>2379</v>
      </c>
      <c r="P2561" s="30" t="s">
        <v>6274</v>
      </c>
      <c r="Q2561" t="s">
        <v>619</v>
      </c>
      <c r="R2561" t="s">
        <v>918</v>
      </c>
      <c r="S2561">
        <v>37</v>
      </c>
      <c r="T2561" s="29" t="str">
        <f t="shared" si="110"/>
        <v>2021.010B.R.Binomial_names.zip</v>
      </c>
      <c r="U2561" s="29" t="str">
        <f>HYPERLINK("https://ictv.global/taxonomy/taxondetails?taxnode_id=202309685","ictv.global=202309685")</f>
        <v>ictv.global=202309685</v>
      </c>
    </row>
    <row r="2562" spans="1:21">
      <c r="A2562">
        <v>2561</v>
      </c>
      <c r="B2562" s="30" t="s">
        <v>1587</v>
      </c>
      <c r="D2562" s="30" t="s">
        <v>1588</v>
      </c>
      <c r="F2562" s="30" t="s">
        <v>1591</v>
      </c>
      <c r="H2562" s="30" t="s">
        <v>1592</v>
      </c>
      <c r="M2562" s="30" t="s">
        <v>2378</v>
      </c>
      <c r="N2562" s="30" t="s">
        <v>2379</v>
      </c>
      <c r="P2562" s="30" t="s">
        <v>6275</v>
      </c>
      <c r="Q2562" t="s">
        <v>619</v>
      </c>
      <c r="R2562" t="s">
        <v>918</v>
      </c>
      <c r="S2562">
        <v>37</v>
      </c>
      <c r="T2562" s="29" t="str">
        <f t="shared" si="110"/>
        <v>2021.010B.R.Binomial_names.zip</v>
      </c>
      <c r="U2562" s="29" t="str">
        <f>HYPERLINK("https://ictv.global/taxonomy/taxondetails?taxnode_id=202309683","ictv.global=202309683")</f>
        <v>ictv.global=202309683</v>
      </c>
    </row>
    <row r="2563" spans="1:21">
      <c r="A2563">
        <v>2562</v>
      </c>
      <c r="B2563" s="30" t="s">
        <v>1587</v>
      </c>
      <c r="D2563" s="30" t="s">
        <v>1588</v>
      </c>
      <c r="F2563" s="30" t="s">
        <v>1591</v>
      </c>
      <c r="H2563" s="30" t="s">
        <v>1592</v>
      </c>
      <c r="M2563" s="30" t="s">
        <v>2378</v>
      </c>
      <c r="N2563" s="30" t="s">
        <v>2379</v>
      </c>
      <c r="P2563" s="30" t="s">
        <v>6276</v>
      </c>
      <c r="Q2563" t="s">
        <v>619</v>
      </c>
      <c r="R2563" t="s">
        <v>918</v>
      </c>
      <c r="S2563">
        <v>37</v>
      </c>
      <c r="T2563" s="29" t="str">
        <f t="shared" si="110"/>
        <v>2021.010B.R.Binomial_names.zip</v>
      </c>
      <c r="U2563" s="29" t="str">
        <f>HYPERLINK("https://ictv.global/taxonomy/taxondetails?taxnode_id=202300860","ictv.global=202300860")</f>
        <v>ictv.global=202300860</v>
      </c>
    </row>
    <row r="2564" spans="1:21">
      <c r="A2564">
        <v>2563</v>
      </c>
      <c r="B2564" s="30" t="s">
        <v>1587</v>
      </c>
      <c r="D2564" s="30" t="s">
        <v>1588</v>
      </c>
      <c r="F2564" s="30" t="s">
        <v>1591</v>
      </c>
      <c r="H2564" s="30" t="s">
        <v>1592</v>
      </c>
      <c r="M2564" s="30" t="s">
        <v>2378</v>
      </c>
      <c r="N2564" s="30" t="s">
        <v>2379</v>
      </c>
      <c r="P2564" s="30" t="s">
        <v>6277</v>
      </c>
      <c r="Q2564" t="s">
        <v>619</v>
      </c>
      <c r="R2564" t="s">
        <v>918</v>
      </c>
      <c r="S2564">
        <v>37</v>
      </c>
      <c r="T2564" s="29" t="str">
        <f t="shared" si="110"/>
        <v>2021.010B.R.Binomial_names.zip</v>
      </c>
      <c r="U2564" s="29" t="str">
        <f>HYPERLINK("https://ictv.global/taxonomy/taxondetails?taxnode_id=202309684","ictv.global=202309684")</f>
        <v>ictv.global=202309684</v>
      </c>
    </row>
    <row r="2565" spans="1:21">
      <c r="A2565">
        <v>2564</v>
      </c>
      <c r="B2565" s="30" t="s">
        <v>1587</v>
      </c>
      <c r="D2565" s="30" t="s">
        <v>1588</v>
      </c>
      <c r="F2565" s="30" t="s">
        <v>1591</v>
      </c>
      <c r="H2565" s="30" t="s">
        <v>1592</v>
      </c>
      <c r="M2565" s="30" t="s">
        <v>2378</v>
      </c>
      <c r="N2565" s="30" t="s">
        <v>2379</v>
      </c>
      <c r="P2565" s="30" t="s">
        <v>6278</v>
      </c>
      <c r="Q2565" t="s">
        <v>619</v>
      </c>
      <c r="R2565" t="s">
        <v>918</v>
      </c>
      <c r="S2565">
        <v>37</v>
      </c>
      <c r="T2565" s="29" t="str">
        <f t="shared" si="110"/>
        <v>2021.010B.R.Binomial_names.zip</v>
      </c>
      <c r="U2565" s="29" t="str">
        <f>HYPERLINK("https://ictv.global/taxonomy/taxondetails?taxnode_id=202309681","ictv.global=202309681")</f>
        <v>ictv.global=202309681</v>
      </c>
    </row>
    <row r="2566" spans="1:21">
      <c r="A2566">
        <v>2565</v>
      </c>
      <c r="B2566" s="30" t="s">
        <v>1587</v>
      </c>
      <c r="D2566" s="30" t="s">
        <v>1588</v>
      </c>
      <c r="F2566" s="30" t="s">
        <v>1591</v>
      </c>
      <c r="H2566" s="30" t="s">
        <v>1592</v>
      </c>
      <c r="M2566" s="30" t="s">
        <v>2378</v>
      </c>
      <c r="N2566" s="30" t="s">
        <v>2379</v>
      </c>
      <c r="P2566" s="30" t="s">
        <v>6279</v>
      </c>
      <c r="Q2566" t="s">
        <v>619</v>
      </c>
      <c r="R2566" t="s">
        <v>918</v>
      </c>
      <c r="S2566">
        <v>37</v>
      </c>
      <c r="T2566" s="29" t="str">
        <f t="shared" si="110"/>
        <v>2021.010B.R.Binomial_names.zip</v>
      </c>
      <c r="U2566" s="29" t="str">
        <f>HYPERLINK("https://ictv.global/taxonomy/taxondetails?taxnode_id=202309678","ictv.global=202309678")</f>
        <v>ictv.global=202309678</v>
      </c>
    </row>
    <row r="2567" spans="1:21">
      <c r="A2567">
        <v>2566</v>
      </c>
      <c r="B2567" s="30" t="s">
        <v>1587</v>
      </c>
      <c r="D2567" s="30" t="s">
        <v>1588</v>
      </c>
      <c r="F2567" s="30" t="s">
        <v>1591</v>
      </c>
      <c r="H2567" s="30" t="s">
        <v>1592</v>
      </c>
      <c r="M2567" s="30" t="s">
        <v>2378</v>
      </c>
      <c r="N2567" s="30" t="s">
        <v>2379</v>
      </c>
      <c r="P2567" s="30" t="s">
        <v>6280</v>
      </c>
      <c r="Q2567" t="s">
        <v>619</v>
      </c>
      <c r="R2567" t="s">
        <v>918</v>
      </c>
      <c r="S2567">
        <v>37</v>
      </c>
      <c r="T2567" s="29" t="str">
        <f t="shared" si="110"/>
        <v>2021.010B.R.Binomial_names.zip</v>
      </c>
      <c r="U2567" s="29" t="str">
        <f>HYPERLINK("https://ictv.global/taxonomy/taxondetails?taxnode_id=202300862","ictv.global=202300862")</f>
        <v>ictv.global=202300862</v>
      </c>
    </row>
    <row r="2568" spans="1:21">
      <c r="A2568">
        <v>2567</v>
      </c>
      <c r="B2568" s="30" t="s">
        <v>1587</v>
      </c>
      <c r="D2568" s="30" t="s">
        <v>1588</v>
      </c>
      <c r="F2568" s="30" t="s">
        <v>1591</v>
      </c>
      <c r="H2568" s="30" t="s">
        <v>1592</v>
      </c>
      <c r="M2568" s="30" t="s">
        <v>2378</v>
      </c>
      <c r="N2568" s="30" t="s">
        <v>2379</v>
      </c>
      <c r="P2568" s="30" t="s">
        <v>6281</v>
      </c>
      <c r="Q2568" t="s">
        <v>619</v>
      </c>
      <c r="R2568" t="s">
        <v>918</v>
      </c>
      <c r="S2568">
        <v>37</v>
      </c>
      <c r="T2568" s="29" t="str">
        <f t="shared" si="110"/>
        <v>2021.010B.R.Binomial_names.zip</v>
      </c>
      <c r="U2568" s="29" t="str">
        <f>HYPERLINK("https://ictv.global/taxonomy/taxondetails?taxnode_id=202309680","ictv.global=202309680")</f>
        <v>ictv.global=202309680</v>
      </c>
    </row>
    <row r="2569" spans="1:21">
      <c r="A2569">
        <v>2568</v>
      </c>
      <c r="B2569" s="30" t="s">
        <v>1587</v>
      </c>
      <c r="D2569" s="30" t="s">
        <v>1588</v>
      </c>
      <c r="F2569" s="30" t="s">
        <v>1591</v>
      </c>
      <c r="H2569" s="30" t="s">
        <v>1592</v>
      </c>
      <c r="M2569" s="30" t="s">
        <v>2378</v>
      </c>
      <c r="N2569" s="30" t="s">
        <v>2379</v>
      </c>
      <c r="P2569" s="30" t="s">
        <v>6282</v>
      </c>
      <c r="Q2569" t="s">
        <v>619</v>
      </c>
      <c r="R2569" t="s">
        <v>918</v>
      </c>
      <c r="S2569">
        <v>37</v>
      </c>
      <c r="T2569" s="29" t="str">
        <f t="shared" si="110"/>
        <v>2021.010B.R.Binomial_names.zip</v>
      </c>
      <c r="U2569" s="29" t="str">
        <f>HYPERLINK("https://ictv.global/taxonomy/taxondetails?taxnode_id=202309682","ictv.global=202309682")</f>
        <v>ictv.global=202309682</v>
      </c>
    </row>
    <row r="2570" spans="1:21">
      <c r="A2570">
        <v>2569</v>
      </c>
      <c r="B2570" s="30" t="s">
        <v>1587</v>
      </c>
      <c r="D2570" s="30" t="s">
        <v>1588</v>
      </c>
      <c r="F2570" s="30" t="s">
        <v>1591</v>
      </c>
      <c r="H2570" s="30" t="s">
        <v>1592</v>
      </c>
      <c r="M2570" s="30" t="s">
        <v>2378</v>
      </c>
      <c r="N2570" s="30" t="s">
        <v>2379</v>
      </c>
      <c r="P2570" s="30" t="s">
        <v>6283</v>
      </c>
      <c r="Q2570" t="s">
        <v>619</v>
      </c>
      <c r="R2570" t="s">
        <v>918</v>
      </c>
      <c r="S2570">
        <v>37</v>
      </c>
      <c r="T2570" s="29" t="str">
        <f t="shared" si="110"/>
        <v>2021.010B.R.Binomial_names.zip</v>
      </c>
      <c r="U2570" s="29" t="str">
        <f>HYPERLINK("https://ictv.global/taxonomy/taxondetails?taxnode_id=202309679","ictv.global=202309679")</f>
        <v>ictv.global=202309679</v>
      </c>
    </row>
    <row r="2571" spans="1:21">
      <c r="A2571">
        <v>2570</v>
      </c>
      <c r="B2571" s="30" t="s">
        <v>1587</v>
      </c>
      <c r="D2571" s="30" t="s">
        <v>1588</v>
      </c>
      <c r="F2571" s="30" t="s">
        <v>1591</v>
      </c>
      <c r="H2571" s="30" t="s">
        <v>1592</v>
      </c>
      <c r="M2571" s="30" t="s">
        <v>6284</v>
      </c>
      <c r="N2571" s="30" t="s">
        <v>1350</v>
      </c>
      <c r="P2571" s="30" t="s">
        <v>6285</v>
      </c>
      <c r="Q2571" t="s">
        <v>619</v>
      </c>
      <c r="R2571" t="s">
        <v>918</v>
      </c>
      <c r="S2571">
        <v>37</v>
      </c>
      <c r="T2571" s="29" t="str">
        <f t="shared" si="110"/>
        <v>2021.010B.R.Binomial_names.zip</v>
      </c>
      <c r="U2571" s="29" t="str">
        <f>HYPERLINK("https://ictv.global/taxonomy/taxondetails?taxnode_id=202300413","ictv.global=202300413")</f>
        <v>ictv.global=202300413</v>
      </c>
    </row>
    <row r="2572" spans="1:21">
      <c r="A2572">
        <v>2571</v>
      </c>
      <c r="B2572" s="30" t="s">
        <v>1587</v>
      </c>
      <c r="D2572" s="30" t="s">
        <v>1588</v>
      </c>
      <c r="F2572" s="30" t="s">
        <v>1591</v>
      </c>
      <c r="H2572" s="30" t="s">
        <v>1592</v>
      </c>
      <c r="M2572" s="30" t="s">
        <v>6284</v>
      </c>
      <c r="N2572" s="30" t="s">
        <v>1350</v>
      </c>
      <c r="P2572" s="30" t="s">
        <v>6286</v>
      </c>
      <c r="Q2572" t="s">
        <v>619</v>
      </c>
      <c r="R2572" t="s">
        <v>917</v>
      </c>
      <c r="S2572">
        <v>37</v>
      </c>
      <c r="T2572" s="29" t="str">
        <f>HYPERLINK("https://ictv.global/ictv/proposals/2021.016B.R.Ceeclamvirinae.zip","2021.016B.R.Ceeclamvirinae.zip")</f>
        <v>2021.016B.R.Ceeclamvirinae.zip</v>
      </c>
      <c r="U2572" s="29" t="str">
        <f>HYPERLINK("https://ictv.global/taxonomy/taxondetails?taxnode_id=202313038","ictv.global=202313038")</f>
        <v>ictv.global=202313038</v>
      </c>
    </row>
    <row r="2573" spans="1:21">
      <c r="A2573">
        <v>2572</v>
      </c>
      <c r="B2573" s="30" t="s">
        <v>1587</v>
      </c>
      <c r="D2573" s="30" t="s">
        <v>1588</v>
      </c>
      <c r="F2573" s="30" t="s">
        <v>1591</v>
      </c>
      <c r="H2573" s="30" t="s">
        <v>1592</v>
      </c>
      <c r="M2573" s="30" t="s">
        <v>6284</v>
      </c>
      <c r="N2573" s="30" t="s">
        <v>1350</v>
      </c>
      <c r="P2573" s="30" t="s">
        <v>6287</v>
      </c>
      <c r="Q2573" t="s">
        <v>619</v>
      </c>
      <c r="R2573" t="s">
        <v>917</v>
      </c>
      <c r="S2573">
        <v>37</v>
      </c>
      <c r="T2573" s="29" t="str">
        <f>HYPERLINK("https://ictv.global/ictv/proposals/2021.016B.R.Ceeclamvirinae.zip","2021.016B.R.Ceeclamvirinae.zip")</f>
        <v>2021.016B.R.Ceeclamvirinae.zip</v>
      </c>
      <c r="U2573" s="29" t="str">
        <f>HYPERLINK("https://ictv.global/taxonomy/taxondetails?taxnode_id=202313039","ictv.global=202313039")</f>
        <v>ictv.global=202313039</v>
      </c>
    </row>
    <row r="2574" spans="1:21">
      <c r="A2574">
        <v>2573</v>
      </c>
      <c r="B2574" s="30" t="s">
        <v>1587</v>
      </c>
      <c r="D2574" s="30" t="s">
        <v>1588</v>
      </c>
      <c r="F2574" s="30" t="s">
        <v>1591</v>
      </c>
      <c r="H2574" s="30" t="s">
        <v>1592</v>
      </c>
      <c r="M2574" s="30" t="s">
        <v>6284</v>
      </c>
      <c r="N2574" s="30" t="s">
        <v>1350</v>
      </c>
      <c r="P2574" s="30" t="s">
        <v>6288</v>
      </c>
      <c r="Q2574" t="s">
        <v>619</v>
      </c>
      <c r="R2574" t="s">
        <v>918</v>
      </c>
      <c r="S2574">
        <v>37</v>
      </c>
      <c r="T2574" s="29" t="str">
        <f>HYPERLINK("https://ictv.global/ictv/proposals/2021.010B.R.Binomial_names.zip","2021.010B.R.Binomial_names.zip")</f>
        <v>2021.010B.R.Binomial_names.zip</v>
      </c>
      <c r="U2574" s="29" t="str">
        <f>HYPERLINK("https://ictv.global/taxonomy/taxondetails?taxnode_id=202300414","ictv.global=202300414")</f>
        <v>ictv.global=202300414</v>
      </c>
    </row>
    <row r="2575" spans="1:21">
      <c r="A2575">
        <v>2574</v>
      </c>
      <c r="B2575" s="30" t="s">
        <v>1587</v>
      </c>
      <c r="D2575" s="30" t="s">
        <v>1588</v>
      </c>
      <c r="F2575" s="30" t="s">
        <v>1591</v>
      </c>
      <c r="H2575" s="30" t="s">
        <v>1592</v>
      </c>
      <c r="M2575" s="30" t="s">
        <v>6284</v>
      </c>
      <c r="N2575" s="30" t="s">
        <v>1350</v>
      </c>
      <c r="P2575" s="30" t="s">
        <v>6289</v>
      </c>
      <c r="Q2575" t="s">
        <v>619</v>
      </c>
      <c r="R2575" t="s">
        <v>917</v>
      </c>
      <c r="S2575">
        <v>37</v>
      </c>
      <c r="T2575" s="29" t="str">
        <f>HYPERLINK("https://ictv.global/ictv/proposals/2021.016B.R.Ceeclamvirinae.zip","2021.016B.R.Ceeclamvirinae.zip")</f>
        <v>2021.016B.R.Ceeclamvirinae.zip</v>
      </c>
      <c r="U2575" s="29" t="str">
        <f>HYPERLINK("https://ictv.global/taxonomy/taxondetails?taxnode_id=202313040","ictv.global=202313040")</f>
        <v>ictv.global=202313040</v>
      </c>
    </row>
    <row r="2576" spans="1:21">
      <c r="A2576">
        <v>2575</v>
      </c>
      <c r="B2576" s="30" t="s">
        <v>1587</v>
      </c>
      <c r="D2576" s="30" t="s">
        <v>1588</v>
      </c>
      <c r="F2576" s="30" t="s">
        <v>1591</v>
      </c>
      <c r="H2576" s="30" t="s">
        <v>1592</v>
      </c>
      <c r="M2576" s="30" t="s">
        <v>6284</v>
      </c>
      <c r="N2576" s="30" t="s">
        <v>1350</v>
      </c>
      <c r="P2576" s="30" t="s">
        <v>6290</v>
      </c>
      <c r="Q2576" t="s">
        <v>619</v>
      </c>
      <c r="R2576" t="s">
        <v>917</v>
      </c>
      <c r="S2576">
        <v>37</v>
      </c>
      <c r="T2576" s="29" t="str">
        <f>HYPERLINK("https://ictv.global/ictv/proposals/2021.016B.R.Ceeclamvirinae.zip","2021.016B.R.Ceeclamvirinae.zip")</f>
        <v>2021.016B.R.Ceeclamvirinae.zip</v>
      </c>
      <c r="U2576" s="29" t="str">
        <f>HYPERLINK("https://ictv.global/taxonomy/taxondetails?taxnode_id=202313041","ictv.global=202313041")</f>
        <v>ictv.global=202313041</v>
      </c>
    </row>
    <row r="2577" spans="1:21">
      <c r="A2577">
        <v>2576</v>
      </c>
      <c r="B2577" s="30" t="s">
        <v>1587</v>
      </c>
      <c r="D2577" s="30" t="s">
        <v>1588</v>
      </c>
      <c r="F2577" s="30" t="s">
        <v>1591</v>
      </c>
      <c r="H2577" s="30" t="s">
        <v>1592</v>
      </c>
      <c r="M2577" s="30" t="s">
        <v>6284</v>
      </c>
      <c r="N2577" s="30" t="s">
        <v>1350</v>
      </c>
      <c r="P2577" s="30" t="s">
        <v>6291</v>
      </c>
      <c r="Q2577" t="s">
        <v>619</v>
      </c>
      <c r="R2577" t="s">
        <v>918</v>
      </c>
      <c r="S2577">
        <v>37</v>
      </c>
      <c r="T2577" s="29" t="str">
        <f>HYPERLINK("https://ictv.global/ictv/proposals/2021.010B.R.Binomial_names.zip","2021.010B.R.Binomial_names.zip")</f>
        <v>2021.010B.R.Binomial_names.zip</v>
      </c>
      <c r="U2577" s="29" t="str">
        <f>HYPERLINK("https://ictv.global/taxonomy/taxondetails?taxnode_id=202300415","ictv.global=202300415")</f>
        <v>ictv.global=202300415</v>
      </c>
    </row>
    <row r="2578" spans="1:21">
      <c r="A2578">
        <v>2577</v>
      </c>
      <c r="B2578" s="30" t="s">
        <v>1587</v>
      </c>
      <c r="D2578" s="30" t="s">
        <v>1588</v>
      </c>
      <c r="F2578" s="30" t="s">
        <v>1591</v>
      </c>
      <c r="H2578" s="30" t="s">
        <v>1592</v>
      </c>
      <c r="M2578" s="30" t="s">
        <v>6284</v>
      </c>
      <c r="N2578" s="30" t="s">
        <v>1350</v>
      </c>
      <c r="P2578" s="30" t="s">
        <v>6292</v>
      </c>
      <c r="Q2578" t="s">
        <v>619</v>
      </c>
      <c r="R2578" t="s">
        <v>918</v>
      </c>
      <c r="S2578">
        <v>37</v>
      </c>
      <c r="T2578" s="29" t="str">
        <f>HYPERLINK("https://ictv.global/ictv/proposals/2021.010B.R.Binomial_names.zip","2021.010B.R.Binomial_names.zip")</f>
        <v>2021.010B.R.Binomial_names.zip</v>
      </c>
      <c r="U2578" s="29" t="str">
        <f>HYPERLINK("https://ictv.global/taxonomy/taxondetails?taxnode_id=202300416","ictv.global=202300416")</f>
        <v>ictv.global=202300416</v>
      </c>
    </row>
    <row r="2579" spans="1:21">
      <c r="A2579">
        <v>2578</v>
      </c>
      <c r="B2579" s="30" t="s">
        <v>1587</v>
      </c>
      <c r="D2579" s="30" t="s">
        <v>1588</v>
      </c>
      <c r="F2579" s="30" t="s">
        <v>1591</v>
      </c>
      <c r="H2579" s="30" t="s">
        <v>1592</v>
      </c>
      <c r="M2579" s="30" t="s">
        <v>6284</v>
      </c>
      <c r="N2579" s="30" t="s">
        <v>1350</v>
      </c>
      <c r="P2579" s="30" t="s">
        <v>6293</v>
      </c>
      <c r="Q2579" t="s">
        <v>619</v>
      </c>
      <c r="R2579" t="s">
        <v>918</v>
      </c>
      <c r="S2579">
        <v>37</v>
      </c>
      <c r="T2579" s="29" t="str">
        <f>HYPERLINK("https://ictv.global/ictv/proposals/2021.010B.R.Binomial_names.zip","2021.010B.R.Binomial_names.zip")</f>
        <v>2021.010B.R.Binomial_names.zip</v>
      </c>
      <c r="U2579" s="29" t="str">
        <f>HYPERLINK("https://ictv.global/taxonomy/taxondetails?taxnode_id=202300417","ictv.global=202300417")</f>
        <v>ictv.global=202300417</v>
      </c>
    </row>
    <row r="2580" spans="1:21">
      <c r="A2580">
        <v>2579</v>
      </c>
      <c r="B2580" s="30" t="s">
        <v>1587</v>
      </c>
      <c r="D2580" s="30" t="s">
        <v>1588</v>
      </c>
      <c r="F2580" s="30" t="s">
        <v>1591</v>
      </c>
      <c r="H2580" s="30" t="s">
        <v>1592</v>
      </c>
      <c r="M2580" s="30" t="s">
        <v>6284</v>
      </c>
      <c r="N2580" s="30" t="s">
        <v>1350</v>
      </c>
      <c r="P2580" s="30" t="s">
        <v>6294</v>
      </c>
      <c r="Q2580" t="s">
        <v>619</v>
      </c>
      <c r="R2580" t="s">
        <v>918</v>
      </c>
      <c r="S2580">
        <v>37</v>
      </c>
      <c r="T2580" s="29" t="str">
        <f>HYPERLINK("https://ictv.global/ictv/proposals/2021.010B.R.Binomial_names.zip","2021.010B.R.Binomial_names.zip")</f>
        <v>2021.010B.R.Binomial_names.zip</v>
      </c>
      <c r="U2580" s="29" t="str">
        <f>HYPERLINK("https://ictv.global/taxonomy/taxondetails?taxnode_id=202306997","ictv.global=202306997")</f>
        <v>ictv.global=202306997</v>
      </c>
    </row>
    <row r="2581" spans="1:21">
      <c r="A2581">
        <v>2580</v>
      </c>
      <c r="B2581" s="30" t="s">
        <v>1587</v>
      </c>
      <c r="D2581" s="30" t="s">
        <v>1588</v>
      </c>
      <c r="F2581" s="30" t="s">
        <v>1591</v>
      </c>
      <c r="H2581" s="30" t="s">
        <v>1592</v>
      </c>
      <c r="M2581" s="30" t="s">
        <v>6284</v>
      </c>
      <c r="N2581" s="30" t="s">
        <v>1350</v>
      </c>
      <c r="P2581" s="30" t="s">
        <v>6295</v>
      </c>
      <c r="Q2581" t="s">
        <v>619</v>
      </c>
      <c r="R2581" t="s">
        <v>917</v>
      </c>
      <c r="S2581">
        <v>37</v>
      </c>
      <c r="T2581" s="29" t="str">
        <f>HYPERLINK("https://ictv.global/ictv/proposals/2021.016B.R.Ceeclamvirinae.zip","2021.016B.R.Ceeclamvirinae.zip")</f>
        <v>2021.016B.R.Ceeclamvirinae.zip</v>
      </c>
      <c r="U2581" s="29" t="str">
        <f>HYPERLINK("https://ictv.global/taxonomy/taxondetails?taxnode_id=202313042","ictv.global=202313042")</f>
        <v>ictv.global=202313042</v>
      </c>
    </row>
    <row r="2582" spans="1:21">
      <c r="A2582">
        <v>2581</v>
      </c>
      <c r="B2582" s="30" t="s">
        <v>1587</v>
      </c>
      <c r="D2582" s="30" t="s">
        <v>1588</v>
      </c>
      <c r="F2582" s="30" t="s">
        <v>1591</v>
      </c>
      <c r="H2582" s="30" t="s">
        <v>1592</v>
      </c>
      <c r="M2582" s="30" t="s">
        <v>6284</v>
      </c>
      <c r="N2582" s="30" t="s">
        <v>1350</v>
      </c>
      <c r="P2582" s="30" t="s">
        <v>6296</v>
      </c>
      <c r="Q2582" t="s">
        <v>619</v>
      </c>
      <c r="R2582" t="s">
        <v>918</v>
      </c>
      <c r="S2582">
        <v>37</v>
      </c>
      <c r="T2582" s="29" t="str">
        <f>HYPERLINK("https://ictv.global/ictv/proposals/2021.010B.R.Binomial_names.zip","2021.010B.R.Binomial_names.zip")</f>
        <v>2021.010B.R.Binomial_names.zip</v>
      </c>
      <c r="U2582" s="29" t="str">
        <f>HYPERLINK("https://ictv.global/taxonomy/taxondetails?taxnode_id=202300418","ictv.global=202300418")</f>
        <v>ictv.global=202300418</v>
      </c>
    </row>
    <row r="2583" spans="1:21">
      <c r="A2583">
        <v>2582</v>
      </c>
      <c r="B2583" s="30" t="s">
        <v>1587</v>
      </c>
      <c r="D2583" s="30" t="s">
        <v>1588</v>
      </c>
      <c r="F2583" s="30" t="s">
        <v>1591</v>
      </c>
      <c r="H2583" s="30" t="s">
        <v>1592</v>
      </c>
      <c r="M2583" s="30" t="s">
        <v>6284</v>
      </c>
      <c r="N2583" s="30" t="s">
        <v>1350</v>
      </c>
      <c r="P2583" s="30" t="s">
        <v>6297</v>
      </c>
      <c r="Q2583" t="s">
        <v>619</v>
      </c>
      <c r="R2583" t="s">
        <v>917</v>
      </c>
      <c r="S2583">
        <v>37</v>
      </c>
      <c r="T2583" s="29" t="str">
        <f>HYPERLINK("https://ictv.global/ictv/proposals/2021.016B.R.Ceeclamvirinae.zip","2021.016B.R.Ceeclamvirinae.zip")</f>
        <v>2021.016B.R.Ceeclamvirinae.zip</v>
      </c>
      <c r="U2583" s="29" t="str">
        <f>HYPERLINK("https://ictv.global/taxonomy/taxondetails?taxnode_id=202313043","ictv.global=202313043")</f>
        <v>ictv.global=202313043</v>
      </c>
    </row>
    <row r="2584" spans="1:21">
      <c r="A2584">
        <v>2583</v>
      </c>
      <c r="B2584" s="30" t="s">
        <v>1587</v>
      </c>
      <c r="D2584" s="30" t="s">
        <v>1588</v>
      </c>
      <c r="F2584" s="30" t="s">
        <v>1591</v>
      </c>
      <c r="H2584" s="30" t="s">
        <v>1592</v>
      </c>
      <c r="M2584" s="30" t="s">
        <v>6284</v>
      </c>
      <c r="N2584" s="30" t="s">
        <v>1350</v>
      </c>
      <c r="P2584" s="30" t="s">
        <v>6298</v>
      </c>
      <c r="Q2584" t="s">
        <v>619</v>
      </c>
      <c r="R2584" t="s">
        <v>917</v>
      </c>
      <c r="S2584">
        <v>37</v>
      </c>
      <c r="T2584" s="29" t="str">
        <f>HYPERLINK("https://ictv.global/ictv/proposals/2021.016B.R.Ceeclamvirinae.zip","2021.016B.R.Ceeclamvirinae.zip")</f>
        <v>2021.016B.R.Ceeclamvirinae.zip</v>
      </c>
      <c r="U2584" s="29" t="str">
        <f>HYPERLINK("https://ictv.global/taxonomy/taxondetails?taxnode_id=202313044","ictv.global=202313044")</f>
        <v>ictv.global=202313044</v>
      </c>
    </row>
    <row r="2585" spans="1:21">
      <c r="A2585">
        <v>2584</v>
      </c>
      <c r="B2585" s="30" t="s">
        <v>1587</v>
      </c>
      <c r="D2585" s="30" t="s">
        <v>1588</v>
      </c>
      <c r="F2585" s="30" t="s">
        <v>1591</v>
      </c>
      <c r="H2585" s="30" t="s">
        <v>1592</v>
      </c>
      <c r="M2585" s="30" t="s">
        <v>6284</v>
      </c>
      <c r="N2585" s="30" t="s">
        <v>1350</v>
      </c>
      <c r="P2585" s="30" t="s">
        <v>6299</v>
      </c>
      <c r="Q2585" t="s">
        <v>619</v>
      </c>
      <c r="R2585" t="s">
        <v>917</v>
      </c>
      <c r="S2585">
        <v>37</v>
      </c>
      <c r="T2585" s="29" t="str">
        <f>HYPERLINK("https://ictv.global/ictv/proposals/2021.016B.R.Ceeclamvirinae.zip","2021.016B.R.Ceeclamvirinae.zip")</f>
        <v>2021.016B.R.Ceeclamvirinae.zip</v>
      </c>
      <c r="U2585" s="29" t="str">
        <f>HYPERLINK("https://ictv.global/taxonomy/taxondetails?taxnode_id=202313045","ictv.global=202313045")</f>
        <v>ictv.global=202313045</v>
      </c>
    </row>
    <row r="2586" spans="1:21">
      <c r="A2586">
        <v>2585</v>
      </c>
      <c r="B2586" s="30" t="s">
        <v>1587</v>
      </c>
      <c r="D2586" s="30" t="s">
        <v>1588</v>
      </c>
      <c r="F2586" s="30" t="s">
        <v>1591</v>
      </c>
      <c r="H2586" s="30" t="s">
        <v>1592</v>
      </c>
      <c r="M2586" s="30" t="s">
        <v>6284</v>
      </c>
      <c r="N2586" s="30" t="s">
        <v>1350</v>
      </c>
      <c r="P2586" s="30" t="s">
        <v>6300</v>
      </c>
      <c r="Q2586" t="s">
        <v>619</v>
      </c>
      <c r="R2586" t="s">
        <v>917</v>
      </c>
      <c r="S2586">
        <v>37</v>
      </c>
      <c r="T2586" s="29" t="str">
        <f>HYPERLINK("https://ictv.global/ictv/proposals/2021.016B.R.Ceeclamvirinae.zip","2021.016B.R.Ceeclamvirinae.zip")</f>
        <v>2021.016B.R.Ceeclamvirinae.zip</v>
      </c>
      <c r="U2586" s="29" t="str">
        <f>HYPERLINK("https://ictv.global/taxonomy/taxondetails?taxnode_id=202313046","ictv.global=202313046")</f>
        <v>ictv.global=202313046</v>
      </c>
    </row>
    <row r="2587" spans="1:21">
      <c r="A2587">
        <v>2586</v>
      </c>
      <c r="B2587" s="30" t="s">
        <v>1587</v>
      </c>
      <c r="D2587" s="30" t="s">
        <v>1588</v>
      </c>
      <c r="F2587" s="30" t="s">
        <v>1591</v>
      </c>
      <c r="H2587" s="30" t="s">
        <v>1592</v>
      </c>
      <c r="M2587" s="30" t="s">
        <v>6284</v>
      </c>
      <c r="N2587" s="30" t="s">
        <v>1350</v>
      </c>
      <c r="P2587" s="30" t="s">
        <v>6301</v>
      </c>
      <c r="Q2587" t="s">
        <v>619</v>
      </c>
      <c r="R2587" t="s">
        <v>918</v>
      </c>
      <c r="S2587">
        <v>37</v>
      </c>
      <c r="T2587" s="29" t="str">
        <f>HYPERLINK("https://ictv.global/ictv/proposals/2021.010B.R.Binomial_names.zip","2021.010B.R.Binomial_names.zip")</f>
        <v>2021.010B.R.Binomial_names.zip</v>
      </c>
      <c r="U2587" s="29" t="str">
        <f>HYPERLINK("https://ictv.global/taxonomy/taxondetails?taxnode_id=202300419","ictv.global=202300419")</f>
        <v>ictv.global=202300419</v>
      </c>
    </row>
    <row r="2588" spans="1:21">
      <c r="A2588">
        <v>2587</v>
      </c>
      <c r="B2588" s="30" t="s">
        <v>1587</v>
      </c>
      <c r="D2588" s="30" t="s">
        <v>1588</v>
      </c>
      <c r="F2588" s="30" t="s">
        <v>1591</v>
      </c>
      <c r="H2588" s="30" t="s">
        <v>1592</v>
      </c>
      <c r="M2588" s="30" t="s">
        <v>6284</v>
      </c>
      <c r="N2588" s="30" t="s">
        <v>1350</v>
      </c>
      <c r="P2588" s="30" t="s">
        <v>6302</v>
      </c>
      <c r="Q2588" t="s">
        <v>619</v>
      </c>
      <c r="R2588" t="s">
        <v>917</v>
      </c>
      <c r="S2588">
        <v>37</v>
      </c>
      <c r="T2588" s="29" t="str">
        <f>HYPERLINK("https://ictv.global/ictv/proposals/2021.016B.R.Ceeclamvirinae.zip","2021.016B.R.Ceeclamvirinae.zip")</f>
        <v>2021.016B.R.Ceeclamvirinae.zip</v>
      </c>
      <c r="U2588" s="29" t="str">
        <f>HYPERLINK("https://ictv.global/taxonomy/taxondetails?taxnode_id=202313047","ictv.global=202313047")</f>
        <v>ictv.global=202313047</v>
      </c>
    </row>
    <row r="2589" spans="1:21">
      <c r="A2589">
        <v>2588</v>
      </c>
      <c r="B2589" s="30" t="s">
        <v>1587</v>
      </c>
      <c r="D2589" s="30" t="s">
        <v>1588</v>
      </c>
      <c r="F2589" s="30" t="s">
        <v>1591</v>
      </c>
      <c r="H2589" s="30" t="s">
        <v>1592</v>
      </c>
      <c r="M2589" s="30" t="s">
        <v>6284</v>
      </c>
      <c r="N2589" s="30" t="s">
        <v>6303</v>
      </c>
      <c r="P2589" s="30" t="s">
        <v>6304</v>
      </c>
      <c r="Q2589" t="s">
        <v>619</v>
      </c>
      <c r="R2589" t="s">
        <v>917</v>
      </c>
      <c r="S2589">
        <v>37</v>
      </c>
      <c r="T2589" s="29" t="str">
        <f>HYPERLINK("https://ictv.global/ictv/proposals/2021.016B.R.Ceeclamvirinae.zip","2021.016B.R.Ceeclamvirinae.zip")</f>
        <v>2021.016B.R.Ceeclamvirinae.zip</v>
      </c>
      <c r="U2589" s="29" t="str">
        <f>HYPERLINK("https://ictv.global/taxonomy/taxondetails?taxnode_id=202313037","ictv.global=202313037")</f>
        <v>ictv.global=202313037</v>
      </c>
    </row>
    <row r="2590" spans="1:21">
      <c r="A2590">
        <v>2589</v>
      </c>
      <c r="B2590" s="30" t="s">
        <v>1587</v>
      </c>
      <c r="D2590" s="30" t="s">
        <v>1588</v>
      </c>
      <c r="F2590" s="30" t="s">
        <v>1591</v>
      </c>
      <c r="H2590" s="30" t="s">
        <v>1592</v>
      </c>
      <c r="M2590" s="30" t="s">
        <v>6284</v>
      </c>
      <c r="N2590" s="30" t="s">
        <v>6303</v>
      </c>
      <c r="P2590" s="30" t="s">
        <v>6305</v>
      </c>
      <c r="Q2590" t="s">
        <v>619</v>
      </c>
      <c r="R2590" t="s">
        <v>917</v>
      </c>
      <c r="S2590">
        <v>37</v>
      </c>
      <c r="T2590" s="29" t="str">
        <f>HYPERLINK("https://ictv.global/ictv/proposals/2021.016B.R.Ceeclamvirinae.zip","2021.016B.R.Ceeclamvirinae.zip")</f>
        <v>2021.016B.R.Ceeclamvirinae.zip</v>
      </c>
      <c r="U2590" s="29" t="str">
        <f>HYPERLINK("https://ictv.global/taxonomy/taxondetails?taxnode_id=202313036","ictv.global=202313036")</f>
        <v>ictv.global=202313036</v>
      </c>
    </row>
    <row r="2591" spans="1:21">
      <c r="A2591">
        <v>2590</v>
      </c>
      <c r="B2591" s="30" t="s">
        <v>1587</v>
      </c>
      <c r="D2591" s="30" t="s">
        <v>1588</v>
      </c>
      <c r="F2591" s="30" t="s">
        <v>1591</v>
      </c>
      <c r="H2591" s="30" t="s">
        <v>1592</v>
      </c>
      <c r="M2591" s="30" t="s">
        <v>928</v>
      </c>
      <c r="N2591" s="30" t="s">
        <v>929</v>
      </c>
      <c r="P2591" s="30" t="s">
        <v>6306</v>
      </c>
      <c r="Q2591" t="s">
        <v>619</v>
      </c>
      <c r="R2591" t="s">
        <v>918</v>
      </c>
      <c r="S2591">
        <v>37</v>
      </c>
      <c r="T2591" s="29" t="str">
        <f>HYPERLINK("https://ictv.global/ictv/proposals/2021.010B.R.Binomial_names.zip","2021.010B.R.Binomial_names.zip")</f>
        <v>2021.010B.R.Binomial_names.zip</v>
      </c>
      <c r="U2591" s="29" t="str">
        <f>HYPERLINK("https://ictv.global/taxonomy/taxondetails?taxnode_id=202300920","ictv.global=202300920")</f>
        <v>ictv.global=202300920</v>
      </c>
    </row>
    <row r="2592" spans="1:21">
      <c r="A2592">
        <v>2591</v>
      </c>
      <c r="B2592" s="30" t="s">
        <v>1587</v>
      </c>
      <c r="D2592" s="30" t="s">
        <v>1588</v>
      </c>
      <c r="F2592" s="30" t="s">
        <v>1591</v>
      </c>
      <c r="H2592" s="30" t="s">
        <v>1592</v>
      </c>
      <c r="M2592" s="30" t="s">
        <v>928</v>
      </c>
      <c r="N2592" s="30" t="s">
        <v>929</v>
      </c>
      <c r="P2592" s="30" t="s">
        <v>6307</v>
      </c>
      <c r="Q2592" t="s">
        <v>619</v>
      </c>
      <c r="R2592" t="s">
        <v>918</v>
      </c>
      <c r="S2592">
        <v>37</v>
      </c>
      <c r="T2592" s="29" t="str">
        <f>HYPERLINK("https://ictv.global/ictv/proposals/2021.010B.R.Binomial_names.zip","2021.010B.R.Binomial_names.zip")</f>
        <v>2021.010B.R.Binomial_names.zip</v>
      </c>
      <c r="U2592" s="29" t="str">
        <f>HYPERLINK("https://ictv.global/taxonomy/taxondetails?taxnode_id=202300921","ictv.global=202300921")</f>
        <v>ictv.global=202300921</v>
      </c>
    </row>
    <row r="2593" spans="1:21">
      <c r="A2593">
        <v>2592</v>
      </c>
      <c r="B2593" s="30" t="s">
        <v>1587</v>
      </c>
      <c r="D2593" s="30" t="s">
        <v>1588</v>
      </c>
      <c r="F2593" s="30" t="s">
        <v>1591</v>
      </c>
      <c r="H2593" s="30" t="s">
        <v>1592</v>
      </c>
      <c r="M2593" s="30" t="s">
        <v>928</v>
      </c>
      <c r="N2593" s="30" t="s">
        <v>929</v>
      </c>
      <c r="P2593" s="30" t="s">
        <v>6308</v>
      </c>
      <c r="Q2593" t="s">
        <v>619</v>
      </c>
      <c r="R2593" t="s">
        <v>917</v>
      </c>
      <c r="S2593">
        <v>37</v>
      </c>
      <c r="T2593" s="29" t="str">
        <f>HYPERLINK("https://ictv.global/ictv/proposals/2021.013B.R.Brujitavirus_new_species.zip","2021.013B.R.Brujitavirus_new_species.zip")</f>
        <v>2021.013B.R.Brujitavirus_new_species.zip</v>
      </c>
      <c r="U2593" s="29" t="str">
        <f>HYPERLINK("https://ictv.global/taxonomy/taxondetails?taxnode_id=202312982","ictv.global=202312982")</f>
        <v>ictv.global=202312982</v>
      </c>
    </row>
    <row r="2594" spans="1:21">
      <c r="A2594">
        <v>2593</v>
      </c>
      <c r="B2594" s="30" t="s">
        <v>1587</v>
      </c>
      <c r="D2594" s="30" t="s">
        <v>1588</v>
      </c>
      <c r="F2594" s="30" t="s">
        <v>1591</v>
      </c>
      <c r="H2594" s="30" t="s">
        <v>1592</v>
      </c>
      <c r="M2594" s="30" t="s">
        <v>928</v>
      </c>
      <c r="N2594" s="30" t="s">
        <v>929</v>
      </c>
      <c r="P2594" s="30" t="s">
        <v>6309</v>
      </c>
      <c r="Q2594" t="s">
        <v>619</v>
      </c>
      <c r="R2594" t="s">
        <v>917</v>
      </c>
      <c r="S2594">
        <v>37</v>
      </c>
      <c r="T2594" s="29" t="str">
        <f>HYPERLINK("https://ictv.global/ictv/proposals/2021.013B.R.Brujitavirus_new_species.zip","2021.013B.R.Brujitavirus_new_species.zip")</f>
        <v>2021.013B.R.Brujitavirus_new_species.zip</v>
      </c>
      <c r="U2594" s="29" t="str">
        <f>HYPERLINK("https://ictv.global/taxonomy/taxondetails?taxnode_id=202312981","ictv.global=202312981")</f>
        <v>ictv.global=202312981</v>
      </c>
    </row>
    <row r="2595" spans="1:21">
      <c r="A2595">
        <v>2594</v>
      </c>
      <c r="B2595" s="30" t="s">
        <v>1587</v>
      </c>
      <c r="D2595" s="30" t="s">
        <v>1588</v>
      </c>
      <c r="F2595" s="30" t="s">
        <v>1591</v>
      </c>
      <c r="H2595" s="30" t="s">
        <v>1592</v>
      </c>
      <c r="M2595" s="30" t="s">
        <v>12224</v>
      </c>
      <c r="N2595" s="30" t="s">
        <v>12225</v>
      </c>
      <c r="P2595" s="30" t="s">
        <v>12226</v>
      </c>
      <c r="Q2595" t="s">
        <v>619</v>
      </c>
      <c r="R2595" t="s">
        <v>917</v>
      </c>
      <c r="S2595">
        <v>39</v>
      </c>
      <c r="T2595" s="29" t="str">
        <f t="shared" ref="T2595:T2600" si="111">HYPERLINK("https://ictv.global/ictv/proposals/2023.019B.Daemsvirinae_nsf.zip","2023.019B.Daemsvirinae_nsf.zip")</f>
        <v>2023.019B.Daemsvirinae_nsf.zip</v>
      </c>
      <c r="U2595" s="29" t="str">
        <f>HYPERLINK("https://ictv.global/taxonomy/taxondetails?taxnode_id=202318403","ictv.global=202318403")</f>
        <v>ictv.global=202318403</v>
      </c>
    </row>
    <row r="2596" spans="1:21">
      <c r="A2596">
        <v>2595</v>
      </c>
      <c r="B2596" s="30" t="s">
        <v>1587</v>
      </c>
      <c r="D2596" s="30" t="s">
        <v>1588</v>
      </c>
      <c r="F2596" s="30" t="s">
        <v>1591</v>
      </c>
      <c r="H2596" s="30" t="s">
        <v>1592</v>
      </c>
      <c r="M2596" s="30" t="s">
        <v>12224</v>
      </c>
      <c r="N2596" s="30" t="s">
        <v>12227</v>
      </c>
      <c r="P2596" s="30" t="s">
        <v>12228</v>
      </c>
      <c r="Q2596" t="s">
        <v>619</v>
      </c>
      <c r="R2596" t="s">
        <v>917</v>
      </c>
      <c r="S2596">
        <v>39</v>
      </c>
      <c r="T2596" s="29" t="str">
        <f t="shared" si="111"/>
        <v>2023.019B.Daemsvirinae_nsf.zip</v>
      </c>
      <c r="U2596" s="29" t="str">
        <f>HYPERLINK("https://ictv.global/taxonomy/taxondetails?taxnode_id=202318400","ictv.global=202318400")</f>
        <v>ictv.global=202318400</v>
      </c>
    </row>
    <row r="2597" spans="1:21">
      <c r="A2597">
        <v>2596</v>
      </c>
      <c r="B2597" s="30" t="s">
        <v>1587</v>
      </c>
      <c r="D2597" s="30" t="s">
        <v>1588</v>
      </c>
      <c r="F2597" s="30" t="s">
        <v>1591</v>
      </c>
      <c r="H2597" s="30" t="s">
        <v>1592</v>
      </c>
      <c r="M2597" s="30" t="s">
        <v>12224</v>
      </c>
      <c r="N2597" s="30" t="s">
        <v>12227</v>
      </c>
      <c r="P2597" s="30" t="s">
        <v>12229</v>
      </c>
      <c r="Q2597" t="s">
        <v>619</v>
      </c>
      <c r="R2597" t="s">
        <v>917</v>
      </c>
      <c r="S2597">
        <v>39</v>
      </c>
      <c r="T2597" s="29" t="str">
        <f t="shared" si="111"/>
        <v>2023.019B.Daemsvirinae_nsf.zip</v>
      </c>
      <c r="U2597" s="29" t="str">
        <f>HYPERLINK("https://ictv.global/taxonomy/taxondetails?taxnode_id=202318398","ictv.global=202318398")</f>
        <v>ictv.global=202318398</v>
      </c>
    </row>
    <row r="2598" spans="1:21">
      <c r="A2598">
        <v>2597</v>
      </c>
      <c r="B2598" s="30" t="s">
        <v>1587</v>
      </c>
      <c r="D2598" s="30" t="s">
        <v>1588</v>
      </c>
      <c r="F2598" s="30" t="s">
        <v>1591</v>
      </c>
      <c r="H2598" s="30" t="s">
        <v>1592</v>
      </c>
      <c r="M2598" s="30" t="s">
        <v>12224</v>
      </c>
      <c r="N2598" s="30" t="s">
        <v>12227</v>
      </c>
      <c r="P2598" s="30" t="s">
        <v>12230</v>
      </c>
      <c r="Q2598" t="s">
        <v>619</v>
      </c>
      <c r="R2598" t="s">
        <v>917</v>
      </c>
      <c r="S2598">
        <v>39</v>
      </c>
      <c r="T2598" s="29" t="str">
        <f t="shared" si="111"/>
        <v>2023.019B.Daemsvirinae_nsf.zip</v>
      </c>
      <c r="U2598" s="29" t="str">
        <f>HYPERLINK("https://ictv.global/taxonomy/taxondetails?taxnode_id=202318402","ictv.global=202318402")</f>
        <v>ictv.global=202318402</v>
      </c>
    </row>
    <row r="2599" spans="1:21">
      <c r="A2599">
        <v>2598</v>
      </c>
      <c r="B2599" s="30" t="s">
        <v>1587</v>
      </c>
      <c r="D2599" s="30" t="s">
        <v>1588</v>
      </c>
      <c r="F2599" s="30" t="s">
        <v>1591</v>
      </c>
      <c r="H2599" s="30" t="s">
        <v>1592</v>
      </c>
      <c r="M2599" s="30" t="s">
        <v>12224</v>
      </c>
      <c r="N2599" s="30" t="s">
        <v>12227</v>
      </c>
      <c r="P2599" s="30" t="s">
        <v>12231</v>
      </c>
      <c r="Q2599" t="s">
        <v>619</v>
      </c>
      <c r="R2599" t="s">
        <v>917</v>
      </c>
      <c r="S2599">
        <v>39</v>
      </c>
      <c r="T2599" s="29" t="str">
        <f t="shared" si="111"/>
        <v>2023.019B.Daemsvirinae_nsf.zip</v>
      </c>
      <c r="U2599" s="29" t="str">
        <f>HYPERLINK("https://ictv.global/taxonomy/taxondetails?taxnode_id=202318399","ictv.global=202318399")</f>
        <v>ictv.global=202318399</v>
      </c>
    </row>
    <row r="2600" spans="1:21">
      <c r="A2600">
        <v>2599</v>
      </c>
      <c r="B2600" s="30" t="s">
        <v>1587</v>
      </c>
      <c r="D2600" s="30" t="s">
        <v>1588</v>
      </c>
      <c r="F2600" s="30" t="s">
        <v>1591</v>
      </c>
      <c r="H2600" s="30" t="s">
        <v>1592</v>
      </c>
      <c r="M2600" s="30" t="s">
        <v>12224</v>
      </c>
      <c r="N2600" s="30" t="s">
        <v>12227</v>
      </c>
      <c r="P2600" s="30" t="s">
        <v>12232</v>
      </c>
      <c r="Q2600" t="s">
        <v>619</v>
      </c>
      <c r="R2600" t="s">
        <v>917</v>
      </c>
      <c r="S2600">
        <v>39</v>
      </c>
      <c r="T2600" s="29" t="str">
        <f t="shared" si="111"/>
        <v>2023.019B.Daemsvirinae_nsf.zip</v>
      </c>
      <c r="U2600" s="29" t="str">
        <f>HYPERLINK("https://ictv.global/taxonomy/taxondetails?taxnode_id=202318401","ictv.global=202318401")</f>
        <v>ictv.global=202318401</v>
      </c>
    </row>
    <row r="2601" spans="1:21">
      <c r="A2601">
        <v>2600</v>
      </c>
      <c r="B2601" s="30" t="s">
        <v>1587</v>
      </c>
      <c r="D2601" s="30" t="s">
        <v>1588</v>
      </c>
      <c r="F2601" s="30" t="s">
        <v>1591</v>
      </c>
      <c r="H2601" s="30" t="s">
        <v>1592</v>
      </c>
      <c r="M2601" s="30" t="s">
        <v>930</v>
      </c>
      <c r="N2601" s="30" t="s">
        <v>931</v>
      </c>
      <c r="P2601" s="30" t="s">
        <v>6310</v>
      </c>
      <c r="Q2601" t="s">
        <v>619</v>
      </c>
      <c r="R2601" t="s">
        <v>918</v>
      </c>
      <c r="S2601">
        <v>37</v>
      </c>
      <c r="T2601" s="29" t="str">
        <f t="shared" ref="T2601:T2612" si="112">HYPERLINK("https://ictv.global/ictv/proposals/2021.010B.R.Binomial_names.zip","2021.010B.R.Binomial_names.zip")</f>
        <v>2021.010B.R.Binomial_names.zip</v>
      </c>
      <c r="U2601" s="29" t="str">
        <f>HYPERLINK("https://ictv.global/taxonomy/taxondetails?taxnode_id=202305508","ictv.global=202305508")</f>
        <v>ictv.global=202305508</v>
      </c>
    </row>
    <row r="2602" spans="1:21">
      <c r="A2602">
        <v>2601</v>
      </c>
      <c r="B2602" s="30" t="s">
        <v>1587</v>
      </c>
      <c r="D2602" s="30" t="s">
        <v>1588</v>
      </c>
      <c r="F2602" s="30" t="s">
        <v>1591</v>
      </c>
      <c r="H2602" s="30" t="s">
        <v>1592</v>
      </c>
      <c r="M2602" s="30" t="s">
        <v>930</v>
      </c>
      <c r="N2602" s="30" t="s">
        <v>932</v>
      </c>
      <c r="P2602" s="30" t="s">
        <v>6311</v>
      </c>
      <c r="Q2602" t="s">
        <v>619</v>
      </c>
      <c r="R2602" t="s">
        <v>918</v>
      </c>
      <c r="S2602">
        <v>37</v>
      </c>
      <c r="T2602" s="29" t="str">
        <f t="shared" si="112"/>
        <v>2021.010B.R.Binomial_names.zip</v>
      </c>
      <c r="U2602" s="29" t="str">
        <f>HYPERLINK("https://ictv.global/taxonomy/taxondetails?taxnode_id=202305510","ictv.global=202305510")</f>
        <v>ictv.global=202305510</v>
      </c>
    </row>
    <row r="2603" spans="1:21">
      <c r="A2603">
        <v>2602</v>
      </c>
      <c r="B2603" s="30" t="s">
        <v>1587</v>
      </c>
      <c r="D2603" s="30" t="s">
        <v>1588</v>
      </c>
      <c r="F2603" s="30" t="s">
        <v>1591</v>
      </c>
      <c r="H2603" s="30" t="s">
        <v>1592</v>
      </c>
      <c r="M2603" s="30" t="s">
        <v>2380</v>
      </c>
      <c r="N2603" s="30" t="s">
        <v>2381</v>
      </c>
      <c r="P2603" s="30" t="s">
        <v>6312</v>
      </c>
      <c r="Q2603" t="s">
        <v>619</v>
      </c>
      <c r="R2603" t="s">
        <v>918</v>
      </c>
      <c r="S2603">
        <v>37</v>
      </c>
      <c r="T2603" s="29" t="str">
        <f t="shared" si="112"/>
        <v>2021.010B.R.Binomial_names.zip</v>
      </c>
      <c r="U2603" s="29" t="str">
        <f>HYPERLINK("https://ictv.global/taxonomy/taxondetails?taxnode_id=202309927","ictv.global=202309927")</f>
        <v>ictv.global=202309927</v>
      </c>
    </row>
    <row r="2604" spans="1:21">
      <c r="A2604">
        <v>2603</v>
      </c>
      <c r="B2604" s="30" t="s">
        <v>1587</v>
      </c>
      <c r="D2604" s="30" t="s">
        <v>1588</v>
      </c>
      <c r="F2604" s="30" t="s">
        <v>1591</v>
      </c>
      <c r="H2604" s="30" t="s">
        <v>1592</v>
      </c>
      <c r="M2604" s="30" t="s">
        <v>2380</v>
      </c>
      <c r="N2604" s="30" t="s">
        <v>2381</v>
      </c>
      <c r="P2604" s="30" t="s">
        <v>6313</v>
      </c>
      <c r="Q2604" t="s">
        <v>619</v>
      </c>
      <c r="R2604" t="s">
        <v>918</v>
      </c>
      <c r="S2604">
        <v>37</v>
      </c>
      <c r="T2604" s="29" t="str">
        <f t="shared" si="112"/>
        <v>2021.010B.R.Binomial_names.zip</v>
      </c>
      <c r="U2604" s="29" t="str">
        <f>HYPERLINK("https://ictv.global/taxonomy/taxondetails?taxnode_id=202309925","ictv.global=202309925")</f>
        <v>ictv.global=202309925</v>
      </c>
    </row>
    <row r="2605" spans="1:21">
      <c r="A2605">
        <v>2604</v>
      </c>
      <c r="B2605" s="30" t="s">
        <v>1587</v>
      </c>
      <c r="D2605" s="30" t="s">
        <v>1588</v>
      </c>
      <c r="F2605" s="30" t="s">
        <v>1591</v>
      </c>
      <c r="H2605" s="30" t="s">
        <v>1592</v>
      </c>
      <c r="M2605" s="30" t="s">
        <v>2380</v>
      </c>
      <c r="N2605" s="30" t="s">
        <v>2381</v>
      </c>
      <c r="P2605" s="30" t="s">
        <v>6314</v>
      </c>
      <c r="Q2605" t="s">
        <v>619</v>
      </c>
      <c r="R2605" t="s">
        <v>918</v>
      </c>
      <c r="S2605">
        <v>37</v>
      </c>
      <c r="T2605" s="29" t="str">
        <f t="shared" si="112"/>
        <v>2021.010B.R.Binomial_names.zip</v>
      </c>
      <c r="U2605" s="29" t="str">
        <f>HYPERLINK("https://ictv.global/taxonomy/taxondetails?taxnode_id=202309928","ictv.global=202309928")</f>
        <v>ictv.global=202309928</v>
      </c>
    </row>
    <row r="2606" spans="1:21">
      <c r="A2606">
        <v>2605</v>
      </c>
      <c r="B2606" s="30" t="s">
        <v>1587</v>
      </c>
      <c r="D2606" s="30" t="s">
        <v>1588</v>
      </c>
      <c r="F2606" s="30" t="s">
        <v>1591</v>
      </c>
      <c r="H2606" s="30" t="s">
        <v>1592</v>
      </c>
      <c r="M2606" s="30" t="s">
        <v>2380</v>
      </c>
      <c r="N2606" s="30" t="s">
        <v>2381</v>
      </c>
      <c r="P2606" s="30" t="s">
        <v>6315</v>
      </c>
      <c r="Q2606" t="s">
        <v>619</v>
      </c>
      <c r="R2606" t="s">
        <v>918</v>
      </c>
      <c r="S2606">
        <v>37</v>
      </c>
      <c r="T2606" s="29" t="str">
        <f t="shared" si="112"/>
        <v>2021.010B.R.Binomial_names.zip</v>
      </c>
      <c r="U2606" s="29" t="str">
        <f>HYPERLINK("https://ictv.global/taxonomy/taxondetails?taxnode_id=202309923","ictv.global=202309923")</f>
        <v>ictv.global=202309923</v>
      </c>
    </row>
    <row r="2607" spans="1:21">
      <c r="A2607">
        <v>2606</v>
      </c>
      <c r="B2607" s="30" t="s">
        <v>1587</v>
      </c>
      <c r="D2607" s="30" t="s">
        <v>1588</v>
      </c>
      <c r="F2607" s="30" t="s">
        <v>1591</v>
      </c>
      <c r="H2607" s="30" t="s">
        <v>1592</v>
      </c>
      <c r="M2607" s="30" t="s">
        <v>2380</v>
      </c>
      <c r="N2607" s="30" t="s">
        <v>2381</v>
      </c>
      <c r="P2607" s="30" t="s">
        <v>6316</v>
      </c>
      <c r="Q2607" t="s">
        <v>619</v>
      </c>
      <c r="R2607" t="s">
        <v>918</v>
      </c>
      <c r="S2607">
        <v>37</v>
      </c>
      <c r="T2607" s="29" t="str">
        <f t="shared" si="112"/>
        <v>2021.010B.R.Binomial_names.zip</v>
      </c>
      <c r="U2607" s="29" t="str">
        <f>HYPERLINK("https://ictv.global/taxonomy/taxondetails?taxnode_id=202309929","ictv.global=202309929")</f>
        <v>ictv.global=202309929</v>
      </c>
    </row>
    <row r="2608" spans="1:21">
      <c r="A2608">
        <v>2607</v>
      </c>
      <c r="B2608" s="30" t="s">
        <v>1587</v>
      </c>
      <c r="D2608" s="30" t="s">
        <v>1588</v>
      </c>
      <c r="F2608" s="30" t="s">
        <v>1591</v>
      </c>
      <c r="H2608" s="30" t="s">
        <v>1592</v>
      </c>
      <c r="M2608" s="30" t="s">
        <v>2380</v>
      </c>
      <c r="N2608" s="30" t="s">
        <v>2381</v>
      </c>
      <c r="P2608" s="30" t="s">
        <v>6317</v>
      </c>
      <c r="Q2608" t="s">
        <v>619</v>
      </c>
      <c r="R2608" t="s">
        <v>918</v>
      </c>
      <c r="S2608">
        <v>37</v>
      </c>
      <c r="T2608" s="29" t="str">
        <f t="shared" si="112"/>
        <v>2021.010B.R.Binomial_names.zip</v>
      </c>
      <c r="U2608" s="29" t="str">
        <f>HYPERLINK("https://ictv.global/taxonomy/taxondetails?taxnode_id=202309926","ictv.global=202309926")</f>
        <v>ictv.global=202309926</v>
      </c>
    </row>
    <row r="2609" spans="1:21">
      <c r="A2609">
        <v>2608</v>
      </c>
      <c r="B2609" s="30" t="s">
        <v>1587</v>
      </c>
      <c r="D2609" s="30" t="s">
        <v>1588</v>
      </c>
      <c r="F2609" s="30" t="s">
        <v>1591</v>
      </c>
      <c r="H2609" s="30" t="s">
        <v>1592</v>
      </c>
      <c r="M2609" s="30" t="s">
        <v>2380</v>
      </c>
      <c r="N2609" s="30" t="s">
        <v>2381</v>
      </c>
      <c r="P2609" s="30" t="s">
        <v>6318</v>
      </c>
      <c r="Q2609" t="s">
        <v>619</v>
      </c>
      <c r="R2609" t="s">
        <v>918</v>
      </c>
      <c r="S2609">
        <v>37</v>
      </c>
      <c r="T2609" s="29" t="str">
        <f t="shared" si="112"/>
        <v>2021.010B.R.Binomial_names.zip</v>
      </c>
      <c r="U2609" s="29" t="str">
        <f>HYPERLINK("https://ictv.global/taxonomy/taxondetails?taxnode_id=202309924","ictv.global=202309924")</f>
        <v>ictv.global=202309924</v>
      </c>
    </row>
    <row r="2610" spans="1:21">
      <c r="A2610">
        <v>2609</v>
      </c>
      <c r="B2610" s="30" t="s">
        <v>1587</v>
      </c>
      <c r="D2610" s="30" t="s">
        <v>1588</v>
      </c>
      <c r="F2610" s="30" t="s">
        <v>1591</v>
      </c>
      <c r="H2610" s="30" t="s">
        <v>1592</v>
      </c>
      <c r="M2610" s="30" t="s">
        <v>2380</v>
      </c>
      <c r="N2610" s="30" t="s">
        <v>2382</v>
      </c>
      <c r="P2610" s="30" t="s">
        <v>6319</v>
      </c>
      <c r="Q2610" t="s">
        <v>619</v>
      </c>
      <c r="R2610" t="s">
        <v>918</v>
      </c>
      <c r="S2610">
        <v>37</v>
      </c>
      <c r="T2610" s="29" t="str">
        <f t="shared" si="112"/>
        <v>2021.010B.R.Binomial_names.zip</v>
      </c>
      <c r="U2610" s="29" t="str">
        <f>HYPERLINK("https://ictv.global/taxonomy/taxondetails?taxnode_id=202309918","ictv.global=202309918")</f>
        <v>ictv.global=202309918</v>
      </c>
    </row>
    <row r="2611" spans="1:21">
      <c r="A2611">
        <v>2610</v>
      </c>
      <c r="B2611" s="30" t="s">
        <v>1587</v>
      </c>
      <c r="D2611" s="30" t="s">
        <v>1588</v>
      </c>
      <c r="F2611" s="30" t="s">
        <v>1591</v>
      </c>
      <c r="H2611" s="30" t="s">
        <v>1592</v>
      </c>
      <c r="M2611" s="30" t="s">
        <v>2380</v>
      </c>
      <c r="N2611" s="30" t="s">
        <v>2383</v>
      </c>
      <c r="P2611" s="30" t="s">
        <v>6320</v>
      </c>
      <c r="Q2611" t="s">
        <v>619</v>
      </c>
      <c r="R2611" t="s">
        <v>918</v>
      </c>
      <c r="S2611">
        <v>37</v>
      </c>
      <c r="T2611" s="29" t="str">
        <f t="shared" si="112"/>
        <v>2021.010B.R.Binomial_names.zip</v>
      </c>
      <c r="U2611" s="29" t="str">
        <f>HYPERLINK("https://ictv.global/taxonomy/taxondetails?taxnode_id=202309921","ictv.global=202309921")</f>
        <v>ictv.global=202309921</v>
      </c>
    </row>
    <row r="2612" spans="1:21">
      <c r="A2612">
        <v>2611</v>
      </c>
      <c r="B2612" s="30" t="s">
        <v>1587</v>
      </c>
      <c r="D2612" s="30" t="s">
        <v>1588</v>
      </c>
      <c r="F2612" s="30" t="s">
        <v>1591</v>
      </c>
      <c r="H2612" s="30" t="s">
        <v>1592</v>
      </c>
      <c r="M2612" s="30" t="s">
        <v>2380</v>
      </c>
      <c r="N2612" s="30" t="s">
        <v>2383</v>
      </c>
      <c r="P2612" s="30" t="s">
        <v>6321</v>
      </c>
      <c r="Q2612" t="s">
        <v>619</v>
      </c>
      <c r="R2612" t="s">
        <v>918</v>
      </c>
      <c r="S2612">
        <v>37</v>
      </c>
      <c r="T2612" s="29" t="str">
        <f t="shared" si="112"/>
        <v>2021.010B.R.Binomial_names.zip</v>
      </c>
      <c r="U2612" s="29" t="str">
        <f>HYPERLINK("https://ictv.global/taxonomy/taxondetails?taxnode_id=202309920","ictv.global=202309920")</f>
        <v>ictv.global=202309920</v>
      </c>
    </row>
    <row r="2613" spans="1:21">
      <c r="A2613">
        <v>2612</v>
      </c>
      <c r="B2613" s="30" t="s">
        <v>1587</v>
      </c>
      <c r="D2613" s="30" t="s">
        <v>1588</v>
      </c>
      <c r="F2613" s="30" t="s">
        <v>1591</v>
      </c>
      <c r="H2613" s="30" t="s">
        <v>1592</v>
      </c>
      <c r="M2613" s="30" t="s">
        <v>6322</v>
      </c>
      <c r="N2613" s="30" t="s">
        <v>6323</v>
      </c>
      <c r="P2613" s="30" t="s">
        <v>6324</v>
      </c>
      <c r="Q2613" t="s">
        <v>619</v>
      </c>
      <c r="R2613" t="s">
        <v>917</v>
      </c>
      <c r="S2613">
        <v>38</v>
      </c>
      <c r="T2613" s="29" t="str">
        <f t="shared" ref="T2613:T2619" si="113">HYPERLINK("https://ictv.global/ictv/proposals/2022.028B.Deeyouvirinae_nsf.zip","2022.028B.Deeyouvirinae_nsf.zip")</f>
        <v>2022.028B.Deeyouvirinae_nsf.zip</v>
      </c>
      <c r="U2613" s="29" t="str">
        <f>HYPERLINK("https://ictv.global/taxonomy/taxondetails?taxnode_id=202314571","ictv.global=202314571")</f>
        <v>ictv.global=202314571</v>
      </c>
    </row>
    <row r="2614" spans="1:21">
      <c r="A2614">
        <v>2613</v>
      </c>
      <c r="B2614" s="30" t="s">
        <v>1587</v>
      </c>
      <c r="D2614" s="30" t="s">
        <v>1588</v>
      </c>
      <c r="F2614" s="30" t="s">
        <v>1591</v>
      </c>
      <c r="H2614" s="30" t="s">
        <v>1592</v>
      </c>
      <c r="M2614" s="30" t="s">
        <v>6322</v>
      </c>
      <c r="N2614" s="30" t="s">
        <v>6323</v>
      </c>
      <c r="P2614" s="30" t="s">
        <v>6325</v>
      </c>
      <c r="Q2614" t="s">
        <v>619</v>
      </c>
      <c r="R2614" t="s">
        <v>917</v>
      </c>
      <c r="S2614">
        <v>38</v>
      </c>
      <c r="T2614" s="29" t="str">
        <f t="shared" si="113"/>
        <v>2022.028B.Deeyouvirinae_nsf.zip</v>
      </c>
      <c r="U2614" s="29" t="str">
        <f>HYPERLINK("https://ictv.global/taxonomy/taxondetails?taxnode_id=202314573","ictv.global=202314573")</f>
        <v>ictv.global=202314573</v>
      </c>
    </row>
    <row r="2615" spans="1:21">
      <c r="A2615">
        <v>2614</v>
      </c>
      <c r="B2615" s="30" t="s">
        <v>1587</v>
      </c>
      <c r="D2615" s="30" t="s">
        <v>1588</v>
      </c>
      <c r="F2615" s="30" t="s">
        <v>1591</v>
      </c>
      <c r="H2615" s="30" t="s">
        <v>1592</v>
      </c>
      <c r="M2615" s="30" t="s">
        <v>6322</v>
      </c>
      <c r="N2615" s="30" t="s">
        <v>6323</v>
      </c>
      <c r="P2615" s="30" t="s">
        <v>6326</v>
      </c>
      <c r="Q2615" t="s">
        <v>619</v>
      </c>
      <c r="R2615" t="s">
        <v>917</v>
      </c>
      <c r="S2615">
        <v>38</v>
      </c>
      <c r="T2615" s="29" t="str">
        <f t="shared" si="113"/>
        <v>2022.028B.Deeyouvirinae_nsf.zip</v>
      </c>
      <c r="U2615" s="29" t="str">
        <f>HYPERLINK("https://ictv.global/taxonomy/taxondetails?taxnode_id=202314572","ictv.global=202314572")</f>
        <v>ictv.global=202314572</v>
      </c>
    </row>
    <row r="2616" spans="1:21">
      <c r="A2616">
        <v>2615</v>
      </c>
      <c r="B2616" s="30" t="s">
        <v>1587</v>
      </c>
      <c r="D2616" s="30" t="s">
        <v>1588</v>
      </c>
      <c r="F2616" s="30" t="s">
        <v>1591</v>
      </c>
      <c r="H2616" s="30" t="s">
        <v>1592</v>
      </c>
      <c r="M2616" s="30" t="s">
        <v>6322</v>
      </c>
      <c r="N2616" s="30" t="s">
        <v>6327</v>
      </c>
      <c r="P2616" s="30" t="s">
        <v>6328</v>
      </c>
      <c r="Q2616" t="s">
        <v>619</v>
      </c>
      <c r="R2616" t="s">
        <v>917</v>
      </c>
      <c r="S2616">
        <v>38</v>
      </c>
      <c r="T2616" s="29" t="str">
        <f t="shared" si="113"/>
        <v>2022.028B.Deeyouvirinae_nsf.zip</v>
      </c>
      <c r="U2616" s="29" t="str">
        <f>HYPERLINK("https://ictv.global/taxonomy/taxondetails?taxnode_id=202314576","ictv.global=202314576")</f>
        <v>ictv.global=202314576</v>
      </c>
    </row>
    <row r="2617" spans="1:21">
      <c r="A2617">
        <v>2616</v>
      </c>
      <c r="B2617" s="30" t="s">
        <v>1587</v>
      </c>
      <c r="D2617" s="30" t="s">
        <v>1588</v>
      </c>
      <c r="F2617" s="30" t="s">
        <v>1591</v>
      </c>
      <c r="H2617" s="30" t="s">
        <v>1592</v>
      </c>
      <c r="M2617" s="30" t="s">
        <v>6322</v>
      </c>
      <c r="N2617" s="30" t="s">
        <v>6327</v>
      </c>
      <c r="P2617" s="30" t="s">
        <v>6329</v>
      </c>
      <c r="Q2617" t="s">
        <v>619</v>
      </c>
      <c r="R2617" t="s">
        <v>917</v>
      </c>
      <c r="S2617">
        <v>38</v>
      </c>
      <c r="T2617" s="29" t="str">
        <f t="shared" si="113"/>
        <v>2022.028B.Deeyouvirinae_nsf.zip</v>
      </c>
      <c r="U2617" s="29" t="str">
        <f>HYPERLINK("https://ictv.global/taxonomy/taxondetails?taxnode_id=202314574","ictv.global=202314574")</f>
        <v>ictv.global=202314574</v>
      </c>
    </row>
    <row r="2618" spans="1:21">
      <c r="A2618">
        <v>2617</v>
      </c>
      <c r="B2618" s="30" t="s">
        <v>1587</v>
      </c>
      <c r="D2618" s="30" t="s">
        <v>1588</v>
      </c>
      <c r="F2618" s="30" t="s">
        <v>1591</v>
      </c>
      <c r="H2618" s="30" t="s">
        <v>1592</v>
      </c>
      <c r="M2618" s="30" t="s">
        <v>6322</v>
      </c>
      <c r="N2618" s="30" t="s">
        <v>6327</v>
      </c>
      <c r="P2618" s="30" t="s">
        <v>6330</v>
      </c>
      <c r="Q2618" t="s">
        <v>619</v>
      </c>
      <c r="R2618" t="s">
        <v>917</v>
      </c>
      <c r="S2618">
        <v>38</v>
      </c>
      <c r="T2618" s="29" t="str">
        <f t="shared" si="113"/>
        <v>2022.028B.Deeyouvirinae_nsf.zip</v>
      </c>
      <c r="U2618" s="29" t="str">
        <f>HYPERLINK("https://ictv.global/taxonomy/taxondetails?taxnode_id=202314575","ictv.global=202314575")</f>
        <v>ictv.global=202314575</v>
      </c>
    </row>
    <row r="2619" spans="1:21">
      <c r="A2619">
        <v>2618</v>
      </c>
      <c r="B2619" s="30" t="s">
        <v>1587</v>
      </c>
      <c r="D2619" s="30" t="s">
        <v>1588</v>
      </c>
      <c r="F2619" s="30" t="s">
        <v>1591</v>
      </c>
      <c r="H2619" s="30" t="s">
        <v>1592</v>
      </c>
      <c r="M2619" s="30" t="s">
        <v>6322</v>
      </c>
      <c r="N2619" s="30" t="s">
        <v>6327</v>
      </c>
      <c r="P2619" s="30" t="s">
        <v>6331</v>
      </c>
      <c r="Q2619" t="s">
        <v>619</v>
      </c>
      <c r="R2619" t="s">
        <v>917</v>
      </c>
      <c r="S2619">
        <v>38</v>
      </c>
      <c r="T2619" s="29" t="str">
        <f t="shared" si="113"/>
        <v>2022.028B.Deeyouvirinae_nsf.zip</v>
      </c>
      <c r="U2619" s="29" t="str">
        <f>HYPERLINK("https://ictv.global/taxonomy/taxondetails?taxnode_id=202314577","ictv.global=202314577")</f>
        <v>ictv.global=202314577</v>
      </c>
    </row>
    <row r="2620" spans="1:21">
      <c r="A2620">
        <v>2619</v>
      </c>
      <c r="B2620" s="30" t="s">
        <v>1587</v>
      </c>
      <c r="D2620" s="30" t="s">
        <v>1588</v>
      </c>
      <c r="F2620" s="30" t="s">
        <v>1591</v>
      </c>
      <c r="H2620" s="30" t="s">
        <v>1592</v>
      </c>
      <c r="M2620" s="30" t="s">
        <v>1871</v>
      </c>
      <c r="N2620" s="30" t="s">
        <v>1872</v>
      </c>
      <c r="P2620" s="30" t="s">
        <v>6332</v>
      </c>
      <c r="Q2620" t="s">
        <v>619</v>
      </c>
      <c r="R2620" t="s">
        <v>918</v>
      </c>
      <c r="S2620">
        <v>37</v>
      </c>
      <c r="T2620" s="29" t="str">
        <f t="shared" ref="T2620:T2631" si="114">HYPERLINK("https://ictv.global/ictv/proposals/2021.010B.R.Binomial_names.zip","2021.010B.R.Binomial_names.zip")</f>
        <v>2021.010B.R.Binomial_names.zip</v>
      </c>
      <c r="U2620" s="29" t="str">
        <f>HYPERLINK("https://ictv.global/taxonomy/taxondetails?taxnode_id=202307721","ictv.global=202307721")</f>
        <v>ictv.global=202307721</v>
      </c>
    </row>
    <row r="2621" spans="1:21">
      <c r="A2621">
        <v>2620</v>
      </c>
      <c r="B2621" s="30" t="s">
        <v>1587</v>
      </c>
      <c r="D2621" s="30" t="s">
        <v>1588</v>
      </c>
      <c r="F2621" s="30" t="s">
        <v>1591</v>
      </c>
      <c r="H2621" s="30" t="s">
        <v>1592</v>
      </c>
      <c r="M2621" s="30" t="s">
        <v>1871</v>
      </c>
      <c r="N2621" s="30" t="s">
        <v>1872</v>
      </c>
      <c r="P2621" s="30" t="s">
        <v>6333</v>
      </c>
      <c r="Q2621" t="s">
        <v>619</v>
      </c>
      <c r="R2621" t="s">
        <v>918</v>
      </c>
      <c r="S2621">
        <v>37</v>
      </c>
      <c r="T2621" s="29" t="str">
        <f t="shared" si="114"/>
        <v>2021.010B.R.Binomial_names.zip</v>
      </c>
      <c r="U2621" s="29" t="str">
        <f>HYPERLINK("https://ictv.global/taxonomy/taxondetails?taxnode_id=202307720","ictv.global=202307720")</f>
        <v>ictv.global=202307720</v>
      </c>
    </row>
    <row r="2622" spans="1:21">
      <c r="A2622">
        <v>2621</v>
      </c>
      <c r="B2622" s="30" t="s">
        <v>1587</v>
      </c>
      <c r="D2622" s="30" t="s">
        <v>1588</v>
      </c>
      <c r="F2622" s="30" t="s">
        <v>1591</v>
      </c>
      <c r="H2622" s="30" t="s">
        <v>1592</v>
      </c>
      <c r="M2622" s="30" t="s">
        <v>1871</v>
      </c>
      <c r="N2622" s="30" t="s">
        <v>1873</v>
      </c>
      <c r="P2622" s="30" t="s">
        <v>6334</v>
      </c>
      <c r="Q2622" t="s">
        <v>619</v>
      </c>
      <c r="R2622" t="s">
        <v>918</v>
      </c>
      <c r="S2622">
        <v>37</v>
      </c>
      <c r="T2622" s="29" t="str">
        <f t="shared" si="114"/>
        <v>2021.010B.R.Binomial_names.zip</v>
      </c>
      <c r="U2622" s="29" t="str">
        <f>HYPERLINK("https://ictv.global/taxonomy/taxondetails?taxnode_id=202307717","ictv.global=202307717")</f>
        <v>ictv.global=202307717</v>
      </c>
    </row>
    <row r="2623" spans="1:21">
      <c r="A2623">
        <v>2622</v>
      </c>
      <c r="B2623" s="30" t="s">
        <v>1587</v>
      </c>
      <c r="D2623" s="30" t="s">
        <v>1588</v>
      </c>
      <c r="F2623" s="30" t="s">
        <v>1591</v>
      </c>
      <c r="H2623" s="30" t="s">
        <v>1592</v>
      </c>
      <c r="M2623" s="30" t="s">
        <v>1871</v>
      </c>
      <c r="N2623" s="30" t="s">
        <v>1873</v>
      </c>
      <c r="P2623" s="30" t="s">
        <v>6335</v>
      </c>
      <c r="Q2623" t="s">
        <v>619</v>
      </c>
      <c r="R2623" t="s">
        <v>918</v>
      </c>
      <c r="S2623">
        <v>37</v>
      </c>
      <c r="T2623" s="29" t="str">
        <f t="shared" si="114"/>
        <v>2021.010B.R.Binomial_names.zip</v>
      </c>
      <c r="U2623" s="29" t="str">
        <f>HYPERLINK("https://ictv.global/taxonomy/taxondetails?taxnode_id=202307718","ictv.global=202307718")</f>
        <v>ictv.global=202307718</v>
      </c>
    </row>
    <row r="2624" spans="1:21">
      <c r="A2624">
        <v>2623</v>
      </c>
      <c r="B2624" s="30" t="s">
        <v>1587</v>
      </c>
      <c r="D2624" s="30" t="s">
        <v>1588</v>
      </c>
      <c r="F2624" s="30" t="s">
        <v>1591</v>
      </c>
      <c r="H2624" s="30" t="s">
        <v>1592</v>
      </c>
      <c r="M2624" s="30" t="s">
        <v>1871</v>
      </c>
      <c r="N2624" s="30" t="s">
        <v>1874</v>
      </c>
      <c r="P2624" s="30" t="s">
        <v>6336</v>
      </c>
      <c r="Q2624" t="s">
        <v>619</v>
      </c>
      <c r="R2624" t="s">
        <v>918</v>
      </c>
      <c r="S2624">
        <v>37</v>
      </c>
      <c r="T2624" s="29" t="str">
        <f t="shared" si="114"/>
        <v>2021.010B.R.Binomial_names.zip</v>
      </c>
      <c r="U2624" s="29" t="str">
        <f>HYPERLINK("https://ictv.global/taxonomy/taxondetails?taxnode_id=202307715","ictv.global=202307715")</f>
        <v>ictv.global=202307715</v>
      </c>
    </row>
    <row r="2625" spans="1:21">
      <c r="A2625">
        <v>2624</v>
      </c>
      <c r="B2625" s="30" t="s">
        <v>1587</v>
      </c>
      <c r="D2625" s="30" t="s">
        <v>1588</v>
      </c>
      <c r="F2625" s="30" t="s">
        <v>1591</v>
      </c>
      <c r="H2625" s="30" t="s">
        <v>1592</v>
      </c>
      <c r="M2625" s="30" t="s">
        <v>1871</v>
      </c>
      <c r="N2625" s="30" t="s">
        <v>1874</v>
      </c>
      <c r="P2625" s="30" t="s">
        <v>6337</v>
      </c>
      <c r="Q2625" t="s">
        <v>619</v>
      </c>
      <c r="R2625" t="s">
        <v>918</v>
      </c>
      <c r="S2625">
        <v>37</v>
      </c>
      <c r="T2625" s="29" t="str">
        <f t="shared" si="114"/>
        <v>2021.010B.R.Binomial_names.zip</v>
      </c>
      <c r="U2625" s="29" t="str">
        <f>HYPERLINK("https://ictv.global/taxonomy/taxondetails?taxnode_id=202301192","ictv.global=202301192")</f>
        <v>ictv.global=202301192</v>
      </c>
    </row>
    <row r="2626" spans="1:21">
      <c r="A2626">
        <v>2625</v>
      </c>
      <c r="B2626" s="30" t="s">
        <v>1587</v>
      </c>
      <c r="D2626" s="30" t="s">
        <v>1588</v>
      </c>
      <c r="F2626" s="30" t="s">
        <v>1591</v>
      </c>
      <c r="H2626" s="30" t="s">
        <v>1592</v>
      </c>
      <c r="M2626" s="30" t="s">
        <v>1871</v>
      </c>
      <c r="N2626" s="30" t="s">
        <v>1875</v>
      </c>
      <c r="P2626" s="30" t="s">
        <v>6338</v>
      </c>
      <c r="Q2626" t="s">
        <v>619</v>
      </c>
      <c r="R2626" t="s">
        <v>918</v>
      </c>
      <c r="S2626">
        <v>37</v>
      </c>
      <c r="T2626" s="29" t="str">
        <f t="shared" si="114"/>
        <v>2021.010B.R.Binomial_names.zip</v>
      </c>
      <c r="U2626" s="29" t="str">
        <f>HYPERLINK("https://ictv.global/taxonomy/taxondetails?taxnode_id=202301191","ictv.global=202301191")</f>
        <v>ictv.global=202301191</v>
      </c>
    </row>
    <row r="2627" spans="1:21">
      <c r="A2627">
        <v>2626</v>
      </c>
      <c r="B2627" s="30" t="s">
        <v>1587</v>
      </c>
      <c r="D2627" s="30" t="s">
        <v>1588</v>
      </c>
      <c r="F2627" s="30" t="s">
        <v>1591</v>
      </c>
      <c r="H2627" s="30" t="s">
        <v>1592</v>
      </c>
      <c r="M2627" s="30" t="s">
        <v>1871</v>
      </c>
      <c r="N2627" s="30" t="s">
        <v>1875</v>
      </c>
      <c r="P2627" s="30" t="s">
        <v>6339</v>
      </c>
      <c r="Q2627" t="s">
        <v>619</v>
      </c>
      <c r="R2627" t="s">
        <v>918</v>
      </c>
      <c r="S2627">
        <v>37</v>
      </c>
      <c r="T2627" s="29" t="str">
        <f t="shared" si="114"/>
        <v>2021.010B.R.Binomial_names.zip</v>
      </c>
      <c r="U2627" s="29" t="str">
        <f>HYPERLINK("https://ictv.global/taxonomy/taxondetails?taxnode_id=202301193","ictv.global=202301193")</f>
        <v>ictv.global=202301193</v>
      </c>
    </row>
    <row r="2628" spans="1:21">
      <c r="A2628">
        <v>2627</v>
      </c>
      <c r="B2628" s="30" t="s">
        <v>1587</v>
      </c>
      <c r="D2628" s="30" t="s">
        <v>1588</v>
      </c>
      <c r="F2628" s="30" t="s">
        <v>1591</v>
      </c>
      <c r="H2628" s="30" t="s">
        <v>1592</v>
      </c>
      <c r="M2628" s="30" t="s">
        <v>2300</v>
      </c>
      <c r="N2628" s="30" t="s">
        <v>2301</v>
      </c>
      <c r="P2628" s="30" t="s">
        <v>6340</v>
      </c>
      <c r="Q2628" t="s">
        <v>619</v>
      </c>
      <c r="R2628" t="s">
        <v>918</v>
      </c>
      <c r="S2628">
        <v>37</v>
      </c>
      <c r="T2628" s="29" t="str">
        <f t="shared" si="114"/>
        <v>2021.010B.R.Binomial_names.zip</v>
      </c>
      <c r="U2628" s="29" t="str">
        <f>HYPERLINK("https://ictv.global/taxonomy/taxondetails?taxnode_id=202309985","ictv.global=202309985")</f>
        <v>ictv.global=202309985</v>
      </c>
    </row>
    <row r="2629" spans="1:21">
      <c r="A2629">
        <v>2628</v>
      </c>
      <c r="B2629" s="30" t="s">
        <v>1587</v>
      </c>
      <c r="D2629" s="30" t="s">
        <v>1588</v>
      </c>
      <c r="F2629" s="30" t="s">
        <v>1591</v>
      </c>
      <c r="H2629" s="30" t="s">
        <v>1592</v>
      </c>
      <c r="M2629" s="30" t="s">
        <v>2300</v>
      </c>
      <c r="N2629" s="30" t="s">
        <v>2301</v>
      </c>
      <c r="P2629" s="30" t="s">
        <v>6341</v>
      </c>
      <c r="Q2629" t="s">
        <v>619</v>
      </c>
      <c r="R2629" t="s">
        <v>918</v>
      </c>
      <c r="S2629">
        <v>37</v>
      </c>
      <c r="T2629" s="29" t="str">
        <f t="shared" si="114"/>
        <v>2021.010B.R.Binomial_names.zip</v>
      </c>
      <c r="U2629" s="29" t="str">
        <f>HYPERLINK("https://ictv.global/taxonomy/taxondetails?taxnode_id=202309986","ictv.global=202309986")</f>
        <v>ictv.global=202309986</v>
      </c>
    </row>
    <row r="2630" spans="1:21">
      <c r="A2630">
        <v>2629</v>
      </c>
      <c r="B2630" s="30" t="s">
        <v>1587</v>
      </c>
      <c r="D2630" s="30" t="s">
        <v>1588</v>
      </c>
      <c r="F2630" s="30" t="s">
        <v>1591</v>
      </c>
      <c r="H2630" s="30" t="s">
        <v>1592</v>
      </c>
      <c r="M2630" s="30" t="s">
        <v>2300</v>
      </c>
      <c r="N2630" s="30" t="s">
        <v>2302</v>
      </c>
      <c r="P2630" s="30" t="s">
        <v>6342</v>
      </c>
      <c r="Q2630" t="s">
        <v>619</v>
      </c>
      <c r="R2630" t="s">
        <v>918</v>
      </c>
      <c r="S2630">
        <v>37</v>
      </c>
      <c r="T2630" s="29" t="str">
        <f t="shared" si="114"/>
        <v>2021.010B.R.Binomial_names.zip</v>
      </c>
      <c r="U2630" s="29" t="str">
        <f>HYPERLINK("https://ictv.global/taxonomy/taxondetails?taxnode_id=202309989","ictv.global=202309989")</f>
        <v>ictv.global=202309989</v>
      </c>
    </row>
    <row r="2631" spans="1:21">
      <c r="A2631">
        <v>2630</v>
      </c>
      <c r="B2631" s="30" t="s">
        <v>1587</v>
      </c>
      <c r="D2631" s="30" t="s">
        <v>1588</v>
      </c>
      <c r="F2631" s="30" t="s">
        <v>1591</v>
      </c>
      <c r="H2631" s="30" t="s">
        <v>1592</v>
      </c>
      <c r="M2631" s="30" t="s">
        <v>2300</v>
      </c>
      <c r="N2631" s="30" t="s">
        <v>2302</v>
      </c>
      <c r="P2631" s="30" t="s">
        <v>6343</v>
      </c>
      <c r="Q2631" t="s">
        <v>619</v>
      </c>
      <c r="R2631" t="s">
        <v>918</v>
      </c>
      <c r="S2631">
        <v>37</v>
      </c>
      <c r="T2631" s="29" t="str">
        <f t="shared" si="114"/>
        <v>2021.010B.R.Binomial_names.zip</v>
      </c>
      <c r="U2631" s="29" t="str">
        <f>HYPERLINK("https://ictv.global/taxonomy/taxondetails?taxnode_id=202309988","ictv.global=202309988")</f>
        <v>ictv.global=202309988</v>
      </c>
    </row>
    <row r="2632" spans="1:21">
      <c r="A2632">
        <v>2631</v>
      </c>
      <c r="B2632" s="30" t="s">
        <v>1587</v>
      </c>
      <c r="D2632" s="30" t="s">
        <v>1588</v>
      </c>
      <c r="F2632" s="30" t="s">
        <v>1591</v>
      </c>
      <c r="H2632" s="30" t="s">
        <v>1592</v>
      </c>
      <c r="M2632" s="30" t="s">
        <v>609</v>
      </c>
      <c r="N2632" s="30" t="s">
        <v>1324</v>
      </c>
      <c r="P2632" s="30" t="s">
        <v>628</v>
      </c>
      <c r="Q2632" t="s">
        <v>619</v>
      </c>
      <c r="R2632" t="s">
        <v>919</v>
      </c>
      <c r="S2632">
        <v>37</v>
      </c>
      <c r="T2632" s="29" t="str">
        <f>HYPERLINK("https://ictv.global/ictv/proposals/2021.001B.R.abolish_Caudovirales.zip","2021.001B.R.abolish_Caudovirales.zip")</f>
        <v>2021.001B.R.abolish_Caudovirales.zip</v>
      </c>
      <c r="U2632" s="29" t="str">
        <f>HYPERLINK("https://ictv.global/taxonomy/taxondetails?taxnode_id=202300197","ictv.global=202300197")</f>
        <v>ictv.global=202300197</v>
      </c>
    </row>
    <row r="2633" spans="1:21">
      <c r="A2633">
        <v>2632</v>
      </c>
      <c r="B2633" s="30" t="s">
        <v>1587</v>
      </c>
      <c r="D2633" s="30" t="s">
        <v>1588</v>
      </c>
      <c r="F2633" s="30" t="s">
        <v>1591</v>
      </c>
      <c r="H2633" s="30" t="s">
        <v>1592</v>
      </c>
      <c r="M2633" s="30" t="s">
        <v>609</v>
      </c>
      <c r="N2633" s="30" t="s">
        <v>1324</v>
      </c>
      <c r="P2633" s="30" t="s">
        <v>6344</v>
      </c>
      <c r="Q2633" t="s">
        <v>619</v>
      </c>
      <c r="R2633" t="s">
        <v>918</v>
      </c>
      <c r="S2633">
        <v>37</v>
      </c>
      <c r="T2633" s="29" t="str">
        <f t="shared" ref="T2633:T2640" si="115">HYPERLINK("https://ictv.global/ictv/proposals/2021.010B.R.Binomial_names.zip","2021.010B.R.Binomial_names.zip")</f>
        <v>2021.010B.R.Binomial_names.zip</v>
      </c>
      <c r="U2633" s="29" t="str">
        <f>HYPERLINK("https://ictv.global/taxonomy/taxondetails?taxnode_id=202300194","ictv.global=202300194")</f>
        <v>ictv.global=202300194</v>
      </c>
    </row>
    <row r="2634" spans="1:21">
      <c r="A2634">
        <v>2633</v>
      </c>
      <c r="B2634" s="30" t="s">
        <v>1587</v>
      </c>
      <c r="D2634" s="30" t="s">
        <v>1588</v>
      </c>
      <c r="F2634" s="30" t="s">
        <v>1591</v>
      </c>
      <c r="H2634" s="30" t="s">
        <v>1592</v>
      </c>
      <c r="M2634" s="30" t="s">
        <v>609</v>
      </c>
      <c r="N2634" s="30" t="s">
        <v>1324</v>
      </c>
      <c r="P2634" s="30" t="s">
        <v>6345</v>
      </c>
      <c r="Q2634" t="s">
        <v>619</v>
      </c>
      <c r="R2634" t="s">
        <v>918</v>
      </c>
      <c r="S2634">
        <v>37</v>
      </c>
      <c r="T2634" s="29" t="str">
        <f t="shared" si="115"/>
        <v>2021.010B.R.Binomial_names.zip</v>
      </c>
      <c r="U2634" s="29" t="str">
        <f>HYPERLINK("https://ictv.global/taxonomy/taxondetails?taxnode_id=202300195","ictv.global=202300195")</f>
        <v>ictv.global=202300195</v>
      </c>
    </row>
    <row r="2635" spans="1:21">
      <c r="A2635">
        <v>2634</v>
      </c>
      <c r="B2635" s="30" t="s">
        <v>1587</v>
      </c>
      <c r="D2635" s="30" t="s">
        <v>1588</v>
      </c>
      <c r="F2635" s="30" t="s">
        <v>1591</v>
      </c>
      <c r="H2635" s="30" t="s">
        <v>1592</v>
      </c>
      <c r="M2635" s="30" t="s">
        <v>609</v>
      </c>
      <c r="N2635" s="30" t="s">
        <v>1324</v>
      </c>
      <c r="P2635" s="30" t="s">
        <v>6346</v>
      </c>
      <c r="Q2635" t="s">
        <v>619</v>
      </c>
      <c r="R2635" t="s">
        <v>918</v>
      </c>
      <c r="S2635">
        <v>37</v>
      </c>
      <c r="T2635" s="29" t="str">
        <f t="shared" si="115"/>
        <v>2021.010B.R.Binomial_names.zip</v>
      </c>
      <c r="U2635" s="29" t="str">
        <f>HYPERLINK("https://ictv.global/taxonomy/taxondetails?taxnode_id=202300196","ictv.global=202300196")</f>
        <v>ictv.global=202300196</v>
      </c>
    </row>
    <row r="2636" spans="1:21">
      <c r="A2636">
        <v>2635</v>
      </c>
      <c r="B2636" s="30" t="s">
        <v>1587</v>
      </c>
      <c r="D2636" s="30" t="s">
        <v>1588</v>
      </c>
      <c r="F2636" s="30" t="s">
        <v>1591</v>
      </c>
      <c r="H2636" s="30" t="s">
        <v>1592</v>
      </c>
      <c r="M2636" s="30" t="s">
        <v>609</v>
      </c>
      <c r="N2636" s="30" t="s">
        <v>1325</v>
      </c>
      <c r="P2636" s="30" t="s">
        <v>6347</v>
      </c>
      <c r="Q2636" t="s">
        <v>619</v>
      </c>
      <c r="R2636" t="s">
        <v>918</v>
      </c>
      <c r="S2636">
        <v>37</v>
      </c>
      <c r="T2636" s="29" t="str">
        <f t="shared" si="115"/>
        <v>2021.010B.R.Binomial_names.zip</v>
      </c>
      <c r="U2636" s="29" t="str">
        <f>HYPERLINK("https://ictv.global/taxonomy/taxondetails?taxnode_id=202300199","ictv.global=202300199")</f>
        <v>ictv.global=202300199</v>
      </c>
    </row>
    <row r="2637" spans="1:21">
      <c r="A2637">
        <v>2636</v>
      </c>
      <c r="B2637" s="30" t="s">
        <v>1587</v>
      </c>
      <c r="D2637" s="30" t="s">
        <v>1588</v>
      </c>
      <c r="F2637" s="30" t="s">
        <v>1591</v>
      </c>
      <c r="H2637" s="30" t="s">
        <v>1592</v>
      </c>
      <c r="M2637" s="30" t="s">
        <v>609</v>
      </c>
      <c r="N2637" s="30" t="s">
        <v>1325</v>
      </c>
      <c r="P2637" s="30" t="s">
        <v>6348</v>
      </c>
      <c r="Q2637" t="s">
        <v>619</v>
      </c>
      <c r="R2637" t="s">
        <v>918</v>
      </c>
      <c r="S2637">
        <v>37</v>
      </c>
      <c r="T2637" s="29" t="str">
        <f t="shared" si="115"/>
        <v>2021.010B.R.Binomial_names.zip</v>
      </c>
      <c r="U2637" s="29" t="str">
        <f>HYPERLINK("https://ictv.global/taxonomy/taxondetails?taxnode_id=202300200","ictv.global=202300200")</f>
        <v>ictv.global=202300200</v>
      </c>
    </row>
    <row r="2638" spans="1:21">
      <c r="A2638">
        <v>2637</v>
      </c>
      <c r="B2638" s="30" t="s">
        <v>1587</v>
      </c>
      <c r="D2638" s="30" t="s">
        <v>1588</v>
      </c>
      <c r="F2638" s="30" t="s">
        <v>1591</v>
      </c>
      <c r="H2638" s="30" t="s">
        <v>1592</v>
      </c>
      <c r="M2638" s="30" t="s">
        <v>609</v>
      </c>
      <c r="N2638" s="30" t="s">
        <v>1325</v>
      </c>
      <c r="P2638" s="30" t="s">
        <v>6349</v>
      </c>
      <c r="Q2638" t="s">
        <v>619</v>
      </c>
      <c r="R2638" t="s">
        <v>918</v>
      </c>
      <c r="S2638">
        <v>37</v>
      </c>
      <c r="T2638" s="29" t="str">
        <f t="shared" si="115"/>
        <v>2021.010B.R.Binomial_names.zip</v>
      </c>
      <c r="U2638" s="29" t="str">
        <f>HYPERLINK("https://ictv.global/taxonomy/taxondetails?taxnode_id=202300201","ictv.global=202300201")</f>
        <v>ictv.global=202300201</v>
      </c>
    </row>
    <row r="2639" spans="1:21">
      <c r="A2639">
        <v>2638</v>
      </c>
      <c r="B2639" s="30" t="s">
        <v>1587</v>
      </c>
      <c r="D2639" s="30" t="s">
        <v>1588</v>
      </c>
      <c r="F2639" s="30" t="s">
        <v>1591</v>
      </c>
      <c r="H2639" s="30" t="s">
        <v>1592</v>
      </c>
      <c r="M2639" s="30" t="s">
        <v>609</v>
      </c>
      <c r="N2639" s="30" t="s">
        <v>1325</v>
      </c>
      <c r="P2639" s="30" t="s">
        <v>6350</v>
      </c>
      <c r="Q2639" t="s">
        <v>619</v>
      </c>
      <c r="R2639" t="s">
        <v>918</v>
      </c>
      <c r="S2639">
        <v>37</v>
      </c>
      <c r="T2639" s="29" t="str">
        <f t="shared" si="115"/>
        <v>2021.010B.R.Binomial_names.zip</v>
      </c>
      <c r="U2639" s="29" t="str">
        <f>HYPERLINK("https://ictv.global/taxonomy/taxondetails?taxnode_id=202306998","ictv.global=202306998")</f>
        <v>ictv.global=202306998</v>
      </c>
    </row>
    <row r="2640" spans="1:21">
      <c r="A2640">
        <v>2639</v>
      </c>
      <c r="B2640" s="30" t="s">
        <v>1587</v>
      </c>
      <c r="D2640" s="30" t="s">
        <v>1588</v>
      </c>
      <c r="F2640" s="30" t="s">
        <v>1591</v>
      </c>
      <c r="H2640" s="30" t="s">
        <v>1592</v>
      </c>
      <c r="M2640" s="30" t="s">
        <v>609</v>
      </c>
      <c r="N2640" s="30" t="s">
        <v>1325</v>
      </c>
      <c r="P2640" s="30" t="s">
        <v>6351</v>
      </c>
      <c r="Q2640" t="s">
        <v>619</v>
      </c>
      <c r="R2640" t="s">
        <v>918</v>
      </c>
      <c r="S2640">
        <v>37</v>
      </c>
      <c r="T2640" s="29" t="str">
        <f t="shared" si="115"/>
        <v>2021.010B.R.Binomial_names.zip</v>
      </c>
      <c r="U2640" s="29" t="str">
        <f>HYPERLINK("https://ictv.global/taxonomy/taxondetails?taxnode_id=202300202","ictv.global=202300202")</f>
        <v>ictv.global=202300202</v>
      </c>
    </row>
    <row r="2641" spans="1:21">
      <c r="A2641">
        <v>2640</v>
      </c>
      <c r="B2641" s="30" t="s">
        <v>1587</v>
      </c>
      <c r="D2641" s="30" t="s">
        <v>1588</v>
      </c>
      <c r="F2641" s="30" t="s">
        <v>1591</v>
      </c>
      <c r="H2641" s="30" t="s">
        <v>1592</v>
      </c>
      <c r="M2641" s="30" t="s">
        <v>12233</v>
      </c>
      <c r="N2641" s="30" t="s">
        <v>12234</v>
      </c>
      <c r="P2641" s="30" t="s">
        <v>12235</v>
      </c>
      <c r="Q2641" t="s">
        <v>619</v>
      </c>
      <c r="R2641" t="s">
        <v>917</v>
      </c>
      <c r="S2641">
        <v>39</v>
      </c>
      <c r="T2641" s="29" t="str">
        <f>HYPERLINK("https://ictv.global/ictv/proposals/2023.002B.Actinobacteriophage_Database_Cluster_FE_1nsf_5ng.zip","2023.002B.Actinobacteriophage_Database_Cluster_FE_1nsf_5ng.zip")</f>
        <v>2023.002B.Actinobacteriophage_Database_Cluster_FE_1nsf_5ng.zip</v>
      </c>
      <c r="U2641" s="29" t="str">
        <f>HYPERLINK("https://ictv.global/taxonomy/taxondetails?taxnode_id=202317741","ictv.global=202317741")</f>
        <v>ictv.global=202317741</v>
      </c>
    </row>
    <row r="2642" spans="1:21">
      <c r="A2642">
        <v>2641</v>
      </c>
      <c r="B2642" s="30" t="s">
        <v>1587</v>
      </c>
      <c r="D2642" s="30" t="s">
        <v>1588</v>
      </c>
      <c r="F2642" s="30" t="s">
        <v>1591</v>
      </c>
      <c r="H2642" s="30" t="s">
        <v>1592</v>
      </c>
      <c r="M2642" s="30" t="s">
        <v>12233</v>
      </c>
      <c r="N2642" s="30" t="s">
        <v>12236</v>
      </c>
      <c r="P2642" s="30" t="s">
        <v>12237</v>
      </c>
      <c r="Q2642" t="s">
        <v>619</v>
      </c>
      <c r="R2642" t="s">
        <v>917</v>
      </c>
      <c r="S2642">
        <v>39</v>
      </c>
      <c r="T2642" s="29" t="str">
        <f>HYPERLINK("https://ictv.global/ictv/proposals/2023.002B.Actinobacteriophage_Database_Cluster_FE_1nsf_5ng.zip","2023.002B.Actinobacteriophage_Database_Cluster_FE_1nsf_5ng.zip")</f>
        <v>2023.002B.Actinobacteriophage_Database_Cluster_FE_1nsf_5ng.zip</v>
      </c>
      <c r="U2642" s="29" t="str">
        <f>HYPERLINK("https://ictv.global/taxonomy/taxondetails?taxnode_id=202317742","ictv.global=202317742")</f>
        <v>ictv.global=202317742</v>
      </c>
    </row>
    <row r="2643" spans="1:21">
      <c r="A2643">
        <v>2642</v>
      </c>
      <c r="B2643" s="30" t="s">
        <v>1587</v>
      </c>
      <c r="D2643" s="30" t="s">
        <v>1588</v>
      </c>
      <c r="F2643" s="30" t="s">
        <v>1591</v>
      </c>
      <c r="H2643" s="30" t="s">
        <v>1592</v>
      </c>
      <c r="M2643" s="30" t="s">
        <v>12233</v>
      </c>
      <c r="N2643" s="30" t="s">
        <v>12238</v>
      </c>
      <c r="P2643" s="30" t="s">
        <v>12239</v>
      </c>
      <c r="Q2643" t="s">
        <v>619</v>
      </c>
      <c r="R2643" t="s">
        <v>917</v>
      </c>
      <c r="S2643">
        <v>39</v>
      </c>
      <c r="T2643" s="29" t="str">
        <f>HYPERLINK("https://ictv.global/ictv/proposals/2023.002B.Actinobacteriophage_Database_Cluster_FE_1nsf_5ng.zip","2023.002B.Actinobacteriophage_Database_Cluster_FE_1nsf_5ng.zip")</f>
        <v>2023.002B.Actinobacteriophage_Database_Cluster_FE_1nsf_5ng.zip</v>
      </c>
      <c r="U2643" s="29" t="str">
        <f>HYPERLINK("https://ictv.global/taxonomy/taxondetails?taxnode_id=202317740","ictv.global=202317740")</f>
        <v>ictv.global=202317740</v>
      </c>
    </row>
    <row r="2644" spans="1:21">
      <c r="A2644">
        <v>2643</v>
      </c>
      <c r="B2644" s="30" t="s">
        <v>1587</v>
      </c>
      <c r="D2644" s="30" t="s">
        <v>1588</v>
      </c>
      <c r="F2644" s="30" t="s">
        <v>1591</v>
      </c>
      <c r="H2644" s="30" t="s">
        <v>1592</v>
      </c>
      <c r="M2644" s="30" t="s">
        <v>6352</v>
      </c>
      <c r="N2644" s="30" t="s">
        <v>6353</v>
      </c>
      <c r="P2644" s="30" t="s">
        <v>6354</v>
      </c>
      <c r="Q2644" t="s">
        <v>619</v>
      </c>
      <c r="R2644" t="s">
        <v>917</v>
      </c>
      <c r="S2644">
        <v>37</v>
      </c>
      <c r="T2644" s="29" t="str">
        <f t="shared" ref="T2644:T2654" si="116">HYPERLINK("https://ictv.global/ictv/proposals/2021.032B.R.Gclasvirinae.zip","2021.032B.R.Gclasvirinae.zip")</f>
        <v>2021.032B.R.Gclasvirinae.zip</v>
      </c>
      <c r="U2644" s="29" t="str">
        <f>HYPERLINK("https://ictv.global/taxonomy/taxondetails?taxnode_id=202313593","ictv.global=202313593")</f>
        <v>ictv.global=202313593</v>
      </c>
    </row>
    <row r="2645" spans="1:21">
      <c r="A2645">
        <v>2644</v>
      </c>
      <c r="B2645" s="30" t="s">
        <v>1587</v>
      </c>
      <c r="D2645" s="30" t="s">
        <v>1588</v>
      </c>
      <c r="F2645" s="30" t="s">
        <v>1591</v>
      </c>
      <c r="H2645" s="30" t="s">
        <v>1592</v>
      </c>
      <c r="M2645" s="30" t="s">
        <v>6352</v>
      </c>
      <c r="N2645" s="30" t="s">
        <v>6355</v>
      </c>
      <c r="P2645" s="30" t="s">
        <v>6356</v>
      </c>
      <c r="Q2645" t="s">
        <v>619</v>
      </c>
      <c r="R2645" t="s">
        <v>917</v>
      </c>
      <c r="S2645">
        <v>37</v>
      </c>
      <c r="T2645" s="29" t="str">
        <f t="shared" si="116"/>
        <v>2021.032B.R.Gclasvirinae.zip</v>
      </c>
      <c r="U2645" s="29" t="str">
        <f>HYPERLINK("https://ictv.global/taxonomy/taxondetails?taxnode_id=202313589","ictv.global=202313589")</f>
        <v>ictv.global=202313589</v>
      </c>
    </row>
    <row r="2646" spans="1:21">
      <c r="A2646">
        <v>2645</v>
      </c>
      <c r="B2646" s="30" t="s">
        <v>1587</v>
      </c>
      <c r="D2646" s="30" t="s">
        <v>1588</v>
      </c>
      <c r="F2646" s="30" t="s">
        <v>1591</v>
      </c>
      <c r="H2646" s="30" t="s">
        <v>1592</v>
      </c>
      <c r="M2646" s="30" t="s">
        <v>6352</v>
      </c>
      <c r="N2646" s="30" t="s">
        <v>6355</v>
      </c>
      <c r="P2646" s="30" t="s">
        <v>6357</v>
      </c>
      <c r="Q2646" t="s">
        <v>619</v>
      </c>
      <c r="R2646" t="s">
        <v>917</v>
      </c>
      <c r="S2646">
        <v>37</v>
      </c>
      <c r="T2646" s="29" t="str">
        <f t="shared" si="116"/>
        <v>2021.032B.R.Gclasvirinae.zip</v>
      </c>
      <c r="U2646" s="29" t="str">
        <f>HYPERLINK("https://ictv.global/taxonomy/taxondetails?taxnode_id=202313591","ictv.global=202313591")</f>
        <v>ictv.global=202313591</v>
      </c>
    </row>
    <row r="2647" spans="1:21">
      <c r="A2647">
        <v>2646</v>
      </c>
      <c r="B2647" s="30" t="s">
        <v>1587</v>
      </c>
      <c r="D2647" s="30" t="s">
        <v>1588</v>
      </c>
      <c r="F2647" s="30" t="s">
        <v>1591</v>
      </c>
      <c r="H2647" s="30" t="s">
        <v>1592</v>
      </c>
      <c r="M2647" s="30" t="s">
        <v>6352</v>
      </c>
      <c r="N2647" s="30" t="s">
        <v>6355</v>
      </c>
      <c r="P2647" s="30" t="s">
        <v>6358</v>
      </c>
      <c r="Q2647" t="s">
        <v>619</v>
      </c>
      <c r="R2647" t="s">
        <v>917</v>
      </c>
      <c r="S2647">
        <v>37</v>
      </c>
      <c r="T2647" s="29" t="str">
        <f t="shared" si="116"/>
        <v>2021.032B.R.Gclasvirinae.zip</v>
      </c>
      <c r="U2647" s="29" t="str">
        <f>HYPERLINK("https://ictv.global/taxonomy/taxondetails?taxnode_id=202313590","ictv.global=202313590")</f>
        <v>ictv.global=202313590</v>
      </c>
    </row>
    <row r="2648" spans="1:21">
      <c r="A2648">
        <v>2647</v>
      </c>
      <c r="B2648" s="30" t="s">
        <v>1587</v>
      </c>
      <c r="D2648" s="30" t="s">
        <v>1588</v>
      </c>
      <c r="F2648" s="30" t="s">
        <v>1591</v>
      </c>
      <c r="H2648" s="30" t="s">
        <v>1592</v>
      </c>
      <c r="M2648" s="30" t="s">
        <v>6352</v>
      </c>
      <c r="N2648" s="30" t="s">
        <v>6359</v>
      </c>
      <c r="P2648" s="30" t="s">
        <v>6360</v>
      </c>
      <c r="Q2648" t="s">
        <v>619</v>
      </c>
      <c r="R2648" t="s">
        <v>917</v>
      </c>
      <c r="S2648">
        <v>37</v>
      </c>
      <c r="T2648" s="29" t="str">
        <f t="shared" si="116"/>
        <v>2021.032B.R.Gclasvirinae.zip</v>
      </c>
      <c r="U2648" s="29" t="str">
        <f>HYPERLINK("https://ictv.global/taxonomy/taxondetails?taxnode_id=202313595","ictv.global=202313595")</f>
        <v>ictv.global=202313595</v>
      </c>
    </row>
    <row r="2649" spans="1:21">
      <c r="A2649">
        <v>2648</v>
      </c>
      <c r="B2649" s="30" t="s">
        <v>1587</v>
      </c>
      <c r="D2649" s="30" t="s">
        <v>1588</v>
      </c>
      <c r="F2649" s="30" t="s">
        <v>1591</v>
      </c>
      <c r="H2649" s="30" t="s">
        <v>1592</v>
      </c>
      <c r="M2649" s="30" t="s">
        <v>6352</v>
      </c>
      <c r="N2649" s="30" t="s">
        <v>6359</v>
      </c>
      <c r="P2649" s="30" t="s">
        <v>6361</v>
      </c>
      <c r="Q2649" t="s">
        <v>619</v>
      </c>
      <c r="R2649" t="s">
        <v>917</v>
      </c>
      <c r="S2649">
        <v>37</v>
      </c>
      <c r="T2649" s="29" t="str">
        <f t="shared" si="116"/>
        <v>2021.032B.R.Gclasvirinae.zip</v>
      </c>
      <c r="U2649" s="29" t="str">
        <f>HYPERLINK("https://ictv.global/taxonomy/taxondetails?taxnode_id=202313597","ictv.global=202313597")</f>
        <v>ictv.global=202313597</v>
      </c>
    </row>
    <row r="2650" spans="1:21">
      <c r="A2650">
        <v>2649</v>
      </c>
      <c r="B2650" s="30" t="s">
        <v>1587</v>
      </c>
      <c r="D2650" s="30" t="s">
        <v>1588</v>
      </c>
      <c r="F2650" s="30" t="s">
        <v>1591</v>
      </c>
      <c r="H2650" s="30" t="s">
        <v>1592</v>
      </c>
      <c r="M2650" s="30" t="s">
        <v>6352</v>
      </c>
      <c r="N2650" s="30" t="s">
        <v>6359</v>
      </c>
      <c r="P2650" s="30" t="s">
        <v>6362</v>
      </c>
      <c r="Q2650" t="s">
        <v>619</v>
      </c>
      <c r="R2650" t="s">
        <v>917</v>
      </c>
      <c r="S2650">
        <v>37</v>
      </c>
      <c r="T2650" s="29" t="str">
        <f t="shared" si="116"/>
        <v>2021.032B.R.Gclasvirinae.zip</v>
      </c>
      <c r="U2650" s="29" t="str">
        <f>HYPERLINK("https://ictv.global/taxonomy/taxondetails?taxnode_id=202313596","ictv.global=202313596")</f>
        <v>ictv.global=202313596</v>
      </c>
    </row>
    <row r="2651" spans="1:21">
      <c r="A2651">
        <v>2650</v>
      </c>
      <c r="B2651" s="30" t="s">
        <v>1587</v>
      </c>
      <c r="D2651" s="30" t="s">
        <v>1588</v>
      </c>
      <c r="F2651" s="30" t="s">
        <v>1591</v>
      </c>
      <c r="H2651" s="30" t="s">
        <v>1592</v>
      </c>
      <c r="M2651" s="30" t="s">
        <v>6352</v>
      </c>
      <c r="N2651" s="30" t="s">
        <v>690</v>
      </c>
      <c r="P2651" s="30" t="s">
        <v>6363</v>
      </c>
      <c r="Q2651" t="s">
        <v>619</v>
      </c>
      <c r="R2651" t="s">
        <v>917</v>
      </c>
      <c r="S2651">
        <v>37</v>
      </c>
      <c r="T2651" s="29" t="str">
        <f t="shared" si="116"/>
        <v>2021.032B.R.Gclasvirinae.zip</v>
      </c>
      <c r="U2651" s="29" t="str">
        <f>HYPERLINK("https://ictv.global/taxonomy/taxondetails?taxnode_id=202313587","ictv.global=202313587")</f>
        <v>ictv.global=202313587</v>
      </c>
    </row>
    <row r="2652" spans="1:21">
      <c r="A2652">
        <v>2651</v>
      </c>
      <c r="B2652" s="30" t="s">
        <v>1587</v>
      </c>
      <c r="D2652" s="30" t="s">
        <v>1588</v>
      </c>
      <c r="F2652" s="30" t="s">
        <v>1591</v>
      </c>
      <c r="H2652" s="30" t="s">
        <v>1592</v>
      </c>
      <c r="M2652" s="30" t="s">
        <v>6352</v>
      </c>
      <c r="N2652" s="30" t="s">
        <v>690</v>
      </c>
      <c r="P2652" s="30" t="s">
        <v>6364</v>
      </c>
      <c r="Q2652" t="s">
        <v>619</v>
      </c>
      <c r="R2652" t="s">
        <v>917</v>
      </c>
      <c r="S2652">
        <v>37</v>
      </c>
      <c r="T2652" s="29" t="str">
        <f t="shared" si="116"/>
        <v>2021.032B.R.Gclasvirinae.zip</v>
      </c>
      <c r="U2652" s="29" t="str">
        <f>HYPERLINK("https://ictv.global/taxonomy/taxondetails?taxnode_id=202313584","ictv.global=202313584")</f>
        <v>ictv.global=202313584</v>
      </c>
    </row>
    <row r="2653" spans="1:21">
      <c r="A2653">
        <v>2652</v>
      </c>
      <c r="B2653" s="30" t="s">
        <v>1587</v>
      </c>
      <c r="D2653" s="30" t="s">
        <v>1588</v>
      </c>
      <c r="F2653" s="30" t="s">
        <v>1591</v>
      </c>
      <c r="H2653" s="30" t="s">
        <v>1592</v>
      </c>
      <c r="M2653" s="30" t="s">
        <v>6352</v>
      </c>
      <c r="N2653" s="30" t="s">
        <v>690</v>
      </c>
      <c r="P2653" s="30" t="s">
        <v>6365</v>
      </c>
      <c r="Q2653" t="s">
        <v>619</v>
      </c>
      <c r="R2653" t="s">
        <v>917</v>
      </c>
      <c r="S2653">
        <v>37</v>
      </c>
      <c r="T2653" s="29" t="str">
        <f t="shared" si="116"/>
        <v>2021.032B.R.Gclasvirinae.zip</v>
      </c>
      <c r="U2653" s="29" t="str">
        <f>HYPERLINK("https://ictv.global/taxonomy/taxondetails?taxnode_id=202313586","ictv.global=202313586")</f>
        <v>ictv.global=202313586</v>
      </c>
    </row>
    <row r="2654" spans="1:21">
      <c r="A2654">
        <v>2653</v>
      </c>
      <c r="B2654" s="30" t="s">
        <v>1587</v>
      </c>
      <c r="D2654" s="30" t="s">
        <v>1588</v>
      </c>
      <c r="F2654" s="30" t="s">
        <v>1591</v>
      </c>
      <c r="H2654" s="30" t="s">
        <v>1592</v>
      </c>
      <c r="M2654" s="30" t="s">
        <v>6352</v>
      </c>
      <c r="N2654" s="30" t="s">
        <v>690</v>
      </c>
      <c r="P2654" s="30" t="s">
        <v>6366</v>
      </c>
      <c r="Q2654" t="s">
        <v>619</v>
      </c>
      <c r="R2654" t="s">
        <v>917</v>
      </c>
      <c r="S2654">
        <v>37</v>
      </c>
      <c r="T2654" s="29" t="str">
        <f t="shared" si="116"/>
        <v>2021.032B.R.Gclasvirinae.zip</v>
      </c>
      <c r="U2654" s="29" t="str">
        <f>HYPERLINK("https://ictv.global/taxonomy/taxondetails?taxnode_id=202313585","ictv.global=202313585")</f>
        <v>ictv.global=202313585</v>
      </c>
    </row>
    <row r="2655" spans="1:21">
      <c r="A2655">
        <v>2654</v>
      </c>
      <c r="B2655" s="30" t="s">
        <v>1587</v>
      </c>
      <c r="D2655" s="30" t="s">
        <v>1588</v>
      </c>
      <c r="F2655" s="30" t="s">
        <v>1591</v>
      </c>
      <c r="H2655" s="30" t="s">
        <v>1592</v>
      </c>
      <c r="M2655" s="30" t="s">
        <v>6352</v>
      </c>
      <c r="N2655" s="30" t="s">
        <v>690</v>
      </c>
      <c r="P2655" s="30" t="s">
        <v>691</v>
      </c>
      <c r="Q2655" t="s">
        <v>619</v>
      </c>
      <c r="R2655" t="s">
        <v>919</v>
      </c>
      <c r="S2655">
        <v>37</v>
      </c>
      <c r="T2655" s="29" t="str">
        <f>HYPERLINK("https://ictv.global/ictv/proposals/2021.001B.R.abolish_Caudovirales.zip","2021.001B.R.abolish_Caudovirales.zip;2021.032B.A.v1.Gclasvirinae.zip")</f>
        <v>2021.001B.R.abolish_Caudovirales.zip;2021.032B.A.v1.Gclasvirinae.zip</v>
      </c>
      <c r="U2655" s="29" t="str">
        <f>HYPERLINK("https://ictv.global/taxonomy/taxondetails?taxnode_id=202301076","ictv.global=202301076")</f>
        <v>ictv.global=202301076</v>
      </c>
    </row>
    <row r="2656" spans="1:21">
      <c r="A2656">
        <v>2655</v>
      </c>
      <c r="B2656" s="30" t="s">
        <v>1587</v>
      </c>
      <c r="D2656" s="30" t="s">
        <v>1588</v>
      </c>
      <c r="F2656" s="30" t="s">
        <v>1591</v>
      </c>
      <c r="H2656" s="30" t="s">
        <v>1592</v>
      </c>
      <c r="M2656" s="30" t="s">
        <v>6352</v>
      </c>
      <c r="N2656" s="30" t="s">
        <v>690</v>
      </c>
      <c r="P2656" s="30" t="s">
        <v>692</v>
      </c>
      <c r="Q2656" t="s">
        <v>619</v>
      </c>
      <c r="R2656" t="s">
        <v>919</v>
      </c>
      <c r="S2656">
        <v>37</v>
      </c>
      <c r="T2656" s="29" t="str">
        <f>HYPERLINK("https://ictv.global/ictv/proposals/2021.001B.R.abolish_Caudovirales.zip","2021.001B.R.abolish_Caudovirales.zip;2021.032B.A.v1.Gclasvirinae.zip")</f>
        <v>2021.001B.R.abolish_Caudovirales.zip;2021.032B.A.v1.Gclasvirinae.zip</v>
      </c>
      <c r="U2656" s="29" t="str">
        <f>HYPERLINK("https://ictv.global/taxonomy/taxondetails?taxnode_id=202301077","ictv.global=202301077")</f>
        <v>ictv.global=202301077</v>
      </c>
    </row>
    <row r="2657" spans="1:21">
      <c r="A2657">
        <v>2656</v>
      </c>
      <c r="B2657" s="30" t="s">
        <v>1587</v>
      </c>
      <c r="D2657" s="30" t="s">
        <v>1588</v>
      </c>
      <c r="F2657" s="30" t="s">
        <v>1591</v>
      </c>
      <c r="H2657" s="30" t="s">
        <v>1592</v>
      </c>
      <c r="M2657" s="30" t="s">
        <v>6352</v>
      </c>
      <c r="N2657" s="30" t="s">
        <v>6367</v>
      </c>
      <c r="P2657" s="30" t="s">
        <v>6368</v>
      </c>
      <c r="Q2657" t="s">
        <v>619</v>
      </c>
      <c r="R2657" t="s">
        <v>917</v>
      </c>
      <c r="S2657">
        <v>37</v>
      </c>
      <c r="T2657" s="29" t="str">
        <f>HYPERLINK("https://ictv.global/ictv/proposals/2021.032B.R.Gclasvirinae.zip","2021.032B.R.Gclasvirinae.zip")</f>
        <v>2021.032B.R.Gclasvirinae.zip</v>
      </c>
      <c r="U2657" s="29" t="str">
        <f>HYPERLINK("https://ictv.global/taxonomy/taxondetails?taxnode_id=202313600","ictv.global=202313600")</f>
        <v>ictv.global=202313600</v>
      </c>
    </row>
    <row r="2658" spans="1:21">
      <c r="A2658">
        <v>2657</v>
      </c>
      <c r="B2658" s="30" t="s">
        <v>1587</v>
      </c>
      <c r="D2658" s="30" t="s">
        <v>1588</v>
      </c>
      <c r="F2658" s="30" t="s">
        <v>1591</v>
      </c>
      <c r="H2658" s="30" t="s">
        <v>1592</v>
      </c>
      <c r="M2658" s="30" t="s">
        <v>6352</v>
      </c>
      <c r="N2658" s="30" t="s">
        <v>6367</v>
      </c>
      <c r="P2658" s="30" t="s">
        <v>6369</v>
      </c>
      <c r="Q2658" t="s">
        <v>619</v>
      </c>
      <c r="R2658" t="s">
        <v>917</v>
      </c>
      <c r="S2658">
        <v>37</v>
      </c>
      <c r="T2658" s="29" t="str">
        <f>HYPERLINK("https://ictv.global/ictv/proposals/2021.032B.R.Gclasvirinae.zip","2021.032B.R.Gclasvirinae.zip")</f>
        <v>2021.032B.R.Gclasvirinae.zip</v>
      </c>
      <c r="U2658" s="29" t="str">
        <f>HYPERLINK("https://ictv.global/taxonomy/taxondetails?taxnode_id=202313599","ictv.global=202313599")</f>
        <v>ictv.global=202313599</v>
      </c>
    </row>
    <row r="2659" spans="1:21">
      <c r="A2659">
        <v>2658</v>
      </c>
      <c r="B2659" s="30" t="s">
        <v>1587</v>
      </c>
      <c r="D2659" s="30" t="s">
        <v>1588</v>
      </c>
      <c r="F2659" s="30" t="s">
        <v>1591</v>
      </c>
      <c r="H2659" s="30" t="s">
        <v>1592</v>
      </c>
      <c r="M2659" s="30" t="s">
        <v>2384</v>
      </c>
      <c r="N2659" s="30" t="s">
        <v>2385</v>
      </c>
      <c r="P2659" s="30" t="s">
        <v>6370</v>
      </c>
      <c r="Q2659" t="s">
        <v>619</v>
      </c>
      <c r="R2659" t="s">
        <v>918</v>
      </c>
      <c r="S2659">
        <v>37</v>
      </c>
      <c r="T2659" s="29" t="str">
        <f>HYPERLINK("https://ictv.global/ictv/proposals/2021.010B.R.Binomial_names.zip","2021.010B.R.Binomial_names.zip")</f>
        <v>2021.010B.R.Binomial_names.zip</v>
      </c>
      <c r="U2659" s="29" t="str">
        <f>HYPERLINK("https://ictv.global/taxonomy/taxondetails?taxnode_id=202310047","ictv.global=202310047")</f>
        <v>ictv.global=202310047</v>
      </c>
    </row>
    <row r="2660" spans="1:21">
      <c r="A2660">
        <v>2659</v>
      </c>
      <c r="B2660" s="30" t="s">
        <v>1587</v>
      </c>
      <c r="D2660" s="30" t="s">
        <v>1588</v>
      </c>
      <c r="F2660" s="30" t="s">
        <v>1591</v>
      </c>
      <c r="H2660" s="30" t="s">
        <v>1592</v>
      </c>
      <c r="M2660" s="30" t="s">
        <v>2384</v>
      </c>
      <c r="N2660" s="30" t="s">
        <v>869</v>
      </c>
      <c r="P2660" s="30" t="s">
        <v>6371</v>
      </c>
      <c r="Q2660" t="s">
        <v>619</v>
      </c>
      <c r="R2660" t="s">
        <v>918</v>
      </c>
      <c r="S2660">
        <v>37</v>
      </c>
      <c r="T2660" s="29" t="str">
        <f>HYPERLINK("https://ictv.global/ictv/proposals/2021.010B.R.Binomial_names.zip","2021.010B.R.Binomial_names.zip")</f>
        <v>2021.010B.R.Binomial_names.zip</v>
      </c>
      <c r="U2660" s="29" t="str">
        <f>HYPERLINK("https://ictv.global/taxonomy/taxondetails?taxnode_id=202300981","ictv.global=202300981")</f>
        <v>ictv.global=202300981</v>
      </c>
    </row>
    <row r="2661" spans="1:21">
      <c r="A2661">
        <v>2660</v>
      </c>
      <c r="B2661" s="30" t="s">
        <v>1587</v>
      </c>
      <c r="D2661" s="30" t="s">
        <v>1588</v>
      </c>
      <c r="F2661" s="30" t="s">
        <v>1591</v>
      </c>
      <c r="H2661" s="30" t="s">
        <v>1592</v>
      </c>
      <c r="M2661" s="30" t="s">
        <v>2384</v>
      </c>
      <c r="N2661" s="30" t="s">
        <v>880</v>
      </c>
      <c r="P2661" s="30" t="s">
        <v>6372</v>
      </c>
      <c r="Q2661" t="s">
        <v>619</v>
      </c>
      <c r="R2661" t="s">
        <v>918</v>
      </c>
      <c r="S2661">
        <v>37</v>
      </c>
      <c r="T2661" s="29" t="str">
        <f>HYPERLINK("https://ictv.global/ictv/proposals/2021.010B.R.Binomial_names.zip","2021.010B.R.Binomial_names.zip")</f>
        <v>2021.010B.R.Binomial_names.zip</v>
      </c>
      <c r="U2661" s="29" t="str">
        <f>HYPERLINK("https://ictv.global/taxonomy/taxondetails?taxnode_id=202301365","ictv.global=202301365")</f>
        <v>ictv.global=202301365</v>
      </c>
    </row>
    <row r="2662" spans="1:21">
      <c r="A2662">
        <v>2661</v>
      </c>
      <c r="B2662" s="30" t="s">
        <v>1587</v>
      </c>
      <c r="D2662" s="30" t="s">
        <v>1588</v>
      </c>
      <c r="F2662" s="30" t="s">
        <v>1591</v>
      </c>
      <c r="H2662" s="30" t="s">
        <v>1592</v>
      </c>
      <c r="M2662" s="30" t="s">
        <v>2384</v>
      </c>
      <c r="N2662" s="30" t="s">
        <v>2386</v>
      </c>
      <c r="P2662" s="30" t="s">
        <v>6373</v>
      </c>
      <c r="Q2662" t="s">
        <v>619</v>
      </c>
      <c r="R2662" t="s">
        <v>918</v>
      </c>
      <c r="S2662">
        <v>37</v>
      </c>
      <c r="T2662" s="29" t="str">
        <f>HYPERLINK("https://ictv.global/ictv/proposals/2021.010B.R.Binomial_names.zip","2021.010B.R.Binomial_names.zip")</f>
        <v>2021.010B.R.Binomial_names.zip</v>
      </c>
      <c r="U2662" s="29" t="str">
        <f>HYPERLINK("https://ictv.global/taxonomy/taxondetails?taxnode_id=202310049","ictv.global=202310049")</f>
        <v>ictv.global=202310049</v>
      </c>
    </row>
    <row r="2663" spans="1:21">
      <c r="A2663">
        <v>2662</v>
      </c>
      <c r="B2663" s="30" t="s">
        <v>1587</v>
      </c>
      <c r="D2663" s="30" t="s">
        <v>1588</v>
      </c>
      <c r="F2663" s="30" t="s">
        <v>1591</v>
      </c>
      <c r="H2663" s="30" t="s">
        <v>1592</v>
      </c>
      <c r="M2663" s="30" t="s">
        <v>6374</v>
      </c>
      <c r="N2663" s="30" t="s">
        <v>1428</v>
      </c>
      <c r="P2663" s="30" t="s">
        <v>6375</v>
      </c>
      <c r="Q2663" t="s">
        <v>619</v>
      </c>
      <c r="R2663" t="s">
        <v>917</v>
      </c>
      <c r="S2663">
        <v>38</v>
      </c>
      <c r="T2663" s="29" t="str">
        <f t="shared" ref="T2663:T2683" si="117">HYPERLINK("https://ictv.global/ictv/proposals/2022.034B.Gordonclarkvirinae_nsf.zip","2022.034B.Gordonclarkvirinae_nsf.zip")</f>
        <v>2022.034B.Gordonclarkvirinae_nsf.zip</v>
      </c>
      <c r="U2663" s="29" t="str">
        <f>HYPERLINK("https://ictv.global/taxonomy/taxondetails?taxnode_id=202314609","ictv.global=202314609")</f>
        <v>ictv.global=202314609</v>
      </c>
    </row>
    <row r="2664" spans="1:21">
      <c r="A2664">
        <v>2663</v>
      </c>
      <c r="B2664" s="30" t="s">
        <v>1587</v>
      </c>
      <c r="D2664" s="30" t="s">
        <v>1588</v>
      </c>
      <c r="F2664" s="30" t="s">
        <v>1591</v>
      </c>
      <c r="H2664" s="30" t="s">
        <v>1592</v>
      </c>
      <c r="M2664" s="30" t="s">
        <v>6374</v>
      </c>
      <c r="N2664" s="30" t="s">
        <v>1428</v>
      </c>
      <c r="P2664" s="30" t="s">
        <v>6376</v>
      </c>
      <c r="Q2664" t="s">
        <v>619</v>
      </c>
      <c r="R2664" t="s">
        <v>917</v>
      </c>
      <c r="S2664">
        <v>38</v>
      </c>
      <c r="T2664" s="29" t="str">
        <f t="shared" si="117"/>
        <v>2022.034B.Gordonclarkvirinae_nsf.zip</v>
      </c>
      <c r="U2664" s="29" t="str">
        <f>HYPERLINK("https://ictv.global/taxonomy/taxondetails?taxnode_id=202314606","ictv.global=202314606")</f>
        <v>ictv.global=202314606</v>
      </c>
    </row>
    <row r="2665" spans="1:21">
      <c r="A2665">
        <v>2664</v>
      </c>
      <c r="B2665" s="30" t="s">
        <v>1587</v>
      </c>
      <c r="D2665" s="30" t="s">
        <v>1588</v>
      </c>
      <c r="F2665" s="30" t="s">
        <v>1591</v>
      </c>
      <c r="H2665" s="30" t="s">
        <v>1592</v>
      </c>
      <c r="M2665" s="30" t="s">
        <v>6374</v>
      </c>
      <c r="N2665" s="30" t="s">
        <v>1428</v>
      </c>
      <c r="P2665" s="30" t="s">
        <v>6377</v>
      </c>
      <c r="Q2665" t="s">
        <v>619</v>
      </c>
      <c r="R2665" t="s">
        <v>917</v>
      </c>
      <c r="S2665">
        <v>38</v>
      </c>
      <c r="T2665" s="29" t="str">
        <f t="shared" si="117"/>
        <v>2022.034B.Gordonclarkvirinae_nsf.zip</v>
      </c>
      <c r="U2665" s="29" t="str">
        <f>HYPERLINK("https://ictv.global/taxonomy/taxondetails?taxnode_id=202314604","ictv.global=202314604")</f>
        <v>ictv.global=202314604</v>
      </c>
    </row>
    <row r="2666" spans="1:21">
      <c r="A2666">
        <v>2665</v>
      </c>
      <c r="B2666" s="30" t="s">
        <v>1587</v>
      </c>
      <c r="D2666" s="30" t="s">
        <v>1588</v>
      </c>
      <c r="F2666" s="30" t="s">
        <v>1591</v>
      </c>
      <c r="H2666" s="30" t="s">
        <v>1592</v>
      </c>
      <c r="M2666" s="30" t="s">
        <v>6374</v>
      </c>
      <c r="N2666" s="30" t="s">
        <v>1428</v>
      </c>
      <c r="P2666" s="30" t="s">
        <v>6378</v>
      </c>
      <c r="Q2666" t="s">
        <v>619</v>
      </c>
      <c r="R2666" t="s">
        <v>917</v>
      </c>
      <c r="S2666">
        <v>38</v>
      </c>
      <c r="T2666" s="29" t="str">
        <f t="shared" si="117"/>
        <v>2022.034B.Gordonclarkvirinae_nsf.zip</v>
      </c>
      <c r="U2666" s="29" t="str">
        <f>HYPERLINK("https://ictv.global/taxonomy/taxondetails?taxnode_id=202314613","ictv.global=202314613")</f>
        <v>ictv.global=202314613</v>
      </c>
    </row>
    <row r="2667" spans="1:21">
      <c r="A2667">
        <v>2666</v>
      </c>
      <c r="B2667" s="30" t="s">
        <v>1587</v>
      </c>
      <c r="D2667" s="30" t="s">
        <v>1588</v>
      </c>
      <c r="F2667" s="30" t="s">
        <v>1591</v>
      </c>
      <c r="H2667" s="30" t="s">
        <v>1592</v>
      </c>
      <c r="M2667" s="30" t="s">
        <v>6374</v>
      </c>
      <c r="N2667" s="30" t="s">
        <v>1428</v>
      </c>
      <c r="P2667" s="30" t="s">
        <v>6379</v>
      </c>
      <c r="Q2667" t="s">
        <v>619</v>
      </c>
      <c r="R2667" t="s">
        <v>919</v>
      </c>
      <c r="S2667">
        <v>38</v>
      </c>
      <c r="T2667" s="29" t="str">
        <f t="shared" si="117"/>
        <v>2022.034B.Gordonclarkvirinae_nsf.zip</v>
      </c>
      <c r="U2667" s="29" t="str">
        <f>HYPERLINK("https://ictv.global/taxonomy/taxondetails?taxnode_id=202300688","ictv.global=202300688")</f>
        <v>ictv.global=202300688</v>
      </c>
    </row>
    <row r="2668" spans="1:21">
      <c r="A2668">
        <v>2667</v>
      </c>
      <c r="B2668" s="30" t="s">
        <v>1587</v>
      </c>
      <c r="D2668" s="30" t="s">
        <v>1588</v>
      </c>
      <c r="F2668" s="30" t="s">
        <v>1591</v>
      </c>
      <c r="H2668" s="30" t="s">
        <v>1592</v>
      </c>
      <c r="M2668" s="30" t="s">
        <v>6374</v>
      </c>
      <c r="N2668" s="30" t="s">
        <v>1428</v>
      </c>
      <c r="P2668" s="30" t="s">
        <v>6380</v>
      </c>
      <c r="Q2668" t="s">
        <v>619</v>
      </c>
      <c r="R2668" t="s">
        <v>917</v>
      </c>
      <c r="S2668">
        <v>38</v>
      </c>
      <c r="T2668" s="29" t="str">
        <f t="shared" si="117"/>
        <v>2022.034B.Gordonclarkvirinae_nsf.zip</v>
      </c>
      <c r="U2668" s="29" t="str">
        <f>HYPERLINK("https://ictv.global/taxonomy/taxondetails?taxnode_id=202314610","ictv.global=202314610")</f>
        <v>ictv.global=202314610</v>
      </c>
    </row>
    <row r="2669" spans="1:21">
      <c r="A2669">
        <v>2668</v>
      </c>
      <c r="B2669" s="30" t="s">
        <v>1587</v>
      </c>
      <c r="D2669" s="30" t="s">
        <v>1588</v>
      </c>
      <c r="F2669" s="30" t="s">
        <v>1591</v>
      </c>
      <c r="H2669" s="30" t="s">
        <v>1592</v>
      </c>
      <c r="M2669" s="30" t="s">
        <v>6374</v>
      </c>
      <c r="N2669" s="30" t="s">
        <v>1428</v>
      </c>
      <c r="P2669" s="30" t="s">
        <v>6381</v>
      </c>
      <c r="Q2669" t="s">
        <v>619</v>
      </c>
      <c r="R2669" t="s">
        <v>917</v>
      </c>
      <c r="S2669">
        <v>38</v>
      </c>
      <c r="T2669" s="29" t="str">
        <f t="shared" si="117"/>
        <v>2022.034B.Gordonclarkvirinae_nsf.zip</v>
      </c>
      <c r="U2669" s="29" t="str">
        <f>HYPERLINK("https://ictv.global/taxonomy/taxondetails?taxnode_id=202314607","ictv.global=202314607")</f>
        <v>ictv.global=202314607</v>
      </c>
    </row>
    <row r="2670" spans="1:21">
      <c r="A2670">
        <v>2669</v>
      </c>
      <c r="B2670" s="30" t="s">
        <v>1587</v>
      </c>
      <c r="D2670" s="30" t="s">
        <v>1588</v>
      </c>
      <c r="F2670" s="30" t="s">
        <v>1591</v>
      </c>
      <c r="H2670" s="30" t="s">
        <v>1592</v>
      </c>
      <c r="M2670" s="30" t="s">
        <v>6374</v>
      </c>
      <c r="N2670" s="30" t="s">
        <v>1428</v>
      </c>
      <c r="P2670" s="30" t="s">
        <v>6382</v>
      </c>
      <c r="Q2670" t="s">
        <v>619</v>
      </c>
      <c r="R2670" t="s">
        <v>919</v>
      </c>
      <c r="S2670">
        <v>38</v>
      </c>
      <c r="T2670" s="29" t="str">
        <f t="shared" si="117"/>
        <v>2022.034B.Gordonclarkvirinae_nsf.zip</v>
      </c>
      <c r="U2670" s="29" t="str">
        <f>HYPERLINK("https://ictv.global/taxonomy/taxondetails?taxnode_id=202300690","ictv.global=202300690")</f>
        <v>ictv.global=202300690</v>
      </c>
    </row>
    <row r="2671" spans="1:21">
      <c r="A2671">
        <v>2670</v>
      </c>
      <c r="B2671" s="30" t="s">
        <v>1587</v>
      </c>
      <c r="D2671" s="30" t="s">
        <v>1588</v>
      </c>
      <c r="F2671" s="30" t="s">
        <v>1591</v>
      </c>
      <c r="H2671" s="30" t="s">
        <v>1592</v>
      </c>
      <c r="M2671" s="30" t="s">
        <v>6374</v>
      </c>
      <c r="N2671" s="30" t="s">
        <v>1428</v>
      </c>
      <c r="P2671" s="30" t="s">
        <v>6383</v>
      </c>
      <c r="Q2671" t="s">
        <v>619</v>
      </c>
      <c r="R2671" t="s">
        <v>917</v>
      </c>
      <c r="S2671">
        <v>38</v>
      </c>
      <c r="T2671" s="29" t="str">
        <f t="shared" si="117"/>
        <v>2022.034B.Gordonclarkvirinae_nsf.zip</v>
      </c>
      <c r="U2671" s="29" t="str">
        <f>HYPERLINK("https://ictv.global/taxonomy/taxondetails?taxnode_id=202314605","ictv.global=202314605")</f>
        <v>ictv.global=202314605</v>
      </c>
    </row>
    <row r="2672" spans="1:21">
      <c r="A2672">
        <v>2671</v>
      </c>
      <c r="B2672" s="30" t="s">
        <v>1587</v>
      </c>
      <c r="D2672" s="30" t="s">
        <v>1588</v>
      </c>
      <c r="F2672" s="30" t="s">
        <v>1591</v>
      </c>
      <c r="H2672" s="30" t="s">
        <v>1592</v>
      </c>
      <c r="M2672" s="30" t="s">
        <v>6374</v>
      </c>
      <c r="N2672" s="30" t="s">
        <v>1428</v>
      </c>
      <c r="P2672" s="30" t="s">
        <v>6384</v>
      </c>
      <c r="Q2672" t="s">
        <v>619</v>
      </c>
      <c r="R2672" t="s">
        <v>917</v>
      </c>
      <c r="S2672">
        <v>38</v>
      </c>
      <c r="T2672" s="29" t="str">
        <f t="shared" si="117"/>
        <v>2022.034B.Gordonclarkvirinae_nsf.zip</v>
      </c>
      <c r="U2672" s="29" t="str">
        <f>HYPERLINK("https://ictv.global/taxonomy/taxondetails?taxnode_id=202314612","ictv.global=202314612")</f>
        <v>ictv.global=202314612</v>
      </c>
    </row>
    <row r="2673" spans="1:21">
      <c r="A2673">
        <v>2672</v>
      </c>
      <c r="B2673" s="30" t="s">
        <v>1587</v>
      </c>
      <c r="D2673" s="30" t="s">
        <v>1588</v>
      </c>
      <c r="F2673" s="30" t="s">
        <v>1591</v>
      </c>
      <c r="H2673" s="30" t="s">
        <v>1592</v>
      </c>
      <c r="M2673" s="30" t="s">
        <v>6374</v>
      </c>
      <c r="N2673" s="30" t="s">
        <v>1428</v>
      </c>
      <c r="P2673" s="30" t="s">
        <v>6385</v>
      </c>
      <c r="Q2673" t="s">
        <v>619</v>
      </c>
      <c r="R2673" t="s">
        <v>919</v>
      </c>
      <c r="S2673">
        <v>38</v>
      </c>
      <c r="T2673" s="29" t="str">
        <f t="shared" si="117"/>
        <v>2022.034B.Gordonclarkvirinae_nsf.zip</v>
      </c>
      <c r="U2673" s="29" t="str">
        <f>HYPERLINK("https://ictv.global/taxonomy/taxondetails?taxnode_id=202300691","ictv.global=202300691")</f>
        <v>ictv.global=202300691</v>
      </c>
    </row>
    <row r="2674" spans="1:21">
      <c r="A2674">
        <v>2673</v>
      </c>
      <c r="B2674" s="30" t="s">
        <v>1587</v>
      </c>
      <c r="D2674" s="30" t="s">
        <v>1588</v>
      </c>
      <c r="F2674" s="30" t="s">
        <v>1591</v>
      </c>
      <c r="H2674" s="30" t="s">
        <v>1592</v>
      </c>
      <c r="M2674" s="30" t="s">
        <v>6374</v>
      </c>
      <c r="N2674" s="30" t="s">
        <v>1428</v>
      </c>
      <c r="P2674" s="30" t="s">
        <v>6386</v>
      </c>
      <c r="Q2674" t="s">
        <v>619</v>
      </c>
      <c r="R2674" t="s">
        <v>917</v>
      </c>
      <c r="S2674">
        <v>38</v>
      </c>
      <c r="T2674" s="29" t="str">
        <f t="shared" si="117"/>
        <v>2022.034B.Gordonclarkvirinae_nsf.zip</v>
      </c>
      <c r="U2674" s="29" t="str">
        <f>HYPERLINK("https://ictv.global/taxonomy/taxondetails?taxnode_id=202314608","ictv.global=202314608")</f>
        <v>ictv.global=202314608</v>
      </c>
    </row>
    <row r="2675" spans="1:21">
      <c r="A2675">
        <v>2674</v>
      </c>
      <c r="B2675" s="30" t="s">
        <v>1587</v>
      </c>
      <c r="D2675" s="30" t="s">
        <v>1588</v>
      </c>
      <c r="F2675" s="30" t="s">
        <v>1591</v>
      </c>
      <c r="H2675" s="30" t="s">
        <v>1592</v>
      </c>
      <c r="M2675" s="30" t="s">
        <v>6374</v>
      </c>
      <c r="N2675" s="30" t="s">
        <v>1428</v>
      </c>
      <c r="P2675" s="30" t="s">
        <v>6387</v>
      </c>
      <c r="Q2675" t="s">
        <v>619</v>
      </c>
      <c r="R2675" t="s">
        <v>919</v>
      </c>
      <c r="S2675">
        <v>38</v>
      </c>
      <c r="T2675" s="29" t="str">
        <f t="shared" si="117"/>
        <v>2022.034B.Gordonclarkvirinae_nsf.zip</v>
      </c>
      <c r="U2675" s="29" t="str">
        <f>HYPERLINK("https://ictv.global/taxonomy/taxondetails?taxnode_id=202300693","ictv.global=202300693")</f>
        <v>ictv.global=202300693</v>
      </c>
    </row>
    <row r="2676" spans="1:21">
      <c r="A2676">
        <v>2675</v>
      </c>
      <c r="B2676" s="30" t="s">
        <v>1587</v>
      </c>
      <c r="D2676" s="30" t="s">
        <v>1588</v>
      </c>
      <c r="F2676" s="30" t="s">
        <v>1591</v>
      </c>
      <c r="H2676" s="30" t="s">
        <v>1592</v>
      </c>
      <c r="M2676" s="30" t="s">
        <v>6374</v>
      </c>
      <c r="N2676" s="30" t="s">
        <v>1428</v>
      </c>
      <c r="P2676" s="30" t="s">
        <v>6388</v>
      </c>
      <c r="Q2676" t="s">
        <v>619</v>
      </c>
      <c r="R2676" t="s">
        <v>917</v>
      </c>
      <c r="S2676">
        <v>38</v>
      </c>
      <c r="T2676" s="29" t="str">
        <f t="shared" si="117"/>
        <v>2022.034B.Gordonclarkvirinae_nsf.zip</v>
      </c>
      <c r="U2676" s="29" t="str">
        <f>HYPERLINK("https://ictv.global/taxonomy/taxondetails?taxnode_id=202314611","ictv.global=202314611")</f>
        <v>ictv.global=202314611</v>
      </c>
    </row>
    <row r="2677" spans="1:21">
      <c r="A2677">
        <v>2676</v>
      </c>
      <c r="B2677" s="30" t="s">
        <v>1587</v>
      </c>
      <c r="D2677" s="30" t="s">
        <v>1588</v>
      </c>
      <c r="F2677" s="30" t="s">
        <v>1591</v>
      </c>
      <c r="H2677" s="30" t="s">
        <v>1592</v>
      </c>
      <c r="M2677" s="30" t="s">
        <v>6374</v>
      </c>
      <c r="N2677" s="30" t="s">
        <v>6389</v>
      </c>
      <c r="P2677" s="30" t="s">
        <v>6390</v>
      </c>
      <c r="Q2677" t="s">
        <v>619</v>
      </c>
      <c r="R2677" t="s">
        <v>917</v>
      </c>
      <c r="S2677">
        <v>38</v>
      </c>
      <c r="T2677" s="29" t="str">
        <f t="shared" si="117"/>
        <v>2022.034B.Gordonclarkvirinae_nsf.zip</v>
      </c>
      <c r="U2677" s="29" t="str">
        <f>HYPERLINK("https://ictv.global/taxonomy/taxondetails?taxnode_id=202314599","ictv.global=202314599")</f>
        <v>ictv.global=202314599</v>
      </c>
    </row>
    <row r="2678" spans="1:21">
      <c r="A2678">
        <v>2677</v>
      </c>
      <c r="B2678" s="30" t="s">
        <v>1587</v>
      </c>
      <c r="D2678" s="30" t="s">
        <v>1588</v>
      </c>
      <c r="F2678" s="30" t="s">
        <v>1591</v>
      </c>
      <c r="H2678" s="30" t="s">
        <v>1592</v>
      </c>
      <c r="M2678" s="30" t="s">
        <v>6374</v>
      </c>
      <c r="N2678" s="30" t="s">
        <v>6389</v>
      </c>
      <c r="P2678" s="30" t="s">
        <v>6391</v>
      </c>
      <c r="Q2678" t="s">
        <v>619</v>
      </c>
      <c r="R2678" t="s">
        <v>918</v>
      </c>
      <c r="S2678">
        <v>38</v>
      </c>
      <c r="T2678" s="29" t="str">
        <f t="shared" si="117"/>
        <v>2022.034B.Gordonclarkvirinae_nsf.zip</v>
      </c>
      <c r="U2678" s="29" t="str">
        <f>HYPERLINK("https://ictv.global/taxonomy/taxondetails?taxnode_id=202300692","ictv.global=202300692")</f>
        <v>ictv.global=202300692</v>
      </c>
    </row>
    <row r="2679" spans="1:21">
      <c r="A2679">
        <v>2678</v>
      </c>
      <c r="B2679" s="30" t="s">
        <v>1587</v>
      </c>
      <c r="D2679" s="30" t="s">
        <v>1588</v>
      </c>
      <c r="F2679" s="30" t="s">
        <v>1591</v>
      </c>
      <c r="H2679" s="30" t="s">
        <v>1592</v>
      </c>
      <c r="M2679" s="30" t="s">
        <v>6374</v>
      </c>
      <c r="N2679" s="30" t="s">
        <v>6392</v>
      </c>
      <c r="P2679" s="30" t="s">
        <v>6393</v>
      </c>
      <c r="Q2679" t="s">
        <v>619</v>
      </c>
      <c r="R2679" t="s">
        <v>917</v>
      </c>
      <c r="S2679">
        <v>38</v>
      </c>
      <c r="T2679" s="29" t="str">
        <f t="shared" si="117"/>
        <v>2022.034B.Gordonclarkvirinae_nsf.zip</v>
      </c>
      <c r="U2679" s="29" t="str">
        <f>HYPERLINK("https://ictv.global/taxonomy/taxondetails?taxnode_id=202314602","ictv.global=202314602")</f>
        <v>ictv.global=202314602</v>
      </c>
    </row>
    <row r="2680" spans="1:21">
      <c r="A2680">
        <v>2679</v>
      </c>
      <c r="B2680" s="30" t="s">
        <v>1587</v>
      </c>
      <c r="D2680" s="30" t="s">
        <v>1588</v>
      </c>
      <c r="F2680" s="30" t="s">
        <v>1591</v>
      </c>
      <c r="H2680" s="30" t="s">
        <v>1592</v>
      </c>
      <c r="M2680" s="30" t="s">
        <v>6374</v>
      </c>
      <c r="N2680" s="30" t="s">
        <v>6392</v>
      </c>
      <c r="P2680" s="30" t="s">
        <v>6394</v>
      </c>
      <c r="Q2680" t="s">
        <v>619</v>
      </c>
      <c r="R2680" t="s">
        <v>918</v>
      </c>
      <c r="S2680">
        <v>38</v>
      </c>
      <c r="T2680" s="29" t="str">
        <f t="shared" si="117"/>
        <v>2022.034B.Gordonclarkvirinae_nsf.zip</v>
      </c>
      <c r="U2680" s="29" t="str">
        <f>HYPERLINK("https://ictv.global/taxonomy/taxondetails?taxnode_id=202300689","ictv.global=202300689")</f>
        <v>ictv.global=202300689</v>
      </c>
    </row>
    <row r="2681" spans="1:21">
      <c r="A2681">
        <v>2680</v>
      </c>
      <c r="B2681" s="30" t="s">
        <v>1587</v>
      </c>
      <c r="D2681" s="30" t="s">
        <v>1588</v>
      </c>
      <c r="F2681" s="30" t="s">
        <v>1591</v>
      </c>
      <c r="H2681" s="30" t="s">
        <v>1592</v>
      </c>
      <c r="M2681" s="30" t="s">
        <v>6374</v>
      </c>
      <c r="N2681" s="30" t="s">
        <v>6392</v>
      </c>
      <c r="P2681" s="30" t="s">
        <v>6395</v>
      </c>
      <c r="Q2681" t="s">
        <v>619</v>
      </c>
      <c r="R2681" t="s">
        <v>917</v>
      </c>
      <c r="S2681">
        <v>38</v>
      </c>
      <c r="T2681" s="29" t="str">
        <f t="shared" si="117"/>
        <v>2022.034B.Gordonclarkvirinae_nsf.zip</v>
      </c>
      <c r="U2681" s="29" t="str">
        <f>HYPERLINK("https://ictv.global/taxonomy/taxondetails?taxnode_id=202314601","ictv.global=202314601")</f>
        <v>ictv.global=202314601</v>
      </c>
    </row>
    <row r="2682" spans="1:21">
      <c r="A2682">
        <v>2681</v>
      </c>
      <c r="B2682" s="30" t="s">
        <v>1587</v>
      </c>
      <c r="D2682" s="30" t="s">
        <v>1588</v>
      </c>
      <c r="F2682" s="30" t="s">
        <v>1591</v>
      </c>
      <c r="H2682" s="30" t="s">
        <v>1592</v>
      </c>
      <c r="M2682" s="30" t="s">
        <v>6374</v>
      </c>
      <c r="N2682" s="30" t="s">
        <v>6392</v>
      </c>
      <c r="P2682" s="30" t="s">
        <v>6396</v>
      </c>
      <c r="Q2682" t="s">
        <v>619</v>
      </c>
      <c r="R2682" t="s">
        <v>917</v>
      </c>
      <c r="S2682">
        <v>38</v>
      </c>
      <c r="T2682" s="29" t="str">
        <f t="shared" si="117"/>
        <v>2022.034B.Gordonclarkvirinae_nsf.zip</v>
      </c>
      <c r="U2682" s="29" t="str">
        <f>HYPERLINK("https://ictv.global/taxonomy/taxondetails?taxnode_id=202314603","ictv.global=202314603")</f>
        <v>ictv.global=202314603</v>
      </c>
    </row>
    <row r="2683" spans="1:21">
      <c r="A2683">
        <v>2682</v>
      </c>
      <c r="B2683" s="30" t="s">
        <v>1587</v>
      </c>
      <c r="D2683" s="30" t="s">
        <v>1588</v>
      </c>
      <c r="F2683" s="30" t="s">
        <v>1591</v>
      </c>
      <c r="H2683" s="30" t="s">
        <v>1592</v>
      </c>
      <c r="M2683" s="30" t="s">
        <v>6374</v>
      </c>
      <c r="N2683" s="30" t="s">
        <v>6392</v>
      </c>
      <c r="P2683" s="30" t="s">
        <v>6397</v>
      </c>
      <c r="Q2683" t="s">
        <v>619</v>
      </c>
      <c r="R2683" t="s">
        <v>917</v>
      </c>
      <c r="S2683">
        <v>38</v>
      </c>
      <c r="T2683" s="29" t="str">
        <f t="shared" si="117"/>
        <v>2022.034B.Gordonclarkvirinae_nsf.zip</v>
      </c>
      <c r="U2683" s="29" t="str">
        <f>HYPERLINK("https://ictv.global/taxonomy/taxondetails?taxnode_id=202314600","ictv.global=202314600")</f>
        <v>ictv.global=202314600</v>
      </c>
    </row>
    <row r="2684" spans="1:21">
      <c r="A2684">
        <v>2683</v>
      </c>
      <c r="B2684" s="30" t="s">
        <v>1587</v>
      </c>
      <c r="D2684" s="30" t="s">
        <v>1588</v>
      </c>
      <c r="F2684" s="30" t="s">
        <v>1591</v>
      </c>
      <c r="H2684" s="30" t="s">
        <v>1592</v>
      </c>
      <c r="M2684" s="30" t="s">
        <v>12240</v>
      </c>
      <c r="N2684" s="30" t="s">
        <v>12241</v>
      </c>
      <c r="P2684" s="30" t="s">
        <v>12242</v>
      </c>
      <c r="Q2684" t="s">
        <v>619</v>
      </c>
      <c r="R2684" t="s">
        <v>917</v>
      </c>
      <c r="S2684">
        <v>39</v>
      </c>
      <c r="T2684" s="29" t="str">
        <f t="shared" ref="T2684:T2701" si="118">HYPERLINK("https://ictv.global/ictv/proposals/2023.027B.Gorskivirinae_nsf.zip","2023.027B.Gorskivirinae_nsf.zip")</f>
        <v>2023.027B.Gorskivirinae_nsf.zip</v>
      </c>
      <c r="U2684" s="29" t="str">
        <f>HYPERLINK("https://ictv.global/taxonomy/taxondetails?taxnode_id=202318996","ictv.global=202318996")</f>
        <v>ictv.global=202318996</v>
      </c>
    </row>
    <row r="2685" spans="1:21">
      <c r="A2685">
        <v>2684</v>
      </c>
      <c r="B2685" s="30" t="s">
        <v>1587</v>
      </c>
      <c r="D2685" s="30" t="s">
        <v>1588</v>
      </c>
      <c r="F2685" s="30" t="s">
        <v>1591</v>
      </c>
      <c r="H2685" s="30" t="s">
        <v>1592</v>
      </c>
      <c r="M2685" s="30" t="s">
        <v>12240</v>
      </c>
      <c r="N2685" s="30" t="s">
        <v>1359</v>
      </c>
      <c r="P2685" s="30" t="s">
        <v>7308</v>
      </c>
      <c r="Q2685" t="s">
        <v>619</v>
      </c>
      <c r="R2685" t="s">
        <v>919</v>
      </c>
      <c r="S2685">
        <v>39</v>
      </c>
      <c r="T2685" s="29" t="str">
        <f t="shared" si="118"/>
        <v>2023.027B.Gorskivirinae_nsf.zip</v>
      </c>
      <c r="U2685" s="29" t="str">
        <f>HYPERLINK("https://ictv.global/taxonomy/taxondetails?taxnode_id=202306824","ictv.global=202306824")</f>
        <v>ictv.global=202306824</v>
      </c>
    </row>
    <row r="2686" spans="1:21">
      <c r="A2686">
        <v>2685</v>
      </c>
      <c r="B2686" s="30" t="s">
        <v>1587</v>
      </c>
      <c r="D2686" s="30" t="s">
        <v>1588</v>
      </c>
      <c r="F2686" s="30" t="s">
        <v>1591</v>
      </c>
      <c r="H2686" s="30" t="s">
        <v>1592</v>
      </c>
      <c r="M2686" s="30" t="s">
        <v>12240</v>
      </c>
      <c r="N2686" s="30" t="s">
        <v>1359</v>
      </c>
      <c r="P2686" s="30" t="s">
        <v>7309</v>
      </c>
      <c r="Q2686" t="s">
        <v>619</v>
      </c>
      <c r="R2686" t="s">
        <v>919</v>
      </c>
      <c r="S2686">
        <v>39</v>
      </c>
      <c r="T2686" s="29" t="str">
        <f t="shared" si="118"/>
        <v>2023.027B.Gorskivirinae_nsf.zip</v>
      </c>
      <c r="U2686" s="29" t="str">
        <f>HYPERLINK("https://ictv.global/taxonomy/taxondetails?taxnode_id=202306823","ictv.global=202306823")</f>
        <v>ictv.global=202306823</v>
      </c>
    </row>
    <row r="2687" spans="1:21">
      <c r="A2687">
        <v>2686</v>
      </c>
      <c r="B2687" s="30" t="s">
        <v>1587</v>
      </c>
      <c r="D2687" s="30" t="s">
        <v>1588</v>
      </c>
      <c r="F2687" s="30" t="s">
        <v>1591</v>
      </c>
      <c r="H2687" s="30" t="s">
        <v>1592</v>
      </c>
      <c r="M2687" s="30" t="s">
        <v>12240</v>
      </c>
      <c r="N2687" s="30" t="s">
        <v>12243</v>
      </c>
      <c r="P2687" s="30" t="s">
        <v>12244</v>
      </c>
      <c r="Q2687" t="s">
        <v>619</v>
      </c>
      <c r="R2687" t="s">
        <v>917</v>
      </c>
      <c r="S2687">
        <v>39</v>
      </c>
      <c r="T2687" s="29" t="str">
        <f t="shared" si="118"/>
        <v>2023.027B.Gorskivirinae_nsf.zip</v>
      </c>
      <c r="U2687" s="29" t="str">
        <f>HYPERLINK("https://ictv.global/taxonomy/taxondetails?taxnode_id=202318998","ictv.global=202318998")</f>
        <v>ictv.global=202318998</v>
      </c>
    </row>
    <row r="2688" spans="1:21">
      <c r="A2688">
        <v>2687</v>
      </c>
      <c r="B2688" s="30" t="s">
        <v>1587</v>
      </c>
      <c r="D2688" s="30" t="s">
        <v>1588</v>
      </c>
      <c r="F2688" s="30" t="s">
        <v>1591</v>
      </c>
      <c r="H2688" s="30" t="s">
        <v>1592</v>
      </c>
      <c r="M2688" s="30" t="s">
        <v>12240</v>
      </c>
      <c r="N2688" s="30" t="s">
        <v>12243</v>
      </c>
      <c r="P2688" s="30" t="s">
        <v>12245</v>
      </c>
      <c r="Q2688" t="s">
        <v>619</v>
      </c>
      <c r="R2688" t="s">
        <v>917</v>
      </c>
      <c r="S2688">
        <v>39</v>
      </c>
      <c r="T2688" s="29" t="str">
        <f t="shared" si="118"/>
        <v>2023.027B.Gorskivirinae_nsf.zip</v>
      </c>
      <c r="U2688" s="29" t="str">
        <f>HYPERLINK("https://ictv.global/taxonomy/taxondetails?taxnode_id=202318999","ictv.global=202318999")</f>
        <v>ictv.global=202318999</v>
      </c>
    </row>
    <row r="2689" spans="1:21">
      <c r="A2689">
        <v>2688</v>
      </c>
      <c r="B2689" s="30" t="s">
        <v>1587</v>
      </c>
      <c r="D2689" s="30" t="s">
        <v>1588</v>
      </c>
      <c r="F2689" s="30" t="s">
        <v>1591</v>
      </c>
      <c r="H2689" s="30" t="s">
        <v>1592</v>
      </c>
      <c r="M2689" s="30" t="s">
        <v>12240</v>
      </c>
      <c r="N2689" s="30" t="s">
        <v>12243</v>
      </c>
      <c r="P2689" s="30" t="s">
        <v>12246</v>
      </c>
      <c r="Q2689" t="s">
        <v>619</v>
      </c>
      <c r="R2689" t="s">
        <v>918</v>
      </c>
      <c r="S2689">
        <v>39</v>
      </c>
      <c r="T2689" s="29" t="str">
        <f t="shared" si="118"/>
        <v>2023.027B.Gorskivirinae_nsf.zip</v>
      </c>
      <c r="U2689" s="29" t="str">
        <f>HYPERLINK("https://ictv.global/taxonomy/taxondetails?taxnode_id=202306855","ictv.global=202306855")</f>
        <v>ictv.global=202306855</v>
      </c>
    </row>
    <row r="2690" spans="1:21">
      <c r="A2690">
        <v>2689</v>
      </c>
      <c r="B2690" s="30" t="s">
        <v>1587</v>
      </c>
      <c r="D2690" s="30" t="s">
        <v>1588</v>
      </c>
      <c r="F2690" s="30" t="s">
        <v>1591</v>
      </c>
      <c r="H2690" s="30" t="s">
        <v>1592</v>
      </c>
      <c r="M2690" s="30" t="s">
        <v>12240</v>
      </c>
      <c r="N2690" s="30" t="s">
        <v>1377</v>
      </c>
      <c r="P2690" s="30" t="s">
        <v>12247</v>
      </c>
      <c r="Q2690" t="s">
        <v>619</v>
      </c>
      <c r="R2690" t="s">
        <v>917</v>
      </c>
      <c r="S2690">
        <v>39</v>
      </c>
      <c r="T2690" s="29" t="str">
        <f t="shared" si="118"/>
        <v>2023.027B.Gorskivirinae_nsf.zip</v>
      </c>
      <c r="U2690" s="29" t="str">
        <f>HYPERLINK("https://ictv.global/taxonomy/taxondetails?taxnode_id=202319008","ictv.global=202319008")</f>
        <v>ictv.global=202319008</v>
      </c>
    </row>
    <row r="2691" spans="1:21">
      <c r="A2691">
        <v>2690</v>
      </c>
      <c r="B2691" s="30" t="s">
        <v>1587</v>
      </c>
      <c r="D2691" s="30" t="s">
        <v>1588</v>
      </c>
      <c r="F2691" s="30" t="s">
        <v>1591</v>
      </c>
      <c r="H2691" s="30" t="s">
        <v>1592</v>
      </c>
      <c r="M2691" s="30" t="s">
        <v>12240</v>
      </c>
      <c r="N2691" s="30" t="s">
        <v>1377</v>
      </c>
      <c r="P2691" s="30" t="s">
        <v>12248</v>
      </c>
      <c r="Q2691" t="s">
        <v>619</v>
      </c>
      <c r="R2691" t="s">
        <v>917</v>
      </c>
      <c r="S2691">
        <v>39</v>
      </c>
      <c r="T2691" s="29" t="str">
        <f t="shared" si="118"/>
        <v>2023.027B.Gorskivirinae_nsf.zip</v>
      </c>
      <c r="U2691" s="29" t="str">
        <f>HYPERLINK("https://ictv.global/taxonomy/taxondetails?taxnode_id=202319009","ictv.global=202319009")</f>
        <v>ictv.global=202319009</v>
      </c>
    </row>
    <row r="2692" spans="1:21">
      <c r="A2692">
        <v>2691</v>
      </c>
      <c r="B2692" s="30" t="s">
        <v>1587</v>
      </c>
      <c r="D2692" s="30" t="s">
        <v>1588</v>
      </c>
      <c r="F2692" s="30" t="s">
        <v>1591</v>
      </c>
      <c r="H2692" s="30" t="s">
        <v>1592</v>
      </c>
      <c r="M2692" s="30" t="s">
        <v>12240</v>
      </c>
      <c r="N2692" s="30" t="s">
        <v>1377</v>
      </c>
      <c r="P2692" s="30" t="s">
        <v>12249</v>
      </c>
      <c r="Q2692" t="s">
        <v>619</v>
      </c>
      <c r="R2692" t="s">
        <v>917</v>
      </c>
      <c r="S2692">
        <v>39</v>
      </c>
      <c r="T2692" s="29" t="str">
        <f t="shared" si="118"/>
        <v>2023.027B.Gorskivirinae_nsf.zip</v>
      </c>
      <c r="U2692" s="29" t="str">
        <f>HYPERLINK("https://ictv.global/taxonomy/taxondetails?taxnode_id=202319005","ictv.global=202319005")</f>
        <v>ictv.global=202319005</v>
      </c>
    </row>
    <row r="2693" spans="1:21">
      <c r="A2693">
        <v>2692</v>
      </c>
      <c r="B2693" s="30" t="s">
        <v>1587</v>
      </c>
      <c r="D2693" s="30" t="s">
        <v>1588</v>
      </c>
      <c r="F2693" s="30" t="s">
        <v>1591</v>
      </c>
      <c r="H2693" s="30" t="s">
        <v>1592</v>
      </c>
      <c r="M2693" s="30" t="s">
        <v>12240</v>
      </c>
      <c r="N2693" s="30" t="s">
        <v>1377</v>
      </c>
      <c r="P2693" s="30" t="s">
        <v>12250</v>
      </c>
      <c r="Q2693" t="s">
        <v>619</v>
      </c>
      <c r="R2693" t="s">
        <v>917</v>
      </c>
      <c r="S2693">
        <v>39</v>
      </c>
      <c r="T2693" s="29" t="str">
        <f t="shared" si="118"/>
        <v>2023.027B.Gorskivirinae_nsf.zip</v>
      </c>
      <c r="U2693" s="29" t="str">
        <f>HYPERLINK("https://ictv.global/taxonomy/taxondetails?taxnode_id=202319006","ictv.global=202319006")</f>
        <v>ictv.global=202319006</v>
      </c>
    </row>
    <row r="2694" spans="1:21">
      <c r="A2694">
        <v>2693</v>
      </c>
      <c r="B2694" s="30" t="s">
        <v>1587</v>
      </c>
      <c r="D2694" s="30" t="s">
        <v>1588</v>
      </c>
      <c r="F2694" s="30" t="s">
        <v>1591</v>
      </c>
      <c r="H2694" s="30" t="s">
        <v>1592</v>
      </c>
      <c r="M2694" s="30" t="s">
        <v>12240</v>
      </c>
      <c r="N2694" s="30" t="s">
        <v>1377</v>
      </c>
      <c r="P2694" s="30" t="s">
        <v>12251</v>
      </c>
      <c r="Q2694" t="s">
        <v>619</v>
      </c>
      <c r="R2694" t="s">
        <v>917</v>
      </c>
      <c r="S2694">
        <v>39</v>
      </c>
      <c r="T2694" s="29" t="str">
        <f t="shared" si="118"/>
        <v>2023.027B.Gorskivirinae_nsf.zip</v>
      </c>
      <c r="U2694" s="29" t="str">
        <f>HYPERLINK("https://ictv.global/taxonomy/taxondetails?taxnode_id=202319007","ictv.global=202319007")</f>
        <v>ictv.global=202319007</v>
      </c>
    </row>
    <row r="2695" spans="1:21">
      <c r="A2695">
        <v>2694</v>
      </c>
      <c r="B2695" s="30" t="s">
        <v>1587</v>
      </c>
      <c r="D2695" s="30" t="s">
        <v>1588</v>
      </c>
      <c r="F2695" s="30" t="s">
        <v>1591</v>
      </c>
      <c r="H2695" s="30" t="s">
        <v>1592</v>
      </c>
      <c r="M2695" s="30" t="s">
        <v>12240</v>
      </c>
      <c r="N2695" s="30" t="s">
        <v>1377</v>
      </c>
      <c r="P2695" s="30" t="s">
        <v>12252</v>
      </c>
      <c r="Q2695" t="s">
        <v>619</v>
      </c>
      <c r="R2695" t="s">
        <v>917</v>
      </c>
      <c r="S2695">
        <v>39</v>
      </c>
      <c r="T2695" s="29" t="str">
        <f t="shared" si="118"/>
        <v>2023.027B.Gorskivirinae_nsf.zip</v>
      </c>
      <c r="U2695" s="29" t="str">
        <f>HYPERLINK("https://ictv.global/taxonomy/taxondetails?taxnode_id=202319004","ictv.global=202319004")</f>
        <v>ictv.global=202319004</v>
      </c>
    </row>
    <row r="2696" spans="1:21">
      <c r="A2696">
        <v>2695</v>
      </c>
      <c r="B2696" s="30" t="s">
        <v>1587</v>
      </c>
      <c r="D2696" s="30" t="s">
        <v>1588</v>
      </c>
      <c r="F2696" s="30" t="s">
        <v>1591</v>
      </c>
      <c r="H2696" s="30" t="s">
        <v>1592</v>
      </c>
      <c r="M2696" s="30" t="s">
        <v>12240</v>
      </c>
      <c r="N2696" s="30" t="s">
        <v>1377</v>
      </c>
      <c r="P2696" s="30" t="s">
        <v>7819</v>
      </c>
      <c r="Q2696" t="s">
        <v>619</v>
      </c>
      <c r="R2696" t="s">
        <v>919</v>
      </c>
      <c r="S2696">
        <v>39</v>
      </c>
      <c r="T2696" s="29" t="str">
        <f t="shared" si="118"/>
        <v>2023.027B.Gorskivirinae_nsf.zip</v>
      </c>
      <c r="U2696" s="29" t="str">
        <f>HYPERLINK("https://ictv.global/taxonomy/taxondetails?taxnode_id=202306854","ictv.global=202306854")</f>
        <v>ictv.global=202306854</v>
      </c>
    </row>
    <row r="2697" spans="1:21">
      <c r="A2697">
        <v>2696</v>
      </c>
      <c r="B2697" s="30" t="s">
        <v>1587</v>
      </c>
      <c r="D2697" s="30" t="s">
        <v>1588</v>
      </c>
      <c r="F2697" s="30" t="s">
        <v>1591</v>
      </c>
      <c r="H2697" s="30" t="s">
        <v>1592</v>
      </c>
      <c r="M2697" s="30" t="s">
        <v>12240</v>
      </c>
      <c r="N2697" s="30" t="s">
        <v>1377</v>
      </c>
      <c r="P2697" s="30" t="s">
        <v>12253</v>
      </c>
      <c r="Q2697" t="s">
        <v>619</v>
      </c>
      <c r="R2697" t="s">
        <v>917</v>
      </c>
      <c r="S2697">
        <v>39</v>
      </c>
      <c r="T2697" s="29" t="str">
        <f t="shared" si="118"/>
        <v>2023.027B.Gorskivirinae_nsf.zip</v>
      </c>
      <c r="U2697" s="29" t="str">
        <f>HYPERLINK("https://ictv.global/taxonomy/taxondetails?taxnode_id=202319003","ictv.global=202319003")</f>
        <v>ictv.global=202319003</v>
      </c>
    </row>
    <row r="2698" spans="1:21">
      <c r="A2698">
        <v>2697</v>
      </c>
      <c r="B2698" s="30" t="s">
        <v>1587</v>
      </c>
      <c r="D2698" s="30" t="s">
        <v>1588</v>
      </c>
      <c r="F2698" s="30" t="s">
        <v>1591</v>
      </c>
      <c r="H2698" s="30" t="s">
        <v>1592</v>
      </c>
      <c r="M2698" s="30" t="s">
        <v>12240</v>
      </c>
      <c r="N2698" s="30" t="s">
        <v>1377</v>
      </c>
      <c r="P2698" s="30" t="s">
        <v>12254</v>
      </c>
      <c r="Q2698" t="s">
        <v>619</v>
      </c>
      <c r="R2698" t="s">
        <v>917</v>
      </c>
      <c r="S2698">
        <v>39</v>
      </c>
      <c r="T2698" s="29" t="str">
        <f t="shared" si="118"/>
        <v>2023.027B.Gorskivirinae_nsf.zip</v>
      </c>
      <c r="U2698" s="29" t="str">
        <f>HYPERLINK("https://ictv.global/taxonomy/taxondetails?taxnode_id=202319002","ictv.global=202319002")</f>
        <v>ictv.global=202319002</v>
      </c>
    </row>
    <row r="2699" spans="1:21">
      <c r="A2699">
        <v>2698</v>
      </c>
      <c r="B2699" s="30" t="s">
        <v>1587</v>
      </c>
      <c r="D2699" s="30" t="s">
        <v>1588</v>
      </c>
      <c r="F2699" s="30" t="s">
        <v>1591</v>
      </c>
      <c r="H2699" s="30" t="s">
        <v>1592</v>
      </c>
      <c r="M2699" s="30" t="s">
        <v>12240</v>
      </c>
      <c r="N2699" s="30" t="s">
        <v>1377</v>
      </c>
      <c r="P2699" s="30" t="s">
        <v>12255</v>
      </c>
      <c r="Q2699" t="s">
        <v>619</v>
      </c>
      <c r="R2699" t="s">
        <v>917</v>
      </c>
      <c r="S2699">
        <v>39</v>
      </c>
      <c r="T2699" s="29" t="str">
        <f t="shared" si="118"/>
        <v>2023.027B.Gorskivirinae_nsf.zip</v>
      </c>
      <c r="U2699" s="29" t="str">
        <f>HYPERLINK("https://ictv.global/taxonomy/taxondetails?taxnode_id=202319000","ictv.global=202319000")</f>
        <v>ictv.global=202319000</v>
      </c>
    </row>
    <row r="2700" spans="1:21">
      <c r="A2700">
        <v>2699</v>
      </c>
      <c r="B2700" s="30" t="s">
        <v>1587</v>
      </c>
      <c r="D2700" s="30" t="s">
        <v>1588</v>
      </c>
      <c r="F2700" s="30" t="s">
        <v>1591</v>
      </c>
      <c r="H2700" s="30" t="s">
        <v>1592</v>
      </c>
      <c r="M2700" s="30" t="s">
        <v>12240</v>
      </c>
      <c r="N2700" s="30" t="s">
        <v>1377</v>
      </c>
      <c r="P2700" s="30" t="s">
        <v>12256</v>
      </c>
      <c r="Q2700" t="s">
        <v>619</v>
      </c>
      <c r="R2700" t="s">
        <v>917</v>
      </c>
      <c r="S2700">
        <v>39</v>
      </c>
      <c r="T2700" s="29" t="str">
        <f t="shared" si="118"/>
        <v>2023.027B.Gorskivirinae_nsf.zip</v>
      </c>
      <c r="U2700" s="29" t="str">
        <f>HYPERLINK("https://ictv.global/taxonomy/taxondetails?taxnode_id=202319001","ictv.global=202319001")</f>
        <v>ictv.global=202319001</v>
      </c>
    </row>
    <row r="2701" spans="1:21">
      <c r="A2701">
        <v>2700</v>
      </c>
      <c r="B2701" s="30" t="s">
        <v>1587</v>
      </c>
      <c r="D2701" s="30" t="s">
        <v>1588</v>
      </c>
      <c r="F2701" s="30" t="s">
        <v>1591</v>
      </c>
      <c r="H2701" s="30" t="s">
        <v>1592</v>
      </c>
      <c r="M2701" s="30" t="s">
        <v>12240</v>
      </c>
      <c r="N2701" s="30" t="s">
        <v>12257</v>
      </c>
      <c r="P2701" s="30" t="s">
        <v>12258</v>
      </c>
      <c r="Q2701" t="s">
        <v>619</v>
      </c>
      <c r="R2701" t="s">
        <v>917</v>
      </c>
      <c r="S2701">
        <v>39</v>
      </c>
      <c r="T2701" s="29" t="str">
        <f t="shared" si="118"/>
        <v>2023.027B.Gorskivirinae_nsf.zip</v>
      </c>
      <c r="U2701" s="29" t="str">
        <f>HYPERLINK("https://ictv.global/taxonomy/taxondetails?taxnode_id=202318997","ictv.global=202318997")</f>
        <v>ictv.global=202318997</v>
      </c>
    </row>
    <row r="2702" spans="1:21">
      <c r="A2702">
        <v>2701</v>
      </c>
      <c r="B2702" s="30" t="s">
        <v>1587</v>
      </c>
      <c r="D2702" s="30" t="s">
        <v>1588</v>
      </c>
      <c r="F2702" s="30" t="s">
        <v>1591</v>
      </c>
      <c r="H2702" s="30" t="s">
        <v>1592</v>
      </c>
      <c r="M2702" s="30" t="s">
        <v>6404</v>
      </c>
      <c r="N2702" s="30" t="s">
        <v>2416</v>
      </c>
      <c r="P2702" s="30" t="s">
        <v>6405</v>
      </c>
      <c r="Q2702" t="s">
        <v>619</v>
      </c>
      <c r="R2702" t="s">
        <v>918</v>
      </c>
      <c r="S2702">
        <v>37</v>
      </c>
      <c r="T2702" s="29" t="str">
        <f>HYPERLINK("https://ictv.global/ictv/proposals/2021.010B.R.Binomial_names.zip","2021.010B.R.Binomial_names.zip")</f>
        <v>2021.010B.R.Binomial_names.zip</v>
      </c>
      <c r="U2702" s="29" t="str">
        <f>HYPERLINK("https://ictv.global/taxonomy/taxondetails?taxnode_id=202300892","ictv.global=202300892")</f>
        <v>ictv.global=202300892</v>
      </c>
    </row>
    <row r="2703" spans="1:21">
      <c r="A2703">
        <v>2702</v>
      </c>
      <c r="B2703" s="30" t="s">
        <v>1587</v>
      </c>
      <c r="D2703" s="30" t="s">
        <v>1588</v>
      </c>
      <c r="F2703" s="30" t="s">
        <v>1591</v>
      </c>
      <c r="H2703" s="30" t="s">
        <v>1592</v>
      </c>
      <c r="M2703" s="30" t="s">
        <v>6404</v>
      </c>
      <c r="N2703" s="30" t="s">
        <v>2416</v>
      </c>
      <c r="P2703" s="30" t="s">
        <v>6406</v>
      </c>
      <c r="Q2703" t="s">
        <v>619</v>
      </c>
      <c r="R2703" t="s">
        <v>918</v>
      </c>
      <c r="S2703">
        <v>37</v>
      </c>
      <c r="T2703" s="29" t="str">
        <f>HYPERLINK("https://ictv.global/ictv/proposals/2021.010B.R.Binomial_names.zip","2021.010B.R.Binomial_names.zip")</f>
        <v>2021.010B.R.Binomial_names.zip</v>
      </c>
      <c r="U2703" s="29" t="str">
        <f>HYPERLINK("https://ictv.global/taxonomy/taxondetails?taxnode_id=202300895","ictv.global=202300895")</f>
        <v>ictv.global=202300895</v>
      </c>
    </row>
    <row r="2704" spans="1:21">
      <c r="A2704">
        <v>2703</v>
      </c>
      <c r="B2704" s="30" t="s">
        <v>1587</v>
      </c>
      <c r="D2704" s="30" t="s">
        <v>1588</v>
      </c>
      <c r="F2704" s="30" t="s">
        <v>1591</v>
      </c>
      <c r="H2704" s="30" t="s">
        <v>1592</v>
      </c>
      <c r="M2704" s="30" t="s">
        <v>6404</v>
      </c>
      <c r="N2704" s="30" t="s">
        <v>2416</v>
      </c>
      <c r="P2704" s="30" t="s">
        <v>6407</v>
      </c>
      <c r="Q2704" t="s">
        <v>619</v>
      </c>
      <c r="R2704" t="s">
        <v>917</v>
      </c>
      <c r="S2704">
        <v>37</v>
      </c>
      <c r="T2704" s="29" t="str">
        <f>HYPERLINK("https://ictv.global/ictv/proposals/2021.035B.R.Gracegardnervirinae.zip","2021.035B.R.Gracegardnervirinae.zip")</f>
        <v>2021.035B.R.Gracegardnervirinae.zip</v>
      </c>
      <c r="U2704" s="29" t="str">
        <f>HYPERLINK("https://ictv.global/taxonomy/taxondetails?taxnode_id=202312340","ictv.global=202312340")</f>
        <v>ictv.global=202312340</v>
      </c>
    </row>
    <row r="2705" spans="1:21">
      <c r="A2705">
        <v>2704</v>
      </c>
      <c r="B2705" s="30" t="s">
        <v>1587</v>
      </c>
      <c r="D2705" s="30" t="s">
        <v>1588</v>
      </c>
      <c r="F2705" s="30" t="s">
        <v>1591</v>
      </c>
      <c r="H2705" s="30" t="s">
        <v>1592</v>
      </c>
      <c r="M2705" s="30" t="s">
        <v>6404</v>
      </c>
      <c r="N2705" s="30" t="s">
        <v>2416</v>
      </c>
      <c r="P2705" s="30" t="s">
        <v>6408</v>
      </c>
      <c r="Q2705" t="s">
        <v>619</v>
      </c>
      <c r="R2705" t="s">
        <v>917</v>
      </c>
      <c r="S2705">
        <v>37</v>
      </c>
      <c r="T2705" s="29" t="str">
        <f>HYPERLINK("https://ictv.global/ictv/proposals/2021.035B.R.Gracegardnervirinae.zip","2021.035B.R.Gracegardnervirinae.zip")</f>
        <v>2021.035B.R.Gracegardnervirinae.zip</v>
      </c>
      <c r="U2705" s="29" t="str">
        <f>HYPERLINK("https://ictv.global/taxonomy/taxondetails?taxnode_id=202312341","ictv.global=202312341")</f>
        <v>ictv.global=202312341</v>
      </c>
    </row>
    <row r="2706" spans="1:21">
      <c r="A2706">
        <v>2705</v>
      </c>
      <c r="B2706" s="30" t="s">
        <v>1587</v>
      </c>
      <c r="D2706" s="30" t="s">
        <v>1588</v>
      </c>
      <c r="F2706" s="30" t="s">
        <v>1591</v>
      </c>
      <c r="H2706" s="30" t="s">
        <v>1592</v>
      </c>
      <c r="M2706" s="30" t="s">
        <v>6404</v>
      </c>
      <c r="N2706" s="30" t="s">
        <v>2416</v>
      </c>
      <c r="P2706" s="30" t="s">
        <v>6409</v>
      </c>
      <c r="Q2706" t="s">
        <v>619</v>
      </c>
      <c r="R2706" t="s">
        <v>918</v>
      </c>
      <c r="S2706">
        <v>37</v>
      </c>
      <c r="T2706" s="29" t="str">
        <f>HYPERLINK("https://ictv.global/ictv/proposals/2021.010B.R.Binomial_names.zip","2021.010B.R.Binomial_names.zip")</f>
        <v>2021.010B.R.Binomial_names.zip</v>
      </c>
      <c r="U2706" s="29" t="str">
        <f>HYPERLINK("https://ictv.global/taxonomy/taxondetails?taxnode_id=202300918","ictv.global=202300918")</f>
        <v>ictv.global=202300918</v>
      </c>
    </row>
    <row r="2707" spans="1:21">
      <c r="A2707">
        <v>2706</v>
      </c>
      <c r="B2707" s="30" t="s">
        <v>1587</v>
      </c>
      <c r="D2707" s="30" t="s">
        <v>1588</v>
      </c>
      <c r="F2707" s="30" t="s">
        <v>1591</v>
      </c>
      <c r="H2707" s="30" t="s">
        <v>1592</v>
      </c>
      <c r="M2707" s="30" t="s">
        <v>6404</v>
      </c>
      <c r="N2707" s="30" t="s">
        <v>2416</v>
      </c>
      <c r="P2707" s="30" t="s">
        <v>6410</v>
      </c>
      <c r="Q2707" t="s">
        <v>619</v>
      </c>
      <c r="R2707" t="s">
        <v>917</v>
      </c>
      <c r="S2707">
        <v>37</v>
      </c>
      <c r="T2707" s="29" t="str">
        <f t="shared" ref="T2707:T2738" si="119">HYPERLINK("https://ictv.global/ictv/proposals/2021.035B.R.Gracegardnervirinae.zip","2021.035B.R.Gracegardnervirinae.zip")</f>
        <v>2021.035B.R.Gracegardnervirinae.zip</v>
      </c>
      <c r="U2707" s="29" t="str">
        <f>HYPERLINK("https://ictv.global/taxonomy/taxondetails?taxnode_id=202312342","ictv.global=202312342")</f>
        <v>ictv.global=202312342</v>
      </c>
    </row>
    <row r="2708" spans="1:21">
      <c r="A2708">
        <v>2707</v>
      </c>
      <c r="B2708" s="30" t="s">
        <v>1587</v>
      </c>
      <c r="D2708" s="30" t="s">
        <v>1588</v>
      </c>
      <c r="F2708" s="30" t="s">
        <v>1591</v>
      </c>
      <c r="H2708" s="30" t="s">
        <v>1592</v>
      </c>
      <c r="M2708" s="30" t="s">
        <v>6404</v>
      </c>
      <c r="N2708" s="30" t="s">
        <v>1474</v>
      </c>
      <c r="P2708" s="30" t="s">
        <v>6411</v>
      </c>
      <c r="Q2708" t="s">
        <v>619</v>
      </c>
      <c r="R2708" t="s">
        <v>917</v>
      </c>
      <c r="S2708">
        <v>37</v>
      </c>
      <c r="T2708" s="29" t="str">
        <f t="shared" si="119"/>
        <v>2021.035B.R.Gracegardnervirinae.zip</v>
      </c>
      <c r="U2708" s="29" t="str">
        <f>HYPERLINK("https://ictv.global/taxonomy/taxondetails?taxnode_id=202312257","ictv.global=202312257")</f>
        <v>ictv.global=202312257</v>
      </c>
    </row>
    <row r="2709" spans="1:21">
      <c r="A2709">
        <v>2708</v>
      </c>
      <c r="B2709" s="30" t="s">
        <v>1587</v>
      </c>
      <c r="D2709" s="30" t="s">
        <v>1588</v>
      </c>
      <c r="F2709" s="30" t="s">
        <v>1591</v>
      </c>
      <c r="H2709" s="30" t="s">
        <v>1592</v>
      </c>
      <c r="M2709" s="30" t="s">
        <v>6404</v>
      </c>
      <c r="N2709" s="30" t="s">
        <v>1474</v>
      </c>
      <c r="P2709" s="30" t="s">
        <v>6412</v>
      </c>
      <c r="Q2709" t="s">
        <v>619</v>
      </c>
      <c r="R2709" t="s">
        <v>917</v>
      </c>
      <c r="S2709">
        <v>37</v>
      </c>
      <c r="T2709" s="29" t="str">
        <f t="shared" si="119"/>
        <v>2021.035B.R.Gracegardnervirinae.zip</v>
      </c>
      <c r="U2709" s="29" t="str">
        <f>HYPERLINK("https://ictv.global/taxonomy/taxondetails?taxnode_id=202312258","ictv.global=202312258")</f>
        <v>ictv.global=202312258</v>
      </c>
    </row>
    <row r="2710" spans="1:21">
      <c r="A2710">
        <v>2709</v>
      </c>
      <c r="B2710" s="30" t="s">
        <v>1587</v>
      </c>
      <c r="D2710" s="30" t="s">
        <v>1588</v>
      </c>
      <c r="F2710" s="30" t="s">
        <v>1591</v>
      </c>
      <c r="H2710" s="30" t="s">
        <v>1592</v>
      </c>
      <c r="M2710" s="30" t="s">
        <v>6404</v>
      </c>
      <c r="N2710" s="30" t="s">
        <v>1474</v>
      </c>
      <c r="P2710" s="30" t="s">
        <v>6413</v>
      </c>
      <c r="Q2710" t="s">
        <v>619</v>
      </c>
      <c r="R2710" t="s">
        <v>917</v>
      </c>
      <c r="S2710">
        <v>37</v>
      </c>
      <c r="T2710" s="29" t="str">
        <f t="shared" si="119"/>
        <v>2021.035B.R.Gracegardnervirinae.zip</v>
      </c>
      <c r="U2710" s="29" t="str">
        <f>HYPERLINK("https://ictv.global/taxonomy/taxondetails?taxnode_id=202312259","ictv.global=202312259")</f>
        <v>ictv.global=202312259</v>
      </c>
    </row>
    <row r="2711" spans="1:21">
      <c r="A2711">
        <v>2710</v>
      </c>
      <c r="B2711" s="30" t="s">
        <v>1587</v>
      </c>
      <c r="D2711" s="30" t="s">
        <v>1588</v>
      </c>
      <c r="F2711" s="30" t="s">
        <v>1591</v>
      </c>
      <c r="H2711" s="30" t="s">
        <v>1592</v>
      </c>
      <c r="M2711" s="30" t="s">
        <v>6404</v>
      </c>
      <c r="N2711" s="30" t="s">
        <v>1474</v>
      </c>
      <c r="P2711" s="30" t="s">
        <v>6414</v>
      </c>
      <c r="Q2711" t="s">
        <v>619</v>
      </c>
      <c r="R2711" t="s">
        <v>917</v>
      </c>
      <c r="S2711">
        <v>37</v>
      </c>
      <c r="T2711" s="29" t="str">
        <f t="shared" si="119"/>
        <v>2021.035B.R.Gracegardnervirinae.zip</v>
      </c>
      <c r="U2711" s="29" t="str">
        <f>HYPERLINK("https://ictv.global/taxonomy/taxondetails?taxnode_id=202312260","ictv.global=202312260")</f>
        <v>ictv.global=202312260</v>
      </c>
    </row>
    <row r="2712" spans="1:21">
      <c r="A2712">
        <v>2711</v>
      </c>
      <c r="B2712" s="30" t="s">
        <v>1587</v>
      </c>
      <c r="D2712" s="30" t="s">
        <v>1588</v>
      </c>
      <c r="F2712" s="30" t="s">
        <v>1591</v>
      </c>
      <c r="H2712" s="30" t="s">
        <v>1592</v>
      </c>
      <c r="M2712" s="30" t="s">
        <v>6404</v>
      </c>
      <c r="N2712" s="30" t="s">
        <v>1474</v>
      </c>
      <c r="P2712" s="30" t="s">
        <v>6415</v>
      </c>
      <c r="Q2712" t="s">
        <v>619</v>
      </c>
      <c r="R2712" t="s">
        <v>917</v>
      </c>
      <c r="S2712">
        <v>37</v>
      </c>
      <c r="T2712" s="29" t="str">
        <f t="shared" si="119"/>
        <v>2021.035B.R.Gracegardnervirinae.zip</v>
      </c>
      <c r="U2712" s="29" t="str">
        <f>HYPERLINK("https://ictv.global/taxonomy/taxondetails?taxnode_id=202312261","ictv.global=202312261")</f>
        <v>ictv.global=202312261</v>
      </c>
    </row>
    <row r="2713" spans="1:21">
      <c r="A2713">
        <v>2712</v>
      </c>
      <c r="B2713" s="30" t="s">
        <v>1587</v>
      </c>
      <c r="D2713" s="30" t="s">
        <v>1588</v>
      </c>
      <c r="F2713" s="30" t="s">
        <v>1591</v>
      </c>
      <c r="H2713" s="30" t="s">
        <v>1592</v>
      </c>
      <c r="M2713" s="30" t="s">
        <v>6404</v>
      </c>
      <c r="N2713" s="30" t="s">
        <v>1474</v>
      </c>
      <c r="P2713" s="30" t="s">
        <v>6416</v>
      </c>
      <c r="Q2713" t="s">
        <v>619</v>
      </c>
      <c r="R2713" t="s">
        <v>917</v>
      </c>
      <c r="S2713">
        <v>37</v>
      </c>
      <c r="T2713" s="29" t="str">
        <f t="shared" si="119"/>
        <v>2021.035B.R.Gracegardnervirinae.zip</v>
      </c>
      <c r="U2713" s="29" t="str">
        <f>HYPERLINK("https://ictv.global/taxonomy/taxondetails?taxnode_id=202312262","ictv.global=202312262")</f>
        <v>ictv.global=202312262</v>
      </c>
    </row>
    <row r="2714" spans="1:21">
      <c r="A2714">
        <v>2713</v>
      </c>
      <c r="B2714" s="30" t="s">
        <v>1587</v>
      </c>
      <c r="D2714" s="30" t="s">
        <v>1588</v>
      </c>
      <c r="F2714" s="30" t="s">
        <v>1591</v>
      </c>
      <c r="H2714" s="30" t="s">
        <v>1592</v>
      </c>
      <c r="M2714" s="30" t="s">
        <v>6404</v>
      </c>
      <c r="N2714" s="30" t="s">
        <v>1474</v>
      </c>
      <c r="P2714" s="30" t="s">
        <v>6417</v>
      </c>
      <c r="Q2714" t="s">
        <v>619</v>
      </c>
      <c r="R2714" t="s">
        <v>917</v>
      </c>
      <c r="S2714">
        <v>37</v>
      </c>
      <c r="T2714" s="29" t="str">
        <f t="shared" si="119"/>
        <v>2021.035B.R.Gracegardnervirinae.zip</v>
      </c>
      <c r="U2714" s="29" t="str">
        <f>HYPERLINK("https://ictv.global/taxonomy/taxondetails?taxnode_id=202312263","ictv.global=202312263")</f>
        <v>ictv.global=202312263</v>
      </c>
    </row>
    <row r="2715" spans="1:21">
      <c r="A2715">
        <v>2714</v>
      </c>
      <c r="B2715" s="30" t="s">
        <v>1587</v>
      </c>
      <c r="D2715" s="30" t="s">
        <v>1588</v>
      </c>
      <c r="F2715" s="30" t="s">
        <v>1591</v>
      </c>
      <c r="H2715" s="30" t="s">
        <v>1592</v>
      </c>
      <c r="M2715" s="30" t="s">
        <v>6404</v>
      </c>
      <c r="N2715" s="30" t="s">
        <v>1474</v>
      </c>
      <c r="P2715" s="30" t="s">
        <v>6418</v>
      </c>
      <c r="Q2715" t="s">
        <v>619</v>
      </c>
      <c r="R2715" t="s">
        <v>917</v>
      </c>
      <c r="S2715">
        <v>37</v>
      </c>
      <c r="T2715" s="29" t="str">
        <f t="shared" si="119"/>
        <v>2021.035B.R.Gracegardnervirinae.zip</v>
      </c>
      <c r="U2715" s="29" t="str">
        <f>HYPERLINK("https://ictv.global/taxonomy/taxondetails?taxnode_id=202312264","ictv.global=202312264")</f>
        <v>ictv.global=202312264</v>
      </c>
    </row>
    <row r="2716" spans="1:21">
      <c r="A2716">
        <v>2715</v>
      </c>
      <c r="B2716" s="30" t="s">
        <v>1587</v>
      </c>
      <c r="D2716" s="30" t="s">
        <v>1588</v>
      </c>
      <c r="F2716" s="30" t="s">
        <v>1591</v>
      </c>
      <c r="H2716" s="30" t="s">
        <v>1592</v>
      </c>
      <c r="M2716" s="30" t="s">
        <v>6404</v>
      </c>
      <c r="N2716" s="30" t="s">
        <v>1474</v>
      </c>
      <c r="P2716" s="30" t="s">
        <v>6419</v>
      </c>
      <c r="Q2716" t="s">
        <v>619</v>
      </c>
      <c r="R2716" t="s">
        <v>917</v>
      </c>
      <c r="S2716">
        <v>37</v>
      </c>
      <c r="T2716" s="29" t="str">
        <f t="shared" si="119"/>
        <v>2021.035B.R.Gracegardnervirinae.zip</v>
      </c>
      <c r="U2716" s="29" t="str">
        <f>HYPERLINK("https://ictv.global/taxonomy/taxondetails?taxnode_id=202312265","ictv.global=202312265")</f>
        <v>ictv.global=202312265</v>
      </c>
    </row>
    <row r="2717" spans="1:21">
      <c r="A2717">
        <v>2716</v>
      </c>
      <c r="B2717" s="30" t="s">
        <v>1587</v>
      </c>
      <c r="D2717" s="30" t="s">
        <v>1588</v>
      </c>
      <c r="F2717" s="30" t="s">
        <v>1591</v>
      </c>
      <c r="H2717" s="30" t="s">
        <v>1592</v>
      </c>
      <c r="M2717" s="30" t="s">
        <v>6404</v>
      </c>
      <c r="N2717" s="30" t="s">
        <v>1474</v>
      </c>
      <c r="P2717" s="30" t="s">
        <v>6420</v>
      </c>
      <c r="Q2717" t="s">
        <v>619</v>
      </c>
      <c r="R2717" t="s">
        <v>917</v>
      </c>
      <c r="S2717">
        <v>37</v>
      </c>
      <c r="T2717" s="29" t="str">
        <f t="shared" si="119"/>
        <v>2021.035B.R.Gracegardnervirinae.zip</v>
      </c>
      <c r="U2717" s="29" t="str">
        <f>HYPERLINK("https://ictv.global/taxonomy/taxondetails?taxnode_id=202312266","ictv.global=202312266")</f>
        <v>ictv.global=202312266</v>
      </c>
    </row>
    <row r="2718" spans="1:21">
      <c r="A2718">
        <v>2717</v>
      </c>
      <c r="B2718" s="30" t="s">
        <v>1587</v>
      </c>
      <c r="D2718" s="30" t="s">
        <v>1588</v>
      </c>
      <c r="F2718" s="30" t="s">
        <v>1591</v>
      </c>
      <c r="H2718" s="30" t="s">
        <v>1592</v>
      </c>
      <c r="M2718" s="30" t="s">
        <v>6404</v>
      </c>
      <c r="N2718" s="30" t="s">
        <v>1474</v>
      </c>
      <c r="P2718" s="30" t="s">
        <v>6421</v>
      </c>
      <c r="Q2718" t="s">
        <v>619</v>
      </c>
      <c r="R2718" t="s">
        <v>917</v>
      </c>
      <c r="S2718">
        <v>37</v>
      </c>
      <c r="T2718" s="29" t="str">
        <f t="shared" si="119"/>
        <v>2021.035B.R.Gracegardnervirinae.zip</v>
      </c>
      <c r="U2718" s="29" t="str">
        <f>HYPERLINK("https://ictv.global/taxonomy/taxondetails?taxnode_id=202312267","ictv.global=202312267")</f>
        <v>ictv.global=202312267</v>
      </c>
    </row>
    <row r="2719" spans="1:21">
      <c r="A2719">
        <v>2718</v>
      </c>
      <c r="B2719" s="30" t="s">
        <v>1587</v>
      </c>
      <c r="D2719" s="30" t="s">
        <v>1588</v>
      </c>
      <c r="F2719" s="30" t="s">
        <v>1591</v>
      </c>
      <c r="H2719" s="30" t="s">
        <v>1592</v>
      </c>
      <c r="M2719" s="30" t="s">
        <v>6404</v>
      </c>
      <c r="N2719" s="30" t="s">
        <v>1474</v>
      </c>
      <c r="P2719" s="30" t="s">
        <v>6422</v>
      </c>
      <c r="Q2719" t="s">
        <v>619</v>
      </c>
      <c r="R2719" t="s">
        <v>917</v>
      </c>
      <c r="S2719">
        <v>37</v>
      </c>
      <c r="T2719" s="29" t="str">
        <f t="shared" si="119"/>
        <v>2021.035B.R.Gracegardnervirinae.zip</v>
      </c>
      <c r="U2719" s="29" t="str">
        <f>HYPERLINK("https://ictv.global/taxonomy/taxondetails?taxnode_id=202312268","ictv.global=202312268")</f>
        <v>ictv.global=202312268</v>
      </c>
    </row>
    <row r="2720" spans="1:21">
      <c r="A2720">
        <v>2719</v>
      </c>
      <c r="B2720" s="30" t="s">
        <v>1587</v>
      </c>
      <c r="D2720" s="30" t="s">
        <v>1588</v>
      </c>
      <c r="F2720" s="30" t="s">
        <v>1591</v>
      </c>
      <c r="H2720" s="30" t="s">
        <v>1592</v>
      </c>
      <c r="M2720" s="30" t="s">
        <v>6404</v>
      </c>
      <c r="N2720" s="30" t="s">
        <v>1474</v>
      </c>
      <c r="P2720" s="30" t="s">
        <v>6423</v>
      </c>
      <c r="Q2720" t="s">
        <v>619</v>
      </c>
      <c r="R2720" t="s">
        <v>917</v>
      </c>
      <c r="S2720">
        <v>37</v>
      </c>
      <c r="T2720" s="29" t="str">
        <f t="shared" si="119"/>
        <v>2021.035B.R.Gracegardnervirinae.zip</v>
      </c>
      <c r="U2720" s="29" t="str">
        <f>HYPERLINK("https://ictv.global/taxonomy/taxondetails?taxnode_id=202312269","ictv.global=202312269")</f>
        <v>ictv.global=202312269</v>
      </c>
    </row>
    <row r="2721" spans="1:21">
      <c r="A2721">
        <v>2720</v>
      </c>
      <c r="B2721" s="30" t="s">
        <v>1587</v>
      </c>
      <c r="D2721" s="30" t="s">
        <v>1588</v>
      </c>
      <c r="F2721" s="30" t="s">
        <v>1591</v>
      </c>
      <c r="H2721" s="30" t="s">
        <v>1592</v>
      </c>
      <c r="M2721" s="30" t="s">
        <v>6404</v>
      </c>
      <c r="N2721" s="30" t="s">
        <v>1474</v>
      </c>
      <c r="P2721" s="30" t="s">
        <v>6424</v>
      </c>
      <c r="Q2721" t="s">
        <v>619</v>
      </c>
      <c r="R2721" t="s">
        <v>917</v>
      </c>
      <c r="S2721">
        <v>37</v>
      </c>
      <c r="T2721" s="29" t="str">
        <f t="shared" si="119"/>
        <v>2021.035B.R.Gracegardnervirinae.zip</v>
      </c>
      <c r="U2721" s="29" t="str">
        <f>HYPERLINK("https://ictv.global/taxonomy/taxondetails?taxnode_id=202312270","ictv.global=202312270")</f>
        <v>ictv.global=202312270</v>
      </c>
    </row>
    <row r="2722" spans="1:21">
      <c r="A2722">
        <v>2721</v>
      </c>
      <c r="B2722" s="30" t="s">
        <v>1587</v>
      </c>
      <c r="D2722" s="30" t="s">
        <v>1588</v>
      </c>
      <c r="F2722" s="30" t="s">
        <v>1591</v>
      </c>
      <c r="H2722" s="30" t="s">
        <v>1592</v>
      </c>
      <c r="M2722" s="30" t="s">
        <v>6404</v>
      </c>
      <c r="N2722" s="30" t="s">
        <v>1474</v>
      </c>
      <c r="P2722" s="30" t="s">
        <v>6425</v>
      </c>
      <c r="Q2722" t="s">
        <v>619</v>
      </c>
      <c r="R2722" t="s">
        <v>917</v>
      </c>
      <c r="S2722">
        <v>37</v>
      </c>
      <c r="T2722" s="29" t="str">
        <f t="shared" si="119"/>
        <v>2021.035B.R.Gracegardnervirinae.zip</v>
      </c>
      <c r="U2722" s="29" t="str">
        <f>HYPERLINK("https://ictv.global/taxonomy/taxondetails?taxnode_id=202312271","ictv.global=202312271")</f>
        <v>ictv.global=202312271</v>
      </c>
    </row>
    <row r="2723" spans="1:21">
      <c r="A2723">
        <v>2722</v>
      </c>
      <c r="B2723" s="30" t="s">
        <v>1587</v>
      </c>
      <c r="D2723" s="30" t="s">
        <v>1588</v>
      </c>
      <c r="F2723" s="30" t="s">
        <v>1591</v>
      </c>
      <c r="H2723" s="30" t="s">
        <v>1592</v>
      </c>
      <c r="M2723" s="30" t="s">
        <v>6404</v>
      </c>
      <c r="N2723" s="30" t="s">
        <v>1474</v>
      </c>
      <c r="P2723" s="30" t="s">
        <v>6426</v>
      </c>
      <c r="Q2723" t="s">
        <v>619</v>
      </c>
      <c r="R2723" t="s">
        <v>917</v>
      </c>
      <c r="S2723">
        <v>37</v>
      </c>
      <c r="T2723" s="29" t="str">
        <f t="shared" si="119"/>
        <v>2021.035B.R.Gracegardnervirinae.zip</v>
      </c>
      <c r="U2723" s="29" t="str">
        <f>HYPERLINK("https://ictv.global/taxonomy/taxondetails?taxnode_id=202312272","ictv.global=202312272")</f>
        <v>ictv.global=202312272</v>
      </c>
    </row>
    <row r="2724" spans="1:21">
      <c r="A2724">
        <v>2723</v>
      </c>
      <c r="B2724" s="30" t="s">
        <v>1587</v>
      </c>
      <c r="D2724" s="30" t="s">
        <v>1588</v>
      </c>
      <c r="F2724" s="30" t="s">
        <v>1591</v>
      </c>
      <c r="H2724" s="30" t="s">
        <v>1592</v>
      </c>
      <c r="M2724" s="30" t="s">
        <v>6404</v>
      </c>
      <c r="N2724" s="30" t="s">
        <v>1474</v>
      </c>
      <c r="P2724" s="30" t="s">
        <v>6427</v>
      </c>
      <c r="Q2724" t="s">
        <v>619</v>
      </c>
      <c r="R2724" t="s">
        <v>917</v>
      </c>
      <c r="S2724">
        <v>37</v>
      </c>
      <c r="T2724" s="29" t="str">
        <f t="shared" si="119"/>
        <v>2021.035B.R.Gracegardnervirinae.zip</v>
      </c>
      <c r="U2724" s="29" t="str">
        <f>HYPERLINK("https://ictv.global/taxonomy/taxondetails?taxnode_id=202312273","ictv.global=202312273")</f>
        <v>ictv.global=202312273</v>
      </c>
    </row>
    <row r="2725" spans="1:21">
      <c r="A2725">
        <v>2724</v>
      </c>
      <c r="B2725" s="30" t="s">
        <v>1587</v>
      </c>
      <c r="D2725" s="30" t="s">
        <v>1588</v>
      </c>
      <c r="F2725" s="30" t="s">
        <v>1591</v>
      </c>
      <c r="H2725" s="30" t="s">
        <v>1592</v>
      </c>
      <c r="M2725" s="30" t="s">
        <v>6404</v>
      </c>
      <c r="N2725" s="30" t="s">
        <v>1474</v>
      </c>
      <c r="P2725" s="30" t="s">
        <v>6428</v>
      </c>
      <c r="Q2725" t="s">
        <v>619</v>
      </c>
      <c r="R2725" t="s">
        <v>917</v>
      </c>
      <c r="S2725">
        <v>37</v>
      </c>
      <c r="T2725" s="29" t="str">
        <f t="shared" si="119"/>
        <v>2021.035B.R.Gracegardnervirinae.zip</v>
      </c>
      <c r="U2725" s="29" t="str">
        <f>HYPERLINK("https://ictv.global/taxonomy/taxondetails?taxnode_id=202312274","ictv.global=202312274")</f>
        <v>ictv.global=202312274</v>
      </c>
    </row>
    <row r="2726" spans="1:21">
      <c r="A2726">
        <v>2725</v>
      </c>
      <c r="B2726" s="30" t="s">
        <v>1587</v>
      </c>
      <c r="D2726" s="30" t="s">
        <v>1588</v>
      </c>
      <c r="F2726" s="30" t="s">
        <v>1591</v>
      </c>
      <c r="H2726" s="30" t="s">
        <v>1592</v>
      </c>
      <c r="M2726" s="30" t="s">
        <v>6404</v>
      </c>
      <c r="N2726" s="30" t="s">
        <v>1474</v>
      </c>
      <c r="P2726" s="30" t="s">
        <v>6429</v>
      </c>
      <c r="Q2726" t="s">
        <v>619</v>
      </c>
      <c r="R2726" t="s">
        <v>917</v>
      </c>
      <c r="S2726">
        <v>37</v>
      </c>
      <c r="T2726" s="29" t="str">
        <f t="shared" si="119"/>
        <v>2021.035B.R.Gracegardnervirinae.zip</v>
      </c>
      <c r="U2726" s="29" t="str">
        <f>HYPERLINK("https://ictv.global/taxonomy/taxondetails?taxnode_id=202312275","ictv.global=202312275")</f>
        <v>ictv.global=202312275</v>
      </c>
    </row>
    <row r="2727" spans="1:21">
      <c r="A2727">
        <v>2726</v>
      </c>
      <c r="B2727" s="30" t="s">
        <v>1587</v>
      </c>
      <c r="D2727" s="30" t="s">
        <v>1588</v>
      </c>
      <c r="F2727" s="30" t="s">
        <v>1591</v>
      </c>
      <c r="H2727" s="30" t="s">
        <v>1592</v>
      </c>
      <c r="M2727" s="30" t="s">
        <v>6404</v>
      </c>
      <c r="N2727" s="30" t="s">
        <v>1474</v>
      </c>
      <c r="P2727" s="30" t="s">
        <v>6430</v>
      </c>
      <c r="Q2727" t="s">
        <v>619</v>
      </c>
      <c r="R2727" t="s">
        <v>917</v>
      </c>
      <c r="S2727">
        <v>37</v>
      </c>
      <c r="T2727" s="29" t="str">
        <f t="shared" si="119"/>
        <v>2021.035B.R.Gracegardnervirinae.zip</v>
      </c>
      <c r="U2727" s="29" t="str">
        <f>HYPERLINK("https://ictv.global/taxonomy/taxondetails?taxnode_id=202312276","ictv.global=202312276")</f>
        <v>ictv.global=202312276</v>
      </c>
    </row>
    <row r="2728" spans="1:21">
      <c r="A2728">
        <v>2727</v>
      </c>
      <c r="B2728" s="30" t="s">
        <v>1587</v>
      </c>
      <c r="D2728" s="30" t="s">
        <v>1588</v>
      </c>
      <c r="F2728" s="30" t="s">
        <v>1591</v>
      </c>
      <c r="H2728" s="30" t="s">
        <v>1592</v>
      </c>
      <c r="M2728" s="30" t="s">
        <v>6404</v>
      </c>
      <c r="N2728" s="30" t="s">
        <v>1474</v>
      </c>
      <c r="P2728" s="30" t="s">
        <v>6431</v>
      </c>
      <c r="Q2728" t="s">
        <v>619</v>
      </c>
      <c r="R2728" t="s">
        <v>917</v>
      </c>
      <c r="S2728">
        <v>37</v>
      </c>
      <c r="T2728" s="29" t="str">
        <f t="shared" si="119"/>
        <v>2021.035B.R.Gracegardnervirinae.zip</v>
      </c>
      <c r="U2728" s="29" t="str">
        <f>HYPERLINK("https://ictv.global/taxonomy/taxondetails?taxnode_id=202312277","ictv.global=202312277")</f>
        <v>ictv.global=202312277</v>
      </c>
    </row>
    <row r="2729" spans="1:21">
      <c r="A2729">
        <v>2728</v>
      </c>
      <c r="B2729" s="30" t="s">
        <v>1587</v>
      </c>
      <c r="D2729" s="30" t="s">
        <v>1588</v>
      </c>
      <c r="F2729" s="30" t="s">
        <v>1591</v>
      </c>
      <c r="H2729" s="30" t="s">
        <v>1592</v>
      </c>
      <c r="M2729" s="30" t="s">
        <v>6404</v>
      </c>
      <c r="N2729" s="30" t="s">
        <v>1474</v>
      </c>
      <c r="P2729" s="30" t="s">
        <v>6432</v>
      </c>
      <c r="Q2729" t="s">
        <v>619</v>
      </c>
      <c r="R2729" t="s">
        <v>917</v>
      </c>
      <c r="S2729">
        <v>37</v>
      </c>
      <c r="T2729" s="29" t="str">
        <f t="shared" si="119"/>
        <v>2021.035B.R.Gracegardnervirinae.zip</v>
      </c>
      <c r="U2729" s="29" t="str">
        <f>HYPERLINK("https://ictv.global/taxonomy/taxondetails?taxnode_id=202312278","ictv.global=202312278")</f>
        <v>ictv.global=202312278</v>
      </c>
    </row>
    <row r="2730" spans="1:21">
      <c r="A2730">
        <v>2729</v>
      </c>
      <c r="B2730" s="30" t="s">
        <v>1587</v>
      </c>
      <c r="D2730" s="30" t="s">
        <v>1588</v>
      </c>
      <c r="F2730" s="30" t="s">
        <v>1591</v>
      </c>
      <c r="H2730" s="30" t="s">
        <v>1592</v>
      </c>
      <c r="M2730" s="30" t="s">
        <v>6404</v>
      </c>
      <c r="N2730" s="30" t="s">
        <v>1474</v>
      </c>
      <c r="P2730" s="30" t="s">
        <v>6433</v>
      </c>
      <c r="Q2730" t="s">
        <v>619</v>
      </c>
      <c r="R2730" t="s">
        <v>917</v>
      </c>
      <c r="S2730">
        <v>37</v>
      </c>
      <c r="T2730" s="29" t="str">
        <f t="shared" si="119"/>
        <v>2021.035B.R.Gracegardnervirinae.zip</v>
      </c>
      <c r="U2730" s="29" t="str">
        <f>HYPERLINK("https://ictv.global/taxonomy/taxondetails?taxnode_id=202312279","ictv.global=202312279")</f>
        <v>ictv.global=202312279</v>
      </c>
    </row>
    <row r="2731" spans="1:21">
      <c r="A2731">
        <v>2730</v>
      </c>
      <c r="B2731" s="30" t="s">
        <v>1587</v>
      </c>
      <c r="D2731" s="30" t="s">
        <v>1588</v>
      </c>
      <c r="F2731" s="30" t="s">
        <v>1591</v>
      </c>
      <c r="H2731" s="30" t="s">
        <v>1592</v>
      </c>
      <c r="M2731" s="30" t="s">
        <v>6404</v>
      </c>
      <c r="N2731" s="30" t="s">
        <v>1474</v>
      </c>
      <c r="P2731" s="30" t="s">
        <v>6434</v>
      </c>
      <c r="Q2731" t="s">
        <v>619</v>
      </c>
      <c r="R2731" t="s">
        <v>917</v>
      </c>
      <c r="S2731">
        <v>37</v>
      </c>
      <c r="T2731" s="29" t="str">
        <f t="shared" si="119"/>
        <v>2021.035B.R.Gracegardnervirinae.zip</v>
      </c>
      <c r="U2731" s="29" t="str">
        <f>HYPERLINK("https://ictv.global/taxonomy/taxondetails?taxnode_id=202312280","ictv.global=202312280")</f>
        <v>ictv.global=202312280</v>
      </c>
    </row>
    <row r="2732" spans="1:21">
      <c r="A2732">
        <v>2731</v>
      </c>
      <c r="B2732" s="30" t="s">
        <v>1587</v>
      </c>
      <c r="D2732" s="30" t="s">
        <v>1588</v>
      </c>
      <c r="F2732" s="30" t="s">
        <v>1591</v>
      </c>
      <c r="H2732" s="30" t="s">
        <v>1592</v>
      </c>
      <c r="M2732" s="30" t="s">
        <v>6404</v>
      </c>
      <c r="N2732" s="30" t="s">
        <v>1474</v>
      </c>
      <c r="P2732" s="30" t="s">
        <v>6435</v>
      </c>
      <c r="Q2732" t="s">
        <v>619</v>
      </c>
      <c r="R2732" t="s">
        <v>917</v>
      </c>
      <c r="S2732">
        <v>37</v>
      </c>
      <c r="T2732" s="29" t="str">
        <f t="shared" si="119"/>
        <v>2021.035B.R.Gracegardnervirinae.zip</v>
      </c>
      <c r="U2732" s="29" t="str">
        <f>HYPERLINK("https://ictv.global/taxonomy/taxondetails?taxnode_id=202312281","ictv.global=202312281")</f>
        <v>ictv.global=202312281</v>
      </c>
    </row>
    <row r="2733" spans="1:21">
      <c r="A2733">
        <v>2732</v>
      </c>
      <c r="B2733" s="30" t="s">
        <v>1587</v>
      </c>
      <c r="D2733" s="30" t="s">
        <v>1588</v>
      </c>
      <c r="F2733" s="30" t="s">
        <v>1591</v>
      </c>
      <c r="H2733" s="30" t="s">
        <v>1592</v>
      </c>
      <c r="M2733" s="30" t="s">
        <v>6404</v>
      </c>
      <c r="N2733" s="30" t="s">
        <v>1474</v>
      </c>
      <c r="P2733" s="30" t="s">
        <v>6436</v>
      </c>
      <c r="Q2733" t="s">
        <v>619</v>
      </c>
      <c r="R2733" t="s">
        <v>917</v>
      </c>
      <c r="S2733">
        <v>37</v>
      </c>
      <c r="T2733" s="29" t="str">
        <f t="shared" si="119"/>
        <v>2021.035B.R.Gracegardnervirinae.zip</v>
      </c>
      <c r="U2733" s="29" t="str">
        <f>HYPERLINK("https://ictv.global/taxonomy/taxondetails?taxnode_id=202312282","ictv.global=202312282")</f>
        <v>ictv.global=202312282</v>
      </c>
    </row>
    <row r="2734" spans="1:21">
      <c r="A2734">
        <v>2733</v>
      </c>
      <c r="B2734" s="30" t="s">
        <v>1587</v>
      </c>
      <c r="D2734" s="30" t="s">
        <v>1588</v>
      </c>
      <c r="F2734" s="30" t="s">
        <v>1591</v>
      </c>
      <c r="H2734" s="30" t="s">
        <v>1592</v>
      </c>
      <c r="M2734" s="30" t="s">
        <v>6404</v>
      </c>
      <c r="N2734" s="30" t="s">
        <v>1474</v>
      </c>
      <c r="P2734" s="30" t="s">
        <v>6437</v>
      </c>
      <c r="Q2734" t="s">
        <v>619</v>
      </c>
      <c r="R2734" t="s">
        <v>917</v>
      </c>
      <c r="S2734">
        <v>37</v>
      </c>
      <c r="T2734" s="29" t="str">
        <f t="shared" si="119"/>
        <v>2021.035B.R.Gracegardnervirinae.zip</v>
      </c>
      <c r="U2734" s="29" t="str">
        <f>HYPERLINK("https://ictv.global/taxonomy/taxondetails?taxnode_id=202312283","ictv.global=202312283")</f>
        <v>ictv.global=202312283</v>
      </c>
    </row>
    <row r="2735" spans="1:21">
      <c r="A2735">
        <v>2734</v>
      </c>
      <c r="B2735" s="30" t="s">
        <v>1587</v>
      </c>
      <c r="D2735" s="30" t="s">
        <v>1588</v>
      </c>
      <c r="F2735" s="30" t="s">
        <v>1591</v>
      </c>
      <c r="H2735" s="30" t="s">
        <v>1592</v>
      </c>
      <c r="M2735" s="30" t="s">
        <v>6404</v>
      </c>
      <c r="N2735" s="30" t="s">
        <v>1474</v>
      </c>
      <c r="P2735" s="30" t="s">
        <v>6438</v>
      </c>
      <c r="Q2735" t="s">
        <v>619</v>
      </c>
      <c r="R2735" t="s">
        <v>917</v>
      </c>
      <c r="S2735">
        <v>37</v>
      </c>
      <c r="T2735" s="29" t="str">
        <f t="shared" si="119"/>
        <v>2021.035B.R.Gracegardnervirinae.zip</v>
      </c>
      <c r="U2735" s="29" t="str">
        <f>HYPERLINK("https://ictv.global/taxonomy/taxondetails?taxnode_id=202312284","ictv.global=202312284")</f>
        <v>ictv.global=202312284</v>
      </c>
    </row>
    <row r="2736" spans="1:21">
      <c r="A2736">
        <v>2735</v>
      </c>
      <c r="B2736" s="30" t="s">
        <v>1587</v>
      </c>
      <c r="D2736" s="30" t="s">
        <v>1588</v>
      </c>
      <c r="F2736" s="30" t="s">
        <v>1591</v>
      </c>
      <c r="H2736" s="30" t="s">
        <v>1592</v>
      </c>
      <c r="M2736" s="30" t="s">
        <v>6404</v>
      </c>
      <c r="N2736" s="30" t="s">
        <v>1474</v>
      </c>
      <c r="P2736" s="30" t="s">
        <v>6439</v>
      </c>
      <c r="Q2736" t="s">
        <v>619</v>
      </c>
      <c r="R2736" t="s">
        <v>917</v>
      </c>
      <c r="S2736">
        <v>37</v>
      </c>
      <c r="T2736" s="29" t="str">
        <f t="shared" si="119"/>
        <v>2021.035B.R.Gracegardnervirinae.zip</v>
      </c>
      <c r="U2736" s="29" t="str">
        <f>HYPERLINK("https://ictv.global/taxonomy/taxondetails?taxnode_id=202312285","ictv.global=202312285")</f>
        <v>ictv.global=202312285</v>
      </c>
    </row>
    <row r="2737" spans="1:21">
      <c r="A2737">
        <v>2736</v>
      </c>
      <c r="B2737" s="30" t="s">
        <v>1587</v>
      </c>
      <c r="D2737" s="30" t="s">
        <v>1588</v>
      </c>
      <c r="F2737" s="30" t="s">
        <v>1591</v>
      </c>
      <c r="H2737" s="30" t="s">
        <v>1592</v>
      </c>
      <c r="M2737" s="30" t="s">
        <v>6404</v>
      </c>
      <c r="N2737" s="30" t="s">
        <v>1474</v>
      </c>
      <c r="P2737" s="30" t="s">
        <v>6440</v>
      </c>
      <c r="Q2737" t="s">
        <v>619</v>
      </c>
      <c r="R2737" t="s">
        <v>917</v>
      </c>
      <c r="S2737">
        <v>37</v>
      </c>
      <c r="T2737" s="29" t="str">
        <f t="shared" si="119"/>
        <v>2021.035B.R.Gracegardnervirinae.zip</v>
      </c>
      <c r="U2737" s="29" t="str">
        <f>HYPERLINK("https://ictv.global/taxonomy/taxondetails?taxnode_id=202312286","ictv.global=202312286")</f>
        <v>ictv.global=202312286</v>
      </c>
    </row>
    <row r="2738" spans="1:21">
      <c r="A2738">
        <v>2737</v>
      </c>
      <c r="B2738" s="30" t="s">
        <v>1587</v>
      </c>
      <c r="D2738" s="30" t="s">
        <v>1588</v>
      </c>
      <c r="F2738" s="30" t="s">
        <v>1591</v>
      </c>
      <c r="H2738" s="30" t="s">
        <v>1592</v>
      </c>
      <c r="M2738" s="30" t="s">
        <v>6404</v>
      </c>
      <c r="N2738" s="30" t="s">
        <v>1474</v>
      </c>
      <c r="P2738" s="30" t="s">
        <v>6441</v>
      </c>
      <c r="Q2738" t="s">
        <v>619</v>
      </c>
      <c r="R2738" t="s">
        <v>917</v>
      </c>
      <c r="S2738">
        <v>37</v>
      </c>
      <c r="T2738" s="29" t="str">
        <f t="shared" si="119"/>
        <v>2021.035B.R.Gracegardnervirinae.zip</v>
      </c>
      <c r="U2738" s="29" t="str">
        <f>HYPERLINK("https://ictv.global/taxonomy/taxondetails?taxnode_id=202312287","ictv.global=202312287")</f>
        <v>ictv.global=202312287</v>
      </c>
    </row>
    <row r="2739" spans="1:21">
      <c r="A2739">
        <v>2738</v>
      </c>
      <c r="B2739" s="30" t="s">
        <v>1587</v>
      </c>
      <c r="D2739" s="30" t="s">
        <v>1588</v>
      </c>
      <c r="F2739" s="30" t="s">
        <v>1591</v>
      </c>
      <c r="H2739" s="30" t="s">
        <v>1592</v>
      </c>
      <c r="M2739" s="30" t="s">
        <v>6404</v>
      </c>
      <c r="N2739" s="30" t="s">
        <v>1474</v>
      </c>
      <c r="P2739" s="30" t="s">
        <v>6442</v>
      </c>
      <c r="Q2739" t="s">
        <v>619</v>
      </c>
      <c r="R2739" t="s">
        <v>917</v>
      </c>
      <c r="S2739">
        <v>37</v>
      </c>
      <c r="T2739" s="29" t="str">
        <f t="shared" ref="T2739:T2770" si="120">HYPERLINK("https://ictv.global/ictv/proposals/2021.035B.R.Gracegardnervirinae.zip","2021.035B.R.Gracegardnervirinae.zip")</f>
        <v>2021.035B.R.Gracegardnervirinae.zip</v>
      </c>
      <c r="U2739" s="29" t="str">
        <f>HYPERLINK("https://ictv.global/taxonomy/taxondetails?taxnode_id=202312288","ictv.global=202312288")</f>
        <v>ictv.global=202312288</v>
      </c>
    </row>
    <row r="2740" spans="1:21">
      <c r="A2740">
        <v>2739</v>
      </c>
      <c r="B2740" s="30" t="s">
        <v>1587</v>
      </c>
      <c r="D2740" s="30" t="s">
        <v>1588</v>
      </c>
      <c r="F2740" s="30" t="s">
        <v>1591</v>
      </c>
      <c r="H2740" s="30" t="s">
        <v>1592</v>
      </c>
      <c r="M2740" s="30" t="s">
        <v>6404</v>
      </c>
      <c r="N2740" s="30" t="s">
        <v>1474</v>
      </c>
      <c r="P2740" s="30" t="s">
        <v>6443</v>
      </c>
      <c r="Q2740" t="s">
        <v>619</v>
      </c>
      <c r="R2740" t="s">
        <v>917</v>
      </c>
      <c r="S2740">
        <v>37</v>
      </c>
      <c r="T2740" s="29" t="str">
        <f t="shared" si="120"/>
        <v>2021.035B.R.Gracegardnervirinae.zip</v>
      </c>
      <c r="U2740" s="29" t="str">
        <f>HYPERLINK("https://ictv.global/taxonomy/taxondetails?taxnode_id=202312289","ictv.global=202312289")</f>
        <v>ictv.global=202312289</v>
      </c>
    </row>
    <row r="2741" spans="1:21">
      <c r="A2741">
        <v>2740</v>
      </c>
      <c r="B2741" s="30" t="s">
        <v>1587</v>
      </c>
      <c r="D2741" s="30" t="s">
        <v>1588</v>
      </c>
      <c r="F2741" s="30" t="s">
        <v>1591</v>
      </c>
      <c r="H2741" s="30" t="s">
        <v>1592</v>
      </c>
      <c r="M2741" s="30" t="s">
        <v>6404</v>
      </c>
      <c r="N2741" s="30" t="s">
        <v>1474</v>
      </c>
      <c r="P2741" s="30" t="s">
        <v>6444</v>
      </c>
      <c r="Q2741" t="s">
        <v>619</v>
      </c>
      <c r="R2741" t="s">
        <v>917</v>
      </c>
      <c r="S2741">
        <v>37</v>
      </c>
      <c r="T2741" s="29" t="str">
        <f t="shared" si="120"/>
        <v>2021.035B.R.Gracegardnervirinae.zip</v>
      </c>
      <c r="U2741" s="29" t="str">
        <f>HYPERLINK("https://ictv.global/taxonomy/taxondetails?taxnode_id=202312290","ictv.global=202312290")</f>
        <v>ictv.global=202312290</v>
      </c>
    </row>
    <row r="2742" spans="1:21">
      <c r="A2742">
        <v>2741</v>
      </c>
      <c r="B2742" s="30" t="s">
        <v>1587</v>
      </c>
      <c r="D2742" s="30" t="s">
        <v>1588</v>
      </c>
      <c r="F2742" s="30" t="s">
        <v>1591</v>
      </c>
      <c r="H2742" s="30" t="s">
        <v>1592</v>
      </c>
      <c r="M2742" s="30" t="s">
        <v>6404</v>
      </c>
      <c r="N2742" s="30" t="s">
        <v>1474</v>
      </c>
      <c r="P2742" s="30" t="s">
        <v>6445</v>
      </c>
      <c r="Q2742" t="s">
        <v>619</v>
      </c>
      <c r="R2742" t="s">
        <v>917</v>
      </c>
      <c r="S2742">
        <v>37</v>
      </c>
      <c r="T2742" s="29" t="str">
        <f t="shared" si="120"/>
        <v>2021.035B.R.Gracegardnervirinae.zip</v>
      </c>
      <c r="U2742" s="29" t="str">
        <f>HYPERLINK("https://ictv.global/taxonomy/taxondetails?taxnode_id=202312291","ictv.global=202312291")</f>
        <v>ictv.global=202312291</v>
      </c>
    </row>
    <row r="2743" spans="1:21">
      <c r="A2743">
        <v>2742</v>
      </c>
      <c r="B2743" s="30" t="s">
        <v>1587</v>
      </c>
      <c r="D2743" s="30" t="s">
        <v>1588</v>
      </c>
      <c r="F2743" s="30" t="s">
        <v>1591</v>
      </c>
      <c r="H2743" s="30" t="s">
        <v>1592</v>
      </c>
      <c r="M2743" s="30" t="s">
        <v>6404</v>
      </c>
      <c r="N2743" s="30" t="s">
        <v>1474</v>
      </c>
      <c r="P2743" s="30" t="s">
        <v>6446</v>
      </c>
      <c r="Q2743" t="s">
        <v>619</v>
      </c>
      <c r="R2743" t="s">
        <v>917</v>
      </c>
      <c r="S2743">
        <v>37</v>
      </c>
      <c r="T2743" s="29" t="str">
        <f t="shared" si="120"/>
        <v>2021.035B.R.Gracegardnervirinae.zip</v>
      </c>
      <c r="U2743" s="29" t="str">
        <f>HYPERLINK("https://ictv.global/taxonomy/taxondetails?taxnode_id=202312292","ictv.global=202312292")</f>
        <v>ictv.global=202312292</v>
      </c>
    </row>
    <row r="2744" spans="1:21">
      <c r="A2744">
        <v>2743</v>
      </c>
      <c r="B2744" s="30" t="s">
        <v>1587</v>
      </c>
      <c r="D2744" s="30" t="s">
        <v>1588</v>
      </c>
      <c r="F2744" s="30" t="s">
        <v>1591</v>
      </c>
      <c r="H2744" s="30" t="s">
        <v>1592</v>
      </c>
      <c r="M2744" s="30" t="s">
        <v>6404</v>
      </c>
      <c r="N2744" s="30" t="s">
        <v>1474</v>
      </c>
      <c r="P2744" s="30" t="s">
        <v>6447</v>
      </c>
      <c r="Q2744" t="s">
        <v>619</v>
      </c>
      <c r="R2744" t="s">
        <v>917</v>
      </c>
      <c r="S2744">
        <v>37</v>
      </c>
      <c r="T2744" s="29" t="str">
        <f t="shared" si="120"/>
        <v>2021.035B.R.Gracegardnervirinae.zip</v>
      </c>
      <c r="U2744" s="29" t="str">
        <f>HYPERLINK("https://ictv.global/taxonomy/taxondetails?taxnode_id=202312293","ictv.global=202312293")</f>
        <v>ictv.global=202312293</v>
      </c>
    </row>
    <row r="2745" spans="1:21">
      <c r="A2745">
        <v>2744</v>
      </c>
      <c r="B2745" s="30" t="s">
        <v>1587</v>
      </c>
      <c r="D2745" s="30" t="s">
        <v>1588</v>
      </c>
      <c r="F2745" s="30" t="s">
        <v>1591</v>
      </c>
      <c r="H2745" s="30" t="s">
        <v>1592</v>
      </c>
      <c r="M2745" s="30" t="s">
        <v>6404</v>
      </c>
      <c r="N2745" s="30" t="s">
        <v>1474</v>
      </c>
      <c r="P2745" s="30" t="s">
        <v>6448</v>
      </c>
      <c r="Q2745" t="s">
        <v>619</v>
      </c>
      <c r="R2745" t="s">
        <v>917</v>
      </c>
      <c r="S2745">
        <v>37</v>
      </c>
      <c r="T2745" s="29" t="str">
        <f t="shared" si="120"/>
        <v>2021.035B.R.Gracegardnervirinae.zip</v>
      </c>
      <c r="U2745" s="29" t="str">
        <f>HYPERLINK("https://ictv.global/taxonomy/taxondetails?taxnode_id=202312294","ictv.global=202312294")</f>
        <v>ictv.global=202312294</v>
      </c>
    </row>
    <row r="2746" spans="1:21">
      <c r="A2746">
        <v>2745</v>
      </c>
      <c r="B2746" s="30" t="s">
        <v>1587</v>
      </c>
      <c r="D2746" s="30" t="s">
        <v>1588</v>
      </c>
      <c r="F2746" s="30" t="s">
        <v>1591</v>
      </c>
      <c r="H2746" s="30" t="s">
        <v>1592</v>
      </c>
      <c r="M2746" s="30" t="s">
        <v>6404</v>
      </c>
      <c r="N2746" s="30" t="s">
        <v>1474</v>
      </c>
      <c r="P2746" s="30" t="s">
        <v>6449</v>
      </c>
      <c r="Q2746" t="s">
        <v>619</v>
      </c>
      <c r="R2746" t="s">
        <v>917</v>
      </c>
      <c r="S2746">
        <v>37</v>
      </c>
      <c r="T2746" s="29" t="str">
        <f t="shared" si="120"/>
        <v>2021.035B.R.Gracegardnervirinae.zip</v>
      </c>
      <c r="U2746" s="29" t="str">
        <f>HYPERLINK("https://ictv.global/taxonomy/taxondetails?taxnode_id=202312295","ictv.global=202312295")</f>
        <v>ictv.global=202312295</v>
      </c>
    </row>
    <row r="2747" spans="1:21">
      <c r="A2747">
        <v>2746</v>
      </c>
      <c r="B2747" s="30" t="s">
        <v>1587</v>
      </c>
      <c r="D2747" s="30" t="s">
        <v>1588</v>
      </c>
      <c r="F2747" s="30" t="s">
        <v>1591</v>
      </c>
      <c r="H2747" s="30" t="s">
        <v>1592</v>
      </c>
      <c r="M2747" s="30" t="s">
        <v>6404</v>
      </c>
      <c r="N2747" s="30" t="s">
        <v>1474</v>
      </c>
      <c r="P2747" s="30" t="s">
        <v>6450</v>
      </c>
      <c r="Q2747" t="s">
        <v>619</v>
      </c>
      <c r="R2747" t="s">
        <v>917</v>
      </c>
      <c r="S2747">
        <v>37</v>
      </c>
      <c r="T2747" s="29" t="str">
        <f t="shared" si="120"/>
        <v>2021.035B.R.Gracegardnervirinae.zip</v>
      </c>
      <c r="U2747" s="29" t="str">
        <f>HYPERLINK("https://ictv.global/taxonomy/taxondetails?taxnode_id=202312296","ictv.global=202312296")</f>
        <v>ictv.global=202312296</v>
      </c>
    </row>
    <row r="2748" spans="1:21">
      <c r="A2748">
        <v>2747</v>
      </c>
      <c r="B2748" s="30" t="s">
        <v>1587</v>
      </c>
      <c r="D2748" s="30" t="s">
        <v>1588</v>
      </c>
      <c r="F2748" s="30" t="s">
        <v>1591</v>
      </c>
      <c r="H2748" s="30" t="s">
        <v>1592</v>
      </c>
      <c r="M2748" s="30" t="s">
        <v>6404</v>
      </c>
      <c r="N2748" s="30" t="s">
        <v>1474</v>
      </c>
      <c r="P2748" s="30" t="s">
        <v>6451</v>
      </c>
      <c r="Q2748" t="s">
        <v>619</v>
      </c>
      <c r="R2748" t="s">
        <v>917</v>
      </c>
      <c r="S2748">
        <v>37</v>
      </c>
      <c r="T2748" s="29" t="str">
        <f t="shared" si="120"/>
        <v>2021.035B.R.Gracegardnervirinae.zip</v>
      </c>
      <c r="U2748" s="29" t="str">
        <f>HYPERLINK("https://ictv.global/taxonomy/taxondetails?taxnode_id=202312297","ictv.global=202312297")</f>
        <v>ictv.global=202312297</v>
      </c>
    </row>
    <row r="2749" spans="1:21">
      <c r="A2749">
        <v>2748</v>
      </c>
      <c r="B2749" s="30" t="s">
        <v>1587</v>
      </c>
      <c r="D2749" s="30" t="s">
        <v>1588</v>
      </c>
      <c r="F2749" s="30" t="s">
        <v>1591</v>
      </c>
      <c r="H2749" s="30" t="s">
        <v>1592</v>
      </c>
      <c r="M2749" s="30" t="s">
        <v>6404</v>
      </c>
      <c r="N2749" s="30" t="s">
        <v>1474</v>
      </c>
      <c r="P2749" s="30" t="s">
        <v>6452</v>
      </c>
      <c r="Q2749" t="s">
        <v>619</v>
      </c>
      <c r="R2749" t="s">
        <v>917</v>
      </c>
      <c r="S2749">
        <v>37</v>
      </c>
      <c r="T2749" s="29" t="str">
        <f t="shared" si="120"/>
        <v>2021.035B.R.Gracegardnervirinae.zip</v>
      </c>
      <c r="U2749" s="29" t="str">
        <f>HYPERLINK("https://ictv.global/taxonomy/taxondetails?taxnode_id=202312298","ictv.global=202312298")</f>
        <v>ictv.global=202312298</v>
      </c>
    </row>
    <row r="2750" spans="1:21">
      <c r="A2750">
        <v>2749</v>
      </c>
      <c r="B2750" s="30" t="s">
        <v>1587</v>
      </c>
      <c r="D2750" s="30" t="s">
        <v>1588</v>
      </c>
      <c r="F2750" s="30" t="s">
        <v>1591</v>
      </c>
      <c r="H2750" s="30" t="s">
        <v>1592</v>
      </c>
      <c r="M2750" s="30" t="s">
        <v>6404</v>
      </c>
      <c r="N2750" s="30" t="s">
        <v>1474</v>
      </c>
      <c r="P2750" s="30" t="s">
        <v>6453</v>
      </c>
      <c r="Q2750" t="s">
        <v>619</v>
      </c>
      <c r="R2750" t="s">
        <v>917</v>
      </c>
      <c r="S2750">
        <v>37</v>
      </c>
      <c r="T2750" s="29" t="str">
        <f t="shared" si="120"/>
        <v>2021.035B.R.Gracegardnervirinae.zip</v>
      </c>
      <c r="U2750" s="29" t="str">
        <f>HYPERLINK("https://ictv.global/taxonomy/taxondetails?taxnode_id=202312299","ictv.global=202312299")</f>
        <v>ictv.global=202312299</v>
      </c>
    </row>
    <row r="2751" spans="1:21">
      <c r="A2751">
        <v>2750</v>
      </c>
      <c r="B2751" s="30" t="s">
        <v>1587</v>
      </c>
      <c r="D2751" s="30" t="s">
        <v>1588</v>
      </c>
      <c r="F2751" s="30" t="s">
        <v>1591</v>
      </c>
      <c r="H2751" s="30" t="s">
        <v>1592</v>
      </c>
      <c r="M2751" s="30" t="s">
        <v>6404</v>
      </c>
      <c r="N2751" s="30" t="s">
        <v>1474</v>
      </c>
      <c r="P2751" s="30" t="s">
        <v>6454</v>
      </c>
      <c r="Q2751" t="s">
        <v>619</v>
      </c>
      <c r="R2751" t="s">
        <v>917</v>
      </c>
      <c r="S2751">
        <v>37</v>
      </c>
      <c r="T2751" s="29" t="str">
        <f t="shared" si="120"/>
        <v>2021.035B.R.Gracegardnervirinae.zip</v>
      </c>
      <c r="U2751" s="29" t="str">
        <f>HYPERLINK("https://ictv.global/taxonomy/taxondetails?taxnode_id=202312300","ictv.global=202312300")</f>
        <v>ictv.global=202312300</v>
      </c>
    </row>
    <row r="2752" spans="1:21">
      <c r="A2752">
        <v>2751</v>
      </c>
      <c r="B2752" s="30" t="s">
        <v>1587</v>
      </c>
      <c r="D2752" s="30" t="s">
        <v>1588</v>
      </c>
      <c r="F2752" s="30" t="s">
        <v>1591</v>
      </c>
      <c r="H2752" s="30" t="s">
        <v>1592</v>
      </c>
      <c r="M2752" s="30" t="s">
        <v>6404</v>
      </c>
      <c r="N2752" s="30" t="s">
        <v>1474</v>
      </c>
      <c r="P2752" s="30" t="s">
        <v>6455</v>
      </c>
      <c r="Q2752" t="s">
        <v>619</v>
      </c>
      <c r="R2752" t="s">
        <v>917</v>
      </c>
      <c r="S2752">
        <v>37</v>
      </c>
      <c r="T2752" s="29" t="str">
        <f t="shared" si="120"/>
        <v>2021.035B.R.Gracegardnervirinae.zip</v>
      </c>
      <c r="U2752" s="29" t="str">
        <f>HYPERLINK("https://ictv.global/taxonomy/taxondetails?taxnode_id=202312301","ictv.global=202312301")</f>
        <v>ictv.global=202312301</v>
      </c>
    </row>
    <row r="2753" spans="1:21">
      <c r="A2753">
        <v>2752</v>
      </c>
      <c r="B2753" s="30" t="s">
        <v>1587</v>
      </c>
      <c r="D2753" s="30" t="s">
        <v>1588</v>
      </c>
      <c r="F2753" s="30" t="s">
        <v>1591</v>
      </c>
      <c r="H2753" s="30" t="s">
        <v>1592</v>
      </c>
      <c r="M2753" s="30" t="s">
        <v>6404</v>
      </c>
      <c r="N2753" s="30" t="s">
        <v>1474</v>
      </c>
      <c r="P2753" s="30" t="s">
        <v>6456</v>
      </c>
      <c r="Q2753" t="s">
        <v>619</v>
      </c>
      <c r="R2753" t="s">
        <v>917</v>
      </c>
      <c r="S2753">
        <v>37</v>
      </c>
      <c r="T2753" s="29" t="str">
        <f t="shared" si="120"/>
        <v>2021.035B.R.Gracegardnervirinae.zip</v>
      </c>
      <c r="U2753" s="29" t="str">
        <f>HYPERLINK("https://ictv.global/taxonomy/taxondetails?taxnode_id=202312302","ictv.global=202312302")</f>
        <v>ictv.global=202312302</v>
      </c>
    </row>
    <row r="2754" spans="1:21">
      <c r="A2754">
        <v>2753</v>
      </c>
      <c r="B2754" s="30" t="s">
        <v>1587</v>
      </c>
      <c r="D2754" s="30" t="s">
        <v>1588</v>
      </c>
      <c r="F2754" s="30" t="s">
        <v>1591</v>
      </c>
      <c r="H2754" s="30" t="s">
        <v>1592</v>
      </c>
      <c r="M2754" s="30" t="s">
        <v>6404</v>
      </c>
      <c r="N2754" s="30" t="s">
        <v>1474</v>
      </c>
      <c r="P2754" s="30" t="s">
        <v>6457</v>
      </c>
      <c r="Q2754" t="s">
        <v>619</v>
      </c>
      <c r="R2754" t="s">
        <v>917</v>
      </c>
      <c r="S2754">
        <v>37</v>
      </c>
      <c r="T2754" s="29" t="str">
        <f t="shared" si="120"/>
        <v>2021.035B.R.Gracegardnervirinae.zip</v>
      </c>
      <c r="U2754" s="29" t="str">
        <f>HYPERLINK("https://ictv.global/taxonomy/taxondetails?taxnode_id=202312303","ictv.global=202312303")</f>
        <v>ictv.global=202312303</v>
      </c>
    </row>
    <row r="2755" spans="1:21">
      <c r="A2755">
        <v>2754</v>
      </c>
      <c r="B2755" s="30" t="s">
        <v>1587</v>
      </c>
      <c r="D2755" s="30" t="s">
        <v>1588</v>
      </c>
      <c r="F2755" s="30" t="s">
        <v>1591</v>
      </c>
      <c r="H2755" s="30" t="s">
        <v>1592</v>
      </c>
      <c r="M2755" s="30" t="s">
        <v>6404</v>
      </c>
      <c r="N2755" s="30" t="s">
        <v>1474</v>
      </c>
      <c r="P2755" s="30" t="s">
        <v>6458</v>
      </c>
      <c r="Q2755" t="s">
        <v>619</v>
      </c>
      <c r="R2755" t="s">
        <v>917</v>
      </c>
      <c r="S2755">
        <v>37</v>
      </c>
      <c r="T2755" s="29" t="str">
        <f t="shared" si="120"/>
        <v>2021.035B.R.Gracegardnervirinae.zip</v>
      </c>
      <c r="U2755" s="29" t="str">
        <f>HYPERLINK("https://ictv.global/taxonomy/taxondetails?taxnode_id=202312304","ictv.global=202312304")</f>
        <v>ictv.global=202312304</v>
      </c>
    </row>
    <row r="2756" spans="1:21">
      <c r="A2756">
        <v>2755</v>
      </c>
      <c r="B2756" s="30" t="s">
        <v>1587</v>
      </c>
      <c r="D2756" s="30" t="s">
        <v>1588</v>
      </c>
      <c r="F2756" s="30" t="s">
        <v>1591</v>
      </c>
      <c r="H2756" s="30" t="s">
        <v>1592</v>
      </c>
      <c r="M2756" s="30" t="s">
        <v>6404</v>
      </c>
      <c r="N2756" s="30" t="s">
        <v>1474</v>
      </c>
      <c r="P2756" s="30" t="s">
        <v>6459</v>
      </c>
      <c r="Q2756" t="s">
        <v>619</v>
      </c>
      <c r="R2756" t="s">
        <v>917</v>
      </c>
      <c r="S2756">
        <v>37</v>
      </c>
      <c r="T2756" s="29" t="str">
        <f t="shared" si="120"/>
        <v>2021.035B.R.Gracegardnervirinae.zip</v>
      </c>
      <c r="U2756" s="29" t="str">
        <f>HYPERLINK("https://ictv.global/taxonomy/taxondetails?taxnode_id=202312305","ictv.global=202312305")</f>
        <v>ictv.global=202312305</v>
      </c>
    </row>
    <row r="2757" spans="1:21">
      <c r="A2757">
        <v>2756</v>
      </c>
      <c r="B2757" s="30" t="s">
        <v>1587</v>
      </c>
      <c r="D2757" s="30" t="s">
        <v>1588</v>
      </c>
      <c r="F2757" s="30" t="s">
        <v>1591</v>
      </c>
      <c r="H2757" s="30" t="s">
        <v>1592</v>
      </c>
      <c r="M2757" s="30" t="s">
        <v>6404</v>
      </c>
      <c r="N2757" s="30" t="s">
        <v>1474</v>
      </c>
      <c r="P2757" s="30" t="s">
        <v>6460</v>
      </c>
      <c r="Q2757" t="s">
        <v>619</v>
      </c>
      <c r="R2757" t="s">
        <v>917</v>
      </c>
      <c r="S2757">
        <v>37</v>
      </c>
      <c r="T2757" s="29" t="str">
        <f t="shared" si="120"/>
        <v>2021.035B.R.Gracegardnervirinae.zip</v>
      </c>
      <c r="U2757" s="29" t="str">
        <f>HYPERLINK("https://ictv.global/taxonomy/taxondetails?taxnode_id=202312306","ictv.global=202312306")</f>
        <v>ictv.global=202312306</v>
      </c>
    </row>
    <row r="2758" spans="1:21">
      <c r="A2758">
        <v>2757</v>
      </c>
      <c r="B2758" s="30" t="s">
        <v>1587</v>
      </c>
      <c r="D2758" s="30" t="s">
        <v>1588</v>
      </c>
      <c r="F2758" s="30" t="s">
        <v>1591</v>
      </c>
      <c r="H2758" s="30" t="s">
        <v>1592</v>
      </c>
      <c r="M2758" s="30" t="s">
        <v>6404</v>
      </c>
      <c r="N2758" s="30" t="s">
        <v>1474</v>
      </c>
      <c r="P2758" s="30" t="s">
        <v>6461</v>
      </c>
      <c r="Q2758" t="s">
        <v>619</v>
      </c>
      <c r="R2758" t="s">
        <v>917</v>
      </c>
      <c r="S2758">
        <v>37</v>
      </c>
      <c r="T2758" s="29" t="str">
        <f t="shared" si="120"/>
        <v>2021.035B.R.Gracegardnervirinae.zip</v>
      </c>
      <c r="U2758" s="29" t="str">
        <f>HYPERLINK("https://ictv.global/taxonomy/taxondetails?taxnode_id=202312307","ictv.global=202312307")</f>
        <v>ictv.global=202312307</v>
      </c>
    </row>
    <row r="2759" spans="1:21">
      <c r="A2759">
        <v>2758</v>
      </c>
      <c r="B2759" s="30" t="s">
        <v>1587</v>
      </c>
      <c r="D2759" s="30" t="s">
        <v>1588</v>
      </c>
      <c r="F2759" s="30" t="s">
        <v>1591</v>
      </c>
      <c r="H2759" s="30" t="s">
        <v>1592</v>
      </c>
      <c r="M2759" s="30" t="s">
        <v>6404</v>
      </c>
      <c r="N2759" s="30" t="s">
        <v>1474</v>
      </c>
      <c r="P2759" s="30" t="s">
        <v>6462</v>
      </c>
      <c r="Q2759" t="s">
        <v>619</v>
      </c>
      <c r="R2759" t="s">
        <v>917</v>
      </c>
      <c r="S2759">
        <v>37</v>
      </c>
      <c r="T2759" s="29" t="str">
        <f t="shared" si="120"/>
        <v>2021.035B.R.Gracegardnervirinae.zip</v>
      </c>
      <c r="U2759" s="29" t="str">
        <f>HYPERLINK("https://ictv.global/taxonomy/taxondetails?taxnode_id=202312308","ictv.global=202312308")</f>
        <v>ictv.global=202312308</v>
      </c>
    </row>
    <row r="2760" spans="1:21">
      <c r="A2760">
        <v>2759</v>
      </c>
      <c r="B2760" s="30" t="s">
        <v>1587</v>
      </c>
      <c r="D2760" s="30" t="s">
        <v>1588</v>
      </c>
      <c r="F2760" s="30" t="s">
        <v>1591</v>
      </c>
      <c r="H2760" s="30" t="s">
        <v>1592</v>
      </c>
      <c r="M2760" s="30" t="s">
        <v>6404</v>
      </c>
      <c r="N2760" s="30" t="s">
        <v>1474</v>
      </c>
      <c r="P2760" s="30" t="s">
        <v>6463</v>
      </c>
      <c r="Q2760" t="s">
        <v>619</v>
      </c>
      <c r="R2760" t="s">
        <v>917</v>
      </c>
      <c r="S2760">
        <v>37</v>
      </c>
      <c r="T2760" s="29" t="str">
        <f t="shared" si="120"/>
        <v>2021.035B.R.Gracegardnervirinae.zip</v>
      </c>
      <c r="U2760" s="29" t="str">
        <f>HYPERLINK("https://ictv.global/taxonomy/taxondetails?taxnode_id=202312309","ictv.global=202312309")</f>
        <v>ictv.global=202312309</v>
      </c>
    </row>
    <row r="2761" spans="1:21">
      <c r="A2761">
        <v>2760</v>
      </c>
      <c r="B2761" s="30" t="s">
        <v>1587</v>
      </c>
      <c r="D2761" s="30" t="s">
        <v>1588</v>
      </c>
      <c r="F2761" s="30" t="s">
        <v>1591</v>
      </c>
      <c r="H2761" s="30" t="s">
        <v>1592</v>
      </c>
      <c r="M2761" s="30" t="s">
        <v>6404</v>
      </c>
      <c r="N2761" s="30" t="s">
        <v>1474</v>
      </c>
      <c r="P2761" s="30" t="s">
        <v>6464</v>
      </c>
      <c r="Q2761" t="s">
        <v>619</v>
      </c>
      <c r="R2761" t="s">
        <v>917</v>
      </c>
      <c r="S2761">
        <v>37</v>
      </c>
      <c r="T2761" s="29" t="str">
        <f t="shared" si="120"/>
        <v>2021.035B.R.Gracegardnervirinae.zip</v>
      </c>
      <c r="U2761" s="29" t="str">
        <f>HYPERLINK("https://ictv.global/taxonomy/taxondetails?taxnode_id=202312310","ictv.global=202312310")</f>
        <v>ictv.global=202312310</v>
      </c>
    </row>
    <row r="2762" spans="1:21">
      <c r="A2762">
        <v>2761</v>
      </c>
      <c r="B2762" s="30" t="s">
        <v>1587</v>
      </c>
      <c r="D2762" s="30" t="s">
        <v>1588</v>
      </c>
      <c r="F2762" s="30" t="s">
        <v>1591</v>
      </c>
      <c r="H2762" s="30" t="s">
        <v>1592</v>
      </c>
      <c r="M2762" s="30" t="s">
        <v>6404</v>
      </c>
      <c r="N2762" s="30" t="s">
        <v>1474</v>
      </c>
      <c r="P2762" s="30" t="s">
        <v>6465</v>
      </c>
      <c r="Q2762" t="s">
        <v>619</v>
      </c>
      <c r="R2762" t="s">
        <v>917</v>
      </c>
      <c r="S2762">
        <v>37</v>
      </c>
      <c r="T2762" s="29" t="str">
        <f t="shared" si="120"/>
        <v>2021.035B.R.Gracegardnervirinae.zip</v>
      </c>
      <c r="U2762" s="29" t="str">
        <f>HYPERLINK("https://ictv.global/taxonomy/taxondetails?taxnode_id=202312311","ictv.global=202312311")</f>
        <v>ictv.global=202312311</v>
      </c>
    </row>
    <row r="2763" spans="1:21">
      <c r="A2763">
        <v>2762</v>
      </c>
      <c r="B2763" s="30" t="s">
        <v>1587</v>
      </c>
      <c r="D2763" s="30" t="s">
        <v>1588</v>
      </c>
      <c r="F2763" s="30" t="s">
        <v>1591</v>
      </c>
      <c r="H2763" s="30" t="s">
        <v>1592</v>
      </c>
      <c r="M2763" s="30" t="s">
        <v>6404</v>
      </c>
      <c r="N2763" s="30" t="s">
        <v>1474</v>
      </c>
      <c r="P2763" s="30" t="s">
        <v>6466</v>
      </c>
      <c r="Q2763" t="s">
        <v>619</v>
      </c>
      <c r="R2763" t="s">
        <v>917</v>
      </c>
      <c r="S2763">
        <v>37</v>
      </c>
      <c r="T2763" s="29" t="str">
        <f t="shared" si="120"/>
        <v>2021.035B.R.Gracegardnervirinae.zip</v>
      </c>
      <c r="U2763" s="29" t="str">
        <f>HYPERLINK("https://ictv.global/taxonomy/taxondetails?taxnode_id=202312312","ictv.global=202312312")</f>
        <v>ictv.global=202312312</v>
      </c>
    </row>
    <row r="2764" spans="1:21">
      <c r="A2764">
        <v>2763</v>
      </c>
      <c r="B2764" s="30" t="s">
        <v>1587</v>
      </c>
      <c r="D2764" s="30" t="s">
        <v>1588</v>
      </c>
      <c r="F2764" s="30" t="s">
        <v>1591</v>
      </c>
      <c r="H2764" s="30" t="s">
        <v>1592</v>
      </c>
      <c r="M2764" s="30" t="s">
        <v>6404</v>
      </c>
      <c r="N2764" s="30" t="s">
        <v>1474</v>
      </c>
      <c r="P2764" s="30" t="s">
        <v>6467</v>
      </c>
      <c r="Q2764" t="s">
        <v>619</v>
      </c>
      <c r="R2764" t="s">
        <v>917</v>
      </c>
      <c r="S2764">
        <v>37</v>
      </c>
      <c r="T2764" s="29" t="str">
        <f t="shared" si="120"/>
        <v>2021.035B.R.Gracegardnervirinae.zip</v>
      </c>
      <c r="U2764" s="29" t="str">
        <f>HYPERLINK("https://ictv.global/taxonomy/taxondetails?taxnode_id=202312313","ictv.global=202312313")</f>
        <v>ictv.global=202312313</v>
      </c>
    </row>
    <row r="2765" spans="1:21">
      <c r="A2765">
        <v>2764</v>
      </c>
      <c r="B2765" s="30" t="s">
        <v>1587</v>
      </c>
      <c r="D2765" s="30" t="s">
        <v>1588</v>
      </c>
      <c r="F2765" s="30" t="s">
        <v>1591</v>
      </c>
      <c r="H2765" s="30" t="s">
        <v>1592</v>
      </c>
      <c r="M2765" s="30" t="s">
        <v>6404</v>
      </c>
      <c r="N2765" s="30" t="s">
        <v>1474</v>
      </c>
      <c r="P2765" s="30" t="s">
        <v>6468</v>
      </c>
      <c r="Q2765" t="s">
        <v>619</v>
      </c>
      <c r="R2765" t="s">
        <v>917</v>
      </c>
      <c r="S2765">
        <v>37</v>
      </c>
      <c r="T2765" s="29" t="str">
        <f t="shared" si="120"/>
        <v>2021.035B.R.Gracegardnervirinae.zip</v>
      </c>
      <c r="U2765" s="29" t="str">
        <f>HYPERLINK("https://ictv.global/taxonomy/taxondetails?taxnode_id=202312314","ictv.global=202312314")</f>
        <v>ictv.global=202312314</v>
      </c>
    </row>
    <row r="2766" spans="1:21">
      <c r="A2766">
        <v>2765</v>
      </c>
      <c r="B2766" s="30" t="s">
        <v>1587</v>
      </c>
      <c r="D2766" s="30" t="s">
        <v>1588</v>
      </c>
      <c r="F2766" s="30" t="s">
        <v>1591</v>
      </c>
      <c r="H2766" s="30" t="s">
        <v>1592</v>
      </c>
      <c r="M2766" s="30" t="s">
        <v>6404</v>
      </c>
      <c r="N2766" s="30" t="s">
        <v>1474</v>
      </c>
      <c r="P2766" s="30" t="s">
        <v>6469</v>
      </c>
      <c r="Q2766" t="s">
        <v>619</v>
      </c>
      <c r="R2766" t="s">
        <v>917</v>
      </c>
      <c r="S2766">
        <v>37</v>
      </c>
      <c r="T2766" s="29" t="str">
        <f t="shared" si="120"/>
        <v>2021.035B.R.Gracegardnervirinae.zip</v>
      </c>
      <c r="U2766" s="29" t="str">
        <f>HYPERLINK("https://ictv.global/taxonomy/taxondetails?taxnode_id=202312315","ictv.global=202312315")</f>
        <v>ictv.global=202312315</v>
      </c>
    </row>
    <row r="2767" spans="1:21">
      <c r="A2767">
        <v>2766</v>
      </c>
      <c r="B2767" s="30" t="s">
        <v>1587</v>
      </c>
      <c r="D2767" s="30" t="s">
        <v>1588</v>
      </c>
      <c r="F2767" s="30" t="s">
        <v>1591</v>
      </c>
      <c r="H2767" s="30" t="s">
        <v>1592</v>
      </c>
      <c r="M2767" s="30" t="s">
        <v>6404</v>
      </c>
      <c r="N2767" s="30" t="s">
        <v>1474</v>
      </c>
      <c r="P2767" s="30" t="s">
        <v>6470</v>
      </c>
      <c r="Q2767" t="s">
        <v>619</v>
      </c>
      <c r="R2767" t="s">
        <v>917</v>
      </c>
      <c r="S2767">
        <v>37</v>
      </c>
      <c r="T2767" s="29" t="str">
        <f t="shared" si="120"/>
        <v>2021.035B.R.Gracegardnervirinae.zip</v>
      </c>
      <c r="U2767" s="29" t="str">
        <f>HYPERLINK("https://ictv.global/taxonomy/taxondetails?taxnode_id=202312316","ictv.global=202312316")</f>
        <v>ictv.global=202312316</v>
      </c>
    </row>
    <row r="2768" spans="1:21">
      <c r="A2768">
        <v>2767</v>
      </c>
      <c r="B2768" s="30" t="s">
        <v>1587</v>
      </c>
      <c r="D2768" s="30" t="s">
        <v>1588</v>
      </c>
      <c r="F2768" s="30" t="s">
        <v>1591</v>
      </c>
      <c r="H2768" s="30" t="s">
        <v>1592</v>
      </c>
      <c r="M2768" s="30" t="s">
        <v>6404</v>
      </c>
      <c r="N2768" s="30" t="s">
        <v>1474</v>
      </c>
      <c r="P2768" s="30" t="s">
        <v>6471</v>
      </c>
      <c r="Q2768" t="s">
        <v>619</v>
      </c>
      <c r="R2768" t="s">
        <v>917</v>
      </c>
      <c r="S2768">
        <v>37</v>
      </c>
      <c r="T2768" s="29" t="str">
        <f t="shared" si="120"/>
        <v>2021.035B.R.Gracegardnervirinae.zip</v>
      </c>
      <c r="U2768" s="29" t="str">
        <f>HYPERLINK("https://ictv.global/taxonomy/taxondetails?taxnode_id=202312317","ictv.global=202312317")</f>
        <v>ictv.global=202312317</v>
      </c>
    </row>
    <row r="2769" spans="1:21">
      <c r="A2769">
        <v>2768</v>
      </c>
      <c r="B2769" s="30" t="s">
        <v>1587</v>
      </c>
      <c r="D2769" s="30" t="s">
        <v>1588</v>
      </c>
      <c r="F2769" s="30" t="s">
        <v>1591</v>
      </c>
      <c r="H2769" s="30" t="s">
        <v>1592</v>
      </c>
      <c r="M2769" s="30" t="s">
        <v>6404</v>
      </c>
      <c r="N2769" s="30" t="s">
        <v>1474</v>
      </c>
      <c r="P2769" s="30" t="s">
        <v>6472</v>
      </c>
      <c r="Q2769" t="s">
        <v>619</v>
      </c>
      <c r="R2769" t="s">
        <v>917</v>
      </c>
      <c r="S2769">
        <v>37</v>
      </c>
      <c r="T2769" s="29" t="str">
        <f t="shared" si="120"/>
        <v>2021.035B.R.Gracegardnervirinae.zip</v>
      </c>
      <c r="U2769" s="29" t="str">
        <f>HYPERLINK("https://ictv.global/taxonomy/taxondetails?taxnode_id=202312318","ictv.global=202312318")</f>
        <v>ictv.global=202312318</v>
      </c>
    </row>
    <row r="2770" spans="1:21">
      <c r="A2770">
        <v>2769</v>
      </c>
      <c r="B2770" s="30" t="s">
        <v>1587</v>
      </c>
      <c r="D2770" s="30" t="s">
        <v>1588</v>
      </c>
      <c r="F2770" s="30" t="s">
        <v>1591</v>
      </c>
      <c r="H2770" s="30" t="s">
        <v>1592</v>
      </c>
      <c r="M2770" s="30" t="s">
        <v>6404</v>
      </c>
      <c r="N2770" s="30" t="s">
        <v>1474</v>
      </c>
      <c r="P2770" s="30" t="s">
        <v>6473</v>
      </c>
      <c r="Q2770" t="s">
        <v>619</v>
      </c>
      <c r="R2770" t="s">
        <v>917</v>
      </c>
      <c r="S2770">
        <v>37</v>
      </c>
      <c r="T2770" s="29" t="str">
        <f t="shared" si="120"/>
        <v>2021.035B.R.Gracegardnervirinae.zip</v>
      </c>
      <c r="U2770" s="29" t="str">
        <f>HYPERLINK("https://ictv.global/taxonomy/taxondetails?taxnode_id=202312319","ictv.global=202312319")</f>
        <v>ictv.global=202312319</v>
      </c>
    </row>
    <row r="2771" spans="1:21">
      <c r="A2771">
        <v>2770</v>
      </c>
      <c r="B2771" s="30" t="s">
        <v>1587</v>
      </c>
      <c r="D2771" s="30" t="s">
        <v>1588</v>
      </c>
      <c r="F2771" s="30" t="s">
        <v>1591</v>
      </c>
      <c r="H2771" s="30" t="s">
        <v>1592</v>
      </c>
      <c r="M2771" s="30" t="s">
        <v>6404</v>
      </c>
      <c r="N2771" s="30" t="s">
        <v>1474</v>
      </c>
      <c r="P2771" s="30" t="s">
        <v>6474</v>
      </c>
      <c r="Q2771" t="s">
        <v>619</v>
      </c>
      <c r="R2771" t="s">
        <v>917</v>
      </c>
      <c r="S2771">
        <v>37</v>
      </c>
      <c r="T2771" s="29" t="str">
        <f t="shared" ref="T2771:T2788" si="121">HYPERLINK("https://ictv.global/ictv/proposals/2021.035B.R.Gracegardnervirinae.zip","2021.035B.R.Gracegardnervirinae.zip")</f>
        <v>2021.035B.R.Gracegardnervirinae.zip</v>
      </c>
      <c r="U2771" s="29" t="str">
        <f>HYPERLINK("https://ictv.global/taxonomy/taxondetails?taxnode_id=202312320","ictv.global=202312320")</f>
        <v>ictv.global=202312320</v>
      </c>
    </row>
    <row r="2772" spans="1:21">
      <c r="A2772">
        <v>2771</v>
      </c>
      <c r="B2772" s="30" t="s">
        <v>1587</v>
      </c>
      <c r="D2772" s="30" t="s">
        <v>1588</v>
      </c>
      <c r="F2772" s="30" t="s">
        <v>1591</v>
      </c>
      <c r="H2772" s="30" t="s">
        <v>1592</v>
      </c>
      <c r="M2772" s="30" t="s">
        <v>6404</v>
      </c>
      <c r="N2772" s="30" t="s">
        <v>1474</v>
      </c>
      <c r="P2772" s="30" t="s">
        <v>6475</v>
      </c>
      <c r="Q2772" t="s">
        <v>619</v>
      </c>
      <c r="R2772" t="s">
        <v>917</v>
      </c>
      <c r="S2772">
        <v>37</v>
      </c>
      <c r="T2772" s="29" t="str">
        <f t="shared" si="121"/>
        <v>2021.035B.R.Gracegardnervirinae.zip</v>
      </c>
      <c r="U2772" s="29" t="str">
        <f>HYPERLINK("https://ictv.global/taxonomy/taxondetails?taxnode_id=202312321","ictv.global=202312321")</f>
        <v>ictv.global=202312321</v>
      </c>
    </row>
    <row r="2773" spans="1:21">
      <c r="A2773">
        <v>2772</v>
      </c>
      <c r="B2773" s="30" t="s">
        <v>1587</v>
      </c>
      <c r="D2773" s="30" t="s">
        <v>1588</v>
      </c>
      <c r="F2773" s="30" t="s">
        <v>1591</v>
      </c>
      <c r="H2773" s="30" t="s">
        <v>1592</v>
      </c>
      <c r="M2773" s="30" t="s">
        <v>6404</v>
      </c>
      <c r="N2773" s="30" t="s">
        <v>1474</v>
      </c>
      <c r="P2773" s="30" t="s">
        <v>6476</v>
      </c>
      <c r="Q2773" t="s">
        <v>619</v>
      </c>
      <c r="R2773" t="s">
        <v>917</v>
      </c>
      <c r="S2773">
        <v>37</v>
      </c>
      <c r="T2773" s="29" t="str">
        <f t="shared" si="121"/>
        <v>2021.035B.R.Gracegardnervirinae.zip</v>
      </c>
      <c r="U2773" s="29" t="str">
        <f>HYPERLINK("https://ictv.global/taxonomy/taxondetails?taxnode_id=202312322","ictv.global=202312322")</f>
        <v>ictv.global=202312322</v>
      </c>
    </row>
    <row r="2774" spans="1:21">
      <c r="A2774">
        <v>2773</v>
      </c>
      <c r="B2774" s="30" t="s">
        <v>1587</v>
      </c>
      <c r="D2774" s="30" t="s">
        <v>1588</v>
      </c>
      <c r="F2774" s="30" t="s">
        <v>1591</v>
      </c>
      <c r="H2774" s="30" t="s">
        <v>1592</v>
      </c>
      <c r="M2774" s="30" t="s">
        <v>6404</v>
      </c>
      <c r="N2774" s="30" t="s">
        <v>1474</v>
      </c>
      <c r="P2774" s="30" t="s">
        <v>6477</v>
      </c>
      <c r="Q2774" t="s">
        <v>619</v>
      </c>
      <c r="R2774" t="s">
        <v>917</v>
      </c>
      <c r="S2774">
        <v>37</v>
      </c>
      <c r="T2774" s="29" t="str">
        <f t="shared" si="121"/>
        <v>2021.035B.R.Gracegardnervirinae.zip</v>
      </c>
      <c r="U2774" s="29" t="str">
        <f>HYPERLINK("https://ictv.global/taxonomy/taxondetails?taxnode_id=202312323","ictv.global=202312323")</f>
        <v>ictv.global=202312323</v>
      </c>
    </row>
    <row r="2775" spans="1:21">
      <c r="A2775">
        <v>2774</v>
      </c>
      <c r="B2775" s="30" t="s">
        <v>1587</v>
      </c>
      <c r="D2775" s="30" t="s">
        <v>1588</v>
      </c>
      <c r="F2775" s="30" t="s">
        <v>1591</v>
      </c>
      <c r="H2775" s="30" t="s">
        <v>1592</v>
      </c>
      <c r="M2775" s="30" t="s">
        <v>6404</v>
      </c>
      <c r="N2775" s="30" t="s">
        <v>1474</v>
      </c>
      <c r="P2775" s="30" t="s">
        <v>6478</v>
      </c>
      <c r="Q2775" t="s">
        <v>619</v>
      </c>
      <c r="R2775" t="s">
        <v>917</v>
      </c>
      <c r="S2775">
        <v>37</v>
      </c>
      <c r="T2775" s="29" t="str">
        <f t="shared" si="121"/>
        <v>2021.035B.R.Gracegardnervirinae.zip</v>
      </c>
      <c r="U2775" s="29" t="str">
        <f>HYPERLINK("https://ictv.global/taxonomy/taxondetails?taxnode_id=202312324","ictv.global=202312324")</f>
        <v>ictv.global=202312324</v>
      </c>
    </row>
    <row r="2776" spans="1:21">
      <c r="A2776">
        <v>2775</v>
      </c>
      <c r="B2776" s="30" t="s">
        <v>1587</v>
      </c>
      <c r="D2776" s="30" t="s">
        <v>1588</v>
      </c>
      <c r="F2776" s="30" t="s">
        <v>1591</v>
      </c>
      <c r="H2776" s="30" t="s">
        <v>1592</v>
      </c>
      <c r="M2776" s="30" t="s">
        <v>6404</v>
      </c>
      <c r="N2776" s="30" t="s">
        <v>1474</v>
      </c>
      <c r="P2776" s="30" t="s">
        <v>6479</v>
      </c>
      <c r="Q2776" t="s">
        <v>619</v>
      </c>
      <c r="R2776" t="s">
        <v>917</v>
      </c>
      <c r="S2776">
        <v>37</v>
      </c>
      <c r="T2776" s="29" t="str">
        <f t="shared" si="121"/>
        <v>2021.035B.R.Gracegardnervirinae.zip</v>
      </c>
      <c r="U2776" s="29" t="str">
        <f>HYPERLINK("https://ictv.global/taxonomy/taxondetails?taxnode_id=202312325","ictv.global=202312325")</f>
        <v>ictv.global=202312325</v>
      </c>
    </row>
    <row r="2777" spans="1:21">
      <c r="A2777">
        <v>2776</v>
      </c>
      <c r="B2777" s="30" t="s">
        <v>1587</v>
      </c>
      <c r="D2777" s="30" t="s">
        <v>1588</v>
      </c>
      <c r="F2777" s="30" t="s">
        <v>1591</v>
      </c>
      <c r="H2777" s="30" t="s">
        <v>1592</v>
      </c>
      <c r="M2777" s="30" t="s">
        <v>6404</v>
      </c>
      <c r="N2777" s="30" t="s">
        <v>1474</v>
      </c>
      <c r="P2777" s="30" t="s">
        <v>6480</v>
      </c>
      <c r="Q2777" t="s">
        <v>619</v>
      </c>
      <c r="R2777" t="s">
        <v>917</v>
      </c>
      <c r="S2777">
        <v>37</v>
      </c>
      <c r="T2777" s="29" t="str">
        <f t="shared" si="121"/>
        <v>2021.035B.R.Gracegardnervirinae.zip</v>
      </c>
      <c r="U2777" s="29" t="str">
        <f>HYPERLINK("https://ictv.global/taxonomy/taxondetails?taxnode_id=202312326","ictv.global=202312326")</f>
        <v>ictv.global=202312326</v>
      </c>
    </row>
    <row r="2778" spans="1:21">
      <c r="A2778">
        <v>2777</v>
      </c>
      <c r="B2778" s="30" t="s">
        <v>1587</v>
      </c>
      <c r="D2778" s="30" t="s">
        <v>1588</v>
      </c>
      <c r="F2778" s="30" t="s">
        <v>1591</v>
      </c>
      <c r="H2778" s="30" t="s">
        <v>1592</v>
      </c>
      <c r="M2778" s="30" t="s">
        <v>6404</v>
      </c>
      <c r="N2778" s="30" t="s">
        <v>1474</v>
      </c>
      <c r="P2778" s="30" t="s">
        <v>6481</v>
      </c>
      <c r="Q2778" t="s">
        <v>619</v>
      </c>
      <c r="R2778" t="s">
        <v>917</v>
      </c>
      <c r="S2778">
        <v>37</v>
      </c>
      <c r="T2778" s="29" t="str">
        <f t="shared" si="121"/>
        <v>2021.035B.R.Gracegardnervirinae.zip</v>
      </c>
      <c r="U2778" s="29" t="str">
        <f>HYPERLINK("https://ictv.global/taxonomy/taxondetails?taxnode_id=202312327","ictv.global=202312327")</f>
        <v>ictv.global=202312327</v>
      </c>
    </row>
    <row r="2779" spans="1:21">
      <c r="A2779">
        <v>2778</v>
      </c>
      <c r="B2779" s="30" t="s">
        <v>1587</v>
      </c>
      <c r="D2779" s="30" t="s">
        <v>1588</v>
      </c>
      <c r="F2779" s="30" t="s">
        <v>1591</v>
      </c>
      <c r="H2779" s="30" t="s">
        <v>1592</v>
      </c>
      <c r="M2779" s="30" t="s">
        <v>6404</v>
      </c>
      <c r="N2779" s="30" t="s">
        <v>1474</v>
      </c>
      <c r="P2779" s="30" t="s">
        <v>6482</v>
      </c>
      <c r="Q2779" t="s">
        <v>619</v>
      </c>
      <c r="R2779" t="s">
        <v>917</v>
      </c>
      <c r="S2779">
        <v>37</v>
      </c>
      <c r="T2779" s="29" t="str">
        <f t="shared" si="121"/>
        <v>2021.035B.R.Gracegardnervirinae.zip</v>
      </c>
      <c r="U2779" s="29" t="str">
        <f>HYPERLINK("https://ictv.global/taxonomy/taxondetails?taxnode_id=202312328","ictv.global=202312328")</f>
        <v>ictv.global=202312328</v>
      </c>
    </row>
    <row r="2780" spans="1:21">
      <c r="A2780">
        <v>2779</v>
      </c>
      <c r="B2780" s="30" t="s">
        <v>1587</v>
      </c>
      <c r="D2780" s="30" t="s">
        <v>1588</v>
      </c>
      <c r="F2780" s="30" t="s">
        <v>1591</v>
      </c>
      <c r="H2780" s="30" t="s">
        <v>1592</v>
      </c>
      <c r="M2780" s="30" t="s">
        <v>6404</v>
      </c>
      <c r="N2780" s="30" t="s">
        <v>1474</v>
      </c>
      <c r="P2780" s="30" t="s">
        <v>6483</v>
      </c>
      <c r="Q2780" t="s">
        <v>619</v>
      </c>
      <c r="R2780" t="s">
        <v>917</v>
      </c>
      <c r="S2780">
        <v>37</v>
      </c>
      <c r="T2780" s="29" t="str">
        <f t="shared" si="121"/>
        <v>2021.035B.R.Gracegardnervirinae.zip</v>
      </c>
      <c r="U2780" s="29" t="str">
        <f>HYPERLINK("https://ictv.global/taxonomy/taxondetails?taxnode_id=202312329","ictv.global=202312329")</f>
        <v>ictv.global=202312329</v>
      </c>
    </row>
    <row r="2781" spans="1:21">
      <c r="A2781">
        <v>2780</v>
      </c>
      <c r="B2781" s="30" t="s">
        <v>1587</v>
      </c>
      <c r="D2781" s="30" t="s">
        <v>1588</v>
      </c>
      <c r="F2781" s="30" t="s">
        <v>1591</v>
      </c>
      <c r="H2781" s="30" t="s">
        <v>1592</v>
      </c>
      <c r="M2781" s="30" t="s">
        <v>6404</v>
      </c>
      <c r="N2781" s="30" t="s">
        <v>1474</v>
      </c>
      <c r="P2781" s="30" t="s">
        <v>6484</v>
      </c>
      <c r="Q2781" t="s">
        <v>619</v>
      </c>
      <c r="R2781" t="s">
        <v>917</v>
      </c>
      <c r="S2781">
        <v>37</v>
      </c>
      <c r="T2781" s="29" t="str">
        <f t="shared" si="121"/>
        <v>2021.035B.R.Gracegardnervirinae.zip</v>
      </c>
      <c r="U2781" s="29" t="str">
        <f>HYPERLINK("https://ictv.global/taxonomy/taxondetails?taxnode_id=202312330","ictv.global=202312330")</f>
        <v>ictv.global=202312330</v>
      </c>
    </row>
    <row r="2782" spans="1:21">
      <c r="A2782">
        <v>2781</v>
      </c>
      <c r="B2782" s="30" t="s">
        <v>1587</v>
      </c>
      <c r="D2782" s="30" t="s">
        <v>1588</v>
      </c>
      <c r="F2782" s="30" t="s">
        <v>1591</v>
      </c>
      <c r="H2782" s="30" t="s">
        <v>1592</v>
      </c>
      <c r="M2782" s="30" t="s">
        <v>6404</v>
      </c>
      <c r="N2782" s="30" t="s">
        <v>1474</v>
      </c>
      <c r="P2782" s="30" t="s">
        <v>6485</v>
      </c>
      <c r="Q2782" t="s">
        <v>619</v>
      </c>
      <c r="R2782" t="s">
        <v>917</v>
      </c>
      <c r="S2782">
        <v>37</v>
      </c>
      <c r="T2782" s="29" t="str">
        <f t="shared" si="121"/>
        <v>2021.035B.R.Gracegardnervirinae.zip</v>
      </c>
      <c r="U2782" s="29" t="str">
        <f>HYPERLINK("https://ictv.global/taxonomy/taxondetails?taxnode_id=202312331","ictv.global=202312331")</f>
        <v>ictv.global=202312331</v>
      </c>
    </row>
    <row r="2783" spans="1:21">
      <c r="A2783">
        <v>2782</v>
      </c>
      <c r="B2783" s="30" t="s">
        <v>1587</v>
      </c>
      <c r="D2783" s="30" t="s">
        <v>1588</v>
      </c>
      <c r="F2783" s="30" t="s">
        <v>1591</v>
      </c>
      <c r="H2783" s="30" t="s">
        <v>1592</v>
      </c>
      <c r="M2783" s="30" t="s">
        <v>6404</v>
      </c>
      <c r="N2783" s="30" t="s">
        <v>1474</v>
      </c>
      <c r="P2783" s="30" t="s">
        <v>6486</v>
      </c>
      <c r="Q2783" t="s">
        <v>619</v>
      </c>
      <c r="R2783" t="s">
        <v>917</v>
      </c>
      <c r="S2783">
        <v>37</v>
      </c>
      <c r="T2783" s="29" t="str">
        <f t="shared" si="121"/>
        <v>2021.035B.R.Gracegardnervirinae.zip</v>
      </c>
      <c r="U2783" s="29" t="str">
        <f>HYPERLINK("https://ictv.global/taxonomy/taxondetails?taxnode_id=202312332","ictv.global=202312332")</f>
        <v>ictv.global=202312332</v>
      </c>
    </row>
    <row r="2784" spans="1:21">
      <c r="A2784">
        <v>2783</v>
      </c>
      <c r="B2784" s="30" t="s">
        <v>1587</v>
      </c>
      <c r="D2784" s="30" t="s">
        <v>1588</v>
      </c>
      <c r="F2784" s="30" t="s">
        <v>1591</v>
      </c>
      <c r="H2784" s="30" t="s">
        <v>1592</v>
      </c>
      <c r="M2784" s="30" t="s">
        <v>6404</v>
      </c>
      <c r="N2784" s="30" t="s">
        <v>1474</v>
      </c>
      <c r="P2784" s="30" t="s">
        <v>6487</v>
      </c>
      <c r="Q2784" t="s">
        <v>619</v>
      </c>
      <c r="R2784" t="s">
        <v>917</v>
      </c>
      <c r="S2784">
        <v>37</v>
      </c>
      <c r="T2784" s="29" t="str">
        <f t="shared" si="121"/>
        <v>2021.035B.R.Gracegardnervirinae.zip</v>
      </c>
      <c r="U2784" s="29" t="str">
        <f>HYPERLINK("https://ictv.global/taxonomy/taxondetails?taxnode_id=202312333","ictv.global=202312333")</f>
        <v>ictv.global=202312333</v>
      </c>
    </row>
    <row r="2785" spans="1:21">
      <c r="A2785">
        <v>2784</v>
      </c>
      <c r="B2785" s="30" t="s">
        <v>1587</v>
      </c>
      <c r="D2785" s="30" t="s">
        <v>1588</v>
      </c>
      <c r="F2785" s="30" t="s">
        <v>1591</v>
      </c>
      <c r="H2785" s="30" t="s">
        <v>1592</v>
      </c>
      <c r="M2785" s="30" t="s">
        <v>6404</v>
      </c>
      <c r="N2785" s="30" t="s">
        <v>1474</v>
      </c>
      <c r="P2785" s="30" t="s">
        <v>6488</v>
      </c>
      <c r="Q2785" t="s">
        <v>619</v>
      </c>
      <c r="R2785" t="s">
        <v>917</v>
      </c>
      <c r="S2785">
        <v>37</v>
      </c>
      <c r="T2785" s="29" t="str">
        <f t="shared" si="121"/>
        <v>2021.035B.R.Gracegardnervirinae.zip</v>
      </c>
      <c r="U2785" s="29" t="str">
        <f>HYPERLINK("https://ictv.global/taxonomy/taxondetails?taxnode_id=202312334","ictv.global=202312334")</f>
        <v>ictv.global=202312334</v>
      </c>
    </row>
    <row r="2786" spans="1:21">
      <c r="A2786">
        <v>2785</v>
      </c>
      <c r="B2786" s="30" t="s">
        <v>1587</v>
      </c>
      <c r="D2786" s="30" t="s">
        <v>1588</v>
      </c>
      <c r="F2786" s="30" t="s">
        <v>1591</v>
      </c>
      <c r="H2786" s="30" t="s">
        <v>1592</v>
      </c>
      <c r="M2786" s="30" t="s">
        <v>6404</v>
      </c>
      <c r="N2786" s="30" t="s">
        <v>1474</v>
      </c>
      <c r="P2786" s="30" t="s">
        <v>6489</v>
      </c>
      <c r="Q2786" t="s">
        <v>619</v>
      </c>
      <c r="R2786" t="s">
        <v>917</v>
      </c>
      <c r="S2786">
        <v>37</v>
      </c>
      <c r="T2786" s="29" t="str">
        <f t="shared" si="121"/>
        <v>2021.035B.R.Gracegardnervirinae.zip</v>
      </c>
      <c r="U2786" s="29" t="str">
        <f>HYPERLINK("https://ictv.global/taxonomy/taxondetails?taxnode_id=202312335","ictv.global=202312335")</f>
        <v>ictv.global=202312335</v>
      </c>
    </row>
    <row r="2787" spans="1:21">
      <c r="A2787">
        <v>2786</v>
      </c>
      <c r="B2787" s="30" t="s">
        <v>1587</v>
      </c>
      <c r="D2787" s="30" t="s">
        <v>1588</v>
      </c>
      <c r="F2787" s="30" t="s">
        <v>1591</v>
      </c>
      <c r="H2787" s="30" t="s">
        <v>1592</v>
      </c>
      <c r="M2787" s="30" t="s">
        <v>6404</v>
      </c>
      <c r="N2787" s="30" t="s">
        <v>1474</v>
      </c>
      <c r="P2787" s="30" t="s">
        <v>6490</v>
      </c>
      <c r="Q2787" t="s">
        <v>619</v>
      </c>
      <c r="R2787" t="s">
        <v>917</v>
      </c>
      <c r="S2787">
        <v>37</v>
      </c>
      <c r="T2787" s="29" t="str">
        <f t="shared" si="121"/>
        <v>2021.035B.R.Gracegardnervirinae.zip</v>
      </c>
      <c r="U2787" s="29" t="str">
        <f>HYPERLINK("https://ictv.global/taxonomy/taxondetails?taxnode_id=202312336","ictv.global=202312336")</f>
        <v>ictv.global=202312336</v>
      </c>
    </row>
    <row r="2788" spans="1:21">
      <c r="A2788">
        <v>2787</v>
      </c>
      <c r="B2788" s="30" t="s">
        <v>1587</v>
      </c>
      <c r="D2788" s="30" t="s">
        <v>1588</v>
      </c>
      <c r="F2788" s="30" t="s">
        <v>1591</v>
      </c>
      <c r="H2788" s="30" t="s">
        <v>1592</v>
      </c>
      <c r="M2788" s="30" t="s">
        <v>6404</v>
      </c>
      <c r="N2788" s="30" t="s">
        <v>1474</v>
      </c>
      <c r="P2788" s="30" t="s">
        <v>6491</v>
      </c>
      <c r="Q2788" t="s">
        <v>619</v>
      </c>
      <c r="R2788" t="s">
        <v>917</v>
      </c>
      <c r="S2788">
        <v>37</v>
      </c>
      <c r="T2788" s="29" t="str">
        <f t="shared" si="121"/>
        <v>2021.035B.R.Gracegardnervirinae.zip</v>
      </c>
      <c r="U2788" s="29" t="str">
        <f>HYPERLINK("https://ictv.global/taxonomy/taxondetails?taxnode_id=202312337","ictv.global=202312337")</f>
        <v>ictv.global=202312337</v>
      </c>
    </row>
    <row r="2789" spans="1:21">
      <c r="A2789">
        <v>2788</v>
      </c>
      <c r="B2789" s="30" t="s">
        <v>1587</v>
      </c>
      <c r="D2789" s="30" t="s">
        <v>1588</v>
      </c>
      <c r="F2789" s="30" t="s">
        <v>1591</v>
      </c>
      <c r="H2789" s="30" t="s">
        <v>1592</v>
      </c>
      <c r="M2789" s="30" t="s">
        <v>6404</v>
      </c>
      <c r="N2789" s="30" t="s">
        <v>1474</v>
      </c>
      <c r="P2789" s="30" t="s">
        <v>666</v>
      </c>
      <c r="Q2789" t="s">
        <v>619</v>
      </c>
      <c r="R2789" t="s">
        <v>919</v>
      </c>
      <c r="S2789">
        <v>37</v>
      </c>
      <c r="T2789" s="29" t="str">
        <f t="shared" ref="T2789:T2814" si="122">HYPERLINK("https://ictv.global/ictv/proposals/2021.001B.R.abolish_Caudovirales.zip","2021.001B.R.abolish_Caudovirales.zip;2021.035B.A.v1.Gracegardnervirinae.zip")</f>
        <v>2021.001B.R.abolish_Caudovirales.zip;2021.035B.A.v1.Gracegardnervirinae.zip</v>
      </c>
      <c r="U2789" s="29" t="str">
        <f>HYPERLINK("https://ictv.global/taxonomy/taxondetails?taxnode_id=202300891","ictv.global=202300891")</f>
        <v>ictv.global=202300891</v>
      </c>
    </row>
    <row r="2790" spans="1:21">
      <c r="A2790">
        <v>2789</v>
      </c>
      <c r="B2790" s="30" t="s">
        <v>1587</v>
      </c>
      <c r="D2790" s="30" t="s">
        <v>1588</v>
      </c>
      <c r="F2790" s="30" t="s">
        <v>1591</v>
      </c>
      <c r="H2790" s="30" t="s">
        <v>1592</v>
      </c>
      <c r="M2790" s="30" t="s">
        <v>6404</v>
      </c>
      <c r="N2790" s="30" t="s">
        <v>1474</v>
      </c>
      <c r="P2790" s="30" t="s">
        <v>667</v>
      </c>
      <c r="Q2790" t="s">
        <v>619</v>
      </c>
      <c r="R2790" t="s">
        <v>919</v>
      </c>
      <c r="S2790">
        <v>37</v>
      </c>
      <c r="T2790" s="29" t="str">
        <f t="shared" si="122"/>
        <v>2021.001B.R.abolish_Caudovirales.zip;2021.035B.A.v1.Gracegardnervirinae.zip</v>
      </c>
      <c r="U2790" s="29" t="str">
        <f>HYPERLINK("https://ictv.global/taxonomy/taxondetails?taxnode_id=202300893","ictv.global=202300893")</f>
        <v>ictv.global=202300893</v>
      </c>
    </row>
    <row r="2791" spans="1:21">
      <c r="A2791">
        <v>2790</v>
      </c>
      <c r="B2791" s="30" t="s">
        <v>1587</v>
      </c>
      <c r="D2791" s="30" t="s">
        <v>1588</v>
      </c>
      <c r="F2791" s="30" t="s">
        <v>1591</v>
      </c>
      <c r="H2791" s="30" t="s">
        <v>1592</v>
      </c>
      <c r="M2791" s="30" t="s">
        <v>6404</v>
      </c>
      <c r="N2791" s="30" t="s">
        <v>1474</v>
      </c>
      <c r="P2791" s="30" t="s">
        <v>668</v>
      </c>
      <c r="Q2791" t="s">
        <v>619</v>
      </c>
      <c r="R2791" t="s">
        <v>919</v>
      </c>
      <c r="S2791">
        <v>37</v>
      </c>
      <c r="T2791" s="29" t="str">
        <f t="shared" si="122"/>
        <v>2021.001B.R.abolish_Caudovirales.zip;2021.035B.A.v1.Gracegardnervirinae.zip</v>
      </c>
      <c r="U2791" s="29" t="str">
        <f>HYPERLINK("https://ictv.global/taxonomy/taxondetails?taxnode_id=202300894","ictv.global=202300894")</f>
        <v>ictv.global=202300894</v>
      </c>
    </row>
    <row r="2792" spans="1:21">
      <c r="A2792">
        <v>2791</v>
      </c>
      <c r="B2792" s="30" t="s">
        <v>1587</v>
      </c>
      <c r="D2792" s="30" t="s">
        <v>1588</v>
      </c>
      <c r="F2792" s="30" t="s">
        <v>1591</v>
      </c>
      <c r="H2792" s="30" t="s">
        <v>1592</v>
      </c>
      <c r="M2792" s="30" t="s">
        <v>6404</v>
      </c>
      <c r="N2792" s="30" t="s">
        <v>1474</v>
      </c>
      <c r="P2792" s="30" t="s">
        <v>1894</v>
      </c>
      <c r="Q2792" t="s">
        <v>619</v>
      </c>
      <c r="R2792" t="s">
        <v>919</v>
      </c>
      <c r="S2792">
        <v>37</v>
      </c>
      <c r="T2792" s="29" t="str">
        <f t="shared" si="122"/>
        <v>2021.001B.R.abolish_Caudovirales.zip;2021.035B.A.v1.Gracegardnervirinae.zip</v>
      </c>
      <c r="U2792" s="29" t="str">
        <f>HYPERLINK("https://ictv.global/taxonomy/taxondetails?taxnode_id=202300896","ictv.global=202300896")</f>
        <v>ictv.global=202300896</v>
      </c>
    </row>
    <row r="2793" spans="1:21">
      <c r="A2793">
        <v>2792</v>
      </c>
      <c r="B2793" s="30" t="s">
        <v>1587</v>
      </c>
      <c r="D2793" s="30" t="s">
        <v>1588</v>
      </c>
      <c r="F2793" s="30" t="s">
        <v>1591</v>
      </c>
      <c r="H2793" s="30" t="s">
        <v>1592</v>
      </c>
      <c r="M2793" s="30" t="s">
        <v>6404</v>
      </c>
      <c r="N2793" s="30" t="s">
        <v>1474</v>
      </c>
      <c r="P2793" s="30" t="s">
        <v>669</v>
      </c>
      <c r="Q2793" t="s">
        <v>619</v>
      </c>
      <c r="R2793" t="s">
        <v>919</v>
      </c>
      <c r="S2793">
        <v>37</v>
      </c>
      <c r="T2793" s="29" t="str">
        <f t="shared" si="122"/>
        <v>2021.001B.R.abolish_Caudovirales.zip;2021.035B.A.v1.Gracegardnervirinae.zip</v>
      </c>
      <c r="U2793" s="29" t="str">
        <f>HYPERLINK("https://ictv.global/taxonomy/taxondetails?taxnode_id=202300897","ictv.global=202300897")</f>
        <v>ictv.global=202300897</v>
      </c>
    </row>
    <row r="2794" spans="1:21">
      <c r="A2794">
        <v>2793</v>
      </c>
      <c r="B2794" s="30" t="s">
        <v>1587</v>
      </c>
      <c r="D2794" s="30" t="s">
        <v>1588</v>
      </c>
      <c r="F2794" s="30" t="s">
        <v>1591</v>
      </c>
      <c r="H2794" s="30" t="s">
        <v>1592</v>
      </c>
      <c r="M2794" s="30" t="s">
        <v>6404</v>
      </c>
      <c r="N2794" s="30" t="s">
        <v>1474</v>
      </c>
      <c r="P2794" s="30" t="s">
        <v>670</v>
      </c>
      <c r="Q2794" t="s">
        <v>619</v>
      </c>
      <c r="R2794" t="s">
        <v>919</v>
      </c>
      <c r="S2794">
        <v>37</v>
      </c>
      <c r="T2794" s="29" t="str">
        <f t="shared" si="122"/>
        <v>2021.001B.R.abolish_Caudovirales.zip;2021.035B.A.v1.Gracegardnervirinae.zip</v>
      </c>
      <c r="U2794" s="29" t="str">
        <f>HYPERLINK("https://ictv.global/taxonomy/taxondetails?taxnode_id=202300898","ictv.global=202300898")</f>
        <v>ictv.global=202300898</v>
      </c>
    </row>
    <row r="2795" spans="1:21">
      <c r="A2795">
        <v>2794</v>
      </c>
      <c r="B2795" s="30" t="s">
        <v>1587</v>
      </c>
      <c r="D2795" s="30" t="s">
        <v>1588</v>
      </c>
      <c r="F2795" s="30" t="s">
        <v>1591</v>
      </c>
      <c r="H2795" s="30" t="s">
        <v>1592</v>
      </c>
      <c r="M2795" s="30" t="s">
        <v>6404</v>
      </c>
      <c r="N2795" s="30" t="s">
        <v>1474</v>
      </c>
      <c r="P2795" s="30" t="s">
        <v>1895</v>
      </c>
      <c r="Q2795" t="s">
        <v>619</v>
      </c>
      <c r="R2795" t="s">
        <v>919</v>
      </c>
      <c r="S2795">
        <v>37</v>
      </c>
      <c r="T2795" s="29" t="str">
        <f t="shared" si="122"/>
        <v>2021.001B.R.abolish_Caudovirales.zip;2021.035B.A.v1.Gracegardnervirinae.zip</v>
      </c>
      <c r="U2795" s="29" t="str">
        <f>HYPERLINK("https://ictv.global/taxonomy/taxondetails?taxnode_id=202300899","ictv.global=202300899")</f>
        <v>ictv.global=202300899</v>
      </c>
    </row>
    <row r="2796" spans="1:21">
      <c r="A2796">
        <v>2795</v>
      </c>
      <c r="B2796" s="30" t="s">
        <v>1587</v>
      </c>
      <c r="D2796" s="30" t="s">
        <v>1588</v>
      </c>
      <c r="F2796" s="30" t="s">
        <v>1591</v>
      </c>
      <c r="H2796" s="30" t="s">
        <v>1592</v>
      </c>
      <c r="M2796" s="30" t="s">
        <v>6404</v>
      </c>
      <c r="N2796" s="30" t="s">
        <v>1474</v>
      </c>
      <c r="P2796" s="30" t="s">
        <v>671</v>
      </c>
      <c r="Q2796" t="s">
        <v>619</v>
      </c>
      <c r="R2796" t="s">
        <v>919</v>
      </c>
      <c r="S2796">
        <v>37</v>
      </c>
      <c r="T2796" s="29" t="str">
        <f t="shared" si="122"/>
        <v>2021.001B.R.abolish_Caudovirales.zip;2021.035B.A.v1.Gracegardnervirinae.zip</v>
      </c>
      <c r="U2796" s="29" t="str">
        <f>HYPERLINK("https://ictv.global/taxonomy/taxondetails?taxnode_id=202300900","ictv.global=202300900")</f>
        <v>ictv.global=202300900</v>
      </c>
    </row>
    <row r="2797" spans="1:21">
      <c r="A2797">
        <v>2796</v>
      </c>
      <c r="B2797" s="30" t="s">
        <v>1587</v>
      </c>
      <c r="D2797" s="30" t="s">
        <v>1588</v>
      </c>
      <c r="F2797" s="30" t="s">
        <v>1591</v>
      </c>
      <c r="H2797" s="30" t="s">
        <v>1592</v>
      </c>
      <c r="M2797" s="30" t="s">
        <v>6404</v>
      </c>
      <c r="N2797" s="30" t="s">
        <v>1474</v>
      </c>
      <c r="P2797" s="30" t="s">
        <v>672</v>
      </c>
      <c r="Q2797" t="s">
        <v>619</v>
      </c>
      <c r="R2797" t="s">
        <v>919</v>
      </c>
      <c r="S2797">
        <v>37</v>
      </c>
      <c r="T2797" s="29" t="str">
        <f t="shared" si="122"/>
        <v>2021.001B.R.abolish_Caudovirales.zip;2021.035B.A.v1.Gracegardnervirinae.zip</v>
      </c>
      <c r="U2797" s="29" t="str">
        <f>HYPERLINK("https://ictv.global/taxonomy/taxondetails?taxnode_id=202300901","ictv.global=202300901")</f>
        <v>ictv.global=202300901</v>
      </c>
    </row>
    <row r="2798" spans="1:21">
      <c r="A2798">
        <v>2797</v>
      </c>
      <c r="B2798" s="30" t="s">
        <v>1587</v>
      </c>
      <c r="D2798" s="30" t="s">
        <v>1588</v>
      </c>
      <c r="F2798" s="30" t="s">
        <v>1591</v>
      </c>
      <c r="H2798" s="30" t="s">
        <v>1592</v>
      </c>
      <c r="M2798" s="30" t="s">
        <v>6404</v>
      </c>
      <c r="N2798" s="30" t="s">
        <v>1474</v>
      </c>
      <c r="P2798" s="30" t="s">
        <v>1896</v>
      </c>
      <c r="Q2798" t="s">
        <v>619</v>
      </c>
      <c r="R2798" t="s">
        <v>919</v>
      </c>
      <c r="S2798">
        <v>37</v>
      </c>
      <c r="T2798" s="29" t="str">
        <f t="shared" si="122"/>
        <v>2021.001B.R.abolish_Caudovirales.zip;2021.035B.A.v1.Gracegardnervirinae.zip</v>
      </c>
      <c r="U2798" s="29" t="str">
        <f>HYPERLINK("https://ictv.global/taxonomy/taxondetails?taxnode_id=202300902","ictv.global=202300902")</f>
        <v>ictv.global=202300902</v>
      </c>
    </row>
    <row r="2799" spans="1:21">
      <c r="A2799">
        <v>2798</v>
      </c>
      <c r="B2799" s="30" t="s">
        <v>1587</v>
      </c>
      <c r="D2799" s="30" t="s">
        <v>1588</v>
      </c>
      <c r="F2799" s="30" t="s">
        <v>1591</v>
      </c>
      <c r="H2799" s="30" t="s">
        <v>1592</v>
      </c>
      <c r="M2799" s="30" t="s">
        <v>6404</v>
      </c>
      <c r="N2799" s="30" t="s">
        <v>1474</v>
      </c>
      <c r="P2799" s="30" t="s">
        <v>673</v>
      </c>
      <c r="Q2799" t="s">
        <v>619</v>
      </c>
      <c r="R2799" t="s">
        <v>919</v>
      </c>
      <c r="S2799">
        <v>37</v>
      </c>
      <c r="T2799" s="29" t="str">
        <f t="shared" si="122"/>
        <v>2021.001B.R.abolish_Caudovirales.zip;2021.035B.A.v1.Gracegardnervirinae.zip</v>
      </c>
      <c r="U2799" s="29" t="str">
        <f>HYPERLINK("https://ictv.global/taxonomy/taxondetails?taxnode_id=202300903","ictv.global=202300903")</f>
        <v>ictv.global=202300903</v>
      </c>
    </row>
    <row r="2800" spans="1:21">
      <c r="A2800">
        <v>2799</v>
      </c>
      <c r="B2800" s="30" t="s">
        <v>1587</v>
      </c>
      <c r="D2800" s="30" t="s">
        <v>1588</v>
      </c>
      <c r="F2800" s="30" t="s">
        <v>1591</v>
      </c>
      <c r="H2800" s="30" t="s">
        <v>1592</v>
      </c>
      <c r="M2800" s="30" t="s">
        <v>6404</v>
      </c>
      <c r="N2800" s="30" t="s">
        <v>1474</v>
      </c>
      <c r="P2800" s="30" t="s">
        <v>674</v>
      </c>
      <c r="Q2800" t="s">
        <v>619</v>
      </c>
      <c r="R2800" t="s">
        <v>919</v>
      </c>
      <c r="S2800">
        <v>37</v>
      </c>
      <c r="T2800" s="29" t="str">
        <f t="shared" si="122"/>
        <v>2021.001B.R.abolish_Caudovirales.zip;2021.035B.A.v1.Gracegardnervirinae.zip</v>
      </c>
      <c r="U2800" s="29" t="str">
        <f>HYPERLINK("https://ictv.global/taxonomy/taxondetails?taxnode_id=202300904","ictv.global=202300904")</f>
        <v>ictv.global=202300904</v>
      </c>
    </row>
    <row r="2801" spans="1:21">
      <c r="A2801">
        <v>2800</v>
      </c>
      <c r="B2801" s="30" t="s">
        <v>1587</v>
      </c>
      <c r="D2801" s="30" t="s">
        <v>1588</v>
      </c>
      <c r="F2801" s="30" t="s">
        <v>1591</v>
      </c>
      <c r="H2801" s="30" t="s">
        <v>1592</v>
      </c>
      <c r="M2801" s="30" t="s">
        <v>6404</v>
      </c>
      <c r="N2801" s="30" t="s">
        <v>1474</v>
      </c>
      <c r="P2801" s="30" t="s">
        <v>675</v>
      </c>
      <c r="Q2801" t="s">
        <v>619</v>
      </c>
      <c r="R2801" t="s">
        <v>919</v>
      </c>
      <c r="S2801">
        <v>37</v>
      </c>
      <c r="T2801" s="29" t="str">
        <f t="shared" si="122"/>
        <v>2021.001B.R.abolish_Caudovirales.zip;2021.035B.A.v1.Gracegardnervirinae.zip</v>
      </c>
      <c r="U2801" s="29" t="str">
        <f>HYPERLINK("https://ictv.global/taxonomy/taxondetails?taxnode_id=202300905","ictv.global=202300905")</f>
        <v>ictv.global=202300905</v>
      </c>
    </row>
    <row r="2802" spans="1:21">
      <c r="A2802">
        <v>2801</v>
      </c>
      <c r="B2802" s="30" t="s">
        <v>1587</v>
      </c>
      <c r="D2802" s="30" t="s">
        <v>1588</v>
      </c>
      <c r="F2802" s="30" t="s">
        <v>1591</v>
      </c>
      <c r="H2802" s="30" t="s">
        <v>1592</v>
      </c>
      <c r="M2802" s="30" t="s">
        <v>6404</v>
      </c>
      <c r="N2802" s="30" t="s">
        <v>1474</v>
      </c>
      <c r="P2802" s="30" t="s">
        <v>676</v>
      </c>
      <c r="Q2802" t="s">
        <v>619</v>
      </c>
      <c r="R2802" t="s">
        <v>919</v>
      </c>
      <c r="S2802">
        <v>37</v>
      </c>
      <c r="T2802" s="29" t="str">
        <f t="shared" si="122"/>
        <v>2021.001B.R.abolish_Caudovirales.zip;2021.035B.A.v1.Gracegardnervirinae.zip</v>
      </c>
      <c r="U2802" s="29" t="str">
        <f>HYPERLINK("https://ictv.global/taxonomy/taxondetails?taxnode_id=202300906","ictv.global=202300906")</f>
        <v>ictv.global=202300906</v>
      </c>
    </row>
    <row r="2803" spans="1:21">
      <c r="A2803">
        <v>2802</v>
      </c>
      <c r="B2803" s="30" t="s">
        <v>1587</v>
      </c>
      <c r="D2803" s="30" t="s">
        <v>1588</v>
      </c>
      <c r="F2803" s="30" t="s">
        <v>1591</v>
      </c>
      <c r="H2803" s="30" t="s">
        <v>1592</v>
      </c>
      <c r="M2803" s="30" t="s">
        <v>6404</v>
      </c>
      <c r="N2803" s="30" t="s">
        <v>1474</v>
      </c>
      <c r="P2803" s="30" t="s">
        <v>677</v>
      </c>
      <c r="Q2803" t="s">
        <v>619</v>
      </c>
      <c r="R2803" t="s">
        <v>919</v>
      </c>
      <c r="S2803">
        <v>37</v>
      </c>
      <c r="T2803" s="29" t="str">
        <f t="shared" si="122"/>
        <v>2021.001B.R.abolish_Caudovirales.zip;2021.035B.A.v1.Gracegardnervirinae.zip</v>
      </c>
      <c r="U2803" s="29" t="str">
        <f>HYPERLINK("https://ictv.global/taxonomy/taxondetails?taxnode_id=202300907","ictv.global=202300907")</f>
        <v>ictv.global=202300907</v>
      </c>
    </row>
    <row r="2804" spans="1:21">
      <c r="A2804">
        <v>2803</v>
      </c>
      <c r="B2804" s="30" t="s">
        <v>1587</v>
      </c>
      <c r="D2804" s="30" t="s">
        <v>1588</v>
      </c>
      <c r="F2804" s="30" t="s">
        <v>1591</v>
      </c>
      <c r="H2804" s="30" t="s">
        <v>1592</v>
      </c>
      <c r="M2804" s="30" t="s">
        <v>6404</v>
      </c>
      <c r="N2804" s="30" t="s">
        <v>1474</v>
      </c>
      <c r="P2804" s="30" t="s">
        <v>678</v>
      </c>
      <c r="Q2804" t="s">
        <v>619</v>
      </c>
      <c r="R2804" t="s">
        <v>919</v>
      </c>
      <c r="S2804">
        <v>37</v>
      </c>
      <c r="T2804" s="29" t="str">
        <f t="shared" si="122"/>
        <v>2021.001B.R.abolish_Caudovirales.zip;2021.035B.A.v1.Gracegardnervirinae.zip</v>
      </c>
      <c r="U2804" s="29" t="str">
        <f>HYPERLINK("https://ictv.global/taxonomy/taxondetails?taxnode_id=202300908","ictv.global=202300908")</f>
        <v>ictv.global=202300908</v>
      </c>
    </row>
    <row r="2805" spans="1:21">
      <c r="A2805">
        <v>2804</v>
      </c>
      <c r="B2805" s="30" t="s">
        <v>1587</v>
      </c>
      <c r="D2805" s="30" t="s">
        <v>1588</v>
      </c>
      <c r="F2805" s="30" t="s">
        <v>1591</v>
      </c>
      <c r="H2805" s="30" t="s">
        <v>1592</v>
      </c>
      <c r="M2805" s="30" t="s">
        <v>6404</v>
      </c>
      <c r="N2805" s="30" t="s">
        <v>1474</v>
      </c>
      <c r="P2805" s="30" t="s">
        <v>679</v>
      </c>
      <c r="Q2805" t="s">
        <v>619</v>
      </c>
      <c r="R2805" t="s">
        <v>919</v>
      </c>
      <c r="S2805">
        <v>37</v>
      </c>
      <c r="T2805" s="29" t="str">
        <f t="shared" si="122"/>
        <v>2021.001B.R.abolish_Caudovirales.zip;2021.035B.A.v1.Gracegardnervirinae.zip</v>
      </c>
      <c r="U2805" s="29" t="str">
        <f>HYPERLINK("https://ictv.global/taxonomy/taxondetails?taxnode_id=202300909","ictv.global=202300909")</f>
        <v>ictv.global=202300909</v>
      </c>
    </row>
    <row r="2806" spans="1:21">
      <c r="A2806">
        <v>2805</v>
      </c>
      <c r="B2806" s="30" t="s">
        <v>1587</v>
      </c>
      <c r="D2806" s="30" t="s">
        <v>1588</v>
      </c>
      <c r="F2806" s="30" t="s">
        <v>1591</v>
      </c>
      <c r="H2806" s="30" t="s">
        <v>1592</v>
      </c>
      <c r="M2806" s="30" t="s">
        <v>6404</v>
      </c>
      <c r="N2806" s="30" t="s">
        <v>1474</v>
      </c>
      <c r="P2806" s="30" t="s">
        <v>1897</v>
      </c>
      <c r="Q2806" t="s">
        <v>619</v>
      </c>
      <c r="R2806" t="s">
        <v>919</v>
      </c>
      <c r="S2806">
        <v>37</v>
      </c>
      <c r="T2806" s="29" t="str">
        <f t="shared" si="122"/>
        <v>2021.001B.R.abolish_Caudovirales.zip;2021.035B.A.v1.Gracegardnervirinae.zip</v>
      </c>
      <c r="U2806" s="29" t="str">
        <f>HYPERLINK("https://ictv.global/taxonomy/taxondetails?taxnode_id=202300910","ictv.global=202300910")</f>
        <v>ictv.global=202300910</v>
      </c>
    </row>
    <row r="2807" spans="1:21">
      <c r="A2807">
        <v>2806</v>
      </c>
      <c r="B2807" s="30" t="s">
        <v>1587</v>
      </c>
      <c r="D2807" s="30" t="s">
        <v>1588</v>
      </c>
      <c r="F2807" s="30" t="s">
        <v>1591</v>
      </c>
      <c r="H2807" s="30" t="s">
        <v>1592</v>
      </c>
      <c r="M2807" s="30" t="s">
        <v>6404</v>
      </c>
      <c r="N2807" s="30" t="s">
        <v>1474</v>
      </c>
      <c r="P2807" s="30" t="s">
        <v>680</v>
      </c>
      <c r="Q2807" t="s">
        <v>619</v>
      </c>
      <c r="R2807" t="s">
        <v>919</v>
      </c>
      <c r="S2807">
        <v>37</v>
      </c>
      <c r="T2807" s="29" t="str">
        <f t="shared" si="122"/>
        <v>2021.001B.R.abolish_Caudovirales.zip;2021.035B.A.v1.Gracegardnervirinae.zip</v>
      </c>
      <c r="U2807" s="29" t="str">
        <f>HYPERLINK("https://ictv.global/taxonomy/taxondetails?taxnode_id=202300911","ictv.global=202300911")</f>
        <v>ictv.global=202300911</v>
      </c>
    </row>
    <row r="2808" spans="1:21">
      <c r="A2808">
        <v>2807</v>
      </c>
      <c r="B2808" s="30" t="s">
        <v>1587</v>
      </c>
      <c r="D2808" s="30" t="s">
        <v>1588</v>
      </c>
      <c r="F2808" s="30" t="s">
        <v>1591</v>
      </c>
      <c r="H2808" s="30" t="s">
        <v>1592</v>
      </c>
      <c r="M2808" s="30" t="s">
        <v>6404</v>
      </c>
      <c r="N2808" s="30" t="s">
        <v>1474</v>
      </c>
      <c r="P2808" s="30" t="s">
        <v>681</v>
      </c>
      <c r="Q2808" t="s">
        <v>619</v>
      </c>
      <c r="R2808" t="s">
        <v>919</v>
      </c>
      <c r="S2808">
        <v>37</v>
      </c>
      <c r="T2808" s="29" t="str">
        <f t="shared" si="122"/>
        <v>2021.001B.R.abolish_Caudovirales.zip;2021.035B.A.v1.Gracegardnervirinae.zip</v>
      </c>
      <c r="U2808" s="29" t="str">
        <f>HYPERLINK("https://ictv.global/taxonomy/taxondetails?taxnode_id=202300912","ictv.global=202300912")</f>
        <v>ictv.global=202300912</v>
      </c>
    </row>
    <row r="2809" spans="1:21">
      <c r="A2809">
        <v>2808</v>
      </c>
      <c r="B2809" s="30" t="s">
        <v>1587</v>
      </c>
      <c r="D2809" s="30" t="s">
        <v>1588</v>
      </c>
      <c r="F2809" s="30" t="s">
        <v>1591</v>
      </c>
      <c r="H2809" s="30" t="s">
        <v>1592</v>
      </c>
      <c r="M2809" s="30" t="s">
        <v>6404</v>
      </c>
      <c r="N2809" s="30" t="s">
        <v>1474</v>
      </c>
      <c r="P2809" s="30" t="s">
        <v>682</v>
      </c>
      <c r="Q2809" t="s">
        <v>619</v>
      </c>
      <c r="R2809" t="s">
        <v>919</v>
      </c>
      <c r="S2809">
        <v>37</v>
      </c>
      <c r="T2809" s="29" t="str">
        <f t="shared" si="122"/>
        <v>2021.001B.R.abolish_Caudovirales.zip;2021.035B.A.v1.Gracegardnervirinae.zip</v>
      </c>
      <c r="U2809" s="29" t="str">
        <f>HYPERLINK("https://ictv.global/taxonomy/taxondetails?taxnode_id=202300913","ictv.global=202300913")</f>
        <v>ictv.global=202300913</v>
      </c>
    </row>
    <row r="2810" spans="1:21">
      <c r="A2810">
        <v>2809</v>
      </c>
      <c r="B2810" s="30" t="s">
        <v>1587</v>
      </c>
      <c r="D2810" s="30" t="s">
        <v>1588</v>
      </c>
      <c r="F2810" s="30" t="s">
        <v>1591</v>
      </c>
      <c r="H2810" s="30" t="s">
        <v>1592</v>
      </c>
      <c r="M2810" s="30" t="s">
        <v>6404</v>
      </c>
      <c r="N2810" s="30" t="s">
        <v>1474</v>
      </c>
      <c r="P2810" s="30" t="s">
        <v>683</v>
      </c>
      <c r="Q2810" t="s">
        <v>619</v>
      </c>
      <c r="R2810" t="s">
        <v>919</v>
      </c>
      <c r="S2810">
        <v>37</v>
      </c>
      <c r="T2810" s="29" t="str">
        <f t="shared" si="122"/>
        <v>2021.001B.R.abolish_Caudovirales.zip;2021.035B.A.v1.Gracegardnervirinae.zip</v>
      </c>
      <c r="U2810" s="29" t="str">
        <f>HYPERLINK("https://ictv.global/taxonomy/taxondetails?taxnode_id=202300914","ictv.global=202300914")</f>
        <v>ictv.global=202300914</v>
      </c>
    </row>
    <row r="2811" spans="1:21">
      <c r="A2811">
        <v>2810</v>
      </c>
      <c r="B2811" s="30" t="s">
        <v>1587</v>
      </c>
      <c r="D2811" s="30" t="s">
        <v>1588</v>
      </c>
      <c r="F2811" s="30" t="s">
        <v>1591</v>
      </c>
      <c r="H2811" s="30" t="s">
        <v>1592</v>
      </c>
      <c r="M2811" s="30" t="s">
        <v>6404</v>
      </c>
      <c r="N2811" s="30" t="s">
        <v>1474</v>
      </c>
      <c r="P2811" s="30" t="s">
        <v>684</v>
      </c>
      <c r="Q2811" t="s">
        <v>619</v>
      </c>
      <c r="R2811" t="s">
        <v>919</v>
      </c>
      <c r="S2811">
        <v>37</v>
      </c>
      <c r="T2811" s="29" t="str">
        <f t="shared" si="122"/>
        <v>2021.001B.R.abolish_Caudovirales.zip;2021.035B.A.v1.Gracegardnervirinae.zip</v>
      </c>
      <c r="U2811" s="29" t="str">
        <f>HYPERLINK("https://ictv.global/taxonomy/taxondetails?taxnode_id=202300915","ictv.global=202300915")</f>
        <v>ictv.global=202300915</v>
      </c>
    </row>
    <row r="2812" spans="1:21">
      <c r="A2812">
        <v>2811</v>
      </c>
      <c r="B2812" s="30" t="s">
        <v>1587</v>
      </c>
      <c r="D2812" s="30" t="s">
        <v>1588</v>
      </c>
      <c r="F2812" s="30" t="s">
        <v>1591</v>
      </c>
      <c r="H2812" s="30" t="s">
        <v>1592</v>
      </c>
      <c r="M2812" s="30" t="s">
        <v>6404</v>
      </c>
      <c r="N2812" s="30" t="s">
        <v>1474</v>
      </c>
      <c r="P2812" s="30" t="s">
        <v>685</v>
      </c>
      <c r="Q2812" t="s">
        <v>619</v>
      </c>
      <c r="R2812" t="s">
        <v>919</v>
      </c>
      <c r="S2812">
        <v>37</v>
      </c>
      <c r="T2812" s="29" t="str">
        <f t="shared" si="122"/>
        <v>2021.001B.R.abolish_Caudovirales.zip;2021.035B.A.v1.Gracegardnervirinae.zip</v>
      </c>
      <c r="U2812" s="29" t="str">
        <f>HYPERLINK("https://ictv.global/taxonomy/taxondetails?taxnode_id=202300916","ictv.global=202300916")</f>
        <v>ictv.global=202300916</v>
      </c>
    </row>
    <row r="2813" spans="1:21">
      <c r="A2813">
        <v>2812</v>
      </c>
      <c r="B2813" s="30" t="s">
        <v>1587</v>
      </c>
      <c r="D2813" s="30" t="s">
        <v>1588</v>
      </c>
      <c r="F2813" s="30" t="s">
        <v>1591</v>
      </c>
      <c r="H2813" s="30" t="s">
        <v>1592</v>
      </c>
      <c r="M2813" s="30" t="s">
        <v>6404</v>
      </c>
      <c r="N2813" s="30" t="s">
        <v>1474</v>
      </c>
      <c r="P2813" s="30" t="s">
        <v>686</v>
      </c>
      <c r="Q2813" t="s">
        <v>619</v>
      </c>
      <c r="R2813" t="s">
        <v>919</v>
      </c>
      <c r="S2813">
        <v>37</v>
      </c>
      <c r="T2813" s="29" t="str">
        <f t="shared" si="122"/>
        <v>2021.001B.R.abolish_Caudovirales.zip;2021.035B.A.v1.Gracegardnervirinae.zip</v>
      </c>
      <c r="U2813" s="29" t="str">
        <f>HYPERLINK("https://ictv.global/taxonomy/taxondetails?taxnode_id=202300917","ictv.global=202300917")</f>
        <v>ictv.global=202300917</v>
      </c>
    </row>
    <row r="2814" spans="1:21">
      <c r="A2814">
        <v>2813</v>
      </c>
      <c r="B2814" s="30" t="s">
        <v>1587</v>
      </c>
      <c r="D2814" s="30" t="s">
        <v>1588</v>
      </c>
      <c r="F2814" s="30" t="s">
        <v>1591</v>
      </c>
      <c r="H2814" s="30" t="s">
        <v>1592</v>
      </c>
      <c r="M2814" s="30" t="s">
        <v>6404</v>
      </c>
      <c r="N2814" s="30" t="s">
        <v>2424</v>
      </c>
      <c r="P2814" s="30" t="s">
        <v>2425</v>
      </c>
      <c r="Q2814" t="s">
        <v>619</v>
      </c>
      <c r="R2814" t="s">
        <v>919</v>
      </c>
      <c r="S2814">
        <v>37</v>
      </c>
      <c r="T2814" s="29" t="str">
        <f t="shared" si="122"/>
        <v>2021.001B.R.abolish_Caudovirales.zip;2021.035B.A.v1.Gracegardnervirinae.zip</v>
      </c>
      <c r="U2814" s="29" t="str">
        <f>HYPERLINK("https://ictv.global/taxonomy/taxondetails?taxnode_id=202309899","ictv.global=202309899")</f>
        <v>ictv.global=202309899</v>
      </c>
    </row>
    <row r="2815" spans="1:21">
      <c r="A2815">
        <v>2814</v>
      </c>
      <c r="B2815" s="30" t="s">
        <v>1587</v>
      </c>
      <c r="D2815" s="30" t="s">
        <v>1588</v>
      </c>
      <c r="F2815" s="30" t="s">
        <v>1591</v>
      </c>
      <c r="H2815" s="30" t="s">
        <v>1592</v>
      </c>
      <c r="M2815" s="30" t="s">
        <v>6404</v>
      </c>
      <c r="N2815" s="30" t="s">
        <v>6492</v>
      </c>
      <c r="P2815" s="30" t="s">
        <v>6493</v>
      </c>
      <c r="Q2815" t="s">
        <v>619</v>
      </c>
      <c r="R2815" t="s">
        <v>917</v>
      </c>
      <c r="S2815">
        <v>37</v>
      </c>
      <c r="T2815" s="29" t="str">
        <f>HYPERLINK("https://ictv.global/ictv/proposals/2021.035B.R.Gracegardnervirinae.zip","2021.035B.R.Gracegardnervirinae.zip")</f>
        <v>2021.035B.R.Gracegardnervirinae.zip</v>
      </c>
      <c r="U2815" s="29" t="str">
        <f>HYPERLINK("https://ictv.global/taxonomy/taxondetails?taxnode_id=202312339","ictv.global=202312339")</f>
        <v>ictv.global=202312339</v>
      </c>
    </row>
    <row r="2816" spans="1:21">
      <c r="A2816">
        <v>2815</v>
      </c>
      <c r="B2816" s="30" t="s">
        <v>1587</v>
      </c>
      <c r="D2816" s="30" t="s">
        <v>1588</v>
      </c>
      <c r="F2816" s="30" t="s">
        <v>1591</v>
      </c>
      <c r="H2816" s="30" t="s">
        <v>1592</v>
      </c>
      <c r="M2816" s="30" t="s">
        <v>6404</v>
      </c>
      <c r="N2816" s="30" t="s">
        <v>2485</v>
      </c>
      <c r="P2816" s="30" t="s">
        <v>2486</v>
      </c>
      <c r="Q2816" t="s">
        <v>619</v>
      </c>
      <c r="R2816" t="s">
        <v>919</v>
      </c>
      <c r="S2816">
        <v>37</v>
      </c>
      <c r="T2816" s="29" t="str">
        <f>HYPERLINK("https://ictv.global/ictv/proposals/2021.001B.R.abolish_Caudovirales.zip","2021.001B.R.abolish_Caudovirales.zip;2021.035B.A.v1.Gracegardnervirinae.zip")</f>
        <v>2021.001B.R.abolish_Caudovirales.zip;2021.035B.A.v1.Gracegardnervirinae.zip</v>
      </c>
      <c r="U2816" s="29" t="str">
        <f>HYPERLINK("https://ictv.global/taxonomy/taxondetails?taxnode_id=202311958","ictv.global=202311958")</f>
        <v>ictv.global=202311958</v>
      </c>
    </row>
    <row r="2817" spans="1:21">
      <c r="A2817">
        <v>2816</v>
      </c>
      <c r="B2817" s="30" t="s">
        <v>1587</v>
      </c>
      <c r="D2817" s="30" t="s">
        <v>1588</v>
      </c>
      <c r="F2817" s="30" t="s">
        <v>1591</v>
      </c>
      <c r="H2817" s="30" t="s">
        <v>1592</v>
      </c>
      <c r="M2817" s="30" t="s">
        <v>6404</v>
      </c>
      <c r="N2817" s="30" t="s">
        <v>2491</v>
      </c>
      <c r="P2817" s="30" t="s">
        <v>2492</v>
      </c>
      <c r="Q2817" t="s">
        <v>619</v>
      </c>
      <c r="R2817" t="s">
        <v>919</v>
      </c>
      <c r="S2817">
        <v>37</v>
      </c>
      <c r="T2817" s="29" t="str">
        <f>HYPERLINK("https://ictv.global/ictv/proposals/2021.001B.R.abolish_Caudovirales.zip","2021.001B.R.abolish_Caudovirales.zip;2021.035B.A.v1.Gracegardnervirinae.zip")</f>
        <v>2021.001B.R.abolish_Caudovirales.zip;2021.035B.A.v1.Gracegardnervirinae.zip</v>
      </c>
      <c r="U2817" s="29" t="str">
        <f>HYPERLINK("https://ictv.global/taxonomy/taxondetails?taxnode_id=202312027","ictv.global=202312027")</f>
        <v>ictv.global=202312027</v>
      </c>
    </row>
    <row r="2818" spans="1:21">
      <c r="A2818">
        <v>2817</v>
      </c>
      <c r="B2818" s="30" t="s">
        <v>1587</v>
      </c>
      <c r="D2818" s="30" t="s">
        <v>1588</v>
      </c>
      <c r="F2818" s="30" t="s">
        <v>1591</v>
      </c>
      <c r="H2818" s="30" t="s">
        <v>1592</v>
      </c>
      <c r="M2818" s="30" t="s">
        <v>6404</v>
      </c>
      <c r="N2818" s="30" t="s">
        <v>2491</v>
      </c>
      <c r="P2818" s="30" t="s">
        <v>2493</v>
      </c>
      <c r="Q2818" t="s">
        <v>619</v>
      </c>
      <c r="R2818" t="s">
        <v>919</v>
      </c>
      <c r="S2818">
        <v>37</v>
      </c>
      <c r="T2818" s="29" t="str">
        <f>HYPERLINK("https://ictv.global/ictv/proposals/2021.001B.R.abolish_Caudovirales.zip","2021.001B.R.abolish_Caudovirales.zip;2021.035B.A.v1.Gracegardnervirinae.zip")</f>
        <v>2021.001B.R.abolish_Caudovirales.zip;2021.035B.A.v1.Gracegardnervirinae.zip</v>
      </c>
      <c r="U2818" s="29" t="str">
        <f>HYPERLINK("https://ictv.global/taxonomy/taxondetails?taxnode_id=202312028","ictv.global=202312028")</f>
        <v>ictv.global=202312028</v>
      </c>
    </row>
    <row r="2819" spans="1:21">
      <c r="A2819">
        <v>2818</v>
      </c>
      <c r="B2819" s="30" t="s">
        <v>1587</v>
      </c>
      <c r="D2819" s="30" t="s">
        <v>1588</v>
      </c>
      <c r="F2819" s="30" t="s">
        <v>1591</v>
      </c>
      <c r="H2819" s="30" t="s">
        <v>1592</v>
      </c>
      <c r="M2819" s="30" t="s">
        <v>6404</v>
      </c>
      <c r="N2819" s="30" t="s">
        <v>2491</v>
      </c>
      <c r="P2819" s="30" t="s">
        <v>2494</v>
      </c>
      <c r="Q2819" t="s">
        <v>619</v>
      </c>
      <c r="R2819" t="s">
        <v>919</v>
      </c>
      <c r="S2819">
        <v>37</v>
      </c>
      <c r="T2819" s="29" t="str">
        <f>HYPERLINK("https://ictv.global/ictv/proposals/2021.001B.R.abolish_Caudovirales.zip","2021.001B.R.abolish_Caudovirales.zip;2021.035B.A.v1.Gracegardnervirinae.zip")</f>
        <v>2021.001B.R.abolish_Caudovirales.zip;2021.035B.A.v1.Gracegardnervirinae.zip</v>
      </c>
      <c r="U2819" s="29" t="str">
        <f>HYPERLINK("https://ictv.global/taxonomy/taxondetails?taxnode_id=202312026","ictv.global=202312026")</f>
        <v>ictv.global=202312026</v>
      </c>
    </row>
    <row r="2820" spans="1:21">
      <c r="A2820">
        <v>2819</v>
      </c>
      <c r="B2820" s="30" t="s">
        <v>1587</v>
      </c>
      <c r="D2820" s="30" t="s">
        <v>1588</v>
      </c>
      <c r="F2820" s="30" t="s">
        <v>1591</v>
      </c>
      <c r="H2820" s="30" t="s">
        <v>1592</v>
      </c>
      <c r="M2820" s="30" t="s">
        <v>12259</v>
      </c>
      <c r="N2820" s="30" t="s">
        <v>1457</v>
      </c>
      <c r="P2820" s="30" t="s">
        <v>6972</v>
      </c>
      <c r="Q2820" t="s">
        <v>619</v>
      </c>
      <c r="R2820" t="s">
        <v>919</v>
      </c>
      <c r="S2820">
        <v>39</v>
      </c>
      <c r="T2820" s="29" t="str">
        <f t="shared" ref="T2820:T2833" si="123">HYPERLINK("https://ictv.global/ictv/proposals/2023.029B.Guarnerosvirinae_nsf.zip","2023.029B.Guarnerosvirinae_nsf.zip")</f>
        <v>2023.029B.Guarnerosvirinae_nsf.zip</v>
      </c>
      <c r="U2820" s="29" t="str">
        <f>HYPERLINK("https://ictv.global/taxonomy/taxondetails?taxnode_id=202307091","ictv.global=202307091")</f>
        <v>ictv.global=202307091</v>
      </c>
    </row>
    <row r="2821" spans="1:21">
      <c r="A2821">
        <v>2820</v>
      </c>
      <c r="B2821" s="30" t="s">
        <v>1587</v>
      </c>
      <c r="D2821" s="30" t="s">
        <v>1588</v>
      </c>
      <c r="F2821" s="30" t="s">
        <v>1591</v>
      </c>
      <c r="H2821" s="30" t="s">
        <v>1592</v>
      </c>
      <c r="M2821" s="30" t="s">
        <v>12259</v>
      </c>
      <c r="N2821" s="30" t="s">
        <v>12260</v>
      </c>
      <c r="P2821" s="30" t="s">
        <v>12261</v>
      </c>
      <c r="Q2821" t="s">
        <v>619</v>
      </c>
      <c r="R2821" t="s">
        <v>917</v>
      </c>
      <c r="S2821">
        <v>39</v>
      </c>
      <c r="T2821" s="29" t="str">
        <f t="shared" si="123"/>
        <v>2023.029B.Guarnerosvirinae_nsf.zip</v>
      </c>
      <c r="U2821" s="29" t="str">
        <f>HYPERLINK("https://ictv.global/taxonomy/taxondetails?taxnode_id=202319047","ictv.global=202319047")</f>
        <v>ictv.global=202319047</v>
      </c>
    </row>
    <row r="2822" spans="1:21">
      <c r="A2822">
        <v>2821</v>
      </c>
      <c r="B2822" s="30" t="s">
        <v>1587</v>
      </c>
      <c r="D2822" s="30" t="s">
        <v>1588</v>
      </c>
      <c r="F2822" s="30" t="s">
        <v>1591</v>
      </c>
      <c r="H2822" s="30" t="s">
        <v>1592</v>
      </c>
      <c r="M2822" s="30" t="s">
        <v>12259</v>
      </c>
      <c r="N2822" s="30" t="s">
        <v>12260</v>
      </c>
      <c r="P2822" s="30" t="s">
        <v>12262</v>
      </c>
      <c r="Q2822" t="s">
        <v>619</v>
      </c>
      <c r="R2822" t="s">
        <v>918</v>
      </c>
      <c r="S2822">
        <v>39</v>
      </c>
      <c r="T2822" s="29" t="str">
        <f t="shared" si="123"/>
        <v>2023.029B.Guarnerosvirinae_nsf.zip</v>
      </c>
      <c r="U2822" s="29" t="str">
        <f>HYPERLINK("https://ictv.global/taxonomy/taxondetails?taxnode_id=202307094","ictv.global=202307094")</f>
        <v>ictv.global=202307094</v>
      </c>
    </row>
    <row r="2823" spans="1:21">
      <c r="A2823">
        <v>2822</v>
      </c>
      <c r="B2823" s="30" t="s">
        <v>1587</v>
      </c>
      <c r="D2823" s="30" t="s">
        <v>1588</v>
      </c>
      <c r="F2823" s="30" t="s">
        <v>1591</v>
      </c>
      <c r="H2823" s="30" t="s">
        <v>1592</v>
      </c>
      <c r="M2823" s="30" t="s">
        <v>12259</v>
      </c>
      <c r="N2823" s="30" t="s">
        <v>12260</v>
      </c>
      <c r="P2823" s="30" t="s">
        <v>12263</v>
      </c>
      <c r="Q2823" t="s">
        <v>619</v>
      </c>
      <c r="R2823" t="s">
        <v>918</v>
      </c>
      <c r="S2823">
        <v>39</v>
      </c>
      <c r="T2823" s="29" t="str">
        <f t="shared" si="123"/>
        <v>2023.029B.Guarnerosvirinae_nsf.zip</v>
      </c>
      <c r="U2823" s="29" t="str">
        <f>HYPERLINK("https://ictv.global/taxonomy/taxondetails?taxnode_id=202307092","ictv.global=202307092")</f>
        <v>ictv.global=202307092</v>
      </c>
    </row>
    <row r="2824" spans="1:21">
      <c r="A2824">
        <v>2823</v>
      </c>
      <c r="B2824" s="30" t="s">
        <v>1587</v>
      </c>
      <c r="D2824" s="30" t="s">
        <v>1588</v>
      </c>
      <c r="F2824" s="30" t="s">
        <v>1591</v>
      </c>
      <c r="H2824" s="30" t="s">
        <v>1592</v>
      </c>
      <c r="M2824" s="30" t="s">
        <v>12259</v>
      </c>
      <c r="N2824" s="30" t="s">
        <v>12260</v>
      </c>
      <c r="P2824" s="30" t="s">
        <v>12264</v>
      </c>
      <c r="Q2824" t="s">
        <v>619</v>
      </c>
      <c r="R2824" t="s">
        <v>918</v>
      </c>
      <c r="S2824">
        <v>39</v>
      </c>
      <c r="T2824" s="29" t="str">
        <f t="shared" si="123"/>
        <v>2023.029B.Guarnerosvirinae_nsf.zip</v>
      </c>
      <c r="U2824" s="29" t="str">
        <f>HYPERLINK("https://ictv.global/taxonomy/taxondetails?taxnode_id=202307093","ictv.global=202307093")</f>
        <v>ictv.global=202307093</v>
      </c>
    </row>
    <row r="2825" spans="1:21">
      <c r="A2825">
        <v>2824</v>
      </c>
      <c r="B2825" s="30" t="s">
        <v>1587</v>
      </c>
      <c r="D2825" s="30" t="s">
        <v>1588</v>
      </c>
      <c r="F2825" s="30" t="s">
        <v>1591</v>
      </c>
      <c r="H2825" s="30" t="s">
        <v>1592</v>
      </c>
      <c r="M2825" s="30" t="s">
        <v>12259</v>
      </c>
      <c r="N2825" s="30" t="s">
        <v>12260</v>
      </c>
      <c r="P2825" s="30" t="s">
        <v>12265</v>
      </c>
      <c r="Q2825" t="s">
        <v>619</v>
      </c>
      <c r="R2825" t="s">
        <v>917</v>
      </c>
      <c r="S2825">
        <v>39</v>
      </c>
      <c r="T2825" s="29" t="str">
        <f t="shared" si="123"/>
        <v>2023.029B.Guarnerosvirinae_nsf.zip</v>
      </c>
      <c r="U2825" s="29" t="str">
        <f>HYPERLINK("https://ictv.global/taxonomy/taxondetails?taxnode_id=202319045","ictv.global=202319045")</f>
        <v>ictv.global=202319045</v>
      </c>
    </row>
    <row r="2826" spans="1:21">
      <c r="A2826">
        <v>2825</v>
      </c>
      <c r="B2826" s="30" t="s">
        <v>1587</v>
      </c>
      <c r="D2826" s="30" t="s">
        <v>1588</v>
      </c>
      <c r="F2826" s="30" t="s">
        <v>1591</v>
      </c>
      <c r="H2826" s="30" t="s">
        <v>1592</v>
      </c>
      <c r="M2826" s="30" t="s">
        <v>12259</v>
      </c>
      <c r="N2826" s="30" t="s">
        <v>12260</v>
      </c>
      <c r="P2826" s="30" t="s">
        <v>12266</v>
      </c>
      <c r="Q2826" t="s">
        <v>619</v>
      </c>
      <c r="R2826" t="s">
        <v>917</v>
      </c>
      <c r="S2826">
        <v>39</v>
      </c>
      <c r="T2826" s="29" t="str">
        <f t="shared" si="123"/>
        <v>2023.029B.Guarnerosvirinae_nsf.zip</v>
      </c>
      <c r="U2826" s="29" t="str">
        <f>HYPERLINK("https://ictv.global/taxonomy/taxondetails?taxnode_id=202319046","ictv.global=202319046")</f>
        <v>ictv.global=202319046</v>
      </c>
    </row>
    <row r="2827" spans="1:21">
      <c r="A2827">
        <v>2826</v>
      </c>
      <c r="B2827" s="30" t="s">
        <v>1587</v>
      </c>
      <c r="D2827" s="30" t="s">
        <v>1588</v>
      </c>
      <c r="F2827" s="30" t="s">
        <v>1591</v>
      </c>
      <c r="H2827" s="30" t="s">
        <v>1592</v>
      </c>
      <c r="M2827" s="30" t="s">
        <v>12259</v>
      </c>
      <c r="N2827" s="30" t="s">
        <v>12267</v>
      </c>
      <c r="P2827" s="30" t="s">
        <v>12268</v>
      </c>
      <c r="Q2827" t="s">
        <v>619</v>
      </c>
      <c r="R2827" t="s">
        <v>917</v>
      </c>
      <c r="S2827">
        <v>39</v>
      </c>
      <c r="T2827" s="29" t="str">
        <f t="shared" si="123"/>
        <v>2023.029B.Guarnerosvirinae_nsf.zip</v>
      </c>
      <c r="U2827" s="29" t="str">
        <f>HYPERLINK("https://ictv.global/taxonomy/taxondetails?taxnode_id=202319041","ictv.global=202319041")</f>
        <v>ictv.global=202319041</v>
      </c>
    </row>
    <row r="2828" spans="1:21">
      <c r="A2828">
        <v>2827</v>
      </c>
      <c r="B2828" s="30" t="s">
        <v>1587</v>
      </c>
      <c r="D2828" s="30" t="s">
        <v>1588</v>
      </c>
      <c r="F2828" s="30" t="s">
        <v>1591</v>
      </c>
      <c r="H2828" s="30" t="s">
        <v>1592</v>
      </c>
      <c r="M2828" s="30" t="s">
        <v>12259</v>
      </c>
      <c r="N2828" s="30" t="s">
        <v>12267</v>
      </c>
      <c r="P2828" s="30" t="s">
        <v>12269</v>
      </c>
      <c r="Q2828" t="s">
        <v>619</v>
      </c>
      <c r="R2828" t="s">
        <v>917</v>
      </c>
      <c r="S2828">
        <v>39</v>
      </c>
      <c r="T2828" s="29" t="str">
        <f t="shared" si="123"/>
        <v>2023.029B.Guarnerosvirinae_nsf.zip</v>
      </c>
      <c r="U2828" s="29" t="str">
        <f>HYPERLINK("https://ictv.global/taxonomy/taxondetails?taxnode_id=202319039","ictv.global=202319039")</f>
        <v>ictv.global=202319039</v>
      </c>
    </row>
    <row r="2829" spans="1:21">
      <c r="A2829">
        <v>2828</v>
      </c>
      <c r="B2829" s="30" t="s">
        <v>1587</v>
      </c>
      <c r="D2829" s="30" t="s">
        <v>1588</v>
      </c>
      <c r="F2829" s="30" t="s">
        <v>1591</v>
      </c>
      <c r="H2829" s="30" t="s">
        <v>1592</v>
      </c>
      <c r="M2829" s="30" t="s">
        <v>12259</v>
      </c>
      <c r="N2829" s="30" t="s">
        <v>12267</v>
      </c>
      <c r="P2829" s="30" t="s">
        <v>12270</v>
      </c>
      <c r="Q2829" t="s">
        <v>619</v>
      </c>
      <c r="R2829" t="s">
        <v>917</v>
      </c>
      <c r="S2829">
        <v>39</v>
      </c>
      <c r="T2829" s="29" t="str">
        <f t="shared" si="123"/>
        <v>2023.029B.Guarnerosvirinae_nsf.zip</v>
      </c>
      <c r="U2829" s="29" t="str">
        <f>HYPERLINK("https://ictv.global/taxonomy/taxondetails?taxnode_id=202319043","ictv.global=202319043")</f>
        <v>ictv.global=202319043</v>
      </c>
    </row>
    <row r="2830" spans="1:21">
      <c r="A2830">
        <v>2829</v>
      </c>
      <c r="B2830" s="30" t="s">
        <v>1587</v>
      </c>
      <c r="D2830" s="30" t="s">
        <v>1588</v>
      </c>
      <c r="F2830" s="30" t="s">
        <v>1591</v>
      </c>
      <c r="H2830" s="30" t="s">
        <v>1592</v>
      </c>
      <c r="M2830" s="30" t="s">
        <v>12259</v>
      </c>
      <c r="N2830" s="30" t="s">
        <v>12267</v>
      </c>
      <c r="P2830" s="30" t="s">
        <v>12271</v>
      </c>
      <c r="Q2830" t="s">
        <v>619</v>
      </c>
      <c r="R2830" t="s">
        <v>917</v>
      </c>
      <c r="S2830">
        <v>39</v>
      </c>
      <c r="T2830" s="29" t="str">
        <f t="shared" si="123"/>
        <v>2023.029B.Guarnerosvirinae_nsf.zip</v>
      </c>
      <c r="U2830" s="29" t="str">
        <f>HYPERLINK("https://ictv.global/taxonomy/taxondetails?taxnode_id=202319042","ictv.global=202319042")</f>
        <v>ictv.global=202319042</v>
      </c>
    </row>
    <row r="2831" spans="1:21">
      <c r="A2831">
        <v>2830</v>
      </c>
      <c r="B2831" s="30" t="s">
        <v>1587</v>
      </c>
      <c r="D2831" s="30" t="s">
        <v>1588</v>
      </c>
      <c r="F2831" s="30" t="s">
        <v>1591</v>
      </c>
      <c r="H2831" s="30" t="s">
        <v>1592</v>
      </c>
      <c r="M2831" s="30" t="s">
        <v>12259</v>
      </c>
      <c r="N2831" s="30" t="s">
        <v>12267</v>
      </c>
      <c r="P2831" s="30" t="s">
        <v>12272</v>
      </c>
      <c r="Q2831" t="s">
        <v>619</v>
      </c>
      <c r="R2831" t="s">
        <v>917</v>
      </c>
      <c r="S2831">
        <v>39</v>
      </c>
      <c r="T2831" s="29" t="str">
        <f t="shared" si="123"/>
        <v>2023.029B.Guarnerosvirinae_nsf.zip</v>
      </c>
      <c r="U2831" s="29" t="str">
        <f>HYPERLINK("https://ictv.global/taxonomy/taxondetails?taxnode_id=202319038","ictv.global=202319038")</f>
        <v>ictv.global=202319038</v>
      </c>
    </row>
    <row r="2832" spans="1:21">
      <c r="A2832">
        <v>2831</v>
      </c>
      <c r="B2832" s="30" t="s">
        <v>1587</v>
      </c>
      <c r="D2832" s="30" t="s">
        <v>1588</v>
      </c>
      <c r="F2832" s="30" t="s">
        <v>1591</v>
      </c>
      <c r="H2832" s="30" t="s">
        <v>1592</v>
      </c>
      <c r="M2832" s="30" t="s">
        <v>12259</v>
      </c>
      <c r="N2832" s="30" t="s">
        <v>12267</v>
      </c>
      <c r="P2832" s="30" t="s">
        <v>12273</v>
      </c>
      <c r="Q2832" t="s">
        <v>619</v>
      </c>
      <c r="R2832" t="s">
        <v>917</v>
      </c>
      <c r="S2832">
        <v>39</v>
      </c>
      <c r="T2832" s="29" t="str">
        <f t="shared" si="123"/>
        <v>2023.029B.Guarnerosvirinae_nsf.zip</v>
      </c>
      <c r="U2832" s="29" t="str">
        <f>HYPERLINK("https://ictv.global/taxonomy/taxondetails?taxnode_id=202319040","ictv.global=202319040")</f>
        <v>ictv.global=202319040</v>
      </c>
    </row>
    <row r="2833" spans="1:21">
      <c r="A2833">
        <v>2832</v>
      </c>
      <c r="B2833" s="30" t="s">
        <v>1587</v>
      </c>
      <c r="D2833" s="30" t="s">
        <v>1588</v>
      </c>
      <c r="F2833" s="30" t="s">
        <v>1591</v>
      </c>
      <c r="H2833" s="30" t="s">
        <v>1592</v>
      </c>
      <c r="M2833" s="30" t="s">
        <v>12259</v>
      </c>
      <c r="N2833" s="30" t="s">
        <v>12267</v>
      </c>
      <c r="P2833" s="30" t="s">
        <v>12274</v>
      </c>
      <c r="Q2833" t="s">
        <v>619</v>
      </c>
      <c r="R2833" t="s">
        <v>917</v>
      </c>
      <c r="S2833">
        <v>39</v>
      </c>
      <c r="T2833" s="29" t="str">
        <f t="shared" si="123"/>
        <v>2023.029B.Guarnerosvirinae_nsf.zip</v>
      </c>
      <c r="U2833" s="29" t="str">
        <f>HYPERLINK("https://ictv.global/taxonomy/taxondetails?taxnode_id=202319044","ictv.global=202319044")</f>
        <v>ictv.global=202319044</v>
      </c>
    </row>
    <row r="2834" spans="1:21">
      <c r="A2834">
        <v>2833</v>
      </c>
      <c r="B2834" s="30" t="s">
        <v>1587</v>
      </c>
      <c r="D2834" s="30" t="s">
        <v>1588</v>
      </c>
      <c r="F2834" s="30" t="s">
        <v>1591</v>
      </c>
      <c r="H2834" s="30" t="s">
        <v>1592</v>
      </c>
      <c r="M2834" s="30" t="s">
        <v>652</v>
      </c>
      <c r="N2834" s="30" t="s">
        <v>1443</v>
      </c>
      <c r="P2834" s="30" t="s">
        <v>12275</v>
      </c>
      <c r="Q2834" t="s">
        <v>619</v>
      </c>
      <c r="R2834" t="s">
        <v>917</v>
      </c>
      <c r="S2834">
        <v>39</v>
      </c>
      <c r="T2834" s="29" t="str">
        <f>HYPERLINK("https://ictv.global/ictv/proposals/2023.017B.Cornellvirus_8ns.zip","2023.017B.Cornellvirus_8ns.zip")</f>
        <v>2023.017B.Cornellvirus_8ns.zip</v>
      </c>
      <c r="U2834" s="29" t="str">
        <f>HYPERLINK("https://ictv.global/taxonomy/taxondetails?taxnode_id=202318277","ictv.global=202318277")</f>
        <v>ictv.global=202318277</v>
      </c>
    </row>
    <row r="2835" spans="1:21">
      <c r="A2835">
        <v>2834</v>
      </c>
      <c r="B2835" s="30" t="s">
        <v>1587</v>
      </c>
      <c r="D2835" s="30" t="s">
        <v>1588</v>
      </c>
      <c r="F2835" s="30" t="s">
        <v>1591</v>
      </c>
      <c r="H2835" s="30" t="s">
        <v>1592</v>
      </c>
      <c r="M2835" s="30" t="s">
        <v>652</v>
      </c>
      <c r="N2835" s="30" t="s">
        <v>1443</v>
      </c>
      <c r="P2835" s="30" t="s">
        <v>12276</v>
      </c>
      <c r="Q2835" t="s">
        <v>619</v>
      </c>
      <c r="R2835" t="s">
        <v>917</v>
      </c>
      <c r="S2835">
        <v>39</v>
      </c>
      <c r="T2835" s="29" t="str">
        <f>HYPERLINK("https://ictv.global/ictv/proposals/2023.017B.Cornellvirus_8ns.zip","2023.017B.Cornellvirus_8ns.zip")</f>
        <v>2023.017B.Cornellvirus_8ns.zip</v>
      </c>
      <c r="U2835" s="29" t="str">
        <f>HYPERLINK("https://ictv.global/taxonomy/taxondetails?taxnode_id=202318281","ictv.global=202318281")</f>
        <v>ictv.global=202318281</v>
      </c>
    </row>
    <row r="2836" spans="1:21">
      <c r="A2836">
        <v>2835</v>
      </c>
      <c r="B2836" s="30" t="s">
        <v>1587</v>
      </c>
      <c r="D2836" s="30" t="s">
        <v>1588</v>
      </c>
      <c r="F2836" s="30" t="s">
        <v>1591</v>
      </c>
      <c r="H2836" s="30" t="s">
        <v>1592</v>
      </c>
      <c r="M2836" s="30" t="s">
        <v>652</v>
      </c>
      <c r="N2836" s="30" t="s">
        <v>1443</v>
      </c>
      <c r="P2836" s="30" t="s">
        <v>12277</v>
      </c>
      <c r="Q2836" t="s">
        <v>619</v>
      </c>
      <c r="R2836" t="s">
        <v>917</v>
      </c>
      <c r="S2836">
        <v>39</v>
      </c>
      <c r="T2836" s="29" t="str">
        <f>HYPERLINK("https://ictv.global/ictv/proposals/2023.017B.Cornellvirus_8ns.zip","2023.017B.Cornellvirus_8ns.zip")</f>
        <v>2023.017B.Cornellvirus_8ns.zip</v>
      </c>
      <c r="U2836" s="29" t="str">
        <f>HYPERLINK("https://ictv.global/taxonomy/taxondetails?taxnode_id=202318279","ictv.global=202318279")</f>
        <v>ictv.global=202318279</v>
      </c>
    </row>
    <row r="2837" spans="1:21">
      <c r="A2837">
        <v>2836</v>
      </c>
      <c r="B2837" s="30" t="s">
        <v>1587</v>
      </c>
      <c r="D2837" s="30" t="s">
        <v>1588</v>
      </c>
      <c r="F2837" s="30" t="s">
        <v>1591</v>
      </c>
      <c r="H2837" s="30" t="s">
        <v>1592</v>
      </c>
      <c r="M2837" s="30" t="s">
        <v>652</v>
      </c>
      <c r="N2837" s="30" t="s">
        <v>1443</v>
      </c>
      <c r="P2837" s="30" t="s">
        <v>12278</v>
      </c>
      <c r="Q2837" t="s">
        <v>619</v>
      </c>
      <c r="R2837" t="s">
        <v>917</v>
      </c>
      <c r="S2837">
        <v>39</v>
      </c>
      <c r="T2837" s="29" t="str">
        <f>HYPERLINK("https://ictv.global/ictv/proposals/2023.017B.Cornellvirus_8ns.zip","2023.017B.Cornellvirus_8ns.zip")</f>
        <v>2023.017B.Cornellvirus_8ns.zip</v>
      </c>
      <c r="U2837" s="29" t="str">
        <f>HYPERLINK("https://ictv.global/taxonomy/taxondetails?taxnode_id=202318282","ictv.global=202318282")</f>
        <v>ictv.global=202318282</v>
      </c>
    </row>
    <row r="2838" spans="1:21">
      <c r="A2838">
        <v>2837</v>
      </c>
      <c r="B2838" s="30" t="s">
        <v>1587</v>
      </c>
      <c r="D2838" s="30" t="s">
        <v>1588</v>
      </c>
      <c r="F2838" s="30" t="s">
        <v>1591</v>
      </c>
      <c r="H2838" s="30" t="s">
        <v>1592</v>
      </c>
      <c r="M2838" s="30" t="s">
        <v>652</v>
      </c>
      <c r="N2838" s="30" t="s">
        <v>1443</v>
      </c>
      <c r="P2838" s="30" t="s">
        <v>6494</v>
      </c>
      <c r="Q2838" t="s">
        <v>619</v>
      </c>
      <c r="R2838" t="s">
        <v>918</v>
      </c>
      <c r="S2838">
        <v>37</v>
      </c>
      <c r="T2838" s="29" t="str">
        <f>HYPERLINK("https://ictv.global/ictv/proposals/2021.010B.R.Binomial_names.zip","2021.010B.R.Binomial_names.zip")</f>
        <v>2021.010B.R.Binomial_names.zip</v>
      </c>
      <c r="U2838" s="29" t="str">
        <f>HYPERLINK("https://ictv.global/taxonomy/taxondetails?taxnode_id=202300786","ictv.global=202300786")</f>
        <v>ictv.global=202300786</v>
      </c>
    </row>
    <row r="2839" spans="1:21">
      <c r="A2839">
        <v>2838</v>
      </c>
      <c r="B2839" s="30" t="s">
        <v>1587</v>
      </c>
      <c r="D2839" s="30" t="s">
        <v>1588</v>
      </c>
      <c r="F2839" s="30" t="s">
        <v>1591</v>
      </c>
      <c r="H2839" s="30" t="s">
        <v>1592</v>
      </c>
      <c r="M2839" s="30" t="s">
        <v>652</v>
      </c>
      <c r="N2839" s="30" t="s">
        <v>1443</v>
      </c>
      <c r="P2839" s="30" t="s">
        <v>12279</v>
      </c>
      <c r="Q2839" t="s">
        <v>619</v>
      </c>
      <c r="R2839" t="s">
        <v>917</v>
      </c>
      <c r="S2839">
        <v>39</v>
      </c>
      <c r="T2839" s="29" t="str">
        <f>HYPERLINK("https://ictv.global/ictv/proposals/2023.017B.Cornellvirus_8ns.zip","2023.017B.Cornellvirus_8ns.zip")</f>
        <v>2023.017B.Cornellvirus_8ns.zip</v>
      </c>
      <c r="U2839" s="29" t="str">
        <f>HYPERLINK("https://ictv.global/taxonomy/taxondetails?taxnode_id=202318276","ictv.global=202318276")</f>
        <v>ictv.global=202318276</v>
      </c>
    </row>
    <row r="2840" spans="1:21">
      <c r="A2840">
        <v>2839</v>
      </c>
      <c r="B2840" s="30" t="s">
        <v>1587</v>
      </c>
      <c r="D2840" s="30" t="s">
        <v>1588</v>
      </c>
      <c r="F2840" s="30" t="s">
        <v>1591</v>
      </c>
      <c r="H2840" s="30" t="s">
        <v>1592</v>
      </c>
      <c r="M2840" s="30" t="s">
        <v>652</v>
      </c>
      <c r="N2840" s="30" t="s">
        <v>1443</v>
      </c>
      <c r="P2840" s="30" t="s">
        <v>12280</v>
      </c>
      <c r="Q2840" t="s">
        <v>619</v>
      </c>
      <c r="R2840" t="s">
        <v>917</v>
      </c>
      <c r="S2840">
        <v>39</v>
      </c>
      <c r="T2840" s="29" t="str">
        <f>HYPERLINK("https://ictv.global/ictv/proposals/2023.017B.Cornellvirus_8ns.zip","2023.017B.Cornellvirus_8ns.zip")</f>
        <v>2023.017B.Cornellvirus_8ns.zip</v>
      </c>
      <c r="U2840" s="29" t="str">
        <f>HYPERLINK("https://ictv.global/taxonomy/taxondetails?taxnode_id=202318278","ictv.global=202318278")</f>
        <v>ictv.global=202318278</v>
      </c>
    </row>
    <row r="2841" spans="1:21">
      <c r="A2841">
        <v>2840</v>
      </c>
      <c r="B2841" s="30" t="s">
        <v>1587</v>
      </c>
      <c r="D2841" s="30" t="s">
        <v>1588</v>
      </c>
      <c r="F2841" s="30" t="s">
        <v>1591</v>
      </c>
      <c r="H2841" s="30" t="s">
        <v>1592</v>
      </c>
      <c r="M2841" s="30" t="s">
        <v>652</v>
      </c>
      <c r="N2841" s="30" t="s">
        <v>1443</v>
      </c>
      <c r="P2841" s="30" t="s">
        <v>12281</v>
      </c>
      <c r="Q2841" t="s">
        <v>619</v>
      </c>
      <c r="R2841" t="s">
        <v>917</v>
      </c>
      <c r="S2841">
        <v>39</v>
      </c>
      <c r="T2841" s="29" t="str">
        <f>HYPERLINK("https://ictv.global/ictv/proposals/2023.017B.Cornellvirus_8ns.zip","2023.017B.Cornellvirus_8ns.zip")</f>
        <v>2023.017B.Cornellvirus_8ns.zip</v>
      </c>
      <c r="U2841" s="29" t="str">
        <f>HYPERLINK("https://ictv.global/taxonomy/taxondetails?taxnode_id=202318283","ictv.global=202318283")</f>
        <v>ictv.global=202318283</v>
      </c>
    </row>
    <row r="2842" spans="1:21">
      <c r="A2842">
        <v>2841</v>
      </c>
      <c r="B2842" s="30" t="s">
        <v>1587</v>
      </c>
      <c r="D2842" s="30" t="s">
        <v>1588</v>
      </c>
      <c r="F2842" s="30" t="s">
        <v>1591</v>
      </c>
      <c r="H2842" s="30" t="s">
        <v>1592</v>
      </c>
      <c r="M2842" s="30" t="s">
        <v>652</v>
      </c>
      <c r="N2842" s="30" t="s">
        <v>1443</v>
      </c>
      <c r="P2842" s="30" t="s">
        <v>12282</v>
      </c>
      <c r="Q2842" t="s">
        <v>619</v>
      </c>
      <c r="R2842" t="s">
        <v>917</v>
      </c>
      <c r="S2842">
        <v>39</v>
      </c>
      <c r="T2842" s="29" t="str">
        <f>HYPERLINK("https://ictv.global/ictv/proposals/2023.017B.Cornellvirus_8ns.zip","2023.017B.Cornellvirus_8ns.zip")</f>
        <v>2023.017B.Cornellvirus_8ns.zip</v>
      </c>
      <c r="U2842" s="29" t="str">
        <f>HYPERLINK("https://ictv.global/taxonomy/taxondetails?taxnode_id=202318280","ictv.global=202318280")</f>
        <v>ictv.global=202318280</v>
      </c>
    </row>
    <row r="2843" spans="1:21">
      <c r="A2843">
        <v>2842</v>
      </c>
      <c r="B2843" s="30" t="s">
        <v>1587</v>
      </c>
      <c r="D2843" s="30" t="s">
        <v>1588</v>
      </c>
      <c r="F2843" s="30" t="s">
        <v>1591</v>
      </c>
      <c r="H2843" s="30" t="s">
        <v>1592</v>
      </c>
      <c r="M2843" s="30" t="s">
        <v>652</v>
      </c>
      <c r="N2843" s="30" t="s">
        <v>653</v>
      </c>
      <c r="P2843" s="30" t="s">
        <v>6495</v>
      </c>
      <c r="Q2843" t="s">
        <v>619</v>
      </c>
      <c r="R2843" t="s">
        <v>918</v>
      </c>
      <c r="S2843">
        <v>37</v>
      </c>
      <c r="T2843" s="29" t="str">
        <f>HYPERLINK("https://ictv.global/ictv/proposals/2021.010B.R.Binomial_names.zip","2021.010B.R.Binomial_names.zip")</f>
        <v>2021.010B.R.Binomial_names.zip</v>
      </c>
      <c r="U2843" s="29" t="str">
        <f>HYPERLINK("https://ictv.global/taxonomy/taxondetails?taxnode_id=202300767","ictv.global=202300767")</f>
        <v>ictv.global=202300767</v>
      </c>
    </row>
    <row r="2844" spans="1:21">
      <c r="A2844">
        <v>2843</v>
      </c>
      <c r="B2844" s="30" t="s">
        <v>1587</v>
      </c>
      <c r="D2844" s="30" t="s">
        <v>1588</v>
      </c>
      <c r="F2844" s="30" t="s">
        <v>1591</v>
      </c>
      <c r="H2844" s="30" t="s">
        <v>1592</v>
      </c>
      <c r="M2844" s="30" t="s">
        <v>652</v>
      </c>
      <c r="N2844" s="30" t="s">
        <v>653</v>
      </c>
      <c r="P2844" s="30" t="s">
        <v>12283</v>
      </c>
      <c r="Q2844" t="s">
        <v>619</v>
      </c>
      <c r="R2844" t="s">
        <v>917</v>
      </c>
      <c r="S2844">
        <v>39</v>
      </c>
      <c r="T2844" s="29" t="str">
        <f t="shared" ref="T2844:T2851" si="124">HYPERLINK("https://ictv.global/ictv/proposals/2023.037B.Jerseyvirus_52ns_ab1sp.zip","2023.037B.Jerseyvirus_52ns_ab1sp.zip")</f>
        <v>2023.037B.Jerseyvirus_52ns_ab1sp.zip</v>
      </c>
      <c r="U2844" s="29" t="str">
        <f>HYPERLINK("https://ictv.global/taxonomy/taxondetails?taxnode_id=202319110","ictv.global=202319110")</f>
        <v>ictv.global=202319110</v>
      </c>
    </row>
    <row r="2845" spans="1:21">
      <c r="A2845">
        <v>2844</v>
      </c>
      <c r="B2845" s="30" t="s">
        <v>1587</v>
      </c>
      <c r="D2845" s="30" t="s">
        <v>1588</v>
      </c>
      <c r="F2845" s="30" t="s">
        <v>1591</v>
      </c>
      <c r="H2845" s="30" t="s">
        <v>1592</v>
      </c>
      <c r="M2845" s="30" t="s">
        <v>652</v>
      </c>
      <c r="N2845" s="30" t="s">
        <v>653</v>
      </c>
      <c r="P2845" s="30" t="s">
        <v>12284</v>
      </c>
      <c r="Q2845" t="s">
        <v>619</v>
      </c>
      <c r="R2845" t="s">
        <v>917</v>
      </c>
      <c r="S2845">
        <v>39</v>
      </c>
      <c r="T2845" s="29" t="str">
        <f t="shared" si="124"/>
        <v>2023.037B.Jerseyvirus_52ns_ab1sp.zip</v>
      </c>
      <c r="U2845" s="29" t="str">
        <f>HYPERLINK("https://ictv.global/taxonomy/taxondetails?taxnode_id=202319142","ictv.global=202319142")</f>
        <v>ictv.global=202319142</v>
      </c>
    </row>
    <row r="2846" spans="1:21">
      <c r="A2846">
        <v>2845</v>
      </c>
      <c r="B2846" s="30" t="s">
        <v>1587</v>
      </c>
      <c r="D2846" s="30" t="s">
        <v>1588</v>
      </c>
      <c r="F2846" s="30" t="s">
        <v>1591</v>
      </c>
      <c r="H2846" s="30" t="s">
        <v>1592</v>
      </c>
      <c r="M2846" s="30" t="s">
        <v>652</v>
      </c>
      <c r="N2846" s="30" t="s">
        <v>653</v>
      </c>
      <c r="P2846" s="30" t="s">
        <v>12285</v>
      </c>
      <c r="Q2846" t="s">
        <v>619</v>
      </c>
      <c r="R2846" t="s">
        <v>917</v>
      </c>
      <c r="S2846">
        <v>39</v>
      </c>
      <c r="T2846" s="29" t="str">
        <f t="shared" si="124"/>
        <v>2023.037B.Jerseyvirus_52ns_ab1sp.zip</v>
      </c>
      <c r="U2846" s="29" t="str">
        <f>HYPERLINK("https://ictv.global/taxonomy/taxondetails?taxnode_id=202319139","ictv.global=202319139")</f>
        <v>ictv.global=202319139</v>
      </c>
    </row>
    <row r="2847" spans="1:21">
      <c r="A2847">
        <v>2846</v>
      </c>
      <c r="B2847" s="30" t="s">
        <v>1587</v>
      </c>
      <c r="D2847" s="30" t="s">
        <v>1588</v>
      </c>
      <c r="F2847" s="30" t="s">
        <v>1591</v>
      </c>
      <c r="H2847" s="30" t="s">
        <v>1592</v>
      </c>
      <c r="M2847" s="30" t="s">
        <v>652</v>
      </c>
      <c r="N2847" s="30" t="s">
        <v>653</v>
      </c>
      <c r="P2847" s="30" t="s">
        <v>12286</v>
      </c>
      <c r="Q2847" t="s">
        <v>619</v>
      </c>
      <c r="R2847" t="s">
        <v>917</v>
      </c>
      <c r="S2847">
        <v>39</v>
      </c>
      <c r="T2847" s="29" t="str">
        <f t="shared" si="124"/>
        <v>2023.037B.Jerseyvirus_52ns_ab1sp.zip</v>
      </c>
      <c r="U2847" s="29" t="str">
        <f>HYPERLINK("https://ictv.global/taxonomy/taxondetails?taxnode_id=202319144","ictv.global=202319144")</f>
        <v>ictv.global=202319144</v>
      </c>
    </row>
    <row r="2848" spans="1:21">
      <c r="A2848">
        <v>2847</v>
      </c>
      <c r="B2848" s="30" t="s">
        <v>1587</v>
      </c>
      <c r="D2848" s="30" t="s">
        <v>1588</v>
      </c>
      <c r="F2848" s="30" t="s">
        <v>1591</v>
      </c>
      <c r="H2848" s="30" t="s">
        <v>1592</v>
      </c>
      <c r="M2848" s="30" t="s">
        <v>652</v>
      </c>
      <c r="N2848" s="30" t="s">
        <v>653</v>
      </c>
      <c r="P2848" s="30" t="s">
        <v>12287</v>
      </c>
      <c r="Q2848" t="s">
        <v>619</v>
      </c>
      <c r="R2848" t="s">
        <v>917</v>
      </c>
      <c r="S2848">
        <v>39</v>
      </c>
      <c r="T2848" s="29" t="str">
        <f t="shared" si="124"/>
        <v>2023.037B.Jerseyvirus_52ns_ab1sp.zip</v>
      </c>
      <c r="U2848" s="29" t="str">
        <f>HYPERLINK("https://ictv.global/taxonomy/taxondetails?taxnode_id=202319156","ictv.global=202319156")</f>
        <v>ictv.global=202319156</v>
      </c>
    </row>
    <row r="2849" spans="1:21">
      <c r="A2849">
        <v>2848</v>
      </c>
      <c r="B2849" s="30" t="s">
        <v>1587</v>
      </c>
      <c r="D2849" s="30" t="s">
        <v>1588</v>
      </c>
      <c r="F2849" s="30" t="s">
        <v>1591</v>
      </c>
      <c r="H2849" s="30" t="s">
        <v>1592</v>
      </c>
      <c r="M2849" s="30" t="s">
        <v>652</v>
      </c>
      <c r="N2849" s="30" t="s">
        <v>653</v>
      </c>
      <c r="P2849" s="30" t="s">
        <v>12288</v>
      </c>
      <c r="Q2849" t="s">
        <v>619</v>
      </c>
      <c r="R2849" t="s">
        <v>917</v>
      </c>
      <c r="S2849">
        <v>39</v>
      </c>
      <c r="T2849" s="29" t="str">
        <f t="shared" si="124"/>
        <v>2023.037B.Jerseyvirus_52ns_ab1sp.zip</v>
      </c>
      <c r="U2849" s="29" t="str">
        <f>HYPERLINK("https://ictv.global/taxonomy/taxondetails?taxnode_id=202319138","ictv.global=202319138")</f>
        <v>ictv.global=202319138</v>
      </c>
    </row>
    <row r="2850" spans="1:21">
      <c r="A2850">
        <v>2849</v>
      </c>
      <c r="B2850" s="30" t="s">
        <v>1587</v>
      </c>
      <c r="D2850" s="30" t="s">
        <v>1588</v>
      </c>
      <c r="F2850" s="30" t="s">
        <v>1591</v>
      </c>
      <c r="H2850" s="30" t="s">
        <v>1592</v>
      </c>
      <c r="M2850" s="30" t="s">
        <v>652</v>
      </c>
      <c r="N2850" s="30" t="s">
        <v>653</v>
      </c>
      <c r="P2850" s="30" t="s">
        <v>12289</v>
      </c>
      <c r="Q2850" t="s">
        <v>619</v>
      </c>
      <c r="R2850" t="s">
        <v>917</v>
      </c>
      <c r="S2850">
        <v>39</v>
      </c>
      <c r="T2850" s="29" t="str">
        <f t="shared" si="124"/>
        <v>2023.037B.Jerseyvirus_52ns_ab1sp.zip</v>
      </c>
      <c r="U2850" s="29" t="str">
        <f>HYPERLINK("https://ictv.global/taxonomy/taxondetails?taxnode_id=202319124","ictv.global=202319124")</f>
        <v>ictv.global=202319124</v>
      </c>
    </row>
    <row r="2851" spans="1:21">
      <c r="A2851">
        <v>2850</v>
      </c>
      <c r="B2851" s="30" t="s">
        <v>1587</v>
      </c>
      <c r="D2851" s="30" t="s">
        <v>1588</v>
      </c>
      <c r="F2851" s="30" t="s">
        <v>1591</v>
      </c>
      <c r="H2851" s="30" t="s">
        <v>1592</v>
      </c>
      <c r="M2851" s="30" t="s">
        <v>652</v>
      </c>
      <c r="N2851" s="30" t="s">
        <v>653</v>
      </c>
      <c r="P2851" s="30" t="s">
        <v>12290</v>
      </c>
      <c r="Q2851" t="s">
        <v>619</v>
      </c>
      <c r="R2851" t="s">
        <v>917</v>
      </c>
      <c r="S2851">
        <v>39</v>
      </c>
      <c r="T2851" s="29" t="str">
        <f t="shared" si="124"/>
        <v>2023.037B.Jerseyvirus_52ns_ab1sp.zip</v>
      </c>
      <c r="U2851" s="29" t="str">
        <f>HYPERLINK("https://ictv.global/taxonomy/taxondetails?taxnode_id=202319128","ictv.global=202319128")</f>
        <v>ictv.global=202319128</v>
      </c>
    </row>
    <row r="2852" spans="1:21">
      <c r="A2852">
        <v>2851</v>
      </c>
      <c r="B2852" s="30" t="s">
        <v>1587</v>
      </c>
      <c r="D2852" s="30" t="s">
        <v>1588</v>
      </c>
      <c r="F2852" s="30" t="s">
        <v>1591</v>
      </c>
      <c r="H2852" s="30" t="s">
        <v>1592</v>
      </c>
      <c r="M2852" s="30" t="s">
        <v>652</v>
      </c>
      <c r="N2852" s="30" t="s">
        <v>653</v>
      </c>
      <c r="P2852" s="30" t="s">
        <v>6496</v>
      </c>
      <c r="Q2852" t="s">
        <v>619</v>
      </c>
      <c r="R2852" t="s">
        <v>918</v>
      </c>
      <c r="S2852">
        <v>37</v>
      </c>
      <c r="T2852" s="29" t="str">
        <f>HYPERLINK("https://ictv.global/ictv/proposals/2021.010B.R.Binomial_names.zip","2021.010B.R.Binomial_names.zip")</f>
        <v>2021.010B.R.Binomial_names.zip</v>
      </c>
      <c r="U2852" s="29" t="str">
        <f>HYPERLINK("https://ictv.global/taxonomy/taxondetails?taxnode_id=202300768","ictv.global=202300768")</f>
        <v>ictv.global=202300768</v>
      </c>
    </row>
    <row r="2853" spans="1:21">
      <c r="A2853">
        <v>2852</v>
      </c>
      <c r="B2853" s="30" t="s">
        <v>1587</v>
      </c>
      <c r="D2853" s="30" t="s">
        <v>1588</v>
      </c>
      <c r="F2853" s="30" t="s">
        <v>1591</v>
      </c>
      <c r="H2853" s="30" t="s">
        <v>1592</v>
      </c>
      <c r="M2853" s="30" t="s">
        <v>652</v>
      </c>
      <c r="N2853" s="30" t="s">
        <v>653</v>
      </c>
      <c r="P2853" s="30" t="s">
        <v>12291</v>
      </c>
      <c r="Q2853" t="s">
        <v>619</v>
      </c>
      <c r="R2853" t="s">
        <v>917</v>
      </c>
      <c r="S2853">
        <v>39</v>
      </c>
      <c r="T2853" s="29" t="str">
        <f>HYPERLINK("https://ictv.global/ictv/proposals/2023.037B.Jerseyvirus_52ns_ab1sp.zip","2023.037B.Jerseyvirus_52ns_ab1sp.zip")</f>
        <v>2023.037B.Jerseyvirus_52ns_ab1sp.zip</v>
      </c>
      <c r="U2853" s="29" t="str">
        <f>HYPERLINK("https://ictv.global/taxonomy/taxondetails?taxnode_id=202319152","ictv.global=202319152")</f>
        <v>ictv.global=202319152</v>
      </c>
    </row>
    <row r="2854" spans="1:21">
      <c r="A2854">
        <v>2853</v>
      </c>
      <c r="B2854" s="30" t="s">
        <v>1587</v>
      </c>
      <c r="D2854" s="30" t="s">
        <v>1588</v>
      </c>
      <c r="F2854" s="30" t="s">
        <v>1591</v>
      </c>
      <c r="H2854" s="30" t="s">
        <v>1592</v>
      </c>
      <c r="M2854" s="30" t="s">
        <v>652</v>
      </c>
      <c r="N2854" s="30" t="s">
        <v>653</v>
      </c>
      <c r="P2854" s="30" t="s">
        <v>12292</v>
      </c>
      <c r="Q2854" t="s">
        <v>619</v>
      </c>
      <c r="R2854" t="s">
        <v>917</v>
      </c>
      <c r="S2854">
        <v>39</v>
      </c>
      <c r="T2854" s="29" t="str">
        <f>HYPERLINK("https://ictv.global/ictv/proposals/2023.037B.Jerseyvirus_52ns_ab1sp.zip","2023.037B.Jerseyvirus_52ns_ab1sp.zip")</f>
        <v>2023.037B.Jerseyvirus_52ns_ab1sp.zip</v>
      </c>
      <c r="U2854" s="29" t="str">
        <f>HYPERLINK("https://ictv.global/taxonomy/taxondetails?taxnode_id=202319135","ictv.global=202319135")</f>
        <v>ictv.global=202319135</v>
      </c>
    </row>
    <row r="2855" spans="1:21">
      <c r="A2855">
        <v>2854</v>
      </c>
      <c r="B2855" s="30" t="s">
        <v>1587</v>
      </c>
      <c r="D2855" s="30" t="s">
        <v>1588</v>
      </c>
      <c r="F2855" s="30" t="s">
        <v>1591</v>
      </c>
      <c r="H2855" s="30" t="s">
        <v>1592</v>
      </c>
      <c r="M2855" s="30" t="s">
        <v>652</v>
      </c>
      <c r="N2855" s="30" t="s">
        <v>653</v>
      </c>
      <c r="P2855" s="30" t="s">
        <v>12293</v>
      </c>
      <c r="Q2855" t="s">
        <v>619</v>
      </c>
      <c r="R2855" t="s">
        <v>917</v>
      </c>
      <c r="S2855">
        <v>39</v>
      </c>
      <c r="T2855" s="29" t="str">
        <f>HYPERLINK("https://ictv.global/ictv/proposals/2023.037B.Jerseyvirus_52ns_ab1sp.zip","2023.037B.Jerseyvirus_52ns_ab1sp.zip")</f>
        <v>2023.037B.Jerseyvirus_52ns_ab1sp.zip</v>
      </c>
      <c r="U2855" s="29" t="str">
        <f>HYPERLINK("https://ictv.global/taxonomy/taxondetails?taxnode_id=202319134","ictv.global=202319134")</f>
        <v>ictv.global=202319134</v>
      </c>
    </row>
    <row r="2856" spans="1:21">
      <c r="A2856">
        <v>2855</v>
      </c>
      <c r="B2856" s="30" t="s">
        <v>1587</v>
      </c>
      <c r="D2856" s="30" t="s">
        <v>1588</v>
      </c>
      <c r="F2856" s="30" t="s">
        <v>1591</v>
      </c>
      <c r="H2856" s="30" t="s">
        <v>1592</v>
      </c>
      <c r="M2856" s="30" t="s">
        <v>652</v>
      </c>
      <c r="N2856" s="30" t="s">
        <v>653</v>
      </c>
      <c r="P2856" s="30" t="s">
        <v>12294</v>
      </c>
      <c r="Q2856" t="s">
        <v>619</v>
      </c>
      <c r="R2856" t="s">
        <v>917</v>
      </c>
      <c r="S2856">
        <v>39</v>
      </c>
      <c r="T2856" s="29" t="str">
        <f>HYPERLINK("https://ictv.global/ictv/proposals/2023.037B.Jerseyvirus_52ns_ab1sp.zip","2023.037B.Jerseyvirus_52ns_ab1sp.zip")</f>
        <v>2023.037B.Jerseyvirus_52ns_ab1sp.zip</v>
      </c>
      <c r="U2856" s="29" t="str">
        <f>HYPERLINK("https://ictv.global/taxonomy/taxondetails?taxnode_id=202319121","ictv.global=202319121")</f>
        <v>ictv.global=202319121</v>
      </c>
    </row>
    <row r="2857" spans="1:21">
      <c r="A2857">
        <v>2856</v>
      </c>
      <c r="B2857" s="30" t="s">
        <v>1587</v>
      </c>
      <c r="D2857" s="30" t="s">
        <v>1588</v>
      </c>
      <c r="F2857" s="30" t="s">
        <v>1591</v>
      </c>
      <c r="H2857" s="30" t="s">
        <v>1592</v>
      </c>
      <c r="M2857" s="30" t="s">
        <v>652</v>
      </c>
      <c r="N2857" s="30" t="s">
        <v>653</v>
      </c>
      <c r="P2857" s="30" t="s">
        <v>12295</v>
      </c>
      <c r="Q2857" t="s">
        <v>619</v>
      </c>
      <c r="R2857" t="s">
        <v>917</v>
      </c>
      <c r="S2857">
        <v>39</v>
      </c>
      <c r="T2857" s="29" t="str">
        <f>HYPERLINK("https://ictv.global/ictv/proposals/2023.037B.Jerseyvirus_52ns_ab1sp.zip","2023.037B.Jerseyvirus_52ns_ab1sp.zip")</f>
        <v>2023.037B.Jerseyvirus_52ns_ab1sp.zip</v>
      </c>
      <c r="U2857" s="29" t="str">
        <f>HYPERLINK("https://ictv.global/taxonomy/taxondetails?taxnode_id=202319129","ictv.global=202319129")</f>
        <v>ictv.global=202319129</v>
      </c>
    </row>
    <row r="2858" spans="1:21">
      <c r="A2858">
        <v>2857</v>
      </c>
      <c r="B2858" s="30" t="s">
        <v>1587</v>
      </c>
      <c r="D2858" s="30" t="s">
        <v>1588</v>
      </c>
      <c r="F2858" s="30" t="s">
        <v>1591</v>
      </c>
      <c r="H2858" s="30" t="s">
        <v>1592</v>
      </c>
      <c r="M2858" s="30" t="s">
        <v>652</v>
      </c>
      <c r="N2858" s="30" t="s">
        <v>653</v>
      </c>
      <c r="P2858" s="30" t="s">
        <v>6497</v>
      </c>
      <c r="Q2858" t="s">
        <v>619</v>
      </c>
      <c r="R2858" t="s">
        <v>918</v>
      </c>
      <c r="S2858">
        <v>37</v>
      </c>
      <c r="T2858" s="29" t="str">
        <f>HYPERLINK("https://ictv.global/ictv/proposals/2021.010B.R.Binomial_names.zip","2021.010B.R.Binomial_names.zip")</f>
        <v>2021.010B.R.Binomial_names.zip</v>
      </c>
      <c r="U2858" s="29" t="str">
        <f>HYPERLINK("https://ictv.global/taxonomy/taxondetails?taxnode_id=202300769","ictv.global=202300769")</f>
        <v>ictv.global=202300769</v>
      </c>
    </row>
    <row r="2859" spans="1:21">
      <c r="A2859">
        <v>2858</v>
      </c>
      <c r="B2859" s="30" t="s">
        <v>1587</v>
      </c>
      <c r="D2859" s="30" t="s">
        <v>1588</v>
      </c>
      <c r="F2859" s="30" t="s">
        <v>1591</v>
      </c>
      <c r="H2859" s="30" t="s">
        <v>1592</v>
      </c>
      <c r="M2859" s="30" t="s">
        <v>652</v>
      </c>
      <c r="N2859" s="30" t="s">
        <v>653</v>
      </c>
      <c r="P2859" s="30" t="s">
        <v>12296</v>
      </c>
      <c r="Q2859" t="s">
        <v>619</v>
      </c>
      <c r="R2859" t="s">
        <v>917</v>
      </c>
      <c r="S2859">
        <v>39</v>
      </c>
      <c r="T2859" s="29" t="str">
        <f>HYPERLINK("https://ictv.global/ictv/proposals/2023.037B.Jerseyvirus_52ns_ab1sp.zip","2023.037B.Jerseyvirus_52ns_ab1sp.zip")</f>
        <v>2023.037B.Jerseyvirus_52ns_ab1sp.zip</v>
      </c>
      <c r="U2859" s="29" t="str">
        <f>HYPERLINK("https://ictv.global/taxonomy/taxondetails?taxnode_id=202319148","ictv.global=202319148")</f>
        <v>ictv.global=202319148</v>
      </c>
    </row>
    <row r="2860" spans="1:21">
      <c r="A2860">
        <v>2859</v>
      </c>
      <c r="B2860" s="30" t="s">
        <v>1587</v>
      </c>
      <c r="D2860" s="30" t="s">
        <v>1588</v>
      </c>
      <c r="F2860" s="30" t="s">
        <v>1591</v>
      </c>
      <c r="H2860" s="30" t="s">
        <v>1592</v>
      </c>
      <c r="M2860" s="30" t="s">
        <v>652</v>
      </c>
      <c r="N2860" s="30" t="s">
        <v>653</v>
      </c>
      <c r="P2860" s="30" t="s">
        <v>12297</v>
      </c>
      <c r="Q2860" t="s">
        <v>619</v>
      </c>
      <c r="R2860" t="s">
        <v>917</v>
      </c>
      <c r="S2860">
        <v>39</v>
      </c>
      <c r="T2860" s="29" t="str">
        <f>HYPERLINK("https://ictv.global/ictv/proposals/2023.037B.Jerseyvirus_52ns_ab1sp.zip","2023.037B.Jerseyvirus_52ns_ab1sp.zip")</f>
        <v>2023.037B.Jerseyvirus_52ns_ab1sp.zip</v>
      </c>
      <c r="U2860" s="29" t="str">
        <f>HYPERLINK("https://ictv.global/taxonomy/taxondetails?taxnode_id=202319147","ictv.global=202319147")</f>
        <v>ictv.global=202319147</v>
      </c>
    </row>
    <row r="2861" spans="1:21">
      <c r="A2861">
        <v>2860</v>
      </c>
      <c r="B2861" s="30" t="s">
        <v>1587</v>
      </c>
      <c r="D2861" s="30" t="s">
        <v>1588</v>
      </c>
      <c r="F2861" s="30" t="s">
        <v>1591</v>
      </c>
      <c r="H2861" s="30" t="s">
        <v>1592</v>
      </c>
      <c r="M2861" s="30" t="s">
        <v>652</v>
      </c>
      <c r="N2861" s="30" t="s">
        <v>653</v>
      </c>
      <c r="P2861" s="30" t="s">
        <v>12298</v>
      </c>
      <c r="Q2861" t="s">
        <v>619</v>
      </c>
      <c r="R2861" t="s">
        <v>917</v>
      </c>
      <c r="S2861">
        <v>39</v>
      </c>
      <c r="T2861" s="29" t="str">
        <f>HYPERLINK("https://ictv.global/ictv/proposals/2023.037B.Jerseyvirus_52ns_ab1sp.zip","2023.037B.Jerseyvirus_52ns_ab1sp.zip")</f>
        <v>2023.037B.Jerseyvirus_52ns_ab1sp.zip</v>
      </c>
      <c r="U2861" s="29" t="str">
        <f>HYPERLINK("https://ictv.global/taxonomy/taxondetails?taxnode_id=202319108","ictv.global=202319108")</f>
        <v>ictv.global=202319108</v>
      </c>
    </row>
    <row r="2862" spans="1:21">
      <c r="A2862">
        <v>2861</v>
      </c>
      <c r="B2862" s="30" t="s">
        <v>1587</v>
      </c>
      <c r="D2862" s="30" t="s">
        <v>1588</v>
      </c>
      <c r="F2862" s="30" t="s">
        <v>1591</v>
      </c>
      <c r="H2862" s="30" t="s">
        <v>1592</v>
      </c>
      <c r="M2862" s="30" t="s">
        <v>652</v>
      </c>
      <c r="N2862" s="30" t="s">
        <v>653</v>
      </c>
      <c r="P2862" s="30" t="s">
        <v>12299</v>
      </c>
      <c r="Q2862" t="s">
        <v>619</v>
      </c>
      <c r="R2862" t="s">
        <v>917</v>
      </c>
      <c r="S2862">
        <v>39</v>
      </c>
      <c r="T2862" s="29" t="str">
        <f>HYPERLINK("https://ictv.global/ictv/proposals/2023.037B.Jerseyvirus_52ns_ab1sp.zip","2023.037B.Jerseyvirus_52ns_ab1sp.zip")</f>
        <v>2023.037B.Jerseyvirus_52ns_ab1sp.zip</v>
      </c>
      <c r="U2862" s="29" t="str">
        <f>HYPERLINK("https://ictv.global/taxonomy/taxondetails?taxnode_id=202319126","ictv.global=202319126")</f>
        <v>ictv.global=202319126</v>
      </c>
    </row>
    <row r="2863" spans="1:21">
      <c r="A2863">
        <v>2862</v>
      </c>
      <c r="B2863" s="30" t="s">
        <v>1587</v>
      </c>
      <c r="D2863" s="30" t="s">
        <v>1588</v>
      </c>
      <c r="F2863" s="30" t="s">
        <v>1591</v>
      </c>
      <c r="H2863" s="30" t="s">
        <v>1592</v>
      </c>
      <c r="M2863" s="30" t="s">
        <v>652</v>
      </c>
      <c r="N2863" s="30" t="s">
        <v>653</v>
      </c>
      <c r="P2863" s="30" t="s">
        <v>6498</v>
      </c>
      <c r="Q2863" t="s">
        <v>619</v>
      </c>
      <c r="R2863" t="s">
        <v>918</v>
      </c>
      <c r="S2863">
        <v>37</v>
      </c>
      <c r="T2863" s="29" t="str">
        <f>HYPERLINK("https://ictv.global/ictv/proposals/2021.010B.R.Binomial_names.zip","2021.010B.R.Binomial_names.zip")</f>
        <v>2021.010B.R.Binomial_names.zip</v>
      </c>
      <c r="U2863" s="29" t="str">
        <f>HYPERLINK("https://ictv.global/taxonomy/taxondetails?taxnode_id=202300770","ictv.global=202300770")</f>
        <v>ictv.global=202300770</v>
      </c>
    </row>
    <row r="2864" spans="1:21">
      <c r="A2864">
        <v>2863</v>
      </c>
      <c r="B2864" s="30" t="s">
        <v>1587</v>
      </c>
      <c r="D2864" s="30" t="s">
        <v>1588</v>
      </c>
      <c r="F2864" s="30" t="s">
        <v>1591</v>
      </c>
      <c r="H2864" s="30" t="s">
        <v>1592</v>
      </c>
      <c r="M2864" s="30" t="s">
        <v>652</v>
      </c>
      <c r="N2864" s="30" t="s">
        <v>653</v>
      </c>
      <c r="P2864" s="30" t="s">
        <v>12300</v>
      </c>
      <c r="Q2864" t="s">
        <v>619</v>
      </c>
      <c r="R2864" t="s">
        <v>917</v>
      </c>
      <c r="S2864">
        <v>39</v>
      </c>
      <c r="T2864" s="29" t="str">
        <f>HYPERLINK("https://ictv.global/ictv/proposals/2023.037B.Jerseyvirus_52ns_ab1sp.zip","2023.037B.Jerseyvirus_52ns_ab1sp.zip")</f>
        <v>2023.037B.Jerseyvirus_52ns_ab1sp.zip</v>
      </c>
      <c r="U2864" s="29" t="str">
        <f>HYPERLINK("https://ictv.global/taxonomy/taxondetails?taxnode_id=202319118","ictv.global=202319118")</f>
        <v>ictv.global=202319118</v>
      </c>
    </row>
    <row r="2865" spans="1:21">
      <c r="A2865">
        <v>2864</v>
      </c>
      <c r="B2865" s="30" t="s">
        <v>1587</v>
      </c>
      <c r="D2865" s="30" t="s">
        <v>1588</v>
      </c>
      <c r="F2865" s="30" t="s">
        <v>1591</v>
      </c>
      <c r="H2865" s="30" t="s">
        <v>1592</v>
      </c>
      <c r="M2865" s="30" t="s">
        <v>652</v>
      </c>
      <c r="N2865" s="30" t="s">
        <v>653</v>
      </c>
      <c r="P2865" s="30" t="s">
        <v>12301</v>
      </c>
      <c r="Q2865" t="s">
        <v>619</v>
      </c>
      <c r="R2865" t="s">
        <v>917</v>
      </c>
      <c r="S2865">
        <v>39</v>
      </c>
      <c r="T2865" s="29" t="str">
        <f>HYPERLINK("https://ictv.global/ictv/proposals/2023.037B.Jerseyvirus_52ns_ab1sp.zip","2023.037B.Jerseyvirus_52ns_ab1sp.zip")</f>
        <v>2023.037B.Jerseyvirus_52ns_ab1sp.zip</v>
      </c>
      <c r="U2865" s="29" t="str">
        <f>HYPERLINK("https://ictv.global/taxonomy/taxondetails?taxnode_id=202319131","ictv.global=202319131")</f>
        <v>ictv.global=202319131</v>
      </c>
    </row>
    <row r="2866" spans="1:21">
      <c r="A2866">
        <v>2865</v>
      </c>
      <c r="B2866" s="30" t="s">
        <v>1587</v>
      </c>
      <c r="D2866" s="30" t="s">
        <v>1588</v>
      </c>
      <c r="F2866" s="30" t="s">
        <v>1591</v>
      </c>
      <c r="H2866" s="30" t="s">
        <v>1592</v>
      </c>
      <c r="M2866" s="30" t="s">
        <v>652</v>
      </c>
      <c r="N2866" s="30" t="s">
        <v>653</v>
      </c>
      <c r="P2866" s="30" t="s">
        <v>12302</v>
      </c>
      <c r="Q2866" t="s">
        <v>619</v>
      </c>
      <c r="R2866" t="s">
        <v>917</v>
      </c>
      <c r="S2866">
        <v>39</v>
      </c>
      <c r="T2866" s="29" t="str">
        <f>HYPERLINK("https://ictv.global/ictv/proposals/2023.037B.Jerseyvirus_52ns_ab1sp.zip","2023.037B.Jerseyvirus_52ns_ab1sp.zip")</f>
        <v>2023.037B.Jerseyvirus_52ns_ab1sp.zip</v>
      </c>
      <c r="U2866" s="29" t="str">
        <f>HYPERLINK("https://ictv.global/taxonomy/taxondetails?taxnode_id=202319143","ictv.global=202319143")</f>
        <v>ictv.global=202319143</v>
      </c>
    </row>
    <row r="2867" spans="1:21">
      <c r="A2867">
        <v>2866</v>
      </c>
      <c r="B2867" s="30" t="s">
        <v>1587</v>
      </c>
      <c r="D2867" s="30" t="s">
        <v>1588</v>
      </c>
      <c r="F2867" s="30" t="s">
        <v>1591</v>
      </c>
      <c r="H2867" s="30" t="s">
        <v>1592</v>
      </c>
      <c r="M2867" s="30" t="s">
        <v>652</v>
      </c>
      <c r="N2867" s="30" t="s">
        <v>653</v>
      </c>
      <c r="P2867" s="30" t="s">
        <v>12303</v>
      </c>
      <c r="Q2867" t="s">
        <v>619</v>
      </c>
      <c r="R2867" t="s">
        <v>917</v>
      </c>
      <c r="S2867">
        <v>39</v>
      </c>
      <c r="T2867" s="29" t="str">
        <f>HYPERLINK("https://ictv.global/ictv/proposals/2023.037B.Jerseyvirus_52ns_ab1sp.zip","2023.037B.Jerseyvirus_52ns_ab1sp.zip")</f>
        <v>2023.037B.Jerseyvirus_52ns_ab1sp.zip</v>
      </c>
      <c r="U2867" s="29" t="str">
        <f>HYPERLINK("https://ictv.global/taxonomy/taxondetails?taxnode_id=202319141","ictv.global=202319141")</f>
        <v>ictv.global=202319141</v>
      </c>
    </row>
    <row r="2868" spans="1:21">
      <c r="A2868">
        <v>2867</v>
      </c>
      <c r="B2868" s="30" t="s">
        <v>1587</v>
      </c>
      <c r="D2868" s="30" t="s">
        <v>1588</v>
      </c>
      <c r="F2868" s="30" t="s">
        <v>1591</v>
      </c>
      <c r="H2868" s="30" t="s">
        <v>1592</v>
      </c>
      <c r="M2868" s="30" t="s">
        <v>652</v>
      </c>
      <c r="N2868" s="30" t="s">
        <v>653</v>
      </c>
      <c r="P2868" s="30" t="s">
        <v>6499</v>
      </c>
      <c r="Q2868" t="s">
        <v>619</v>
      </c>
      <c r="R2868" t="s">
        <v>918</v>
      </c>
      <c r="S2868">
        <v>37</v>
      </c>
      <c r="T2868" s="29" t="str">
        <f>HYPERLINK("https://ictv.global/ictv/proposals/2021.010B.R.Binomial_names.zip","2021.010B.R.Binomial_names.zip")</f>
        <v>2021.010B.R.Binomial_names.zip</v>
      </c>
      <c r="U2868" s="29" t="str">
        <f>HYPERLINK("https://ictv.global/taxonomy/taxondetails?taxnode_id=202300772","ictv.global=202300772")</f>
        <v>ictv.global=202300772</v>
      </c>
    </row>
    <row r="2869" spans="1:21">
      <c r="A2869">
        <v>2868</v>
      </c>
      <c r="B2869" s="30" t="s">
        <v>1587</v>
      </c>
      <c r="D2869" s="30" t="s">
        <v>1588</v>
      </c>
      <c r="F2869" s="30" t="s">
        <v>1591</v>
      </c>
      <c r="H2869" s="30" t="s">
        <v>1592</v>
      </c>
      <c r="M2869" s="30" t="s">
        <v>652</v>
      </c>
      <c r="N2869" s="30" t="s">
        <v>653</v>
      </c>
      <c r="P2869" s="30" t="s">
        <v>12304</v>
      </c>
      <c r="Q2869" t="s">
        <v>619</v>
      </c>
      <c r="R2869" t="s">
        <v>917</v>
      </c>
      <c r="S2869">
        <v>39</v>
      </c>
      <c r="T2869" s="29" t="str">
        <f t="shared" ref="T2869:T2880" si="125">HYPERLINK("https://ictv.global/ictv/proposals/2023.037B.Jerseyvirus_52ns_ab1sp.zip","2023.037B.Jerseyvirus_52ns_ab1sp.zip")</f>
        <v>2023.037B.Jerseyvirus_52ns_ab1sp.zip</v>
      </c>
      <c r="U2869" s="29" t="str">
        <f>HYPERLINK("https://ictv.global/taxonomy/taxondetails?taxnode_id=202319140","ictv.global=202319140")</f>
        <v>ictv.global=202319140</v>
      </c>
    </row>
    <row r="2870" spans="1:21">
      <c r="A2870">
        <v>2869</v>
      </c>
      <c r="B2870" s="30" t="s">
        <v>1587</v>
      </c>
      <c r="D2870" s="30" t="s">
        <v>1588</v>
      </c>
      <c r="F2870" s="30" t="s">
        <v>1591</v>
      </c>
      <c r="H2870" s="30" t="s">
        <v>1592</v>
      </c>
      <c r="M2870" s="30" t="s">
        <v>652</v>
      </c>
      <c r="N2870" s="30" t="s">
        <v>653</v>
      </c>
      <c r="P2870" s="30" t="s">
        <v>12305</v>
      </c>
      <c r="Q2870" t="s">
        <v>619</v>
      </c>
      <c r="R2870" t="s">
        <v>917</v>
      </c>
      <c r="S2870">
        <v>39</v>
      </c>
      <c r="T2870" s="29" t="str">
        <f t="shared" si="125"/>
        <v>2023.037B.Jerseyvirus_52ns_ab1sp.zip</v>
      </c>
      <c r="U2870" s="29" t="str">
        <f>HYPERLINK("https://ictv.global/taxonomy/taxondetails?taxnode_id=202319133","ictv.global=202319133")</f>
        <v>ictv.global=202319133</v>
      </c>
    </row>
    <row r="2871" spans="1:21">
      <c r="A2871">
        <v>2870</v>
      </c>
      <c r="B2871" s="30" t="s">
        <v>1587</v>
      </c>
      <c r="D2871" s="30" t="s">
        <v>1588</v>
      </c>
      <c r="F2871" s="30" t="s">
        <v>1591</v>
      </c>
      <c r="H2871" s="30" t="s">
        <v>1592</v>
      </c>
      <c r="M2871" s="30" t="s">
        <v>652</v>
      </c>
      <c r="N2871" s="30" t="s">
        <v>653</v>
      </c>
      <c r="P2871" s="30" t="s">
        <v>12306</v>
      </c>
      <c r="Q2871" t="s">
        <v>619</v>
      </c>
      <c r="R2871" t="s">
        <v>917</v>
      </c>
      <c r="S2871">
        <v>39</v>
      </c>
      <c r="T2871" s="29" t="str">
        <f t="shared" si="125"/>
        <v>2023.037B.Jerseyvirus_52ns_ab1sp.zip</v>
      </c>
      <c r="U2871" s="29" t="str">
        <f>HYPERLINK("https://ictv.global/taxonomy/taxondetails?taxnode_id=202319120","ictv.global=202319120")</f>
        <v>ictv.global=202319120</v>
      </c>
    </row>
    <row r="2872" spans="1:21">
      <c r="A2872">
        <v>2871</v>
      </c>
      <c r="B2872" s="30" t="s">
        <v>1587</v>
      </c>
      <c r="D2872" s="30" t="s">
        <v>1588</v>
      </c>
      <c r="F2872" s="30" t="s">
        <v>1591</v>
      </c>
      <c r="H2872" s="30" t="s">
        <v>1592</v>
      </c>
      <c r="M2872" s="30" t="s">
        <v>652</v>
      </c>
      <c r="N2872" s="30" t="s">
        <v>653</v>
      </c>
      <c r="P2872" s="30" t="s">
        <v>12307</v>
      </c>
      <c r="Q2872" t="s">
        <v>619</v>
      </c>
      <c r="R2872" t="s">
        <v>917</v>
      </c>
      <c r="S2872">
        <v>39</v>
      </c>
      <c r="T2872" s="29" t="str">
        <f t="shared" si="125"/>
        <v>2023.037B.Jerseyvirus_52ns_ab1sp.zip</v>
      </c>
      <c r="U2872" s="29" t="str">
        <f>HYPERLINK("https://ictv.global/taxonomy/taxondetails?taxnode_id=202319122","ictv.global=202319122")</f>
        <v>ictv.global=202319122</v>
      </c>
    </row>
    <row r="2873" spans="1:21">
      <c r="A2873">
        <v>2872</v>
      </c>
      <c r="B2873" s="30" t="s">
        <v>1587</v>
      </c>
      <c r="D2873" s="30" t="s">
        <v>1588</v>
      </c>
      <c r="F2873" s="30" t="s">
        <v>1591</v>
      </c>
      <c r="H2873" s="30" t="s">
        <v>1592</v>
      </c>
      <c r="M2873" s="30" t="s">
        <v>652</v>
      </c>
      <c r="N2873" s="30" t="s">
        <v>653</v>
      </c>
      <c r="P2873" s="30" t="s">
        <v>12308</v>
      </c>
      <c r="Q2873" t="s">
        <v>619</v>
      </c>
      <c r="R2873" t="s">
        <v>917</v>
      </c>
      <c r="S2873">
        <v>39</v>
      </c>
      <c r="T2873" s="29" t="str">
        <f t="shared" si="125"/>
        <v>2023.037B.Jerseyvirus_52ns_ab1sp.zip</v>
      </c>
      <c r="U2873" s="29" t="str">
        <f>HYPERLINK("https://ictv.global/taxonomy/taxondetails?taxnode_id=202319155","ictv.global=202319155")</f>
        <v>ictv.global=202319155</v>
      </c>
    </row>
    <row r="2874" spans="1:21">
      <c r="A2874">
        <v>2873</v>
      </c>
      <c r="B2874" s="30" t="s">
        <v>1587</v>
      </c>
      <c r="D2874" s="30" t="s">
        <v>1588</v>
      </c>
      <c r="F2874" s="30" t="s">
        <v>1591</v>
      </c>
      <c r="H2874" s="30" t="s">
        <v>1592</v>
      </c>
      <c r="M2874" s="30" t="s">
        <v>652</v>
      </c>
      <c r="N2874" s="30" t="s">
        <v>653</v>
      </c>
      <c r="P2874" s="30" t="s">
        <v>12309</v>
      </c>
      <c r="Q2874" t="s">
        <v>619</v>
      </c>
      <c r="R2874" t="s">
        <v>917</v>
      </c>
      <c r="S2874">
        <v>39</v>
      </c>
      <c r="T2874" s="29" t="str">
        <f t="shared" si="125"/>
        <v>2023.037B.Jerseyvirus_52ns_ab1sp.zip</v>
      </c>
      <c r="U2874" s="29" t="str">
        <f>HYPERLINK("https://ictv.global/taxonomy/taxondetails?taxnode_id=202319123","ictv.global=202319123")</f>
        <v>ictv.global=202319123</v>
      </c>
    </row>
    <row r="2875" spans="1:21">
      <c r="A2875">
        <v>2874</v>
      </c>
      <c r="B2875" s="30" t="s">
        <v>1587</v>
      </c>
      <c r="D2875" s="30" t="s">
        <v>1588</v>
      </c>
      <c r="F2875" s="30" t="s">
        <v>1591</v>
      </c>
      <c r="H2875" s="30" t="s">
        <v>1592</v>
      </c>
      <c r="M2875" s="30" t="s">
        <v>652</v>
      </c>
      <c r="N2875" s="30" t="s">
        <v>653</v>
      </c>
      <c r="P2875" s="30" t="s">
        <v>12310</v>
      </c>
      <c r="Q2875" t="s">
        <v>619</v>
      </c>
      <c r="R2875" t="s">
        <v>917</v>
      </c>
      <c r="S2875">
        <v>39</v>
      </c>
      <c r="T2875" s="29" t="str">
        <f t="shared" si="125"/>
        <v>2023.037B.Jerseyvirus_52ns_ab1sp.zip</v>
      </c>
      <c r="U2875" s="29" t="str">
        <f>HYPERLINK("https://ictv.global/taxonomy/taxondetails?taxnode_id=202319130","ictv.global=202319130")</f>
        <v>ictv.global=202319130</v>
      </c>
    </row>
    <row r="2876" spans="1:21">
      <c r="A2876">
        <v>2875</v>
      </c>
      <c r="B2876" s="30" t="s">
        <v>1587</v>
      </c>
      <c r="D2876" s="30" t="s">
        <v>1588</v>
      </c>
      <c r="F2876" s="30" t="s">
        <v>1591</v>
      </c>
      <c r="H2876" s="30" t="s">
        <v>1592</v>
      </c>
      <c r="M2876" s="30" t="s">
        <v>652</v>
      </c>
      <c r="N2876" s="30" t="s">
        <v>653</v>
      </c>
      <c r="P2876" s="30" t="s">
        <v>12311</v>
      </c>
      <c r="Q2876" t="s">
        <v>619</v>
      </c>
      <c r="R2876" t="s">
        <v>917</v>
      </c>
      <c r="S2876">
        <v>39</v>
      </c>
      <c r="T2876" s="29" t="str">
        <f t="shared" si="125"/>
        <v>2023.037B.Jerseyvirus_52ns_ab1sp.zip</v>
      </c>
      <c r="U2876" s="29" t="str">
        <f>HYPERLINK("https://ictv.global/taxonomy/taxondetails?taxnode_id=202319137","ictv.global=202319137")</f>
        <v>ictv.global=202319137</v>
      </c>
    </row>
    <row r="2877" spans="1:21">
      <c r="A2877">
        <v>2876</v>
      </c>
      <c r="B2877" s="30" t="s">
        <v>1587</v>
      </c>
      <c r="D2877" s="30" t="s">
        <v>1588</v>
      </c>
      <c r="F2877" s="30" t="s">
        <v>1591</v>
      </c>
      <c r="H2877" s="30" t="s">
        <v>1592</v>
      </c>
      <c r="M2877" s="30" t="s">
        <v>652</v>
      </c>
      <c r="N2877" s="30" t="s">
        <v>653</v>
      </c>
      <c r="P2877" s="30" t="s">
        <v>12312</v>
      </c>
      <c r="Q2877" t="s">
        <v>619</v>
      </c>
      <c r="R2877" t="s">
        <v>917</v>
      </c>
      <c r="S2877">
        <v>39</v>
      </c>
      <c r="T2877" s="29" t="str">
        <f t="shared" si="125"/>
        <v>2023.037B.Jerseyvirus_52ns_ab1sp.zip</v>
      </c>
      <c r="U2877" s="29" t="str">
        <f>HYPERLINK("https://ictv.global/taxonomy/taxondetails?taxnode_id=202319136","ictv.global=202319136")</f>
        <v>ictv.global=202319136</v>
      </c>
    </row>
    <row r="2878" spans="1:21">
      <c r="A2878">
        <v>2877</v>
      </c>
      <c r="B2878" s="30" t="s">
        <v>1587</v>
      </c>
      <c r="D2878" s="30" t="s">
        <v>1588</v>
      </c>
      <c r="F2878" s="30" t="s">
        <v>1591</v>
      </c>
      <c r="H2878" s="30" t="s">
        <v>1592</v>
      </c>
      <c r="M2878" s="30" t="s">
        <v>652</v>
      </c>
      <c r="N2878" s="30" t="s">
        <v>653</v>
      </c>
      <c r="P2878" s="30" t="s">
        <v>12313</v>
      </c>
      <c r="Q2878" t="s">
        <v>619</v>
      </c>
      <c r="R2878" t="s">
        <v>917</v>
      </c>
      <c r="S2878">
        <v>39</v>
      </c>
      <c r="T2878" s="29" t="str">
        <f t="shared" si="125"/>
        <v>2023.037B.Jerseyvirus_52ns_ab1sp.zip</v>
      </c>
      <c r="U2878" s="29" t="str">
        <f>HYPERLINK("https://ictv.global/taxonomy/taxondetails?taxnode_id=202319127","ictv.global=202319127")</f>
        <v>ictv.global=202319127</v>
      </c>
    </row>
    <row r="2879" spans="1:21">
      <c r="A2879">
        <v>2878</v>
      </c>
      <c r="B2879" s="30" t="s">
        <v>1587</v>
      </c>
      <c r="D2879" s="30" t="s">
        <v>1588</v>
      </c>
      <c r="F2879" s="30" t="s">
        <v>1591</v>
      </c>
      <c r="H2879" s="30" t="s">
        <v>1592</v>
      </c>
      <c r="M2879" s="30" t="s">
        <v>652</v>
      </c>
      <c r="N2879" s="30" t="s">
        <v>653</v>
      </c>
      <c r="P2879" s="30" t="s">
        <v>12314</v>
      </c>
      <c r="Q2879" t="s">
        <v>619</v>
      </c>
      <c r="R2879" t="s">
        <v>917</v>
      </c>
      <c r="S2879">
        <v>39</v>
      </c>
      <c r="T2879" s="29" t="str">
        <f t="shared" si="125"/>
        <v>2023.037B.Jerseyvirus_52ns_ab1sp.zip</v>
      </c>
      <c r="U2879" s="29" t="str">
        <f>HYPERLINK("https://ictv.global/taxonomy/taxondetails?taxnode_id=202319125","ictv.global=202319125")</f>
        <v>ictv.global=202319125</v>
      </c>
    </row>
    <row r="2880" spans="1:21">
      <c r="A2880">
        <v>2879</v>
      </c>
      <c r="B2880" s="30" t="s">
        <v>1587</v>
      </c>
      <c r="D2880" s="30" t="s">
        <v>1588</v>
      </c>
      <c r="F2880" s="30" t="s">
        <v>1591</v>
      </c>
      <c r="H2880" s="30" t="s">
        <v>1592</v>
      </c>
      <c r="M2880" s="30" t="s">
        <v>652</v>
      </c>
      <c r="N2880" s="30" t="s">
        <v>653</v>
      </c>
      <c r="P2880" s="30" t="s">
        <v>12315</v>
      </c>
      <c r="Q2880" t="s">
        <v>619</v>
      </c>
      <c r="R2880" t="s">
        <v>917</v>
      </c>
      <c r="S2880">
        <v>39</v>
      </c>
      <c r="T2880" s="29" t="str">
        <f t="shared" si="125"/>
        <v>2023.037B.Jerseyvirus_52ns_ab1sp.zip</v>
      </c>
      <c r="U2880" s="29" t="str">
        <f>HYPERLINK("https://ictv.global/taxonomy/taxondetails?taxnode_id=202319151","ictv.global=202319151")</f>
        <v>ictv.global=202319151</v>
      </c>
    </row>
    <row r="2881" spans="1:21">
      <c r="A2881">
        <v>2880</v>
      </c>
      <c r="B2881" s="30" t="s">
        <v>1587</v>
      </c>
      <c r="D2881" s="30" t="s">
        <v>1588</v>
      </c>
      <c r="F2881" s="30" t="s">
        <v>1591</v>
      </c>
      <c r="H2881" s="30" t="s">
        <v>1592</v>
      </c>
      <c r="M2881" s="30" t="s">
        <v>652</v>
      </c>
      <c r="N2881" s="30" t="s">
        <v>653</v>
      </c>
      <c r="P2881" s="30" t="s">
        <v>6500</v>
      </c>
      <c r="Q2881" t="s">
        <v>619</v>
      </c>
      <c r="R2881" t="s">
        <v>918</v>
      </c>
      <c r="S2881">
        <v>37</v>
      </c>
      <c r="T2881" s="29" t="str">
        <f>HYPERLINK("https://ictv.global/ictv/proposals/2021.010B.R.Binomial_names.zip","2021.010B.R.Binomial_names.zip")</f>
        <v>2021.010B.R.Binomial_names.zip</v>
      </c>
      <c r="U2881" s="29" t="str">
        <f>HYPERLINK("https://ictv.global/taxonomy/taxondetails?taxnode_id=202300773","ictv.global=202300773")</f>
        <v>ictv.global=202300773</v>
      </c>
    </row>
    <row r="2882" spans="1:21">
      <c r="A2882">
        <v>2881</v>
      </c>
      <c r="B2882" s="30" t="s">
        <v>1587</v>
      </c>
      <c r="D2882" s="30" t="s">
        <v>1588</v>
      </c>
      <c r="F2882" s="30" t="s">
        <v>1591</v>
      </c>
      <c r="H2882" s="30" t="s">
        <v>1592</v>
      </c>
      <c r="M2882" s="30" t="s">
        <v>652</v>
      </c>
      <c r="N2882" s="30" t="s">
        <v>653</v>
      </c>
      <c r="P2882" s="30" t="s">
        <v>6501</v>
      </c>
      <c r="Q2882" t="s">
        <v>619</v>
      </c>
      <c r="R2882" t="s">
        <v>918</v>
      </c>
      <c r="S2882">
        <v>37</v>
      </c>
      <c r="T2882" s="29" t="str">
        <f>HYPERLINK("https://ictv.global/ictv/proposals/2021.010B.R.Binomial_names.zip","2021.010B.R.Binomial_names.zip")</f>
        <v>2021.010B.R.Binomial_names.zip</v>
      </c>
      <c r="U2882" s="29" t="str">
        <f>HYPERLINK("https://ictv.global/taxonomy/taxondetails?taxnode_id=202300774","ictv.global=202300774")</f>
        <v>ictv.global=202300774</v>
      </c>
    </row>
    <row r="2883" spans="1:21">
      <c r="A2883">
        <v>2882</v>
      </c>
      <c r="B2883" s="30" t="s">
        <v>1587</v>
      </c>
      <c r="D2883" s="30" t="s">
        <v>1588</v>
      </c>
      <c r="F2883" s="30" t="s">
        <v>1591</v>
      </c>
      <c r="H2883" s="30" t="s">
        <v>1592</v>
      </c>
      <c r="M2883" s="30" t="s">
        <v>652</v>
      </c>
      <c r="N2883" s="30" t="s">
        <v>653</v>
      </c>
      <c r="P2883" s="30" t="s">
        <v>6502</v>
      </c>
      <c r="Q2883" t="s">
        <v>619</v>
      </c>
      <c r="R2883" t="s">
        <v>918</v>
      </c>
      <c r="S2883">
        <v>37</v>
      </c>
      <c r="T2883" s="29" t="str">
        <f>HYPERLINK("https://ictv.global/ictv/proposals/2021.010B.R.Binomial_names.zip","2021.010B.R.Binomial_names.zip")</f>
        <v>2021.010B.R.Binomial_names.zip</v>
      </c>
      <c r="U2883" s="29" t="str">
        <f>HYPERLINK("https://ictv.global/taxonomy/taxondetails?taxnode_id=202300775","ictv.global=202300775")</f>
        <v>ictv.global=202300775</v>
      </c>
    </row>
    <row r="2884" spans="1:21">
      <c r="A2884">
        <v>2883</v>
      </c>
      <c r="B2884" s="30" t="s">
        <v>1587</v>
      </c>
      <c r="D2884" s="30" t="s">
        <v>1588</v>
      </c>
      <c r="F2884" s="30" t="s">
        <v>1591</v>
      </c>
      <c r="H2884" s="30" t="s">
        <v>1592</v>
      </c>
      <c r="M2884" s="30" t="s">
        <v>652</v>
      </c>
      <c r="N2884" s="30" t="s">
        <v>653</v>
      </c>
      <c r="P2884" s="30" t="s">
        <v>6503</v>
      </c>
      <c r="Q2884" t="s">
        <v>619</v>
      </c>
      <c r="R2884" t="s">
        <v>918</v>
      </c>
      <c r="S2884">
        <v>37</v>
      </c>
      <c r="T2884" s="29" t="str">
        <f>HYPERLINK("https://ictv.global/ictv/proposals/2021.010B.R.Binomial_names.zip","2021.010B.R.Binomial_names.zip")</f>
        <v>2021.010B.R.Binomial_names.zip</v>
      </c>
      <c r="U2884" s="29" t="str">
        <f>HYPERLINK("https://ictv.global/taxonomy/taxondetails?taxnode_id=202300776","ictv.global=202300776")</f>
        <v>ictv.global=202300776</v>
      </c>
    </row>
    <row r="2885" spans="1:21">
      <c r="A2885">
        <v>2884</v>
      </c>
      <c r="B2885" s="30" t="s">
        <v>1587</v>
      </c>
      <c r="D2885" s="30" t="s">
        <v>1588</v>
      </c>
      <c r="F2885" s="30" t="s">
        <v>1591</v>
      </c>
      <c r="H2885" s="30" t="s">
        <v>1592</v>
      </c>
      <c r="M2885" s="30" t="s">
        <v>652</v>
      </c>
      <c r="N2885" s="30" t="s">
        <v>653</v>
      </c>
      <c r="P2885" s="30" t="s">
        <v>12316</v>
      </c>
      <c r="Q2885" t="s">
        <v>619</v>
      </c>
      <c r="R2885" t="s">
        <v>917</v>
      </c>
      <c r="S2885">
        <v>39</v>
      </c>
      <c r="T2885" s="29" t="str">
        <f t="shared" ref="T2885:T2891" si="126">HYPERLINK("https://ictv.global/ictv/proposals/2023.037B.Jerseyvirus_52ns_ab1sp.zip","2023.037B.Jerseyvirus_52ns_ab1sp.zip")</f>
        <v>2023.037B.Jerseyvirus_52ns_ab1sp.zip</v>
      </c>
      <c r="U2885" s="29" t="str">
        <f>HYPERLINK("https://ictv.global/taxonomy/taxondetails?taxnode_id=202319107","ictv.global=202319107")</f>
        <v>ictv.global=202319107</v>
      </c>
    </row>
    <row r="2886" spans="1:21">
      <c r="A2886">
        <v>2885</v>
      </c>
      <c r="B2886" s="30" t="s">
        <v>1587</v>
      </c>
      <c r="D2886" s="30" t="s">
        <v>1588</v>
      </c>
      <c r="F2886" s="30" t="s">
        <v>1591</v>
      </c>
      <c r="H2886" s="30" t="s">
        <v>1592</v>
      </c>
      <c r="M2886" s="30" t="s">
        <v>652</v>
      </c>
      <c r="N2886" s="30" t="s">
        <v>653</v>
      </c>
      <c r="P2886" s="30" t="s">
        <v>12317</v>
      </c>
      <c r="Q2886" t="s">
        <v>619</v>
      </c>
      <c r="R2886" t="s">
        <v>917</v>
      </c>
      <c r="S2886">
        <v>39</v>
      </c>
      <c r="T2886" s="29" t="str">
        <f t="shared" si="126"/>
        <v>2023.037B.Jerseyvirus_52ns_ab1sp.zip</v>
      </c>
      <c r="U2886" s="29" t="str">
        <f>HYPERLINK("https://ictv.global/taxonomy/taxondetails?taxnode_id=202319153","ictv.global=202319153")</f>
        <v>ictv.global=202319153</v>
      </c>
    </row>
    <row r="2887" spans="1:21">
      <c r="A2887">
        <v>2886</v>
      </c>
      <c r="B2887" s="30" t="s">
        <v>1587</v>
      </c>
      <c r="D2887" s="30" t="s">
        <v>1588</v>
      </c>
      <c r="F2887" s="30" t="s">
        <v>1591</v>
      </c>
      <c r="H2887" s="30" t="s">
        <v>1592</v>
      </c>
      <c r="M2887" s="30" t="s">
        <v>652</v>
      </c>
      <c r="N2887" s="30" t="s">
        <v>653</v>
      </c>
      <c r="P2887" s="30" t="s">
        <v>12318</v>
      </c>
      <c r="Q2887" t="s">
        <v>619</v>
      </c>
      <c r="R2887" t="s">
        <v>917</v>
      </c>
      <c r="S2887">
        <v>39</v>
      </c>
      <c r="T2887" s="29" t="str">
        <f t="shared" si="126"/>
        <v>2023.037B.Jerseyvirus_52ns_ab1sp.zip</v>
      </c>
      <c r="U2887" s="29" t="str">
        <f>HYPERLINK("https://ictv.global/taxonomy/taxondetails?taxnode_id=202319132","ictv.global=202319132")</f>
        <v>ictv.global=202319132</v>
      </c>
    </row>
    <row r="2888" spans="1:21">
      <c r="A2888">
        <v>2887</v>
      </c>
      <c r="B2888" s="30" t="s">
        <v>1587</v>
      </c>
      <c r="D2888" s="30" t="s">
        <v>1588</v>
      </c>
      <c r="F2888" s="30" t="s">
        <v>1591</v>
      </c>
      <c r="H2888" s="30" t="s">
        <v>1592</v>
      </c>
      <c r="M2888" s="30" t="s">
        <v>652</v>
      </c>
      <c r="N2888" s="30" t="s">
        <v>653</v>
      </c>
      <c r="P2888" s="30" t="s">
        <v>12319</v>
      </c>
      <c r="Q2888" t="s">
        <v>619</v>
      </c>
      <c r="R2888" t="s">
        <v>917</v>
      </c>
      <c r="S2888">
        <v>39</v>
      </c>
      <c r="T2888" s="29" t="str">
        <f t="shared" si="126"/>
        <v>2023.037B.Jerseyvirus_52ns_ab1sp.zip</v>
      </c>
      <c r="U2888" s="29" t="str">
        <f>HYPERLINK("https://ictv.global/taxonomy/taxondetails?taxnode_id=202319145","ictv.global=202319145")</f>
        <v>ictv.global=202319145</v>
      </c>
    </row>
    <row r="2889" spans="1:21">
      <c r="A2889">
        <v>2888</v>
      </c>
      <c r="B2889" s="30" t="s">
        <v>1587</v>
      </c>
      <c r="D2889" s="30" t="s">
        <v>1588</v>
      </c>
      <c r="F2889" s="30" t="s">
        <v>1591</v>
      </c>
      <c r="H2889" s="30" t="s">
        <v>1592</v>
      </c>
      <c r="M2889" s="30" t="s">
        <v>652</v>
      </c>
      <c r="N2889" s="30" t="s">
        <v>653</v>
      </c>
      <c r="P2889" s="30" t="s">
        <v>12320</v>
      </c>
      <c r="Q2889" t="s">
        <v>619</v>
      </c>
      <c r="R2889" t="s">
        <v>917</v>
      </c>
      <c r="S2889">
        <v>39</v>
      </c>
      <c r="T2889" s="29" t="str">
        <f t="shared" si="126"/>
        <v>2023.037B.Jerseyvirus_52ns_ab1sp.zip</v>
      </c>
      <c r="U2889" s="29" t="str">
        <f>HYPERLINK("https://ictv.global/taxonomy/taxondetails?taxnode_id=202319157","ictv.global=202319157")</f>
        <v>ictv.global=202319157</v>
      </c>
    </row>
    <row r="2890" spans="1:21">
      <c r="A2890">
        <v>2889</v>
      </c>
      <c r="B2890" s="30" t="s">
        <v>1587</v>
      </c>
      <c r="D2890" s="30" t="s">
        <v>1588</v>
      </c>
      <c r="F2890" s="30" t="s">
        <v>1591</v>
      </c>
      <c r="H2890" s="30" t="s">
        <v>1592</v>
      </c>
      <c r="M2890" s="30" t="s">
        <v>652</v>
      </c>
      <c r="N2890" s="30" t="s">
        <v>653</v>
      </c>
      <c r="P2890" s="30" t="s">
        <v>12321</v>
      </c>
      <c r="Q2890" t="s">
        <v>619</v>
      </c>
      <c r="R2890" t="s">
        <v>917</v>
      </c>
      <c r="S2890">
        <v>39</v>
      </c>
      <c r="T2890" s="29" t="str">
        <f t="shared" si="126"/>
        <v>2023.037B.Jerseyvirus_52ns_ab1sp.zip</v>
      </c>
      <c r="U2890" s="29" t="str">
        <f>HYPERLINK("https://ictv.global/taxonomy/taxondetails?taxnode_id=202319109","ictv.global=202319109")</f>
        <v>ictv.global=202319109</v>
      </c>
    </row>
    <row r="2891" spans="1:21">
      <c r="A2891">
        <v>2890</v>
      </c>
      <c r="B2891" s="30" t="s">
        <v>1587</v>
      </c>
      <c r="D2891" s="30" t="s">
        <v>1588</v>
      </c>
      <c r="F2891" s="30" t="s">
        <v>1591</v>
      </c>
      <c r="H2891" s="30" t="s">
        <v>1592</v>
      </c>
      <c r="M2891" s="30" t="s">
        <v>652</v>
      </c>
      <c r="N2891" s="30" t="s">
        <v>653</v>
      </c>
      <c r="P2891" s="30" t="s">
        <v>12322</v>
      </c>
      <c r="Q2891" t="s">
        <v>619</v>
      </c>
      <c r="R2891" t="s">
        <v>917</v>
      </c>
      <c r="S2891">
        <v>39</v>
      </c>
      <c r="T2891" s="29" t="str">
        <f t="shared" si="126"/>
        <v>2023.037B.Jerseyvirus_52ns_ab1sp.zip</v>
      </c>
      <c r="U2891" s="29" t="str">
        <f>HYPERLINK("https://ictv.global/taxonomy/taxondetails?taxnode_id=202319146","ictv.global=202319146")</f>
        <v>ictv.global=202319146</v>
      </c>
    </row>
    <row r="2892" spans="1:21">
      <c r="A2892">
        <v>2891</v>
      </c>
      <c r="B2892" s="30" t="s">
        <v>1587</v>
      </c>
      <c r="D2892" s="30" t="s">
        <v>1588</v>
      </c>
      <c r="F2892" s="30" t="s">
        <v>1591</v>
      </c>
      <c r="H2892" s="30" t="s">
        <v>1592</v>
      </c>
      <c r="M2892" s="30" t="s">
        <v>652</v>
      </c>
      <c r="N2892" s="30" t="s">
        <v>653</v>
      </c>
      <c r="P2892" s="30" t="s">
        <v>6504</v>
      </c>
      <c r="Q2892" t="s">
        <v>619</v>
      </c>
      <c r="R2892" t="s">
        <v>918</v>
      </c>
      <c r="S2892">
        <v>37</v>
      </c>
      <c r="T2892" s="29" t="str">
        <f>HYPERLINK("https://ictv.global/ictv/proposals/2021.010B.R.Binomial_names.zip","2021.010B.R.Binomial_names.zip")</f>
        <v>2021.010B.R.Binomial_names.zip</v>
      </c>
      <c r="U2892" s="29" t="str">
        <f>HYPERLINK("https://ictv.global/taxonomy/taxondetails?taxnode_id=202300777","ictv.global=202300777")</f>
        <v>ictv.global=202300777</v>
      </c>
    </row>
    <row r="2893" spans="1:21">
      <c r="A2893">
        <v>2892</v>
      </c>
      <c r="B2893" s="30" t="s">
        <v>1587</v>
      </c>
      <c r="D2893" s="30" t="s">
        <v>1588</v>
      </c>
      <c r="F2893" s="30" t="s">
        <v>1591</v>
      </c>
      <c r="H2893" s="30" t="s">
        <v>1592</v>
      </c>
      <c r="M2893" s="30" t="s">
        <v>652</v>
      </c>
      <c r="N2893" s="30" t="s">
        <v>653</v>
      </c>
      <c r="P2893" s="30" t="s">
        <v>12323</v>
      </c>
      <c r="Q2893" t="s">
        <v>619</v>
      </c>
      <c r="R2893" t="s">
        <v>917</v>
      </c>
      <c r="S2893">
        <v>39</v>
      </c>
      <c r="T2893" s="29" t="str">
        <f>HYPERLINK("https://ictv.global/ictv/proposals/2023.037B.Jerseyvirus_52ns_ab1sp.zip","2023.037B.Jerseyvirus_52ns_ab1sp.zip")</f>
        <v>2023.037B.Jerseyvirus_52ns_ab1sp.zip</v>
      </c>
      <c r="U2893" s="29" t="str">
        <f>HYPERLINK("https://ictv.global/taxonomy/taxondetails?taxnode_id=202319106","ictv.global=202319106")</f>
        <v>ictv.global=202319106</v>
      </c>
    </row>
    <row r="2894" spans="1:21">
      <c r="A2894">
        <v>2893</v>
      </c>
      <c r="B2894" s="30" t="s">
        <v>1587</v>
      </c>
      <c r="D2894" s="30" t="s">
        <v>1588</v>
      </c>
      <c r="F2894" s="30" t="s">
        <v>1591</v>
      </c>
      <c r="H2894" s="30" t="s">
        <v>1592</v>
      </c>
      <c r="M2894" s="30" t="s">
        <v>652</v>
      </c>
      <c r="N2894" s="30" t="s">
        <v>653</v>
      </c>
      <c r="P2894" s="30" t="s">
        <v>6505</v>
      </c>
      <c r="Q2894" t="s">
        <v>619</v>
      </c>
      <c r="R2894" t="s">
        <v>918</v>
      </c>
      <c r="S2894">
        <v>37</v>
      </c>
      <c r="T2894" s="29" t="str">
        <f>HYPERLINK("https://ictv.global/ictv/proposals/2021.010B.R.Binomial_names.zip","2021.010B.R.Binomial_names.zip")</f>
        <v>2021.010B.R.Binomial_names.zip</v>
      </c>
      <c r="U2894" s="29" t="str">
        <f>HYPERLINK("https://ictv.global/taxonomy/taxondetails?taxnode_id=202300778","ictv.global=202300778")</f>
        <v>ictv.global=202300778</v>
      </c>
    </row>
    <row r="2895" spans="1:21">
      <c r="A2895">
        <v>2894</v>
      </c>
      <c r="B2895" s="30" t="s">
        <v>1587</v>
      </c>
      <c r="D2895" s="30" t="s">
        <v>1588</v>
      </c>
      <c r="F2895" s="30" t="s">
        <v>1591</v>
      </c>
      <c r="H2895" s="30" t="s">
        <v>1592</v>
      </c>
      <c r="M2895" s="30" t="s">
        <v>652</v>
      </c>
      <c r="N2895" s="30" t="s">
        <v>653</v>
      </c>
      <c r="P2895" s="30" t="s">
        <v>12324</v>
      </c>
      <c r="Q2895" t="s">
        <v>619</v>
      </c>
      <c r="R2895" t="s">
        <v>917</v>
      </c>
      <c r="S2895">
        <v>39</v>
      </c>
      <c r="T2895" s="29" t="str">
        <f t="shared" ref="T2895:T2904" si="127">HYPERLINK("https://ictv.global/ictv/proposals/2023.037B.Jerseyvirus_52ns_ab1sp.zip","2023.037B.Jerseyvirus_52ns_ab1sp.zip")</f>
        <v>2023.037B.Jerseyvirus_52ns_ab1sp.zip</v>
      </c>
      <c r="U2895" s="29" t="str">
        <f>HYPERLINK("https://ictv.global/taxonomy/taxondetails?taxnode_id=202319154","ictv.global=202319154")</f>
        <v>ictv.global=202319154</v>
      </c>
    </row>
    <row r="2896" spans="1:21">
      <c r="A2896">
        <v>2895</v>
      </c>
      <c r="B2896" s="30" t="s">
        <v>1587</v>
      </c>
      <c r="D2896" s="30" t="s">
        <v>1588</v>
      </c>
      <c r="F2896" s="30" t="s">
        <v>1591</v>
      </c>
      <c r="H2896" s="30" t="s">
        <v>1592</v>
      </c>
      <c r="M2896" s="30" t="s">
        <v>652</v>
      </c>
      <c r="N2896" s="30" t="s">
        <v>653</v>
      </c>
      <c r="P2896" s="30" t="s">
        <v>12325</v>
      </c>
      <c r="Q2896" t="s">
        <v>619</v>
      </c>
      <c r="R2896" t="s">
        <v>917</v>
      </c>
      <c r="S2896">
        <v>39</v>
      </c>
      <c r="T2896" s="29" t="str">
        <f t="shared" si="127"/>
        <v>2023.037B.Jerseyvirus_52ns_ab1sp.zip</v>
      </c>
      <c r="U2896" s="29" t="str">
        <f>HYPERLINK("https://ictv.global/taxonomy/taxondetails?taxnode_id=202319149","ictv.global=202319149")</f>
        <v>ictv.global=202319149</v>
      </c>
    </row>
    <row r="2897" spans="1:21">
      <c r="A2897">
        <v>2896</v>
      </c>
      <c r="B2897" s="30" t="s">
        <v>1587</v>
      </c>
      <c r="D2897" s="30" t="s">
        <v>1588</v>
      </c>
      <c r="F2897" s="30" t="s">
        <v>1591</v>
      </c>
      <c r="H2897" s="30" t="s">
        <v>1592</v>
      </c>
      <c r="M2897" s="30" t="s">
        <v>652</v>
      </c>
      <c r="N2897" s="30" t="s">
        <v>653</v>
      </c>
      <c r="P2897" s="30" t="s">
        <v>12326</v>
      </c>
      <c r="Q2897" t="s">
        <v>619</v>
      </c>
      <c r="R2897" t="s">
        <v>917</v>
      </c>
      <c r="S2897">
        <v>39</v>
      </c>
      <c r="T2897" s="29" t="str">
        <f t="shared" si="127"/>
        <v>2023.037B.Jerseyvirus_52ns_ab1sp.zip</v>
      </c>
      <c r="U2897" s="29" t="str">
        <f>HYPERLINK("https://ictv.global/taxonomy/taxondetails?taxnode_id=202319117","ictv.global=202319117")</f>
        <v>ictv.global=202319117</v>
      </c>
    </row>
    <row r="2898" spans="1:21">
      <c r="A2898">
        <v>2897</v>
      </c>
      <c r="B2898" s="30" t="s">
        <v>1587</v>
      </c>
      <c r="D2898" s="30" t="s">
        <v>1588</v>
      </c>
      <c r="F2898" s="30" t="s">
        <v>1591</v>
      </c>
      <c r="H2898" s="30" t="s">
        <v>1592</v>
      </c>
      <c r="M2898" s="30" t="s">
        <v>652</v>
      </c>
      <c r="N2898" s="30" t="s">
        <v>653</v>
      </c>
      <c r="P2898" s="30" t="s">
        <v>12327</v>
      </c>
      <c r="Q2898" t="s">
        <v>619</v>
      </c>
      <c r="R2898" t="s">
        <v>917</v>
      </c>
      <c r="S2898">
        <v>39</v>
      </c>
      <c r="T2898" s="29" t="str">
        <f t="shared" si="127"/>
        <v>2023.037B.Jerseyvirus_52ns_ab1sp.zip</v>
      </c>
      <c r="U2898" s="29" t="str">
        <f>HYPERLINK("https://ictv.global/taxonomy/taxondetails?taxnode_id=202319116","ictv.global=202319116")</f>
        <v>ictv.global=202319116</v>
      </c>
    </row>
    <row r="2899" spans="1:21">
      <c r="A2899">
        <v>2898</v>
      </c>
      <c r="B2899" s="30" t="s">
        <v>1587</v>
      </c>
      <c r="D2899" s="30" t="s">
        <v>1588</v>
      </c>
      <c r="F2899" s="30" t="s">
        <v>1591</v>
      </c>
      <c r="H2899" s="30" t="s">
        <v>1592</v>
      </c>
      <c r="M2899" s="30" t="s">
        <v>652</v>
      </c>
      <c r="N2899" s="30" t="s">
        <v>653</v>
      </c>
      <c r="P2899" s="30" t="s">
        <v>12328</v>
      </c>
      <c r="Q2899" t="s">
        <v>619</v>
      </c>
      <c r="R2899" t="s">
        <v>917</v>
      </c>
      <c r="S2899">
        <v>39</v>
      </c>
      <c r="T2899" s="29" t="str">
        <f t="shared" si="127"/>
        <v>2023.037B.Jerseyvirus_52ns_ab1sp.zip</v>
      </c>
      <c r="U2899" s="29" t="str">
        <f>HYPERLINK("https://ictv.global/taxonomy/taxondetails?taxnode_id=202319115","ictv.global=202319115")</f>
        <v>ictv.global=202319115</v>
      </c>
    </row>
    <row r="2900" spans="1:21">
      <c r="A2900">
        <v>2899</v>
      </c>
      <c r="B2900" s="30" t="s">
        <v>1587</v>
      </c>
      <c r="D2900" s="30" t="s">
        <v>1588</v>
      </c>
      <c r="F2900" s="30" t="s">
        <v>1591</v>
      </c>
      <c r="H2900" s="30" t="s">
        <v>1592</v>
      </c>
      <c r="M2900" s="30" t="s">
        <v>652</v>
      </c>
      <c r="N2900" s="30" t="s">
        <v>653</v>
      </c>
      <c r="P2900" s="30" t="s">
        <v>12329</v>
      </c>
      <c r="Q2900" t="s">
        <v>619</v>
      </c>
      <c r="R2900" t="s">
        <v>917</v>
      </c>
      <c r="S2900">
        <v>39</v>
      </c>
      <c r="T2900" s="29" t="str">
        <f t="shared" si="127"/>
        <v>2023.037B.Jerseyvirus_52ns_ab1sp.zip</v>
      </c>
      <c r="U2900" s="29" t="str">
        <f>HYPERLINK("https://ictv.global/taxonomy/taxondetails?taxnode_id=202319114","ictv.global=202319114")</f>
        <v>ictv.global=202319114</v>
      </c>
    </row>
    <row r="2901" spans="1:21">
      <c r="A2901">
        <v>2900</v>
      </c>
      <c r="B2901" s="30" t="s">
        <v>1587</v>
      </c>
      <c r="D2901" s="30" t="s">
        <v>1588</v>
      </c>
      <c r="F2901" s="30" t="s">
        <v>1591</v>
      </c>
      <c r="H2901" s="30" t="s">
        <v>1592</v>
      </c>
      <c r="M2901" s="30" t="s">
        <v>652</v>
      </c>
      <c r="N2901" s="30" t="s">
        <v>653</v>
      </c>
      <c r="P2901" s="30" t="s">
        <v>12330</v>
      </c>
      <c r="Q2901" t="s">
        <v>619</v>
      </c>
      <c r="R2901" t="s">
        <v>917</v>
      </c>
      <c r="S2901">
        <v>39</v>
      </c>
      <c r="T2901" s="29" t="str">
        <f t="shared" si="127"/>
        <v>2023.037B.Jerseyvirus_52ns_ab1sp.zip</v>
      </c>
      <c r="U2901" s="29" t="str">
        <f>HYPERLINK("https://ictv.global/taxonomy/taxondetails?taxnode_id=202319113","ictv.global=202319113")</f>
        <v>ictv.global=202319113</v>
      </c>
    </row>
    <row r="2902" spans="1:21">
      <c r="A2902">
        <v>2901</v>
      </c>
      <c r="B2902" s="30" t="s">
        <v>1587</v>
      </c>
      <c r="D2902" s="30" t="s">
        <v>1588</v>
      </c>
      <c r="F2902" s="30" t="s">
        <v>1591</v>
      </c>
      <c r="H2902" s="30" t="s">
        <v>1592</v>
      </c>
      <c r="M2902" s="30" t="s">
        <v>652</v>
      </c>
      <c r="N2902" s="30" t="s">
        <v>653</v>
      </c>
      <c r="P2902" s="30" t="s">
        <v>12331</v>
      </c>
      <c r="Q2902" t="s">
        <v>619</v>
      </c>
      <c r="R2902" t="s">
        <v>917</v>
      </c>
      <c r="S2902">
        <v>39</v>
      </c>
      <c r="T2902" s="29" t="str">
        <f t="shared" si="127"/>
        <v>2023.037B.Jerseyvirus_52ns_ab1sp.zip</v>
      </c>
      <c r="U2902" s="29" t="str">
        <f>HYPERLINK("https://ictv.global/taxonomy/taxondetails?taxnode_id=202319119","ictv.global=202319119")</f>
        <v>ictv.global=202319119</v>
      </c>
    </row>
    <row r="2903" spans="1:21">
      <c r="A2903">
        <v>2902</v>
      </c>
      <c r="B2903" s="30" t="s">
        <v>1587</v>
      </c>
      <c r="D2903" s="30" t="s">
        <v>1588</v>
      </c>
      <c r="F2903" s="30" t="s">
        <v>1591</v>
      </c>
      <c r="H2903" s="30" t="s">
        <v>1592</v>
      </c>
      <c r="M2903" s="30" t="s">
        <v>652</v>
      </c>
      <c r="N2903" s="30" t="s">
        <v>653</v>
      </c>
      <c r="P2903" s="30" t="s">
        <v>12332</v>
      </c>
      <c r="Q2903" t="s">
        <v>619</v>
      </c>
      <c r="R2903" t="s">
        <v>917</v>
      </c>
      <c r="S2903">
        <v>39</v>
      </c>
      <c r="T2903" s="29" t="str">
        <f t="shared" si="127"/>
        <v>2023.037B.Jerseyvirus_52ns_ab1sp.zip</v>
      </c>
      <c r="U2903" s="29" t="str">
        <f>HYPERLINK("https://ictv.global/taxonomy/taxondetails?taxnode_id=202319112","ictv.global=202319112")</f>
        <v>ictv.global=202319112</v>
      </c>
    </row>
    <row r="2904" spans="1:21">
      <c r="A2904">
        <v>2903</v>
      </c>
      <c r="B2904" s="30" t="s">
        <v>1587</v>
      </c>
      <c r="D2904" s="30" t="s">
        <v>1588</v>
      </c>
      <c r="F2904" s="30" t="s">
        <v>1591</v>
      </c>
      <c r="H2904" s="30" t="s">
        <v>1592</v>
      </c>
      <c r="M2904" s="30" t="s">
        <v>652</v>
      </c>
      <c r="N2904" s="30" t="s">
        <v>653</v>
      </c>
      <c r="P2904" s="30" t="s">
        <v>12333</v>
      </c>
      <c r="Q2904" t="s">
        <v>619</v>
      </c>
      <c r="R2904" t="s">
        <v>917</v>
      </c>
      <c r="S2904">
        <v>39</v>
      </c>
      <c r="T2904" s="29" t="str">
        <f t="shared" si="127"/>
        <v>2023.037B.Jerseyvirus_52ns_ab1sp.zip</v>
      </c>
      <c r="U2904" s="29" t="str">
        <f>HYPERLINK("https://ictv.global/taxonomy/taxondetails?taxnode_id=202319111","ictv.global=202319111")</f>
        <v>ictv.global=202319111</v>
      </c>
    </row>
    <row r="2905" spans="1:21">
      <c r="A2905">
        <v>2904</v>
      </c>
      <c r="B2905" s="30" t="s">
        <v>1587</v>
      </c>
      <c r="D2905" s="30" t="s">
        <v>1588</v>
      </c>
      <c r="F2905" s="30" t="s">
        <v>1591</v>
      </c>
      <c r="H2905" s="30" t="s">
        <v>1592</v>
      </c>
      <c r="M2905" s="30" t="s">
        <v>652</v>
      </c>
      <c r="N2905" s="30" t="s">
        <v>653</v>
      </c>
      <c r="P2905" s="30" t="s">
        <v>6506</v>
      </c>
      <c r="Q2905" t="s">
        <v>619</v>
      </c>
      <c r="R2905" t="s">
        <v>918</v>
      </c>
      <c r="S2905">
        <v>37</v>
      </c>
      <c r="T2905" s="29" t="str">
        <f>HYPERLINK("https://ictv.global/ictv/proposals/2021.010B.R.Binomial_names.zip","2021.010B.R.Binomial_names.zip")</f>
        <v>2021.010B.R.Binomial_names.zip</v>
      </c>
      <c r="U2905" s="29" t="str">
        <f>HYPERLINK("https://ictv.global/taxonomy/taxondetails?taxnode_id=202300779","ictv.global=202300779")</f>
        <v>ictv.global=202300779</v>
      </c>
    </row>
    <row r="2906" spans="1:21">
      <c r="A2906">
        <v>2905</v>
      </c>
      <c r="B2906" s="30" t="s">
        <v>1587</v>
      </c>
      <c r="D2906" s="30" t="s">
        <v>1588</v>
      </c>
      <c r="F2906" s="30" t="s">
        <v>1591</v>
      </c>
      <c r="H2906" s="30" t="s">
        <v>1592</v>
      </c>
      <c r="M2906" s="30" t="s">
        <v>652</v>
      </c>
      <c r="N2906" s="30" t="s">
        <v>653</v>
      </c>
      <c r="P2906" s="30" t="s">
        <v>12334</v>
      </c>
      <c r="Q2906" t="s">
        <v>619</v>
      </c>
      <c r="R2906" t="s">
        <v>917</v>
      </c>
      <c r="S2906">
        <v>39</v>
      </c>
      <c r="T2906" s="29" t="str">
        <f>HYPERLINK("https://ictv.global/ictv/proposals/2023.037B.Jerseyvirus_52ns_ab1sp.zip","2023.037B.Jerseyvirus_52ns_ab1sp.zip")</f>
        <v>2023.037B.Jerseyvirus_52ns_ab1sp.zip</v>
      </c>
      <c r="U2906" s="29" t="str">
        <f>HYPERLINK("https://ictv.global/taxonomy/taxondetails?taxnode_id=202319150","ictv.global=202319150")</f>
        <v>ictv.global=202319150</v>
      </c>
    </row>
    <row r="2907" spans="1:21">
      <c r="A2907">
        <v>2906</v>
      </c>
      <c r="B2907" s="30" t="s">
        <v>1587</v>
      </c>
      <c r="D2907" s="30" t="s">
        <v>1588</v>
      </c>
      <c r="F2907" s="30" t="s">
        <v>1591</v>
      </c>
      <c r="H2907" s="30" t="s">
        <v>1592</v>
      </c>
      <c r="M2907" s="30" t="s">
        <v>652</v>
      </c>
      <c r="N2907" s="30" t="s">
        <v>1444</v>
      </c>
      <c r="P2907" s="30" t="s">
        <v>12335</v>
      </c>
      <c r="Q2907" t="s">
        <v>619</v>
      </c>
      <c r="R2907" t="s">
        <v>917</v>
      </c>
      <c r="S2907">
        <v>39</v>
      </c>
      <c r="T2907" s="29" t="str">
        <f>HYPERLINK("https://ictv.global/ictv/proposals/2023.040B.Kagunavirus_6ns.zip","2023.040B.Kagunavirus_6ns.zip")</f>
        <v>2023.040B.Kagunavirus_6ns.zip</v>
      </c>
      <c r="U2907" s="29" t="str">
        <f>HYPERLINK("https://ictv.global/taxonomy/taxondetails?taxnode_id=202319180","ictv.global=202319180")</f>
        <v>ictv.global=202319180</v>
      </c>
    </row>
    <row r="2908" spans="1:21">
      <c r="A2908">
        <v>2907</v>
      </c>
      <c r="B2908" s="30" t="s">
        <v>1587</v>
      </c>
      <c r="D2908" s="30" t="s">
        <v>1588</v>
      </c>
      <c r="F2908" s="30" t="s">
        <v>1591</v>
      </c>
      <c r="H2908" s="30" t="s">
        <v>1592</v>
      </c>
      <c r="M2908" s="30" t="s">
        <v>652</v>
      </c>
      <c r="N2908" s="30" t="s">
        <v>1444</v>
      </c>
      <c r="P2908" s="30" t="s">
        <v>6507</v>
      </c>
      <c r="Q2908" t="s">
        <v>619</v>
      </c>
      <c r="R2908" t="s">
        <v>918</v>
      </c>
      <c r="S2908">
        <v>37</v>
      </c>
      <c r="T2908" s="29" t="str">
        <f>HYPERLINK("https://ictv.global/ictv/proposals/2021.010B.R.Binomial_names.zip","2021.010B.R.Binomial_names.zip")</f>
        <v>2021.010B.R.Binomial_names.zip</v>
      </c>
      <c r="U2908" s="29" t="str">
        <f>HYPERLINK("https://ictv.global/taxonomy/taxondetails?taxnode_id=202306957","ictv.global=202306957")</f>
        <v>ictv.global=202306957</v>
      </c>
    </row>
    <row r="2909" spans="1:21">
      <c r="A2909">
        <v>2908</v>
      </c>
      <c r="B2909" s="30" t="s">
        <v>1587</v>
      </c>
      <c r="D2909" s="30" t="s">
        <v>1588</v>
      </c>
      <c r="F2909" s="30" t="s">
        <v>1591</v>
      </c>
      <c r="H2909" s="30" t="s">
        <v>1592</v>
      </c>
      <c r="M2909" s="30" t="s">
        <v>652</v>
      </c>
      <c r="N2909" s="30" t="s">
        <v>1444</v>
      </c>
      <c r="P2909" s="30" t="s">
        <v>6508</v>
      </c>
      <c r="Q2909" t="s">
        <v>619</v>
      </c>
      <c r="R2909" t="s">
        <v>918</v>
      </c>
      <c r="S2909">
        <v>37</v>
      </c>
      <c r="T2909" s="29" t="str">
        <f>HYPERLINK("https://ictv.global/ictv/proposals/2021.010B.R.Binomial_names.zip","2021.010B.R.Binomial_names.zip")</f>
        <v>2021.010B.R.Binomial_names.zip</v>
      </c>
      <c r="U2909" s="29" t="str">
        <f>HYPERLINK("https://ictv.global/taxonomy/taxondetails?taxnode_id=202300781","ictv.global=202300781")</f>
        <v>ictv.global=202300781</v>
      </c>
    </row>
    <row r="2910" spans="1:21">
      <c r="A2910">
        <v>2909</v>
      </c>
      <c r="B2910" s="30" t="s">
        <v>1587</v>
      </c>
      <c r="D2910" s="30" t="s">
        <v>1588</v>
      </c>
      <c r="F2910" s="30" t="s">
        <v>1591</v>
      </c>
      <c r="H2910" s="30" t="s">
        <v>1592</v>
      </c>
      <c r="M2910" s="30" t="s">
        <v>652</v>
      </c>
      <c r="N2910" s="30" t="s">
        <v>1444</v>
      </c>
      <c r="P2910" s="30" t="s">
        <v>6509</v>
      </c>
      <c r="Q2910" t="s">
        <v>619</v>
      </c>
      <c r="R2910" t="s">
        <v>918</v>
      </c>
      <c r="S2910">
        <v>37</v>
      </c>
      <c r="T2910" s="29" t="str">
        <f>HYPERLINK("https://ictv.global/ictv/proposals/2021.010B.R.Binomial_names.zip","2021.010B.R.Binomial_names.zip")</f>
        <v>2021.010B.R.Binomial_names.zip</v>
      </c>
      <c r="U2910" s="29" t="str">
        <f>HYPERLINK("https://ictv.global/taxonomy/taxondetails?taxnode_id=202300782","ictv.global=202300782")</f>
        <v>ictv.global=202300782</v>
      </c>
    </row>
    <row r="2911" spans="1:21">
      <c r="A2911">
        <v>2910</v>
      </c>
      <c r="B2911" s="30" t="s">
        <v>1587</v>
      </c>
      <c r="D2911" s="30" t="s">
        <v>1588</v>
      </c>
      <c r="F2911" s="30" t="s">
        <v>1591</v>
      </c>
      <c r="H2911" s="30" t="s">
        <v>1592</v>
      </c>
      <c r="M2911" s="30" t="s">
        <v>652</v>
      </c>
      <c r="N2911" s="30" t="s">
        <v>1444</v>
      </c>
      <c r="P2911" s="30" t="s">
        <v>6510</v>
      </c>
      <c r="Q2911" t="s">
        <v>619</v>
      </c>
      <c r="R2911" t="s">
        <v>918</v>
      </c>
      <c r="S2911">
        <v>37</v>
      </c>
      <c r="T2911" s="29" t="str">
        <f>HYPERLINK("https://ictv.global/ictv/proposals/2021.010B.R.Binomial_names.zip","2021.010B.R.Binomial_names.zip")</f>
        <v>2021.010B.R.Binomial_names.zip</v>
      </c>
      <c r="U2911" s="29" t="str">
        <f>HYPERLINK("https://ictv.global/taxonomy/taxondetails?taxnode_id=202300783","ictv.global=202300783")</f>
        <v>ictv.global=202300783</v>
      </c>
    </row>
    <row r="2912" spans="1:21">
      <c r="A2912">
        <v>2911</v>
      </c>
      <c r="B2912" s="30" t="s">
        <v>1587</v>
      </c>
      <c r="D2912" s="30" t="s">
        <v>1588</v>
      </c>
      <c r="F2912" s="30" t="s">
        <v>1591</v>
      </c>
      <c r="H2912" s="30" t="s">
        <v>1592</v>
      </c>
      <c r="M2912" s="30" t="s">
        <v>652</v>
      </c>
      <c r="N2912" s="30" t="s">
        <v>1444</v>
      </c>
      <c r="P2912" s="30" t="s">
        <v>6511</v>
      </c>
      <c r="Q2912" t="s">
        <v>619</v>
      </c>
      <c r="R2912" t="s">
        <v>918</v>
      </c>
      <c r="S2912">
        <v>37</v>
      </c>
      <c r="T2912" s="29" t="str">
        <f>HYPERLINK("https://ictv.global/ictv/proposals/2021.010B.R.Binomial_names.zip","2021.010B.R.Binomial_names.zip")</f>
        <v>2021.010B.R.Binomial_names.zip</v>
      </c>
      <c r="U2912" s="29" t="str">
        <f>HYPERLINK("https://ictv.global/taxonomy/taxondetails?taxnode_id=202300784","ictv.global=202300784")</f>
        <v>ictv.global=202300784</v>
      </c>
    </row>
    <row r="2913" spans="1:21">
      <c r="A2913">
        <v>2912</v>
      </c>
      <c r="B2913" s="30" t="s">
        <v>1587</v>
      </c>
      <c r="D2913" s="30" t="s">
        <v>1588</v>
      </c>
      <c r="F2913" s="30" t="s">
        <v>1591</v>
      </c>
      <c r="H2913" s="30" t="s">
        <v>1592</v>
      </c>
      <c r="M2913" s="30" t="s">
        <v>652</v>
      </c>
      <c r="N2913" s="30" t="s">
        <v>1444</v>
      </c>
      <c r="P2913" s="30" t="s">
        <v>12336</v>
      </c>
      <c r="Q2913" t="s">
        <v>619</v>
      </c>
      <c r="R2913" t="s">
        <v>917</v>
      </c>
      <c r="S2913">
        <v>39</v>
      </c>
      <c r="T2913" s="29" t="str">
        <f>HYPERLINK("https://ictv.global/ictv/proposals/2023.040B.Kagunavirus_6ns.zip","2023.040B.Kagunavirus_6ns.zip")</f>
        <v>2023.040B.Kagunavirus_6ns.zip</v>
      </c>
      <c r="U2913" s="29" t="str">
        <f>HYPERLINK("https://ictv.global/taxonomy/taxondetails?taxnode_id=202319181","ictv.global=202319181")</f>
        <v>ictv.global=202319181</v>
      </c>
    </row>
    <row r="2914" spans="1:21">
      <c r="A2914">
        <v>2913</v>
      </c>
      <c r="B2914" s="30" t="s">
        <v>1587</v>
      </c>
      <c r="D2914" s="30" t="s">
        <v>1588</v>
      </c>
      <c r="F2914" s="30" t="s">
        <v>1591</v>
      </c>
      <c r="H2914" s="30" t="s">
        <v>1592</v>
      </c>
      <c r="M2914" s="30" t="s">
        <v>652</v>
      </c>
      <c r="N2914" s="30" t="s">
        <v>1444</v>
      </c>
      <c r="P2914" s="30" t="s">
        <v>12337</v>
      </c>
      <c r="Q2914" t="s">
        <v>619</v>
      </c>
      <c r="R2914" t="s">
        <v>917</v>
      </c>
      <c r="S2914">
        <v>39</v>
      </c>
      <c r="T2914" s="29" t="str">
        <f>HYPERLINK("https://ictv.global/ictv/proposals/2023.040B.Kagunavirus_6ns.zip","2023.040B.Kagunavirus_6ns.zip")</f>
        <v>2023.040B.Kagunavirus_6ns.zip</v>
      </c>
      <c r="U2914" s="29" t="str">
        <f>HYPERLINK("https://ictv.global/taxonomy/taxondetails?taxnode_id=202319182","ictv.global=202319182")</f>
        <v>ictv.global=202319182</v>
      </c>
    </row>
    <row r="2915" spans="1:21">
      <c r="A2915">
        <v>2914</v>
      </c>
      <c r="B2915" s="30" t="s">
        <v>1587</v>
      </c>
      <c r="D2915" s="30" t="s">
        <v>1588</v>
      </c>
      <c r="F2915" s="30" t="s">
        <v>1591</v>
      </c>
      <c r="H2915" s="30" t="s">
        <v>1592</v>
      </c>
      <c r="M2915" s="30" t="s">
        <v>652</v>
      </c>
      <c r="N2915" s="30" t="s">
        <v>1444</v>
      </c>
      <c r="P2915" s="30" t="s">
        <v>6512</v>
      </c>
      <c r="Q2915" t="s">
        <v>619</v>
      </c>
      <c r="R2915" t="s">
        <v>918</v>
      </c>
      <c r="S2915">
        <v>37</v>
      </c>
      <c r="T2915" s="29" t="str">
        <f>HYPERLINK("https://ictv.global/ictv/proposals/2021.010B.R.Binomial_names.zip","2021.010B.R.Binomial_names.zip")</f>
        <v>2021.010B.R.Binomial_names.zip</v>
      </c>
      <c r="U2915" s="29" t="str">
        <f>HYPERLINK("https://ictv.global/taxonomy/taxondetails?taxnode_id=202308019","ictv.global=202308019")</f>
        <v>ictv.global=202308019</v>
      </c>
    </row>
    <row r="2916" spans="1:21">
      <c r="A2916">
        <v>2915</v>
      </c>
      <c r="B2916" s="30" t="s">
        <v>1587</v>
      </c>
      <c r="D2916" s="30" t="s">
        <v>1588</v>
      </c>
      <c r="F2916" s="30" t="s">
        <v>1591</v>
      </c>
      <c r="H2916" s="30" t="s">
        <v>1592</v>
      </c>
      <c r="M2916" s="30" t="s">
        <v>652</v>
      </c>
      <c r="N2916" s="30" t="s">
        <v>1444</v>
      </c>
      <c r="P2916" s="30" t="s">
        <v>12338</v>
      </c>
      <c r="Q2916" t="s">
        <v>619</v>
      </c>
      <c r="R2916" t="s">
        <v>917</v>
      </c>
      <c r="S2916">
        <v>39</v>
      </c>
      <c r="T2916" s="29" t="str">
        <f>HYPERLINK("https://ictv.global/ictv/proposals/2023.040B.Kagunavirus_6ns.zip","2023.040B.Kagunavirus_6ns.zip")</f>
        <v>2023.040B.Kagunavirus_6ns.zip</v>
      </c>
      <c r="U2916" s="29" t="str">
        <f>HYPERLINK("https://ictv.global/taxonomy/taxondetails?taxnode_id=202319183","ictv.global=202319183")</f>
        <v>ictv.global=202319183</v>
      </c>
    </row>
    <row r="2917" spans="1:21">
      <c r="A2917">
        <v>2916</v>
      </c>
      <c r="B2917" s="30" t="s">
        <v>1587</v>
      </c>
      <c r="D2917" s="30" t="s">
        <v>1588</v>
      </c>
      <c r="F2917" s="30" t="s">
        <v>1591</v>
      </c>
      <c r="H2917" s="30" t="s">
        <v>1592</v>
      </c>
      <c r="M2917" s="30" t="s">
        <v>652</v>
      </c>
      <c r="N2917" s="30" t="s">
        <v>1444</v>
      </c>
      <c r="P2917" s="30" t="s">
        <v>12339</v>
      </c>
      <c r="Q2917" t="s">
        <v>619</v>
      </c>
      <c r="R2917" t="s">
        <v>917</v>
      </c>
      <c r="S2917">
        <v>39</v>
      </c>
      <c r="T2917" s="29" t="str">
        <f>HYPERLINK("https://ictv.global/ictv/proposals/2023.040B.Kagunavirus_6ns.zip","2023.040B.Kagunavirus_6ns.zip")</f>
        <v>2023.040B.Kagunavirus_6ns.zip</v>
      </c>
      <c r="U2917" s="29" t="str">
        <f>HYPERLINK("https://ictv.global/taxonomy/taxondetails?taxnode_id=202319185","ictv.global=202319185")</f>
        <v>ictv.global=202319185</v>
      </c>
    </row>
    <row r="2918" spans="1:21">
      <c r="A2918">
        <v>2917</v>
      </c>
      <c r="B2918" s="30" t="s">
        <v>1587</v>
      </c>
      <c r="D2918" s="30" t="s">
        <v>1588</v>
      </c>
      <c r="F2918" s="30" t="s">
        <v>1591</v>
      </c>
      <c r="H2918" s="30" t="s">
        <v>1592</v>
      </c>
      <c r="M2918" s="30" t="s">
        <v>652</v>
      </c>
      <c r="N2918" s="30" t="s">
        <v>1444</v>
      </c>
      <c r="P2918" s="30" t="s">
        <v>12340</v>
      </c>
      <c r="Q2918" t="s">
        <v>619</v>
      </c>
      <c r="R2918" t="s">
        <v>917</v>
      </c>
      <c r="S2918">
        <v>39</v>
      </c>
      <c r="T2918" s="29" t="str">
        <f>HYPERLINK("https://ictv.global/ictv/proposals/2023.040B.Kagunavirus_6ns.zip","2023.040B.Kagunavirus_6ns.zip")</f>
        <v>2023.040B.Kagunavirus_6ns.zip</v>
      </c>
      <c r="U2918" s="29" t="str">
        <f>HYPERLINK("https://ictv.global/taxonomy/taxondetails?taxnode_id=202319184","ictv.global=202319184")</f>
        <v>ictv.global=202319184</v>
      </c>
    </row>
    <row r="2919" spans="1:21">
      <c r="A2919">
        <v>2918</v>
      </c>
      <c r="B2919" s="30" t="s">
        <v>1587</v>
      </c>
      <c r="D2919" s="30" t="s">
        <v>1588</v>
      </c>
      <c r="F2919" s="30" t="s">
        <v>1591</v>
      </c>
      <c r="H2919" s="30" t="s">
        <v>1592</v>
      </c>
      <c r="M2919" s="30" t="s">
        <v>2387</v>
      </c>
      <c r="N2919" s="30" t="s">
        <v>2388</v>
      </c>
      <c r="P2919" s="30" t="s">
        <v>6513</v>
      </c>
      <c r="Q2919" t="s">
        <v>619</v>
      </c>
      <c r="R2919" t="s">
        <v>918</v>
      </c>
      <c r="S2919">
        <v>37</v>
      </c>
      <c r="T2919" s="29" t="str">
        <f>HYPERLINK("https://ictv.global/ictv/proposals/2021.010B.R.Binomial_names.zip","2021.010B.R.Binomial_names.zip")</f>
        <v>2021.010B.R.Binomial_names.zip</v>
      </c>
      <c r="U2919" s="29" t="str">
        <f>HYPERLINK("https://ictv.global/taxonomy/taxondetails?taxnode_id=202310071","ictv.global=202310071")</f>
        <v>ictv.global=202310071</v>
      </c>
    </row>
    <row r="2920" spans="1:21">
      <c r="A2920">
        <v>2919</v>
      </c>
      <c r="B2920" s="30" t="s">
        <v>1587</v>
      </c>
      <c r="D2920" s="30" t="s">
        <v>1588</v>
      </c>
      <c r="F2920" s="30" t="s">
        <v>1591</v>
      </c>
      <c r="H2920" s="30" t="s">
        <v>1592</v>
      </c>
      <c r="M2920" s="30" t="s">
        <v>2387</v>
      </c>
      <c r="N2920" s="30" t="s">
        <v>2388</v>
      </c>
      <c r="P2920" s="30" t="s">
        <v>6514</v>
      </c>
      <c r="Q2920" t="s">
        <v>619</v>
      </c>
      <c r="R2920" t="s">
        <v>918</v>
      </c>
      <c r="S2920">
        <v>37</v>
      </c>
      <c r="T2920" s="29" t="str">
        <f>HYPERLINK("https://ictv.global/ictv/proposals/2021.010B.R.Binomial_names.zip","2021.010B.R.Binomial_names.zip")</f>
        <v>2021.010B.R.Binomial_names.zip</v>
      </c>
      <c r="U2920" s="29" t="str">
        <f>HYPERLINK("https://ictv.global/taxonomy/taxondetails?taxnode_id=202310072","ictv.global=202310072")</f>
        <v>ictv.global=202310072</v>
      </c>
    </row>
    <row r="2921" spans="1:21">
      <c r="A2921">
        <v>2920</v>
      </c>
      <c r="B2921" s="30" t="s">
        <v>1587</v>
      </c>
      <c r="D2921" s="30" t="s">
        <v>1588</v>
      </c>
      <c r="F2921" s="30" t="s">
        <v>1591</v>
      </c>
      <c r="H2921" s="30" t="s">
        <v>1592</v>
      </c>
      <c r="M2921" s="30" t="s">
        <v>2387</v>
      </c>
      <c r="N2921" s="30" t="s">
        <v>12341</v>
      </c>
      <c r="P2921" s="30" t="s">
        <v>12342</v>
      </c>
      <c r="Q2921" t="s">
        <v>619</v>
      </c>
      <c r="R2921" t="s">
        <v>917</v>
      </c>
      <c r="S2921">
        <v>39</v>
      </c>
      <c r="T2921" s="29" t="str">
        <f>HYPERLINK("https://ictv.global/ictv/proposals/2023.044B.Layangavirus_Layangbvirus_2ng.zip","2023.044B.Layangavirus_Layangbvirus_2ng.zip")</f>
        <v>2023.044B.Layangavirus_Layangbvirus_2ng.zip</v>
      </c>
      <c r="U2921" s="29" t="str">
        <f>HYPERLINK("https://ictv.global/taxonomy/taxondetails?taxnode_id=202319206","ictv.global=202319206")</f>
        <v>ictv.global=202319206</v>
      </c>
    </row>
    <row r="2922" spans="1:21">
      <c r="A2922">
        <v>2921</v>
      </c>
      <c r="B2922" s="30" t="s">
        <v>1587</v>
      </c>
      <c r="D2922" s="30" t="s">
        <v>1588</v>
      </c>
      <c r="F2922" s="30" t="s">
        <v>1591</v>
      </c>
      <c r="H2922" s="30" t="s">
        <v>1592</v>
      </c>
      <c r="M2922" s="30" t="s">
        <v>2387</v>
      </c>
      <c r="N2922" s="30" t="s">
        <v>12343</v>
      </c>
      <c r="P2922" s="30" t="s">
        <v>12344</v>
      </c>
      <c r="Q2922" t="s">
        <v>619</v>
      </c>
      <c r="R2922" t="s">
        <v>917</v>
      </c>
      <c r="S2922">
        <v>39</v>
      </c>
      <c r="T2922" s="29" t="str">
        <f>HYPERLINK("https://ictv.global/ictv/proposals/2023.044B.Layangavirus_Layangbvirus_2ng.zip","2023.044B.Layangavirus_Layangbvirus_2ng.zip")</f>
        <v>2023.044B.Layangavirus_Layangbvirus_2ng.zip</v>
      </c>
      <c r="U2922" s="29" t="str">
        <f>HYPERLINK("https://ictv.global/taxonomy/taxondetails?taxnode_id=202319207","ictv.global=202319207")</f>
        <v>ictv.global=202319207</v>
      </c>
    </row>
    <row r="2923" spans="1:21">
      <c r="A2923">
        <v>2922</v>
      </c>
      <c r="B2923" s="30" t="s">
        <v>1587</v>
      </c>
      <c r="D2923" s="30" t="s">
        <v>1588</v>
      </c>
      <c r="F2923" s="30" t="s">
        <v>1591</v>
      </c>
      <c r="H2923" s="30" t="s">
        <v>1592</v>
      </c>
      <c r="M2923" s="30" t="s">
        <v>2387</v>
      </c>
      <c r="N2923" s="30" t="s">
        <v>2389</v>
      </c>
      <c r="P2923" s="30" t="s">
        <v>6515</v>
      </c>
      <c r="Q2923" t="s">
        <v>619</v>
      </c>
      <c r="R2923" t="s">
        <v>918</v>
      </c>
      <c r="S2923">
        <v>37</v>
      </c>
      <c r="T2923" s="29" t="str">
        <f>HYPERLINK("https://ictv.global/ictv/proposals/2021.010B.R.Binomial_names.zip","2021.010B.R.Binomial_names.zip")</f>
        <v>2021.010B.R.Binomial_names.zip</v>
      </c>
      <c r="U2923" s="29" t="str">
        <f>HYPERLINK("https://ictv.global/taxonomy/taxondetails?taxnode_id=202310074","ictv.global=202310074")</f>
        <v>ictv.global=202310074</v>
      </c>
    </row>
    <row r="2924" spans="1:21">
      <c r="A2924">
        <v>2923</v>
      </c>
      <c r="B2924" s="30" t="s">
        <v>1587</v>
      </c>
      <c r="D2924" s="30" t="s">
        <v>1588</v>
      </c>
      <c r="F2924" s="30" t="s">
        <v>1591</v>
      </c>
      <c r="H2924" s="30" t="s">
        <v>1592</v>
      </c>
      <c r="M2924" s="30" t="s">
        <v>12345</v>
      </c>
      <c r="N2924" s="30" t="s">
        <v>7499</v>
      </c>
      <c r="P2924" s="30" t="s">
        <v>7500</v>
      </c>
      <c r="Q2924" t="s">
        <v>619</v>
      </c>
      <c r="R2924" t="s">
        <v>919</v>
      </c>
      <c r="S2924">
        <v>39</v>
      </c>
      <c r="T2924" s="29" t="str">
        <f>HYPERLINK("https://ictv.global/ictv/proposals/2023.033B.Heleneionescovirinae_nsf.zip","2023.033B.Heleneionescovirinae_nsf.zip")</f>
        <v>2023.033B.Heleneionescovirinae_nsf.zip</v>
      </c>
      <c r="U2924" s="29" t="str">
        <f>HYPERLINK("https://ictv.global/taxonomy/taxondetails?taxnode_id=202314485","ictv.global=202314485")</f>
        <v>ictv.global=202314485</v>
      </c>
    </row>
    <row r="2925" spans="1:21">
      <c r="A2925">
        <v>2924</v>
      </c>
      <c r="B2925" s="30" t="s">
        <v>1587</v>
      </c>
      <c r="D2925" s="30" t="s">
        <v>1588</v>
      </c>
      <c r="F2925" s="30" t="s">
        <v>1591</v>
      </c>
      <c r="H2925" s="30" t="s">
        <v>1592</v>
      </c>
      <c r="M2925" s="30" t="s">
        <v>12345</v>
      </c>
      <c r="N2925" s="30" t="s">
        <v>8499</v>
      </c>
      <c r="P2925" s="30" t="s">
        <v>12346</v>
      </c>
      <c r="Q2925" t="s">
        <v>619</v>
      </c>
      <c r="R2925" t="s">
        <v>917</v>
      </c>
      <c r="S2925">
        <v>39</v>
      </c>
      <c r="T2925" s="29" t="str">
        <f>HYPERLINK("https://ictv.global/ictv/proposals/2023.033B.Heleneionescovirinae_nsf.zip","2023.033B.Heleneionescovirinae_nsf.zip")</f>
        <v>2023.033B.Heleneionescovirinae_nsf.zip</v>
      </c>
      <c r="U2925" s="29" t="str">
        <f>HYPERLINK("https://ictv.global/taxonomy/taxondetails?taxnode_id=202319073","ictv.global=202319073")</f>
        <v>ictv.global=202319073</v>
      </c>
    </row>
    <row r="2926" spans="1:21">
      <c r="A2926">
        <v>2925</v>
      </c>
      <c r="B2926" s="30" t="s">
        <v>1587</v>
      </c>
      <c r="D2926" s="30" t="s">
        <v>1588</v>
      </c>
      <c r="F2926" s="30" t="s">
        <v>1591</v>
      </c>
      <c r="H2926" s="30" t="s">
        <v>1592</v>
      </c>
      <c r="M2926" s="30" t="s">
        <v>12345</v>
      </c>
      <c r="N2926" s="30" t="s">
        <v>8499</v>
      </c>
      <c r="P2926" s="30" t="s">
        <v>8500</v>
      </c>
      <c r="Q2926" t="s">
        <v>619</v>
      </c>
      <c r="R2926" t="s">
        <v>919</v>
      </c>
      <c r="S2926">
        <v>39</v>
      </c>
      <c r="T2926" s="29" t="str">
        <f>HYPERLINK("https://ictv.global/ictv/proposals/2023.033B.Heleneionescovirinae_nsf.zip","2023.033B.Heleneionescovirinae_nsf.zip")</f>
        <v>2023.033B.Heleneionescovirinae_nsf.zip</v>
      </c>
      <c r="U2926" s="29" t="str">
        <f>HYPERLINK("https://ictv.global/taxonomy/taxondetails?taxnode_id=202314486","ictv.global=202314486")</f>
        <v>ictv.global=202314486</v>
      </c>
    </row>
    <row r="2927" spans="1:21">
      <c r="A2927">
        <v>2926</v>
      </c>
      <c r="B2927" s="30" t="s">
        <v>1587</v>
      </c>
      <c r="D2927" s="30" t="s">
        <v>1588</v>
      </c>
      <c r="F2927" s="30" t="s">
        <v>1591</v>
      </c>
      <c r="H2927" s="30" t="s">
        <v>1592</v>
      </c>
      <c r="M2927" s="30" t="s">
        <v>2390</v>
      </c>
      <c r="N2927" s="30" t="s">
        <v>2391</v>
      </c>
      <c r="P2927" s="30" t="s">
        <v>6516</v>
      </c>
      <c r="Q2927" t="s">
        <v>619</v>
      </c>
      <c r="R2927" t="s">
        <v>918</v>
      </c>
      <c r="S2927">
        <v>37</v>
      </c>
      <c r="T2927" s="29" t="str">
        <f t="shared" ref="T2927:T2940" si="128">HYPERLINK("https://ictv.global/ictv/proposals/2021.010B.R.Binomial_names.zip","2021.010B.R.Binomial_names.zip")</f>
        <v>2021.010B.R.Binomial_names.zip</v>
      </c>
      <c r="U2927" s="29" t="str">
        <f>HYPERLINK("https://ictv.global/taxonomy/taxondetails?taxnode_id=202301071","ictv.global=202301071")</f>
        <v>ictv.global=202301071</v>
      </c>
    </row>
    <row r="2928" spans="1:21">
      <c r="A2928">
        <v>2927</v>
      </c>
      <c r="B2928" s="30" t="s">
        <v>1587</v>
      </c>
      <c r="D2928" s="30" t="s">
        <v>1588</v>
      </c>
      <c r="F2928" s="30" t="s">
        <v>1591</v>
      </c>
      <c r="H2928" s="30" t="s">
        <v>1592</v>
      </c>
      <c r="M2928" s="30" t="s">
        <v>2390</v>
      </c>
      <c r="N2928" s="30" t="s">
        <v>2392</v>
      </c>
      <c r="P2928" s="30" t="s">
        <v>6517</v>
      </c>
      <c r="Q2928" t="s">
        <v>619</v>
      </c>
      <c r="R2928" t="s">
        <v>918</v>
      </c>
      <c r="S2928">
        <v>37</v>
      </c>
      <c r="T2928" s="29" t="str">
        <f t="shared" si="128"/>
        <v>2021.010B.R.Binomial_names.zip</v>
      </c>
      <c r="U2928" s="29" t="str">
        <f>HYPERLINK("https://ictv.global/taxonomy/taxondetails?taxnode_id=202305555","ictv.global=202305555")</f>
        <v>ictv.global=202305555</v>
      </c>
    </row>
    <row r="2929" spans="1:21">
      <c r="A2929">
        <v>2928</v>
      </c>
      <c r="B2929" s="30" t="s">
        <v>1587</v>
      </c>
      <c r="D2929" s="30" t="s">
        <v>1588</v>
      </c>
      <c r="F2929" s="30" t="s">
        <v>1591</v>
      </c>
      <c r="H2929" s="30" t="s">
        <v>1592</v>
      </c>
      <c r="M2929" s="30" t="s">
        <v>2390</v>
      </c>
      <c r="N2929" s="30" t="s">
        <v>2393</v>
      </c>
      <c r="P2929" s="30" t="s">
        <v>6518</v>
      </c>
      <c r="Q2929" t="s">
        <v>619</v>
      </c>
      <c r="R2929" t="s">
        <v>918</v>
      </c>
      <c r="S2929">
        <v>37</v>
      </c>
      <c r="T2929" s="29" t="str">
        <f t="shared" si="128"/>
        <v>2021.010B.R.Binomial_names.zip</v>
      </c>
      <c r="U2929" s="29" t="str">
        <f>HYPERLINK("https://ictv.global/taxonomy/taxondetails?taxnode_id=202305549","ictv.global=202305549")</f>
        <v>ictv.global=202305549</v>
      </c>
    </row>
    <row r="2930" spans="1:21">
      <c r="A2930">
        <v>2929</v>
      </c>
      <c r="B2930" s="30" t="s">
        <v>1587</v>
      </c>
      <c r="D2930" s="30" t="s">
        <v>1588</v>
      </c>
      <c r="F2930" s="30" t="s">
        <v>1591</v>
      </c>
      <c r="H2930" s="30" t="s">
        <v>1592</v>
      </c>
      <c r="M2930" s="30" t="s">
        <v>2390</v>
      </c>
      <c r="N2930" s="30" t="s">
        <v>2393</v>
      </c>
      <c r="P2930" s="30" t="s">
        <v>6519</v>
      </c>
      <c r="Q2930" t="s">
        <v>619</v>
      </c>
      <c r="R2930" t="s">
        <v>918</v>
      </c>
      <c r="S2930">
        <v>37</v>
      </c>
      <c r="T2930" s="29" t="str">
        <f t="shared" si="128"/>
        <v>2021.010B.R.Binomial_names.zip</v>
      </c>
      <c r="U2930" s="29" t="str">
        <f>HYPERLINK("https://ictv.global/taxonomy/taxondetails?taxnode_id=202305551","ictv.global=202305551")</f>
        <v>ictv.global=202305551</v>
      </c>
    </row>
    <row r="2931" spans="1:21">
      <c r="A2931">
        <v>2930</v>
      </c>
      <c r="B2931" s="30" t="s">
        <v>1587</v>
      </c>
      <c r="D2931" s="30" t="s">
        <v>1588</v>
      </c>
      <c r="F2931" s="30" t="s">
        <v>1591</v>
      </c>
      <c r="H2931" s="30" t="s">
        <v>1592</v>
      </c>
      <c r="M2931" s="30" t="s">
        <v>2390</v>
      </c>
      <c r="N2931" s="30" t="s">
        <v>2394</v>
      </c>
      <c r="P2931" s="30" t="s">
        <v>6520</v>
      </c>
      <c r="Q2931" t="s">
        <v>619</v>
      </c>
      <c r="R2931" t="s">
        <v>918</v>
      </c>
      <c r="S2931">
        <v>37</v>
      </c>
      <c r="T2931" s="29" t="str">
        <f t="shared" si="128"/>
        <v>2021.010B.R.Binomial_names.zip</v>
      </c>
      <c r="U2931" s="29" t="str">
        <f>HYPERLINK("https://ictv.global/taxonomy/taxondetails?taxnode_id=202310093","ictv.global=202310093")</f>
        <v>ictv.global=202310093</v>
      </c>
    </row>
    <row r="2932" spans="1:21">
      <c r="A2932">
        <v>2931</v>
      </c>
      <c r="B2932" s="30" t="s">
        <v>1587</v>
      </c>
      <c r="D2932" s="30" t="s">
        <v>1588</v>
      </c>
      <c r="F2932" s="30" t="s">
        <v>1591</v>
      </c>
      <c r="H2932" s="30" t="s">
        <v>1592</v>
      </c>
      <c r="M2932" s="30" t="s">
        <v>2390</v>
      </c>
      <c r="N2932" s="30" t="s">
        <v>2395</v>
      </c>
      <c r="P2932" s="30" t="s">
        <v>6521</v>
      </c>
      <c r="Q2932" t="s">
        <v>619</v>
      </c>
      <c r="R2932" t="s">
        <v>918</v>
      </c>
      <c r="S2932">
        <v>37</v>
      </c>
      <c r="T2932" s="29" t="str">
        <f t="shared" si="128"/>
        <v>2021.010B.R.Binomial_names.zip</v>
      </c>
      <c r="U2932" s="29" t="str">
        <f>HYPERLINK("https://ictv.global/taxonomy/taxondetails?taxnode_id=202305553","ictv.global=202305553")</f>
        <v>ictv.global=202305553</v>
      </c>
    </row>
    <row r="2933" spans="1:21">
      <c r="A2933">
        <v>2932</v>
      </c>
      <c r="B2933" s="30" t="s">
        <v>1587</v>
      </c>
      <c r="D2933" s="30" t="s">
        <v>1588</v>
      </c>
      <c r="F2933" s="30" t="s">
        <v>1591</v>
      </c>
      <c r="H2933" s="30" t="s">
        <v>1592</v>
      </c>
      <c r="M2933" s="30" t="s">
        <v>2390</v>
      </c>
      <c r="N2933" s="30" t="s">
        <v>2395</v>
      </c>
      <c r="P2933" s="30" t="s">
        <v>6522</v>
      </c>
      <c r="Q2933" t="s">
        <v>619</v>
      </c>
      <c r="R2933" t="s">
        <v>918</v>
      </c>
      <c r="S2933">
        <v>37</v>
      </c>
      <c r="T2933" s="29" t="str">
        <f t="shared" si="128"/>
        <v>2021.010B.R.Binomial_names.zip</v>
      </c>
      <c r="U2933" s="29" t="str">
        <f>HYPERLINK("https://ictv.global/taxonomy/taxondetails?taxnode_id=202305552","ictv.global=202305552")</f>
        <v>ictv.global=202305552</v>
      </c>
    </row>
    <row r="2934" spans="1:21">
      <c r="A2934">
        <v>2933</v>
      </c>
      <c r="B2934" s="30" t="s">
        <v>1587</v>
      </c>
      <c r="D2934" s="30" t="s">
        <v>1588</v>
      </c>
      <c r="F2934" s="30" t="s">
        <v>1591</v>
      </c>
      <c r="H2934" s="30" t="s">
        <v>1592</v>
      </c>
      <c r="M2934" s="30" t="s">
        <v>2390</v>
      </c>
      <c r="N2934" s="30" t="s">
        <v>2396</v>
      </c>
      <c r="P2934" s="30" t="s">
        <v>6523</v>
      </c>
      <c r="Q2934" t="s">
        <v>619</v>
      </c>
      <c r="R2934" t="s">
        <v>918</v>
      </c>
      <c r="S2934">
        <v>37</v>
      </c>
      <c r="T2934" s="29" t="str">
        <f t="shared" si="128"/>
        <v>2021.010B.R.Binomial_names.zip</v>
      </c>
      <c r="U2934" s="29" t="str">
        <f>HYPERLINK("https://ictv.global/taxonomy/taxondetails?taxnode_id=202301070","ictv.global=202301070")</f>
        <v>ictv.global=202301070</v>
      </c>
    </row>
    <row r="2935" spans="1:21">
      <c r="A2935">
        <v>2934</v>
      </c>
      <c r="B2935" s="30" t="s">
        <v>1587</v>
      </c>
      <c r="D2935" s="30" t="s">
        <v>1588</v>
      </c>
      <c r="F2935" s="30" t="s">
        <v>1591</v>
      </c>
      <c r="H2935" s="30" t="s">
        <v>1592</v>
      </c>
      <c r="M2935" s="30" t="s">
        <v>2390</v>
      </c>
      <c r="N2935" s="30" t="s">
        <v>2396</v>
      </c>
      <c r="P2935" s="30" t="s">
        <v>6524</v>
      </c>
      <c r="Q2935" t="s">
        <v>619</v>
      </c>
      <c r="R2935" t="s">
        <v>918</v>
      </c>
      <c r="S2935">
        <v>37</v>
      </c>
      <c r="T2935" s="29" t="str">
        <f t="shared" si="128"/>
        <v>2021.010B.R.Binomial_names.zip</v>
      </c>
      <c r="U2935" s="29" t="str">
        <f>HYPERLINK("https://ictv.global/taxonomy/taxondetails?taxnode_id=202305556","ictv.global=202305556")</f>
        <v>ictv.global=202305556</v>
      </c>
    </row>
    <row r="2936" spans="1:21">
      <c r="A2936">
        <v>2935</v>
      </c>
      <c r="B2936" s="30" t="s">
        <v>1587</v>
      </c>
      <c r="D2936" s="30" t="s">
        <v>1588</v>
      </c>
      <c r="F2936" s="30" t="s">
        <v>1591</v>
      </c>
      <c r="H2936" s="30" t="s">
        <v>1592</v>
      </c>
      <c r="M2936" s="30" t="s">
        <v>2390</v>
      </c>
      <c r="N2936" s="30" t="s">
        <v>2397</v>
      </c>
      <c r="P2936" s="30" t="s">
        <v>6525</v>
      </c>
      <c r="Q2936" t="s">
        <v>619</v>
      </c>
      <c r="R2936" t="s">
        <v>918</v>
      </c>
      <c r="S2936">
        <v>37</v>
      </c>
      <c r="T2936" s="29" t="str">
        <f t="shared" si="128"/>
        <v>2021.010B.R.Binomial_names.zip</v>
      </c>
      <c r="U2936" s="29" t="str">
        <f>HYPERLINK("https://ictv.global/taxonomy/taxondetails?taxnode_id=202305548","ictv.global=202305548")</f>
        <v>ictv.global=202305548</v>
      </c>
    </row>
    <row r="2937" spans="1:21">
      <c r="A2937">
        <v>2936</v>
      </c>
      <c r="B2937" s="30" t="s">
        <v>1587</v>
      </c>
      <c r="D2937" s="30" t="s">
        <v>1588</v>
      </c>
      <c r="F2937" s="30" t="s">
        <v>1591</v>
      </c>
      <c r="H2937" s="30" t="s">
        <v>1592</v>
      </c>
      <c r="M2937" s="30" t="s">
        <v>2390</v>
      </c>
      <c r="N2937" s="30" t="s">
        <v>2397</v>
      </c>
      <c r="P2937" s="30" t="s">
        <v>6526</v>
      </c>
      <c r="Q2937" t="s">
        <v>619</v>
      </c>
      <c r="R2937" t="s">
        <v>918</v>
      </c>
      <c r="S2937">
        <v>37</v>
      </c>
      <c r="T2937" s="29" t="str">
        <f t="shared" si="128"/>
        <v>2021.010B.R.Binomial_names.zip</v>
      </c>
      <c r="U2937" s="29" t="str">
        <f>HYPERLINK("https://ictv.global/taxonomy/taxondetails?taxnode_id=202305554","ictv.global=202305554")</f>
        <v>ictv.global=202305554</v>
      </c>
    </row>
    <row r="2938" spans="1:21">
      <c r="A2938">
        <v>2937</v>
      </c>
      <c r="B2938" s="30" t="s">
        <v>1587</v>
      </c>
      <c r="D2938" s="30" t="s">
        <v>1588</v>
      </c>
      <c r="F2938" s="30" t="s">
        <v>1591</v>
      </c>
      <c r="H2938" s="30" t="s">
        <v>1592</v>
      </c>
      <c r="M2938" s="30" t="s">
        <v>2390</v>
      </c>
      <c r="N2938" s="30" t="s">
        <v>2398</v>
      </c>
      <c r="P2938" s="30" t="s">
        <v>6527</v>
      </c>
      <c r="Q2938" t="s">
        <v>619</v>
      </c>
      <c r="R2938" t="s">
        <v>918</v>
      </c>
      <c r="S2938">
        <v>37</v>
      </c>
      <c r="T2938" s="29" t="str">
        <f t="shared" si="128"/>
        <v>2021.010B.R.Binomial_names.zip</v>
      </c>
      <c r="U2938" s="29" t="str">
        <f>HYPERLINK("https://ictv.global/taxonomy/taxondetails?taxnode_id=202310098","ictv.global=202310098")</f>
        <v>ictv.global=202310098</v>
      </c>
    </row>
    <row r="2939" spans="1:21">
      <c r="A2939">
        <v>2938</v>
      </c>
      <c r="B2939" s="30" t="s">
        <v>1587</v>
      </c>
      <c r="D2939" s="30" t="s">
        <v>1588</v>
      </c>
      <c r="F2939" s="30" t="s">
        <v>1591</v>
      </c>
      <c r="H2939" s="30" t="s">
        <v>1592</v>
      </c>
      <c r="M2939" s="30" t="s">
        <v>2390</v>
      </c>
      <c r="N2939" s="30" t="s">
        <v>2398</v>
      </c>
      <c r="P2939" s="30" t="s">
        <v>6528</v>
      </c>
      <c r="Q2939" t="s">
        <v>619</v>
      </c>
      <c r="R2939" t="s">
        <v>918</v>
      </c>
      <c r="S2939">
        <v>37</v>
      </c>
      <c r="T2939" s="29" t="str">
        <f t="shared" si="128"/>
        <v>2021.010B.R.Binomial_names.zip</v>
      </c>
      <c r="U2939" s="29" t="str">
        <f>HYPERLINK("https://ictv.global/taxonomy/taxondetails?taxnode_id=202305550","ictv.global=202305550")</f>
        <v>ictv.global=202305550</v>
      </c>
    </row>
    <row r="2940" spans="1:21">
      <c r="A2940">
        <v>2939</v>
      </c>
      <c r="B2940" s="30" t="s">
        <v>1587</v>
      </c>
      <c r="D2940" s="30" t="s">
        <v>1588</v>
      </c>
      <c r="F2940" s="30" t="s">
        <v>1591</v>
      </c>
      <c r="H2940" s="30" t="s">
        <v>1592</v>
      </c>
      <c r="M2940" s="30" t="s">
        <v>2390</v>
      </c>
      <c r="N2940" s="30" t="s">
        <v>2399</v>
      </c>
      <c r="P2940" s="30" t="s">
        <v>6529</v>
      </c>
      <c r="Q2940" t="s">
        <v>619</v>
      </c>
      <c r="R2940" t="s">
        <v>918</v>
      </c>
      <c r="S2940">
        <v>37</v>
      </c>
      <c r="T2940" s="29" t="str">
        <f t="shared" si="128"/>
        <v>2021.010B.R.Binomial_names.zip</v>
      </c>
      <c r="U2940" s="29" t="str">
        <f>HYPERLINK("https://ictv.global/taxonomy/taxondetails?taxnode_id=202310095","ictv.global=202310095")</f>
        <v>ictv.global=202310095</v>
      </c>
    </row>
    <row r="2941" spans="1:21">
      <c r="A2941">
        <v>2940</v>
      </c>
      <c r="B2941" s="30" t="s">
        <v>1587</v>
      </c>
      <c r="D2941" s="30" t="s">
        <v>1588</v>
      </c>
      <c r="F2941" s="30" t="s">
        <v>1591</v>
      </c>
      <c r="H2941" s="30" t="s">
        <v>1592</v>
      </c>
      <c r="M2941" s="30" t="s">
        <v>6530</v>
      </c>
      <c r="N2941" s="30" t="s">
        <v>6531</v>
      </c>
      <c r="P2941" s="30" t="s">
        <v>6532</v>
      </c>
      <c r="Q2941" t="s">
        <v>619</v>
      </c>
      <c r="R2941" t="s">
        <v>917</v>
      </c>
      <c r="S2941">
        <v>38</v>
      </c>
      <c r="T2941" s="29" t="str">
        <f>HYPERLINK("https://ictv.global/ictv/proposals/2022.039B.Iiscvirinae_nsf.zip","2022.039B.Iiscvirinae_nsf.zip")</f>
        <v>2022.039B.Iiscvirinae_nsf.zip</v>
      </c>
      <c r="U2941" s="29" t="str">
        <f>HYPERLINK("https://ictv.global/taxonomy/taxondetails?taxnode_id=202314636","ictv.global=202314636")</f>
        <v>ictv.global=202314636</v>
      </c>
    </row>
    <row r="2942" spans="1:21">
      <c r="A2942">
        <v>2941</v>
      </c>
      <c r="B2942" s="30" t="s">
        <v>1587</v>
      </c>
      <c r="D2942" s="30" t="s">
        <v>1588</v>
      </c>
      <c r="F2942" s="30" t="s">
        <v>1591</v>
      </c>
      <c r="H2942" s="30" t="s">
        <v>1592</v>
      </c>
      <c r="M2942" s="30" t="s">
        <v>6530</v>
      </c>
      <c r="N2942" s="30" t="s">
        <v>1365</v>
      </c>
      <c r="P2942" s="30" t="s">
        <v>6533</v>
      </c>
      <c r="Q2942" t="s">
        <v>619</v>
      </c>
      <c r="R2942" t="s">
        <v>919</v>
      </c>
      <c r="S2942">
        <v>38</v>
      </c>
      <c r="T2942" s="29" t="str">
        <f>HYPERLINK("https://ictv.global/ictv/proposals/2022.039B.Iiscvirinae_nsf.zip","2022.039B.Iiscvirinae_nsf.zip")</f>
        <v>2022.039B.Iiscvirinae_nsf.zip</v>
      </c>
      <c r="U2942" s="29" t="str">
        <f>HYPERLINK("https://ictv.global/taxonomy/taxondetails?taxnode_id=202300429","ictv.global=202300429")</f>
        <v>ictv.global=202300429</v>
      </c>
    </row>
    <row r="2943" spans="1:21">
      <c r="A2943">
        <v>2942</v>
      </c>
      <c r="B2943" s="30" t="s">
        <v>1587</v>
      </c>
      <c r="D2943" s="30" t="s">
        <v>1588</v>
      </c>
      <c r="F2943" s="30" t="s">
        <v>1591</v>
      </c>
      <c r="H2943" s="30" t="s">
        <v>1592</v>
      </c>
      <c r="M2943" s="30" t="s">
        <v>6530</v>
      </c>
      <c r="N2943" s="30" t="s">
        <v>1365</v>
      </c>
      <c r="P2943" s="30" t="s">
        <v>6534</v>
      </c>
      <c r="Q2943" t="s">
        <v>619</v>
      </c>
      <c r="R2943" t="s">
        <v>919</v>
      </c>
      <c r="S2943">
        <v>38</v>
      </c>
      <c r="T2943" s="29" t="str">
        <f>HYPERLINK("https://ictv.global/ictv/proposals/2022.039B.Iiscvirinae_nsf.zip","2022.039B.Iiscvirinae_nsf.zip")</f>
        <v>2022.039B.Iiscvirinae_nsf.zip</v>
      </c>
      <c r="U2943" s="29" t="str">
        <f>HYPERLINK("https://ictv.global/taxonomy/taxondetails?taxnode_id=202306999","ictv.global=202306999")</f>
        <v>ictv.global=202306999</v>
      </c>
    </row>
    <row r="2944" spans="1:21">
      <c r="A2944">
        <v>2943</v>
      </c>
      <c r="B2944" s="30" t="s">
        <v>1587</v>
      </c>
      <c r="D2944" s="30" t="s">
        <v>1588</v>
      </c>
      <c r="F2944" s="30" t="s">
        <v>1591</v>
      </c>
      <c r="H2944" s="30" t="s">
        <v>1592</v>
      </c>
      <c r="M2944" s="30" t="s">
        <v>6530</v>
      </c>
      <c r="N2944" s="30" t="s">
        <v>1365</v>
      </c>
      <c r="P2944" s="30" t="s">
        <v>6535</v>
      </c>
      <c r="Q2944" t="s">
        <v>619</v>
      </c>
      <c r="R2944" t="s">
        <v>919</v>
      </c>
      <c r="S2944">
        <v>38</v>
      </c>
      <c r="T2944" s="29" t="str">
        <f>HYPERLINK("https://ictv.global/ictv/proposals/2022.039B.Iiscvirinae_nsf.zip","2022.039B.Iiscvirinae_nsf.zip")</f>
        <v>2022.039B.Iiscvirinae_nsf.zip</v>
      </c>
      <c r="U2944" s="29" t="str">
        <f>HYPERLINK("https://ictv.global/taxonomy/taxondetails?taxnode_id=202300430","ictv.global=202300430")</f>
        <v>ictv.global=202300430</v>
      </c>
    </row>
    <row r="2945" spans="1:21">
      <c r="A2945">
        <v>2944</v>
      </c>
      <c r="B2945" s="30" t="s">
        <v>1587</v>
      </c>
      <c r="D2945" s="30" t="s">
        <v>1588</v>
      </c>
      <c r="F2945" s="30" t="s">
        <v>1591</v>
      </c>
      <c r="H2945" s="30" t="s">
        <v>1592</v>
      </c>
      <c r="M2945" s="30" t="s">
        <v>12347</v>
      </c>
      <c r="N2945" s="30" t="s">
        <v>12348</v>
      </c>
      <c r="P2945" s="30" t="s">
        <v>12349</v>
      </c>
      <c r="Q2945" t="s">
        <v>619</v>
      </c>
      <c r="R2945" t="s">
        <v>917</v>
      </c>
      <c r="S2945">
        <v>39</v>
      </c>
      <c r="T2945" s="29" t="str">
        <f t="shared" ref="T2945:T2962" si="129">HYPERLINK("https://ictv.global/ictv/proposals/2023.036B.Jameshumphriesvirinae_8ng.zip","2023.036B.Jameshumphriesvirinae_8ng.zip")</f>
        <v>2023.036B.Jameshumphriesvirinae_8ng.zip</v>
      </c>
      <c r="U2945" s="29" t="str">
        <f>HYPERLINK("https://ictv.global/taxonomy/taxondetails?taxnode_id=202319095","ictv.global=202319095")</f>
        <v>ictv.global=202319095</v>
      </c>
    </row>
    <row r="2946" spans="1:21">
      <c r="A2946">
        <v>2945</v>
      </c>
      <c r="B2946" s="30" t="s">
        <v>1587</v>
      </c>
      <c r="D2946" s="30" t="s">
        <v>1588</v>
      </c>
      <c r="F2946" s="30" t="s">
        <v>1591</v>
      </c>
      <c r="H2946" s="30" t="s">
        <v>1592</v>
      </c>
      <c r="M2946" s="30" t="s">
        <v>12347</v>
      </c>
      <c r="N2946" s="30" t="s">
        <v>12348</v>
      </c>
      <c r="P2946" s="30" t="s">
        <v>12350</v>
      </c>
      <c r="Q2946" t="s">
        <v>619</v>
      </c>
      <c r="R2946" t="s">
        <v>917</v>
      </c>
      <c r="S2946">
        <v>39</v>
      </c>
      <c r="T2946" s="29" t="str">
        <f t="shared" si="129"/>
        <v>2023.036B.Jameshumphriesvirinae_8ng.zip</v>
      </c>
      <c r="U2946" s="29" t="str">
        <f>HYPERLINK("https://ictv.global/taxonomy/taxondetails?taxnode_id=202319094","ictv.global=202319094")</f>
        <v>ictv.global=202319094</v>
      </c>
    </row>
    <row r="2947" spans="1:21">
      <c r="A2947">
        <v>2946</v>
      </c>
      <c r="B2947" s="30" t="s">
        <v>1587</v>
      </c>
      <c r="D2947" s="30" t="s">
        <v>1588</v>
      </c>
      <c r="F2947" s="30" t="s">
        <v>1591</v>
      </c>
      <c r="H2947" s="30" t="s">
        <v>1592</v>
      </c>
      <c r="M2947" s="30" t="s">
        <v>12347</v>
      </c>
      <c r="N2947" s="30" t="s">
        <v>12348</v>
      </c>
      <c r="P2947" s="30" t="s">
        <v>12351</v>
      </c>
      <c r="Q2947" t="s">
        <v>619</v>
      </c>
      <c r="R2947" t="s">
        <v>917</v>
      </c>
      <c r="S2947">
        <v>39</v>
      </c>
      <c r="T2947" s="29" t="str">
        <f t="shared" si="129"/>
        <v>2023.036B.Jameshumphriesvirinae_8ng.zip</v>
      </c>
      <c r="U2947" s="29" t="str">
        <f>HYPERLINK("https://ictv.global/taxonomy/taxondetails?taxnode_id=202319096","ictv.global=202319096")</f>
        <v>ictv.global=202319096</v>
      </c>
    </row>
    <row r="2948" spans="1:21">
      <c r="A2948">
        <v>2947</v>
      </c>
      <c r="B2948" s="30" t="s">
        <v>1587</v>
      </c>
      <c r="D2948" s="30" t="s">
        <v>1588</v>
      </c>
      <c r="F2948" s="30" t="s">
        <v>1591</v>
      </c>
      <c r="H2948" s="30" t="s">
        <v>1592</v>
      </c>
      <c r="M2948" s="30" t="s">
        <v>12347</v>
      </c>
      <c r="N2948" s="30" t="s">
        <v>12352</v>
      </c>
      <c r="P2948" s="30" t="s">
        <v>12353</v>
      </c>
      <c r="Q2948" t="s">
        <v>619</v>
      </c>
      <c r="R2948" t="s">
        <v>917</v>
      </c>
      <c r="S2948">
        <v>39</v>
      </c>
      <c r="T2948" s="29" t="str">
        <f t="shared" si="129"/>
        <v>2023.036B.Jameshumphriesvirinae_8ng.zip</v>
      </c>
      <c r="U2948" s="29" t="str">
        <f>HYPERLINK("https://ictv.global/taxonomy/taxondetails?taxnode_id=202319104","ictv.global=202319104")</f>
        <v>ictv.global=202319104</v>
      </c>
    </row>
    <row r="2949" spans="1:21">
      <c r="A2949">
        <v>2948</v>
      </c>
      <c r="B2949" s="30" t="s">
        <v>1587</v>
      </c>
      <c r="D2949" s="30" t="s">
        <v>1588</v>
      </c>
      <c r="F2949" s="30" t="s">
        <v>1591</v>
      </c>
      <c r="H2949" s="30" t="s">
        <v>1592</v>
      </c>
      <c r="M2949" s="30" t="s">
        <v>12347</v>
      </c>
      <c r="N2949" s="30" t="s">
        <v>12354</v>
      </c>
      <c r="P2949" s="30" t="s">
        <v>12355</v>
      </c>
      <c r="Q2949" t="s">
        <v>619</v>
      </c>
      <c r="R2949" t="s">
        <v>917</v>
      </c>
      <c r="S2949">
        <v>39</v>
      </c>
      <c r="T2949" s="29" t="str">
        <f t="shared" si="129"/>
        <v>2023.036B.Jameshumphriesvirinae_8ng.zip</v>
      </c>
      <c r="U2949" s="29" t="str">
        <f>HYPERLINK("https://ictv.global/taxonomy/taxondetails?taxnode_id=202319101","ictv.global=202319101")</f>
        <v>ictv.global=202319101</v>
      </c>
    </row>
    <row r="2950" spans="1:21">
      <c r="A2950">
        <v>2949</v>
      </c>
      <c r="B2950" s="30" t="s">
        <v>1587</v>
      </c>
      <c r="D2950" s="30" t="s">
        <v>1588</v>
      </c>
      <c r="F2950" s="30" t="s">
        <v>1591</v>
      </c>
      <c r="H2950" s="30" t="s">
        <v>1592</v>
      </c>
      <c r="M2950" s="30" t="s">
        <v>12347</v>
      </c>
      <c r="N2950" s="30" t="s">
        <v>1364</v>
      </c>
      <c r="P2950" s="30" t="s">
        <v>7474</v>
      </c>
      <c r="Q2950" t="s">
        <v>619</v>
      </c>
      <c r="R2950" t="s">
        <v>919</v>
      </c>
      <c r="S2950">
        <v>39</v>
      </c>
      <c r="T2950" s="29" t="str">
        <f t="shared" si="129"/>
        <v>2023.036B.Jameshumphriesvirinae_8ng.zip</v>
      </c>
      <c r="U2950" s="29" t="str">
        <f>HYPERLINK("https://ictv.global/taxonomy/taxondetails?taxnode_id=202306836","ictv.global=202306836")</f>
        <v>ictv.global=202306836</v>
      </c>
    </row>
    <row r="2951" spans="1:21">
      <c r="A2951">
        <v>2950</v>
      </c>
      <c r="B2951" s="30" t="s">
        <v>1587</v>
      </c>
      <c r="D2951" s="30" t="s">
        <v>1588</v>
      </c>
      <c r="F2951" s="30" t="s">
        <v>1591</v>
      </c>
      <c r="H2951" s="30" t="s">
        <v>1592</v>
      </c>
      <c r="M2951" s="30" t="s">
        <v>12347</v>
      </c>
      <c r="N2951" s="30" t="s">
        <v>12356</v>
      </c>
      <c r="P2951" s="30" t="s">
        <v>12357</v>
      </c>
      <c r="Q2951" t="s">
        <v>619</v>
      </c>
      <c r="R2951" t="s">
        <v>917</v>
      </c>
      <c r="S2951">
        <v>39</v>
      </c>
      <c r="T2951" s="29" t="str">
        <f t="shared" si="129"/>
        <v>2023.036B.Jameshumphriesvirinae_8ng.zip</v>
      </c>
      <c r="U2951" s="29" t="str">
        <f>HYPERLINK("https://ictv.global/taxonomy/taxondetails?taxnode_id=202319102","ictv.global=202319102")</f>
        <v>ictv.global=202319102</v>
      </c>
    </row>
    <row r="2952" spans="1:21">
      <c r="A2952">
        <v>2951</v>
      </c>
      <c r="B2952" s="30" t="s">
        <v>1587</v>
      </c>
      <c r="D2952" s="30" t="s">
        <v>1588</v>
      </c>
      <c r="F2952" s="30" t="s">
        <v>1591</v>
      </c>
      <c r="H2952" s="30" t="s">
        <v>1592</v>
      </c>
      <c r="M2952" s="30" t="s">
        <v>12347</v>
      </c>
      <c r="N2952" s="30" t="s">
        <v>12358</v>
      </c>
      <c r="P2952" s="30" t="s">
        <v>12359</v>
      </c>
      <c r="Q2952" t="s">
        <v>619</v>
      </c>
      <c r="R2952" t="s">
        <v>917</v>
      </c>
      <c r="S2952">
        <v>39</v>
      </c>
      <c r="T2952" s="29" t="str">
        <f t="shared" si="129"/>
        <v>2023.036B.Jameshumphriesvirinae_8ng.zip</v>
      </c>
      <c r="U2952" s="29" t="str">
        <f>HYPERLINK("https://ictv.global/taxonomy/taxondetails?taxnode_id=202319105","ictv.global=202319105")</f>
        <v>ictv.global=202319105</v>
      </c>
    </row>
    <row r="2953" spans="1:21">
      <c r="A2953">
        <v>2952</v>
      </c>
      <c r="B2953" s="30" t="s">
        <v>1587</v>
      </c>
      <c r="D2953" s="30" t="s">
        <v>1588</v>
      </c>
      <c r="F2953" s="30" t="s">
        <v>1591</v>
      </c>
      <c r="H2953" s="30" t="s">
        <v>1592</v>
      </c>
      <c r="M2953" s="30" t="s">
        <v>12347</v>
      </c>
      <c r="N2953" s="30" t="s">
        <v>1379</v>
      </c>
      <c r="P2953" s="30" t="s">
        <v>7953</v>
      </c>
      <c r="Q2953" t="s">
        <v>619</v>
      </c>
      <c r="R2953" t="s">
        <v>919</v>
      </c>
      <c r="S2953">
        <v>39</v>
      </c>
      <c r="T2953" s="29" t="str">
        <f t="shared" si="129"/>
        <v>2023.036B.Jameshumphriesvirinae_8ng.zip</v>
      </c>
      <c r="U2953" s="29" t="str">
        <f>HYPERLINK("https://ictv.global/taxonomy/taxondetails?taxnode_id=202306857","ictv.global=202306857")</f>
        <v>ictv.global=202306857</v>
      </c>
    </row>
    <row r="2954" spans="1:21">
      <c r="A2954">
        <v>2953</v>
      </c>
      <c r="B2954" s="30" t="s">
        <v>1587</v>
      </c>
      <c r="D2954" s="30" t="s">
        <v>1588</v>
      </c>
      <c r="F2954" s="30" t="s">
        <v>1591</v>
      </c>
      <c r="H2954" s="30" t="s">
        <v>1592</v>
      </c>
      <c r="M2954" s="30" t="s">
        <v>12347</v>
      </c>
      <c r="N2954" s="30" t="s">
        <v>12360</v>
      </c>
      <c r="P2954" s="30" t="s">
        <v>12361</v>
      </c>
      <c r="Q2954" t="s">
        <v>619</v>
      </c>
      <c r="R2954" t="s">
        <v>917</v>
      </c>
      <c r="S2954">
        <v>39</v>
      </c>
      <c r="T2954" s="29" t="str">
        <f t="shared" si="129"/>
        <v>2023.036B.Jameshumphriesvirinae_8ng.zip</v>
      </c>
      <c r="U2954" s="29" t="str">
        <f>HYPERLINK("https://ictv.global/taxonomy/taxondetails?taxnode_id=202319103","ictv.global=202319103")</f>
        <v>ictv.global=202319103</v>
      </c>
    </row>
    <row r="2955" spans="1:21">
      <c r="A2955">
        <v>2954</v>
      </c>
      <c r="B2955" s="30" t="s">
        <v>1587</v>
      </c>
      <c r="D2955" s="30" t="s">
        <v>1588</v>
      </c>
      <c r="F2955" s="30" t="s">
        <v>1591</v>
      </c>
      <c r="H2955" s="30" t="s">
        <v>1592</v>
      </c>
      <c r="M2955" s="30" t="s">
        <v>12347</v>
      </c>
      <c r="N2955" s="30" t="s">
        <v>12362</v>
      </c>
      <c r="P2955" s="30" t="s">
        <v>12363</v>
      </c>
      <c r="Q2955" t="s">
        <v>619</v>
      </c>
      <c r="R2955" t="s">
        <v>917</v>
      </c>
      <c r="S2955">
        <v>39</v>
      </c>
      <c r="T2955" s="29" t="str">
        <f t="shared" si="129"/>
        <v>2023.036B.Jameshumphriesvirinae_8ng.zip</v>
      </c>
      <c r="U2955" s="29" t="str">
        <f>HYPERLINK("https://ictv.global/taxonomy/taxondetails?taxnode_id=202319097","ictv.global=202319097")</f>
        <v>ictv.global=202319097</v>
      </c>
    </row>
    <row r="2956" spans="1:21">
      <c r="A2956">
        <v>2955</v>
      </c>
      <c r="B2956" s="30" t="s">
        <v>1587</v>
      </c>
      <c r="D2956" s="30" t="s">
        <v>1588</v>
      </c>
      <c r="F2956" s="30" t="s">
        <v>1591</v>
      </c>
      <c r="H2956" s="30" t="s">
        <v>1592</v>
      </c>
      <c r="M2956" s="30" t="s">
        <v>12347</v>
      </c>
      <c r="N2956" s="30" t="s">
        <v>12362</v>
      </c>
      <c r="P2956" s="30" t="s">
        <v>12364</v>
      </c>
      <c r="Q2956" t="s">
        <v>619</v>
      </c>
      <c r="R2956" t="s">
        <v>917</v>
      </c>
      <c r="S2956">
        <v>39</v>
      </c>
      <c r="T2956" s="29" t="str">
        <f t="shared" si="129"/>
        <v>2023.036B.Jameshumphriesvirinae_8ng.zip</v>
      </c>
      <c r="U2956" s="29" t="str">
        <f>HYPERLINK("https://ictv.global/taxonomy/taxondetails?taxnode_id=202319098","ictv.global=202319098")</f>
        <v>ictv.global=202319098</v>
      </c>
    </row>
    <row r="2957" spans="1:21">
      <c r="A2957">
        <v>2956</v>
      </c>
      <c r="B2957" s="30" t="s">
        <v>1587</v>
      </c>
      <c r="D2957" s="30" t="s">
        <v>1588</v>
      </c>
      <c r="F2957" s="30" t="s">
        <v>1591</v>
      </c>
      <c r="H2957" s="30" t="s">
        <v>1592</v>
      </c>
      <c r="M2957" s="30" t="s">
        <v>12347</v>
      </c>
      <c r="N2957" s="30" t="s">
        <v>12362</v>
      </c>
      <c r="P2957" s="30" t="s">
        <v>12365</v>
      </c>
      <c r="Q2957" t="s">
        <v>619</v>
      </c>
      <c r="R2957" t="s">
        <v>918</v>
      </c>
      <c r="S2957">
        <v>39</v>
      </c>
      <c r="T2957" s="29" t="str">
        <f t="shared" si="129"/>
        <v>2023.036B.Jameshumphriesvirinae_8ng.zip</v>
      </c>
      <c r="U2957" s="29" t="str">
        <f>HYPERLINK("https://ictv.global/taxonomy/taxondetails?taxnode_id=202306838","ictv.global=202306838")</f>
        <v>ictv.global=202306838</v>
      </c>
    </row>
    <row r="2958" spans="1:21">
      <c r="A2958">
        <v>2957</v>
      </c>
      <c r="B2958" s="30" t="s">
        <v>1587</v>
      </c>
      <c r="D2958" s="30" t="s">
        <v>1588</v>
      </c>
      <c r="F2958" s="30" t="s">
        <v>1591</v>
      </c>
      <c r="H2958" s="30" t="s">
        <v>1592</v>
      </c>
      <c r="M2958" s="30" t="s">
        <v>12347</v>
      </c>
      <c r="N2958" s="30" t="s">
        <v>12362</v>
      </c>
      <c r="P2958" s="30" t="s">
        <v>12366</v>
      </c>
      <c r="Q2958" t="s">
        <v>619</v>
      </c>
      <c r="R2958" t="s">
        <v>918</v>
      </c>
      <c r="S2958">
        <v>39</v>
      </c>
      <c r="T2958" s="29" t="str">
        <f t="shared" si="129"/>
        <v>2023.036B.Jameshumphriesvirinae_8ng.zip</v>
      </c>
      <c r="U2958" s="29" t="str">
        <f>HYPERLINK("https://ictv.global/taxonomy/taxondetails?taxnode_id=202306837","ictv.global=202306837")</f>
        <v>ictv.global=202306837</v>
      </c>
    </row>
    <row r="2959" spans="1:21">
      <c r="A2959">
        <v>2958</v>
      </c>
      <c r="B2959" s="30" t="s">
        <v>1587</v>
      </c>
      <c r="D2959" s="30" t="s">
        <v>1588</v>
      </c>
      <c r="F2959" s="30" t="s">
        <v>1591</v>
      </c>
      <c r="H2959" s="30" t="s">
        <v>1592</v>
      </c>
      <c r="M2959" s="30" t="s">
        <v>12347</v>
      </c>
      <c r="N2959" s="30" t="s">
        <v>12362</v>
      </c>
      <c r="P2959" s="30" t="s">
        <v>12367</v>
      </c>
      <c r="Q2959" t="s">
        <v>619</v>
      </c>
      <c r="R2959" t="s">
        <v>917</v>
      </c>
      <c r="S2959">
        <v>39</v>
      </c>
      <c r="T2959" s="29" t="str">
        <f t="shared" si="129"/>
        <v>2023.036B.Jameshumphriesvirinae_8ng.zip</v>
      </c>
      <c r="U2959" s="29" t="str">
        <f>HYPERLINK("https://ictv.global/taxonomy/taxondetails?taxnode_id=202319099","ictv.global=202319099")</f>
        <v>ictv.global=202319099</v>
      </c>
    </row>
    <row r="2960" spans="1:21">
      <c r="A2960">
        <v>2959</v>
      </c>
      <c r="B2960" s="30" t="s">
        <v>1587</v>
      </c>
      <c r="D2960" s="30" t="s">
        <v>1588</v>
      </c>
      <c r="F2960" s="30" t="s">
        <v>1591</v>
      </c>
      <c r="H2960" s="30" t="s">
        <v>1592</v>
      </c>
      <c r="M2960" s="30" t="s">
        <v>12347</v>
      </c>
      <c r="N2960" s="30" t="s">
        <v>12362</v>
      </c>
      <c r="P2960" s="30" t="s">
        <v>12368</v>
      </c>
      <c r="Q2960" t="s">
        <v>619</v>
      </c>
      <c r="R2960" t="s">
        <v>917</v>
      </c>
      <c r="S2960">
        <v>39</v>
      </c>
      <c r="T2960" s="29" t="str">
        <f t="shared" si="129"/>
        <v>2023.036B.Jameshumphriesvirinae_8ng.zip</v>
      </c>
      <c r="U2960" s="29" t="str">
        <f>HYPERLINK("https://ictv.global/taxonomy/taxondetails?taxnode_id=202319100","ictv.global=202319100")</f>
        <v>ictv.global=202319100</v>
      </c>
    </row>
    <row r="2961" spans="1:21">
      <c r="A2961">
        <v>2960</v>
      </c>
      <c r="B2961" s="30" t="s">
        <v>1587</v>
      </c>
      <c r="D2961" s="30" t="s">
        <v>1588</v>
      </c>
      <c r="F2961" s="30" t="s">
        <v>1591</v>
      </c>
      <c r="H2961" s="30" t="s">
        <v>1592</v>
      </c>
      <c r="M2961" s="30" t="s">
        <v>12347</v>
      </c>
      <c r="N2961" s="30" t="s">
        <v>12369</v>
      </c>
      <c r="P2961" s="30" t="s">
        <v>12370</v>
      </c>
      <c r="Q2961" t="s">
        <v>619</v>
      </c>
      <c r="R2961" t="s">
        <v>917</v>
      </c>
      <c r="S2961">
        <v>39</v>
      </c>
      <c r="T2961" s="29" t="str">
        <f t="shared" si="129"/>
        <v>2023.036B.Jameshumphriesvirinae_8ng.zip</v>
      </c>
      <c r="U2961" s="29" t="str">
        <f>HYPERLINK("https://ictv.global/taxonomy/taxondetails?taxnode_id=202319093","ictv.global=202319093")</f>
        <v>ictv.global=202319093</v>
      </c>
    </row>
    <row r="2962" spans="1:21">
      <c r="A2962">
        <v>2961</v>
      </c>
      <c r="B2962" s="30" t="s">
        <v>1587</v>
      </c>
      <c r="D2962" s="30" t="s">
        <v>1588</v>
      </c>
      <c r="F2962" s="30" t="s">
        <v>1591</v>
      </c>
      <c r="H2962" s="30" t="s">
        <v>1592</v>
      </c>
      <c r="M2962" s="30" t="s">
        <v>12347</v>
      </c>
      <c r="N2962" s="30" t="s">
        <v>12369</v>
      </c>
      <c r="P2962" s="30" t="s">
        <v>12371</v>
      </c>
      <c r="Q2962" t="s">
        <v>619</v>
      </c>
      <c r="R2962" t="s">
        <v>917</v>
      </c>
      <c r="S2962">
        <v>39</v>
      </c>
      <c r="T2962" s="29" t="str">
        <f t="shared" si="129"/>
        <v>2023.036B.Jameshumphriesvirinae_8ng.zip</v>
      </c>
      <c r="U2962" s="29" t="str">
        <f>HYPERLINK("https://ictv.global/taxonomy/taxondetails?taxnode_id=202319092","ictv.global=202319092")</f>
        <v>ictv.global=202319092</v>
      </c>
    </row>
    <row r="2963" spans="1:21">
      <c r="A2963">
        <v>2962</v>
      </c>
      <c r="B2963" s="30" t="s">
        <v>1587</v>
      </c>
      <c r="D2963" s="30" t="s">
        <v>1588</v>
      </c>
      <c r="F2963" s="30" t="s">
        <v>1591</v>
      </c>
      <c r="H2963" s="30" t="s">
        <v>1592</v>
      </c>
      <c r="M2963" s="30" t="s">
        <v>6536</v>
      </c>
      <c r="N2963" s="30" t="s">
        <v>6537</v>
      </c>
      <c r="P2963" s="30" t="s">
        <v>6538</v>
      </c>
      <c r="Q2963" t="s">
        <v>619</v>
      </c>
      <c r="R2963" t="s">
        <v>917</v>
      </c>
      <c r="S2963">
        <v>38</v>
      </c>
      <c r="T2963" s="29" t="str">
        <f t="shared" ref="T2963:T2970" si="130">HYPERLINK("https://ictv.global/ictv/proposals/2022.005B.Andregratiavirinae_Joanripponvirinae_nsf.zip","2022.005B.Andregratiavirinae_Joanripponvirinae_nsf.zip")</f>
        <v>2022.005B.Andregratiavirinae_Joanripponvirinae_nsf.zip</v>
      </c>
      <c r="U2963" s="29" t="str">
        <f>HYPERLINK("https://ictv.global/taxonomy/taxondetails?taxnode_id=202314479","ictv.global=202314479")</f>
        <v>ictv.global=202314479</v>
      </c>
    </row>
    <row r="2964" spans="1:21">
      <c r="A2964">
        <v>2963</v>
      </c>
      <c r="B2964" s="30" t="s">
        <v>1587</v>
      </c>
      <c r="D2964" s="30" t="s">
        <v>1588</v>
      </c>
      <c r="F2964" s="30" t="s">
        <v>1591</v>
      </c>
      <c r="H2964" s="30" t="s">
        <v>1592</v>
      </c>
      <c r="M2964" s="30" t="s">
        <v>6536</v>
      </c>
      <c r="N2964" s="30" t="s">
        <v>6539</v>
      </c>
      <c r="P2964" s="30" t="s">
        <v>6540</v>
      </c>
      <c r="Q2964" t="s">
        <v>619</v>
      </c>
      <c r="R2964" t="s">
        <v>917</v>
      </c>
      <c r="S2964">
        <v>38</v>
      </c>
      <c r="T2964" s="29" t="str">
        <f t="shared" si="130"/>
        <v>2022.005B.Andregratiavirinae_Joanripponvirinae_nsf.zip</v>
      </c>
      <c r="U2964" s="29" t="str">
        <f>HYPERLINK("https://ictv.global/taxonomy/taxondetails?taxnode_id=202314478","ictv.global=202314478")</f>
        <v>ictv.global=202314478</v>
      </c>
    </row>
    <row r="2965" spans="1:21">
      <c r="A2965">
        <v>2964</v>
      </c>
      <c r="B2965" s="30" t="s">
        <v>1587</v>
      </c>
      <c r="D2965" s="30" t="s">
        <v>1588</v>
      </c>
      <c r="F2965" s="30" t="s">
        <v>1591</v>
      </c>
      <c r="H2965" s="30" t="s">
        <v>1592</v>
      </c>
      <c r="M2965" s="30" t="s">
        <v>6536</v>
      </c>
      <c r="N2965" s="30" t="s">
        <v>6539</v>
      </c>
      <c r="P2965" s="30" t="s">
        <v>6541</v>
      </c>
      <c r="Q2965" t="s">
        <v>619</v>
      </c>
      <c r="R2965" t="s">
        <v>917</v>
      </c>
      <c r="S2965">
        <v>38</v>
      </c>
      <c r="T2965" s="29" t="str">
        <f t="shared" si="130"/>
        <v>2022.005B.Andregratiavirinae_Joanripponvirinae_nsf.zip</v>
      </c>
      <c r="U2965" s="29" t="str">
        <f>HYPERLINK("https://ictv.global/taxonomy/taxondetails?taxnode_id=202314477","ictv.global=202314477")</f>
        <v>ictv.global=202314477</v>
      </c>
    </row>
    <row r="2966" spans="1:21">
      <c r="A2966">
        <v>2965</v>
      </c>
      <c r="B2966" s="30" t="s">
        <v>1587</v>
      </c>
      <c r="D2966" s="30" t="s">
        <v>1588</v>
      </c>
      <c r="F2966" s="30" t="s">
        <v>1591</v>
      </c>
      <c r="H2966" s="30" t="s">
        <v>1592</v>
      </c>
      <c r="M2966" s="30" t="s">
        <v>6536</v>
      </c>
      <c r="N2966" s="30" t="s">
        <v>6542</v>
      </c>
      <c r="P2966" s="30" t="s">
        <v>6543</v>
      </c>
      <c r="Q2966" t="s">
        <v>619</v>
      </c>
      <c r="R2966" t="s">
        <v>917</v>
      </c>
      <c r="S2966">
        <v>38</v>
      </c>
      <c r="T2966" s="29" t="str">
        <f t="shared" si="130"/>
        <v>2022.005B.Andregratiavirinae_Joanripponvirinae_nsf.zip</v>
      </c>
      <c r="U2966" s="29" t="str">
        <f>HYPERLINK("https://ictv.global/taxonomy/taxondetails?taxnode_id=202314484","ictv.global=202314484")</f>
        <v>ictv.global=202314484</v>
      </c>
    </row>
    <row r="2967" spans="1:21">
      <c r="A2967">
        <v>2966</v>
      </c>
      <c r="B2967" s="30" t="s">
        <v>1587</v>
      </c>
      <c r="D2967" s="30" t="s">
        <v>1588</v>
      </c>
      <c r="F2967" s="30" t="s">
        <v>1591</v>
      </c>
      <c r="H2967" s="30" t="s">
        <v>1592</v>
      </c>
      <c r="M2967" s="30" t="s">
        <v>6536</v>
      </c>
      <c r="N2967" s="30" t="s">
        <v>6542</v>
      </c>
      <c r="P2967" s="30" t="s">
        <v>6544</v>
      </c>
      <c r="Q2967" t="s">
        <v>619</v>
      </c>
      <c r="R2967" t="s">
        <v>917</v>
      </c>
      <c r="S2967">
        <v>38</v>
      </c>
      <c r="T2967" s="29" t="str">
        <f t="shared" si="130"/>
        <v>2022.005B.Andregratiavirinae_Joanripponvirinae_nsf.zip</v>
      </c>
      <c r="U2967" s="29" t="str">
        <f>HYPERLINK("https://ictv.global/taxonomy/taxondetails?taxnode_id=202314481","ictv.global=202314481")</f>
        <v>ictv.global=202314481</v>
      </c>
    </row>
    <row r="2968" spans="1:21">
      <c r="A2968">
        <v>2967</v>
      </c>
      <c r="B2968" s="30" t="s">
        <v>1587</v>
      </c>
      <c r="D2968" s="30" t="s">
        <v>1588</v>
      </c>
      <c r="F2968" s="30" t="s">
        <v>1591</v>
      </c>
      <c r="H2968" s="30" t="s">
        <v>1592</v>
      </c>
      <c r="M2968" s="30" t="s">
        <v>6536</v>
      </c>
      <c r="N2968" s="30" t="s">
        <v>6542</v>
      </c>
      <c r="P2968" s="30" t="s">
        <v>6545</v>
      </c>
      <c r="Q2968" t="s">
        <v>619</v>
      </c>
      <c r="R2968" t="s">
        <v>917</v>
      </c>
      <c r="S2968">
        <v>38</v>
      </c>
      <c r="T2968" s="29" t="str">
        <f t="shared" si="130"/>
        <v>2022.005B.Andregratiavirinae_Joanripponvirinae_nsf.zip</v>
      </c>
      <c r="U2968" s="29" t="str">
        <f>HYPERLINK("https://ictv.global/taxonomy/taxondetails?taxnode_id=202314483","ictv.global=202314483")</f>
        <v>ictv.global=202314483</v>
      </c>
    </row>
    <row r="2969" spans="1:21">
      <c r="A2969">
        <v>2968</v>
      </c>
      <c r="B2969" s="30" t="s">
        <v>1587</v>
      </c>
      <c r="D2969" s="30" t="s">
        <v>1588</v>
      </c>
      <c r="F2969" s="30" t="s">
        <v>1591</v>
      </c>
      <c r="H2969" s="30" t="s">
        <v>1592</v>
      </c>
      <c r="M2969" s="30" t="s">
        <v>6536</v>
      </c>
      <c r="N2969" s="30" t="s">
        <v>6542</v>
      </c>
      <c r="P2969" s="30" t="s">
        <v>6546</v>
      </c>
      <c r="Q2969" t="s">
        <v>619</v>
      </c>
      <c r="R2969" t="s">
        <v>917</v>
      </c>
      <c r="S2969">
        <v>38</v>
      </c>
      <c r="T2969" s="29" t="str">
        <f t="shared" si="130"/>
        <v>2022.005B.Andregratiavirinae_Joanripponvirinae_nsf.zip</v>
      </c>
      <c r="U2969" s="29" t="str">
        <f>HYPERLINK("https://ictv.global/taxonomy/taxondetails?taxnode_id=202314482","ictv.global=202314482")</f>
        <v>ictv.global=202314482</v>
      </c>
    </row>
    <row r="2970" spans="1:21">
      <c r="A2970">
        <v>2969</v>
      </c>
      <c r="B2970" s="30" t="s">
        <v>1587</v>
      </c>
      <c r="D2970" s="30" t="s">
        <v>1588</v>
      </c>
      <c r="F2970" s="30" t="s">
        <v>1591</v>
      </c>
      <c r="H2970" s="30" t="s">
        <v>1592</v>
      </c>
      <c r="M2970" s="30" t="s">
        <v>6536</v>
      </c>
      <c r="N2970" s="30" t="s">
        <v>6542</v>
      </c>
      <c r="P2970" s="30" t="s">
        <v>6547</v>
      </c>
      <c r="Q2970" t="s">
        <v>619</v>
      </c>
      <c r="R2970" t="s">
        <v>917</v>
      </c>
      <c r="S2970">
        <v>38</v>
      </c>
      <c r="T2970" s="29" t="str">
        <f t="shared" si="130"/>
        <v>2022.005B.Andregratiavirinae_Joanripponvirinae_nsf.zip</v>
      </c>
      <c r="U2970" s="29" t="str">
        <f>HYPERLINK("https://ictv.global/taxonomy/taxondetails?taxnode_id=202314480","ictv.global=202314480")</f>
        <v>ictv.global=202314480</v>
      </c>
    </row>
    <row r="2971" spans="1:21">
      <c r="A2971">
        <v>2970</v>
      </c>
      <c r="B2971" s="30" t="s">
        <v>1587</v>
      </c>
      <c r="D2971" s="30" t="s">
        <v>1588</v>
      </c>
      <c r="F2971" s="30" t="s">
        <v>1591</v>
      </c>
      <c r="H2971" s="30" t="s">
        <v>1592</v>
      </c>
      <c r="M2971" s="30" t="s">
        <v>12372</v>
      </c>
      <c r="N2971" s="30" t="s">
        <v>12373</v>
      </c>
      <c r="P2971" s="30" t="s">
        <v>12374</v>
      </c>
      <c r="Q2971" t="s">
        <v>619</v>
      </c>
      <c r="R2971" t="s">
        <v>917</v>
      </c>
      <c r="S2971">
        <v>39</v>
      </c>
      <c r="T2971" s="29" t="str">
        <f>HYPERLINK("https://ictv.global/ictv/proposals/2023.038B.Johnpaulvirinae_nsf.zip","2023.038B.Johnpaulvirinae_nsf.zip")</f>
        <v>2023.038B.Johnpaulvirinae_nsf.zip</v>
      </c>
      <c r="U2971" s="29" t="str">
        <f>HYPERLINK("https://ictv.global/taxonomy/taxondetails?taxnode_id=202319158","ictv.global=202319158")</f>
        <v>ictv.global=202319158</v>
      </c>
    </row>
    <row r="2972" spans="1:21">
      <c r="A2972">
        <v>2971</v>
      </c>
      <c r="B2972" s="30" t="s">
        <v>1587</v>
      </c>
      <c r="D2972" s="30" t="s">
        <v>1588</v>
      </c>
      <c r="F2972" s="30" t="s">
        <v>1591</v>
      </c>
      <c r="H2972" s="30" t="s">
        <v>1592</v>
      </c>
      <c r="M2972" s="30" t="s">
        <v>12372</v>
      </c>
      <c r="N2972" s="30" t="s">
        <v>12375</v>
      </c>
      <c r="P2972" s="30" t="s">
        <v>12376</v>
      </c>
      <c r="Q2972" t="s">
        <v>619</v>
      </c>
      <c r="R2972" t="s">
        <v>917</v>
      </c>
      <c r="S2972">
        <v>39</v>
      </c>
      <c r="T2972" s="29" t="str">
        <f>HYPERLINK("https://ictv.global/ictv/proposals/2023.038B.Johnpaulvirinae_nsf.zip","2023.038B.Johnpaulvirinae_nsf.zip")</f>
        <v>2023.038B.Johnpaulvirinae_nsf.zip</v>
      </c>
      <c r="U2972" s="29" t="str">
        <f>HYPERLINK("https://ictv.global/taxonomy/taxondetails?taxnode_id=202319159","ictv.global=202319159")</f>
        <v>ictv.global=202319159</v>
      </c>
    </row>
    <row r="2973" spans="1:21">
      <c r="A2973">
        <v>2972</v>
      </c>
      <c r="B2973" s="30" t="s">
        <v>1587</v>
      </c>
      <c r="D2973" s="30" t="s">
        <v>1588</v>
      </c>
      <c r="F2973" s="30" t="s">
        <v>1591</v>
      </c>
      <c r="H2973" s="30" t="s">
        <v>1592</v>
      </c>
      <c r="M2973" s="30" t="s">
        <v>12372</v>
      </c>
      <c r="N2973" s="30" t="s">
        <v>12375</v>
      </c>
      <c r="P2973" s="30" t="s">
        <v>12377</v>
      </c>
      <c r="Q2973" t="s">
        <v>619</v>
      </c>
      <c r="R2973" t="s">
        <v>917</v>
      </c>
      <c r="S2973">
        <v>39</v>
      </c>
      <c r="T2973" s="29" t="str">
        <f>HYPERLINK("https://ictv.global/ictv/proposals/2023.038B.Johnpaulvirinae_nsf.zip","2023.038B.Johnpaulvirinae_nsf.zip")</f>
        <v>2023.038B.Johnpaulvirinae_nsf.zip</v>
      </c>
      <c r="U2973" s="29" t="str">
        <f>HYPERLINK("https://ictv.global/taxonomy/taxondetails?taxnode_id=202319160","ictv.global=202319160")</f>
        <v>ictv.global=202319160</v>
      </c>
    </row>
    <row r="2974" spans="1:21">
      <c r="A2974">
        <v>2973</v>
      </c>
      <c r="B2974" s="30" t="s">
        <v>1587</v>
      </c>
      <c r="D2974" s="30" t="s">
        <v>1588</v>
      </c>
      <c r="F2974" s="30" t="s">
        <v>1591</v>
      </c>
      <c r="H2974" s="30" t="s">
        <v>1592</v>
      </c>
      <c r="M2974" s="30" t="s">
        <v>12378</v>
      </c>
      <c r="N2974" s="30" t="s">
        <v>1911</v>
      </c>
      <c r="P2974" s="30" t="s">
        <v>7501</v>
      </c>
      <c r="Q2974" t="s">
        <v>619</v>
      </c>
      <c r="R2974" t="s">
        <v>919</v>
      </c>
      <c r="S2974">
        <v>39</v>
      </c>
      <c r="T2974" s="29" t="str">
        <f t="shared" ref="T2974:T2996" si="131">HYPERLINK("https://ictv.global/ictv/proposals/2023.039B.Jondennisvirinae_nsf.zip","2023.039B.Jondennisvirinae_nsf.zip")</f>
        <v>2023.039B.Jondennisvirinae_nsf.zip</v>
      </c>
      <c r="U2974" s="29" t="str">
        <f>HYPERLINK("https://ictv.global/taxonomy/taxondetails?taxnode_id=202301256","ictv.global=202301256")</f>
        <v>ictv.global=202301256</v>
      </c>
    </row>
    <row r="2975" spans="1:21">
      <c r="A2975">
        <v>2974</v>
      </c>
      <c r="B2975" s="30" t="s">
        <v>1587</v>
      </c>
      <c r="D2975" s="30" t="s">
        <v>1588</v>
      </c>
      <c r="F2975" s="30" t="s">
        <v>1591</v>
      </c>
      <c r="H2975" s="30" t="s">
        <v>1592</v>
      </c>
      <c r="M2975" s="30" t="s">
        <v>12378</v>
      </c>
      <c r="N2975" s="30" t="s">
        <v>12379</v>
      </c>
      <c r="P2975" s="30" t="s">
        <v>12380</v>
      </c>
      <c r="Q2975" t="s">
        <v>619</v>
      </c>
      <c r="R2975" t="s">
        <v>917</v>
      </c>
      <c r="S2975">
        <v>39</v>
      </c>
      <c r="T2975" s="29" t="str">
        <f t="shared" si="131"/>
        <v>2023.039B.Jondennisvirinae_nsf.zip</v>
      </c>
      <c r="U2975" s="29" t="str">
        <f>HYPERLINK("https://ictv.global/taxonomy/taxondetails?taxnode_id=202319179","ictv.global=202319179")</f>
        <v>ictv.global=202319179</v>
      </c>
    </row>
    <row r="2976" spans="1:21">
      <c r="A2976">
        <v>2975</v>
      </c>
      <c r="B2976" s="30" t="s">
        <v>1587</v>
      </c>
      <c r="D2976" s="30" t="s">
        <v>1588</v>
      </c>
      <c r="F2976" s="30" t="s">
        <v>1591</v>
      </c>
      <c r="H2976" s="30" t="s">
        <v>1592</v>
      </c>
      <c r="M2976" s="30" t="s">
        <v>12378</v>
      </c>
      <c r="N2976" s="30" t="s">
        <v>1552</v>
      </c>
      <c r="P2976" s="30" t="s">
        <v>8135</v>
      </c>
      <c r="Q2976" t="s">
        <v>619</v>
      </c>
      <c r="R2976" t="s">
        <v>919</v>
      </c>
      <c r="S2976">
        <v>39</v>
      </c>
      <c r="T2976" s="29" t="str">
        <f t="shared" si="131"/>
        <v>2023.039B.Jondennisvirinae_nsf.zip</v>
      </c>
      <c r="U2976" s="29" t="str">
        <f>HYPERLINK("https://ictv.global/taxonomy/taxondetails?taxnode_id=202301258","ictv.global=202301258")</f>
        <v>ictv.global=202301258</v>
      </c>
    </row>
    <row r="2977" spans="1:21">
      <c r="A2977">
        <v>2976</v>
      </c>
      <c r="B2977" s="30" t="s">
        <v>1587</v>
      </c>
      <c r="D2977" s="30" t="s">
        <v>1588</v>
      </c>
      <c r="F2977" s="30" t="s">
        <v>1591</v>
      </c>
      <c r="H2977" s="30" t="s">
        <v>1592</v>
      </c>
      <c r="M2977" s="30" t="s">
        <v>12378</v>
      </c>
      <c r="N2977" s="30" t="s">
        <v>1552</v>
      </c>
      <c r="P2977" s="30" t="s">
        <v>12381</v>
      </c>
      <c r="Q2977" t="s">
        <v>619</v>
      </c>
      <c r="R2977" t="s">
        <v>917</v>
      </c>
      <c r="S2977">
        <v>39</v>
      </c>
      <c r="T2977" s="29" t="str">
        <f t="shared" si="131"/>
        <v>2023.039B.Jondennisvirinae_nsf.zip</v>
      </c>
      <c r="U2977" s="29" t="str">
        <f>HYPERLINK("https://ictv.global/taxonomy/taxondetails?taxnode_id=202319173","ictv.global=202319173")</f>
        <v>ictv.global=202319173</v>
      </c>
    </row>
    <row r="2978" spans="1:21">
      <c r="A2978">
        <v>2977</v>
      </c>
      <c r="B2978" s="30" t="s">
        <v>1587</v>
      </c>
      <c r="D2978" s="30" t="s">
        <v>1588</v>
      </c>
      <c r="F2978" s="30" t="s">
        <v>1591</v>
      </c>
      <c r="H2978" s="30" t="s">
        <v>1592</v>
      </c>
      <c r="M2978" s="30" t="s">
        <v>12378</v>
      </c>
      <c r="N2978" s="30" t="s">
        <v>1552</v>
      </c>
      <c r="P2978" s="30" t="s">
        <v>12382</v>
      </c>
      <c r="Q2978" t="s">
        <v>619</v>
      </c>
      <c r="R2978" t="s">
        <v>917</v>
      </c>
      <c r="S2978">
        <v>39</v>
      </c>
      <c r="T2978" s="29" t="str">
        <f t="shared" si="131"/>
        <v>2023.039B.Jondennisvirinae_nsf.zip</v>
      </c>
      <c r="U2978" s="29" t="str">
        <f>HYPERLINK("https://ictv.global/taxonomy/taxondetails?taxnode_id=202319171","ictv.global=202319171")</f>
        <v>ictv.global=202319171</v>
      </c>
    </row>
    <row r="2979" spans="1:21">
      <c r="A2979">
        <v>2978</v>
      </c>
      <c r="B2979" s="30" t="s">
        <v>1587</v>
      </c>
      <c r="D2979" s="30" t="s">
        <v>1588</v>
      </c>
      <c r="F2979" s="30" t="s">
        <v>1591</v>
      </c>
      <c r="H2979" s="30" t="s">
        <v>1592</v>
      </c>
      <c r="M2979" s="30" t="s">
        <v>12378</v>
      </c>
      <c r="N2979" s="30" t="s">
        <v>1552</v>
      </c>
      <c r="P2979" s="30" t="s">
        <v>12383</v>
      </c>
      <c r="Q2979" t="s">
        <v>619</v>
      </c>
      <c r="R2979" t="s">
        <v>917</v>
      </c>
      <c r="S2979">
        <v>39</v>
      </c>
      <c r="T2979" s="29" t="str">
        <f t="shared" si="131"/>
        <v>2023.039B.Jondennisvirinae_nsf.zip</v>
      </c>
      <c r="U2979" s="29" t="str">
        <f>HYPERLINK("https://ictv.global/taxonomy/taxondetails?taxnode_id=202319172","ictv.global=202319172")</f>
        <v>ictv.global=202319172</v>
      </c>
    </row>
    <row r="2980" spans="1:21">
      <c r="A2980">
        <v>2979</v>
      </c>
      <c r="B2980" s="30" t="s">
        <v>1587</v>
      </c>
      <c r="D2980" s="30" t="s">
        <v>1588</v>
      </c>
      <c r="F2980" s="30" t="s">
        <v>1591</v>
      </c>
      <c r="H2980" s="30" t="s">
        <v>1592</v>
      </c>
      <c r="M2980" s="30" t="s">
        <v>12378</v>
      </c>
      <c r="N2980" s="30" t="s">
        <v>1552</v>
      </c>
      <c r="P2980" s="30" t="s">
        <v>12384</v>
      </c>
      <c r="Q2980" t="s">
        <v>619</v>
      </c>
      <c r="R2980" t="s">
        <v>917</v>
      </c>
      <c r="S2980">
        <v>39</v>
      </c>
      <c r="T2980" s="29" t="str">
        <f t="shared" si="131"/>
        <v>2023.039B.Jondennisvirinae_nsf.zip</v>
      </c>
      <c r="U2980" s="29" t="str">
        <f>HYPERLINK("https://ictv.global/taxonomy/taxondetails?taxnode_id=202319165","ictv.global=202319165")</f>
        <v>ictv.global=202319165</v>
      </c>
    </row>
    <row r="2981" spans="1:21">
      <c r="A2981">
        <v>2980</v>
      </c>
      <c r="B2981" s="30" t="s">
        <v>1587</v>
      </c>
      <c r="D2981" s="30" t="s">
        <v>1588</v>
      </c>
      <c r="F2981" s="30" t="s">
        <v>1591</v>
      </c>
      <c r="H2981" s="30" t="s">
        <v>1592</v>
      </c>
      <c r="M2981" s="30" t="s">
        <v>12378</v>
      </c>
      <c r="N2981" s="30" t="s">
        <v>1552</v>
      </c>
      <c r="P2981" s="30" t="s">
        <v>12385</v>
      </c>
      <c r="Q2981" t="s">
        <v>619</v>
      </c>
      <c r="R2981" t="s">
        <v>917</v>
      </c>
      <c r="S2981">
        <v>39</v>
      </c>
      <c r="T2981" s="29" t="str">
        <f t="shared" si="131"/>
        <v>2023.039B.Jondennisvirinae_nsf.zip</v>
      </c>
      <c r="U2981" s="29" t="str">
        <f>HYPERLINK("https://ictv.global/taxonomy/taxondetails?taxnode_id=202319168","ictv.global=202319168")</f>
        <v>ictv.global=202319168</v>
      </c>
    </row>
    <row r="2982" spans="1:21">
      <c r="A2982">
        <v>2981</v>
      </c>
      <c r="B2982" s="30" t="s">
        <v>1587</v>
      </c>
      <c r="D2982" s="30" t="s">
        <v>1588</v>
      </c>
      <c r="F2982" s="30" t="s">
        <v>1591</v>
      </c>
      <c r="H2982" s="30" t="s">
        <v>1592</v>
      </c>
      <c r="M2982" s="30" t="s">
        <v>12378</v>
      </c>
      <c r="N2982" s="30" t="s">
        <v>1552</v>
      </c>
      <c r="P2982" s="30" t="s">
        <v>12386</v>
      </c>
      <c r="Q2982" t="s">
        <v>619</v>
      </c>
      <c r="R2982" t="s">
        <v>917</v>
      </c>
      <c r="S2982">
        <v>39</v>
      </c>
      <c r="T2982" s="29" t="str">
        <f t="shared" si="131"/>
        <v>2023.039B.Jondennisvirinae_nsf.zip</v>
      </c>
      <c r="U2982" s="29" t="str">
        <f>HYPERLINK("https://ictv.global/taxonomy/taxondetails?taxnode_id=202319163","ictv.global=202319163")</f>
        <v>ictv.global=202319163</v>
      </c>
    </row>
    <row r="2983" spans="1:21">
      <c r="A2983">
        <v>2982</v>
      </c>
      <c r="B2983" s="30" t="s">
        <v>1587</v>
      </c>
      <c r="D2983" s="30" t="s">
        <v>1588</v>
      </c>
      <c r="F2983" s="30" t="s">
        <v>1591</v>
      </c>
      <c r="H2983" s="30" t="s">
        <v>1592</v>
      </c>
      <c r="M2983" s="30" t="s">
        <v>12378</v>
      </c>
      <c r="N2983" s="30" t="s">
        <v>1552</v>
      </c>
      <c r="P2983" s="30" t="s">
        <v>8136</v>
      </c>
      <c r="Q2983" t="s">
        <v>619</v>
      </c>
      <c r="R2983" t="s">
        <v>919</v>
      </c>
      <c r="S2983">
        <v>39</v>
      </c>
      <c r="T2983" s="29" t="str">
        <f t="shared" si="131"/>
        <v>2023.039B.Jondennisvirinae_nsf.zip</v>
      </c>
      <c r="U2983" s="29" t="str">
        <f>HYPERLINK("https://ictv.global/taxonomy/taxondetails?taxnode_id=202301259","ictv.global=202301259")</f>
        <v>ictv.global=202301259</v>
      </c>
    </row>
    <row r="2984" spans="1:21">
      <c r="A2984">
        <v>2983</v>
      </c>
      <c r="B2984" s="30" t="s">
        <v>1587</v>
      </c>
      <c r="D2984" s="30" t="s">
        <v>1588</v>
      </c>
      <c r="F2984" s="30" t="s">
        <v>1591</v>
      </c>
      <c r="H2984" s="30" t="s">
        <v>1592</v>
      </c>
      <c r="M2984" s="30" t="s">
        <v>12378</v>
      </c>
      <c r="N2984" s="30" t="s">
        <v>1552</v>
      </c>
      <c r="P2984" s="30" t="s">
        <v>12387</v>
      </c>
      <c r="Q2984" t="s">
        <v>619</v>
      </c>
      <c r="R2984" t="s">
        <v>917</v>
      </c>
      <c r="S2984">
        <v>39</v>
      </c>
      <c r="T2984" s="29" t="str">
        <f t="shared" si="131"/>
        <v>2023.039B.Jondennisvirinae_nsf.zip</v>
      </c>
      <c r="U2984" s="29" t="str">
        <f>HYPERLINK("https://ictv.global/taxonomy/taxondetails?taxnode_id=202319161","ictv.global=202319161")</f>
        <v>ictv.global=202319161</v>
      </c>
    </row>
    <row r="2985" spans="1:21">
      <c r="A2985">
        <v>2984</v>
      </c>
      <c r="B2985" s="30" t="s">
        <v>1587</v>
      </c>
      <c r="D2985" s="30" t="s">
        <v>1588</v>
      </c>
      <c r="F2985" s="30" t="s">
        <v>1591</v>
      </c>
      <c r="H2985" s="30" t="s">
        <v>1592</v>
      </c>
      <c r="M2985" s="30" t="s">
        <v>12378</v>
      </c>
      <c r="N2985" s="30" t="s">
        <v>1552</v>
      </c>
      <c r="P2985" s="30" t="s">
        <v>12388</v>
      </c>
      <c r="Q2985" t="s">
        <v>619</v>
      </c>
      <c r="R2985" t="s">
        <v>917</v>
      </c>
      <c r="S2985">
        <v>39</v>
      </c>
      <c r="T2985" s="29" t="str">
        <f t="shared" si="131"/>
        <v>2023.039B.Jondennisvirinae_nsf.zip</v>
      </c>
      <c r="U2985" s="29" t="str">
        <f>HYPERLINK("https://ictv.global/taxonomy/taxondetails?taxnode_id=202319167","ictv.global=202319167")</f>
        <v>ictv.global=202319167</v>
      </c>
    </row>
    <row r="2986" spans="1:21">
      <c r="A2986">
        <v>2985</v>
      </c>
      <c r="B2986" s="30" t="s">
        <v>1587</v>
      </c>
      <c r="D2986" s="30" t="s">
        <v>1588</v>
      </c>
      <c r="F2986" s="30" t="s">
        <v>1591</v>
      </c>
      <c r="H2986" s="30" t="s">
        <v>1592</v>
      </c>
      <c r="M2986" s="30" t="s">
        <v>12378</v>
      </c>
      <c r="N2986" s="30" t="s">
        <v>1552</v>
      </c>
      <c r="P2986" s="30" t="s">
        <v>12389</v>
      </c>
      <c r="Q2986" t="s">
        <v>619</v>
      </c>
      <c r="R2986" t="s">
        <v>917</v>
      </c>
      <c r="S2986">
        <v>39</v>
      </c>
      <c r="T2986" s="29" t="str">
        <f t="shared" si="131"/>
        <v>2023.039B.Jondennisvirinae_nsf.zip</v>
      </c>
      <c r="U2986" s="29" t="str">
        <f>HYPERLINK("https://ictv.global/taxonomy/taxondetails?taxnode_id=202319177","ictv.global=202319177")</f>
        <v>ictv.global=202319177</v>
      </c>
    </row>
    <row r="2987" spans="1:21">
      <c r="A2987">
        <v>2986</v>
      </c>
      <c r="B2987" s="30" t="s">
        <v>1587</v>
      </c>
      <c r="D2987" s="30" t="s">
        <v>1588</v>
      </c>
      <c r="F2987" s="30" t="s">
        <v>1591</v>
      </c>
      <c r="H2987" s="30" t="s">
        <v>1592</v>
      </c>
      <c r="M2987" s="30" t="s">
        <v>12378</v>
      </c>
      <c r="N2987" s="30" t="s">
        <v>1552</v>
      </c>
      <c r="P2987" s="30" t="s">
        <v>12390</v>
      </c>
      <c r="Q2987" t="s">
        <v>619</v>
      </c>
      <c r="R2987" t="s">
        <v>917</v>
      </c>
      <c r="S2987">
        <v>39</v>
      </c>
      <c r="T2987" s="29" t="str">
        <f t="shared" si="131"/>
        <v>2023.039B.Jondennisvirinae_nsf.zip</v>
      </c>
      <c r="U2987" s="29" t="str">
        <f>HYPERLINK("https://ictv.global/taxonomy/taxondetails?taxnode_id=202319178","ictv.global=202319178")</f>
        <v>ictv.global=202319178</v>
      </c>
    </row>
    <row r="2988" spans="1:21">
      <c r="A2988">
        <v>2987</v>
      </c>
      <c r="B2988" s="30" t="s">
        <v>1587</v>
      </c>
      <c r="D2988" s="30" t="s">
        <v>1588</v>
      </c>
      <c r="F2988" s="30" t="s">
        <v>1591</v>
      </c>
      <c r="H2988" s="30" t="s">
        <v>1592</v>
      </c>
      <c r="M2988" s="30" t="s">
        <v>12378</v>
      </c>
      <c r="N2988" s="30" t="s">
        <v>1552</v>
      </c>
      <c r="P2988" s="30" t="s">
        <v>12391</v>
      </c>
      <c r="Q2988" t="s">
        <v>619</v>
      </c>
      <c r="R2988" t="s">
        <v>917</v>
      </c>
      <c r="S2988">
        <v>39</v>
      </c>
      <c r="T2988" s="29" t="str">
        <f t="shared" si="131"/>
        <v>2023.039B.Jondennisvirinae_nsf.zip</v>
      </c>
      <c r="U2988" s="29" t="str">
        <f>HYPERLINK("https://ictv.global/taxonomy/taxondetails?taxnode_id=202319175","ictv.global=202319175")</f>
        <v>ictv.global=202319175</v>
      </c>
    </row>
    <row r="2989" spans="1:21">
      <c r="A2989">
        <v>2988</v>
      </c>
      <c r="B2989" s="30" t="s">
        <v>1587</v>
      </c>
      <c r="D2989" s="30" t="s">
        <v>1588</v>
      </c>
      <c r="F2989" s="30" t="s">
        <v>1591</v>
      </c>
      <c r="H2989" s="30" t="s">
        <v>1592</v>
      </c>
      <c r="M2989" s="30" t="s">
        <v>12378</v>
      </c>
      <c r="N2989" s="30" t="s">
        <v>1552</v>
      </c>
      <c r="P2989" s="30" t="s">
        <v>12392</v>
      </c>
      <c r="Q2989" t="s">
        <v>619</v>
      </c>
      <c r="R2989" t="s">
        <v>917</v>
      </c>
      <c r="S2989">
        <v>39</v>
      </c>
      <c r="T2989" s="29" t="str">
        <f t="shared" si="131"/>
        <v>2023.039B.Jondennisvirinae_nsf.zip</v>
      </c>
      <c r="U2989" s="29" t="str">
        <f>HYPERLINK("https://ictv.global/taxonomy/taxondetails?taxnode_id=202319176","ictv.global=202319176")</f>
        <v>ictv.global=202319176</v>
      </c>
    </row>
    <row r="2990" spans="1:21">
      <c r="A2990">
        <v>2989</v>
      </c>
      <c r="B2990" s="30" t="s">
        <v>1587</v>
      </c>
      <c r="D2990" s="30" t="s">
        <v>1588</v>
      </c>
      <c r="F2990" s="30" t="s">
        <v>1591</v>
      </c>
      <c r="H2990" s="30" t="s">
        <v>1592</v>
      </c>
      <c r="M2990" s="30" t="s">
        <v>12378</v>
      </c>
      <c r="N2990" s="30" t="s">
        <v>1552</v>
      </c>
      <c r="P2990" s="30" t="s">
        <v>12393</v>
      </c>
      <c r="Q2990" t="s">
        <v>619</v>
      </c>
      <c r="R2990" t="s">
        <v>917</v>
      </c>
      <c r="S2990">
        <v>39</v>
      </c>
      <c r="T2990" s="29" t="str">
        <f t="shared" si="131"/>
        <v>2023.039B.Jondennisvirinae_nsf.zip</v>
      </c>
      <c r="U2990" s="29" t="str">
        <f>HYPERLINK("https://ictv.global/taxonomy/taxondetails?taxnode_id=202319170","ictv.global=202319170")</f>
        <v>ictv.global=202319170</v>
      </c>
    </row>
    <row r="2991" spans="1:21">
      <c r="A2991">
        <v>2990</v>
      </c>
      <c r="B2991" s="30" t="s">
        <v>1587</v>
      </c>
      <c r="D2991" s="30" t="s">
        <v>1588</v>
      </c>
      <c r="F2991" s="30" t="s">
        <v>1591</v>
      </c>
      <c r="H2991" s="30" t="s">
        <v>1592</v>
      </c>
      <c r="M2991" s="30" t="s">
        <v>12378</v>
      </c>
      <c r="N2991" s="30" t="s">
        <v>1552</v>
      </c>
      <c r="P2991" s="30" t="s">
        <v>12394</v>
      </c>
      <c r="Q2991" t="s">
        <v>619</v>
      </c>
      <c r="R2991" t="s">
        <v>917</v>
      </c>
      <c r="S2991">
        <v>39</v>
      </c>
      <c r="T2991" s="29" t="str">
        <f t="shared" si="131"/>
        <v>2023.039B.Jondennisvirinae_nsf.zip</v>
      </c>
      <c r="U2991" s="29" t="str">
        <f>HYPERLINK("https://ictv.global/taxonomy/taxondetails?taxnode_id=202319164","ictv.global=202319164")</f>
        <v>ictv.global=202319164</v>
      </c>
    </row>
    <row r="2992" spans="1:21">
      <c r="A2992">
        <v>2991</v>
      </c>
      <c r="B2992" s="30" t="s">
        <v>1587</v>
      </c>
      <c r="D2992" s="30" t="s">
        <v>1588</v>
      </c>
      <c r="F2992" s="30" t="s">
        <v>1591</v>
      </c>
      <c r="H2992" s="30" t="s">
        <v>1592</v>
      </c>
      <c r="M2992" s="30" t="s">
        <v>12378</v>
      </c>
      <c r="N2992" s="30" t="s">
        <v>1552</v>
      </c>
      <c r="P2992" s="30" t="s">
        <v>12395</v>
      </c>
      <c r="Q2992" t="s">
        <v>619</v>
      </c>
      <c r="R2992" t="s">
        <v>917</v>
      </c>
      <c r="S2992">
        <v>39</v>
      </c>
      <c r="T2992" s="29" t="str">
        <f t="shared" si="131"/>
        <v>2023.039B.Jondennisvirinae_nsf.zip</v>
      </c>
      <c r="U2992" s="29" t="str">
        <f>HYPERLINK("https://ictv.global/taxonomy/taxondetails?taxnode_id=202319166","ictv.global=202319166")</f>
        <v>ictv.global=202319166</v>
      </c>
    </row>
    <row r="2993" spans="1:21">
      <c r="A2993">
        <v>2992</v>
      </c>
      <c r="B2993" s="30" t="s">
        <v>1587</v>
      </c>
      <c r="D2993" s="30" t="s">
        <v>1588</v>
      </c>
      <c r="F2993" s="30" t="s">
        <v>1591</v>
      </c>
      <c r="H2993" s="30" t="s">
        <v>1592</v>
      </c>
      <c r="M2993" s="30" t="s">
        <v>12378</v>
      </c>
      <c r="N2993" s="30" t="s">
        <v>1552</v>
      </c>
      <c r="P2993" s="30" t="s">
        <v>8137</v>
      </c>
      <c r="Q2993" t="s">
        <v>619</v>
      </c>
      <c r="R2993" t="s">
        <v>919</v>
      </c>
      <c r="S2993">
        <v>39</v>
      </c>
      <c r="T2993" s="29" t="str">
        <f t="shared" si="131"/>
        <v>2023.039B.Jondennisvirinae_nsf.zip</v>
      </c>
      <c r="U2993" s="29" t="str">
        <f>HYPERLINK("https://ictv.global/taxonomy/taxondetails?taxnode_id=202301257","ictv.global=202301257")</f>
        <v>ictv.global=202301257</v>
      </c>
    </row>
    <row r="2994" spans="1:21">
      <c r="A2994">
        <v>2993</v>
      </c>
      <c r="B2994" s="30" t="s">
        <v>1587</v>
      </c>
      <c r="D2994" s="30" t="s">
        <v>1588</v>
      </c>
      <c r="F2994" s="30" t="s">
        <v>1591</v>
      </c>
      <c r="H2994" s="30" t="s">
        <v>1592</v>
      </c>
      <c r="M2994" s="30" t="s">
        <v>12378</v>
      </c>
      <c r="N2994" s="30" t="s">
        <v>1552</v>
      </c>
      <c r="P2994" s="30" t="s">
        <v>12396</v>
      </c>
      <c r="Q2994" t="s">
        <v>619</v>
      </c>
      <c r="R2994" t="s">
        <v>917</v>
      </c>
      <c r="S2994">
        <v>39</v>
      </c>
      <c r="T2994" s="29" t="str">
        <f t="shared" si="131"/>
        <v>2023.039B.Jondennisvirinae_nsf.zip</v>
      </c>
      <c r="U2994" s="29" t="str">
        <f>HYPERLINK("https://ictv.global/taxonomy/taxondetails?taxnode_id=202319174","ictv.global=202319174")</f>
        <v>ictv.global=202319174</v>
      </c>
    </row>
    <row r="2995" spans="1:21">
      <c r="A2995">
        <v>2994</v>
      </c>
      <c r="B2995" s="30" t="s">
        <v>1587</v>
      </c>
      <c r="D2995" s="30" t="s">
        <v>1588</v>
      </c>
      <c r="F2995" s="30" t="s">
        <v>1591</v>
      </c>
      <c r="H2995" s="30" t="s">
        <v>1592</v>
      </c>
      <c r="M2995" s="30" t="s">
        <v>12378</v>
      </c>
      <c r="N2995" s="30" t="s">
        <v>1552</v>
      </c>
      <c r="P2995" s="30" t="s">
        <v>12397</v>
      </c>
      <c r="Q2995" t="s">
        <v>619</v>
      </c>
      <c r="R2995" t="s">
        <v>917</v>
      </c>
      <c r="S2995">
        <v>39</v>
      </c>
      <c r="T2995" s="29" t="str">
        <f t="shared" si="131"/>
        <v>2023.039B.Jondennisvirinae_nsf.zip</v>
      </c>
      <c r="U2995" s="29" t="str">
        <f>HYPERLINK("https://ictv.global/taxonomy/taxondetails?taxnode_id=202319169","ictv.global=202319169")</f>
        <v>ictv.global=202319169</v>
      </c>
    </row>
    <row r="2996" spans="1:21">
      <c r="A2996">
        <v>2995</v>
      </c>
      <c r="B2996" s="30" t="s">
        <v>1587</v>
      </c>
      <c r="D2996" s="30" t="s">
        <v>1588</v>
      </c>
      <c r="F2996" s="30" t="s">
        <v>1591</v>
      </c>
      <c r="H2996" s="30" t="s">
        <v>1592</v>
      </c>
      <c r="M2996" s="30" t="s">
        <v>12378</v>
      </c>
      <c r="N2996" s="30" t="s">
        <v>1552</v>
      </c>
      <c r="P2996" s="30" t="s">
        <v>12398</v>
      </c>
      <c r="Q2996" t="s">
        <v>619</v>
      </c>
      <c r="R2996" t="s">
        <v>917</v>
      </c>
      <c r="S2996">
        <v>39</v>
      </c>
      <c r="T2996" s="29" t="str">
        <f t="shared" si="131"/>
        <v>2023.039B.Jondennisvirinae_nsf.zip</v>
      </c>
      <c r="U2996" s="29" t="str">
        <f>HYPERLINK("https://ictv.global/taxonomy/taxondetails?taxnode_id=202319162","ictv.global=202319162")</f>
        <v>ictv.global=202319162</v>
      </c>
    </row>
    <row r="2997" spans="1:21">
      <c r="A2997">
        <v>2996</v>
      </c>
      <c r="B2997" s="30" t="s">
        <v>1587</v>
      </c>
      <c r="D2997" s="30" t="s">
        <v>1588</v>
      </c>
      <c r="F2997" s="30" t="s">
        <v>1591</v>
      </c>
      <c r="H2997" s="30" t="s">
        <v>1592</v>
      </c>
      <c r="M2997" s="30" t="s">
        <v>6548</v>
      </c>
      <c r="N2997" s="30" t="s">
        <v>6549</v>
      </c>
      <c r="P2997" s="30" t="s">
        <v>6550</v>
      </c>
      <c r="Q2997" t="s">
        <v>619</v>
      </c>
      <c r="R2997" t="s">
        <v>917</v>
      </c>
      <c r="S2997">
        <v>37</v>
      </c>
      <c r="T2997" s="29" t="str">
        <f>HYPERLINK("https://ictv.global/ictv/proposals/2021.038B.R.Kantovirinae.zip","2021.038B.R.Kantovirinae.zip")</f>
        <v>2021.038B.R.Kantovirinae.zip</v>
      </c>
      <c r="U2997" s="29" t="str">
        <f>HYPERLINK("https://ictv.global/taxonomy/taxondetails?taxnode_id=202312352","ictv.global=202312352")</f>
        <v>ictv.global=202312352</v>
      </c>
    </row>
    <row r="2998" spans="1:21">
      <c r="A2998">
        <v>2997</v>
      </c>
      <c r="B2998" s="30" t="s">
        <v>1587</v>
      </c>
      <c r="D2998" s="30" t="s">
        <v>1588</v>
      </c>
      <c r="F2998" s="30" t="s">
        <v>1591</v>
      </c>
      <c r="H2998" s="30" t="s">
        <v>1592</v>
      </c>
      <c r="M2998" s="30" t="s">
        <v>6548</v>
      </c>
      <c r="N2998" s="30" t="s">
        <v>6549</v>
      </c>
      <c r="P2998" s="30" t="s">
        <v>6551</v>
      </c>
      <c r="Q2998" t="s">
        <v>619</v>
      </c>
      <c r="R2998" t="s">
        <v>917</v>
      </c>
      <c r="S2998">
        <v>37</v>
      </c>
      <c r="T2998" s="29" t="str">
        <f>HYPERLINK("https://ictv.global/ictv/proposals/2021.038B.R.Kantovirinae.zip","2021.038B.R.Kantovirinae.zip")</f>
        <v>2021.038B.R.Kantovirinae.zip</v>
      </c>
      <c r="U2998" s="29" t="str">
        <f>HYPERLINK("https://ictv.global/taxonomy/taxondetails?taxnode_id=202312353","ictv.global=202312353")</f>
        <v>ictv.global=202312353</v>
      </c>
    </row>
    <row r="2999" spans="1:21">
      <c r="A2999">
        <v>2998</v>
      </c>
      <c r="B2999" s="30" t="s">
        <v>1587</v>
      </c>
      <c r="D2999" s="30" t="s">
        <v>1588</v>
      </c>
      <c r="F2999" s="30" t="s">
        <v>1591</v>
      </c>
      <c r="H2999" s="30" t="s">
        <v>1592</v>
      </c>
      <c r="M2999" s="30" t="s">
        <v>6548</v>
      </c>
      <c r="N2999" s="30" t="s">
        <v>6552</v>
      </c>
      <c r="P2999" s="30" t="s">
        <v>6553</v>
      </c>
      <c r="Q2999" t="s">
        <v>619</v>
      </c>
      <c r="R2999" t="s">
        <v>918</v>
      </c>
      <c r="S2999">
        <v>37</v>
      </c>
      <c r="T2999" s="29" t="str">
        <f>HYPERLINK("https://ictv.global/ictv/proposals/2021.038B.R.Kantovirinae.zip","2021.038B.R.Kantovirinae.zip")</f>
        <v>2021.038B.R.Kantovirinae.zip</v>
      </c>
      <c r="U2999" s="29" t="str">
        <f>HYPERLINK("https://ictv.global/taxonomy/taxondetails?taxnode_id=202300406","ictv.global=202300406")</f>
        <v>ictv.global=202300406</v>
      </c>
    </row>
    <row r="3000" spans="1:21">
      <c r="A3000">
        <v>2999</v>
      </c>
      <c r="B3000" s="30" t="s">
        <v>1587</v>
      </c>
      <c r="D3000" s="30" t="s">
        <v>1588</v>
      </c>
      <c r="F3000" s="30" t="s">
        <v>1591</v>
      </c>
      <c r="H3000" s="30" t="s">
        <v>1592</v>
      </c>
      <c r="M3000" s="30" t="s">
        <v>6548</v>
      </c>
      <c r="N3000" s="30" t="s">
        <v>6552</v>
      </c>
      <c r="P3000" s="30" t="s">
        <v>6554</v>
      </c>
      <c r="Q3000" t="s">
        <v>619</v>
      </c>
      <c r="R3000" t="s">
        <v>917</v>
      </c>
      <c r="S3000">
        <v>37</v>
      </c>
      <c r="T3000" s="29" t="str">
        <f>HYPERLINK("https://ictv.global/ictv/proposals/2021.038B.R.Kantovirinae.zip","2021.038B.R.Kantovirinae.zip")</f>
        <v>2021.038B.R.Kantovirinae.zip</v>
      </c>
      <c r="U3000" s="29" t="str">
        <f>HYPERLINK("https://ictv.global/taxonomy/taxondetails?taxnode_id=202312349","ictv.global=202312349")</f>
        <v>ictv.global=202312349</v>
      </c>
    </row>
    <row r="3001" spans="1:21">
      <c r="A3001">
        <v>3000</v>
      </c>
      <c r="B3001" s="30" t="s">
        <v>1587</v>
      </c>
      <c r="D3001" s="30" t="s">
        <v>1588</v>
      </c>
      <c r="F3001" s="30" t="s">
        <v>1591</v>
      </c>
      <c r="H3001" s="30" t="s">
        <v>1592</v>
      </c>
      <c r="M3001" s="30" t="s">
        <v>6548</v>
      </c>
      <c r="N3001" s="30" t="s">
        <v>6552</v>
      </c>
      <c r="P3001" s="30" t="s">
        <v>6555</v>
      </c>
      <c r="Q3001" t="s">
        <v>619</v>
      </c>
      <c r="R3001" t="s">
        <v>917</v>
      </c>
      <c r="S3001">
        <v>37</v>
      </c>
      <c r="T3001" s="29" t="str">
        <f>HYPERLINK("https://ictv.global/ictv/proposals/2021.038B.R.Kantovirinae.zip","2021.038B.R.Kantovirinae.zip")</f>
        <v>2021.038B.R.Kantovirinae.zip</v>
      </c>
      <c r="U3001" s="29" t="str">
        <f>HYPERLINK("https://ictv.global/taxonomy/taxondetails?taxnode_id=202312350","ictv.global=202312350")</f>
        <v>ictv.global=202312350</v>
      </c>
    </row>
    <row r="3002" spans="1:21">
      <c r="A3002">
        <v>3001</v>
      </c>
      <c r="B3002" s="30" t="s">
        <v>1587</v>
      </c>
      <c r="D3002" s="30" t="s">
        <v>1588</v>
      </c>
      <c r="F3002" s="30" t="s">
        <v>1591</v>
      </c>
      <c r="H3002" s="30" t="s">
        <v>1592</v>
      </c>
      <c r="M3002" s="30" t="s">
        <v>12399</v>
      </c>
      <c r="N3002" s="30" t="s">
        <v>12400</v>
      </c>
      <c r="P3002" s="30" t="s">
        <v>12401</v>
      </c>
      <c r="Q3002" t="s">
        <v>619</v>
      </c>
      <c r="R3002" t="s">
        <v>917</v>
      </c>
      <c r="S3002">
        <v>39</v>
      </c>
      <c r="T3002" s="29" t="str">
        <f t="shared" ref="T3002:T3023" si="132">HYPERLINK("https://ictv.global/ictv/proposals/2023.043B.Kutznervirinae_nsf.zip","2023.043B.Kutznervirinae_nsf.zip")</f>
        <v>2023.043B.Kutznervirinae_nsf.zip</v>
      </c>
      <c r="U3002" s="29" t="str">
        <f>HYPERLINK("https://ictv.global/taxonomy/taxondetails?taxnode_id=202319191","ictv.global=202319191")</f>
        <v>ictv.global=202319191</v>
      </c>
    </row>
    <row r="3003" spans="1:21">
      <c r="A3003">
        <v>3002</v>
      </c>
      <c r="B3003" s="30" t="s">
        <v>1587</v>
      </c>
      <c r="D3003" s="30" t="s">
        <v>1588</v>
      </c>
      <c r="F3003" s="30" t="s">
        <v>1591</v>
      </c>
      <c r="H3003" s="30" t="s">
        <v>1592</v>
      </c>
      <c r="M3003" s="30" t="s">
        <v>12399</v>
      </c>
      <c r="N3003" s="30" t="s">
        <v>12402</v>
      </c>
      <c r="P3003" s="30" t="s">
        <v>12403</v>
      </c>
      <c r="Q3003" t="s">
        <v>619</v>
      </c>
      <c r="R3003" t="s">
        <v>917</v>
      </c>
      <c r="S3003">
        <v>39</v>
      </c>
      <c r="T3003" s="29" t="str">
        <f t="shared" si="132"/>
        <v>2023.043B.Kutznervirinae_nsf.zip</v>
      </c>
      <c r="U3003" s="29" t="str">
        <f>HYPERLINK("https://ictv.global/taxonomy/taxondetails?taxnode_id=202319197","ictv.global=202319197")</f>
        <v>ictv.global=202319197</v>
      </c>
    </row>
    <row r="3004" spans="1:21">
      <c r="A3004">
        <v>3003</v>
      </c>
      <c r="B3004" s="30" t="s">
        <v>1587</v>
      </c>
      <c r="D3004" s="30" t="s">
        <v>1588</v>
      </c>
      <c r="F3004" s="30" t="s">
        <v>1591</v>
      </c>
      <c r="H3004" s="30" t="s">
        <v>1592</v>
      </c>
      <c r="M3004" s="30" t="s">
        <v>12399</v>
      </c>
      <c r="N3004" s="30" t="s">
        <v>1922</v>
      </c>
      <c r="P3004" s="30" t="s">
        <v>12404</v>
      </c>
      <c r="Q3004" t="s">
        <v>619</v>
      </c>
      <c r="R3004" t="s">
        <v>917</v>
      </c>
      <c r="S3004">
        <v>39</v>
      </c>
      <c r="T3004" s="29" t="str">
        <f t="shared" si="132"/>
        <v>2023.043B.Kutznervirinae_nsf.zip</v>
      </c>
      <c r="U3004" s="29" t="str">
        <f>HYPERLINK("https://ictv.global/taxonomy/taxondetails?taxnode_id=202319194","ictv.global=202319194")</f>
        <v>ictv.global=202319194</v>
      </c>
    </row>
    <row r="3005" spans="1:21">
      <c r="A3005">
        <v>3004</v>
      </c>
      <c r="B3005" s="30" t="s">
        <v>1587</v>
      </c>
      <c r="D3005" s="30" t="s">
        <v>1588</v>
      </c>
      <c r="F3005" s="30" t="s">
        <v>1591</v>
      </c>
      <c r="H3005" s="30" t="s">
        <v>1592</v>
      </c>
      <c r="M3005" s="30" t="s">
        <v>12399</v>
      </c>
      <c r="N3005" s="30" t="s">
        <v>1922</v>
      </c>
      <c r="P3005" s="30" t="s">
        <v>12405</v>
      </c>
      <c r="Q3005" t="s">
        <v>619</v>
      </c>
      <c r="R3005" t="s">
        <v>917</v>
      </c>
      <c r="S3005">
        <v>39</v>
      </c>
      <c r="T3005" s="29" t="str">
        <f t="shared" si="132"/>
        <v>2023.043B.Kutznervirinae_nsf.zip</v>
      </c>
      <c r="U3005" s="29" t="str">
        <f>HYPERLINK("https://ictv.global/taxonomy/taxondetails?taxnode_id=202319192","ictv.global=202319192")</f>
        <v>ictv.global=202319192</v>
      </c>
    </row>
    <row r="3006" spans="1:21">
      <c r="A3006">
        <v>3005</v>
      </c>
      <c r="B3006" s="30" t="s">
        <v>1587</v>
      </c>
      <c r="D3006" s="30" t="s">
        <v>1588</v>
      </c>
      <c r="F3006" s="30" t="s">
        <v>1591</v>
      </c>
      <c r="H3006" s="30" t="s">
        <v>1592</v>
      </c>
      <c r="M3006" s="30" t="s">
        <v>12399</v>
      </c>
      <c r="N3006" s="30" t="s">
        <v>1922</v>
      </c>
      <c r="P3006" s="30" t="s">
        <v>12406</v>
      </c>
      <c r="Q3006" t="s">
        <v>619</v>
      </c>
      <c r="R3006" t="s">
        <v>917</v>
      </c>
      <c r="S3006">
        <v>39</v>
      </c>
      <c r="T3006" s="29" t="str">
        <f t="shared" si="132"/>
        <v>2023.043B.Kutznervirinae_nsf.zip</v>
      </c>
      <c r="U3006" s="29" t="str">
        <f>HYPERLINK("https://ictv.global/taxonomy/taxondetails?taxnode_id=202319195","ictv.global=202319195")</f>
        <v>ictv.global=202319195</v>
      </c>
    </row>
    <row r="3007" spans="1:21">
      <c r="A3007">
        <v>3006</v>
      </c>
      <c r="B3007" s="30" t="s">
        <v>1587</v>
      </c>
      <c r="D3007" s="30" t="s">
        <v>1588</v>
      </c>
      <c r="F3007" s="30" t="s">
        <v>1591</v>
      </c>
      <c r="H3007" s="30" t="s">
        <v>1592</v>
      </c>
      <c r="M3007" s="30" t="s">
        <v>12399</v>
      </c>
      <c r="N3007" s="30" t="s">
        <v>1922</v>
      </c>
      <c r="P3007" s="30" t="s">
        <v>12407</v>
      </c>
      <c r="Q3007" t="s">
        <v>619</v>
      </c>
      <c r="R3007" t="s">
        <v>917</v>
      </c>
      <c r="S3007">
        <v>39</v>
      </c>
      <c r="T3007" s="29" t="str">
        <f t="shared" si="132"/>
        <v>2023.043B.Kutznervirinae_nsf.zip</v>
      </c>
      <c r="U3007" s="29" t="str">
        <f>HYPERLINK("https://ictv.global/taxonomy/taxondetails?taxnode_id=202319193","ictv.global=202319193")</f>
        <v>ictv.global=202319193</v>
      </c>
    </row>
    <row r="3008" spans="1:21">
      <c r="A3008">
        <v>3007</v>
      </c>
      <c r="B3008" s="30" t="s">
        <v>1587</v>
      </c>
      <c r="D3008" s="30" t="s">
        <v>1588</v>
      </c>
      <c r="F3008" s="30" t="s">
        <v>1591</v>
      </c>
      <c r="H3008" s="30" t="s">
        <v>1592</v>
      </c>
      <c r="M3008" s="30" t="s">
        <v>12399</v>
      </c>
      <c r="N3008" s="30" t="s">
        <v>1922</v>
      </c>
      <c r="P3008" s="30" t="s">
        <v>7687</v>
      </c>
      <c r="Q3008" t="s">
        <v>619</v>
      </c>
      <c r="R3008" t="s">
        <v>919</v>
      </c>
      <c r="S3008">
        <v>39</v>
      </c>
      <c r="T3008" s="29" t="str">
        <f t="shared" si="132"/>
        <v>2023.043B.Kutznervirinae_nsf.zip</v>
      </c>
      <c r="U3008" s="29" t="str">
        <f>HYPERLINK("https://ictv.global/taxonomy/taxondetails?taxnode_id=202307453","ictv.global=202307453")</f>
        <v>ictv.global=202307453</v>
      </c>
    </row>
    <row r="3009" spans="1:21">
      <c r="A3009">
        <v>3008</v>
      </c>
      <c r="B3009" s="30" t="s">
        <v>1587</v>
      </c>
      <c r="D3009" s="30" t="s">
        <v>1588</v>
      </c>
      <c r="F3009" s="30" t="s">
        <v>1591</v>
      </c>
      <c r="H3009" s="30" t="s">
        <v>1592</v>
      </c>
      <c r="M3009" s="30" t="s">
        <v>12399</v>
      </c>
      <c r="N3009" s="30" t="s">
        <v>1922</v>
      </c>
      <c r="P3009" s="30" t="s">
        <v>12408</v>
      </c>
      <c r="Q3009" t="s">
        <v>619</v>
      </c>
      <c r="R3009" t="s">
        <v>917</v>
      </c>
      <c r="S3009">
        <v>39</v>
      </c>
      <c r="T3009" s="29" t="str">
        <f t="shared" si="132"/>
        <v>2023.043B.Kutznervirinae_nsf.zip</v>
      </c>
      <c r="U3009" s="29" t="str">
        <f>HYPERLINK("https://ictv.global/taxonomy/taxondetails?taxnode_id=202319196","ictv.global=202319196")</f>
        <v>ictv.global=202319196</v>
      </c>
    </row>
    <row r="3010" spans="1:21">
      <c r="A3010">
        <v>3009</v>
      </c>
      <c r="B3010" s="30" t="s">
        <v>1587</v>
      </c>
      <c r="D3010" s="30" t="s">
        <v>1588</v>
      </c>
      <c r="F3010" s="30" t="s">
        <v>1591</v>
      </c>
      <c r="H3010" s="30" t="s">
        <v>1592</v>
      </c>
      <c r="M3010" s="30" t="s">
        <v>12399</v>
      </c>
      <c r="N3010" s="30" t="s">
        <v>1923</v>
      </c>
      <c r="P3010" s="30" t="s">
        <v>12409</v>
      </c>
      <c r="Q3010" t="s">
        <v>619</v>
      </c>
      <c r="R3010" t="s">
        <v>917</v>
      </c>
      <c r="S3010">
        <v>39</v>
      </c>
      <c r="T3010" s="29" t="str">
        <f t="shared" si="132"/>
        <v>2023.043B.Kutznervirinae_nsf.zip</v>
      </c>
      <c r="U3010" s="29" t="str">
        <f>HYPERLINK("https://ictv.global/taxonomy/taxondetails?taxnode_id=202319203","ictv.global=202319203")</f>
        <v>ictv.global=202319203</v>
      </c>
    </row>
    <row r="3011" spans="1:21">
      <c r="A3011">
        <v>3010</v>
      </c>
      <c r="B3011" s="30" t="s">
        <v>1587</v>
      </c>
      <c r="D3011" s="30" t="s">
        <v>1588</v>
      </c>
      <c r="F3011" s="30" t="s">
        <v>1591</v>
      </c>
      <c r="H3011" s="30" t="s">
        <v>1592</v>
      </c>
      <c r="M3011" s="30" t="s">
        <v>12399</v>
      </c>
      <c r="N3011" s="30" t="s">
        <v>1923</v>
      </c>
      <c r="P3011" s="30" t="s">
        <v>7692</v>
      </c>
      <c r="Q3011" t="s">
        <v>619</v>
      </c>
      <c r="R3011" t="s">
        <v>919</v>
      </c>
      <c r="S3011">
        <v>39</v>
      </c>
      <c r="T3011" s="29" t="str">
        <f t="shared" si="132"/>
        <v>2023.043B.Kutznervirinae_nsf.zip</v>
      </c>
      <c r="U3011" s="29" t="str">
        <f>HYPERLINK("https://ictv.global/taxonomy/taxondetails?taxnode_id=202307898","ictv.global=202307898")</f>
        <v>ictv.global=202307898</v>
      </c>
    </row>
    <row r="3012" spans="1:21">
      <c r="A3012">
        <v>3011</v>
      </c>
      <c r="B3012" s="30" t="s">
        <v>1587</v>
      </c>
      <c r="D3012" s="30" t="s">
        <v>1588</v>
      </c>
      <c r="F3012" s="30" t="s">
        <v>1591</v>
      </c>
      <c r="H3012" s="30" t="s">
        <v>1592</v>
      </c>
      <c r="M3012" s="30" t="s">
        <v>12399</v>
      </c>
      <c r="N3012" s="30" t="s">
        <v>1923</v>
      </c>
      <c r="P3012" s="30" t="s">
        <v>12410</v>
      </c>
      <c r="Q3012" t="s">
        <v>619</v>
      </c>
      <c r="R3012" t="s">
        <v>917</v>
      </c>
      <c r="S3012">
        <v>39</v>
      </c>
      <c r="T3012" s="29" t="str">
        <f t="shared" si="132"/>
        <v>2023.043B.Kutznervirinae_nsf.zip</v>
      </c>
      <c r="U3012" s="29" t="str">
        <f>HYPERLINK("https://ictv.global/taxonomy/taxondetails?taxnode_id=202319204","ictv.global=202319204")</f>
        <v>ictv.global=202319204</v>
      </c>
    </row>
    <row r="3013" spans="1:21">
      <c r="A3013">
        <v>3012</v>
      </c>
      <c r="B3013" s="30" t="s">
        <v>1587</v>
      </c>
      <c r="D3013" s="30" t="s">
        <v>1588</v>
      </c>
      <c r="F3013" s="30" t="s">
        <v>1591</v>
      </c>
      <c r="H3013" s="30" t="s">
        <v>1592</v>
      </c>
      <c r="M3013" s="30" t="s">
        <v>12399</v>
      </c>
      <c r="N3013" s="30" t="s">
        <v>1923</v>
      </c>
      <c r="P3013" s="30" t="s">
        <v>7693</v>
      </c>
      <c r="Q3013" t="s">
        <v>619</v>
      </c>
      <c r="R3013" t="s">
        <v>919</v>
      </c>
      <c r="S3013">
        <v>39</v>
      </c>
      <c r="T3013" s="29" t="str">
        <f t="shared" si="132"/>
        <v>2023.043B.Kutznervirinae_nsf.zip</v>
      </c>
      <c r="U3013" s="29" t="str">
        <f>HYPERLINK("https://ictv.global/taxonomy/taxondetails?taxnode_id=202307896","ictv.global=202307896")</f>
        <v>ictv.global=202307896</v>
      </c>
    </row>
    <row r="3014" spans="1:21">
      <c r="A3014">
        <v>3013</v>
      </c>
      <c r="B3014" s="30" t="s">
        <v>1587</v>
      </c>
      <c r="D3014" s="30" t="s">
        <v>1588</v>
      </c>
      <c r="F3014" s="30" t="s">
        <v>1591</v>
      </c>
      <c r="H3014" s="30" t="s">
        <v>1592</v>
      </c>
      <c r="M3014" s="30" t="s">
        <v>12399</v>
      </c>
      <c r="N3014" s="30" t="s">
        <v>1923</v>
      </c>
      <c r="P3014" s="30" t="s">
        <v>7694</v>
      </c>
      <c r="Q3014" t="s">
        <v>619</v>
      </c>
      <c r="R3014" t="s">
        <v>919</v>
      </c>
      <c r="S3014">
        <v>39</v>
      </c>
      <c r="T3014" s="29" t="str">
        <f t="shared" si="132"/>
        <v>2023.043B.Kutznervirinae_nsf.zip</v>
      </c>
      <c r="U3014" s="29" t="str">
        <f>HYPERLINK("https://ictv.global/taxonomy/taxondetails?taxnode_id=202307897","ictv.global=202307897")</f>
        <v>ictv.global=202307897</v>
      </c>
    </row>
    <row r="3015" spans="1:21">
      <c r="A3015">
        <v>3014</v>
      </c>
      <c r="B3015" s="30" t="s">
        <v>1587</v>
      </c>
      <c r="D3015" s="30" t="s">
        <v>1588</v>
      </c>
      <c r="F3015" s="30" t="s">
        <v>1591</v>
      </c>
      <c r="H3015" s="30" t="s">
        <v>1592</v>
      </c>
      <c r="M3015" s="30" t="s">
        <v>12399</v>
      </c>
      <c r="N3015" s="30" t="s">
        <v>1923</v>
      </c>
      <c r="P3015" s="30" t="s">
        <v>12411</v>
      </c>
      <c r="Q3015" t="s">
        <v>619</v>
      </c>
      <c r="R3015" t="s">
        <v>917</v>
      </c>
      <c r="S3015">
        <v>39</v>
      </c>
      <c r="T3015" s="29" t="str">
        <f t="shared" si="132"/>
        <v>2023.043B.Kutznervirinae_nsf.zip</v>
      </c>
      <c r="U3015" s="29" t="str">
        <f>HYPERLINK("https://ictv.global/taxonomy/taxondetails?taxnode_id=202319205","ictv.global=202319205")</f>
        <v>ictv.global=202319205</v>
      </c>
    </row>
    <row r="3016" spans="1:21">
      <c r="A3016">
        <v>3015</v>
      </c>
      <c r="B3016" s="30" t="s">
        <v>1587</v>
      </c>
      <c r="D3016" s="30" t="s">
        <v>1588</v>
      </c>
      <c r="F3016" s="30" t="s">
        <v>1591</v>
      </c>
      <c r="H3016" s="30" t="s">
        <v>1592</v>
      </c>
      <c r="M3016" s="30" t="s">
        <v>12399</v>
      </c>
      <c r="N3016" s="30" t="s">
        <v>1923</v>
      </c>
      <c r="P3016" s="30" t="s">
        <v>12412</v>
      </c>
      <c r="Q3016" t="s">
        <v>619</v>
      </c>
      <c r="R3016" t="s">
        <v>917</v>
      </c>
      <c r="S3016">
        <v>39</v>
      </c>
      <c r="T3016" s="29" t="str">
        <f t="shared" si="132"/>
        <v>2023.043B.Kutznervirinae_nsf.zip</v>
      </c>
      <c r="U3016" s="29" t="str">
        <f>HYPERLINK("https://ictv.global/taxonomy/taxondetails?taxnode_id=202319202","ictv.global=202319202")</f>
        <v>ictv.global=202319202</v>
      </c>
    </row>
    <row r="3017" spans="1:21">
      <c r="A3017">
        <v>3016</v>
      </c>
      <c r="B3017" s="30" t="s">
        <v>1587</v>
      </c>
      <c r="D3017" s="30" t="s">
        <v>1588</v>
      </c>
      <c r="F3017" s="30" t="s">
        <v>1591</v>
      </c>
      <c r="H3017" s="30" t="s">
        <v>1592</v>
      </c>
      <c r="M3017" s="30" t="s">
        <v>12399</v>
      </c>
      <c r="N3017" s="30" t="s">
        <v>1930</v>
      </c>
      <c r="P3017" s="30" t="s">
        <v>12413</v>
      </c>
      <c r="Q3017" t="s">
        <v>619</v>
      </c>
      <c r="R3017" t="s">
        <v>917</v>
      </c>
      <c r="S3017">
        <v>39</v>
      </c>
      <c r="T3017" s="29" t="str">
        <f t="shared" si="132"/>
        <v>2023.043B.Kutznervirinae_nsf.zip</v>
      </c>
      <c r="U3017" s="29" t="str">
        <f>HYPERLINK("https://ictv.global/taxonomy/taxondetails?taxnode_id=202319200","ictv.global=202319200")</f>
        <v>ictv.global=202319200</v>
      </c>
    </row>
    <row r="3018" spans="1:21">
      <c r="A3018">
        <v>3017</v>
      </c>
      <c r="B3018" s="30" t="s">
        <v>1587</v>
      </c>
      <c r="D3018" s="30" t="s">
        <v>1588</v>
      </c>
      <c r="F3018" s="30" t="s">
        <v>1591</v>
      </c>
      <c r="H3018" s="30" t="s">
        <v>1592</v>
      </c>
      <c r="M3018" s="30" t="s">
        <v>12399</v>
      </c>
      <c r="N3018" s="30" t="s">
        <v>1930</v>
      </c>
      <c r="P3018" s="30" t="s">
        <v>12414</v>
      </c>
      <c r="Q3018" t="s">
        <v>619</v>
      </c>
      <c r="R3018" t="s">
        <v>917</v>
      </c>
      <c r="S3018">
        <v>39</v>
      </c>
      <c r="T3018" s="29" t="str">
        <f t="shared" si="132"/>
        <v>2023.043B.Kutznervirinae_nsf.zip</v>
      </c>
      <c r="U3018" s="29" t="str">
        <f>HYPERLINK("https://ictv.global/taxonomy/taxondetails?taxnode_id=202319198","ictv.global=202319198")</f>
        <v>ictv.global=202319198</v>
      </c>
    </row>
    <row r="3019" spans="1:21">
      <c r="A3019">
        <v>3018</v>
      </c>
      <c r="B3019" s="30" t="s">
        <v>1587</v>
      </c>
      <c r="D3019" s="30" t="s">
        <v>1588</v>
      </c>
      <c r="F3019" s="30" t="s">
        <v>1591</v>
      </c>
      <c r="H3019" s="30" t="s">
        <v>1592</v>
      </c>
      <c r="M3019" s="30" t="s">
        <v>12399</v>
      </c>
      <c r="N3019" s="30" t="s">
        <v>1930</v>
      </c>
      <c r="P3019" s="30" t="s">
        <v>8027</v>
      </c>
      <c r="Q3019" t="s">
        <v>619</v>
      </c>
      <c r="R3019" t="s">
        <v>919</v>
      </c>
      <c r="S3019">
        <v>39</v>
      </c>
      <c r="T3019" s="29" t="str">
        <f t="shared" si="132"/>
        <v>2023.043B.Kutznervirinae_nsf.zip</v>
      </c>
      <c r="U3019" s="29" t="str">
        <f>HYPERLINK("https://ictv.global/taxonomy/taxondetails?taxnode_id=202307537","ictv.global=202307537")</f>
        <v>ictv.global=202307537</v>
      </c>
    </row>
    <row r="3020" spans="1:21">
      <c r="A3020">
        <v>3019</v>
      </c>
      <c r="B3020" s="30" t="s">
        <v>1587</v>
      </c>
      <c r="D3020" s="30" t="s">
        <v>1588</v>
      </c>
      <c r="F3020" s="30" t="s">
        <v>1591</v>
      </c>
      <c r="H3020" s="30" t="s">
        <v>1592</v>
      </c>
      <c r="M3020" s="30" t="s">
        <v>12399</v>
      </c>
      <c r="N3020" s="30" t="s">
        <v>1930</v>
      </c>
      <c r="P3020" s="30" t="s">
        <v>12415</v>
      </c>
      <c r="Q3020" t="s">
        <v>619</v>
      </c>
      <c r="R3020" t="s">
        <v>917</v>
      </c>
      <c r="S3020">
        <v>39</v>
      </c>
      <c r="T3020" s="29" t="str">
        <f t="shared" si="132"/>
        <v>2023.043B.Kutznervirinae_nsf.zip</v>
      </c>
      <c r="U3020" s="29" t="str">
        <f>HYPERLINK("https://ictv.global/taxonomy/taxondetails?taxnode_id=202319201","ictv.global=202319201")</f>
        <v>ictv.global=202319201</v>
      </c>
    </row>
    <row r="3021" spans="1:21">
      <c r="A3021">
        <v>3020</v>
      </c>
      <c r="B3021" s="30" t="s">
        <v>1587</v>
      </c>
      <c r="D3021" s="30" t="s">
        <v>1588</v>
      </c>
      <c r="F3021" s="30" t="s">
        <v>1591</v>
      </c>
      <c r="H3021" s="30" t="s">
        <v>1592</v>
      </c>
      <c r="M3021" s="30" t="s">
        <v>12399</v>
      </c>
      <c r="N3021" s="30" t="s">
        <v>1930</v>
      </c>
      <c r="P3021" s="30" t="s">
        <v>8028</v>
      </c>
      <c r="Q3021" t="s">
        <v>619</v>
      </c>
      <c r="R3021" t="s">
        <v>919</v>
      </c>
      <c r="S3021">
        <v>39</v>
      </c>
      <c r="T3021" s="29" t="str">
        <f t="shared" si="132"/>
        <v>2023.043B.Kutznervirinae_nsf.zip</v>
      </c>
      <c r="U3021" s="29" t="str">
        <f>HYPERLINK("https://ictv.global/taxonomy/taxondetails?taxnode_id=202307536","ictv.global=202307536")</f>
        <v>ictv.global=202307536</v>
      </c>
    </row>
    <row r="3022" spans="1:21">
      <c r="A3022">
        <v>3021</v>
      </c>
      <c r="B3022" s="30" t="s">
        <v>1587</v>
      </c>
      <c r="D3022" s="30" t="s">
        <v>1588</v>
      </c>
      <c r="F3022" s="30" t="s">
        <v>1591</v>
      </c>
      <c r="H3022" s="30" t="s">
        <v>1592</v>
      </c>
      <c r="M3022" s="30" t="s">
        <v>12399</v>
      </c>
      <c r="N3022" s="30" t="s">
        <v>1930</v>
      </c>
      <c r="P3022" s="30" t="s">
        <v>12416</v>
      </c>
      <c r="Q3022" t="s">
        <v>619</v>
      </c>
      <c r="R3022" t="s">
        <v>920</v>
      </c>
      <c r="S3022">
        <v>39</v>
      </c>
      <c r="T3022" s="29" t="str">
        <f t="shared" si="132"/>
        <v>2023.043B.Kutznervirinae_nsf.zip</v>
      </c>
      <c r="U3022" s="29" t="str">
        <f>HYPERLINK("https://ictv.global/taxonomy/taxondetails?taxnode_id=202307535","ictv.global=202307535")</f>
        <v>ictv.global=202307535</v>
      </c>
    </row>
    <row r="3023" spans="1:21">
      <c r="A3023">
        <v>3022</v>
      </c>
      <c r="B3023" s="30" t="s">
        <v>1587</v>
      </c>
      <c r="D3023" s="30" t="s">
        <v>1588</v>
      </c>
      <c r="F3023" s="30" t="s">
        <v>1591</v>
      </c>
      <c r="H3023" s="30" t="s">
        <v>1592</v>
      </c>
      <c r="M3023" s="30" t="s">
        <v>12399</v>
      </c>
      <c r="N3023" s="30" t="s">
        <v>1930</v>
      </c>
      <c r="P3023" s="30" t="s">
        <v>12417</v>
      </c>
      <c r="Q3023" t="s">
        <v>619</v>
      </c>
      <c r="R3023" t="s">
        <v>917</v>
      </c>
      <c r="S3023">
        <v>39</v>
      </c>
      <c r="T3023" s="29" t="str">
        <f t="shared" si="132"/>
        <v>2023.043B.Kutznervirinae_nsf.zip</v>
      </c>
      <c r="U3023" s="29" t="str">
        <f>HYPERLINK("https://ictv.global/taxonomy/taxondetails?taxnode_id=202319199","ictv.global=202319199")</f>
        <v>ictv.global=202319199</v>
      </c>
    </row>
    <row r="3024" spans="1:21">
      <c r="A3024">
        <v>3023</v>
      </c>
      <c r="B3024" s="30" t="s">
        <v>1587</v>
      </c>
      <c r="D3024" s="30" t="s">
        <v>1588</v>
      </c>
      <c r="F3024" s="30" t="s">
        <v>1591</v>
      </c>
      <c r="H3024" s="30" t="s">
        <v>1592</v>
      </c>
      <c r="M3024" s="30" t="s">
        <v>1876</v>
      </c>
      <c r="N3024" s="30" t="s">
        <v>1877</v>
      </c>
      <c r="P3024" s="30" t="s">
        <v>6556</v>
      </c>
      <c r="Q3024" t="s">
        <v>619</v>
      </c>
      <c r="R3024" t="s">
        <v>918</v>
      </c>
      <c r="S3024">
        <v>37</v>
      </c>
      <c r="T3024" s="29" t="str">
        <f t="shared" ref="T3024:T3041" si="133">HYPERLINK("https://ictv.global/ictv/proposals/2021.010B.R.Binomial_names.zip","2021.010B.R.Binomial_names.zip")</f>
        <v>2021.010B.R.Binomial_names.zip</v>
      </c>
      <c r="U3024" s="29" t="str">
        <f>HYPERLINK("https://ictv.global/taxonomy/taxondetails?taxnode_id=202307882","ictv.global=202307882")</f>
        <v>ictv.global=202307882</v>
      </c>
    </row>
    <row r="3025" spans="1:21">
      <c r="A3025">
        <v>3024</v>
      </c>
      <c r="B3025" s="30" t="s">
        <v>1587</v>
      </c>
      <c r="D3025" s="30" t="s">
        <v>1588</v>
      </c>
      <c r="F3025" s="30" t="s">
        <v>1591</v>
      </c>
      <c r="H3025" s="30" t="s">
        <v>1592</v>
      </c>
      <c r="M3025" s="30" t="s">
        <v>1876</v>
      </c>
      <c r="N3025" s="30" t="s">
        <v>1877</v>
      </c>
      <c r="P3025" s="30" t="s">
        <v>6557</v>
      </c>
      <c r="Q3025" t="s">
        <v>619</v>
      </c>
      <c r="R3025" t="s">
        <v>918</v>
      </c>
      <c r="S3025">
        <v>37</v>
      </c>
      <c r="T3025" s="29" t="str">
        <f t="shared" si="133"/>
        <v>2021.010B.R.Binomial_names.zip</v>
      </c>
      <c r="U3025" s="29" t="str">
        <f>HYPERLINK("https://ictv.global/taxonomy/taxondetails?taxnode_id=202307884","ictv.global=202307884")</f>
        <v>ictv.global=202307884</v>
      </c>
    </row>
    <row r="3026" spans="1:21">
      <c r="A3026">
        <v>3025</v>
      </c>
      <c r="B3026" s="30" t="s">
        <v>1587</v>
      </c>
      <c r="D3026" s="30" t="s">
        <v>1588</v>
      </c>
      <c r="F3026" s="30" t="s">
        <v>1591</v>
      </c>
      <c r="H3026" s="30" t="s">
        <v>1592</v>
      </c>
      <c r="M3026" s="30" t="s">
        <v>1876</v>
      </c>
      <c r="N3026" s="30" t="s">
        <v>1877</v>
      </c>
      <c r="P3026" s="30" t="s">
        <v>6558</v>
      </c>
      <c r="Q3026" t="s">
        <v>619</v>
      </c>
      <c r="R3026" t="s">
        <v>918</v>
      </c>
      <c r="S3026">
        <v>37</v>
      </c>
      <c r="T3026" s="29" t="str">
        <f t="shared" si="133"/>
        <v>2021.010B.R.Binomial_names.zip</v>
      </c>
      <c r="U3026" s="29" t="str">
        <f>HYPERLINK("https://ictv.global/taxonomy/taxondetails?taxnode_id=202307881","ictv.global=202307881")</f>
        <v>ictv.global=202307881</v>
      </c>
    </row>
    <row r="3027" spans="1:21">
      <c r="A3027">
        <v>3026</v>
      </c>
      <c r="B3027" s="30" t="s">
        <v>1587</v>
      </c>
      <c r="D3027" s="30" t="s">
        <v>1588</v>
      </c>
      <c r="F3027" s="30" t="s">
        <v>1591</v>
      </c>
      <c r="H3027" s="30" t="s">
        <v>1592</v>
      </c>
      <c r="M3027" s="30" t="s">
        <v>1876</v>
      </c>
      <c r="N3027" s="30" t="s">
        <v>1877</v>
      </c>
      <c r="P3027" s="30" t="s">
        <v>6559</v>
      </c>
      <c r="Q3027" t="s">
        <v>619</v>
      </c>
      <c r="R3027" t="s">
        <v>918</v>
      </c>
      <c r="S3027">
        <v>37</v>
      </c>
      <c r="T3027" s="29" t="str">
        <f t="shared" si="133"/>
        <v>2021.010B.R.Binomial_names.zip</v>
      </c>
      <c r="U3027" s="29" t="str">
        <f>HYPERLINK("https://ictv.global/taxonomy/taxondetails?taxnode_id=202307883","ictv.global=202307883")</f>
        <v>ictv.global=202307883</v>
      </c>
    </row>
    <row r="3028" spans="1:21">
      <c r="A3028">
        <v>3027</v>
      </c>
      <c r="B3028" s="30" t="s">
        <v>1587</v>
      </c>
      <c r="D3028" s="30" t="s">
        <v>1588</v>
      </c>
      <c r="F3028" s="30" t="s">
        <v>1591</v>
      </c>
      <c r="H3028" s="30" t="s">
        <v>1592</v>
      </c>
      <c r="M3028" s="30" t="s">
        <v>1876</v>
      </c>
      <c r="N3028" s="30" t="s">
        <v>1878</v>
      </c>
      <c r="P3028" s="30" t="s">
        <v>6560</v>
      </c>
      <c r="Q3028" t="s">
        <v>619</v>
      </c>
      <c r="R3028" t="s">
        <v>918</v>
      </c>
      <c r="S3028">
        <v>37</v>
      </c>
      <c r="T3028" s="29" t="str">
        <f t="shared" si="133"/>
        <v>2021.010B.R.Binomial_names.zip</v>
      </c>
      <c r="U3028" s="29" t="str">
        <f>HYPERLINK("https://ictv.global/taxonomy/taxondetails?taxnode_id=202307886","ictv.global=202307886")</f>
        <v>ictv.global=202307886</v>
      </c>
    </row>
    <row r="3029" spans="1:21">
      <c r="A3029">
        <v>3028</v>
      </c>
      <c r="B3029" s="30" t="s">
        <v>1587</v>
      </c>
      <c r="D3029" s="30" t="s">
        <v>1588</v>
      </c>
      <c r="F3029" s="30" t="s">
        <v>1591</v>
      </c>
      <c r="H3029" s="30" t="s">
        <v>1592</v>
      </c>
      <c r="M3029" s="30" t="s">
        <v>1876</v>
      </c>
      <c r="N3029" s="30" t="s">
        <v>1879</v>
      </c>
      <c r="P3029" s="30" t="s">
        <v>6561</v>
      </c>
      <c r="Q3029" t="s">
        <v>619</v>
      </c>
      <c r="R3029" t="s">
        <v>918</v>
      </c>
      <c r="S3029">
        <v>37</v>
      </c>
      <c r="T3029" s="29" t="str">
        <f t="shared" si="133"/>
        <v>2021.010B.R.Binomial_names.zip</v>
      </c>
      <c r="U3029" s="29" t="str">
        <f>HYPERLINK("https://ictv.global/taxonomy/taxondetails?taxnode_id=202307888","ictv.global=202307888")</f>
        <v>ictv.global=202307888</v>
      </c>
    </row>
    <row r="3030" spans="1:21">
      <c r="A3030">
        <v>3029</v>
      </c>
      <c r="B3030" s="30" t="s">
        <v>1587</v>
      </c>
      <c r="D3030" s="30" t="s">
        <v>1588</v>
      </c>
      <c r="F3030" s="30" t="s">
        <v>1591</v>
      </c>
      <c r="H3030" s="30" t="s">
        <v>1592</v>
      </c>
      <c r="M3030" s="30" t="s">
        <v>933</v>
      </c>
      <c r="N3030" s="30" t="s">
        <v>1445</v>
      </c>
      <c r="P3030" s="30" t="s">
        <v>6562</v>
      </c>
      <c r="Q3030" t="s">
        <v>619</v>
      </c>
      <c r="R3030" t="s">
        <v>918</v>
      </c>
      <c r="S3030">
        <v>37</v>
      </c>
      <c r="T3030" s="29" t="str">
        <f t="shared" si="133"/>
        <v>2021.010B.R.Binomial_names.zip</v>
      </c>
      <c r="U3030" s="29" t="str">
        <f>HYPERLINK("https://ictv.global/taxonomy/taxondetails?taxnode_id=202310215","ictv.global=202310215")</f>
        <v>ictv.global=202310215</v>
      </c>
    </row>
    <row r="3031" spans="1:21">
      <c r="A3031">
        <v>3030</v>
      </c>
      <c r="B3031" s="30" t="s">
        <v>1587</v>
      </c>
      <c r="D3031" s="30" t="s">
        <v>1588</v>
      </c>
      <c r="F3031" s="30" t="s">
        <v>1591</v>
      </c>
      <c r="H3031" s="30" t="s">
        <v>1592</v>
      </c>
      <c r="M3031" s="30" t="s">
        <v>933</v>
      </c>
      <c r="N3031" s="30" t="s">
        <v>1445</v>
      </c>
      <c r="P3031" s="30" t="s">
        <v>6563</v>
      </c>
      <c r="Q3031" t="s">
        <v>619</v>
      </c>
      <c r="R3031" t="s">
        <v>918</v>
      </c>
      <c r="S3031">
        <v>37</v>
      </c>
      <c r="T3031" s="29" t="str">
        <f t="shared" si="133"/>
        <v>2021.010B.R.Binomial_names.zip</v>
      </c>
      <c r="U3031" s="29" t="str">
        <f>HYPERLINK("https://ictv.global/taxonomy/taxondetails?taxnode_id=202305513","ictv.global=202305513")</f>
        <v>ictv.global=202305513</v>
      </c>
    </row>
    <row r="3032" spans="1:21">
      <c r="A3032">
        <v>3031</v>
      </c>
      <c r="B3032" s="30" t="s">
        <v>1587</v>
      </c>
      <c r="D3032" s="30" t="s">
        <v>1588</v>
      </c>
      <c r="F3032" s="30" t="s">
        <v>1591</v>
      </c>
      <c r="H3032" s="30" t="s">
        <v>1592</v>
      </c>
      <c r="M3032" s="30" t="s">
        <v>933</v>
      </c>
      <c r="N3032" s="30" t="s">
        <v>1445</v>
      </c>
      <c r="P3032" s="30" t="s">
        <v>6564</v>
      </c>
      <c r="Q3032" t="s">
        <v>619</v>
      </c>
      <c r="R3032" t="s">
        <v>918</v>
      </c>
      <c r="S3032">
        <v>37</v>
      </c>
      <c r="T3032" s="29" t="str">
        <f t="shared" si="133"/>
        <v>2021.010B.R.Binomial_names.zip</v>
      </c>
      <c r="U3032" s="29" t="str">
        <f>HYPERLINK("https://ictv.global/taxonomy/taxondetails?taxnode_id=202305514","ictv.global=202305514")</f>
        <v>ictv.global=202305514</v>
      </c>
    </row>
    <row r="3033" spans="1:21">
      <c r="A3033">
        <v>3032</v>
      </c>
      <c r="B3033" s="30" t="s">
        <v>1587</v>
      </c>
      <c r="D3033" s="30" t="s">
        <v>1588</v>
      </c>
      <c r="F3033" s="30" t="s">
        <v>1591</v>
      </c>
      <c r="H3033" s="30" t="s">
        <v>1592</v>
      </c>
      <c r="M3033" s="30" t="s">
        <v>933</v>
      </c>
      <c r="N3033" s="30" t="s">
        <v>1445</v>
      </c>
      <c r="P3033" s="30" t="s">
        <v>6565</v>
      </c>
      <c r="Q3033" t="s">
        <v>619</v>
      </c>
      <c r="R3033" t="s">
        <v>918</v>
      </c>
      <c r="S3033">
        <v>37</v>
      </c>
      <c r="T3033" s="29" t="str">
        <f t="shared" si="133"/>
        <v>2021.010B.R.Binomial_names.zip</v>
      </c>
      <c r="U3033" s="29" t="str">
        <f>HYPERLINK("https://ictv.global/taxonomy/taxondetails?taxnode_id=202305515","ictv.global=202305515")</f>
        <v>ictv.global=202305515</v>
      </c>
    </row>
    <row r="3034" spans="1:21">
      <c r="A3034">
        <v>3033</v>
      </c>
      <c r="B3034" s="30" t="s">
        <v>1587</v>
      </c>
      <c r="D3034" s="30" t="s">
        <v>1588</v>
      </c>
      <c r="F3034" s="30" t="s">
        <v>1591</v>
      </c>
      <c r="H3034" s="30" t="s">
        <v>1592</v>
      </c>
      <c r="M3034" s="30" t="s">
        <v>933</v>
      </c>
      <c r="N3034" s="30" t="s">
        <v>1445</v>
      </c>
      <c r="P3034" s="30" t="s">
        <v>6566</v>
      </c>
      <c r="Q3034" t="s">
        <v>619</v>
      </c>
      <c r="R3034" t="s">
        <v>918</v>
      </c>
      <c r="S3034">
        <v>37</v>
      </c>
      <c r="T3034" s="29" t="str">
        <f t="shared" si="133"/>
        <v>2021.010B.R.Binomial_names.zip</v>
      </c>
      <c r="U3034" s="29" t="str">
        <f>HYPERLINK("https://ictv.global/taxonomy/taxondetails?taxnode_id=202305516","ictv.global=202305516")</f>
        <v>ictv.global=202305516</v>
      </c>
    </row>
    <row r="3035" spans="1:21">
      <c r="A3035">
        <v>3034</v>
      </c>
      <c r="B3035" s="30" t="s">
        <v>1587</v>
      </c>
      <c r="D3035" s="30" t="s">
        <v>1588</v>
      </c>
      <c r="F3035" s="30" t="s">
        <v>1591</v>
      </c>
      <c r="H3035" s="30" t="s">
        <v>1592</v>
      </c>
      <c r="M3035" s="30" t="s">
        <v>933</v>
      </c>
      <c r="N3035" s="30" t="s">
        <v>1445</v>
      </c>
      <c r="P3035" s="30" t="s">
        <v>6567</v>
      </c>
      <c r="Q3035" t="s">
        <v>619</v>
      </c>
      <c r="R3035" t="s">
        <v>918</v>
      </c>
      <c r="S3035">
        <v>37</v>
      </c>
      <c r="T3035" s="29" t="str">
        <f t="shared" si="133"/>
        <v>2021.010B.R.Binomial_names.zip</v>
      </c>
      <c r="U3035" s="29" t="str">
        <f>HYPERLINK("https://ictv.global/taxonomy/taxondetails?taxnode_id=202305518","ictv.global=202305518")</f>
        <v>ictv.global=202305518</v>
      </c>
    </row>
    <row r="3036" spans="1:21">
      <c r="A3036">
        <v>3035</v>
      </c>
      <c r="B3036" s="30" t="s">
        <v>1587</v>
      </c>
      <c r="D3036" s="30" t="s">
        <v>1588</v>
      </c>
      <c r="F3036" s="30" t="s">
        <v>1591</v>
      </c>
      <c r="H3036" s="30" t="s">
        <v>1592</v>
      </c>
      <c r="M3036" s="30" t="s">
        <v>933</v>
      </c>
      <c r="N3036" s="30" t="s">
        <v>1445</v>
      </c>
      <c r="P3036" s="30" t="s">
        <v>6568</v>
      </c>
      <c r="Q3036" t="s">
        <v>619</v>
      </c>
      <c r="R3036" t="s">
        <v>918</v>
      </c>
      <c r="S3036">
        <v>37</v>
      </c>
      <c r="T3036" s="29" t="str">
        <f t="shared" si="133"/>
        <v>2021.010B.R.Binomial_names.zip</v>
      </c>
      <c r="U3036" s="29" t="str">
        <f>HYPERLINK("https://ictv.global/taxonomy/taxondetails?taxnode_id=202310214","ictv.global=202310214")</f>
        <v>ictv.global=202310214</v>
      </c>
    </row>
    <row r="3037" spans="1:21">
      <c r="A3037">
        <v>3036</v>
      </c>
      <c r="B3037" s="30" t="s">
        <v>1587</v>
      </c>
      <c r="D3037" s="30" t="s">
        <v>1588</v>
      </c>
      <c r="F3037" s="30" t="s">
        <v>1591</v>
      </c>
      <c r="H3037" s="30" t="s">
        <v>1592</v>
      </c>
      <c r="M3037" s="30" t="s">
        <v>933</v>
      </c>
      <c r="N3037" s="30" t="s">
        <v>1446</v>
      </c>
      <c r="P3037" s="30" t="s">
        <v>6569</v>
      </c>
      <c r="Q3037" t="s">
        <v>619</v>
      </c>
      <c r="R3037" t="s">
        <v>918</v>
      </c>
      <c r="S3037">
        <v>37</v>
      </c>
      <c r="T3037" s="29" t="str">
        <f t="shared" si="133"/>
        <v>2021.010B.R.Binomial_names.zip</v>
      </c>
      <c r="U3037" s="29" t="str">
        <f>HYPERLINK("https://ictv.global/taxonomy/taxondetails?taxnode_id=202310216","ictv.global=202310216")</f>
        <v>ictv.global=202310216</v>
      </c>
    </row>
    <row r="3038" spans="1:21">
      <c r="A3038">
        <v>3037</v>
      </c>
      <c r="B3038" s="30" t="s">
        <v>1587</v>
      </c>
      <c r="D3038" s="30" t="s">
        <v>1588</v>
      </c>
      <c r="F3038" s="30" t="s">
        <v>1591</v>
      </c>
      <c r="H3038" s="30" t="s">
        <v>1592</v>
      </c>
      <c r="M3038" s="30" t="s">
        <v>933</v>
      </c>
      <c r="N3038" s="30" t="s">
        <v>1446</v>
      </c>
      <c r="P3038" s="30" t="s">
        <v>6570</v>
      </c>
      <c r="Q3038" t="s">
        <v>619</v>
      </c>
      <c r="R3038" t="s">
        <v>918</v>
      </c>
      <c r="S3038">
        <v>37</v>
      </c>
      <c r="T3038" s="29" t="str">
        <f t="shared" si="133"/>
        <v>2021.010B.R.Binomial_names.zip</v>
      </c>
      <c r="U3038" s="29" t="str">
        <f>HYPERLINK("https://ictv.global/taxonomy/taxondetails?taxnode_id=202305524","ictv.global=202305524")</f>
        <v>ictv.global=202305524</v>
      </c>
    </row>
    <row r="3039" spans="1:21">
      <c r="A3039">
        <v>3038</v>
      </c>
      <c r="B3039" s="30" t="s">
        <v>1587</v>
      </c>
      <c r="D3039" s="30" t="s">
        <v>1588</v>
      </c>
      <c r="F3039" s="30" t="s">
        <v>1591</v>
      </c>
      <c r="H3039" s="30" t="s">
        <v>1592</v>
      </c>
      <c r="M3039" s="30" t="s">
        <v>933</v>
      </c>
      <c r="N3039" s="30" t="s">
        <v>1446</v>
      </c>
      <c r="P3039" s="30" t="s">
        <v>6571</v>
      </c>
      <c r="Q3039" t="s">
        <v>619</v>
      </c>
      <c r="R3039" t="s">
        <v>918</v>
      </c>
      <c r="S3039">
        <v>37</v>
      </c>
      <c r="T3039" s="29" t="str">
        <f t="shared" si="133"/>
        <v>2021.010B.R.Binomial_names.zip</v>
      </c>
      <c r="U3039" s="29" t="str">
        <f>HYPERLINK("https://ictv.global/taxonomy/taxondetails?taxnode_id=202305521","ictv.global=202305521")</f>
        <v>ictv.global=202305521</v>
      </c>
    </row>
    <row r="3040" spans="1:21">
      <c r="A3040">
        <v>3039</v>
      </c>
      <c r="B3040" s="30" t="s">
        <v>1587</v>
      </c>
      <c r="D3040" s="30" t="s">
        <v>1588</v>
      </c>
      <c r="F3040" s="30" t="s">
        <v>1591</v>
      </c>
      <c r="H3040" s="30" t="s">
        <v>1592</v>
      </c>
      <c r="M3040" s="30" t="s">
        <v>933</v>
      </c>
      <c r="N3040" s="30" t="s">
        <v>1446</v>
      </c>
      <c r="P3040" s="30" t="s">
        <v>6572</v>
      </c>
      <c r="Q3040" t="s">
        <v>619</v>
      </c>
      <c r="R3040" t="s">
        <v>918</v>
      </c>
      <c r="S3040">
        <v>37</v>
      </c>
      <c r="T3040" s="29" t="str">
        <f t="shared" si="133"/>
        <v>2021.010B.R.Binomial_names.zip</v>
      </c>
      <c r="U3040" s="29" t="str">
        <f>HYPERLINK("https://ictv.global/taxonomy/taxondetails?taxnode_id=202305522","ictv.global=202305522")</f>
        <v>ictv.global=202305522</v>
      </c>
    </row>
    <row r="3041" spans="1:21">
      <c r="A3041">
        <v>3040</v>
      </c>
      <c r="B3041" s="30" t="s">
        <v>1587</v>
      </c>
      <c r="D3041" s="30" t="s">
        <v>1588</v>
      </c>
      <c r="F3041" s="30" t="s">
        <v>1591</v>
      </c>
      <c r="H3041" s="30" t="s">
        <v>1592</v>
      </c>
      <c r="M3041" s="30" t="s">
        <v>933</v>
      </c>
      <c r="N3041" s="30" t="s">
        <v>1446</v>
      </c>
      <c r="P3041" s="30" t="s">
        <v>6573</v>
      </c>
      <c r="Q3041" t="s">
        <v>619</v>
      </c>
      <c r="R3041" t="s">
        <v>918</v>
      </c>
      <c r="S3041">
        <v>37</v>
      </c>
      <c r="T3041" s="29" t="str">
        <f t="shared" si="133"/>
        <v>2021.010B.R.Binomial_names.zip</v>
      </c>
      <c r="U3041" s="29" t="str">
        <f>HYPERLINK("https://ictv.global/taxonomy/taxondetails?taxnode_id=202305520","ictv.global=202305520")</f>
        <v>ictv.global=202305520</v>
      </c>
    </row>
    <row r="3042" spans="1:21">
      <c r="A3042">
        <v>3041</v>
      </c>
      <c r="B3042" s="30" t="s">
        <v>1587</v>
      </c>
      <c r="D3042" s="30" t="s">
        <v>1588</v>
      </c>
      <c r="F3042" s="30" t="s">
        <v>1591</v>
      </c>
      <c r="H3042" s="30" t="s">
        <v>1592</v>
      </c>
      <c r="M3042" s="30" t="s">
        <v>12418</v>
      </c>
      <c r="N3042" s="30" t="s">
        <v>12419</v>
      </c>
      <c r="P3042" s="30" t="s">
        <v>12420</v>
      </c>
      <c r="Q3042" t="s">
        <v>619</v>
      </c>
      <c r="R3042" t="s">
        <v>917</v>
      </c>
      <c r="S3042">
        <v>39</v>
      </c>
      <c r="T3042" s="29" t="str">
        <f t="shared" ref="T3042:T3047" si="134">HYPERLINK("https://ictv.global/ictv/proposals/2023.048B.Munstervirinae_nsf.zip","2023.048B.Munstervirinae_nsf.zip")</f>
        <v>2023.048B.Munstervirinae_nsf.zip</v>
      </c>
      <c r="U3042" s="29" t="str">
        <f>HYPERLINK("https://ictv.global/taxonomy/taxondetails?taxnode_id=202319214","ictv.global=202319214")</f>
        <v>ictv.global=202319214</v>
      </c>
    </row>
    <row r="3043" spans="1:21">
      <c r="A3043">
        <v>3042</v>
      </c>
      <c r="B3043" s="30" t="s">
        <v>1587</v>
      </c>
      <c r="D3043" s="30" t="s">
        <v>1588</v>
      </c>
      <c r="F3043" s="30" t="s">
        <v>1591</v>
      </c>
      <c r="H3043" s="30" t="s">
        <v>1592</v>
      </c>
      <c r="M3043" s="30" t="s">
        <v>12418</v>
      </c>
      <c r="N3043" s="30" t="s">
        <v>12421</v>
      </c>
      <c r="P3043" s="30" t="s">
        <v>12422</v>
      </c>
      <c r="Q3043" t="s">
        <v>619</v>
      </c>
      <c r="R3043" t="s">
        <v>917</v>
      </c>
      <c r="S3043">
        <v>39</v>
      </c>
      <c r="T3043" s="29" t="str">
        <f t="shared" si="134"/>
        <v>2023.048B.Munstervirinae_nsf.zip</v>
      </c>
      <c r="U3043" s="29" t="str">
        <f>HYPERLINK("https://ictv.global/taxonomy/taxondetails?taxnode_id=202319212","ictv.global=202319212")</f>
        <v>ictv.global=202319212</v>
      </c>
    </row>
    <row r="3044" spans="1:21">
      <c r="A3044">
        <v>3043</v>
      </c>
      <c r="B3044" s="30" t="s">
        <v>1587</v>
      </c>
      <c r="D3044" s="30" t="s">
        <v>1588</v>
      </c>
      <c r="F3044" s="30" t="s">
        <v>1591</v>
      </c>
      <c r="H3044" s="30" t="s">
        <v>1592</v>
      </c>
      <c r="M3044" s="30" t="s">
        <v>12418</v>
      </c>
      <c r="N3044" s="30" t="s">
        <v>12421</v>
      </c>
      <c r="P3044" s="30" t="s">
        <v>12423</v>
      </c>
      <c r="Q3044" t="s">
        <v>619</v>
      </c>
      <c r="R3044" t="s">
        <v>917</v>
      </c>
      <c r="S3044">
        <v>39</v>
      </c>
      <c r="T3044" s="29" t="str">
        <f t="shared" si="134"/>
        <v>2023.048B.Munstervirinae_nsf.zip</v>
      </c>
      <c r="U3044" s="29" t="str">
        <f>HYPERLINK("https://ictv.global/taxonomy/taxondetails?taxnode_id=202319211","ictv.global=202319211")</f>
        <v>ictv.global=202319211</v>
      </c>
    </row>
    <row r="3045" spans="1:21">
      <c r="A3045">
        <v>3044</v>
      </c>
      <c r="B3045" s="30" t="s">
        <v>1587</v>
      </c>
      <c r="D3045" s="30" t="s">
        <v>1588</v>
      </c>
      <c r="F3045" s="30" t="s">
        <v>1591</v>
      </c>
      <c r="H3045" s="30" t="s">
        <v>1592</v>
      </c>
      <c r="M3045" s="30" t="s">
        <v>12418</v>
      </c>
      <c r="N3045" s="30" t="s">
        <v>12424</v>
      </c>
      <c r="P3045" s="30" t="s">
        <v>12425</v>
      </c>
      <c r="Q3045" t="s">
        <v>619</v>
      </c>
      <c r="R3045" t="s">
        <v>917</v>
      </c>
      <c r="S3045">
        <v>39</v>
      </c>
      <c r="T3045" s="29" t="str">
        <f t="shared" si="134"/>
        <v>2023.048B.Munstervirinae_nsf.zip</v>
      </c>
      <c r="U3045" s="29" t="str">
        <f>HYPERLINK("https://ictv.global/taxonomy/taxondetails?taxnode_id=202319210","ictv.global=202319210")</f>
        <v>ictv.global=202319210</v>
      </c>
    </row>
    <row r="3046" spans="1:21">
      <c r="A3046">
        <v>3045</v>
      </c>
      <c r="B3046" s="30" t="s">
        <v>1587</v>
      </c>
      <c r="D3046" s="30" t="s">
        <v>1588</v>
      </c>
      <c r="F3046" s="30" t="s">
        <v>1591</v>
      </c>
      <c r="H3046" s="30" t="s">
        <v>1592</v>
      </c>
      <c r="M3046" s="30" t="s">
        <v>12418</v>
      </c>
      <c r="N3046" s="30" t="s">
        <v>12424</v>
      </c>
      <c r="P3046" s="30" t="s">
        <v>12426</v>
      </c>
      <c r="Q3046" t="s">
        <v>619</v>
      </c>
      <c r="R3046" t="s">
        <v>917</v>
      </c>
      <c r="S3046">
        <v>39</v>
      </c>
      <c r="T3046" s="29" t="str">
        <f t="shared" si="134"/>
        <v>2023.048B.Munstervirinae_nsf.zip</v>
      </c>
      <c r="U3046" s="29" t="str">
        <f>HYPERLINK("https://ictv.global/taxonomy/taxondetails?taxnode_id=202319209","ictv.global=202319209")</f>
        <v>ictv.global=202319209</v>
      </c>
    </row>
    <row r="3047" spans="1:21">
      <c r="A3047">
        <v>3046</v>
      </c>
      <c r="B3047" s="30" t="s">
        <v>1587</v>
      </c>
      <c r="D3047" s="30" t="s">
        <v>1588</v>
      </c>
      <c r="F3047" s="30" t="s">
        <v>1591</v>
      </c>
      <c r="H3047" s="30" t="s">
        <v>1592</v>
      </c>
      <c r="M3047" s="30" t="s">
        <v>12418</v>
      </c>
      <c r="N3047" s="30" t="s">
        <v>12427</v>
      </c>
      <c r="P3047" s="30" t="s">
        <v>12428</v>
      </c>
      <c r="Q3047" t="s">
        <v>619</v>
      </c>
      <c r="R3047" t="s">
        <v>917</v>
      </c>
      <c r="S3047">
        <v>39</v>
      </c>
      <c r="T3047" s="29" t="str">
        <f t="shared" si="134"/>
        <v>2023.048B.Munstervirinae_nsf.zip</v>
      </c>
      <c r="U3047" s="29" t="str">
        <f>HYPERLINK("https://ictv.global/taxonomy/taxondetails?taxnode_id=202319213","ictv.global=202319213")</f>
        <v>ictv.global=202319213</v>
      </c>
    </row>
    <row r="3048" spans="1:21">
      <c r="A3048">
        <v>3047</v>
      </c>
      <c r="B3048" s="30" t="s">
        <v>1587</v>
      </c>
      <c r="D3048" s="30" t="s">
        <v>1588</v>
      </c>
      <c r="F3048" s="30" t="s">
        <v>1591</v>
      </c>
      <c r="H3048" s="30" t="s">
        <v>1592</v>
      </c>
      <c r="M3048" s="30" t="s">
        <v>934</v>
      </c>
      <c r="N3048" s="30" t="s">
        <v>665</v>
      </c>
      <c r="P3048" s="30" t="s">
        <v>6574</v>
      </c>
      <c r="Q3048" t="s">
        <v>619</v>
      </c>
      <c r="R3048" t="s">
        <v>917</v>
      </c>
      <c r="S3048">
        <v>37</v>
      </c>
      <c r="T3048" s="29" t="str">
        <f t="shared" ref="T3048:T3065" si="135">HYPERLINK("https://ictv.global/ictv/proposals/2021.057B.R.Nclasvirinae.zip","2021.057B.R.Nclasvirinae.zip")</f>
        <v>2021.057B.R.Nclasvirinae.zip</v>
      </c>
      <c r="U3048" s="29" t="str">
        <f>HYPERLINK("https://ictv.global/taxonomy/taxondetails?taxnode_id=202312777","ictv.global=202312777")</f>
        <v>ictv.global=202312777</v>
      </c>
    </row>
    <row r="3049" spans="1:21">
      <c r="A3049">
        <v>3048</v>
      </c>
      <c r="B3049" s="30" t="s">
        <v>1587</v>
      </c>
      <c r="D3049" s="30" t="s">
        <v>1588</v>
      </c>
      <c r="F3049" s="30" t="s">
        <v>1591</v>
      </c>
      <c r="H3049" s="30" t="s">
        <v>1592</v>
      </c>
      <c r="M3049" s="30" t="s">
        <v>934</v>
      </c>
      <c r="N3049" s="30" t="s">
        <v>665</v>
      </c>
      <c r="P3049" s="30" t="s">
        <v>6575</v>
      </c>
      <c r="Q3049" t="s">
        <v>619</v>
      </c>
      <c r="R3049" t="s">
        <v>917</v>
      </c>
      <c r="S3049">
        <v>37</v>
      </c>
      <c r="T3049" s="29" t="str">
        <f t="shared" si="135"/>
        <v>2021.057B.R.Nclasvirinae.zip</v>
      </c>
      <c r="U3049" s="29" t="str">
        <f>HYPERLINK("https://ictv.global/taxonomy/taxondetails?taxnode_id=202312779","ictv.global=202312779")</f>
        <v>ictv.global=202312779</v>
      </c>
    </row>
    <row r="3050" spans="1:21">
      <c r="A3050">
        <v>3049</v>
      </c>
      <c r="B3050" s="30" t="s">
        <v>1587</v>
      </c>
      <c r="D3050" s="30" t="s">
        <v>1588</v>
      </c>
      <c r="F3050" s="30" t="s">
        <v>1591</v>
      </c>
      <c r="H3050" s="30" t="s">
        <v>1592</v>
      </c>
      <c r="M3050" s="30" t="s">
        <v>934</v>
      </c>
      <c r="N3050" s="30" t="s">
        <v>665</v>
      </c>
      <c r="P3050" s="30" t="s">
        <v>6576</v>
      </c>
      <c r="Q3050" t="s">
        <v>619</v>
      </c>
      <c r="R3050" t="s">
        <v>918</v>
      </c>
      <c r="S3050">
        <v>37</v>
      </c>
      <c r="T3050" s="29" t="str">
        <f t="shared" si="135"/>
        <v>2021.057B.R.Nclasvirinae.zip</v>
      </c>
      <c r="U3050" s="29" t="str">
        <f>HYPERLINK("https://ictv.global/taxonomy/taxondetails?taxnode_id=202305528","ictv.global=202305528")</f>
        <v>ictv.global=202305528</v>
      </c>
    </row>
    <row r="3051" spans="1:21">
      <c r="A3051">
        <v>3050</v>
      </c>
      <c r="B3051" s="30" t="s">
        <v>1587</v>
      </c>
      <c r="D3051" s="30" t="s">
        <v>1588</v>
      </c>
      <c r="F3051" s="30" t="s">
        <v>1591</v>
      </c>
      <c r="H3051" s="30" t="s">
        <v>1592</v>
      </c>
      <c r="M3051" s="30" t="s">
        <v>934</v>
      </c>
      <c r="N3051" s="30" t="s">
        <v>665</v>
      </c>
      <c r="P3051" s="30" t="s">
        <v>6577</v>
      </c>
      <c r="Q3051" t="s">
        <v>619</v>
      </c>
      <c r="R3051" t="s">
        <v>918</v>
      </c>
      <c r="S3051">
        <v>37</v>
      </c>
      <c r="T3051" s="29" t="str">
        <f t="shared" si="135"/>
        <v>2021.057B.R.Nclasvirinae.zip</v>
      </c>
      <c r="U3051" s="29" t="str">
        <f>HYPERLINK("https://ictv.global/taxonomy/taxondetails?taxnode_id=202300888","ictv.global=202300888")</f>
        <v>ictv.global=202300888</v>
      </c>
    </row>
    <row r="3052" spans="1:21">
      <c r="A3052">
        <v>3051</v>
      </c>
      <c r="B3052" s="30" t="s">
        <v>1587</v>
      </c>
      <c r="D3052" s="30" t="s">
        <v>1588</v>
      </c>
      <c r="F3052" s="30" t="s">
        <v>1591</v>
      </c>
      <c r="H3052" s="30" t="s">
        <v>1592</v>
      </c>
      <c r="M3052" s="30" t="s">
        <v>934</v>
      </c>
      <c r="N3052" s="30" t="s">
        <v>665</v>
      </c>
      <c r="P3052" s="30" t="s">
        <v>6578</v>
      </c>
      <c r="Q3052" t="s">
        <v>619</v>
      </c>
      <c r="R3052" t="s">
        <v>917</v>
      </c>
      <c r="S3052">
        <v>37</v>
      </c>
      <c r="T3052" s="29" t="str">
        <f t="shared" si="135"/>
        <v>2021.057B.R.Nclasvirinae.zip</v>
      </c>
      <c r="U3052" s="29" t="str">
        <f>HYPERLINK("https://ictv.global/taxonomy/taxondetails?taxnode_id=202312780","ictv.global=202312780")</f>
        <v>ictv.global=202312780</v>
      </c>
    </row>
    <row r="3053" spans="1:21">
      <c r="A3053">
        <v>3052</v>
      </c>
      <c r="B3053" s="30" t="s">
        <v>1587</v>
      </c>
      <c r="D3053" s="30" t="s">
        <v>1588</v>
      </c>
      <c r="F3053" s="30" t="s">
        <v>1591</v>
      </c>
      <c r="H3053" s="30" t="s">
        <v>1592</v>
      </c>
      <c r="M3053" s="30" t="s">
        <v>934</v>
      </c>
      <c r="N3053" s="30" t="s">
        <v>665</v>
      </c>
      <c r="P3053" s="30" t="s">
        <v>6579</v>
      </c>
      <c r="Q3053" t="s">
        <v>619</v>
      </c>
      <c r="R3053" t="s">
        <v>917</v>
      </c>
      <c r="S3053">
        <v>37</v>
      </c>
      <c r="T3053" s="29" t="str">
        <f t="shared" si="135"/>
        <v>2021.057B.R.Nclasvirinae.zip</v>
      </c>
      <c r="U3053" s="29" t="str">
        <f>HYPERLINK("https://ictv.global/taxonomy/taxondetails?taxnode_id=202312783","ictv.global=202312783")</f>
        <v>ictv.global=202312783</v>
      </c>
    </row>
    <row r="3054" spans="1:21">
      <c r="A3054">
        <v>3053</v>
      </c>
      <c r="B3054" s="30" t="s">
        <v>1587</v>
      </c>
      <c r="D3054" s="30" t="s">
        <v>1588</v>
      </c>
      <c r="F3054" s="30" t="s">
        <v>1591</v>
      </c>
      <c r="H3054" s="30" t="s">
        <v>1592</v>
      </c>
      <c r="M3054" s="30" t="s">
        <v>934</v>
      </c>
      <c r="N3054" s="30" t="s">
        <v>665</v>
      </c>
      <c r="P3054" s="30" t="s">
        <v>6580</v>
      </c>
      <c r="Q3054" t="s">
        <v>619</v>
      </c>
      <c r="R3054" t="s">
        <v>917</v>
      </c>
      <c r="S3054">
        <v>37</v>
      </c>
      <c r="T3054" s="29" t="str">
        <f t="shared" si="135"/>
        <v>2021.057B.R.Nclasvirinae.zip</v>
      </c>
      <c r="U3054" s="29" t="str">
        <f>HYPERLINK("https://ictv.global/taxonomy/taxondetails?taxnode_id=202312778","ictv.global=202312778")</f>
        <v>ictv.global=202312778</v>
      </c>
    </row>
    <row r="3055" spans="1:21">
      <c r="A3055">
        <v>3054</v>
      </c>
      <c r="B3055" s="30" t="s">
        <v>1587</v>
      </c>
      <c r="D3055" s="30" t="s">
        <v>1588</v>
      </c>
      <c r="F3055" s="30" t="s">
        <v>1591</v>
      </c>
      <c r="H3055" s="30" t="s">
        <v>1592</v>
      </c>
      <c r="M3055" s="30" t="s">
        <v>934</v>
      </c>
      <c r="N3055" s="30" t="s">
        <v>665</v>
      </c>
      <c r="P3055" s="30" t="s">
        <v>6581</v>
      </c>
      <c r="Q3055" t="s">
        <v>619</v>
      </c>
      <c r="R3055" t="s">
        <v>918</v>
      </c>
      <c r="S3055">
        <v>37</v>
      </c>
      <c r="T3055" s="29" t="str">
        <f t="shared" si="135"/>
        <v>2021.057B.R.Nclasvirinae.zip</v>
      </c>
      <c r="U3055" s="29" t="str">
        <f>HYPERLINK("https://ictv.global/taxonomy/taxondetails?taxnode_id=202305529","ictv.global=202305529")</f>
        <v>ictv.global=202305529</v>
      </c>
    </row>
    <row r="3056" spans="1:21">
      <c r="A3056">
        <v>3055</v>
      </c>
      <c r="B3056" s="30" t="s">
        <v>1587</v>
      </c>
      <c r="D3056" s="30" t="s">
        <v>1588</v>
      </c>
      <c r="F3056" s="30" t="s">
        <v>1591</v>
      </c>
      <c r="H3056" s="30" t="s">
        <v>1592</v>
      </c>
      <c r="M3056" s="30" t="s">
        <v>934</v>
      </c>
      <c r="N3056" s="30" t="s">
        <v>665</v>
      </c>
      <c r="P3056" s="30" t="s">
        <v>6582</v>
      </c>
      <c r="Q3056" t="s">
        <v>619</v>
      </c>
      <c r="R3056" t="s">
        <v>918</v>
      </c>
      <c r="S3056">
        <v>37</v>
      </c>
      <c r="T3056" s="29" t="str">
        <f t="shared" si="135"/>
        <v>2021.057B.R.Nclasvirinae.zip</v>
      </c>
      <c r="U3056" s="29" t="str">
        <f>HYPERLINK("https://ictv.global/taxonomy/taxondetails?taxnode_id=202305533","ictv.global=202305533")</f>
        <v>ictv.global=202305533</v>
      </c>
    </row>
    <row r="3057" spans="1:21">
      <c r="A3057">
        <v>3056</v>
      </c>
      <c r="B3057" s="30" t="s">
        <v>1587</v>
      </c>
      <c r="D3057" s="30" t="s">
        <v>1588</v>
      </c>
      <c r="F3057" s="30" t="s">
        <v>1591</v>
      </c>
      <c r="H3057" s="30" t="s">
        <v>1592</v>
      </c>
      <c r="M3057" s="30" t="s">
        <v>934</v>
      </c>
      <c r="N3057" s="30" t="s">
        <v>665</v>
      </c>
      <c r="P3057" s="30" t="s">
        <v>6583</v>
      </c>
      <c r="Q3057" t="s">
        <v>619</v>
      </c>
      <c r="R3057" t="s">
        <v>917</v>
      </c>
      <c r="S3057">
        <v>37</v>
      </c>
      <c r="T3057" s="29" t="str">
        <f t="shared" si="135"/>
        <v>2021.057B.R.Nclasvirinae.zip</v>
      </c>
      <c r="U3057" s="29" t="str">
        <f>HYPERLINK("https://ictv.global/taxonomy/taxondetails?taxnode_id=202312776","ictv.global=202312776")</f>
        <v>ictv.global=202312776</v>
      </c>
    </row>
    <row r="3058" spans="1:21">
      <c r="A3058">
        <v>3057</v>
      </c>
      <c r="B3058" s="30" t="s">
        <v>1587</v>
      </c>
      <c r="D3058" s="30" t="s">
        <v>1588</v>
      </c>
      <c r="F3058" s="30" t="s">
        <v>1591</v>
      </c>
      <c r="H3058" s="30" t="s">
        <v>1592</v>
      </c>
      <c r="M3058" s="30" t="s">
        <v>934</v>
      </c>
      <c r="N3058" s="30" t="s">
        <v>665</v>
      </c>
      <c r="P3058" s="30" t="s">
        <v>6584</v>
      </c>
      <c r="Q3058" t="s">
        <v>619</v>
      </c>
      <c r="R3058" t="s">
        <v>918</v>
      </c>
      <c r="S3058">
        <v>37</v>
      </c>
      <c r="T3058" s="29" t="str">
        <f t="shared" si="135"/>
        <v>2021.057B.R.Nclasvirinae.zip</v>
      </c>
      <c r="U3058" s="29" t="str">
        <f>HYPERLINK("https://ictv.global/taxonomy/taxondetails?taxnode_id=202305534","ictv.global=202305534")</f>
        <v>ictv.global=202305534</v>
      </c>
    </row>
    <row r="3059" spans="1:21">
      <c r="A3059">
        <v>3058</v>
      </c>
      <c r="B3059" s="30" t="s">
        <v>1587</v>
      </c>
      <c r="D3059" s="30" t="s">
        <v>1588</v>
      </c>
      <c r="F3059" s="30" t="s">
        <v>1591</v>
      </c>
      <c r="H3059" s="30" t="s">
        <v>1592</v>
      </c>
      <c r="M3059" s="30" t="s">
        <v>934</v>
      </c>
      <c r="N3059" s="30" t="s">
        <v>665</v>
      </c>
      <c r="P3059" s="30" t="s">
        <v>6585</v>
      </c>
      <c r="Q3059" t="s">
        <v>619</v>
      </c>
      <c r="R3059" t="s">
        <v>918</v>
      </c>
      <c r="S3059">
        <v>37</v>
      </c>
      <c r="T3059" s="29" t="str">
        <f t="shared" si="135"/>
        <v>2021.057B.R.Nclasvirinae.zip</v>
      </c>
      <c r="U3059" s="29" t="str">
        <f>HYPERLINK("https://ictv.global/taxonomy/taxondetails?taxnode_id=202305531","ictv.global=202305531")</f>
        <v>ictv.global=202305531</v>
      </c>
    </row>
    <row r="3060" spans="1:21">
      <c r="A3060">
        <v>3059</v>
      </c>
      <c r="B3060" s="30" t="s">
        <v>1587</v>
      </c>
      <c r="D3060" s="30" t="s">
        <v>1588</v>
      </c>
      <c r="F3060" s="30" t="s">
        <v>1591</v>
      </c>
      <c r="H3060" s="30" t="s">
        <v>1592</v>
      </c>
      <c r="M3060" s="30" t="s">
        <v>934</v>
      </c>
      <c r="N3060" s="30" t="s">
        <v>665</v>
      </c>
      <c r="P3060" s="30" t="s">
        <v>6586</v>
      </c>
      <c r="Q3060" t="s">
        <v>619</v>
      </c>
      <c r="R3060" t="s">
        <v>917</v>
      </c>
      <c r="S3060">
        <v>37</v>
      </c>
      <c r="T3060" s="29" t="str">
        <f t="shared" si="135"/>
        <v>2021.057B.R.Nclasvirinae.zip</v>
      </c>
      <c r="U3060" s="29" t="str">
        <f>HYPERLINK("https://ictv.global/taxonomy/taxondetails?taxnode_id=202312775","ictv.global=202312775")</f>
        <v>ictv.global=202312775</v>
      </c>
    </row>
    <row r="3061" spans="1:21">
      <c r="A3061">
        <v>3060</v>
      </c>
      <c r="B3061" s="30" t="s">
        <v>1587</v>
      </c>
      <c r="D3061" s="30" t="s">
        <v>1588</v>
      </c>
      <c r="F3061" s="30" t="s">
        <v>1591</v>
      </c>
      <c r="H3061" s="30" t="s">
        <v>1592</v>
      </c>
      <c r="M3061" s="30" t="s">
        <v>934</v>
      </c>
      <c r="N3061" s="30" t="s">
        <v>665</v>
      </c>
      <c r="P3061" s="30" t="s">
        <v>6587</v>
      </c>
      <c r="Q3061" t="s">
        <v>619</v>
      </c>
      <c r="R3061" t="s">
        <v>917</v>
      </c>
      <c r="S3061">
        <v>37</v>
      </c>
      <c r="T3061" s="29" t="str">
        <f t="shared" si="135"/>
        <v>2021.057B.R.Nclasvirinae.zip</v>
      </c>
      <c r="U3061" s="29" t="str">
        <f>HYPERLINK("https://ictv.global/taxonomy/taxondetails?taxnode_id=202312781","ictv.global=202312781")</f>
        <v>ictv.global=202312781</v>
      </c>
    </row>
    <row r="3062" spans="1:21">
      <c r="A3062">
        <v>3061</v>
      </c>
      <c r="B3062" s="30" t="s">
        <v>1587</v>
      </c>
      <c r="D3062" s="30" t="s">
        <v>1588</v>
      </c>
      <c r="F3062" s="30" t="s">
        <v>1591</v>
      </c>
      <c r="H3062" s="30" t="s">
        <v>1592</v>
      </c>
      <c r="M3062" s="30" t="s">
        <v>934</v>
      </c>
      <c r="N3062" s="30" t="s">
        <v>665</v>
      </c>
      <c r="P3062" s="30" t="s">
        <v>6588</v>
      </c>
      <c r="Q3062" t="s">
        <v>619</v>
      </c>
      <c r="R3062" t="s">
        <v>918</v>
      </c>
      <c r="S3062">
        <v>37</v>
      </c>
      <c r="T3062" s="29" t="str">
        <f t="shared" si="135"/>
        <v>2021.057B.R.Nclasvirinae.zip</v>
      </c>
      <c r="U3062" s="29" t="str">
        <f>HYPERLINK("https://ictv.global/taxonomy/taxondetails?taxnode_id=202300889","ictv.global=202300889")</f>
        <v>ictv.global=202300889</v>
      </c>
    </row>
    <row r="3063" spans="1:21">
      <c r="A3063">
        <v>3062</v>
      </c>
      <c r="B3063" s="30" t="s">
        <v>1587</v>
      </c>
      <c r="D3063" s="30" t="s">
        <v>1588</v>
      </c>
      <c r="F3063" s="30" t="s">
        <v>1591</v>
      </c>
      <c r="H3063" s="30" t="s">
        <v>1592</v>
      </c>
      <c r="M3063" s="30" t="s">
        <v>934</v>
      </c>
      <c r="N3063" s="30" t="s">
        <v>665</v>
      </c>
      <c r="P3063" s="30" t="s">
        <v>6589</v>
      </c>
      <c r="Q3063" t="s">
        <v>619</v>
      </c>
      <c r="R3063" t="s">
        <v>918</v>
      </c>
      <c r="S3063">
        <v>37</v>
      </c>
      <c r="T3063" s="29" t="str">
        <f t="shared" si="135"/>
        <v>2021.057B.R.Nclasvirinae.zip</v>
      </c>
      <c r="U3063" s="29" t="str">
        <f>HYPERLINK("https://ictv.global/taxonomy/taxondetails?taxnode_id=202305535","ictv.global=202305535")</f>
        <v>ictv.global=202305535</v>
      </c>
    </row>
    <row r="3064" spans="1:21">
      <c r="A3064">
        <v>3063</v>
      </c>
      <c r="B3064" s="30" t="s">
        <v>1587</v>
      </c>
      <c r="D3064" s="30" t="s">
        <v>1588</v>
      </c>
      <c r="F3064" s="30" t="s">
        <v>1591</v>
      </c>
      <c r="H3064" s="30" t="s">
        <v>1592</v>
      </c>
      <c r="M3064" s="30" t="s">
        <v>934</v>
      </c>
      <c r="N3064" s="30" t="s">
        <v>665</v>
      </c>
      <c r="P3064" s="30" t="s">
        <v>6590</v>
      </c>
      <c r="Q3064" t="s">
        <v>619</v>
      </c>
      <c r="R3064" t="s">
        <v>917</v>
      </c>
      <c r="S3064">
        <v>37</v>
      </c>
      <c r="T3064" s="29" t="str">
        <f t="shared" si="135"/>
        <v>2021.057B.R.Nclasvirinae.zip</v>
      </c>
      <c r="U3064" s="29" t="str">
        <f>HYPERLINK("https://ictv.global/taxonomy/taxondetails?taxnode_id=202312782","ictv.global=202312782")</f>
        <v>ictv.global=202312782</v>
      </c>
    </row>
    <row r="3065" spans="1:21">
      <c r="A3065">
        <v>3064</v>
      </c>
      <c r="B3065" s="30" t="s">
        <v>1587</v>
      </c>
      <c r="D3065" s="30" t="s">
        <v>1588</v>
      </c>
      <c r="F3065" s="30" t="s">
        <v>1591</v>
      </c>
      <c r="H3065" s="30" t="s">
        <v>1592</v>
      </c>
      <c r="M3065" s="30" t="s">
        <v>934</v>
      </c>
      <c r="N3065" s="30" t="s">
        <v>665</v>
      </c>
      <c r="P3065" s="30" t="s">
        <v>6591</v>
      </c>
      <c r="Q3065" t="s">
        <v>619</v>
      </c>
      <c r="R3065" t="s">
        <v>918</v>
      </c>
      <c r="S3065">
        <v>37</v>
      </c>
      <c r="T3065" s="29" t="str">
        <f t="shared" si="135"/>
        <v>2021.057B.R.Nclasvirinae.zip</v>
      </c>
      <c r="U3065" s="29" t="str">
        <f>HYPERLINK("https://ictv.global/taxonomy/taxondetails?taxnode_id=202305532","ictv.global=202305532")</f>
        <v>ictv.global=202305532</v>
      </c>
    </row>
    <row r="3066" spans="1:21">
      <c r="A3066">
        <v>3065</v>
      </c>
      <c r="B3066" s="30" t="s">
        <v>1587</v>
      </c>
      <c r="D3066" s="30" t="s">
        <v>1588</v>
      </c>
      <c r="F3066" s="30" t="s">
        <v>1591</v>
      </c>
      <c r="H3066" s="30" t="s">
        <v>1592</v>
      </c>
      <c r="M3066" s="30" t="s">
        <v>935</v>
      </c>
      <c r="N3066" s="30" t="s">
        <v>6592</v>
      </c>
      <c r="P3066" s="30" t="s">
        <v>6593</v>
      </c>
      <c r="Q3066" t="s">
        <v>619</v>
      </c>
      <c r="R3066" t="s">
        <v>917</v>
      </c>
      <c r="S3066">
        <v>38</v>
      </c>
      <c r="T3066" s="29" t="str">
        <f t="shared" ref="T3066:T3073" si="136">HYPERLINK("https://ictv.global/ictv/proposals/2022.084B.Caudoviricetes_6ng_33nsp.zip","2022.084B.Caudoviricetes_6ng_33nsp.zip")</f>
        <v>2022.084B.Caudoviricetes_6ng_33nsp.zip</v>
      </c>
      <c r="U3066" s="29" t="str">
        <f>HYPERLINK("https://ictv.global/taxonomy/taxondetails?taxnode_id=202314901","ictv.global=202314901")</f>
        <v>ictv.global=202314901</v>
      </c>
    </row>
    <row r="3067" spans="1:21">
      <c r="A3067">
        <v>3066</v>
      </c>
      <c r="B3067" s="30" t="s">
        <v>1587</v>
      </c>
      <c r="D3067" s="30" t="s">
        <v>1588</v>
      </c>
      <c r="F3067" s="30" t="s">
        <v>1591</v>
      </c>
      <c r="H3067" s="30" t="s">
        <v>1592</v>
      </c>
      <c r="M3067" s="30" t="s">
        <v>935</v>
      </c>
      <c r="N3067" s="30" t="s">
        <v>6592</v>
      </c>
      <c r="P3067" s="30" t="s">
        <v>6594</v>
      </c>
      <c r="Q3067" t="s">
        <v>619</v>
      </c>
      <c r="R3067" t="s">
        <v>920</v>
      </c>
      <c r="S3067">
        <v>38</v>
      </c>
      <c r="T3067" s="29" t="str">
        <f t="shared" si="136"/>
        <v>2022.084B.Caudoviricetes_6ng_33nsp.zip</v>
      </c>
      <c r="U3067" s="29" t="str">
        <f>HYPERLINK("https://ictv.global/taxonomy/taxondetails?taxnode_id=202305498","ictv.global=202305498")</f>
        <v>ictv.global=202305498</v>
      </c>
    </row>
    <row r="3068" spans="1:21">
      <c r="A3068">
        <v>3067</v>
      </c>
      <c r="B3068" s="30" t="s">
        <v>1587</v>
      </c>
      <c r="D3068" s="30" t="s">
        <v>1588</v>
      </c>
      <c r="F3068" s="30" t="s">
        <v>1591</v>
      </c>
      <c r="H3068" s="30" t="s">
        <v>1592</v>
      </c>
      <c r="M3068" s="30" t="s">
        <v>935</v>
      </c>
      <c r="N3068" s="30" t="s">
        <v>6592</v>
      </c>
      <c r="P3068" s="30" t="s">
        <v>6595</v>
      </c>
      <c r="Q3068" t="s">
        <v>619</v>
      </c>
      <c r="R3068" t="s">
        <v>920</v>
      </c>
      <c r="S3068">
        <v>38</v>
      </c>
      <c r="T3068" s="29" t="str">
        <f t="shared" si="136"/>
        <v>2022.084B.Caudoviricetes_6ng_33nsp.zip</v>
      </c>
      <c r="U3068" s="29" t="str">
        <f>HYPERLINK("https://ictv.global/taxonomy/taxondetails?taxnode_id=202305499","ictv.global=202305499")</f>
        <v>ictv.global=202305499</v>
      </c>
    </row>
    <row r="3069" spans="1:21">
      <c r="A3069">
        <v>3068</v>
      </c>
      <c r="B3069" s="30" t="s">
        <v>1587</v>
      </c>
      <c r="D3069" s="30" t="s">
        <v>1588</v>
      </c>
      <c r="F3069" s="30" t="s">
        <v>1591</v>
      </c>
      <c r="H3069" s="30" t="s">
        <v>1592</v>
      </c>
      <c r="M3069" s="30" t="s">
        <v>935</v>
      </c>
      <c r="N3069" s="30" t="s">
        <v>936</v>
      </c>
      <c r="P3069" s="30" t="s">
        <v>6596</v>
      </c>
      <c r="Q3069" t="s">
        <v>619</v>
      </c>
      <c r="R3069" t="s">
        <v>917</v>
      </c>
      <c r="S3069">
        <v>38</v>
      </c>
      <c r="T3069" s="29" t="str">
        <f t="shared" si="136"/>
        <v>2022.084B.Caudoviricetes_6ng_33nsp.zip</v>
      </c>
      <c r="U3069" s="29" t="str">
        <f>HYPERLINK("https://ictv.global/taxonomy/taxondetails?taxnode_id=202314897","ictv.global=202314897")</f>
        <v>ictv.global=202314897</v>
      </c>
    </row>
    <row r="3070" spans="1:21">
      <c r="A3070">
        <v>3069</v>
      </c>
      <c r="B3070" s="30" t="s">
        <v>1587</v>
      </c>
      <c r="D3070" s="30" t="s">
        <v>1588</v>
      </c>
      <c r="F3070" s="30" t="s">
        <v>1591</v>
      </c>
      <c r="H3070" s="30" t="s">
        <v>1592</v>
      </c>
      <c r="M3070" s="30" t="s">
        <v>935</v>
      </c>
      <c r="N3070" s="30" t="s">
        <v>936</v>
      </c>
      <c r="P3070" s="30" t="s">
        <v>6597</v>
      </c>
      <c r="Q3070" t="s">
        <v>619</v>
      </c>
      <c r="R3070" t="s">
        <v>917</v>
      </c>
      <c r="S3070">
        <v>38</v>
      </c>
      <c r="T3070" s="29" t="str">
        <f t="shared" si="136"/>
        <v>2022.084B.Caudoviricetes_6ng_33nsp.zip</v>
      </c>
      <c r="U3070" s="29" t="str">
        <f>HYPERLINK("https://ictv.global/taxonomy/taxondetails?taxnode_id=202314895","ictv.global=202314895")</f>
        <v>ictv.global=202314895</v>
      </c>
    </row>
    <row r="3071" spans="1:21">
      <c r="A3071">
        <v>3070</v>
      </c>
      <c r="B3071" s="30" t="s">
        <v>1587</v>
      </c>
      <c r="D3071" s="30" t="s">
        <v>1588</v>
      </c>
      <c r="F3071" s="30" t="s">
        <v>1591</v>
      </c>
      <c r="H3071" s="30" t="s">
        <v>1592</v>
      </c>
      <c r="M3071" s="30" t="s">
        <v>935</v>
      </c>
      <c r="N3071" s="30" t="s">
        <v>936</v>
      </c>
      <c r="P3071" s="30" t="s">
        <v>6598</v>
      </c>
      <c r="Q3071" t="s">
        <v>619</v>
      </c>
      <c r="R3071" t="s">
        <v>917</v>
      </c>
      <c r="S3071">
        <v>38</v>
      </c>
      <c r="T3071" s="29" t="str">
        <f t="shared" si="136"/>
        <v>2022.084B.Caudoviricetes_6ng_33nsp.zip</v>
      </c>
      <c r="U3071" s="29" t="str">
        <f>HYPERLINK("https://ictv.global/taxonomy/taxondetails?taxnode_id=202314900","ictv.global=202314900")</f>
        <v>ictv.global=202314900</v>
      </c>
    </row>
    <row r="3072" spans="1:21">
      <c r="A3072">
        <v>3071</v>
      </c>
      <c r="B3072" s="30" t="s">
        <v>1587</v>
      </c>
      <c r="D3072" s="30" t="s">
        <v>1588</v>
      </c>
      <c r="F3072" s="30" t="s">
        <v>1591</v>
      </c>
      <c r="H3072" s="30" t="s">
        <v>1592</v>
      </c>
      <c r="M3072" s="30" t="s">
        <v>935</v>
      </c>
      <c r="N3072" s="30" t="s">
        <v>936</v>
      </c>
      <c r="P3072" s="30" t="s">
        <v>6599</v>
      </c>
      <c r="Q3072" t="s">
        <v>619</v>
      </c>
      <c r="R3072" t="s">
        <v>917</v>
      </c>
      <c r="S3072">
        <v>38</v>
      </c>
      <c r="T3072" s="29" t="str">
        <f t="shared" si="136"/>
        <v>2022.084B.Caudoviricetes_6ng_33nsp.zip</v>
      </c>
      <c r="U3072" s="29" t="str">
        <f>HYPERLINK("https://ictv.global/taxonomy/taxondetails?taxnode_id=202314892","ictv.global=202314892")</f>
        <v>ictv.global=202314892</v>
      </c>
    </row>
    <row r="3073" spans="1:21">
      <c r="A3073">
        <v>3072</v>
      </c>
      <c r="B3073" s="30" t="s">
        <v>1587</v>
      </c>
      <c r="D3073" s="30" t="s">
        <v>1588</v>
      </c>
      <c r="F3073" s="30" t="s">
        <v>1591</v>
      </c>
      <c r="H3073" s="30" t="s">
        <v>1592</v>
      </c>
      <c r="M3073" s="30" t="s">
        <v>935</v>
      </c>
      <c r="N3073" s="30" t="s">
        <v>936</v>
      </c>
      <c r="P3073" s="30" t="s">
        <v>6600</v>
      </c>
      <c r="Q3073" t="s">
        <v>619</v>
      </c>
      <c r="R3073" t="s">
        <v>917</v>
      </c>
      <c r="S3073">
        <v>38</v>
      </c>
      <c r="T3073" s="29" t="str">
        <f t="shared" si="136"/>
        <v>2022.084B.Caudoviricetes_6ng_33nsp.zip</v>
      </c>
      <c r="U3073" s="29" t="str">
        <f>HYPERLINK("https://ictv.global/taxonomy/taxondetails?taxnode_id=202314896","ictv.global=202314896")</f>
        <v>ictv.global=202314896</v>
      </c>
    </row>
    <row r="3074" spans="1:21">
      <c r="A3074">
        <v>3073</v>
      </c>
      <c r="B3074" s="30" t="s">
        <v>1587</v>
      </c>
      <c r="D3074" s="30" t="s">
        <v>1588</v>
      </c>
      <c r="F3074" s="30" t="s">
        <v>1591</v>
      </c>
      <c r="H3074" s="30" t="s">
        <v>1592</v>
      </c>
      <c r="M3074" s="30" t="s">
        <v>935</v>
      </c>
      <c r="N3074" s="30" t="s">
        <v>936</v>
      </c>
      <c r="P3074" s="30" t="s">
        <v>6601</v>
      </c>
      <c r="Q3074" t="s">
        <v>619</v>
      </c>
      <c r="R3074" t="s">
        <v>918</v>
      </c>
      <c r="S3074">
        <v>37</v>
      </c>
      <c r="T3074" s="29" t="str">
        <f>HYPERLINK("https://ictv.global/ictv/proposals/2021.010B.R.Binomial_names.zip","2021.010B.R.Binomial_names.zip")</f>
        <v>2021.010B.R.Binomial_names.zip</v>
      </c>
      <c r="U3074" s="29" t="str">
        <f>HYPERLINK("https://ictv.global/taxonomy/taxondetails?taxnode_id=202305501","ictv.global=202305501")</f>
        <v>ictv.global=202305501</v>
      </c>
    </row>
    <row r="3075" spans="1:21">
      <c r="A3075">
        <v>3074</v>
      </c>
      <c r="B3075" s="30" t="s">
        <v>1587</v>
      </c>
      <c r="D3075" s="30" t="s">
        <v>1588</v>
      </c>
      <c r="F3075" s="30" t="s">
        <v>1591</v>
      </c>
      <c r="H3075" s="30" t="s">
        <v>1592</v>
      </c>
      <c r="M3075" s="30" t="s">
        <v>935</v>
      </c>
      <c r="N3075" s="30" t="s">
        <v>936</v>
      </c>
      <c r="P3075" s="30" t="s">
        <v>6602</v>
      </c>
      <c r="Q3075" t="s">
        <v>619</v>
      </c>
      <c r="R3075" t="s">
        <v>917</v>
      </c>
      <c r="S3075">
        <v>38</v>
      </c>
      <c r="T3075" s="29" t="str">
        <f>HYPERLINK("https://ictv.global/ictv/proposals/2022.084B.Caudoviricetes_6ng_33nsp.zip","2022.084B.Caudoviricetes_6ng_33nsp.zip")</f>
        <v>2022.084B.Caudoviricetes_6ng_33nsp.zip</v>
      </c>
      <c r="U3075" s="29" t="str">
        <f>HYPERLINK("https://ictv.global/taxonomy/taxondetails?taxnode_id=202314893","ictv.global=202314893")</f>
        <v>ictv.global=202314893</v>
      </c>
    </row>
    <row r="3076" spans="1:21">
      <c r="A3076">
        <v>3075</v>
      </c>
      <c r="B3076" s="30" t="s">
        <v>1587</v>
      </c>
      <c r="D3076" s="30" t="s">
        <v>1588</v>
      </c>
      <c r="F3076" s="30" t="s">
        <v>1591</v>
      </c>
      <c r="H3076" s="30" t="s">
        <v>1592</v>
      </c>
      <c r="M3076" s="30" t="s">
        <v>935</v>
      </c>
      <c r="N3076" s="30" t="s">
        <v>936</v>
      </c>
      <c r="P3076" s="30" t="s">
        <v>6603</v>
      </c>
      <c r="Q3076" t="s">
        <v>619</v>
      </c>
      <c r="R3076" t="s">
        <v>917</v>
      </c>
      <c r="S3076">
        <v>38</v>
      </c>
      <c r="T3076" s="29" t="str">
        <f>HYPERLINK("https://ictv.global/ictv/proposals/2022.084B.Caudoviricetes_6ng_33nsp.zip","2022.084B.Caudoviricetes_6ng_33nsp.zip")</f>
        <v>2022.084B.Caudoviricetes_6ng_33nsp.zip</v>
      </c>
      <c r="U3076" s="29" t="str">
        <f>HYPERLINK("https://ictv.global/taxonomy/taxondetails?taxnode_id=202314899","ictv.global=202314899")</f>
        <v>ictv.global=202314899</v>
      </c>
    </row>
    <row r="3077" spans="1:21">
      <c r="A3077">
        <v>3076</v>
      </c>
      <c r="B3077" s="30" t="s">
        <v>1587</v>
      </c>
      <c r="D3077" s="30" t="s">
        <v>1588</v>
      </c>
      <c r="F3077" s="30" t="s">
        <v>1591</v>
      </c>
      <c r="H3077" s="30" t="s">
        <v>1592</v>
      </c>
      <c r="M3077" s="30" t="s">
        <v>935</v>
      </c>
      <c r="N3077" s="30" t="s">
        <v>936</v>
      </c>
      <c r="P3077" s="30" t="s">
        <v>6604</v>
      </c>
      <c r="Q3077" t="s">
        <v>619</v>
      </c>
      <c r="R3077" t="s">
        <v>918</v>
      </c>
      <c r="S3077">
        <v>37</v>
      </c>
      <c r="T3077" s="29" t="str">
        <f>HYPERLINK("https://ictv.global/ictv/proposals/2021.010B.R.Binomial_names.zip","2021.010B.R.Binomial_names.zip")</f>
        <v>2021.010B.R.Binomial_names.zip</v>
      </c>
      <c r="U3077" s="29" t="str">
        <f>HYPERLINK("https://ictv.global/taxonomy/taxondetails?taxnode_id=202305503","ictv.global=202305503")</f>
        <v>ictv.global=202305503</v>
      </c>
    </row>
    <row r="3078" spans="1:21">
      <c r="A3078">
        <v>3077</v>
      </c>
      <c r="B3078" s="30" t="s">
        <v>1587</v>
      </c>
      <c r="D3078" s="30" t="s">
        <v>1588</v>
      </c>
      <c r="F3078" s="30" t="s">
        <v>1591</v>
      </c>
      <c r="H3078" s="30" t="s">
        <v>1592</v>
      </c>
      <c r="M3078" s="30" t="s">
        <v>935</v>
      </c>
      <c r="N3078" s="30" t="s">
        <v>936</v>
      </c>
      <c r="P3078" s="30" t="s">
        <v>6605</v>
      </c>
      <c r="Q3078" t="s">
        <v>619</v>
      </c>
      <c r="R3078" t="s">
        <v>917</v>
      </c>
      <c r="S3078">
        <v>38</v>
      </c>
      <c r="T3078" s="29" t="str">
        <f>HYPERLINK("https://ictv.global/ictv/proposals/2022.084B.Caudoviricetes_6ng_33nsp.zip","2022.084B.Caudoviricetes_6ng_33nsp.zip")</f>
        <v>2022.084B.Caudoviricetes_6ng_33nsp.zip</v>
      </c>
      <c r="U3078" s="29" t="str">
        <f>HYPERLINK("https://ictv.global/taxonomy/taxondetails?taxnode_id=202314898","ictv.global=202314898")</f>
        <v>ictv.global=202314898</v>
      </c>
    </row>
    <row r="3079" spans="1:21">
      <c r="A3079">
        <v>3078</v>
      </c>
      <c r="B3079" s="30" t="s">
        <v>1587</v>
      </c>
      <c r="D3079" s="30" t="s">
        <v>1588</v>
      </c>
      <c r="F3079" s="30" t="s">
        <v>1591</v>
      </c>
      <c r="H3079" s="30" t="s">
        <v>1592</v>
      </c>
      <c r="M3079" s="30" t="s">
        <v>935</v>
      </c>
      <c r="N3079" s="30" t="s">
        <v>936</v>
      </c>
      <c r="P3079" s="30" t="s">
        <v>6606</v>
      </c>
      <c r="Q3079" t="s">
        <v>619</v>
      </c>
      <c r="R3079" t="s">
        <v>917</v>
      </c>
      <c r="S3079">
        <v>38</v>
      </c>
      <c r="T3079" s="29" t="str">
        <f>HYPERLINK("https://ictv.global/ictv/proposals/2022.084B.Caudoviricetes_6ng_33nsp.zip","2022.084B.Caudoviricetes_6ng_33nsp.zip")</f>
        <v>2022.084B.Caudoviricetes_6ng_33nsp.zip</v>
      </c>
      <c r="U3079" s="29" t="str">
        <f>HYPERLINK("https://ictv.global/taxonomy/taxondetails?taxnode_id=202314894","ictv.global=202314894")</f>
        <v>ictv.global=202314894</v>
      </c>
    </row>
    <row r="3080" spans="1:21">
      <c r="A3080">
        <v>3079</v>
      </c>
      <c r="B3080" s="30" t="s">
        <v>1587</v>
      </c>
      <c r="D3080" s="30" t="s">
        <v>1588</v>
      </c>
      <c r="F3080" s="30" t="s">
        <v>1591</v>
      </c>
      <c r="H3080" s="30" t="s">
        <v>1592</v>
      </c>
      <c r="M3080" s="30" t="s">
        <v>935</v>
      </c>
      <c r="N3080" s="30" t="s">
        <v>936</v>
      </c>
      <c r="P3080" s="30" t="s">
        <v>6607</v>
      </c>
      <c r="Q3080" t="s">
        <v>619</v>
      </c>
      <c r="R3080" t="s">
        <v>918</v>
      </c>
      <c r="S3080">
        <v>37</v>
      </c>
      <c r="T3080" s="29" t="str">
        <f t="shared" ref="T3080:T3090" si="137">HYPERLINK("https://ictv.global/ictv/proposals/2021.010B.R.Binomial_names.zip","2021.010B.R.Binomial_names.zip")</f>
        <v>2021.010B.R.Binomial_names.zip</v>
      </c>
      <c r="U3080" s="29" t="str">
        <f>HYPERLINK("https://ictv.global/taxonomy/taxondetails?taxnode_id=202305502","ictv.global=202305502")</f>
        <v>ictv.global=202305502</v>
      </c>
    </row>
    <row r="3081" spans="1:21">
      <c r="A3081">
        <v>3080</v>
      </c>
      <c r="B3081" s="30" t="s">
        <v>1587</v>
      </c>
      <c r="D3081" s="30" t="s">
        <v>1588</v>
      </c>
      <c r="F3081" s="30" t="s">
        <v>1591</v>
      </c>
      <c r="H3081" s="30" t="s">
        <v>1592</v>
      </c>
      <c r="M3081" s="30" t="s">
        <v>817</v>
      </c>
      <c r="N3081" s="30" t="s">
        <v>1326</v>
      </c>
      <c r="P3081" s="30" t="s">
        <v>6608</v>
      </c>
      <c r="Q3081" t="s">
        <v>619</v>
      </c>
      <c r="R3081" t="s">
        <v>918</v>
      </c>
      <c r="S3081">
        <v>37</v>
      </c>
      <c r="T3081" s="29" t="str">
        <f t="shared" si="137"/>
        <v>2021.010B.R.Binomial_names.zip</v>
      </c>
      <c r="U3081" s="29" t="str">
        <f>HYPERLINK("https://ictv.global/taxonomy/taxondetails?taxnode_id=202307010","ictv.global=202307010")</f>
        <v>ictv.global=202307010</v>
      </c>
    </row>
    <row r="3082" spans="1:21">
      <c r="A3082">
        <v>3081</v>
      </c>
      <c r="B3082" s="30" t="s">
        <v>1587</v>
      </c>
      <c r="D3082" s="30" t="s">
        <v>1588</v>
      </c>
      <c r="F3082" s="30" t="s">
        <v>1591</v>
      </c>
      <c r="H3082" s="30" t="s">
        <v>1592</v>
      </c>
      <c r="M3082" s="30" t="s">
        <v>817</v>
      </c>
      <c r="N3082" s="30" t="s">
        <v>1326</v>
      </c>
      <c r="P3082" s="30" t="s">
        <v>6609</v>
      </c>
      <c r="Q3082" t="s">
        <v>619</v>
      </c>
      <c r="R3082" t="s">
        <v>918</v>
      </c>
      <c r="S3082">
        <v>37</v>
      </c>
      <c r="T3082" s="29" t="str">
        <f t="shared" si="137"/>
        <v>2021.010B.R.Binomial_names.zip</v>
      </c>
      <c r="U3082" s="29" t="str">
        <f>HYPERLINK("https://ictv.global/taxonomy/taxondetails?taxnode_id=202300208","ictv.global=202300208")</f>
        <v>ictv.global=202300208</v>
      </c>
    </row>
    <row r="3083" spans="1:21">
      <c r="A3083">
        <v>3082</v>
      </c>
      <c r="B3083" s="30" t="s">
        <v>1587</v>
      </c>
      <c r="D3083" s="30" t="s">
        <v>1588</v>
      </c>
      <c r="F3083" s="30" t="s">
        <v>1591</v>
      </c>
      <c r="H3083" s="30" t="s">
        <v>1592</v>
      </c>
      <c r="M3083" s="30" t="s">
        <v>817</v>
      </c>
      <c r="N3083" s="30" t="s">
        <v>1326</v>
      </c>
      <c r="P3083" s="30" t="s">
        <v>6610</v>
      </c>
      <c r="Q3083" t="s">
        <v>619</v>
      </c>
      <c r="R3083" t="s">
        <v>918</v>
      </c>
      <c r="S3083">
        <v>37</v>
      </c>
      <c r="T3083" s="29" t="str">
        <f t="shared" si="137"/>
        <v>2021.010B.R.Binomial_names.zip</v>
      </c>
      <c r="U3083" s="29" t="str">
        <f>HYPERLINK("https://ictv.global/taxonomy/taxondetails?taxnode_id=202307009","ictv.global=202307009")</f>
        <v>ictv.global=202307009</v>
      </c>
    </row>
    <row r="3084" spans="1:21">
      <c r="A3084">
        <v>3083</v>
      </c>
      <c r="B3084" s="30" t="s">
        <v>1587</v>
      </c>
      <c r="D3084" s="30" t="s">
        <v>1588</v>
      </c>
      <c r="F3084" s="30" t="s">
        <v>1591</v>
      </c>
      <c r="H3084" s="30" t="s">
        <v>1592</v>
      </c>
      <c r="M3084" s="30" t="s">
        <v>817</v>
      </c>
      <c r="N3084" s="30" t="s">
        <v>1326</v>
      </c>
      <c r="P3084" s="30" t="s">
        <v>6611</v>
      </c>
      <c r="Q3084" t="s">
        <v>619</v>
      </c>
      <c r="R3084" t="s">
        <v>918</v>
      </c>
      <c r="S3084">
        <v>37</v>
      </c>
      <c r="T3084" s="29" t="str">
        <f t="shared" si="137"/>
        <v>2021.010B.R.Binomial_names.zip</v>
      </c>
      <c r="U3084" s="29" t="str">
        <f>HYPERLINK("https://ictv.global/taxonomy/taxondetails?taxnode_id=202307007","ictv.global=202307007")</f>
        <v>ictv.global=202307007</v>
      </c>
    </row>
    <row r="3085" spans="1:21">
      <c r="A3085">
        <v>3084</v>
      </c>
      <c r="B3085" s="30" t="s">
        <v>1587</v>
      </c>
      <c r="D3085" s="30" t="s">
        <v>1588</v>
      </c>
      <c r="F3085" s="30" t="s">
        <v>1591</v>
      </c>
      <c r="H3085" s="30" t="s">
        <v>1592</v>
      </c>
      <c r="M3085" s="30" t="s">
        <v>817</v>
      </c>
      <c r="N3085" s="30" t="s">
        <v>1326</v>
      </c>
      <c r="P3085" s="30" t="s">
        <v>6612</v>
      </c>
      <c r="Q3085" t="s">
        <v>619</v>
      </c>
      <c r="R3085" t="s">
        <v>918</v>
      </c>
      <c r="S3085">
        <v>37</v>
      </c>
      <c r="T3085" s="29" t="str">
        <f t="shared" si="137"/>
        <v>2021.010B.R.Binomial_names.zip</v>
      </c>
      <c r="U3085" s="29" t="str">
        <f>HYPERLINK("https://ictv.global/taxonomy/taxondetails?taxnode_id=202307006","ictv.global=202307006")</f>
        <v>ictv.global=202307006</v>
      </c>
    </row>
    <row r="3086" spans="1:21">
      <c r="A3086">
        <v>3085</v>
      </c>
      <c r="B3086" s="30" t="s">
        <v>1587</v>
      </c>
      <c r="D3086" s="30" t="s">
        <v>1588</v>
      </c>
      <c r="F3086" s="30" t="s">
        <v>1591</v>
      </c>
      <c r="H3086" s="30" t="s">
        <v>1592</v>
      </c>
      <c r="M3086" s="30" t="s">
        <v>817</v>
      </c>
      <c r="N3086" s="30" t="s">
        <v>1326</v>
      </c>
      <c r="P3086" s="30" t="s">
        <v>6613</v>
      </c>
      <c r="Q3086" t="s">
        <v>619</v>
      </c>
      <c r="R3086" t="s">
        <v>918</v>
      </c>
      <c r="S3086">
        <v>37</v>
      </c>
      <c r="T3086" s="29" t="str">
        <f t="shared" si="137"/>
        <v>2021.010B.R.Binomial_names.zip</v>
      </c>
      <c r="U3086" s="29" t="str">
        <f>HYPERLINK("https://ictv.global/taxonomy/taxondetails?taxnode_id=202300209","ictv.global=202300209")</f>
        <v>ictv.global=202300209</v>
      </c>
    </row>
    <row r="3087" spans="1:21">
      <c r="A3087">
        <v>3086</v>
      </c>
      <c r="B3087" s="30" t="s">
        <v>1587</v>
      </c>
      <c r="D3087" s="30" t="s">
        <v>1588</v>
      </c>
      <c r="F3087" s="30" t="s">
        <v>1591</v>
      </c>
      <c r="H3087" s="30" t="s">
        <v>1592</v>
      </c>
      <c r="M3087" s="30" t="s">
        <v>817</v>
      </c>
      <c r="N3087" s="30" t="s">
        <v>1326</v>
      </c>
      <c r="P3087" s="30" t="s">
        <v>6614</v>
      </c>
      <c r="Q3087" t="s">
        <v>619</v>
      </c>
      <c r="R3087" t="s">
        <v>918</v>
      </c>
      <c r="S3087">
        <v>37</v>
      </c>
      <c r="T3087" s="29" t="str">
        <f t="shared" si="137"/>
        <v>2021.010B.R.Binomial_names.zip</v>
      </c>
      <c r="U3087" s="29" t="str">
        <f>HYPERLINK("https://ictv.global/taxonomy/taxondetails?taxnode_id=202300215","ictv.global=202300215")</f>
        <v>ictv.global=202300215</v>
      </c>
    </row>
    <row r="3088" spans="1:21">
      <c r="A3088">
        <v>3087</v>
      </c>
      <c r="B3088" s="30" t="s">
        <v>1587</v>
      </c>
      <c r="D3088" s="30" t="s">
        <v>1588</v>
      </c>
      <c r="F3088" s="30" t="s">
        <v>1591</v>
      </c>
      <c r="H3088" s="30" t="s">
        <v>1592</v>
      </c>
      <c r="M3088" s="30" t="s">
        <v>817</v>
      </c>
      <c r="N3088" s="30" t="s">
        <v>1326</v>
      </c>
      <c r="P3088" s="30" t="s">
        <v>6615</v>
      </c>
      <c r="Q3088" t="s">
        <v>619</v>
      </c>
      <c r="R3088" t="s">
        <v>918</v>
      </c>
      <c r="S3088">
        <v>37</v>
      </c>
      <c r="T3088" s="29" t="str">
        <f t="shared" si="137"/>
        <v>2021.010B.R.Binomial_names.zip</v>
      </c>
      <c r="U3088" s="29" t="str">
        <f>HYPERLINK("https://ictv.global/taxonomy/taxondetails?taxnode_id=202300210","ictv.global=202300210")</f>
        <v>ictv.global=202300210</v>
      </c>
    </row>
    <row r="3089" spans="1:21">
      <c r="A3089">
        <v>3088</v>
      </c>
      <c r="B3089" s="30" t="s">
        <v>1587</v>
      </c>
      <c r="D3089" s="30" t="s">
        <v>1588</v>
      </c>
      <c r="F3089" s="30" t="s">
        <v>1591</v>
      </c>
      <c r="H3089" s="30" t="s">
        <v>1592</v>
      </c>
      <c r="M3089" s="30" t="s">
        <v>817</v>
      </c>
      <c r="N3089" s="30" t="s">
        <v>1326</v>
      </c>
      <c r="P3089" s="30" t="s">
        <v>6616</v>
      </c>
      <c r="Q3089" t="s">
        <v>619</v>
      </c>
      <c r="R3089" t="s">
        <v>918</v>
      </c>
      <c r="S3089">
        <v>37</v>
      </c>
      <c r="T3089" s="29" t="str">
        <f t="shared" si="137"/>
        <v>2021.010B.R.Binomial_names.zip</v>
      </c>
      <c r="U3089" s="29" t="str">
        <f>HYPERLINK("https://ictv.global/taxonomy/taxondetails?taxnode_id=202300211","ictv.global=202300211")</f>
        <v>ictv.global=202300211</v>
      </c>
    </row>
    <row r="3090" spans="1:21">
      <c r="A3090">
        <v>3089</v>
      </c>
      <c r="B3090" s="30" t="s">
        <v>1587</v>
      </c>
      <c r="D3090" s="30" t="s">
        <v>1588</v>
      </c>
      <c r="F3090" s="30" t="s">
        <v>1591</v>
      </c>
      <c r="H3090" s="30" t="s">
        <v>1592</v>
      </c>
      <c r="M3090" s="30" t="s">
        <v>817</v>
      </c>
      <c r="N3090" s="30" t="s">
        <v>1326</v>
      </c>
      <c r="P3090" s="30" t="s">
        <v>6617</v>
      </c>
      <c r="Q3090" t="s">
        <v>619</v>
      </c>
      <c r="R3090" t="s">
        <v>918</v>
      </c>
      <c r="S3090">
        <v>37</v>
      </c>
      <c r="T3090" s="29" t="str">
        <f t="shared" si="137"/>
        <v>2021.010B.R.Binomial_names.zip</v>
      </c>
      <c r="U3090" s="29" t="str">
        <f>HYPERLINK("https://ictv.global/taxonomy/taxondetails?taxnode_id=202300217","ictv.global=202300217")</f>
        <v>ictv.global=202300217</v>
      </c>
    </row>
    <row r="3091" spans="1:21">
      <c r="A3091">
        <v>3090</v>
      </c>
      <c r="B3091" s="30" t="s">
        <v>1587</v>
      </c>
      <c r="D3091" s="30" t="s">
        <v>1588</v>
      </c>
      <c r="F3091" s="30" t="s">
        <v>1591</v>
      </c>
      <c r="H3091" s="30" t="s">
        <v>1592</v>
      </c>
      <c r="M3091" s="30" t="s">
        <v>817</v>
      </c>
      <c r="N3091" s="30" t="s">
        <v>1326</v>
      </c>
      <c r="P3091" s="30" t="s">
        <v>6618</v>
      </c>
      <c r="Q3091" t="s">
        <v>619</v>
      </c>
      <c r="R3091" t="s">
        <v>917</v>
      </c>
      <c r="S3091">
        <v>38</v>
      </c>
      <c r="T3091" s="29" t="str">
        <f>HYPERLINK("https://ictv.global/ictv/proposals/2022.020B.Caudoviricetes_2nsp.zip","2022.020B.Caudoviricetes_2nsp.zip")</f>
        <v>2022.020B.Caudoviricetes_2nsp.zip</v>
      </c>
      <c r="U3091" s="29" t="str">
        <f>HYPERLINK("https://ictv.global/taxonomy/taxondetails?taxnode_id=202314552","ictv.global=202314552")</f>
        <v>ictv.global=202314552</v>
      </c>
    </row>
    <row r="3092" spans="1:21">
      <c r="A3092">
        <v>3091</v>
      </c>
      <c r="B3092" s="30" t="s">
        <v>1587</v>
      </c>
      <c r="D3092" s="30" t="s">
        <v>1588</v>
      </c>
      <c r="F3092" s="30" t="s">
        <v>1591</v>
      </c>
      <c r="H3092" s="30" t="s">
        <v>1592</v>
      </c>
      <c r="M3092" s="30" t="s">
        <v>817</v>
      </c>
      <c r="N3092" s="30" t="s">
        <v>1326</v>
      </c>
      <c r="P3092" s="30" t="s">
        <v>6619</v>
      </c>
      <c r="Q3092" t="s">
        <v>619</v>
      </c>
      <c r="R3092" t="s">
        <v>918</v>
      </c>
      <c r="S3092">
        <v>37</v>
      </c>
      <c r="T3092" s="29" t="str">
        <f t="shared" ref="T3092:T3106" si="138">HYPERLINK("https://ictv.global/ictv/proposals/2021.010B.R.Binomial_names.zip","2021.010B.R.Binomial_names.zip")</f>
        <v>2021.010B.R.Binomial_names.zip</v>
      </c>
      <c r="U3092" s="29" t="str">
        <f>HYPERLINK("https://ictv.global/taxonomy/taxondetails?taxnode_id=202307008","ictv.global=202307008")</f>
        <v>ictv.global=202307008</v>
      </c>
    </row>
    <row r="3093" spans="1:21">
      <c r="A3093">
        <v>3092</v>
      </c>
      <c r="B3093" s="30" t="s">
        <v>1587</v>
      </c>
      <c r="D3093" s="30" t="s">
        <v>1588</v>
      </c>
      <c r="F3093" s="30" t="s">
        <v>1591</v>
      </c>
      <c r="H3093" s="30" t="s">
        <v>1592</v>
      </c>
      <c r="M3093" s="30" t="s">
        <v>817</v>
      </c>
      <c r="N3093" s="30" t="s">
        <v>1326</v>
      </c>
      <c r="P3093" s="30" t="s">
        <v>6620</v>
      </c>
      <c r="Q3093" t="s">
        <v>619</v>
      </c>
      <c r="R3093" t="s">
        <v>918</v>
      </c>
      <c r="S3093">
        <v>37</v>
      </c>
      <c r="T3093" s="29" t="str">
        <f t="shared" si="138"/>
        <v>2021.010B.R.Binomial_names.zip</v>
      </c>
      <c r="U3093" s="29" t="str">
        <f>HYPERLINK("https://ictv.global/taxonomy/taxondetails?taxnode_id=202306902","ictv.global=202306902")</f>
        <v>ictv.global=202306902</v>
      </c>
    </row>
    <row r="3094" spans="1:21">
      <c r="A3094">
        <v>3093</v>
      </c>
      <c r="B3094" s="30" t="s">
        <v>1587</v>
      </c>
      <c r="D3094" s="30" t="s">
        <v>1588</v>
      </c>
      <c r="F3094" s="30" t="s">
        <v>1591</v>
      </c>
      <c r="H3094" s="30" t="s">
        <v>1592</v>
      </c>
      <c r="M3094" s="30" t="s">
        <v>817</v>
      </c>
      <c r="N3094" s="30" t="s">
        <v>1326</v>
      </c>
      <c r="P3094" s="30" t="s">
        <v>6621</v>
      </c>
      <c r="Q3094" t="s">
        <v>619</v>
      </c>
      <c r="R3094" t="s">
        <v>918</v>
      </c>
      <c r="S3094">
        <v>37</v>
      </c>
      <c r="T3094" s="29" t="str">
        <f t="shared" si="138"/>
        <v>2021.010B.R.Binomial_names.zip</v>
      </c>
      <c r="U3094" s="29" t="str">
        <f>HYPERLINK("https://ictv.global/taxonomy/taxondetails?taxnode_id=202300212","ictv.global=202300212")</f>
        <v>ictv.global=202300212</v>
      </c>
    </row>
    <row r="3095" spans="1:21">
      <c r="A3095">
        <v>3094</v>
      </c>
      <c r="B3095" s="30" t="s">
        <v>1587</v>
      </c>
      <c r="D3095" s="30" t="s">
        <v>1588</v>
      </c>
      <c r="F3095" s="30" t="s">
        <v>1591</v>
      </c>
      <c r="H3095" s="30" t="s">
        <v>1592</v>
      </c>
      <c r="M3095" s="30" t="s">
        <v>817</v>
      </c>
      <c r="N3095" s="30" t="s">
        <v>1326</v>
      </c>
      <c r="P3095" s="30" t="s">
        <v>6622</v>
      </c>
      <c r="Q3095" t="s">
        <v>619</v>
      </c>
      <c r="R3095" t="s">
        <v>918</v>
      </c>
      <c r="S3095">
        <v>37</v>
      </c>
      <c r="T3095" s="29" t="str">
        <f t="shared" si="138"/>
        <v>2021.010B.R.Binomial_names.zip</v>
      </c>
      <c r="U3095" s="29" t="str">
        <f>HYPERLINK("https://ictv.global/taxonomy/taxondetails?taxnode_id=202300218","ictv.global=202300218")</f>
        <v>ictv.global=202300218</v>
      </c>
    </row>
    <row r="3096" spans="1:21">
      <c r="A3096">
        <v>3095</v>
      </c>
      <c r="B3096" s="30" t="s">
        <v>1587</v>
      </c>
      <c r="D3096" s="30" t="s">
        <v>1588</v>
      </c>
      <c r="F3096" s="30" t="s">
        <v>1591</v>
      </c>
      <c r="H3096" s="30" t="s">
        <v>1592</v>
      </c>
      <c r="M3096" s="30" t="s">
        <v>817</v>
      </c>
      <c r="N3096" s="30" t="s">
        <v>1326</v>
      </c>
      <c r="P3096" s="30" t="s">
        <v>6623</v>
      </c>
      <c r="Q3096" t="s">
        <v>619</v>
      </c>
      <c r="R3096" t="s">
        <v>918</v>
      </c>
      <c r="S3096">
        <v>37</v>
      </c>
      <c r="T3096" s="29" t="str">
        <f t="shared" si="138"/>
        <v>2021.010B.R.Binomial_names.zip</v>
      </c>
      <c r="U3096" s="29" t="str">
        <f>HYPERLINK("https://ictv.global/taxonomy/taxondetails?taxnode_id=202300213","ictv.global=202300213")</f>
        <v>ictv.global=202300213</v>
      </c>
    </row>
    <row r="3097" spans="1:21">
      <c r="A3097">
        <v>3096</v>
      </c>
      <c r="B3097" s="30" t="s">
        <v>1587</v>
      </c>
      <c r="D3097" s="30" t="s">
        <v>1588</v>
      </c>
      <c r="F3097" s="30" t="s">
        <v>1591</v>
      </c>
      <c r="H3097" s="30" t="s">
        <v>1592</v>
      </c>
      <c r="M3097" s="30" t="s">
        <v>817</v>
      </c>
      <c r="N3097" s="30" t="s">
        <v>1326</v>
      </c>
      <c r="P3097" s="30" t="s">
        <v>6624</v>
      </c>
      <c r="Q3097" t="s">
        <v>619</v>
      </c>
      <c r="R3097" t="s">
        <v>918</v>
      </c>
      <c r="S3097">
        <v>37</v>
      </c>
      <c r="T3097" s="29" t="str">
        <f t="shared" si="138"/>
        <v>2021.010B.R.Binomial_names.zip</v>
      </c>
      <c r="U3097" s="29" t="str">
        <f>HYPERLINK("https://ictv.global/taxonomy/taxondetails?taxnode_id=202300214","ictv.global=202300214")</f>
        <v>ictv.global=202300214</v>
      </c>
    </row>
    <row r="3098" spans="1:21">
      <c r="A3098">
        <v>3097</v>
      </c>
      <c r="B3098" s="30" t="s">
        <v>1587</v>
      </c>
      <c r="D3098" s="30" t="s">
        <v>1588</v>
      </c>
      <c r="F3098" s="30" t="s">
        <v>1591</v>
      </c>
      <c r="H3098" s="30" t="s">
        <v>1592</v>
      </c>
      <c r="M3098" s="30" t="s">
        <v>817</v>
      </c>
      <c r="N3098" s="30" t="s">
        <v>1327</v>
      </c>
      <c r="P3098" s="30" t="s">
        <v>6625</v>
      </c>
      <c r="Q3098" t="s">
        <v>619</v>
      </c>
      <c r="R3098" t="s">
        <v>918</v>
      </c>
      <c r="S3098">
        <v>37</v>
      </c>
      <c r="T3098" s="29" t="str">
        <f t="shared" si="138"/>
        <v>2021.010B.R.Binomial_names.zip</v>
      </c>
      <c r="U3098" s="29" t="str">
        <f>HYPERLINK("https://ictv.global/taxonomy/taxondetails?taxnode_id=202300205","ictv.global=202300205")</f>
        <v>ictv.global=202300205</v>
      </c>
    </row>
    <row r="3099" spans="1:21">
      <c r="A3099">
        <v>3098</v>
      </c>
      <c r="B3099" s="30" t="s">
        <v>1587</v>
      </c>
      <c r="D3099" s="30" t="s">
        <v>1588</v>
      </c>
      <c r="F3099" s="30" t="s">
        <v>1591</v>
      </c>
      <c r="H3099" s="30" t="s">
        <v>1592</v>
      </c>
      <c r="M3099" s="30" t="s">
        <v>817</v>
      </c>
      <c r="N3099" s="30" t="s">
        <v>1327</v>
      </c>
      <c r="P3099" s="30" t="s">
        <v>6626</v>
      </c>
      <c r="Q3099" t="s">
        <v>619</v>
      </c>
      <c r="R3099" t="s">
        <v>918</v>
      </c>
      <c r="S3099">
        <v>37</v>
      </c>
      <c r="T3099" s="29" t="str">
        <f t="shared" si="138"/>
        <v>2021.010B.R.Binomial_names.zip</v>
      </c>
      <c r="U3099" s="29" t="str">
        <f>HYPERLINK("https://ictv.global/taxonomy/taxondetails?taxnode_id=202300206","ictv.global=202300206")</f>
        <v>ictv.global=202300206</v>
      </c>
    </row>
    <row r="3100" spans="1:21">
      <c r="A3100">
        <v>3099</v>
      </c>
      <c r="B3100" s="30" t="s">
        <v>1587</v>
      </c>
      <c r="D3100" s="30" t="s">
        <v>1588</v>
      </c>
      <c r="F3100" s="30" t="s">
        <v>1591</v>
      </c>
      <c r="H3100" s="30" t="s">
        <v>1592</v>
      </c>
      <c r="M3100" s="30" t="s">
        <v>817</v>
      </c>
      <c r="N3100" s="30" t="s">
        <v>844</v>
      </c>
      <c r="P3100" s="30" t="s">
        <v>6627</v>
      </c>
      <c r="Q3100" t="s">
        <v>619</v>
      </c>
      <c r="R3100" t="s">
        <v>918</v>
      </c>
      <c r="S3100">
        <v>37</v>
      </c>
      <c r="T3100" s="29" t="str">
        <f t="shared" si="138"/>
        <v>2021.010B.R.Binomial_names.zip</v>
      </c>
      <c r="U3100" s="29" t="str">
        <f>HYPERLINK("https://ictv.global/taxonomy/taxondetails?taxnode_id=202300220","ictv.global=202300220")</f>
        <v>ictv.global=202300220</v>
      </c>
    </row>
    <row r="3101" spans="1:21">
      <c r="A3101">
        <v>3100</v>
      </c>
      <c r="B3101" s="30" t="s">
        <v>1587</v>
      </c>
      <c r="D3101" s="30" t="s">
        <v>1588</v>
      </c>
      <c r="F3101" s="30" t="s">
        <v>1591</v>
      </c>
      <c r="H3101" s="30" t="s">
        <v>1592</v>
      </c>
      <c r="M3101" s="30" t="s">
        <v>817</v>
      </c>
      <c r="N3101" s="30" t="s">
        <v>844</v>
      </c>
      <c r="P3101" s="30" t="s">
        <v>6628</v>
      </c>
      <c r="Q3101" t="s">
        <v>619</v>
      </c>
      <c r="R3101" t="s">
        <v>918</v>
      </c>
      <c r="S3101">
        <v>37</v>
      </c>
      <c r="T3101" s="29" t="str">
        <f t="shared" si="138"/>
        <v>2021.010B.R.Binomial_names.zip</v>
      </c>
      <c r="U3101" s="29" t="str">
        <f>HYPERLINK("https://ictv.global/taxonomy/taxondetails?taxnode_id=202300221","ictv.global=202300221")</f>
        <v>ictv.global=202300221</v>
      </c>
    </row>
    <row r="3102" spans="1:21">
      <c r="A3102">
        <v>3101</v>
      </c>
      <c r="B3102" s="30" t="s">
        <v>1587</v>
      </c>
      <c r="D3102" s="30" t="s">
        <v>1588</v>
      </c>
      <c r="F3102" s="30" t="s">
        <v>1591</v>
      </c>
      <c r="H3102" s="30" t="s">
        <v>1592</v>
      </c>
      <c r="M3102" s="30" t="s">
        <v>817</v>
      </c>
      <c r="N3102" s="30" t="s">
        <v>844</v>
      </c>
      <c r="P3102" s="30" t="s">
        <v>6629</v>
      </c>
      <c r="Q3102" t="s">
        <v>619</v>
      </c>
      <c r="R3102" t="s">
        <v>918</v>
      </c>
      <c r="S3102">
        <v>37</v>
      </c>
      <c r="T3102" s="29" t="str">
        <f t="shared" si="138"/>
        <v>2021.010B.R.Binomial_names.zip</v>
      </c>
      <c r="U3102" s="29" t="str">
        <f>HYPERLINK("https://ictv.global/taxonomy/taxondetails?taxnode_id=202307011","ictv.global=202307011")</f>
        <v>ictv.global=202307011</v>
      </c>
    </row>
    <row r="3103" spans="1:21">
      <c r="A3103">
        <v>3102</v>
      </c>
      <c r="B3103" s="30" t="s">
        <v>1587</v>
      </c>
      <c r="D3103" s="30" t="s">
        <v>1588</v>
      </c>
      <c r="F3103" s="30" t="s">
        <v>1591</v>
      </c>
      <c r="H3103" s="30" t="s">
        <v>1592</v>
      </c>
      <c r="M3103" s="30" t="s">
        <v>817</v>
      </c>
      <c r="N3103" s="30" t="s">
        <v>844</v>
      </c>
      <c r="P3103" s="30" t="s">
        <v>6630</v>
      </c>
      <c r="Q3103" t="s">
        <v>619</v>
      </c>
      <c r="R3103" t="s">
        <v>918</v>
      </c>
      <c r="S3103">
        <v>37</v>
      </c>
      <c r="T3103" s="29" t="str">
        <f t="shared" si="138"/>
        <v>2021.010B.R.Binomial_names.zip</v>
      </c>
      <c r="U3103" s="29" t="str">
        <f>HYPERLINK("https://ictv.global/taxonomy/taxondetails?taxnode_id=202307012","ictv.global=202307012")</f>
        <v>ictv.global=202307012</v>
      </c>
    </row>
    <row r="3104" spans="1:21">
      <c r="A3104">
        <v>3103</v>
      </c>
      <c r="B3104" s="30" t="s">
        <v>1587</v>
      </c>
      <c r="D3104" s="30" t="s">
        <v>1588</v>
      </c>
      <c r="F3104" s="30" t="s">
        <v>1591</v>
      </c>
      <c r="H3104" s="30" t="s">
        <v>1592</v>
      </c>
      <c r="M3104" s="30" t="s">
        <v>817</v>
      </c>
      <c r="N3104" s="30" t="s">
        <v>844</v>
      </c>
      <c r="P3104" s="30" t="s">
        <v>6631</v>
      </c>
      <c r="Q3104" t="s">
        <v>619</v>
      </c>
      <c r="R3104" t="s">
        <v>918</v>
      </c>
      <c r="S3104">
        <v>37</v>
      </c>
      <c r="T3104" s="29" t="str">
        <f t="shared" si="138"/>
        <v>2021.010B.R.Binomial_names.zip</v>
      </c>
      <c r="U3104" s="29" t="str">
        <f>HYPERLINK("https://ictv.global/taxonomy/taxondetails?taxnode_id=202307013","ictv.global=202307013")</f>
        <v>ictv.global=202307013</v>
      </c>
    </row>
    <row r="3105" spans="1:21">
      <c r="A3105">
        <v>3104</v>
      </c>
      <c r="B3105" s="30" t="s">
        <v>1587</v>
      </c>
      <c r="D3105" s="30" t="s">
        <v>1588</v>
      </c>
      <c r="F3105" s="30" t="s">
        <v>1591</v>
      </c>
      <c r="H3105" s="30" t="s">
        <v>1592</v>
      </c>
      <c r="M3105" s="30" t="s">
        <v>817</v>
      </c>
      <c r="N3105" s="30" t="s">
        <v>845</v>
      </c>
      <c r="P3105" s="30" t="s">
        <v>6632</v>
      </c>
      <c r="Q3105" t="s">
        <v>619</v>
      </c>
      <c r="R3105" t="s">
        <v>918</v>
      </c>
      <c r="S3105">
        <v>37</v>
      </c>
      <c r="T3105" s="29" t="str">
        <f t="shared" si="138"/>
        <v>2021.010B.R.Binomial_names.zip</v>
      </c>
      <c r="U3105" s="29" t="str">
        <f>HYPERLINK("https://ictv.global/taxonomy/taxondetails?taxnode_id=202300223","ictv.global=202300223")</f>
        <v>ictv.global=202300223</v>
      </c>
    </row>
    <row r="3106" spans="1:21">
      <c r="A3106">
        <v>3105</v>
      </c>
      <c r="B3106" s="30" t="s">
        <v>1587</v>
      </c>
      <c r="D3106" s="30" t="s">
        <v>1588</v>
      </c>
      <c r="F3106" s="30" t="s">
        <v>1591</v>
      </c>
      <c r="H3106" s="30" t="s">
        <v>1592</v>
      </c>
      <c r="M3106" s="30" t="s">
        <v>817</v>
      </c>
      <c r="N3106" s="30" t="s">
        <v>845</v>
      </c>
      <c r="P3106" s="30" t="s">
        <v>6633</v>
      </c>
      <c r="Q3106" t="s">
        <v>619</v>
      </c>
      <c r="R3106" t="s">
        <v>918</v>
      </c>
      <c r="S3106">
        <v>37</v>
      </c>
      <c r="T3106" s="29" t="str">
        <f t="shared" si="138"/>
        <v>2021.010B.R.Binomial_names.zip</v>
      </c>
      <c r="U3106" s="29" t="str">
        <f>HYPERLINK("https://ictv.global/taxonomy/taxondetails?taxnode_id=202300224","ictv.global=202300224")</f>
        <v>ictv.global=202300224</v>
      </c>
    </row>
    <row r="3107" spans="1:21">
      <c r="A3107">
        <v>3106</v>
      </c>
      <c r="B3107" s="30" t="s">
        <v>1587</v>
      </c>
      <c r="D3107" s="30" t="s">
        <v>1588</v>
      </c>
      <c r="F3107" s="30" t="s">
        <v>1591</v>
      </c>
      <c r="H3107" s="30" t="s">
        <v>1592</v>
      </c>
      <c r="M3107" s="30" t="s">
        <v>826</v>
      </c>
      <c r="N3107" s="30" t="s">
        <v>659</v>
      </c>
      <c r="P3107" s="30" t="s">
        <v>6634</v>
      </c>
      <c r="Q3107" t="s">
        <v>619</v>
      </c>
      <c r="R3107" t="s">
        <v>918</v>
      </c>
      <c r="S3107">
        <v>37</v>
      </c>
      <c r="T3107" s="29" t="str">
        <f>HYPERLINK("https://ictv.global/ictv/proposals/2021.062B.R.Pclasvirinae_new_genera.zip","2021.062B.R.Pclasvirinae_new_genera.zip")</f>
        <v>2021.062B.R.Pclasvirinae_new_genera.zip</v>
      </c>
      <c r="U3107" s="29" t="str">
        <f>HYPERLINK("https://ictv.global/taxonomy/taxondetails?taxnode_id=202300794","ictv.global=202300794")</f>
        <v>ictv.global=202300794</v>
      </c>
    </row>
    <row r="3108" spans="1:21">
      <c r="A3108">
        <v>3107</v>
      </c>
      <c r="B3108" s="30" t="s">
        <v>1587</v>
      </c>
      <c r="D3108" s="30" t="s">
        <v>1588</v>
      </c>
      <c r="F3108" s="30" t="s">
        <v>1591</v>
      </c>
      <c r="H3108" s="30" t="s">
        <v>1592</v>
      </c>
      <c r="M3108" s="30" t="s">
        <v>826</v>
      </c>
      <c r="N3108" s="30" t="s">
        <v>827</v>
      </c>
      <c r="P3108" s="30" t="s">
        <v>6635</v>
      </c>
      <c r="Q3108" t="s">
        <v>619</v>
      </c>
      <c r="R3108" t="s">
        <v>917</v>
      </c>
      <c r="S3108">
        <v>37</v>
      </c>
      <c r="T3108" s="29" t="str">
        <f>HYPERLINK("https://ictv.global/ictv/proposals/2021.062B.R.Pclasvirinae_new_genera.zip","2021.062B.R.Pclasvirinae_new_genera.zip")</f>
        <v>2021.062B.R.Pclasvirinae_new_genera.zip</v>
      </c>
      <c r="U3108" s="29" t="str">
        <f>HYPERLINK("https://ictv.global/taxonomy/taxondetails?taxnode_id=202312819","ictv.global=202312819")</f>
        <v>ictv.global=202312819</v>
      </c>
    </row>
    <row r="3109" spans="1:21">
      <c r="A3109">
        <v>3108</v>
      </c>
      <c r="B3109" s="30" t="s">
        <v>1587</v>
      </c>
      <c r="D3109" s="30" t="s">
        <v>1588</v>
      </c>
      <c r="F3109" s="30" t="s">
        <v>1591</v>
      </c>
      <c r="H3109" s="30" t="s">
        <v>1592</v>
      </c>
      <c r="M3109" s="30" t="s">
        <v>826</v>
      </c>
      <c r="N3109" s="30" t="s">
        <v>827</v>
      </c>
      <c r="P3109" s="30" t="s">
        <v>6636</v>
      </c>
      <c r="Q3109" t="s">
        <v>619</v>
      </c>
      <c r="R3109" t="s">
        <v>917</v>
      </c>
      <c r="S3109">
        <v>37</v>
      </c>
      <c r="T3109" s="29" t="str">
        <f>HYPERLINK("https://ictv.global/ictv/proposals/2021.062B.R.Pclasvirinae_new_genera.zip","2021.062B.R.Pclasvirinae_new_genera.zip")</f>
        <v>2021.062B.R.Pclasvirinae_new_genera.zip</v>
      </c>
      <c r="U3109" s="29" t="str">
        <f>HYPERLINK("https://ictv.global/taxonomy/taxondetails?taxnode_id=202312820","ictv.global=202312820")</f>
        <v>ictv.global=202312820</v>
      </c>
    </row>
    <row r="3110" spans="1:21">
      <c r="A3110">
        <v>3109</v>
      </c>
      <c r="B3110" s="30" t="s">
        <v>1587</v>
      </c>
      <c r="D3110" s="30" t="s">
        <v>1588</v>
      </c>
      <c r="F3110" s="30" t="s">
        <v>1591</v>
      </c>
      <c r="H3110" s="30" t="s">
        <v>1592</v>
      </c>
      <c r="M3110" s="30" t="s">
        <v>826</v>
      </c>
      <c r="N3110" s="30" t="s">
        <v>827</v>
      </c>
      <c r="P3110" s="30" t="s">
        <v>6637</v>
      </c>
      <c r="Q3110" t="s">
        <v>619</v>
      </c>
      <c r="R3110" t="s">
        <v>917</v>
      </c>
      <c r="S3110">
        <v>37</v>
      </c>
      <c r="T3110" s="29" t="str">
        <f>HYPERLINK("https://ictv.global/ictv/proposals/2021.062B.R.Pclasvirinae_new_genera.zip","2021.062B.R.Pclasvirinae_new_genera.zip")</f>
        <v>2021.062B.R.Pclasvirinae_new_genera.zip</v>
      </c>
      <c r="U3110" s="29" t="str">
        <f>HYPERLINK("https://ictv.global/taxonomy/taxondetails?taxnode_id=202312821","ictv.global=202312821")</f>
        <v>ictv.global=202312821</v>
      </c>
    </row>
    <row r="3111" spans="1:21">
      <c r="A3111">
        <v>3110</v>
      </c>
      <c r="B3111" s="30" t="s">
        <v>1587</v>
      </c>
      <c r="D3111" s="30" t="s">
        <v>1588</v>
      </c>
      <c r="F3111" s="30" t="s">
        <v>1591</v>
      </c>
      <c r="H3111" s="30" t="s">
        <v>1592</v>
      </c>
      <c r="M3111" s="30" t="s">
        <v>826</v>
      </c>
      <c r="N3111" s="30" t="s">
        <v>827</v>
      </c>
      <c r="P3111" s="30" t="s">
        <v>6638</v>
      </c>
      <c r="Q3111" t="s">
        <v>619</v>
      </c>
      <c r="R3111" t="s">
        <v>918</v>
      </c>
      <c r="S3111">
        <v>37</v>
      </c>
      <c r="T3111" s="29" t="str">
        <f>HYPERLINK("https://ictv.global/ictv/proposals/2021.010B.R.Binomial_names.zip","2021.010B.R.Binomial_names.zip")</f>
        <v>2021.010B.R.Binomial_names.zip</v>
      </c>
      <c r="U3111" s="29" t="str">
        <f>HYPERLINK("https://ictv.global/taxonomy/taxondetails?taxnode_id=202300796","ictv.global=202300796")</f>
        <v>ictv.global=202300796</v>
      </c>
    </row>
    <row r="3112" spans="1:21">
      <c r="A3112">
        <v>3111</v>
      </c>
      <c r="B3112" s="30" t="s">
        <v>1587</v>
      </c>
      <c r="D3112" s="30" t="s">
        <v>1588</v>
      </c>
      <c r="F3112" s="30" t="s">
        <v>1591</v>
      </c>
      <c r="H3112" s="30" t="s">
        <v>1592</v>
      </c>
      <c r="M3112" s="30" t="s">
        <v>826</v>
      </c>
      <c r="N3112" s="30" t="s">
        <v>827</v>
      </c>
      <c r="P3112" s="30" t="s">
        <v>6639</v>
      </c>
      <c r="Q3112" t="s">
        <v>619</v>
      </c>
      <c r="R3112" t="s">
        <v>918</v>
      </c>
      <c r="S3112">
        <v>37</v>
      </c>
      <c r="T3112" s="29" t="str">
        <f>HYPERLINK("https://ictv.global/ictv/proposals/2021.010B.R.Binomial_names.zip","2021.010B.R.Binomial_names.zip")</f>
        <v>2021.010B.R.Binomial_names.zip</v>
      </c>
      <c r="U3112" s="29" t="str">
        <f>HYPERLINK("https://ictv.global/taxonomy/taxondetails?taxnode_id=202300797","ictv.global=202300797")</f>
        <v>ictv.global=202300797</v>
      </c>
    </row>
    <row r="3113" spans="1:21">
      <c r="A3113">
        <v>3112</v>
      </c>
      <c r="B3113" s="30" t="s">
        <v>1587</v>
      </c>
      <c r="D3113" s="30" t="s">
        <v>1588</v>
      </c>
      <c r="F3113" s="30" t="s">
        <v>1591</v>
      </c>
      <c r="H3113" s="30" t="s">
        <v>1592</v>
      </c>
      <c r="M3113" s="30" t="s">
        <v>826</v>
      </c>
      <c r="N3113" s="30" t="s">
        <v>827</v>
      </c>
      <c r="P3113" s="30" t="s">
        <v>6640</v>
      </c>
      <c r="Q3113" t="s">
        <v>619</v>
      </c>
      <c r="R3113" t="s">
        <v>917</v>
      </c>
      <c r="S3113">
        <v>37</v>
      </c>
      <c r="T3113" s="29" t="str">
        <f>HYPERLINK("https://ictv.global/ictv/proposals/2021.062B.R.Pclasvirinae_new_genera.zip","2021.062B.R.Pclasvirinae_new_genera.zip")</f>
        <v>2021.062B.R.Pclasvirinae_new_genera.zip</v>
      </c>
      <c r="U3113" s="29" t="str">
        <f>HYPERLINK("https://ictv.global/taxonomy/taxondetails?taxnode_id=202312822","ictv.global=202312822")</f>
        <v>ictv.global=202312822</v>
      </c>
    </row>
    <row r="3114" spans="1:21">
      <c r="A3114">
        <v>3113</v>
      </c>
      <c r="B3114" s="30" t="s">
        <v>1587</v>
      </c>
      <c r="D3114" s="30" t="s">
        <v>1588</v>
      </c>
      <c r="F3114" s="30" t="s">
        <v>1591</v>
      </c>
      <c r="H3114" s="30" t="s">
        <v>1592</v>
      </c>
      <c r="M3114" s="30" t="s">
        <v>826</v>
      </c>
      <c r="N3114" s="30" t="s">
        <v>827</v>
      </c>
      <c r="P3114" s="30" t="s">
        <v>6641</v>
      </c>
      <c r="Q3114" t="s">
        <v>619</v>
      </c>
      <c r="R3114" t="s">
        <v>918</v>
      </c>
      <c r="S3114">
        <v>37</v>
      </c>
      <c r="T3114" s="29" t="str">
        <f>HYPERLINK("https://ictv.global/ictv/proposals/2021.010B.R.Binomial_names.zip","2021.010B.R.Binomial_names.zip")</f>
        <v>2021.010B.R.Binomial_names.zip</v>
      </c>
      <c r="U3114" s="29" t="str">
        <f>HYPERLINK("https://ictv.global/taxonomy/taxondetails?taxnode_id=202300798","ictv.global=202300798")</f>
        <v>ictv.global=202300798</v>
      </c>
    </row>
    <row r="3115" spans="1:21">
      <c r="A3115">
        <v>3114</v>
      </c>
      <c r="B3115" s="30" t="s">
        <v>1587</v>
      </c>
      <c r="D3115" s="30" t="s">
        <v>1588</v>
      </c>
      <c r="F3115" s="30" t="s">
        <v>1591</v>
      </c>
      <c r="H3115" s="30" t="s">
        <v>1592</v>
      </c>
      <c r="M3115" s="30" t="s">
        <v>826</v>
      </c>
      <c r="N3115" s="30" t="s">
        <v>827</v>
      </c>
      <c r="P3115" s="30" t="s">
        <v>6642</v>
      </c>
      <c r="Q3115" t="s">
        <v>619</v>
      </c>
      <c r="R3115" t="s">
        <v>917</v>
      </c>
      <c r="S3115">
        <v>37</v>
      </c>
      <c r="T3115" s="29" t="str">
        <f>HYPERLINK("https://ictv.global/ictv/proposals/2021.062B.R.Pclasvirinae_new_genera.zip","2021.062B.R.Pclasvirinae_new_genera.zip")</f>
        <v>2021.062B.R.Pclasvirinae_new_genera.zip</v>
      </c>
      <c r="U3115" s="29" t="str">
        <f>HYPERLINK("https://ictv.global/taxonomy/taxondetails?taxnode_id=202312823","ictv.global=202312823")</f>
        <v>ictv.global=202312823</v>
      </c>
    </row>
    <row r="3116" spans="1:21">
      <c r="A3116">
        <v>3115</v>
      </c>
      <c r="B3116" s="30" t="s">
        <v>1587</v>
      </c>
      <c r="D3116" s="30" t="s">
        <v>1588</v>
      </c>
      <c r="F3116" s="30" t="s">
        <v>1591</v>
      </c>
      <c r="H3116" s="30" t="s">
        <v>1592</v>
      </c>
      <c r="M3116" s="30" t="s">
        <v>826</v>
      </c>
      <c r="N3116" s="30" t="s">
        <v>827</v>
      </c>
      <c r="P3116" s="30" t="s">
        <v>6643</v>
      </c>
      <c r="Q3116" t="s">
        <v>619</v>
      </c>
      <c r="R3116" t="s">
        <v>918</v>
      </c>
      <c r="S3116">
        <v>37</v>
      </c>
      <c r="T3116" s="29" t="str">
        <f>HYPERLINK("https://ictv.global/ictv/proposals/2021.010B.R.Binomial_names.zip","2021.010B.R.Binomial_names.zip")</f>
        <v>2021.010B.R.Binomial_names.zip</v>
      </c>
      <c r="U3116" s="29" t="str">
        <f>HYPERLINK("https://ictv.global/taxonomy/taxondetails?taxnode_id=202300799","ictv.global=202300799")</f>
        <v>ictv.global=202300799</v>
      </c>
    </row>
    <row r="3117" spans="1:21">
      <c r="A3117">
        <v>3116</v>
      </c>
      <c r="B3117" s="30" t="s">
        <v>1587</v>
      </c>
      <c r="D3117" s="30" t="s">
        <v>1588</v>
      </c>
      <c r="F3117" s="30" t="s">
        <v>1591</v>
      </c>
      <c r="H3117" s="30" t="s">
        <v>1592</v>
      </c>
      <c r="M3117" s="30" t="s">
        <v>826</v>
      </c>
      <c r="N3117" s="30" t="s">
        <v>827</v>
      </c>
      <c r="P3117" s="30" t="s">
        <v>6644</v>
      </c>
      <c r="Q3117" t="s">
        <v>619</v>
      </c>
      <c r="R3117" t="s">
        <v>917</v>
      </c>
      <c r="S3117">
        <v>37</v>
      </c>
      <c r="T3117" s="29" t="str">
        <f>HYPERLINK("https://ictv.global/ictv/proposals/2021.062B.R.Pclasvirinae_new_genera.zip","2021.062B.R.Pclasvirinae_new_genera.zip")</f>
        <v>2021.062B.R.Pclasvirinae_new_genera.zip</v>
      </c>
      <c r="U3117" s="29" t="str">
        <f>HYPERLINK("https://ictv.global/taxonomy/taxondetails?taxnode_id=202312824","ictv.global=202312824")</f>
        <v>ictv.global=202312824</v>
      </c>
    </row>
    <row r="3118" spans="1:21">
      <c r="A3118">
        <v>3117</v>
      </c>
      <c r="B3118" s="30" t="s">
        <v>1587</v>
      </c>
      <c r="D3118" s="30" t="s">
        <v>1588</v>
      </c>
      <c r="F3118" s="30" t="s">
        <v>1591</v>
      </c>
      <c r="H3118" s="30" t="s">
        <v>1592</v>
      </c>
      <c r="M3118" s="30" t="s">
        <v>826</v>
      </c>
      <c r="N3118" s="30" t="s">
        <v>827</v>
      </c>
      <c r="P3118" s="30" t="s">
        <v>6645</v>
      </c>
      <c r="Q3118" t="s">
        <v>619</v>
      </c>
      <c r="R3118" t="s">
        <v>917</v>
      </c>
      <c r="S3118">
        <v>37</v>
      </c>
      <c r="T3118" s="29" t="str">
        <f>HYPERLINK("https://ictv.global/ictv/proposals/2021.062B.R.Pclasvirinae_new_genera.zip","2021.062B.R.Pclasvirinae_new_genera.zip")</f>
        <v>2021.062B.R.Pclasvirinae_new_genera.zip</v>
      </c>
      <c r="U3118" s="29" t="str">
        <f>HYPERLINK("https://ictv.global/taxonomy/taxondetails?taxnode_id=202312825","ictv.global=202312825")</f>
        <v>ictv.global=202312825</v>
      </c>
    </row>
    <row r="3119" spans="1:21">
      <c r="A3119">
        <v>3118</v>
      </c>
      <c r="B3119" s="30" t="s">
        <v>1587</v>
      </c>
      <c r="D3119" s="30" t="s">
        <v>1588</v>
      </c>
      <c r="F3119" s="30" t="s">
        <v>1591</v>
      </c>
      <c r="H3119" s="30" t="s">
        <v>1592</v>
      </c>
      <c r="M3119" s="30" t="s">
        <v>826</v>
      </c>
      <c r="N3119" s="30" t="s">
        <v>827</v>
      </c>
      <c r="P3119" s="30" t="s">
        <v>6646</v>
      </c>
      <c r="Q3119" t="s">
        <v>619</v>
      </c>
      <c r="R3119" t="s">
        <v>917</v>
      </c>
      <c r="S3119">
        <v>37</v>
      </c>
      <c r="T3119" s="29" t="str">
        <f>HYPERLINK("https://ictv.global/ictv/proposals/2021.062B.R.Pclasvirinae_new_genera.zip","2021.062B.R.Pclasvirinae_new_genera.zip")</f>
        <v>2021.062B.R.Pclasvirinae_new_genera.zip</v>
      </c>
      <c r="U3119" s="29" t="str">
        <f>HYPERLINK("https://ictv.global/taxonomy/taxondetails?taxnode_id=202312826","ictv.global=202312826")</f>
        <v>ictv.global=202312826</v>
      </c>
    </row>
    <row r="3120" spans="1:21">
      <c r="A3120">
        <v>3119</v>
      </c>
      <c r="B3120" s="30" t="s">
        <v>1587</v>
      </c>
      <c r="D3120" s="30" t="s">
        <v>1588</v>
      </c>
      <c r="F3120" s="30" t="s">
        <v>1591</v>
      </c>
      <c r="H3120" s="30" t="s">
        <v>1592</v>
      </c>
      <c r="M3120" s="30" t="s">
        <v>826</v>
      </c>
      <c r="N3120" s="30" t="s">
        <v>827</v>
      </c>
      <c r="P3120" s="30" t="s">
        <v>6647</v>
      </c>
      <c r="Q3120" t="s">
        <v>619</v>
      </c>
      <c r="R3120" t="s">
        <v>917</v>
      </c>
      <c r="S3120">
        <v>37</v>
      </c>
      <c r="T3120" s="29" t="str">
        <f>HYPERLINK("https://ictv.global/ictv/proposals/2021.062B.R.Pclasvirinae_new_genera.zip","2021.062B.R.Pclasvirinae_new_genera.zip")</f>
        <v>2021.062B.R.Pclasvirinae_new_genera.zip</v>
      </c>
      <c r="U3120" s="29" t="str">
        <f>HYPERLINK("https://ictv.global/taxonomy/taxondetails?taxnode_id=202312827","ictv.global=202312827")</f>
        <v>ictv.global=202312827</v>
      </c>
    </row>
    <row r="3121" spans="1:21">
      <c r="A3121">
        <v>3120</v>
      </c>
      <c r="B3121" s="30" t="s">
        <v>1587</v>
      </c>
      <c r="D3121" s="30" t="s">
        <v>1588</v>
      </c>
      <c r="F3121" s="30" t="s">
        <v>1591</v>
      </c>
      <c r="H3121" s="30" t="s">
        <v>1592</v>
      </c>
      <c r="M3121" s="30" t="s">
        <v>826</v>
      </c>
      <c r="N3121" s="30" t="s">
        <v>827</v>
      </c>
      <c r="P3121" s="30" t="s">
        <v>6648</v>
      </c>
      <c r="Q3121" t="s">
        <v>619</v>
      </c>
      <c r="R3121" t="s">
        <v>918</v>
      </c>
      <c r="S3121">
        <v>37</v>
      </c>
      <c r="T3121" s="29" t="str">
        <f>HYPERLINK("https://ictv.global/ictv/proposals/2021.010B.R.Binomial_names.zip","2021.010B.R.Binomial_names.zip")</f>
        <v>2021.010B.R.Binomial_names.zip</v>
      </c>
      <c r="U3121" s="29" t="str">
        <f>HYPERLINK("https://ictv.global/taxonomy/taxondetails?taxnode_id=202300800","ictv.global=202300800")</f>
        <v>ictv.global=202300800</v>
      </c>
    </row>
    <row r="3122" spans="1:21">
      <c r="A3122">
        <v>3121</v>
      </c>
      <c r="B3122" s="30" t="s">
        <v>1587</v>
      </c>
      <c r="D3122" s="30" t="s">
        <v>1588</v>
      </c>
      <c r="F3122" s="30" t="s">
        <v>1591</v>
      </c>
      <c r="H3122" s="30" t="s">
        <v>1592</v>
      </c>
      <c r="M3122" s="30" t="s">
        <v>826</v>
      </c>
      <c r="N3122" s="30" t="s">
        <v>827</v>
      </c>
      <c r="P3122" s="30" t="s">
        <v>6649</v>
      </c>
      <c r="Q3122" t="s">
        <v>619</v>
      </c>
      <c r="R3122" t="s">
        <v>917</v>
      </c>
      <c r="S3122">
        <v>37</v>
      </c>
      <c r="T3122" s="29" t="str">
        <f>HYPERLINK("https://ictv.global/ictv/proposals/2021.062B.R.Pclasvirinae_new_genera.zip","2021.062B.R.Pclasvirinae_new_genera.zip")</f>
        <v>2021.062B.R.Pclasvirinae_new_genera.zip</v>
      </c>
      <c r="U3122" s="29" t="str">
        <f>HYPERLINK("https://ictv.global/taxonomy/taxondetails?taxnode_id=202312828","ictv.global=202312828")</f>
        <v>ictv.global=202312828</v>
      </c>
    </row>
    <row r="3123" spans="1:21">
      <c r="A3123">
        <v>3122</v>
      </c>
      <c r="B3123" s="30" t="s">
        <v>1587</v>
      </c>
      <c r="D3123" s="30" t="s">
        <v>1588</v>
      </c>
      <c r="F3123" s="30" t="s">
        <v>1591</v>
      </c>
      <c r="H3123" s="30" t="s">
        <v>1592</v>
      </c>
      <c r="M3123" s="30" t="s">
        <v>826</v>
      </c>
      <c r="N3123" s="30" t="s">
        <v>827</v>
      </c>
      <c r="P3123" s="30" t="s">
        <v>6650</v>
      </c>
      <c r="Q3123" t="s">
        <v>619</v>
      </c>
      <c r="R3123" t="s">
        <v>917</v>
      </c>
      <c r="S3123">
        <v>37</v>
      </c>
      <c r="T3123" s="29" t="str">
        <f>HYPERLINK("https://ictv.global/ictv/proposals/2021.062B.R.Pclasvirinae_new_genera.zip","2021.062B.R.Pclasvirinae_new_genera.zip")</f>
        <v>2021.062B.R.Pclasvirinae_new_genera.zip</v>
      </c>
      <c r="U3123" s="29" t="str">
        <f>HYPERLINK("https://ictv.global/taxonomy/taxondetails?taxnode_id=202312829","ictv.global=202312829")</f>
        <v>ictv.global=202312829</v>
      </c>
    </row>
    <row r="3124" spans="1:21">
      <c r="A3124">
        <v>3123</v>
      </c>
      <c r="B3124" s="30" t="s">
        <v>1587</v>
      </c>
      <c r="D3124" s="30" t="s">
        <v>1588</v>
      </c>
      <c r="F3124" s="30" t="s">
        <v>1591</v>
      </c>
      <c r="H3124" s="30" t="s">
        <v>1592</v>
      </c>
      <c r="M3124" s="30" t="s">
        <v>826</v>
      </c>
      <c r="N3124" s="30" t="s">
        <v>856</v>
      </c>
      <c r="P3124" s="30" t="s">
        <v>6651</v>
      </c>
      <c r="Q3124" t="s">
        <v>619</v>
      </c>
      <c r="R3124" t="s">
        <v>918</v>
      </c>
      <c r="S3124">
        <v>37</v>
      </c>
      <c r="T3124" s="29" t="str">
        <f>HYPERLINK("https://ictv.global/ictv/proposals/2021.010B.R.Binomial_names.zip","2021.010B.R.Binomial_names.zip")</f>
        <v>2021.010B.R.Binomial_names.zip</v>
      </c>
      <c r="U3124" s="29" t="str">
        <f>HYPERLINK("https://ictv.global/taxonomy/taxondetails?taxnode_id=202300802","ictv.global=202300802")</f>
        <v>ictv.global=202300802</v>
      </c>
    </row>
    <row r="3125" spans="1:21">
      <c r="A3125">
        <v>3124</v>
      </c>
      <c r="B3125" s="30" t="s">
        <v>1587</v>
      </c>
      <c r="D3125" s="30" t="s">
        <v>1588</v>
      </c>
      <c r="F3125" s="30" t="s">
        <v>1591</v>
      </c>
      <c r="H3125" s="30" t="s">
        <v>1592</v>
      </c>
      <c r="M3125" s="30" t="s">
        <v>826</v>
      </c>
      <c r="N3125" s="30" t="s">
        <v>856</v>
      </c>
      <c r="P3125" s="30" t="s">
        <v>6652</v>
      </c>
      <c r="Q3125" t="s">
        <v>619</v>
      </c>
      <c r="R3125" t="s">
        <v>917</v>
      </c>
      <c r="S3125">
        <v>37</v>
      </c>
      <c r="T3125" s="29" t="str">
        <f>HYPERLINK("https://ictv.global/ictv/proposals/2021.062B.R.Pclasvirinae_new_genera.zip","2021.062B.R.Pclasvirinae_new_genera.zip")</f>
        <v>2021.062B.R.Pclasvirinae_new_genera.zip</v>
      </c>
      <c r="U3125" s="29" t="str">
        <f>HYPERLINK("https://ictv.global/taxonomy/taxondetails?taxnode_id=202312830","ictv.global=202312830")</f>
        <v>ictv.global=202312830</v>
      </c>
    </row>
    <row r="3126" spans="1:21">
      <c r="A3126">
        <v>3125</v>
      </c>
      <c r="B3126" s="30" t="s">
        <v>1587</v>
      </c>
      <c r="D3126" s="30" t="s">
        <v>1588</v>
      </c>
      <c r="F3126" s="30" t="s">
        <v>1591</v>
      </c>
      <c r="H3126" s="30" t="s">
        <v>1592</v>
      </c>
      <c r="M3126" s="30" t="s">
        <v>826</v>
      </c>
      <c r="N3126" s="30" t="s">
        <v>6653</v>
      </c>
      <c r="P3126" s="30" t="s">
        <v>6654</v>
      </c>
      <c r="Q3126" t="s">
        <v>619</v>
      </c>
      <c r="R3126" t="s">
        <v>917</v>
      </c>
      <c r="S3126">
        <v>37</v>
      </c>
      <c r="T3126" s="29" t="str">
        <f>HYPERLINK("https://ictv.global/ictv/proposals/2021.062B.R.Pclasvirinae_new_genera.zip","2021.062B.R.Pclasvirinae_new_genera.zip")</f>
        <v>2021.062B.R.Pclasvirinae_new_genera.zip</v>
      </c>
      <c r="U3126" s="29" t="str">
        <f>HYPERLINK("https://ictv.global/taxonomy/taxondetails?taxnode_id=202312834","ictv.global=202312834")</f>
        <v>ictv.global=202312834</v>
      </c>
    </row>
    <row r="3127" spans="1:21">
      <c r="A3127">
        <v>3126</v>
      </c>
      <c r="B3127" s="30" t="s">
        <v>1587</v>
      </c>
      <c r="D3127" s="30" t="s">
        <v>1588</v>
      </c>
      <c r="F3127" s="30" t="s">
        <v>1591</v>
      </c>
      <c r="H3127" s="30" t="s">
        <v>1592</v>
      </c>
      <c r="M3127" s="30" t="s">
        <v>826</v>
      </c>
      <c r="N3127" s="30" t="s">
        <v>1561</v>
      </c>
      <c r="P3127" s="30" t="s">
        <v>1562</v>
      </c>
      <c r="Q3127" t="s">
        <v>619</v>
      </c>
      <c r="R3127" t="s">
        <v>919</v>
      </c>
      <c r="S3127">
        <v>37</v>
      </c>
      <c r="T3127" s="29" t="str">
        <f>HYPERLINK("https://ictv.global/ictv/proposals/2021.001B.R.abolish_Caudovirales.zip","2021.001B.R.abolish_Caudovirales.zip;2021.062B.A.v1.Pclasvirinae_new_genera.zip")</f>
        <v>2021.001B.R.abolish_Caudovirales.zip;2021.062B.A.v1.Pclasvirinae_new_genera.zip</v>
      </c>
      <c r="U3127" s="29" t="str">
        <f>HYPERLINK("https://ictv.global/taxonomy/taxondetails?taxnode_id=202306722","ictv.global=202306722")</f>
        <v>ictv.global=202306722</v>
      </c>
    </row>
    <row r="3128" spans="1:21">
      <c r="A3128">
        <v>3127</v>
      </c>
      <c r="B3128" s="30" t="s">
        <v>1587</v>
      </c>
      <c r="D3128" s="30" t="s">
        <v>1588</v>
      </c>
      <c r="F3128" s="30" t="s">
        <v>1591</v>
      </c>
      <c r="H3128" s="30" t="s">
        <v>1592</v>
      </c>
      <c r="M3128" s="30" t="s">
        <v>826</v>
      </c>
      <c r="N3128" s="30" t="s">
        <v>6655</v>
      </c>
      <c r="P3128" s="30" t="s">
        <v>6656</v>
      </c>
      <c r="Q3128" t="s">
        <v>619</v>
      </c>
      <c r="R3128" t="s">
        <v>917</v>
      </c>
      <c r="S3128">
        <v>37</v>
      </c>
      <c r="T3128" s="29" t="str">
        <f>HYPERLINK("https://ictv.global/ictv/proposals/2021.062B.R.Pclasvirinae_new_genera.zip","2021.062B.R.Pclasvirinae_new_genera.zip")</f>
        <v>2021.062B.R.Pclasvirinae_new_genera.zip</v>
      </c>
      <c r="U3128" s="29" t="str">
        <f>HYPERLINK("https://ictv.global/taxonomy/taxondetails?taxnode_id=202312832","ictv.global=202312832")</f>
        <v>ictv.global=202312832</v>
      </c>
    </row>
    <row r="3129" spans="1:21">
      <c r="A3129">
        <v>3128</v>
      </c>
      <c r="B3129" s="30" t="s">
        <v>1587</v>
      </c>
      <c r="D3129" s="30" t="s">
        <v>1588</v>
      </c>
      <c r="F3129" s="30" t="s">
        <v>1591</v>
      </c>
      <c r="H3129" s="30" t="s">
        <v>1592</v>
      </c>
      <c r="M3129" s="30" t="s">
        <v>2400</v>
      </c>
      <c r="N3129" s="30" t="s">
        <v>2401</v>
      </c>
      <c r="P3129" s="30" t="s">
        <v>6657</v>
      </c>
      <c r="Q3129" t="s">
        <v>619</v>
      </c>
      <c r="R3129" t="s">
        <v>918</v>
      </c>
      <c r="S3129">
        <v>37</v>
      </c>
      <c r="T3129" s="29" t="str">
        <f>HYPERLINK("https://ictv.global/ictv/proposals/2021.010B.R.Binomial_names.zip","2021.010B.R.Binomial_names.zip")</f>
        <v>2021.010B.R.Binomial_names.zip</v>
      </c>
      <c r="U3129" s="29" t="str">
        <f>HYPERLINK("https://ictv.global/taxonomy/taxondetails?taxnode_id=202311642","ictv.global=202311642")</f>
        <v>ictv.global=202311642</v>
      </c>
    </row>
    <row r="3130" spans="1:21">
      <c r="A3130">
        <v>3129</v>
      </c>
      <c r="B3130" s="30" t="s">
        <v>1587</v>
      </c>
      <c r="D3130" s="30" t="s">
        <v>1588</v>
      </c>
      <c r="F3130" s="30" t="s">
        <v>1591</v>
      </c>
      <c r="H3130" s="30" t="s">
        <v>1592</v>
      </c>
      <c r="M3130" s="30" t="s">
        <v>2400</v>
      </c>
      <c r="N3130" s="30" t="s">
        <v>7446</v>
      </c>
      <c r="P3130" s="30" t="s">
        <v>7447</v>
      </c>
      <c r="Q3130" t="s">
        <v>619</v>
      </c>
      <c r="R3130" t="s">
        <v>919</v>
      </c>
      <c r="S3130">
        <v>39</v>
      </c>
      <c r="T3130" s="29" t="str">
        <f>HYPERLINK("https://ictv.global/ictv/proposals/2023.054B.Queuovirinae_reorg.zip","2023.054B.Queuovirinae_reorg.zip")</f>
        <v>2023.054B.Queuovirinae_reorg.zip</v>
      </c>
      <c r="U3130" s="29" t="str">
        <f>HYPERLINK("https://ictv.global/taxonomy/taxondetails?taxnode_id=202314632","ictv.global=202314632")</f>
        <v>ictv.global=202314632</v>
      </c>
    </row>
    <row r="3131" spans="1:21">
      <c r="A3131">
        <v>3130</v>
      </c>
      <c r="B3131" s="30" t="s">
        <v>1587</v>
      </c>
      <c r="D3131" s="30" t="s">
        <v>1588</v>
      </c>
      <c r="F3131" s="30" t="s">
        <v>1591</v>
      </c>
      <c r="H3131" s="30" t="s">
        <v>1592</v>
      </c>
      <c r="M3131" s="30" t="s">
        <v>2400</v>
      </c>
      <c r="N3131" s="30" t="s">
        <v>7446</v>
      </c>
      <c r="P3131" s="30" t="s">
        <v>7448</v>
      </c>
      <c r="Q3131" t="s">
        <v>619</v>
      </c>
      <c r="R3131" t="s">
        <v>919</v>
      </c>
      <c r="S3131">
        <v>39</v>
      </c>
      <c r="T3131" s="29" t="str">
        <f>HYPERLINK("https://ictv.global/ictv/proposals/2023.054B.Queuovirinae_reorg.zip","2023.054B.Queuovirinae_reorg.zip")</f>
        <v>2023.054B.Queuovirinae_reorg.zip</v>
      </c>
      <c r="U3131" s="29" t="str">
        <f>HYPERLINK("https://ictv.global/taxonomy/taxondetails?taxnode_id=202314633","ictv.global=202314633")</f>
        <v>ictv.global=202314633</v>
      </c>
    </row>
    <row r="3132" spans="1:21">
      <c r="A3132">
        <v>3131</v>
      </c>
      <c r="B3132" s="30" t="s">
        <v>1587</v>
      </c>
      <c r="D3132" s="30" t="s">
        <v>1588</v>
      </c>
      <c r="F3132" s="30" t="s">
        <v>1591</v>
      </c>
      <c r="H3132" s="30" t="s">
        <v>1592</v>
      </c>
      <c r="M3132" s="30" t="s">
        <v>2400</v>
      </c>
      <c r="N3132" s="30" t="s">
        <v>12429</v>
      </c>
      <c r="P3132" s="30" t="s">
        <v>12430</v>
      </c>
      <c r="Q3132" t="s">
        <v>619</v>
      </c>
      <c r="R3132" t="s">
        <v>917</v>
      </c>
      <c r="S3132">
        <v>39</v>
      </c>
      <c r="T3132" s="29" t="str">
        <f>HYPERLINK("https://ictv.global/ictv/proposals/2023.054B.Queuovirinae_reorg.zip","2023.054B.Queuovirinae_reorg.zip")</f>
        <v>2023.054B.Queuovirinae_reorg.zip</v>
      </c>
      <c r="U3132" s="29" t="str">
        <f>HYPERLINK("https://ictv.global/taxonomy/taxondetails?taxnode_id=202319246","ictv.global=202319246")</f>
        <v>ictv.global=202319246</v>
      </c>
    </row>
    <row r="3133" spans="1:21">
      <c r="A3133">
        <v>3132</v>
      </c>
      <c r="B3133" s="30" t="s">
        <v>1587</v>
      </c>
      <c r="D3133" s="30" t="s">
        <v>1588</v>
      </c>
      <c r="F3133" s="30" t="s">
        <v>1591</v>
      </c>
      <c r="H3133" s="30" t="s">
        <v>1592</v>
      </c>
      <c r="M3133" s="30" t="s">
        <v>2400</v>
      </c>
      <c r="N3133" s="30" t="s">
        <v>1526</v>
      </c>
      <c r="P3133" s="30" t="s">
        <v>12431</v>
      </c>
      <c r="Q3133" t="s">
        <v>619</v>
      </c>
      <c r="R3133" t="s">
        <v>917</v>
      </c>
      <c r="S3133">
        <v>39</v>
      </c>
      <c r="T3133" s="29" t="str">
        <f>HYPERLINK("https://ictv.global/ictv/proposals/2023.054B.Queuovirinae_reorg.zip","2023.054B.Queuovirinae_reorg.zip")</f>
        <v>2023.054B.Queuovirinae_reorg.zip</v>
      </c>
      <c r="U3133" s="29" t="str">
        <f>HYPERLINK("https://ictv.global/taxonomy/taxondetails?taxnode_id=202319243","ictv.global=202319243")</f>
        <v>ictv.global=202319243</v>
      </c>
    </row>
    <row r="3134" spans="1:21">
      <c r="A3134">
        <v>3133</v>
      </c>
      <c r="B3134" s="30" t="s">
        <v>1587</v>
      </c>
      <c r="D3134" s="30" t="s">
        <v>1588</v>
      </c>
      <c r="F3134" s="30" t="s">
        <v>1591</v>
      </c>
      <c r="H3134" s="30" t="s">
        <v>1592</v>
      </c>
      <c r="M3134" s="30" t="s">
        <v>2400</v>
      </c>
      <c r="N3134" s="30" t="s">
        <v>1526</v>
      </c>
      <c r="P3134" s="30" t="s">
        <v>12432</v>
      </c>
      <c r="Q3134" t="s">
        <v>619</v>
      </c>
      <c r="R3134" t="s">
        <v>917</v>
      </c>
      <c r="S3134">
        <v>39</v>
      </c>
      <c r="T3134" s="29" t="str">
        <f>HYPERLINK("https://ictv.global/ictv/proposals/2023.054B.Queuovirinae_reorg.zip","2023.054B.Queuovirinae_reorg.zip")</f>
        <v>2023.054B.Queuovirinae_reorg.zip</v>
      </c>
      <c r="U3134" s="29" t="str">
        <f>HYPERLINK("https://ictv.global/taxonomy/taxondetails?taxnode_id=202319242","ictv.global=202319242")</f>
        <v>ictv.global=202319242</v>
      </c>
    </row>
    <row r="3135" spans="1:21">
      <c r="A3135">
        <v>3134</v>
      </c>
      <c r="B3135" s="30" t="s">
        <v>1587</v>
      </c>
      <c r="D3135" s="30" t="s">
        <v>1588</v>
      </c>
      <c r="F3135" s="30" t="s">
        <v>1591</v>
      </c>
      <c r="H3135" s="30" t="s">
        <v>1592</v>
      </c>
      <c r="M3135" s="30" t="s">
        <v>2400</v>
      </c>
      <c r="N3135" s="30" t="s">
        <v>1526</v>
      </c>
      <c r="P3135" s="30" t="s">
        <v>6658</v>
      </c>
      <c r="Q3135" t="s">
        <v>619</v>
      </c>
      <c r="R3135" t="s">
        <v>918</v>
      </c>
      <c r="S3135">
        <v>37</v>
      </c>
      <c r="T3135" s="29" t="str">
        <f>HYPERLINK("https://ictv.global/ictv/proposals/2021.010B.R.Binomial_names.zip","2021.010B.R.Binomial_names.zip")</f>
        <v>2021.010B.R.Binomial_names.zip</v>
      </c>
      <c r="U3135" s="29" t="str">
        <f>HYPERLINK("https://ictv.global/taxonomy/taxondetails?taxnode_id=202301092","ictv.global=202301092")</f>
        <v>ictv.global=202301092</v>
      </c>
    </row>
    <row r="3136" spans="1:21">
      <c r="A3136">
        <v>3135</v>
      </c>
      <c r="B3136" s="30" t="s">
        <v>1587</v>
      </c>
      <c r="D3136" s="30" t="s">
        <v>1588</v>
      </c>
      <c r="F3136" s="30" t="s">
        <v>1591</v>
      </c>
      <c r="H3136" s="30" t="s">
        <v>1592</v>
      </c>
      <c r="M3136" s="30" t="s">
        <v>2400</v>
      </c>
      <c r="N3136" s="30" t="s">
        <v>1526</v>
      </c>
      <c r="P3136" s="30" t="s">
        <v>12433</v>
      </c>
      <c r="Q3136" t="s">
        <v>619</v>
      </c>
      <c r="R3136" t="s">
        <v>917</v>
      </c>
      <c r="S3136">
        <v>39</v>
      </c>
      <c r="T3136" s="29" t="str">
        <f>HYPERLINK("https://ictv.global/ictv/proposals/2023.054B.Queuovirinae_reorg.zip","2023.054B.Queuovirinae_reorg.zip")</f>
        <v>2023.054B.Queuovirinae_reorg.zip</v>
      </c>
      <c r="U3136" s="29" t="str">
        <f>HYPERLINK("https://ictv.global/taxonomy/taxondetails?taxnode_id=202319244","ictv.global=202319244")</f>
        <v>ictv.global=202319244</v>
      </c>
    </row>
    <row r="3137" spans="1:21">
      <c r="A3137">
        <v>3136</v>
      </c>
      <c r="B3137" s="30" t="s">
        <v>1587</v>
      </c>
      <c r="D3137" s="30" t="s">
        <v>1588</v>
      </c>
      <c r="F3137" s="30" t="s">
        <v>1591</v>
      </c>
      <c r="H3137" s="30" t="s">
        <v>1592</v>
      </c>
      <c r="M3137" s="30" t="s">
        <v>2400</v>
      </c>
      <c r="N3137" s="30" t="s">
        <v>1526</v>
      </c>
      <c r="P3137" s="30" t="s">
        <v>6659</v>
      </c>
      <c r="Q3137" t="s">
        <v>619</v>
      </c>
      <c r="R3137" t="s">
        <v>918</v>
      </c>
      <c r="S3137">
        <v>37</v>
      </c>
      <c r="T3137" s="29" t="str">
        <f>HYPERLINK("https://ictv.global/ictv/proposals/2021.010B.R.Binomial_names.zip","2021.010B.R.Binomial_names.zip")</f>
        <v>2021.010B.R.Binomial_names.zip</v>
      </c>
      <c r="U3137" s="29" t="str">
        <f>HYPERLINK("https://ictv.global/taxonomy/taxondetails?taxnode_id=202301093","ictv.global=202301093")</f>
        <v>ictv.global=202301093</v>
      </c>
    </row>
    <row r="3138" spans="1:21">
      <c r="A3138">
        <v>3137</v>
      </c>
      <c r="B3138" s="30" t="s">
        <v>1587</v>
      </c>
      <c r="D3138" s="30" t="s">
        <v>1588</v>
      </c>
      <c r="F3138" s="30" t="s">
        <v>1591</v>
      </c>
      <c r="H3138" s="30" t="s">
        <v>1592</v>
      </c>
      <c r="M3138" s="30" t="s">
        <v>2400</v>
      </c>
      <c r="N3138" s="30" t="s">
        <v>1526</v>
      </c>
      <c r="P3138" s="30" t="s">
        <v>12434</v>
      </c>
      <c r="Q3138" t="s">
        <v>619</v>
      </c>
      <c r="R3138" t="s">
        <v>917</v>
      </c>
      <c r="S3138">
        <v>39</v>
      </c>
      <c r="T3138" s="29" t="str">
        <f>HYPERLINK("https://ictv.global/ictv/proposals/2023.054B.Queuovirinae_reorg.zip","2023.054B.Queuovirinae_reorg.zip")</f>
        <v>2023.054B.Queuovirinae_reorg.zip</v>
      </c>
      <c r="U3138" s="29" t="str">
        <f>HYPERLINK("https://ictv.global/taxonomy/taxondetails?taxnode_id=202319245","ictv.global=202319245")</f>
        <v>ictv.global=202319245</v>
      </c>
    </row>
    <row r="3139" spans="1:21">
      <c r="A3139">
        <v>3138</v>
      </c>
      <c r="B3139" s="30" t="s">
        <v>1587</v>
      </c>
      <c r="D3139" s="30" t="s">
        <v>1588</v>
      </c>
      <c r="F3139" s="30" t="s">
        <v>1591</v>
      </c>
      <c r="H3139" s="30" t="s">
        <v>1592</v>
      </c>
      <c r="M3139" s="30" t="s">
        <v>2400</v>
      </c>
      <c r="N3139" s="30" t="s">
        <v>693</v>
      </c>
      <c r="P3139" s="30" t="s">
        <v>6660</v>
      </c>
      <c r="Q3139" t="s">
        <v>619</v>
      </c>
      <c r="R3139" t="s">
        <v>918</v>
      </c>
      <c r="S3139">
        <v>37</v>
      </c>
      <c r="T3139" s="29" t="str">
        <f t="shared" ref="T3139:T3145" si="139">HYPERLINK("https://ictv.global/ictv/proposals/2021.010B.R.Binomial_names.zip","2021.010B.R.Binomial_names.zip")</f>
        <v>2021.010B.R.Binomial_names.zip</v>
      </c>
      <c r="U3139" s="29" t="str">
        <f>HYPERLINK("https://ictv.global/taxonomy/taxondetails?taxnode_id=202301088","ictv.global=202301088")</f>
        <v>ictv.global=202301088</v>
      </c>
    </row>
    <row r="3140" spans="1:21">
      <c r="A3140">
        <v>3139</v>
      </c>
      <c r="B3140" s="30" t="s">
        <v>1587</v>
      </c>
      <c r="D3140" s="30" t="s">
        <v>1588</v>
      </c>
      <c r="F3140" s="30" t="s">
        <v>1591</v>
      </c>
      <c r="H3140" s="30" t="s">
        <v>1592</v>
      </c>
      <c r="M3140" s="30" t="s">
        <v>2400</v>
      </c>
      <c r="N3140" s="30" t="s">
        <v>693</v>
      </c>
      <c r="P3140" s="30" t="s">
        <v>6661</v>
      </c>
      <c r="Q3140" t="s">
        <v>619</v>
      </c>
      <c r="R3140" t="s">
        <v>918</v>
      </c>
      <c r="S3140">
        <v>37</v>
      </c>
      <c r="T3140" s="29" t="str">
        <f t="shared" si="139"/>
        <v>2021.010B.R.Binomial_names.zip</v>
      </c>
      <c r="U3140" s="29" t="str">
        <f>HYPERLINK("https://ictv.global/taxonomy/taxondetails?taxnode_id=202301089","ictv.global=202301089")</f>
        <v>ictv.global=202301089</v>
      </c>
    </row>
    <row r="3141" spans="1:21">
      <c r="A3141">
        <v>3140</v>
      </c>
      <c r="B3141" s="30" t="s">
        <v>1587</v>
      </c>
      <c r="D3141" s="30" t="s">
        <v>1588</v>
      </c>
      <c r="F3141" s="30" t="s">
        <v>1591</v>
      </c>
      <c r="H3141" s="30" t="s">
        <v>1592</v>
      </c>
      <c r="M3141" s="30" t="s">
        <v>2400</v>
      </c>
      <c r="N3141" s="30" t="s">
        <v>693</v>
      </c>
      <c r="P3141" s="30" t="s">
        <v>6662</v>
      </c>
      <c r="Q3141" t="s">
        <v>619</v>
      </c>
      <c r="R3141" t="s">
        <v>918</v>
      </c>
      <c r="S3141">
        <v>37</v>
      </c>
      <c r="T3141" s="29" t="str">
        <f t="shared" si="139"/>
        <v>2021.010B.R.Binomial_names.zip</v>
      </c>
      <c r="U3141" s="29" t="str">
        <f>HYPERLINK("https://ictv.global/taxonomy/taxondetails?taxnode_id=202301090","ictv.global=202301090")</f>
        <v>ictv.global=202301090</v>
      </c>
    </row>
    <row r="3142" spans="1:21">
      <c r="A3142">
        <v>3141</v>
      </c>
      <c r="B3142" s="30" t="s">
        <v>1587</v>
      </c>
      <c r="D3142" s="30" t="s">
        <v>1588</v>
      </c>
      <c r="F3142" s="30" t="s">
        <v>1591</v>
      </c>
      <c r="H3142" s="30" t="s">
        <v>1592</v>
      </c>
      <c r="M3142" s="30" t="s">
        <v>2400</v>
      </c>
      <c r="N3142" s="30" t="s">
        <v>693</v>
      </c>
      <c r="P3142" s="30" t="s">
        <v>6663</v>
      </c>
      <c r="Q3142" t="s">
        <v>619</v>
      </c>
      <c r="R3142" t="s">
        <v>918</v>
      </c>
      <c r="S3142">
        <v>37</v>
      </c>
      <c r="T3142" s="29" t="str">
        <f t="shared" si="139"/>
        <v>2021.010B.R.Binomial_names.zip</v>
      </c>
      <c r="U3142" s="29" t="str">
        <f>HYPERLINK("https://ictv.global/taxonomy/taxondetails?taxnode_id=202301087","ictv.global=202301087")</f>
        <v>ictv.global=202301087</v>
      </c>
    </row>
    <row r="3143" spans="1:21">
      <c r="A3143">
        <v>3142</v>
      </c>
      <c r="B3143" s="30" t="s">
        <v>1587</v>
      </c>
      <c r="D3143" s="30" t="s">
        <v>1588</v>
      </c>
      <c r="F3143" s="30" t="s">
        <v>1591</v>
      </c>
      <c r="H3143" s="30" t="s">
        <v>1592</v>
      </c>
      <c r="M3143" s="30" t="s">
        <v>2400</v>
      </c>
      <c r="N3143" s="30" t="s">
        <v>693</v>
      </c>
      <c r="P3143" s="30" t="s">
        <v>6664</v>
      </c>
      <c r="Q3143" t="s">
        <v>619</v>
      </c>
      <c r="R3143" t="s">
        <v>918</v>
      </c>
      <c r="S3143">
        <v>37</v>
      </c>
      <c r="T3143" s="29" t="str">
        <f t="shared" si="139"/>
        <v>2021.010B.R.Binomial_names.zip</v>
      </c>
      <c r="U3143" s="29" t="str">
        <f>HYPERLINK("https://ictv.global/taxonomy/taxondetails?taxnode_id=202307077","ictv.global=202307077")</f>
        <v>ictv.global=202307077</v>
      </c>
    </row>
    <row r="3144" spans="1:21">
      <c r="A3144">
        <v>3143</v>
      </c>
      <c r="B3144" s="30" t="s">
        <v>1587</v>
      </c>
      <c r="D3144" s="30" t="s">
        <v>1588</v>
      </c>
      <c r="F3144" s="30" t="s">
        <v>1591</v>
      </c>
      <c r="H3144" s="30" t="s">
        <v>1592</v>
      </c>
      <c r="M3144" s="30" t="s">
        <v>2400</v>
      </c>
      <c r="N3144" s="30" t="s">
        <v>700</v>
      </c>
      <c r="P3144" s="30" t="s">
        <v>6665</v>
      </c>
      <c r="Q3144" t="s">
        <v>619</v>
      </c>
      <c r="R3144" t="s">
        <v>918</v>
      </c>
      <c r="S3144">
        <v>37</v>
      </c>
      <c r="T3144" s="29" t="str">
        <f t="shared" si="139"/>
        <v>2021.010B.R.Binomial_names.zip</v>
      </c>
      <c r="U3144" s="29" t="str">
        <f>HYPERLINK("https://ictv.global/taxonomy/taxondetails?taxnode_id=202301261","ictv.global=202301261")</f>
        <v>ictv.global=202301261</v>
      </c>
    </row>
    <row r="3145" spans="1:21">
      <c r="A3145">
        <v>3144</v>
      </c>
      <c r="B3145" s="30" t="s">
        <v>1587</v>
      </c>
      <c r="D3145" s="30" t="s">
        <v>1588</v>
      </c>
      <c r="F3145" s="30" t="s">
        <v>1591</v>
      </c>
      <c r="H3145" s="30" t="s">
        <v>1592</v>
      </c>
      <c r="M3145" s="30" t="s">
        <v>2400</v>
      </c>
      <c r="N3145" s="30" t="s">
        <v>700</v>
      </c>
      <c r="P3145" s="30" t="s">
        <v>6666</v>
      </c>
      <c r="Q3145" t="s">
        <v>619</v>
      </c>
      <c r="R3145" t="s">
        <v>918</v>
      </c>
      <c r="S3145">
        <v>37</v>
      </c>
      <c r="T3145" s="29" t="str">
        <f t="shared" si="139"/>
        <v>2021.010B.R.Binomial_names.zip</v>
      </c>
      <c r="U3145" s="29" t="str">
        <f>HYPERLINK("https://ictv.global/taxonomy/taxondetails?taxnode_id=202301262","ictv.global=202301262")</f>
        <v>ictv.global=202301262</v>
      </c>
    </row>
    <row r="3146" spans="1:21">
      <c r="A3146">
        <v>3145</v>
      </c>
      <c r="B3146" s="30" t="s">
        <v>1587</v>
      </c>
      <c r="D3146" s="30" t="s">
        <v>1588</v>
      </c>
      <c r="F3146" s="30" t="s">
        <v>1591</v>
      </c>
      <c r="H3146" s="30" t="s">
        <v>1592</v>
      </c>
      <c r="M3146" s="30" t="s">
        <v>2400</v>
      </c>
      <c r="N3146" s="30" t="s">
        <v>12435</v>
      </c>
      <c r="P3146" s="30" t="s">
        <v>12436</v>
      </c>
      <c r="Q3146" t="s">
        <v>619</v>
      </c>
      <c r="R3146" t="s">
        <v>917</v>
      </c>
      <c r="S3146">
        <v>39</v>
      </c>
      <c r="T3146" s="29" t="str">
        <f>HYPERLINK("https://ictv.global/ictv/proposals/2023.054B.Queuovirinae_reorg.zip","2023.054B.Queuovirinae_reorg.zip")</f>
        <v>2023.054B.Queuovirinae_reorg.zip</v>
      </c>
      <c r="U3146" s="29" t="str">
        <f>HYPERLINK("https://ictv.global/taxonomy/taxondetails?taxnode_id=202319248","ictv.global=202319248")</f>
        <v>ictv.global=202319248</v>
      </c>
    </row>
    <row r="3147" spans="1:21">
      <c r="A3147">
        <v>3146</v>
      </c>
      <c r="B3147" s="30" t="s">
        <v>1587</v>
      </c>
      <c r="D3147" s="30" t="s">
        <v>1588</v>
      </c>
      <c r="F3147" s="30" t="s">
        <v>1591</v>
      </c>
      <c r="H3147" s="30" t="s">
        <v>1592</v>
      </c>
      <c r="M3147" s="30" t="s">
        <v>2400</v>
      </c>
      <c r="N3147" s="30" t="s">
        <v>12437</v>
      </c>
      <c r="P3147" s="30" t="s">
        <v>12438</v>
      </c>
      <c r="Q3147" t="s">
        <v>619</v>
      </c>
      <c r="R3147" t="s">
        <v>917</v>
      </c>
      <c r="S3147">
        <v>39</v>
      </c>
      <c r="T3147" s="29" t="str">
        <f>HYPERLINK("https://ictv.global/ictv/proposals/2023.054B.Queuovirinae_reorg.zip","2023.054B.Queuovirinae_reorg.zip")</f>
        <v>2023.054B.Queuovirinae_reorg.zip</v>
      </c>
      <c r="U3147" s="29" t="str">
        <f>HYPERLINK("https://ictv.global/taxonomy/taxondetails?taxnode_id=202319247","ictv.global=202319247")</f>
        <v>ictv.global=202319247</v>
      </c>
    </row>
    <row r="3148" spans="1:21">
      <c r="A3148">
        <v>3147</v>
      </c>
      <c r="B3148" s="30" t="s">
        <v>1587</v>
      </c>
      <c r="D3148" s="30" t="s">
        <v>1588</v>
      </c>
      <c r="F3148" s="30" t="s">
        <v>1591</v>
      </c>
      <c r="H3148" s="30" t="s">
        <v>1592</v>
      </c>
      <c r="M3148" s="30" t="s">
        <v>6667</v>
      </c>
      <c r="N3148" s="30" t="s">
        <v>6668</v>
      </c>
      <c r="P3148" s="30" t="s">
        <v>6669</v>
      </c>
      <c r="Q3148" t="s">
        <v>619</v>
      </c>
      <c r="R3148" t="s">
        <v>917</v>
      </c>
      <c r="S3148">
        <v>37</v>
      </c>
      <c r="T3148" s="29" t="str">
        <f>HYPERLINK("https://ictv.global/ictv/proposals/2021.073B.R.Ruthgordonvirinae.zip","2021.073B.R.Ruthgordonvirinae.zip")</f>
        <v>2021.073B.R.Ruthgordonvirinae.zip</v>
      </c>
      <c r="U3148" s="29" t="str">
        <f>HYPERLINK("https://ictv.global/taxonomy/taxondetails?taxnode_id=202312904","ictv.global=202312904")</f>
        <v>ictv.global=202312904</v>
      </c>
    </row>
    <row r="3149" spans="1:21">
      <c r="A3149">
        <v>3148</v>
      </c>
      <c r="B3149" s="30" t="s">
        <v>1587</v>
      </c>
      <c r="D3149" s="30" t="s">
        <v>1588</v>
      </c>
      <c r="F3149" s="30" t="s">
        <v>1591</v>
      </c>
      <c r="H3149" s="30" t="s">
        <v>1592</v>
      </c>
      <c r="M3149" s="30" t="s">
        <v>6667</v>
      </c>
      <c r="N3149" s="30" t="s">
        <v>6670</v>
      </c>
      <c r="P3149" s="30" t="s">
        <v>6671</v>
      </c>
      <c r="Q3149" t="s">
        <v>619</v>
      </c>
      <c r="R3149" t="s">
        <v>917</v>
      </c>
      <c r="S3149">
        <v>37</v>
      </c>
      <c r="T3149" s="29" t="str">
        <f>HYPERLINK("https://ictv.global/ictv/proposals/2021.073B.R.Ruthgordonvirinae.zip","2021.073B.R.Ruthgordonvirinae.zip")</f>
        <v>2021.073B.R.Ruthgordonvirinae.zip</v>
      </c>
      <c r="U3149" s="29" t="str">
        <f>HYPERLINK("https://ictv.global/taxonomy/taxondetails?taxnode_id=202312906","ictv.global=202312906")</f>
        <v>ictv.global=202312906</v>
      </c>
    </row>
    <row r="3150" spans="1:21">
      <c r="A3150">
        <v>3149</v>
      </c>
      <c r="B3150" s="30" t="s">
        <v>1587</v>
      </c>
      <c r="D3150" s="30" t="s">
        <v>1588</v>
      </c>
      <c r="F3150" s="30" t="s">
        <v>1591</v>
      </c>
      <c r="H3150" s="30" t="s">
        <v>1592</v>
      </c>
      <c r="M3150" s="30" t="s">
        <v>6667</v>
      </c>
      <c r="N3150" s="30" t="s">
        <v>1494</v>
      </c>
      <c r="P3150" s="30" t="s">
        <v>6672</v>
      </c>
      <c r="Q3150" t="s">
        <v>619</v>
      </c>
      <c r="R3150" t="s">
        <v>918</v>
      </c>
      <c r="S3150">
        <v>37</v>
      </c>
      <c r="T3150" s="29" t="str">
        <f>HYPERLINK("https://ictv.global/ictv/proposals/2021.010B.R.Binomial_names.zip","2021.010B.R.Binomial_names.zip")</f>
        <v>2021.010B.R.Binomial_names.zip</v>
      </c>
      <c r="U3150" s="29" t="str">
        <f>HYPERLINK("https://ictv.global/taxonomy/taxondetails?taxnode_id=202306632","ictv.global=202306632")</f>
        <v>ictv.global=202306632</v>
      </c>
    </row>
    <row r="3151" spans="1:21">
      <c r="A3151">
        <v>3150</v>
      </c>
      <c r="B3151" s="30" t="s">
        <v>1587</v>
      </c>
      <c r="D3151" s="30" t="s">
        <v>1588</v>
      </c>
      <c r="F3151" s="30" t="s">
        <v>1591</v>
      </c>
      <c r="H3151" s="30" t="s">
        <v>1592</v>
      </c>
      <c r="M3151" s="30" t="s">
        <v>6667</v>
      </c>
      <c r="N3151" s="30" t="s">
        <v>6673</v>
      </c>
      <c r="P3151" s="30" t="s">
        <v>6674</v>
      </c>
      <c r="Q3151" t="s">
        <v>619</v>
      </c>
      <c r="R3151" t="s">
        <v>917</v>
      </c>
      <c r="S3151">
        <v>37</v>
      </c>
      <c r="T3151" s="29" t="str">
        <f>HYPERLINK("https://ictv.global/ictv/proposals/2021.073B.R.Ruthgordonvirinae.zip","2021.073B.R.Ruthgordonvirinae.zip")</f>
        <v>2021.073B.R.Ruthgordonvirinae.zip</v>
      </c>
      <c r="U3151" s="29" t="str">
        <f>HYPERLINK("https://ictv.global/taxonomy/taxondetails?taxnode_id=202312908","ictv.global=202312908")</f>
        <v>ictv.global=202312908</v>
      </c>
    </row>
    <row r="3152" spans="1:21">
      <c r="A3152">
        <v>3151</v>
      </c>
      <c r="B3152" s="30" t="s">
        <v>1587</v>
      </c>
      <c r="D3152" s="30" t="s">
        <v>1588</v>
      </c>
      <c r="F3152" s="30" t="s">
        <v>1591</v>
      </c>
      <c r="H3152" s="30" t="s">
        <v>1592</v>
      </c>
      <c r="M3152" s="30" t="s">
        <v>6667</v>
      </c>
      <c r="N3152" s="30" t="s">
        <v>6675</v>
      </c>
      <c r="P3152" s="30" t="s">
        <v>6676</v>
      </c>
      <c r="Q3152" t="s">
        <v>619</v>
      </c>
      <c r="R3152" t="s">
        <v>917</v>
      </c>
      <c r="S3152">
        <v>37</v>
      </c>
      <c r="T3152" s="29" t="str">
        <f>HYPERLINK("https://ictv.global/ictv/proposals/2021.073B.R.Ruthgordonvirinae.zip","2021.073B.R.Ruthgordonvirinae.zip")</f>
        <v>2021.073B.R.Ruthgordonvirinae.zip</v>
      </c>
      <c r="U3152" s="29" t="str">
        <f>HYPERLINK("https://ictv.global/taxonomy/taxondetails?taxnode_id=202312911","ictv.global=202312911")</f>
        <v>ictv.global=202312911</v>
      </c>
    </row>
    <row r="3153" spans="1:21">
      <c r="A3153">
        <v>3152</v>
      </c>
      <c r="B3153" s="30" t="s">
        <v>1587</v>
      </c>
      <c r="D3153" s="30" t="s">
        <v>1588</v>
      </c>
      <c r="F3153" s="30" t="s">
        <v>1591</v>
      </c>
      <c r="H3153" s="30" t="s">
        <v>1592</v>
      </c>
      <c r="M3153" s="30" t="s">
        <v>6667</v>
      </c>
      <c r="N3153" s="30" t="s">
        <v>881</v>
      </c>
      <c r="P3153" s="30" t="s">
        <v>6677</v>
      </c>
      <c r="Q3153" t="s">
        <v>619</v>
      </c>
      <c r="R3153" t="s">
        <v>917</v>
      </c>
      <c r="S3153">
        <v>37</v>
      </c>
      <c r="T3153" s="29" t="str">
        <f>HYPERLINK("https://ictv.global/ictv/proposals/2021.073B.R.Ruthgordonvirinae.zip","2021.073B.R.Ruthgordonvirinae.zip")</f>
        <v>2021.073B.R.Ruthgordonvirinae.zip</v>
      </c>
      <c r="U3153" s="29" t="str">
        <f>HYPERLINK("https://ictv.global/taxonomy/taxondetails?taxnode_id=202312909","ictv.global=202312909")</f>
        <v>ictv.global=202312909</v>
      </c>
    </row>
    <row r="3154" spans="1:21">
      <c r="A3154">
        <v>3153</v>
      </c>
      <c r="B3154" s="30" t="s">
        <v>1587</v>
      </c>
      <c r="D3154" s="30" t="s">
        <v>1588</v>
      </c>
      <c r="F3154" s="30" t="s">
        <v>1591</v>
      </c>
      <c r="H3154" s="30" t="s">
        <v>1592</v>
      </c>
      <c r="M3154" s="30" t="s">
        <v>6667</v>
      </c>
      <c r="N3154" s="30" t="s">
        <v>881</v>
      </c>
      <c r="P3154" s="30" t="s">
        <v>6678</v>
      </c>
      <c r="Q3154" t="s">
        <v>619</v>
      </c>
      <c r="R3154" t="s">
        <v>918</v>
      </c>
      <c r="S3154">
        <v>37</v>
      </c>
      <c r="T3154" s="29" t="str">
        <f>HYPERLINK("https://ictv.global/ictv/proposals/2021.073B.R.Ruthgordonvirinae.zip","2021.073B.R.Ruthgordonvirinae.zip")</f>
        <v>2021.073B.R.Ruthgordonvirinae.zip</v>
      </c>
      <c r="U3154" s="29" t="str">
        <f>HYPERLINK("https://ictv.global/taxonomy/taxondetails?taxnode_id=202301367","ictv.global=202301367")</f>
        <v>ictv.global=202301367</v>
      </c>
    </row>
    <row r="3155" spans="1:21">
      <c r="A3155">
        <v>3154</v>
      </c>
      <c r="B3155" s="30" t="s">
        <v>1587</v>
      </c>
      <c r="D3155" s="30" t="s">
        <v>1588</v>
      </c>
      <c r="F3155" s="30" t="s">
        <v>1591</v>
      </c>
      <c r="H3155" s="30" t="s">
        <v>1592</v>
      </c>
      <c r="M3155" s="30" t="s">
        <v>6679</v>
      </c>
      <c r="N3155" s="30" t="s">
        <v>6680</v>
      </c>
      <c r="P3155" s="30" t="s">
        <v>6681</v>
      </c>
      <c r="Q3155" t="s">
        <v>619</v>
      </c>
      <c r="R3155" t="s">
        <v>917</v>
      </c>
      <c r="S3155">
        <v>38</v>
      </c>
      <c r="T3155" s="29" t="str">
        <f>HYPERLINK("https://ictv.global/ictv/proposals/2022.075B.Sejongvirinae_nsf.zip","2022.075B.Sejongvirinae_nsf.zip")</f>
        <v>2022.075B.Sejongvirinae_nsf.zip</v>
      </c>
      <c r="U3155" s="29" t="str">
        <f>HYPERLINK("https://ictv.global/taxonomy/taxondetails?taxnode_id=202314845","ictv.global=202314845")</f>
        <v>ictv.global=202314845</v>
      </c>
    </row>
    <row r="3156" spans="1:21">
      <c r="A3156">
        <v>3155</v>
      </c>
      <c r="B3156" s="30" t="s">
        <v>1587</v>
      </c>
      <c r="D3156" s="30" t="s">
        <v>1588</v>
      </c>
      <c r="F3156" s="30" t="s">
        <v>1591</v>
      </c>
      <c r="H3156" s="30" t="s">
        <v>1592</v>
      </c>
      <c r="M3156" s="30" t="s">
        <v>6679</v>
      </c>
      <c r="N3156" s="30" t="s">
        <v>6680</v>
      </c>
      <c r="P3156" s="30" t="s">
        <v>6682</v>
      </c>
      <c r="Q3156" t="s">
        <v>619</v>
      </c>
      <c r="R3156" t="s">
        <v>917</v>
      </c>
      <c r="S3156">
        <v>38</v>
      </c>
      <c r="T3156" s="29" t="str">
        <f>HYPERLINK("https://ictv.global/ictv/proposals/2022.075B.Sejongvirinae_nsf.zip","2022.075B.Sejongvirinae_nsf.zip")</f>
        <v>2022.075B.Sejongvirinae_nsf.zip</v>
      </c>
      <c r="U3156" s="29" t="str">
        <f>HYPERLINK("https://ictv.global/taxonomy/taxondetails?taxnode_id=202314844","ictv.global=202314844")</f>
        <v>ictv.global=202314844</v>
      </c>
    </row>
    <row r="3157" spans="1:21">
      <c r="A3157">
        <v>3156</v>
      </c>
      <c r="B3157" s="30" t="s">
        <v>1587</v>
      </c>
      <c r="D3157" s="30" t="s">
        <v>1588</v>
      </c>
      <c r="F3157" s="30" t="s">
        <v>1591</v>
      </c>
      <c r="H3157" s="30" t="s">
        <v>1592</v>
      </c>
      <c r="M3157" s="30" t="s">
        <v>6679</v>
      </c>
      <c r="N3157" s="30" t="s">
        <v>6683</v>
      </c>
      <c r="P3157" s="30" t="s">
        <v>6684</v>
      </c>
      <c r="Q3157" t="s">
        <v>619</v>
      </c>
      <c r="R3157" t="s">
        <v>917</v>
      </c>
      <c r="S3157">
        <v>38</v>
      </c>
      <c r="T3157" s="29" t="str">
        <f>HYPERLINK("https://ictv.global/ictv/proposals/2022.075B.Sejongvirinae_nsf.zip","2022.075B.Sejongvirinae_nsf.zip")</f>
        <v>2022.075B.Sejongvirinae_nsf.zip</v>
      </c>
      <c r="U3157" s="29" t="str">
        <f>HYPERLINK("https://ictv.global/taxonomy/taxondetails?taxnode_id=202314848","ictv.global=202314848")</f>
        <v>ictv.global=202314848</v>
      </c>
    </row>
    <row r="3158" spans="1:21">
      <c r="A3158">
        <v>3157</v>
      </c>
      <c r="B3158" s="30" t="s">
        <v>1587</v>
      </c>
      <c r="D3158" s="30" t="s">
        <v>1588</v>
      </c>
      <c r="F3158" s="30" t="s">
        <v>1591</v>
      </c>
      <c r="H3158" s="30" t="s">
        <v>1592</v>
      </c>
      <c r="M3158" s="30" t="s">
        <v>6679</v>
      </c>
      <c r="N3158" s="30" t="s">
        <v>6683</v>
      </c>
      <c r="P3158" s="30" t="s">
        <v>6685</v>
      </c>
      <c r="Q3158" t="s">
        <v>619</v>
      </c>
      <c r="R3158" t="s">
        <v>917</v>
      </c>
      <c r="S3158">
        <v>38</v>
      </c>
      <c r="T3158" s="29" t="str">
        <f>HYPERLINK("https://ictv.global/ictv/proposals/2022.075B.Sejongvirinae_nsf.zip","2022.075B.Sejongvirinae_nsf.zip")</f>
        <v>2022.075B.Sejongvirinae_nsf.zip</v>
      </c>
      <c r="U3158" s="29" t="str">
        <f>HYPERLINK("https://ictv.global/taxonomy/taxondetails?taxnode_id=202314846","ictv.global=202314846")</f>
        <v>ictv.global=202314846</v>
      </c>
    </row>
    <row r="3159" spans="1:21">
      <c r="A3159">
        <v>3158</v>
      </c>
      <c r="B3159" s="30" t="s">
        <v>1587</v>
      </c>
      <c r="D3159" s="30" t="s">
        <v>1588</v>
      </c>
      <c r="F3159" s="30" t="s">
        <v>1591</v>
      </c>
      <c r="H3159" s="30" t="s">
        <v>1592</v>
      </c>
      <c r="M3159" s="30" t="s">
        <v>6679</v>
      </c>
      <c r="N3159" s="30" t="s">
        <v>6683</v>
      </c>
      <c r="P3159" s="30" t="s">
        <v>6686</v>
      </c>
      <c r="Q3159" t="s">
        <v>619</v>
      </c>
      <c r="R3159" t="s">
        <v>917</v>
      </c>
      <c r="S3159">
        <v>38</v>
      </c>
      <c r="T3159" s="29" t="str">
        <f>HYPERLINK("https://ictv.global/ictv/proposals/2022.075B.Sejongvirinae_nsf.zip","2022.075B.Sejongvirinae_nsf.zip")</f>
        <v>2022.075B.Sejongvirinae_nsf.zip</v>
      </c>
      <c r="U3159" s="29" t="str">
        <f>HYPERLINK("https://ictv.global/taxonomy/taxondetails?taxnode_id=202314847","ictv.global=202314847")</f>
        <v>ictv.global=202314847</v>
      </c>
    </row>
    <row r="3160" spans="1:21">
      <c r="A3160">
        <v>3159</v>
      </c>
      <c r="B3160" s="30" t="s">
        <v>1587</v>
      </c>
      <c r="D3160" s="30" t="s">
        <v>1588</v>
      </c>
      <c r="F3160" s="30" t="s">
        <v>1591</v>
      </c>
      <c r="H3160" s="30" t="s">
        <v>1592</v>
      </c>
      <c r="M3160" s="30" t="s">
        <v>852</v>
      </c>
      <c r="N3160" s="30" t="s">
        <v>1409</v>
      </c>
      <c r="P3160" s="30" t="s">
        <v>6687</v>
      </c>
      <c r="Q3160" t="s">
        <v>619</v>
      </c>
      <c r="R3160" t="s">
        <v>918</v>
      </c>
      <c r="S3160">
        <v>37</v>
      </c>
      <c r="T3160" s="29" t="str">
        <f t="shared" ref="T3160:T3182" si="140">HYPERLINK("https://ictv.global/ictv/proposals/2021.010B.R.Binomial_names.zip","2021.010B.R.Binomial_names.zip")</f>
        <v>2021.010B.R.Binomial_names.zip</v>
      </c>
      <c r="U3160" s="29" t="str">
        <f>HYPERLINK("https://ictv.global/taxonomy/taxondetails?taxnode_id=202300613","ictv.global=202300613")</f>
        <v>ictv.global=202300613</v>
      </c>
    </row>
    <row r="3161" spans="1:21">
      <c r="A3161">
        <v>3160</v>
      </c>
      <c r="B3161" s="30" t="s">
        <v>1587</v>
      </c>
      <c r="D3161" s="30" t="s">
        <v>1588</v>
      </c>
      <c r="F3161" s="30" t="s">
        <v>1591</v>
      </c>
      <c r="H3161" s="30" t="s">
        <v>1592</v>
      </c>
      <c r="M3161" s="30" t="s">
        <v>852</v>
      </c>
      <c r="N3161" s="30" t="s">
        <v>1409</v>
      </c>
      <c r="P3161" s="30" t="s">
        <v>6688</v>
      </c>
      <c r="Q3161" t="s">
        <v>619</v>
      </c>
      <c r="R3161" t="s">
        <v>918</v>
      </c>
      <c r="S3161">
        <v>37</v>
      </c>
      <c r="T3161" s="29" t="str">
        <f t="shared" si="140"/>
        <v>2021.010B.R.Binomial_names.zip</v>
      </c>
      <c r="U3161" s="29" t="str">
        <f>HYPERLINK("https://ictv.global/taxonomy/taxondetails?taxnode_id=202300614","ictv.global=202300614")</f>
        <v>ictv.global=202300614</v>
      </c>
    </row>
    <row r="3162" spans="1:21">
      <c r="A3162">
        <v>3161</v>
      </c>
      <c r="B3162" s="30" t="s">
        <v>1587</v>
      </c>
      <c r="D3162" s="30" t="s">
        <v>1588</v>
      </c>
      <c r="F3162" s="30" t="s">
        <v>1591</v>
      </c>
      <c r="H3162" s="30" t="s">
        <v>1592</v>
      </c>
      <c r="M3162" s="30" t="s">
        <v>852</v>
      </c>
      <c r="N3162" s="30" t="s">
        <v>1410</v>
      </c>
      <c r="P3162" s="30" t="s">
        <v>6689</v>
      </c>
      <c r="Q3162" t="s">
        <v>619</v>
      </c>
      <c r="R3162" t="s">
        <v>918</v>
      </c>
      <c r="S3162">
        <v>37</v>
      </c>
      <c r="T3162" s="29" t="str">
        <f t="shared" si="140"/>
        <v>2021.010B.R.Binomial_names.zip</v>
      </c>
      <c r="U3162" s="29" t="str">
        <f>HYPERLINK("https://ictv.global/taxonomy/taxondetails?taxnode_id=202311846","ictv.global=202311846")</f>
        <v>ictv.global=202311846</v>
      </c>
    </row>
    <row r="3163" spans="1:21">
      <c r="A3163">
        <v>3162</v>
      </c>
      <c r="B3163" s="30" t="s">
        <v>1587</v>
      </c>
      <c r="D3163" s="30" t="s">
        <v>1588</v>
      </c>
      <c r="F3163" s="30" t="s">
        <v>1591</v>
      </c>
      <c r="H3163" s="30" t="s">
        <v>1592</v>
      </c>
      <c r="M3163" s="30" t="s">
        <v>852</v>
      </c>
      <c r="N3163" s="30" t="s">
        <v>1410</v>
      </c>
      <c r="P3163" s="30" t="s">
        <v>6690</v>
      </c>
      <c r="Q3163" t="s">
        <v>619</v>
      </c>
      <c r="R3163" t="s">
        <v>918</v>
      </c>
      <c r="S3163">
        <v>37</v>
      </c>
      <c r="T3163" s="29" t="str">
        <f t="shared" si="140"/>
        <v>2021.010B.R.Binomial_names.zip</v>
      </c>
      <c r="U3163" s="29" t="str">
        <f>HYPERLINK("https://ictv.global/taxonomy/taxondetails?taxnode_id=202311845","ictv.global=202311845")</f>
        <v>ictv.global=202311845</v>
      </c>
    </row>
    <row r="3164" spans="1:21">
      <c r="A3164">
        <v>3163</v>
      </c>
      <c r="B3164" s="30" t="s">
        <v>1587</v>
      </c>
      <c r="D3164" s="30" t="s">
        <v>1588</v>
      </c>
      <c r="F3164" s="30" t="s">
        <v>1591</v>
      </c>
      <c r="H3164" s="30" t="s">
        <v>1592</v>
      </c>
      <c r="M3164" s="30" t="s">
        <v>852</v>
      </c>
      <c r="N3164" s="30" t="s">
        <v>1410</v>
      </c>
      <c r="P3164" s="30" t="s">
        <v>6691</v>
      </c>
      <c r="Q3164" t="s">
        <v>619</v>
      </c>
      <c r="R3164" t="s">
        <v>918</v>
      </c>
      <c r="S3164">
        <v>37</v>
      </c>
      <c r="T3164" s="29" t="str">
        <f t="shared" si="140"/>
        <v>2021.010B.R.Binomial_names.zip</v>
      </c>
      <c r="U3164" s="29" t="str">
        <f>HYPERLINK("https://ictv.global/taxonomy/taxondetails?taxnode_id=202300616","ictv.global=202300616")</f>
        <v>ictv.global=202300616</v>
      </c>
    </row>
    <row r="3165" spans="1:21">
      <c r="A3165">
        <v>3164</v>
      </c>
      <c r="B3165" s="30" t="s">
        <v>1587</v>
      </c>
      <c r="D3165" s="30" t="s">
        <v>1588</v>
      </c>
      <c r="F3165" s="30" t="s">
        <v>1591</v>
      </c>
      <c r="H3165" s="30" t="s">
        <v>1592</v>
      </c>
      <c r="M3165" s="30" t="s">
        <v>852</v>
      </c>
      <c r="N3165" s="30" t="s">
        <v>1410</v>
      </c>
      <c r="P3165" s="30" t="s">
        <v>6692</v>
      </c>
      <c r="Q3165" t="s">
        <v>619</v>
      </c>
      <c r="R3165" t="s">
        <v>918</v>
      </c>
      <c r="S3165">
        <v>37</v>
      </c>
      <c r="T3165" s="29" t="str">
        <f t="shared" si="140"/>
        <v>2021.010B.R.Binomial_names.zip</v>
      </c>
      <c r="U3165" s="29" t="str">
        <f>HYPERLINK("https://ictv.global/taxonomy/taxondetails?taxnode_id=202300617","ictv.global=202300617")</f>
        <v>ictv.global=202300617</v>
      </c>
    </row>
    <row r="3166" spans="1:21">
      <c r="A3166">
        <v>3165</v>
      </c>
      <c r="B3166" s="30" t="s">
        <v>1587</v>
      </c>
      <c r="D3166" s="30" t="s">
        <v>1588</v>
      </c>
      <c r="F3166" s="30" t="s">
        <v>1591</v>
      </c>
      <c r="H3166" s="30" t="s">
        <v>1592</v>
      </c>
      <c r="M3166" s="30" t="s">
        <v>852</v>
      </c>
      <c r="N3166" s="30" t="s">
        <v>1410</v>
      </c>
      <c r="P3166" s="30" t="s">
        <v>6693</v>
      </c>
      <c r="Q3166" t="s">
        <v>619</v>
      </c>
      <c r="R3166" t="s">
        <v>918</v>
      </c>
      <c r="S3166">
        <v>37</v>
      </c>
      <c r="T3166" s="29" t="str">
        <f t="shared" si="140"/>
        <v>2021.010B.R.Binomial_names.zip</v>
      </c>
      <c r="U3166" s="29" t="str">
        <f>HYPERLINK("https://ictv.global/taxonomy/taxondetails?taxnode_id=202300618","ictv.global=202300618")</f>
        <v>ictv.global=202300618</v>
      </c>
    </row>
    <row r="3167" spans="1:21">
      <c r="A3167">
        <v>3166</v>
      </c>
      <c r="B3167" s="30" t="s">
        <v>1587</v>
      </c>
      <c r="D3167" s="30" t="s">
        <v>1588</v>
      </c>
      <c r="F3167" s="30" t="s">
        <v>1591</v>
      </c>
      <c r="H3167" s="30" t="s">
        <v>1592</v>
      </c>
      <c r="M3167" s="30" t="s">
        <v>852</v>
      </c>
      <c r="N3167" s="30" t="s">
        <v>1410</v>
      </c>
      <c r="P3167" s="30" t="s">
        <v>6694</v>
      </c>
      <c r="Q3167" t="s">
        <v>619</v>
      </c>
      <c r="R3167" t="s">
        <v>918</v>
      </c>
      <c r="S3167">
        <v>37</v>
      </c>
      <c r="T3167" s="29" t="str">
        <f t="shared" si="140"/>
        <v>2021.010B.R.Binomial_names.zip</v>
      </c>
      <c r="U3167" s="29" t="str">
        <f>HYPERLINK("https://ictv.global/taxonomy/taxondetails?taxnode_id=202300619","ictv.global=202300619")</f>
        <v>ictv.global=202300619</v>
      </c>
    </row>
    <row r="3168" spans="1:21">
      <c r="A3168">
        <v>3167</v>
      </c>
      <c r="B3168" s="30" t="s">
        <v>1587</v>
      </c>
      <c r="D3168" s="30" t="s">
        <v>1588</v>
      </c>
      <c r="F3168" s="30" t="s">
        <v>1591</v>
      </c>
      <c r="H3168" s="30" t="s">
        <v>1592</v>
      </c>
      <c r="M3168" s="30" t="s">
        <v>852</v>
      </c>
      <c r="N3168" s="30" t="s">
        <v>1411</v>
      </c>
      <c r="P3168" s="30" t="s">
        <v>6695</v>
      </c>
      <c r="Q3168" t="s">
        <v>619</v>
      </c>
      <c r="R3168" t="s">
        <v>918</v>
      </c>
      <c r="S3168">
        <v>37</v>
      </c>
      <c r="T3168" s="29" t="str">
        <f t="shared" si="140"/>
        <v>2021.010B.R.Binomial_names.zip</v>
      </c>
      <c r="U3168" s="29" t="str">
        <f>HYPERLINK("https://ictv.global/taxonomy/taxondetails?taxnode_id=202311849","ictv.global=202311849")</f>
        <v>ictv.global=202311849</v>
      </c>
    </row>
    <row r="3169" spans="1:21">
      <c r="A3169">
        <v>3168</v>
      </c>
      <c r="B3169" s="30" t="s">
        <v>1587</v>
      </c>
      <c r="D3169" s="30" t="s">
        <v>1588</v>
      </c>
      <c r="F3169" s="30" t="s">
        <v>1591</v>
      </c>
      <c r="H3169" s="30" t="s">
        <v>1592</v>
      </c>
      <c r="M3169" s="30" t="s">
        <v>852</v>
      </c>
      <c r="N3169" s="30" t="s">
        <v>1411</v>
      </c>
      <c r="P3169" s="30" t="s">
        <v>6696</v>
      </c>
      <c r="Q3169" t="s">
        <v>619</v>
      </c>
      <c r="R3169" t="s">
        <v>918</v>
      </c>
      <c r="S3169">
        <v>37</v>
      </c>
      <c r="T3169" s="29" t="str">
        <f t="shared" si="140"/>
        <v>2021.010B.R.Binomial_names.zip</v>
      </c>
      <c r="U3169" s="29" t="str">
        <f>HYPERLINK("https://ictv.global/taxonomy/taxondetails?taxnode_id=202311850","ictv.global=202311850")</f>
        <v>ictv.global=202311850</v>
      </c>
    </row>
    <row r="3170" spans="1:21">
      <c r="A3170">
        <v>3169</v>
      </c>
      <c r="B3170" s="30" t="s">
        <v>1587</v>
      </c>
      <c r="D3170" s="30" t="s">
        <v>1588</v>
      </c>
      <c r="F3170" s="30" t="s">
        <v>1591</v>
      </c>
      <c r="H3170" s="30" t="s">
        <v>1592</v>
      </c>
      <c r="M3170" s="30" t="s">
        <v>852</v>
      </c>
      <c r="N3170" s="30" t="s">
        <v>1411</v>
      </c>
      <c r="P3170" s="30" t="s">
        <v>6697</v>
      </c>
      <c r="Q3170" t="s">
        <v>619</v>
      </c>
      <c r="R3170" t="s">
        <v>918</v>
      </c>
      <c r="S3170">
        <v>37</v>
      </c>
      <c r="T3170" s="29" t="str">
        <f t="shared" si="140"/>
        <v>2021.010B.R.Binomial_names.zip</v>
      </c>
      <c r="U3170" s="29" t="str">
        <f>HYPERLINK("https://ictv.global/taxonomy/taxondetails?taxnode_id=202311853","ictv.global=202311853")</f>
        <v>ictv.global=202311853</v>
      </c>
    </row>
    <row r="3171" spans="1:21">
      <c r="A3171">
        <v>3170</v>
      </c>
      <c r="B3171" s="30" t="s">
        <v>1587</v>
      </c>
      <c r="D3171" s="30" t="s">
        <v>1588</v>
      </c>
      <c r="F3171" s="30" t="s">
        <v>1591</v>
      </c>
      <c r="H3171" s="30" t="s">
        <v>1592</v>
      </c>
      <c r="M3171" s="30" t="s">
        <v>852</v>
      </c>
      <c r="N3171" s="30" t="s">
        <v>1411</v>
      </c>
      <c r="P3171" s="30" t="s">
        <v>6698</v>
      </c>
      <c r="Q3171" t="s">
        <v>619</v>
      </c>
      <c r="R3171" t="s">
        <v>918</v>
      </c>
      <c r="S3171">
        <v>37</v>
      </c>
      <c r="T3171" s="29" t="str">
        <f t="shared" si="140"/>
        <v>2021.010B.R.Binomial_names.zip</v>
      </c>
      <c r="U3171" s="29" t="str">
        <f>HYPERLINK("https://ictv.global/taxonomy/taxondetails?taxnode_id=202300611","ictv.global=202300611")</f>
        <v>ictv.global=202300611</v>
      </c>
    </row>
    <row r="3172" spans="1:21">
      <c r="A3172">
        <v>3171</v>
      </c>
      <c r="B3172" s="30" t="s">
        <v>1587</v>
      </c>
      <c r="D3172" s="30" t="s">
        <v>1588</v>
      </c>
      <c r="F3172" s="30" t="s">
        <v>1591</v>
      </c>
      <c r="H3172" s="30" t="s">
        <v>1592</v>
      </c>
      <c r="M3172" s="30" t="s">
        <v>852</v>
      </c>
      <c r="N3172" s="30" t="s">
        <v>1411</v>
      </c>
      <c r="P3172" s="30" t="s">
        <v>6699</v>
      </c>
      <c r="Q3172" t="s">
        <v>619</v>
      </c>
      <c r="R3172" t="s">
        <v>918</v>
      </c>
      <c r="S3172">
        <v>37</v>
      </c>
      <c r="T3172" s="29" t="str">
        <f t="shared" si="140"/>
        <v>2021.010B.R.Binomial_names.zip</v>
      </c>
      <c r="U3172" s="29" t="str">
        <f>HYPERLINK("https://ictv.global/taxonomy/taxondetails?taxnode_id=202300609","ictv.global=202300609")</f>
        <v>ictv.global=202300609</v>
      </c>
    </row>
    <row r="3173" spans="1:21">
      <c r="A3173">
        <v>3172</v>
      </c>
      <c r="B3173" s="30" t="s">
        <v>1587</v>
      </c>
      <c r="D3173" s="30" t="s">
        <v>1588</v>
      </c>
      <c r="F3173" s="30" t="s">
        <v>1591</v>
      </c>
      <c r="H3173" s="30" t="s">
        <v>1592</v>
      </c>
      <c r="M3173" s="30" t="s">
        <v>852</v>
      </c>
      <c r="N3173" s="30" t="s">
        <v>1411</v>
      </c>
      <c r="P3173" s="30" t="s">
        <v>6700</v>
      </c>
      <c r="Q3173" t="s">
        <v>619</v>
      </c>
      <c r="R3173" t="s">
        <v>918</v>
      </c>
      <c r="S3173">
        <v>37</v>
      </c>
      <c r="T3173" s="29" t="str">
        <f t="shared" si="140"/>
        <v>2021.010B.R.Binomial_names.zip</v>
      </c>
      <c r="U3173" s="29" t="str">
        <f>HYPERLINK("https://ictv.global/taxonomy/taxondetails?taxnode_id=202311854","ictv.global=202311854")</f>
        <v>ictv.global=202311854</v>
      </c>
    </row>
    <row r="3174" spans="1:21">
      <c r="A3174">
        <v>3173</v>
      </c>
      <c r="B3174" s="30" t="s">
        <v>1587</v>
      </c>
      <c r="D3174" s="30" t="s">
        <v>1588</v>
      </c>
      <c r="F3174" s="30" t="s">
        <v>1591</v>
      </c>
      <c r="H3174" s="30" t="s">
        <v>1592</v>
      </c>
      <c r="M3174" s="30" t="s">
        <v>852</v>
      </c>
      <c r="N3174" s="30" t="s">
        <v>1411</v>
      </c>
      <c r="P3174" s="30" t="s">
        <v>6701</v>
      </c>
      <c r="Q3174" t="s">
        <v>619</v>
      </c>
      <c r="R3174" t="s">
        <v>918</v>
      </c>
      <c r="S3174">
        <v>37</v>
      </c>
      <c r="T3174" s="29" t="str">
        <f t="shared" si="140"/>
        <v>2021.010B.R.Binomial_names.zip</v>
      </c>
      <c r="U3174" s="29" t="str">
        <f>HYPERLINK("https://ictv.global/taxonomy/taxondetails?taxnode_id=202300610","ictv.global=202300610")</f>
        <v>ictv.global=202300610</v>
      </c>
    </row>
    <row r="3175" spans="1:21">
      <c r="A3175">
        <v>3174</v>
      </c>
      <c r="B3175" s="30" t="s">
        <v>1587</v>
      </c>
      <c r="D3175" s="30" t="s">
        <v>1588</v>
      </c>
      <c r="F3175" s="30" t="s">
        <v>1591</v>
      </c>
      <c r="H3175" s="30" t="s">
        <v>1592</v>
      </c>
      <c r="M3175" s="30" t="s">
        <v>852</v>
      </c>
      <c r="N3175" s="30" t="s">
        <v>1411</v>
      </c>
      <c r="P3175" s="30" t="s">
        <v>6702</v>
      </c>
      <c r="Q3175" t="s">
        <v>619</v>
      </c>
      <c r="R3175" t="s">
        <v>918</v>
      </c>
      <c r="S3175">
        <v>37</v>
      </c>
      <c r="T3175" s="29" t="str">
        <f t="shared" si="140"/>
        <v>2021.010B.R.Binomial_names.zip</v>
      </c>
      <c r="U3175" s="29" t="str">
        <f>HYPERLINK("https://ictv.global/taxonomy/taxondetails?taxnode_id=202311848","ictv.global=202311848")</f>
        <v>ictv.global=202311848</v>
      </c>
    </row>
    <row r="3176" spans="1:21">
      <c r="A3176">
        <v>3175</v>
      </c>
      <c r="B3176" s="30" t="s">
        <v>1587</v>
      </c>
      <c r="D3176" s="30" t="s">
        <v>1588</v>
      </c>
      <c r="F3176" s="30" t="s">
        <v>1591</v>
      </c>
      <c r="H3176" s="30" t="s">
        <v>1592</v>
      </c>
      <c r="M3176" s="30" t="s">
        <v>852</v>
      </c>
      <c r="N3176" s="30" t="s">
        <v>1411</v>
      </c>
      <c r="P3176" s="30" t="s">
        <v>6703</v>
      </c>
      <c r="Q3176" t="s">
        <v>619</v>
      </c>
      <c r="R3176" t="s">
        <v>918</v>
      </c>
      <c r="S3176">
        <v>37</v>
      </c>
      <c r="T3176" s="29" t="str">
        <f t="shared" si="140"/>
        <v>2021.010B.R.Binomial_names.zip</v>
      </c>
      <c r="U3176" s="29" t="str">
        <f>HYPERLINK("https://ictv.global/taxonomy/taxondetails?taxnode_id=202311851","ictv.global=202311851")</f>
        <v>ictv.global=202311851</v>
      </c>
    </row>
    <row r="3177" spans="1:21">
      <c r="A3177">
        <v>3176</v>
      </c>
      <c r="B3177" s="30" t="s">
        <v>1587</v>
      </c>
      <c r="D3177" s="30" t="s">
        <v>1588</v>
      </c>
      <c r="F3177" s="30" t="s">
        <v>1591</v>
      </c>
      <c r="H3177" s="30" t="s">
        <v>1592</v>
      </c>
      <c r="M3177" s="30" t="s">
        <v>852</v>
      </c>
      <c r="N3177" s="30" t="s">
        <v>1411</v>
      </c>
      <c r="P3177" s="30" t="s">
        <v>6704</v>
      </c>
      <c r="Q3177" t="s">
        <v>619</v>
      </c>
      <c r="R3177" t="s">
        <v>918</v>
      </c>
      <c r="S3177">
        <v>37</v>
      </c>
      <c r="T3177" s="29" t="str">
        <f t="shared" si="140"/>
        <v>2021.010B.R.Binomial_names.zip</v>
      </c>
      <c r="U3177" s="29" t="str">
        <f>HYPERLINK("https://ictv.global/taxonomy/taxondetails?taxnode_id=202311847","ictv.global=202311847")</f>
        <v>ictv.global=202311847</v>
      </c>
    </row>
    <row r="3178" spans="1:21">
      <c r="A3178">
        <v>3177</v>
      </c>
      <c r="B3178" s="30" t="s">
        <v>1587</v>
      </c>
      <c r="D3178" s="30" t="s">
        <v>1588</v>
      </c>
      <c r="F3178" s="30" t="s">
        <v>1591</v>
      </c>
      <c r="H3178" s="30" t="s">
        <v>1592</v>
      </c>
      <c r="M3178" s="30" t="s">
        <v>852</v>
      </c>
      <c r="N3178" s="30" t="s">
        <v>1411</v>
      </c>
      <c r="P3178" s="30" t="s">
        <v>6705</v>
      </c>
      <c r="Q3178" t="s">
        <v>619</v>
      </c>
      <c r="R3178" t="s">
        <v>918</v>
      </c>
      <c r="S3178">
        <v>37</v>
      </c>
      <c r="T3178" s="29" t="str">
        <f t="shared" si="140"/>
        <v>2021.010B.R.Binomial_names.zip</v>
      </c>
      <c r="U3178" s="29" t="str">
        <f>HYPERLINK("https://ictv.global/taxonomy/taxondetails?taxnode_id=202300607","ictv.global=202300607")</f>
        <v>ictv.global=202300607</v>
      </c>
    </row>
    <row r="3179" spans="1:21">
      <c r="A3179">
        <v>3178</v>
      </c>
      <c r="B3179" s="30" t="s">
        <v>1587</v>
      </c>
      <c r="D3179" s="30" t="s">
        <v>1588</v>
      </c>
      <c r="F3179" s="30" t="s">
        <v>1591</v>
      </c>
      <c r="H3179" s="30" t="s">
        <v>1592</v>
      </c>
      <c r="M3179" s="30" t="s">
        <v>852</v>
      </c>
      <c r="N3179" s="30" t="s">
        <v>1411</v>
      </c>
      <c r="P3179" s="30" t="s">
        <v>6706</v>
      </c>
      <c r="Q3179" t="s">
        <v>619</v>
      </c>
      <c r="R3179" t="s">
        <v>918</v>
      </c>
      <c r="S3179">
        <v>37</v>
      </c>
      <c r="T3179" s="29" t="str">
        <f t="shared" si="140"/>
        <v>2021.010B.R.Binomial_names.zip</v>
      </c>
      <c r="U3179" s="29" t="str">
        <f>HYPERLINK("https://ictv.global/taxonomy/taxondetails?taxnode_id=202300608","ictv.global=202300608")</f>
        <v>ictv.global=202300608</v>
      </c>
    </row>
    <row r="3180" spans="1:21">
      <c r="A3180">
        <v>3179</v>
      </c>
      <c r="B3180" s="30" t="s">
        <v>1587</v>
      </c>
      <c r="D3180" s="30" t="s">
        <v>1588</v>
      </c>
      <c r="F3180" s="30" t="s">
        <v>1591</v>
      </c>
      <c r="H3180" s="30" t="s">
        <v>1592</v>
      </c>
      <c r="M3180" s="30" t="s">
        <v>852</v>
      </c>
      <c r="N3180" s="30" t="s">
        <v>1411</v>
      </c>
      <c r="P3180" s="30" t="s">
        <v>6707</v>
      </c>
      <c r="Q3180" t="s">
        <v>619</v>
      </c>
      <c r="R3180" t="s">
        <v>918</v>
      </c>
      <c r="S3180">
        <v>37</v>
      </c>
      <c r="T3180" s="29" t="str">
        <f t="shared" si="140"/>
        <v>2021.010B.R.Binomial_names.zip</v>
      </c>
      <c r="U3180" s="29" t="str">
        <f>HYPERLINK("https://ictv.global/taxonomy/taxondetails?taxnode_id=202311852","ictv.global=202311852")</f>
        <v>ictv.global=202311852</v>
      </c>
    </row>
    <row r="3181" spans="1:21">
      <c r="A3181">
        <v>3180</v>
      </c>
      <c r="B3181" s="30" t="s">
        <v>1587</v>
      </c>
      <c r="D3181" s="30" t="s">
        <v>1588</v>
      </c>
      <c r="F3181" s="30" t="s">
        <v>1591</v>
      </c>
      <c r="H3181" s="30" t="s">
        <v>1592</v>
      </c>
      <c r="M3181" s="30" t="s">
        <v>2402</v>
      </c>
      <c r="N3181" s="30" t="s">
        <v>2403</v>
      </c>
      <c r="P3181" s="30" t="s">
        <v>6708</v>
      </c>
      <c r="Q3181" t="s">
        <v>619</v>
      </c>
      <c r="R3181" t="s">
        <v>918</v>
      </c>
      <c r="S3181">
        <v>37</v>
      </c>
      <c r="T3181" s="29" t="str">
        <f t="shared" si="140"/>
        <v>2021.010B.R.Binomial_names.zip</v>
      </c>
      <c r="U3181" s="29" t="str">
        <f>HYPERLINK("https://ictv.global/taxonomy/taxondetails?taxnode_id=202311866","ictv.global=202311866")</f>
        <v>ictv.global=202311866</v>
      </c>
    </row>
    <row r="3182" spans="1:21">
      <c r="A3182">
        <v>3181</v>
      </c>
      <c r="B3182" s="30" t="s">
        <v>1587</v>
      </c>
      <c r="D3182" s="30" t="s">
        <v>1588</v>
      </c>
      <c r="F3182" s="30" t="s">
        <v>1591</v>
      </c>
      <c r="H3182" s="30" t="s">
        <v>1592</v>
      </c>
      <c r="M3182" s="30" t="s">
        <v>2402</v>
      </c>
      <c r="N3182" s="30" t="s">
        <v>2404</v>
      </c>
      <c r="P3182" s="30" t="s">
        <v>6709</v>
      </c>
      <c r="Q3182" t="s">
        <v>619</v>
      </c>
      <c r="R3182" t="s">
        <v>918</v>
      </c>
      <c r="S3182">
        <v>37</v>
      </c>
      <c r="T3182" s="29" t="str">
        <f t="shared" si="140"/>
        <v>2021.010B.R.Binomial_names.zip</v>
      </c>
      <c r="U3182" s="29" t="str">
        <f>HYPERLINK("https://ictv.global/taxonomy/taxondetails?taxnode_id=202311864","ictv.global=202311864")</f>
        <v>ictv.global=202311864</v>
      </c>
    </row>
    <row r="3183" spans="1:21">
      <c r="A3183">
        <v>3182</v>
      </c>
      <c r="B3183" s="30" t="s">
        <v>1587</v>
      </c>
      <c r="D3183" s="30" t="s">
        <v>1588</v>
      </c>
      <c r="F3183" s="30" t="s">
        <v>1591</v>
      </c>
      <c r="H3183" s="30" t="s">
        <v>1592</v>
      </c>
      <c r="M3183" s="30" t="s">
        <v>12439</v>
      </c>
      <c r="N3183" s="30" t="s">
        <v>12440</v>
      </c>
      <c r="P3183" s="30" t="s">
        <v>12441</v>
      </c>
      <c r="Q3183" t="s">
        <v>619</v>
      </c>
      <c r="R3183" t="s">
        <v>917</v>
      </c>
      <c r="S3183">
        <v>39</v>
      </c>
      <c r="T3183" s="29" t="str">
        <f t="shared" ref="T3183:T3214" si="141">HYPERLINK("https://ictv.global/ictv/proposals/2023.062B.Skurskavirinae_nsf.zip","2023.062B.Skurskavirinae_nsf.zip")</f>
        <v>2023.062B.Skurskavirinae_nsf.zip</v>
      </c>
      <c r="U3183" s="29" t="str">
        <f>HYPERLINK("https://ictv.global/taxonomy/taxondetails?taxnode_id=202319270","ictv.global=202319270")</f>
        <v>ictv.global=202319270</v>
      </c>
    </row>
    <row r="3184" spans="1:21">
      <c r="A3184">
        <v>3183</v>
      </c>
      <c r="B3184" s="30" t="s">
        <v>1587</v>
      </c>
      <c r="D3184" s="30" t="s">
        <v>1588</v>
      </c>
      <c r="F3184" s="30" t="s">
        <v>1591</v>
      </c>
      <c r="H3184" s="30" t="s">
        <v>1592</v>
      </c>
      <c r="M3184" s="30" t="s">
        <v>12439</v>
      </c>
      <c r="N3184" s="30" t="s">
        <v>642</v>
      </c>
      <c r="P3184" s="30" t="s">
        <v>12442</v>
      </c>
      <c r="Q3184" t="s">
        <v>619</v>
      </c>
      <c r="R3184" t="s">
        <v>917</v>
      </c>
      <c r="S3184">
        <v>39</v>
      </c>
      <c r="T3184" s="29" t="str">
        <f t="shared" si="141"/>
        <v>2023.062B.Skurskavirinae_nsf.zip</v>
      </c>
      <c r="U3184" s="29" t="str">
        <f>HYPERLINK("https://ictv.global/taxonomy/taxondetails?taxnode_id=202319285","ictv.global=202319285")</f>
        <v>ictv.global=202319285</v>
      </c>
    </row>
    <row r="3185" spans="1:21">
      <c r="A3185">
        <v>3184</v>
      </c>
      <c r="B3185" s="30" t="s">
        <v>1587</v>
      </c>
      <c r="D3185" s="30" t="s">
        <v>1588</v>
      </c>
      <c r="F3185" s="30" t="s">
        <v>1591</v>
      </c>
      <c r="H3185" s="30" t="s">
        <v>1592</v>
      </c>
      <c r="M3185" s="30" t="s">
        <v>12439</v>
      </c>
      <c r="N3185" s="30" t="s">
        <v>642</v>
      </c>
      <c r="P3185" s="30" t="s">
        <v>12443</v>
      </c>
      <c r="Q3185" t="s">
        <v>619</v>
      </c>
      <c r="R3185" t="s">
        <v>917</v>
      </c>
      <c r="S3185">
        <v>39</v>
      </c>
      <c r="T3185" s="29" t="str">
        <f t="shared" si="141"/>
        <v>2023.062B.Skurskavirinae_nsf.zip</v>
      </c>
      <c r="U3185" s="29" t="str">
        <f>HYPERLINK("https://ictv.global/taxonomy/taxondetails?taxnode_id=202319283","ictv.global=202319283")</f>
        <v>ictv.global=202319283</v>
      </c>
    </row>
    <row r="3186" spans="1:21">
      <c r="A3186">
        <v>3185</v>
      </c>
      <c r="B3186" s="30" t="s">
        <v>1587</v>
      </c>
      <c r="D3186" s="30" t="s">
        <v>1588</v>
      </c>
      <c r="F3186" s="30" t="s">
        <v>1591</v>
      </c>
      <c r="H3186" s="30" t="s">
        <v>1592</v>
      </c>
      <c r="M3186" s="30" t="s">
        <v>12439</v>
      </c>
      <c r="N3186" s="30" t="s">
        <v>642</v>
      </c>
      <c r="P3186" s="30" t="s">
        <v>12444</v>
      </c>
      <c r="Q3186" t="s">
        <v>619</v>
      </c>
      <c r="R3186" t="s">
        <v>917</v>
      </c>
      <c r="S3186">
        <v>39</v>
      </c>
      <c r="T3186" s="29" t="str">
        <f t="shared" si="141"/>
        <v>2023.062B.Skurskavirinae_nsf.zip</v>
      </c>
      <c r="U3186" s="29" t="str">
        <f>HYPERLINK("https://ictv.global/taxonomy/taxondetails?taxnode_id=202319287","ictv.global=202319287")</f>
        <v>ictv.global=202319287</v>
      </c>
    </row>
    <row r="3187" spans="1:21">
      <c r="A3187">
        <v>3186</v>
      </c>
      <c r="B3187" s="30" t="s">
        <v>1587</v>
      </c>
      <c r="D3187" s="30" t="s">
        <v>1588</v>
      </c>
      <c r="F3187" s="30" t="s">
        <v>1591</v>
      </c>
      <c r="H3187" s="30" t="s">
        <v>1592</v>
      </c>
      <c r="M3187" s="30" t="s">
        <v>12439</v>
      </c>
      <c r="N3187" s="30" t="s">
        <v>642</v>
      </c>
      <c r="P3187" s="30" t="s">
        <v>7895</v>
      </c>
      <c r="Q3187" t="s">
        <v>619</v>
      </c>
      <c r="R3187" t="s">
        <v>919</v>
      </c>
      <c r="S3187">
        <v>39</v>
      </c>
      <c r="T3187" s="29" t="str">
        <f t="shared" si="141"/>
        <v>2023.062B.Skurskavirinae_nsf.zip</v>
      </c>
      <c r="U3187" s="29" t="str">
        <f>HYPERLINK("https://ictv.global/taxonomy/taxondetails?taxnode_id=202300468","ictv.global=202300468")</f>
        <v>ictv.global=202300468</v>
      </c>
    </row>
    <row r="3188" spans="1:21">
      <c r="A3188">
        <v>3187</v>
      </c>
      <c r="B3188" s="30" t="s">
        <v>1587</v>
      </c>
      <c r="D3188" s="30" t="s">
        <v>1588</v>
      </c>
      <c r="F3188" s="30" t="s">
        <v>1591</v>
      </c>
      <c r="H3188" s="30" t="s">
        <v>1592</v>
      </c>
      <c r="M3188" s="30" t="s">
        <v>12439</v>
      </c>
      <c r="N3188" s="30" t="s">
        <v>642</v>
      </c>
      <c r="P3188" s="30" t="s">
        <v>7896</v>
      </c>
      <c r="Q3188" t="s">
        <v>619</v>
      </c>
      <c r="R3188" t="s">
        <v>919</v>
      </c>
      <c r="S3188">
        <v>39</v>
      </c>
      <c r="T3188" s="29" t="str">
        <f t="shared" si="141"/>
        <v>2023.062B.Skurskavirinae_nsf.zip</v>
      </c>
      <c r="U3188" s="29" t="str">
        <f>HYPERLINK("https://ictv.global/taxonomy/taxondetails?taxnode_id=202300469","ictv.global=202300469")</f>
        <v>ictv.global=202300469</v>
      </c>
    </row>
    <row r="3189" spans="1:21">
      <c r="A3189">
        <v>3188</v>
      </c>
      <c r="B3189" s="30" t="s">
        <v>1587</v>
      </c>
      <c r="D3189" s="30" t="s">
        <v>1588</v>
      </c>
      <c r="F3189" s="30" t="s">
        <v>1591</v>
      </c>
      <c r="H3189" s="30" t="s">
        <v>1592</v>
      </c>
      <c r="M3189" s="30" t="s">
        <v>12439</v>
      </c>
      <c r="N3189" s="30" t="s">
        <v>642</v>
      </c>
      <c r="P3189" s="30" t="s">
        <v>12445</v>
      </c>
      <c r="Q3189" t="s">
        <v>619</v>
      </c>
      <c r="R3189" t="s">
        <v>917</v>
      </c>
      <c r="S3189">
        <v>39</v>
      </c>
      <c r="T3189" s="29" t="str">
        <f t="shared" si="141"/>
        <v>2023.062B.Skurskavirinae_nsf.zip</v>
      </c>
      <c r="U3189" s="29" t="str">
        <f>HYPERLINK("https://ictv.global/taxonomy/taxondetails?taxnode_id=202319278","ictv.global=202319278")</f>
        <v>ictv.global=202319278</v>
      </c>
    </row>
    <row r="3190" spans="1:21">
      <c r="A3190">
        <v>3189</v>
      </c>
      <c r="B3190" s="30" t="s">
        <v>1587</v>
      </c>
      <c r="D3190" s="30" t="s">
        <v>1588</v>
      </c>
      <c r="F3190" s="30" t="s">
        <v>1591</v>
      </c>
      <c r="H3190" s="30" t="s">
        <v>1592</v>
      </c>
      <c r="M3190" s="30" t="s">
        <v>12439</v>
      </c>
      <c r="N3190" s="30" t="s">
        <v>642</v>
      </c>
      <c r="P3190" s="30" t="s">
        <v>12446</v>
      </c>
      <c r="Q3190" t="s">
        <v>619</v>
      </c>
      <c r="R3190" t="s">
        <v>917</v>
      </c>
      <c r="S3190">
        <v>39</v>
      </c>
      <c r="T3190" s="29" t="str">
        <f t="shared" si="141"/>
        <v>2023.062B.Skurskavirinae_nsf.zip</v>
      </c>
      <c r="U3190" s="29" t="str">
        <f>HYPERLINK("https://ictv.global/taxonomy/taxondetails?taxnode_id=202319288","ictv.global=202319288")</f>
        <v>ictv.global=202319288</v>
      </c>
    </row>
    <row r="3191" spans="1:21">
      <c r="A3191">
        <v>3190</v>
      </c>
      <c r="B3191" s="30" t="s">
        <v>1587</v>
      </c>
      <c r="D3191" s="30" t="s">
        <v>1588</v>
      </c>
      <c r="F3191" s="30" t="s">
        <v>1591</v>
      </c>
      <c r="H3191" s="30" t="s">
        <v>1592</v>
      </c>
      <c r="M3191" s="30" t="s">
        <v>12439</v>
      </c>
      <c r="N3191" s="30" t="s">
        <v>642</v>
      </c>
      <c r="P3191" s="30" t="s">
        <v>12447</v>
      </c>
      <c r="Q3191" t="s">
        <v>619</v>
      </c>
      <c r="R3191" t="s">
        <v>917</v>
      </c>
      <c r="S3191">
        <v>39</v>
      </c>
      <c r="T3191" s="29" t="str">
        <f t="shared" si="141"/>
        <v>2023.062B.Skurskavirinae_nsf.zip</v>
      </c>
      <c r="U3191" s="29" t="str">
        <f>HYPERLINK("https://ictv.global/taxonomy/taxondetails?taxnode_id=202319277","ictv.global=202319277")</f>
        <v>ictv.global=202319277</v>
      </c>
    </row>
    <row r="3192" spans="1:21">
      <c r="A3192">
        <v>3191</v>
      </c>
      <c r="B3192" s="30" t="s">
        <v>1587</v>
      </c>
      <c r="D3192" s="30" t="s">
        <v>1588</v>
      </c>
      <c r="F3192" s="30" t="s">
        <v>1591</v>
      </c>
      <c r="H3192" s="30" t="s">
        <v>1592</v>
      </c>
      <c r="M3192" s="30" t="s">
        <v>12439</v>
      </c>
      <c r="N3192" s="30" t="s">
        <v>642</v>
      </c>
      <c r="P3192" s="30" t="s">
        <v>12448</v>
      </c>
      <c r="Q3192" t="s">
        <v>619</v>
      </c>
      <c r="R3192" t="s">
        <v>917</v>
      </c>
      <c r="S3192">
        <v>39</v>
      </c>
      <c r="T3192" s="29" t="str">
        <f t="shared" si="141"/>
        <v>2023.062B.Skurskavirinae_nsf.zip</v>
      </c>
      <c r="U3192" s="29" t="str">
        <f>HYPERLINK("https://ictv.global/taxonomy/taxondetails?taxnode_id=202319284","ictv.global=202319284")</f>
        <v>ictv.global=202319284</v>
      </c>
    </row>
    <row r="3193" spans="1:21">
      <c r="A3193">
        <v>3192</v>
      </c>
      <c r="B3193" s="30" t="s">
        <v>1587</v>
      </c>
      <c r="D3193" s="30" t="s">
        <v>1588</v>
      </c>
      <c r="F3193" s="30" t="s">
        <v>1591</v>
      </c>
      <c r="H3193" s="30" t="s">
        <v>1592</v>
      </c>
      <c r="M3193" s="30" t="s">
        <v>12439</v>
      </c>
      <c r="N3193" s="30" t="s">
        <v>642</v>
      </c>
      <c r="P3193" s="30" t="s">
        <v>12449</v>
      </c>
      <c r="Q3193" t="s">
        <v>619</v>
      </c>
      <c r="R3193" t="s">
        <v>917</v>
      </c>
      <c r="S3193">
        <v>39</v>
      </c>
      <c r="T3193" s="29" t="str">
        <f t="shared" si="141"/>
        <v>2023.062B.Skurskavirinae_nsf.zip</v>
      </c>
      <c r="U3193" s="29" t="str">
        <f>HYPERLINK("https://ictv.global/taxonomy/taxondetails?taxnode_id=202319274","ictv.global=202319274")</f>
        <v>ictv.global=202319274</v>
      </c>
    </row>
    <row r="3194" spans="1:21">
      <c r="A3194">
        <v>3193</v>
      </c>
      <c r="B3194" s="30" t="s">
        <v>1587</v>
      </c>
      <c r="D3194" s="30" t="s">
        <v>1588</v>
      </c>
      <c r="F3194" s="30" t="s">
        <v>1591</v>
      </c>
      <c r="H3194" s="30" t="s">
        <v>1592</v>
      </c>
      <c r="M3194" s="30" t="s">
        <v>12439</v>
      </c>
      <c r="N3194" s="30" t="s">
        <v>642</v>
      </c>
      <c r="P3194" s="30" t="s">
        <v>7897</v>
      </c>
      <c r="Q3194" t="s">
        <v>619</v>
      </c>
      <c r="R3194" t="s">
        <v>919</v>
      </c>
      <c r="S3194">
        <v>39</v>
      </c>
      <c r="T3194" s="29" t="str">
        <f t="shared" si="141"/>
        <v>2023.062B.Skurskavirinae_nsf.zip</v>
      </c>
      <c r="U3194" s="29" t="str">
        <f>HYPERLINK("https://ictv.global/taxonomy/taxondetails?taxnode_id=202300470","ictv.global=202300470")</f>
        <v>ictv.global=202300470</v>
      </c>
    </row>
    <row r="3195" spans="1:21">
      <c r="A3195">
        <v>3194</v>
      </c>
      <c r="B3195" s="30" t="s">
        <v>1587</v>
      </c>
      <c r="D3195" s="30" t="s">
        <v>1588</v>
      </c>
      <c r="F3195" s="30" t="s">
        <v>1591</v>
      </c>
      <c r="H3195" s="30" t="s">
        <v>1592</v>
      </c>
      <c r="M3195" s="30" t="s">
        <v>12439</v>
      </c>
      <c r="N3195" s="30" t="s">
        <v>642</v>
      </c>
      <c r="P3195" s="30" t="s">
        <v>12450</v>
      </c>
      <c r="Q3195" t="s">
        <v>619</v>
      </c>
      <c r="R3195" t="s">
        <v>917</v>
      </c>
      <c r="S3195">
        <v>39</v>
      </c>
      <c r="T3195" s="29" t="str">
        <f t="shared" si="141"/>
        <v>2023.062B.Skurskavirinae_nsf.zip</v>
      </c>
      <c r="U3195" s="29" t="str">
        <f>HYPERLINK("https://ictv.global/taxonomy/taxondetails?taxnode_id=202319280","ictv.global=202319280")</f>
        <v>ictv.global=202319280</v>
      </c>
    </row>
    <row r="3196" spans="1:21">
      <c r="A3196">
        <v>3195</v>
      </c>
      <c r="B3196" s="30" t="s">
        <v>1587</v>
      </c>
      <c r="D3196" s="30" t="s">
        <v>1588</v>
      </c>
      <c r="F3196" s="30" t="s">
        <v>1591</v>
      </c>
      <c r="H3196" s="30" t="s">
        <v>1592</v>
      </c>
      <c r="M3196" s="30" t="s">
        <v>12439</v>
      </c>
      <c r="N3196" s="30" t="s">
        <v>642</v>
      </c>
      <c r="P3196" s="30" t="s">
        <v>12451</v>
      </c>
      <c r="Q3196" t="s">
        <v>619</v>
      </c>
      <c r="R3196" t="s">
        <v>917</v>
      </c>
      <c r="S3196">
        <v>39</v>
      </c>
      <c r="T3196" s="29" t="str">
        <f t="shared" si="141"/>
        <v>2023.062B.Skurskavirinae_nsf.zip</v>
      </c>
      <c r="U3196" s="29" t="str">
        <f>HYPERLINK("https://ictv.global/taxonomy/taxondetails?taxnode_id=202319282","ictv.global=202319282")</f>
        <v>ictv.global=202319282</v>
      </c>
    </row>
    <row r="3197" spans="1:21">
      <c r="A3197">
        <v>3196</v>
      </c>
      <c r="B3197" s="30" t="s">
        <v>1587</v>
      </c>
      <c r="D3197" s="30" t="s">
        <v>1588</v>
      </c>
      <c r="F3197" s="30" t="s">
        <v>1591</v>
      </c>
      <c r="H3197" s="30" t="s">
        <v>1592</v>
      </c>
      <c r="M3197" s="30" t="s">
        <v>12439</v>
      </c>
      <c r="N3197" s="30" t="s">
        <v>642</v>
      </c>
      <c r="P3197" s="30" t="s">
        <v>7898</v>
      </c>
      <c r="Q3197" t="s">
        <v>619</v>
      </c>
      <c r="R3197" t="s">
        <v>919</v>
      </c>
      <c r="S3197">
        <v>39</v>
      </c>
      <c r="T3197" s="29" t="str">
        <f t="shared" si="141"/>
        <v>2023.062B.Skurskavirinae_nsf.zip</v>
      </c>
      <c r="U3197" s="29" t="str">
        <f>HYPERLINK("https://ictv.global/taxonomy/taxondetails?taxnode_id=202307020","ictv.global=202307020")</f>
        <v>ictv.global=202307020</v>
      </c>
    </row>
    <row r="3198" spans="1:21">
      <c r="A3198">
        <v>3197</v>
      </c>
      <c r="B3198" s="30" t="s">
        <v>1587</v>
      </c>
      <c r="D3198" s="30" t="s">
        <v>1588</v>
      </c>
      <c r="F3198" s="30" t="s">
        <v>1591</v>
      </c>
      <c r="H3198" s="30" t="s">
        <v>1592</v>
      </c>
      <c r="M3198" s="30" t="s">
        <v>12439</v>
      </c>
      <c r="N3198" s="30" t="s">
        <v>642</v>
      </c>
      <c r="P3198" s="30" t="s">
        <v>7899</v>
      </c>
      <c r="Q3198" t="s">
        <v>619</v>
      </c>
      <c r="R3198" t="s">
        <v>919</v>
      </c>
      <c r="S3198">
        <v>39</v>
      </c>
      <c r="T3198" s="29" t="str">
        <f t="shared" si="141"/>
        <v>2023.062B.Skurskavirinae_nsf.zip</v>
      </c>
      <c r="U3198" s="29" t="str">
        <f>HYPERLINK("https://ictv.global/taxonomy/taxondetails?taxnode_id=202307018","ictv.global=202307018")</f>
        <v>ictv.global=202307018</v>
      </c>
    </row>
    <row r="3199" spans="1:21">
      <c r="A3199">
        <v>3198</v>
      </c>
      <c r="B3199" s="30" t="s">
        <v>1587</v>
      </c>
      <c r="D3199" s="30" t="s">
        <v>1588</v>
      </c>
      <c r="F3199" s="30" t="s">
        <v>1591</v>
      </c>
      <c r="H3199" s="30" t="s">
        <v>1592</v>
      </c>
      <c r="M3199" s="30" t="s">
        <v>12439</v>
      </c>
      <c r="N3199" s="30" t="s">
        <v>642</v>
      </c>
      <c r="P3199" s="30" t="s">
        <v>7900</v>
      </c>
      <c r="Q3199" t="s">
        <v>619</v>
      </c>
      <c r="R3199" t="s">
        <v>919</v>
      </c>
      <c r="S3199">
        <v>39</v>
      </c>
      <c r="T3199" s="29" t="str">
        <f t="shared" si="141"/>
        <v>2023.062B.Skurskavirinae_nsf.zip</v>
      </c>
      <c r="U3199" s="29" t="str">
        <f>HYPERLINK("https://ictv.global/taxonomy/taxondetails?taxnode_id=202307017","ictv.global=202307017")</f>
        <v>ictv.global=202307017</v>
      </c>
    </row>
    <row r="3200" spans="1:21">
      <c r="A3200">
        <v>3199</v>
      </c>
      <c r="B3200" s="30" t="s">
        <v>1587</v>
      </c>
      <c r="D3200" s="30" t="s">
        <v>1588</v>
      </c>
      <c r="F3200" s="30" t="s">
        <v>1591</v>
      </c>
      <c r="H3200" s="30" t="s">
        <v>1592</v>
      </c>
      <c r="M3200" s="30" t="s">
        <v>12439</v>
      </c>
      <c r="N3200" s="30" t="s">
        <v>642</v>
      </c>
      <c r="P3200" s="30" t="s">
        <v>12452</v>
      </c>
      <c r="Q3200" t="s">
        <v>619</v>
      </c>
      <c r="R3200" t="s">
        <v>917</v>
      </c>
      <c r="S3200">
        <v>39</v>
      </c>
      <c r="T3200" s="29" t="str">
        <f t="shared" si="141"/>
        <v>2023.062B.Skurskavirinae_nsf.zip</v>
      </c>
      <c r="U3200" s="29" t="str">
        <f>HYPERLINK("https://ictv.global/taxonomy/taxondetails?taxnode_id=202319272","ictv.global=202319272")</f>
        <v>ictv.global=202319272</v>
      </c>
    </row>
    <row r="3201" spans="1:21">
      <c r="A3201">
        <v>3200</v>
      </c>
      <c r="B3201" s="30" t="s">
        <v>1587</v>
      </c>
      <c r="D3201" s="30" t="s">
        <v>1588</v>
      </c>
      <c r="F3201" s="30" t="s">
        <v>1591</v>
      </c>
      <c r="H3201" s="30" t="s">
        <v>1592</v>
      </c>
      <c r="M3201" s="30" t="s">
        <v>12439</v>
      </c>
      <c r="N3201" s="30" t="s">
        <v>642</v>
      </c>
      <c r="P3201" s="30" t="s">
        <v>7901</v>
      </c>
      <c r="Q3201" t="s">
        <v>619</v>
      </c>
      <c r="R3201" t="s">
        <v>919</v>
      </c>
      <c r="S3201">
        <v>39</v>
      </c>
      <c r="T3201" s="29" t="str">
        <f t="shared" si="141"/>
        <v>2023.062B.Skurskavirinae_nsf.zip</v>
      </c>
      <c r="U3201" s="29" t="str">
        <f>HYPERLINK("https://ictv.global/taxonomy/taxondetails?taxnode_id=202300471","ictv.global=202300471")</f>
        <v>ictv.global=202300471</v>
      </c>
    </row>
    <row r="3202" spans="1:21">
      <c r="A3202">
        <v>3201</v>
      </c>
      <c r="B3202" s="30" t="s">
        <v>1587</v>
      </c>
      <c r="D3202" s="30" t="s">
        <v>1588</v>
      </c>
      <c r="F3202" s="30" t="s">
        <v>1591</v>
      </c>
      <c r="H3202" s="30" t="s">
        <v>1592</v>
      </c>
      <c r="M3202" s="30" t="s">
        <v>12439</v>
      </c>
      <c r="N3202" s="30" t="s">
        <v>642</v>
      </c>
      <c r="P3202" s="30" t="s">
        <v>7902</v>
      </c>
      <c r="Q3202" t="s">
        <v>619</v>
      </c>
      <c r="R3202" t="s">
        <v>919</v>
      </c>
      <c r="S3202">
        <v>39</v>
      </c>
      <c r="T3202" s="29" t="str">
        <f t="shared" si="141"/>
        <v>2023.062B.Skurskavirinae_nsf.zip</v>
      </c>
      <c r="U3202" s="29" t="str">
        <f>HYPERLINK("https://ictv.global/taxonomy/taxondetails?taxnode_id=202307019","ictv.global=202307019")</f>
        <v>ictv.global=202307019</v>
      </c>
    </row>
    <row r="3203" spans="1:21">
      <c r="A3203">
        <v>3202</v>
      </c>
      <c r="B3203" s="30" t="s">
        <v>1587</v>
      </c>
      <c r="D3203" s="30" t="s">
        <v>1588</v>
      </c>
      <c r="F3203" s="30" t="s">
        <v>1591</v>
      </c>
      <c r="H3203" s="30" t="s">
        <v>1592</v>
      </c>
      <c r="M3203" s="30" t="s">
        <v>12439</v>
      </c>
      <c r="N3203" s="30" t="s">
        <v>642</v>
      </c>
      <c r="P3203" s="30" t="s">
        <v>7903</v>
      </c>
      <c r="Q3203" t="s">
        <v>619</v>
      </c>
      <c r="R3203" t="s">
        <v>919</v>
      </c>
      <c r="S3203">
        <v>39</v>
      </c>
      <c r="T3203" s="29" t="str">
        <f t="shared" si="141"/>
        <v>2023.062B.Skurskavirinae_nsf.zip</v>
      </c>
      <c r="U3203" s="29" t="str">
        <f>HYPERLINK("https://ictv.global/taxonomy/taxondetails?taxnode_id=202300472","ictv.global=202300472")</f>
        <v>ictv.global=202300472</v>
      </c>
    </row>
    <row r="3204" spans="1:21">
      <c r="A3204">
        <v>3203</v>
      </c>
      <c r="B3204" s="30" t="s">
        <v>1587</v>
      </c>
      <c r="D3204" s="30" t="s">
        <v>1588</v>
      </c>
      <c r="F3204" s="30" t="s">
        <v>1591</v>
      </c>
      <c r="H3204" s="30" t="s">
        <v>1592</v>
      </c>
      <c r="M3204" s="30" t="s">
        <v>12439</v>
      </c>
      <c r="N3204" s="30" t="s">
        <v>642</v>
      </c>
      <c r="P3204" s="30" t="s">
        <v>7904</v>
      </c>
      <c r="Q3204" t="s">
        <v>619</v>
      </c>
      <c r="R3204" t="s">
        <v>919</v>
      </c>
      <c r="S3204">
        <v>39</v>
      </c>
      <c r="T3204" s="29" t="str">
        <f t="shared" si="141"/>
        <v>2023.062B.Skurskavirinae_nsf.zip</v>
      </c>
      <c r="U3204" s="29" t="str">
        <f>HYPERLINK("https://ictv.global/taxonomy/taxondetails?taxnode_id=202300473","ictv.global=202300473")</f>
        <v>ictv.global=202300473</v>
      </c>
    </row>
    <row r="3205" spans="1:21">
      <c r="A3205">
        <v>3204</v>
      </c>
      <c r="B3205" s="30" t="s">
        <v>1587</v>
      </c>
      <c r="D3205" s="30" t="s">
        <v>1588</v>
      </c>
      <c r="F3205" s="30" t="s">
        <v>1591</v>
      </c>
      <c r="H3205" s="30" t="s">
        <v>1592</v>
      </c>
      <c r="M3205" s="30" t="s">
        <v>12439</v>
      </c>
      <c r="N3205" s="30" t="s">
        <v>642</v>
      </c>
      <c r="P3205" s="30" t="s">
        <v>12453</v>
      </c>
      <c r="Q3205" t="s">
        <v>619</v>
      </c>
      <c r="R3205" t="s">
        <v>917</v>
      </c>
      <c r="S3205">
        <v>39</v>
      </c>
      <c r="T3205" s="29" t="str">
        <f t="shared" si="141"/>
        <v>2023.062B.Skurskavirinae_nsf.zip</v>
      </c>
      <c r="U3205" s="29" t="str">
        <f>HYPERLINK("https://ictv.global/taxonomy/taxondetails?taxnode_id=202319276","ictv.global=202319276")</f>
        <v>ictv.global=202319276</v>
      </c>
    </row>
    <row r="3206" spans="1:21">
      <c r="A3206">
        <v>3205</v>
      </c>
      <c r="B3206" s="30" t="s">
        <v>1587</v>
      </c>
      <c r="D3206" s="30" t="s">
        <v>1588</v>
      </c>
      <c r="F3206" s="30" t="s">
        <v>1591</v>
      </c>
      <c r="H3206" s="30" t="s">
        <v>1592</v>
      </c>
      <c r="M3206" s="30" t="s">
        <v>12439</v>
      </c>
      <c r="N3206" s="30" t="s">
        <v>642</v>
      </c>
      <c r="P3206" s="30" t="s">
        <v>12454</v>
      </c>
      <c r="Q3206" t="s">
        <v>619</v>
      </c>
      <c r="R3206" t="s">
        <v>917</v>
      </c>
      <c r="S3206">
        <v>39</v>
      </c>
      <c r="T3206" s="29" t="str">
        <f t="shared" si="141"/>
        <v>2023.062B.Skurskavirinae_nsf.zip</v>
      </c>
      <c r="U3206" s="29" t="str">
        <f>HYPERLINK("https://ictv.global/taxonomy/taxondetails?taxnode_id=202319279","ictv.global=202319279")</f>
        <v>ictv.global=202319279</v>
      </c>
    </row>
    <row r="3207" spans="1:21">
      <c r="A3207">
        <v>3206</v>
      </c>
      <c r="B3207" s="30" t="s">
        <v>1587</v>
      </c>
      <c r="D3207" s="30" t="s">
        <v>1588</v>
      </c>
      <c r="F3207" s="30" t="s">
        <v>1591</v>
      </c>
      <c r="H3207" s="30" t="s">
        <v>1592</v>
      </c>
      <c r="M3207" s="30" t="s">
        <v>12439</v>
      </c>
      <c r="N3207" s="30" t="s">
        <v>642</v>
      </c>
      <c r="P3207" s="30" t="s">
        <v>12455</v>
      </c>
      <c r="Q3207" t="s">
        <v>619</v>
      </c>
      <c r="R3207" t="s">
        <v>917</v>
      </c>
      <c r="S3207">
        <v>39</v>
      </c>
      <c r="T3207" s="29" t="str">
        <f t="shared" si="141"/>
        <v>2023.062B.Skurskavirinae_nsf.zip</v>
      </c>
      <c r="U3207" s="29" t="str">
        <f>HYPERLINK("https://ictv.global/taxonomy/taxondetails?taxnode_id=202319289","ictv.global=202319289")</f>
        <v>ictv.global=202319289</v>
      </c>
    </row>
    <row r="3208" spans="1:21">
      <c r="A3208">
        <v>3207</v>
      </c>
      <c r="B3208" s="30" t="s">
        <v>1587</v>
      </c>
      <c r="D3208" s="30" t="s">
        <v>1588</v>
      </c>
      <c r="F3208" s="30" t="s">
        <v>1591</v>
      </c>
      <c r="H3208" s="30" t="s">
        <v>1592</v>
      </c>
      <c r="M3208" s="30" t="s">
        <v>12439</v>
      </c>
      <c r="N3208" s="30" t="s">
        <v>642</v>
      </c>
      <c r="P3208" s="30" t="s">
        <v>12456</v>
      </c>
      <c r="Q3208" t="s">
        <v>619</v>
      </c>
      <c r="R3208" t="s">
        <v>917</v>
      </c>
      <c r="S3208">
        <v>39</v>
      </c>
      <c r="T3208" s="29" t="str">
        <f t="shared" si="141"/>
        <v>2023.062B.Skurskavirinae_nsf.zip</v>
      </c>
      <c r="U3208" s="29" t="str">
        <f>HYPERLINK("https://ictv.global/taxonomy/taxondetails?taxnode_id=202319275","ictv.global=202319275")</f>
        <v>ictv.global=202319275</v>
      </c>
    </row>
    <row r="3209" spans="1:21">
      <c r="A3209">
        <v>3208</v>
      </c>
      <c r="B3209" s="30" t="s">
        <v>1587</v>
      </c>
      <c r="D3209" s="30" t="s">
        <v>1588</v>
      </c>
      <c r="F3209" s="30" t="s">
        <v>1591</v>
      </c>
      <c r="H3209" s="30" t="s">
        <v>1592</v>
      </c>
      <c r="M3209" s="30" t="s">
        <v>12439</v>
      </c>
      <c r="N3209" s="30" t="s">
        <v>642</v>
      </c>
      <c r="P3209" s="30" t="s">
        <v>12457</v>
      </c>
      <c r="Q3209" t="s">
        <v>619</v>
      </c>
      <c r="R3209" t="s">
        <v>917</v>
      </c>
      <c r="S3209">
        <v>39</v>
      </c>
      <c r="T3209" s="29" t="str">
        <f t="shared" si="141"/>
        <v>2023.062B.Skurskavirinae_nsf.zip</v>
      </c>
      <c r="U3209" s="29" t="str">
        <f>HYPERLINK("https://ictv.global/taxonomy/taxondetails?taxnode_id=202319290","ictv.global=202319290")</f>
        <v>ictv.global=202319290</v>
      </c>
    </row>
    <row r="3210" spans="1:21">
      <c r="A3210">
        <v>3209</v>
      </c>
      <c r="B3210" s="30" t="s">
        <v>1587</v>
      </c>
      <c r="D3210" s="30" t="s">
        <v>1588</v>
      </c>
      <c r="F3210" s="30" t="s">
        <v>1591</v>
      </c>
      <c r="H3210" s="30" t="s">
        <v>1592</v>
      </c>
      <c r="M3210" s="30" t="s">
        <v>12439</v>
      </c>
      <c r="N3210" s="30" t="s">
        <v>642</v>
      </c>
      <c r="P3210" s="30" t="s">
        <v>12458</v>
      </c>
      <c r="Q3210" t="s">
        <v>619</v>
      </c>
      <c r="R3210" t="s">
        <v>917</v>
      </c>
      <c r="S3210">
        <v>39</v>
      </c>
      <c r="T3210" s="29" t="str">
        <f t="shared" si="141"/>
        <v>2023.062B.Skurskavirinae_nsf.zip</v>
      </c>
      <c r="U3210" s="29" t="str">
        <f>HYPERLINK("https://ictv.global/taxonomy/taxondetails?taxnode_id=202319292","ictv.global=202319292")</f>
        <v>ictv.global=202319292</v>
      </c>
    </row>
    <row r="3211" spans="1:21">
      <c r="A3211">
        <v>3210</v>
      </c>
      <c r="B3211" s="30" t="s">
        <v>1587</v>
      </c>
      <c r="D3211" s="30" t="s">
        <v>1588</v>
      </c>
      <c r="F3211" s="30" t="s">
        <v>1591</v>
      </c>
      <c r="H3211" s="30" t="s">
        <v>1592</v>
      </c>
      <c r="M3211" s="30" t="s">
        <v>12439</v>
      </c>
      <c r="N3211" s="30" t="s">
        <v>642</v>
      </c>
      <c r="P3211" s="30" t="s">
        <v>12459</v>
      </c>
      <c r="Q3211" t="s">
        <v>619</v>
      </c>
      <c r="R3211" t="s">
        <v>917</v>
      </c>
      <c r="S3211">
        <v>39</v>
      </c>
      <c r="T3211" s="29" t="str">
        <f t="shared" si="141"/>
        <v>2023.062B.Skurskavirinae_nsf.zip</v>
      </c>
      <c r="U3211" s="29" t="str">
        <f>HYPERLINK("https://ictv.global/taxonomy/taxondetails?taxnode_id=202319291","ictv.global=202319291")</f>
        <v>ictv.global=202319291</v>
      </c>
    </row>
    <row r="3212" spans="1:21">
      <c r="A3212">
        <v>3211</v>
      </c>
      <c r="B3212" s="30" t="s">
        <v>1587</v>
      </c>
      <c r="D3212" s="30" t="s">
        <v>1588</v>
      </c>
      <c r="F3212" s="30" t="s">
        <v>1591</v>
      </c>
      <c r="H3212" s="30" t="s">
        <v>1592</v>
      </c>
      <c r="M3212" s="30" t="s">
        <v>12439</v>
      </c>
      <c r="N3212" s="30" t="s">
        <v>642</v>
      </c>
      <c r="P3212" s="30" t="s">
        <v>12460</v>
      </c>
      <c r="Q3212" t="s">
        <v>619</v>
      </c>
      <c r="R3212" t="s">
        <v>917</v>
      </c>
      <c r="S3212">
        <v>39</v>
      </c>
      <c r="T3212" s="29" t="str">
        <f t="shared" si="141"/>
        <v>2023.062B.Skurskavirinae_nsf.zip</v>
      </c>
      <c r="U3212" s="29" t="str">
        <f>HYPERLINK("https://ictv.global/taxonomy/taxondetails?taxnode_id=202319281","ictv.global=202319281")</f>
        <v>ictv.global=202319281</v>
      </c>
    </row>
    <row r="3213" spans="1:21">
      <c r="A3213">
        <v>3212</v>
      </c>
      <c r="B3213" s="30" t="s">
        <v>1587</v>
      </c>
      <c r="D3213" s="30" t="s">
        <v>1588</v>
      </c>
      <c r="F3213" s="30" t="s">
        <v>1591</v>
      </c>
      <c r="H3213" s="30" t="s">
        <v>1592</v>
      </c>
      <c r="M3213" s="30" t="s">
        <v>12439</v>
      </c>
      <c r="N3213" s="30" t="s">
        <v>642</v>
      </c>
      <c r="P3213" s="30" t="s">
        <v>12461</v>
      </c>
      <c r="Q3213" t="s">
        <v>619</v>
      </c>
      <c r="R3213" t="s">
        <v>917</v>
      </c>
      <c r="S3213">
        <v>39</v>
      </c>
      <c r="T3213" s="29" t="str">
        <f t="shared" si="141"/>
        <v>2023.062B.Skurskavirinae_nsf.zip</v>
      </c>
      <c r="U3213" s="29" t="str">
        <f>HYPERLINK("https://ictv.global/taxonomy/taxondetails?taxnode_id=202319271","ictv.global=202319271")</f>
        <v>ictv.global=202319271</v>
      </c>
    </row>
    <row r="3214" spans="1:21">
      <c r="A3214">
        <v>3213</v>
      </c>
      <c r="B3214" s="30" t="s">
        <v>1587</v>
      </c>
      <c r="D3214" s="30" t="s">
        <v>1588</v>
      </c>
      <c r="F3214" s="30" t="s">
        <v>1591</v>
      </c>
      <c r="H3214" s="30" t="s">
        <v>1592</v>
      </c>
      <c r="M3214" s="30" t="s">
        <v>12439</v>
      </c>
      <c r="N3214" s="30" t="s">
        <v>642</v>
      </c>
      <c r="P3214" s="30" t="s">
        <v>12462</v>
      </c>
      <c r="Q3214" t="s">
        <v>619</v>
      </c>
      <c r="R3214" t="s">
        <v>917</v>
      </c>
      <c r="S3214">
        <v>39</v>
      </c>
      <c r="T3214" s="29" t="str">
        <f t="shared" si="141"/>
        <v>2023.062B.Skurskavirinae_nsf.zip</v>
      </c>
      <c r="U3214" s="29" t="str">
        <f>HYPERLINK("https://ictv.global/taxonomy/taxondetails?taxnode_id=202319273","ictv.global=202319273")</f>
        <v>ictv.global=202319273</v>
      </c>
    </row>
    <row r="3215" spans="1:21">
      <c r="A3215">
        <v>3214</v>
      </c>
      <c r="B3215" s="30" t="s">
        <v>1587</v>
      </c>
      <c r="D3215" s="30" t="s">
        <v>1588</v>
      </c>
      <c r="F3215" s="30" t="s">
        <v>1591</v>
      </c>
      <c r="H3215" s="30" t="s">
        <v>1592</v>
      </c>
      <c r="M3215" s="30" t="s">
        <v>12439</v>
      </c>
      <c r="N3215" s="30" t="s">
        <v>642</v>
      </c>
      <c r="P3215" s="30" t="s">
        <v>12463</v>
      </c>
      <c r="Q3215" t="s">
        <v>619</v>
      </c>
      <c r="R3215" t="s">
        <v>917</v>
      </c>
      <c r="S3215">
        <v>39</v>
      </c>
      <c r="T3215" s="29" t="str">
        <f>HYPERLINK("https://ictv.global/ictv/proposals/2023.050B.Pakpunavirus_1ns.zip","2023.050B.Pakpunavirus_1ns.zip")</f>
        <v>2023.050B.Pakpunavirus_1ns.zip</v>
      </c>
      <c r="U3215" s="29" t="str">
        <f>HYPERLINK("https://ictv.global/taxonomy/taxondetails?taxnode_id=202319224","ictv.global=202319224")</f>
        <v>ictv.global=202319224</v>
      </c>
    </row>
    <row r="3216" spans="1:21">
      <c r="A3216">
        <v>3215</v>
      </c>
      <c r="B3216" s="30" t="s">
        <v>1587</v>
      </c>
      <c r="D3216" s="30" t="s">
        <v>1588</v>
      </c>
      <c r="F3216" s="30" t="s">
        <v>1591</v>
      </c>
      <c r="H3216" s="30" t="s">
        <v>1592</v>
      </c>
      <c r="M3216" s="30" t="s">
        <v>12439</v>
      </c>
      <c r="N3216" s="30" t="s">
        <v>642</v>
      </c>
      <c r="P3216" s="30" t="s">
        <v>12464</v>
      </c>
      <c r="Q3216" t="s">
        <v>619</v>
      </c>
      <c r="R3216" t="s">
        <v>917</v>
      </c>
      <c r="S3216">
        <v>39</v>
      </c>
      <c r="T3216" s="29" t="str">
        <f>HYPERLINK("https://ictv.global/ictv/proposals/2023.062B.Skurskavirinae_nsf.zip","2023.062B.Skurskavirinae_nsf.zip")</f>
        <v>2023.062B.Skurskavirinae_nsf.zip</v>
      </c>
      <c r="U3216" s="29" t="str">
        <f>HYPERLINK("https://ictv.global/taxonomy/taxondetails?taxnode_id=202319286","ictv.global=202319286")</f>
        <v>ictv.global=202319286</v>
      </c>
    </row>
    <row r="3217" spans="1:21">
      <c r="A3217">
        <v>3216</v>
      </c>
      <c r="B3217" s="30" t="s">
        <v>1587</v>
      </c>
      <c r="D3217" s="30" t="s">
        <v>1588</v>
      </c>
      <c r="F3217" s="30" t="s">
        <v>1591</v>
      </c>
      <c r="H3217" s="30" t="s">
        <v>1592</v>
      </c>
      <c r="M3217" s="30" t="s">
        <v>12439</v>
      </c>
      <c r="N3217" s="30" t="s">
        <v>642</v>
      </c>
      <c r="P3217" s="30" t="s">
        <v>7905</v>
      </c>
      <c r="Q3217" t="s">
        <v>619</v>
      </c>
      <c r="R3217" t="s">
        <v>919</v>
      </c>
      <c r="S3217">
        <v>39</v>
      </c>
      <c r="T3217" s="29" t="str">
        <f>HYPERLINK("https://ictv.global/ictv/proposals/2023.062B.Skurskavirinae_nsf.zip","2023.062B.Skurskavirinae_nsf.zip")</f>
        <v>2023.062B.Skurskavirinae_nsf.zip</v>
      </c>
      <c r="U3217" s="29" t="str">
        <f>HYPERLINK("https://ictv.global/taxonomy/taxondetails?taxnode_id=202307016","ictv.global=202307016")</f>
        <v>ictv.global=202307016</v>
      </c>
    </row>
    <row r="3218" spans="1:21">
      <c r="A3218">
        <v>3217</v>
      </c>
      <c r="B3218" s="30" t="s">
        <v>1587</v>
      </c>
      <c r="D3218" s="30" t="s">
        <v>1588</v>
      </c>
      <c r="F3218" s="30" t="s">
        <v>1591</v>
      </c>
      <c r="H3218" s="30" t="s">
        <v>1592</v>
      </c>
      <c r="M3218" s="30" t="s">
        <v>12465</v>
      </c>
      <c r="N3218" s="30" t="s">
        <v>12466</v>
      </c>
      <c r="P3218" s="30" t="s">
        <v>12467</v>
      </c>
      <c r="Q3218" t="s">
        <v>619</v>
      </c>
      <c r="R3218" t="s">
        <v>917</v>
      </c>
      <c r="S3218">
        <v>39</v>
      </c>
      <c r="T3218" s="29" t="str">
        <f>HYPERLINK("https://ictv.global/ictv/proposals/2023.063B.Stanbayleyvirinae_nsf.zip","2023.063B.Stanbayleyvirinae_nsf.zip")</f>
        <v>2023.063B.Stanbayleyvirinae_nsf.zip</v>
      </c>
      <c r="U3218" s="29" t="str">
        <f>HYPERLINK("https://ictv.global/taxonomy/taxondetails?taxnode_id=202319294","ictv.global=202319294")</f>
        <v>ictv.global=202319294</v>
      </c>
    </row>
    <row r="3219" spans="1:21">
      <c r="A3219">
        <v>3218</v>
      </c>
      <c r="B3219" s="30" t="s">
        <v>1587</v>
      </c>
      <c r="D3219" s="30" t="s">
        <v>1588</v>
      </c>
      <c r="F3219" s="30" t="s">
        <v>1591</v>
      </c>
      <c r="H3219" s="30" t="s">
        <v>1592</v>
      </c>
      <c r="M3219" s="30" t="s">
        <v>12465</v>
      </c>
      <c r="N3219" s="30" t="s">
        <v>12466</v>
      </c>
      <c r="P3219" s="30" t="s">
        <v>12468</v>
      </c>
      <c r="Q3219" t="s">
        <v>619</v>
      </c>
      <c r="R3219" t="s">
        <v>917</v>
      </c>
      <c r="S3219">
        <v>39</v>
      </c>
      <c r="T3219" s="29" t="str">
        <f>HYPERLINK("https://ictv.global/ictv/proposals/2023.063B.Stanbayleyvirinae_nsf.zip","2023.063B.Stanbayleyvirinae_nsf.zip")</f>
        <v>2023.063B.Stanbayleyvirinae_nsf.zip</v>
      </c>
      <c r="U3219" s="29" t="str">
        <f>HYPERLINK("https://ictv.global/taxonomy/taxondetails?taxnode_id=202319295","ictv.global=202319295")</f>
        <v>ictv.global=202319295</v>
      </c>
    </row>
    <row r="3220" spans="1:21">
      <c r="A3220">
        <v>3219</v>
      </c>
      <c r="B3220" s="30" t="s">
        <v>1587</v>
      </c>
      <c r="D3220" s="30" t="s">
        <v>1588</v>
      </c>
      <c r="F3220" s="30" t="s">
        <v>1591</v>
      </c>
      <c r="H3220" s="30" t="s">
        <v>1592</v>
      </c>
      <c r="M3220" s="30" t="s">
        <v>12465</v>
      </c>
      <c r="N3220" s="30" t="s">
        <v>12466</v>
      </c>
      <c r="P3220" s="30" t="s">
        <v>12469</v>
      </c>
      <c r="Q3220" t="s">
        <v>619</v>
      </c>
      <c r="R3220" t="s">
        <v>917</v>
      </c>
      <c r="S3220">
        <v>39</v>
      </c>
      <c r="T3220" s="29" t="str">
        <f>HYPERLINK("https://ictv.global/ictv/proposals/2023.063B.Stanbayleyvirinae_nsf.zip","2023.063B.Stanbayleyvirinae_nsf.zip")</f>
        <v>2023.063B.Stanbayleyvirinae_nsf.zip</v>
      </c>
      <c r="U3220" s="29" t="str">
        <f>HYPERLINK("https://ictv.global/taxonomy/taxondetails?taxnode_id=202319296","ictv.global=202319296")</f>
        <v>ictv.global=202319296</v>
      </c>
    </row>
    <row r="3221" spans="1:21">
      <c r="A3221">
        <v>3220</v>
      </c>
      <c r="B3221" s="30" t="s">
        <v>1587</v>
      </c>
      <c r="D3221" s="30" t="s">
        <v>1588</v>
      </c>
      <c r="F3221" s="30" t="s">
        <v>1591</v>
      </c>
      <c r="H3221" s="30" t="s">
        <v>1592</v>
      </c>
      <c r="M3221" s="30" t="s">
        <v>12465</v>
      </c>
      <c r="N3221" s="30" t="s">
        <v>12470</v>
      </c>
      <c r="P3221" s="30" t="s">
        <v>12471</v>
      </c>
      <c r="Q3221" t="s">
        <v>619</v>
      </c>
      <c r="R3221" t="s">
        <v>917</v>
      </c>
      <c r="S3221">
        <v>39</v>
      </c>
      <c r="T3221" s="29" t="str">
        <f>HYPERLINK("https://ictv.global/ictv/proposals/2023.063B.Stanbayleyvirinae_nsf.zip","2023.063B.Stanbayleyvirinae_nsf.zip")</f>
        <v>2023.063B.Stanbayleyvirinae_nsf.zip</v>
      </c>
      <c r="U3221" s="29" t="str">
        <f>HYPERLINK("https://ictv.global/taxonomy/taxondetails?taxnode_id=202319293","ictv.global=202319293")</f>
        <v>ictv.global=202319293</v>
      </c>
    </row>
    <row r="3222" spans="1:21">
      <c r="A3222">
        <v>3221</v>
      </c>
      <c r="B3222" s="30" t="s">
        <v>1587</v>
      </c>
      <c r="D3222" s="30" t="s">
        <v>1588</v>
      </c>
      <c r="F3222" s="30" t="s">
        <v>1591</v>
      </c>
      <c r="H3222" s="30" t="s">
        <v>1592</v>
      </c>
      <c r="M3222" s="30" t="s">
        <v>6710</v>
      </c>
      <c r="N3222" s="30" t="s">
        <v>6711</v>
      </c>
      <c r="P3222" s="30" t="s">
        <v>6712</v>
      </c>
      <c r="Q3222" t="s">
        <v>619</v>
      </c>
      <c r="R3222" t="s">
        <v>917</v>
      </c>
      <c r="S3222">
        <v>37</v>
      </c>
      <c r="T3222" s="29" t="str">
        <f t="shared" ref="T3222:T3240" si="142">HYPERLINK("https://ictv.global/ictv/proposals/2021.080B.R.Stephanstirmvirinae.zip","2021.080B.R.Stephanstirmvirinae.zip")</f>
        <v>2021.080B.R.Stephanstirmvirinae.zip</v>
      </c>
      <c r="U3222" s="29" t="str">
        <f>HYPERLINK("https://ictv.global/taxonomy/taxondetails?taxnode_id=202313660","ictv.global=202313660")</f>
        <v>ictv.global=202313660</v>
      </c>
    </row>
    <row r="3223" spans="1:21">
      <c r="A3223">
        <v>3222</v>
      </c>
      <c r="B3223" s="30" t="s">
        <v>1587</v>
      </c>
      <c r="D3223" s="30" t="s">
        <v>1588</v>
      </c>
      <c r="F3223" s="30" t="s">
        <v>1591</v>
      </c>
      <c r="H3223" s="30" t="s">
        <v>1592</v>
      </c>
      <c r="M3223" s="30" t="s">
        <v>6710</v>
      </c>
      <c r="N3223" s="30" t="s">
        <v>6711</v>
      </c>
      <c r="P3223" s="30" t="s">
        <v>6713</v>
      </c>
      <c r="Q3223" t="s">
        <v>619</v>
      </c>
      <c r="R3223" t="s">
        <v>917</v>
      </c>
      <c r="S3223">
        <v>37</v>
      </c>
      <c r="T3223" s="29" t="str">
        <f t="shared" si="142"/>
        <v>2021.080B.R.Stephanstirmvirinae.zip</v>
      </c>
      <c r="U3223" s="29" t="str">
        <f>HYPERLINK("https://ictv.global/taxonomy/taxondetails?taxnode_id=202313658","ictv.global=202313658")</f>
        <v>ictv.global=202313658</v>
      </c>
    </row>
    <row r="3224" spans="1:21">
      <c r="A3224">
        <v>3223</v>
      </c>
      <c r="B3224" s="30" t="s">
        <v>1587</v>
      </c>
      <c r="D3224" s="30" t="s">
        <v>1588</v>
      </c>
      <c r="F3224" s="30" t="s">
        <v>1591</v>
      </c>
      <c r="H3224" s="30" t="s">
        <v>1592</v>
      </c>
      <c r="M3224" s="30" t="s">
        <v>6710</v>
      </c>
      <c r="N3224" s="30" t="s">
        <v>6711</v>
      </c>
      <c r="P3224" s="30" t="s">
        <v>6714</v>
      </c>
      <c r="Q3224" t="s">
        <v>619</v>
      </c>
      <c r="R3224" t="s">
        <v>917</v>
      </c>
      <c r="S3224">
        <v>37</v>
      </c>
      <c r="T3224" s="29" t="str">
        <f t="shared" si="142"/>
        <v>2021.080B.R.Stephanstirmvirinae.zip</v>
      </c>
      <c r="U3224" s="29" t="str">
        <f>HYPERLINK("https://ictv.global/taxonomy/taxondetails?taxnode_id=202313661","ictv.global=202313661")</f>
        <v>ictv.global=202313661</v>
      </c>
    </row>
    <row r="3225" spans="1:21">
      <c r="A3225">
        <v>3224</v>
      </c>
      <c r="B3225" s="30" t="s">
        <v>1587</v>
      </c>
      <c r="D3225" s="30" t="s">
        <v>1588</v>
      </c>
      <c r="F3225" s="30" t="s">
        <v>1591</v>
      </c>
      <c r="H3225" s="30" t="s">
        <v>1592</v>
      </c>
      <c r="M3225" s="30" t="s">
        <v>6710</v>
      </c>
      <c r="N3225" s="30" t="s">
        <v>6711</v>
      </c>
      <c r="P3225" s="30" t="s">
        <v>6715</v>
      </c>
      <c r="Q3225" t="s">
        <v>619</v>
      </c>
      <c r="R3225" t="s">
        <v>917</v>
      </c>
      <c r="S3225">
        <v>37</v>
      </c>
      <c r="T3225" s="29" t="str">
        <f t="shared" si="142"/>
        <v>2021.080B.R.Stephanstirmvirinae.zip</v>
      </c>
      <c r="U3225" s="29" t="str">
        <f>HYPERLINK("https://ictv.global/taxonomy/taxondetails?taxnode_id=202313662","ictv.global=202313662")</f>
        <v>ictv.global=202313662</v>
      </c>
    </row>
    <row r="3226" spans="1:21">
      <c r="A3226">
        <v>3225</v>
      </c>
      <c r="B3226" s="30" t="s">
        <v>1587</v>
      </c>
      <c r="D3226" s="30" t="s">
        <v>1588</v>
      </c>
      <c r="F3226" s="30" t="s">
        <v>1591</v>
      </c>
      <c r="H3226" s="30" t="s">
        <v>1592</v>
      </c>
      <c r="M3226" s="30" t="s">
        <v>6710</v>
      </c>
      <c r="N3226" s="30" t="s">
        <v>6711</v>
      </c>
      <c r="P3226" s="30" t="s">
        <v>6716</v>
      </c>
      <c r="Q3226" t="s">
        <v>619</v>
      </c>
      <c r="R3226" t="s">
        <v>917</v>
      </c>
      <c r="S3226">
        <v>37</v>
      </c>
      <c r="T3226" s="29" t="str">
        <f t="shared" si="142"/>
        <v>2021.080B.R.Stephanstirmvirinae.zip</v>
      </c>
      <c r="U3226" s="29" t="str">
        <f>HYPERLINK("https://ictv.global/taxonomy/taxondetails?taxnode_id=202313657","ictv.global=202313657")</f>
        <v>ictv.global=202313657</v>
      </c>
    </row>
    <row r="3227" spans="1:21">
      <c r="A3227">
        <v>3226</v>
      </c>
      <c r="B3227" s="30" t="s">
        <v>1587</v>
      </c>
      <c r="D3227" s="30" t="s">
        <v>1588</v>
      </c>
      <c r="F3227" s="30" t="s">
        <v>1591</v>
      </c>
      <c r="H3227" s="30" t="s">
        <v>1592</v>
      </c>
      <c r="M3227" s="30" t="s">
        <v>6710</v>
      </c>
      <c r="N3227" s="30" t="s">
        <v>6711</v>
      </c>
      <c r="P3227" s="30" t="s">
        <v>6717</v>
      </c>
      <c r="Q3227" t="s">
        <v>619</v>
      </c>
      <c r="R3227" t="s">
        <v>917</v>
      </c>
      <c r="S3227">
        <v>37</v>
      </c>
      <c r="T3227" s="29" t="str">
        <f t="shared" si="142"/>
        <v>2021.080B.R.Stephanstirmvirinae.zip</v>
      </c>
      <c r="U3227" s="29" t="str">
        <f>HYPERLINK("https://ictv.global/taxonomy/taxondetails?taxnode_id=202313659","ictv.global=202313659")</f>
        <v>ictv.global=202313659</v>
      </c>
    </row>
    <row r="3228" spans="1:21">
      <c r="A3228">
        <v>3227</v>
      </c>
      <c r="B3228" s="30" t="s">
        <v>1587</v>
      </c>
      <c r="D3228" s="30" t="s">
        <v>1588</v>
      </c>
      <c r="F3228" s="30" t="s">
        <v>1591</v>
      </c>
      <c r="H3228" s="30" t="s">
        <v>1592</v>
      </c>
      <c r="M3228" s="30" t="s">
        <v>6710</v>
      </c>
      <c r="N3228" s="30" t="s">
        <v>1837</v>
      </c>
      <c r="P3228" s="30" t="s">
        <v>1838</v>
      </c>
      <c r="Q3228" t="s">
        <v>619</v>
      </c>
      <c r="R3228" t="s">
        <v>919</v>
      </c>
      <c r="S3228">
        <v>37</v>
      </c>
      <c r="T3228" s="29" t="str">
        <f t="shared" si="142"/>
        <v>2021.080B.R.Stephanstirmvirinae.zip</v>
      </c>
      <c r="U3228" s="29" t="str">
        <f>HYPERLINK("https://ictv.global/taxonomy/taxondetails?taxnode_id=202307991","ictv.global=202307991")</f>
        <v>ictv.global=202307991</v>
      </c>
    </row>
    <row r="3229" spans="1:21">
      <c r="A3229">
        <v>3228</v>
      </c>
      <c r="B3229" s="30" t="s">
        <v>1587</v>
      </c>
      <c r="D3229" s="30" t="s">
        <v>1588</v>
      </c>
      <c r="F3229" s="30" t="s">
        <v>1591</v>
      </c>
      <c r="H3229" s="30" t="s">
        <v>1592</v>
      </c>
      <c r="M3229" s="30" t="s">
        <v>6710</v>
      </c>
      <c r="N3229" s="30" t="s">
        <v>1837</v>
      </c>
      <c r="P3229" s="30" t="s">
        <v>1839</v>
      </c>
      <c r="Q3229" t="s">
        <v>619</v>
      </c>
      <c r="R3229" t="s">
        <v>919</v>
      </c>
      <c r="S3229">
        <v>37</v>
      </c>
      <c r="T3229" s="29" t="str">
        <f t="shared" si="142"/>
        <v>2021.080B.R.Stephanstirmvirinae.zip</v>
      </c>
      <c r="U3229" s="29" t="str">
        <f>HYPERLINK("https://ictv.global/taxonomy/taxondetails?taxnode_id=202307989","ictv.global=202307989")</f>
        <v>ictv.global=202307989</v>
      </c>
    </row>
    <row r="3230" spans="1:21">
      <c r="A3230">
        <v>3229</v>
      </c>
      <c r="B3230" s="30" t="s">
        <v>1587</v>
      </c>
      <c r="D3230" s="30" t="s">
        <v>1588</v>
      </c>
      <c r="F3230" s="30" t="s">
        <v>1591</v>
      </c>
      <c r="H3230" s="30" t="s">
        <v>1592</v>
      </c>
      <c r="M3230" s="30" t="s">
        <v>6710</v>
      </c>
      <c r="N3230" s="30" t="s">
        <v>1837</v>
      </c>
      <c r="P3230" s="30" t="s">
        <v>1840</v>
      </c>
      <c r="Q3230" t="s">
        <v>619</v>
      </c>
      <c r="R3230" t="s">
        <v>919</v>
      </c>
      <c r="S3230">
        <v>37</v>
      </c>
      <c r="T3230" s="29" t="str">
        <f t="shared" si="142"/>
        <v>2021.080B.R.Stephanstirmvirinae.zip</v>
      </c>
      <c r="U3230" s="29" t="str">
        <f>HYPERLINK("https://ictv.global/taxonomy/taxondetails?taxnode_id=202307987","ictv.global=202307987")</f>
        <v>ictv.global=202307987</v>
      </c>
    </row>
    <row r="3231" spans="1:21">
      <c r="A3231">
        <v>3230</v>
      </c>
      <c r="B3231" s="30" t="s">
        <v>1587</v>
      </c>
      <c r="D3231" s="30" t="s">
        <v>1588</v>
      </c>
      <c r="F3231" s="30" t="s">
        <v>1591</v>
      </c>
      <c r="H3231" s="30" t="s">
        <v>1592</v>
      </c>
      <c r="M3231" s="30" t="s">
        <v>6710</v>
      </c>
      <c r="N3231" s="30" t="s">
        <v>1837</v>
      </c>
      <c r="P3231" s="30" t="s">
        <v>1841</v>
      </c>
      <c r="Q3231" t="s">
        <v>619</v>
      </c>
      <c r="R3231" t="s">
        <v>919</v>
      </c>
      <c r="S3231">
        <v>37</v>
      </c>
      <c r="T3231" s="29" t="str">
        <f t="shared" si="142"/>
        <v>2021.080B.R.Stephanstirmvirinae.zip</v>
      </c>
      <c r="U3231" s="29" t="str">
        <f>HYPERLINK("https://ictv.global/taxonomy/taxondetails?taxnode_id=202307988","ictv.global=202307988")</f>
        <v>ictv.global=202307988</v>
      </c>
    </row>
    <row r="3232" spans="1:21">
      <c r="A3232">
        <v>3231</v>
      </c>
      <c r="B3232" s="30" t="s">
        <v>1587</v>
      </c>
      <c r="D3232" s="30" t="s">
        <v>1588</v>
      </c>
      <c r="F3232" s="30" t="s">
        <v>1591</v>
      </c>
      <c r="H3232" s="30" t="s">
        <v>1592</v>
      </c>
      <c r="M3232" s="30" t="s">
        <v>6710</v>
      </c>
      <c r="N3232" s="30" t="s">
        <v>1837</v>
      </c>
      <c r="P3232" s="30" t="s">
        <v>1842</v>
      </c>
      <c r="Q3232" t="s">
        <v>619</v>
      </c>
      <c r="R3232" t="s">
        <v>919</v>
      </c>
      <c r="S3232">
        <v>37</v>
      </c>
      <c r="T3232" s="29" t="str">
        <f t="shared" si="142"/>
        <v>2021.080B.R.Stephanstirmvirinae.zip</v>
      </c>
      <c r="U3232" s="29" t="str">
        <f>HYPERLINK("https://ictv.global/taxonomy/taxondetails?taxnode_id=202307990","ictv.global=202307990")</f>
        <v>ictv.global=202307990</v>
      </c>
    </row>
    <row r="3233" spans="1:21">
      <c r="A3233">
        <v>3232</v>
      </c>
      <c r="B3233" s="30" t="s">
        <v>1587</v>
      </c>
      <c r="D3233" s="30" t="s">
        <v>1588</v>
      </c>
      <c r="F3233" s="30" t="s">
        <v>1591</v>
      </c>
      <c r="H3233" s="30" t="s">
        <v>1592</v>
      </c>
      <c r="M3233" s="30" t="s">
        <v>6710</v>
      </c>
      <c r="N3233" s="30" t="s">
        <v>1837</v>
      </c>
      <c r="P3233" s="30" t="s">
        <v>6718</v>
      </c>
      <c r="Q3233" t="s">
        <v>619</v>
      </c>
      <c r="R3233" t="s">
        <v>917</v>
      </c>
      <c r="S3233">
        <v>37</v>
      </c>
      <c r="T3233" s="29" t="str">
        <f t="shared" si="142"/>
        <v>2021.080B.R.Stephanstirmvirinae.zip</v>
      </c>
      <c r="U3233" s="29" t="str">
        <f>HYPERLINK("https://ictv.global/taxonomy/taxondetails?taxnode_id=202313649","ictv.global=202313649")</f>
        <v>ictv.global=202313649</v>
      </c>
    </row>
    <row r="3234" spans="1:21">
      <c r="A3234">
        <v>3233</v>
      </c>
      <c r="B3234" s="30" t="s">
        <v>1587</v>
      </c>
      <c r="D3234" s="30" t="s">
        <v>1588</v>
      </c>
      <c r="F3234" s="30" t="s">
        <v>1591</v>
      </c>
      <c r="H3234" s="30" t="s">
        <v>1592</v>
      </c>
      <c r="M3234" s="30" t="s">
        <v>6710</v>
      </c>
      <c r="N3234" s="30" t="s">
        <v>1837</v>
      </c>
      <c r="P3234" s="30" t="s">
        <v>6719</v>
      </c>
      <c r="Q3234" t="s">
        <v>619</v>
      </c>
      <c r="R3234" t="s">
        <v>917</v>
      </c>
      <c r="S3234">
        <v>37</v>
      </c>
      <c r="T3234" s="29" t="str">
        <f t="shared" si="142"/>
        <v>2021.080B.R.Stephanstirmvirinae.zip</v>
      </c>
      <c r="U3234" s="29" t="str">
        <f>HYPERLINK("https://ictv.global/taxonomy/taxondetails?taxnode_id=202313650","ictv.global=202313650")</f>
        <v>ictv.global=202313650</v>
      </c>
    </row>
    <row r="3235" spans="1:21">
      <c r="A3235">
        <v>3234</v>
      </c>
      <c r="B3235" s="30" t="s">
        <v>1587</v>
      </c>
      <c r="D3235" s="30" t="s">
        <v>1588</v>
      </c>
      <c r="F3235" s="30" t="s">
        <v>1591</v>
      </c>
      <c r="H3235" s="30" t="s">
        <v>1592</v>
      </c>
      <c r="M3235" s="30" t="s">
        <v>6710</v>
      </c>
      <c r="N3235" s="30" t="s">
        <v>1837</v>
      </c>
      <c r="P3235" s="30" t="s">
        <v>6720</v>
      </c>
      <c r="Q3235" t="s">
        <v>619</v>
      </c>
      <c r="R3235" t="s">
        <v>917</v>
      </c>
      <c r="S3235">
        <v>37</v>
      </c>
      <c r="T3235" s="29" t="str">
        <f t="shared" si="142"/>
        <v>2021.080B.R.Stephanstirmvirinae.zip</v>
      </c>
      <c r="U3235" s="29" t="str">
        <f>HYPERLINK("https://ictv.global/taxonomy/taxondetails?taxnode_id=202313651","ictv.global=202313651")</f>
        <v>ictv.global=202313651</v>
      </c>
    </row>
    <row r="3236" spans="1:21">
      <c r="A3236">
        <v>3235</v>
      </c>
      <c r="B3236" s="30" t="s">
        <v>1587</v>
      </c>
      <c r="D3236" s="30" t="s">
        <v>1588</v>
      </c>
      <c r="F3236" s="30" t="s">
        <v>1591</v>
      </c>
      <c r="H3236" s="30" t="s">
        <v>1592</v>
      </c>
      <c r="M3236" s="30" t="s">
        <v>6710</v>
      </c>
      <c r="N3236" s="30" t="s">
        <v>1837</v>
      </c>
      <c r="P3236" s="30" t="s">
        <v>6721</v>
      </c>
      <c r="Q3236" t="s">
        <v>619</v>
      </c>
      <c r="R3236" t="s">
        <v>917</v>
      </c>
      <c r="S3236">
        <v>37</v>
      </c>
      <c r="T3236" s="29" t="str">
        <f t="shared" si="142"/>
        <v>2021.080B.R.Stephanstirmvirinae.zip</v>
      </c>
      <c r="U3236" s="29" t="str">
        <f>HYPERLINK("https://ictv.global/taxonomy/taxondetails?taxnode_id=202313652","ictv.global=202313652")</f>
        <v>ictv.global=202313652</v>
      </c>
    </row>
    <row r="3237" spans="1:21">
      <c r="A3237">
        <v>3236</v>
      </c>
      <c r="B3237" s="30" t="s">
        <v>1587</v>
      </c>
      <c r="D3237" s="30" t="s">
        <v>1588</v>
      </c>
      <c r="F3237" s="30" t="s">
        <v>1591</v>
      </c>
      <c r="H3237" s="30" t="s">
        <v>1592</v>
      </c>
      <c r="M3237" s="30" t="s">
        <v>6710</v>
      </c>
      <c r="N3237" s="30" t="s">
        <v>1837</v>
      </c>
      <c r="P3237" s="30" t="s">
        <v>6722</v>
      </c>
      <c r="Q3237" t="s">
        <v>619</v>
      </c>
      <c r="R3237" t="s">
        <v>917</v>
      </c>
      <c r="S3237">
        <v>37</v>
      </c>
      <c r="T3237" s="29" t="str">
        <f t="shared" si="142"/>
        <v>2021.080B.R.Stephanstirmvirinae.zip</v>
      </c>
      <c r="U3237" s="29" t="str">
        <f>HYPERLINK("https://ictv.global/taxonomy/taxondetails?taxnode_id=202313655","ictv.global=202313655")</f>
        <v>ictv.global=202313655</v>
      </c>
    </row>
    <row r="3238" spans="1:21">
      <c r="A3238">
        <v>3237</v>
      </c>
      <c r="B3238" s="30" t="s">
        <v>1587</v>
      </c>
      <c r="D3238" s="30" t="s">
        <v>1588</v>
      </c>
      <c r="F3238" s="30" t="s">
        <v>1591</v>
      </c>
      <c r="H3238" s="30" t="s">
        <v>1592</v>
      </c>
      <c r="M3238" s="30" t="s">
        <v>6710</v>
      </c>
      <c r="N3238" s="30" t="s">
        <v>1837</v>
      </c>
      <c r="P3238" s="30" t="s">
        <v>6723</v>
      </c>
      <c r="Q3238" t="s">
        <v>619</v>
      </c>
      <c r="R3238" t="s">
        <v>917</v>
      </c>
      <c r="S3238">
        <v>37</v>
      </c>
      <c r="T3238" s="29" t="str">
        <f t="shared" si="142"/>
        <v>2021.080B.R.Stephanstirmvirinae.zip</v>
      </c>
      <c r="U3238" s="29" t="str">
        <f>HYPERLINK("https://ictv.global/taxonomy/taxondetails?taxnode_id=202313648","ictv.global=202313648")</f>
        <v>ictv.global=202313648</v>
      </c>
    </row>
    <row r="3239" spans="1:21">
      <c r="A3239">
        <v>3238</v>
      </c>
      <c r="B3239" s="30" t="s">
        <v>1587</v>
      </c>
      <c r="D3239" s="30" t="s">
        <v>1588</v>
      </c>
      <c r="F3239" s="30" t="s">
        <v>1591</v>
      </c>
      <c r="H3239" s="30" t="s">
        <v>1592</v>
      </c>
      <c r="M3239" s="30" t="s">
        <v>6710</v>
      </c>
      <c r="N3239" s="30" t="s">
        <v>1837</v>
      </c>
      <c r="P3239" s="30" t="s">
        <v>6724</v>
      </c>
      <c r="Q3239" t="s">
        <v>619</v>
      </c>
      <c r="R3239" t="s">
        <v>917</v>
      </c>
      <c r="S3239">
        <v>37</v>
      </c>
      <c r="T3239" s="29" t="str">
        <f t="shared" si="142"/>
        <v>2021.080B.R.Stephanstirmvirinae.zip</v>
      </c>
      <c r="U3239" s="29" t="str">
        <f>HYPERLINK("https://ictv.global/taxonomy/taxondetails?taxnode_id=202313653","ictv.global=202313653")</f>
        <v>ictv.global=202313653</v>
      </c>
    </row>
    <row r="3240" spans="1:21">
      <c r="A3240">
        <v>3239</v>
      </c>
      <c r="B3240" s="30" t="s">
        <v>1587</v>
      </c>
      <c r="D3240" s="30" t="s">
        <v>1588</v>
      </c>
      <c r="F3240" s="30" t="s">
        <v>1591</v>
      </c>
      <c r="H3240" s="30" t="s">
        <v>1592</v>
      </c>
      <c r="M3240" s="30" t="s">
        <v>6710</v>
      </c>
      <c r="N3240" s="30" t="s">
        <v>1837</v>
      </c>
      <c r="P3240" s="30" t="s">
        <v>6725</v>
      </c>
      <c r="Q3240" t="s">
        <v>619</v>
      </c>
      <c r="R3240" t="s">
        <v>917</v>
      </c>
      <c r="S3240">
        <v>37</v>
      </c>
      <c r="T3240" s="29" t="str">
        <f t="shared" si="142"/>
        <v>2021.080B.R.Stephanstirmvirinae.zip</v>
      </c>
      <c r="U3240" s="29" t="str">
        <f>HYPERLINK("https://ictv.global/taxonomy/taxondetails?taxnode_id=202313654","ictv.global=202313654")</f>
        <v>ictv.global=202313654</v>
      </c>
    </row>
    <row r="3241" spans="1:21">
      <c r="A3241">
        <v>3240</v>
      </c>
      <c r="B3241" s="30" t="s">
        <v>1587</v>
      </c>
      <c r="D3241" s="30" t="s">
        <v>1588</v>
      </c>
      <c r="F3241" s="30" t="s">
        <v>1591</v>
      </c>
      <c r="H3241" s="30" t="s">
        <v>1592</v>
      </c>
      <c r="M3241" s="30" t="s">
        <v>2405</v>
      </c>
      <c r="N3241" s="30" t="s">
        <v>2406</v>
      </c>
      <c r="P3241" s="30" t="s">
        <v>6726</v>
      </c>
      <c r="Q3241" t="s">
        <v>619</v>
      </c>
      <c r="R3241" t="s">
        <v>918</v>
      </c>
      <c r="S3241">
        <v>37</v>
      </c>
      <c r="T3241" s="29" t="str">
        <f t="shared" ref="T3241:T3266" si="143">HYPERLINK("https://ictv.global/ictv/proposals/2021.010B.R.Binomial_names.zip","2021.010B.R.Binomial_names.zip")</f>
        <v>2021.010B.R.Binomial_names.zip</v>
      </c>
      <c r="U3241" s="29" t="str">
        <f>HYPERLINK("https://ictv.global/taxonomy/taxondetails?taxnode_id=202312034","ictv.global=202312034")</f>
        <v>ictv.global=202312034</v>
      </c>
    </row>
    <row r="3242" spans="1:21">
      <c r="A3242">
        <v>3241</v>
      </c>
      <c r="B3242" s="30" t="s">
        <v>1587</v>
      </c>
      <c r="D3242" s="30" t="s">
        <v>1588</v>
      </c>
      <c r="F3242" s="30" t="s">
        <v>1591</v>
      </c>
      <c r="H3242" s="30" t="s">
        <v>1592</v>
      </c>
      <c r="M3242" s="30" t="s">
        <v>2405</v>
      </c>
      <c r="N3242" s="30" t="s">
        <v>2407</v>
      </c>
      <c r="P3242" s="30" t="s">
        <v>6727</v>
      </c>
      <c r="Q3242" t="s">
        <v>619</v>
      </c>
      <c r="R3242" t="s">
        <v>918</v>
      </c>
      <c r="S3242">
        <v>37</v>
      </c>
      <c r="T3242" s="29" t="str">
        <f t="shared" si="143"/>
        <v>2021.010B.R.Binomial_names.zip</v>
      </c>
      <c r="U3242" s="29" t="str">
        <f>HYPERLINK("https://ictv.global/taxonomy/taxondetails?taxnode_id=202312031","ictv.global=202312031")</f>
        <v>ictv.global=202312031</v>
      </c>
    </row>
    <row r="3243" spans="1:21">
      <c r="A3243">
        <v>3242</v>
      </c>
      <c r="B3243" s="30" t="s">
        <v>1587</v>
      </c>
      <c r="D3243" s="30" t="s">
        <v>1588</v>
      </c>
      <c r="F3243" s="30" t="s">
        <v>1591</v>
      </c>
      <c r="H3243" s="30" t="s">
        <v>1592</v>
      </c>
      <c r="M3243" s="30" t="s">
        <v>2405</v>
      </c>
      <c r="N3243" s="30" t="s">
        <v>2407</v>
      </c>
      <c r="P3243" s="30" t="s">
        <v>6728</v>
      </c>
      <c r="Q3243" t="s">
        <v>619</v>
      </c>
      <c r="R3243" t="s">
        <v>918</v>
      </c>
      <c r="S3243">
        <v>37</v>
      </c>
      <c r="T3243" s="29" t="str">
        <f t="shared" si="143"/>
        <v>2021.010B.R.Binomial_names.zip</v>
      </c>
      <c r="U3243" s="29" t="str">
        <f>HYPERLINK("https://ictv.global/taxonomy/taxondetails?taxnode_id=202312032","ictv.global=202312032")</f>
        <v>ictv.global=202312032</v>
      </c>
    </row>
    <row r="3244" spans="1:21">
      <c r="A3244">
        <v>3243</v>
      </c>
      <c r="B3244" s="30" t="s">
        <v>1587</v>
      </c>
      <c r="D3244" s="30" t="s">
        <v>1588</v>
      </c>
      <c r="F3244" s="30" t="s">
        <v>1591</v>
      </c>
      <c r="H3244" s="30" t="s">
        <v>1592</v>
      </c>
      <c r="M3244" s="30" t="s">
        <v>1880</v>
      </c>
      <c r="N3244" s="30" t="s">
        <v>1881</v>
      </c>
      <c r="P3244" s="30" t="s">
        <v>6729</v>
      </c>
      <c r="Q3244" t="s">
        <v>619</v>
      </c>
      <c r="R3244" t="s">
        <v>918</v>
      </c>
      <c r="S3244">
        <v>37</v>
      </c>
      <c r="T3244" s="29" t="str">
        <f t="shared" si="143"/>
        <v>2021.010B.R.Binomial_names.zip</v>
      </c>
      <c r="U3244" s="29" t="str">
        <f>HYPERLINK("https://ictv.global/taxonomy/taxondetails?taxnode_id=202307824","ictv.global=202307824")</f>
        <v>ictv.global=202307824</v>
      </c>
    </row>
    <row r="3245" spans="1:21">
      <c r="A3245">
        <v>3244</v>
      </c>
      <c r="B3245" s="30" t="s">
        <v>1587</v>
      </c>
      <c r="D3245" s="30" t="s">
        <v>1588</v>
      </c>
      <c r="F3245" s="30" t="s">
        <v>1591</v>
      </c>
      <c r="H3245" s="30" t="s">
        <v>1592</v>
      </c>
      <c r="M3245" s="30" t="s">
        <v>1880</v>
      </c>
      <c r="N3245" s="30" t="s">
        <v>1882</v>
      </c>
      <c r="P3245" s="30" t="s">
        <v>6730</v>
      </c>
      <c r="Q3245" t="s">
        <v>619</v>
      </c>
      <c r="R3245" t="s">
        <v>918</v>
      </c>
      <c r="S3245">
        <v>37</v>
      </c>
      <c r="T3245" s="29" t="str">
        <f t="shared" si="143"/>
        <v>2021.010B.R.Binomial_names.zip</v>
      </c>
      <c r="U3245" s="29" t="str">
        <f>HYPERLINK("https://ictv.global/taxonomy/taxondetails?taxnode_id=202307829","ictv.global=202307829")</f>
        <v>ictv.global=202307829</v>
      </c>
    </row>
    <row r="3246" spans="1:21">
      <c r="A3246">
        <v>3245</v>
      </c>
      <c r="B3246" s="30" t="s">
        <v>1587</v>
      </c>
      <c r="D3246" s="30" t="s">
        <v>1588</v>
      </c>
      <c r="F3246" s="30" t="s">
        <v>1591</v>
      </c>
      <c r="H3246" s="30" t="s">
        <v>1592</v>
      </c>
      <c r="M3246" s="30" t="s">
        <v>1880</v>
      </c>
      <c r="N3246" s="30" t="s">
        <v>1882</v>
      </c>
      <c r="P3246" s="30" t="s">
        <v>6731</v>
      </c>
      <c r="Q3246" t="s">
        <v>619</v>
      </c>
      <c r="R3246" t="s">
        <v>918</v>
      </c>
      <c r="S3246">
        <v>37</v>
      </c>
      <c r="T3246" s="29" t="str">
        <f t="shared" si="143"/>
        <v>2021.010B.R.Binomial_names.zip</v>
      </c>
      <c r="U3246" s="29" t="str">
        <f>HYPERLINK("https://ictv.global/taxonomy/taxondetails?taxnode_id=202307830","ictv.global=202307830")</f>
        <v>ictv.global=202307830</v>
      </c>
    </row>
    <row r="3247" spans="1:21">
      <c r="A3247">
        <v>3246</v>
      </c>
      <c r="B3247" s="30" t="s">
        <v>1587</v>
      </c>
      <c r="D3247" s="30" t="s">
        <v>1588</v>
      </c>
      <c r="F3247" s="30" t="s">
        <v>1591</v>
      </c>
      <c r="H3247" s="30" t="s">
        <v>1592</v>
      </c>
      <c r="M3247" s="30" t="s">
        <v>1880</v>
      </c>
      <c r="N3247" s="30" t="s">
        <v>1882</v>
      </c>
      <c r="P3247" s="30" t="s">
        <v>6732</v>
      </c>
      <c r="Q3247" t="s">
        <v>619</v>
      </c>
      <c r="R3247" t="s">
        <v>918</v>
      </c>
      <c r="S3247">
        <v>37</v>
      </c>
      <c r="T3247" s="29" t="str">
        <f t="shared" si="143"/>
        <v>2021.010B.R.Binomial_names.zip</v>
      </c>
      <c r="U3247" s="29" t="str">
        <f>HYPERLINK("https://ictv.global/taxonomy/taxondetails?taxnode_id=202307831","ictv.global=202307831")</f>
        <v>ictv.global=202307831</v>
      </c>
    </row>
    <row r="3248" spans="1:21">
      <c r="A3248">
        <v>3247</v>
      </c>
      <c r="B3248" s="30" t="s">
        <v>1587</v>
      </c>
      <c r="D3248" s="30" t="s">
        <v>1588</v>
      </c>
      <c r="F3248" s="30" t="s">
        <v>1591</v>
      </c>
      <c r="H3248" s="30" t="s">
        <v>1592</v>
      </c>
      <c r="M3248" s="30" t="s">
        <v>1880</v>
      </c>
      <c r="N3248" s="30" t="s">
        <v>1883</v>
      </c>
      <c r="P3248" s="30" t="s">
        <v>6733</v>
      </c>
      <c r="Q3248" t="s">
        <v>619</v>
      </c>
      <c r="R3248" t="s">
        <v>918</v>
      </c>
      <c r="S3248">
        <v>37</v>
      </c>
      <c r="T3248" s="29" t="str">
        <f t="shared" si="143"/>
        <v>2021.010B.R.Binomial_names.zip</v>
      </c>
      <c r="U3248" s="29" t="str">
        <f>HYPERLINK("https://ictv.global/taxonomy/taxondetails?taxnode_id=202307826","ictv.global=202307826")</f>
        <v>ictv.global=202307826</v>
      </c>
    </row>
    <row r="3249" spans="1:21">
      <c r="A3249">
        <v>3248</v>
      </c>
      <c r="B3249" s="30" t="s">
        <v>1587</v>
      </c>
      <c r="D3249" s="30" t="s">
        <v>1588</v>
      </c>
      <c r="F3249" s="30" t="s">
        <v>1591</v>
      </c>
      <c r="H3249" s="30" t="s">
        <v>1592</v>
      </c>
      <c r="M3249" s="30" t="s">
        <v>1880</v>
      </c>
      <c r="N3249" s="30" t="s">
        <v>1883</v>
      </c>
      <c r="P3249" s="30" t="s">
        <v>6734</v>
      </c>
      <c r="Q3249" t="s">
        <v>619</v>
      </c>
      <c r="R3249" t="s">
        <v>918</v>
      </c>
      <c r="S3249">
        <v>37</v>
      </c>
      <c r="T3249" s="29" t="str">
        <f t="shared" si="143"/>
        <v>2021.010B.R.Binomial_names.zip</v>
      </c>
      <c r="U3249" s="29" t="str">
        <f>HYPERLINK("https://ictv.global/taxonomy/taxondetails?taxnode_id=202307827","ictv.global=202307827")</f>
        <v>ictv.global=202307827</v>
      </c>
    </row>
    <row r="3250" spans="1:21">
      <c r="A3250">
        <v>3249</v>
      </c>
      <c r="B3250" s="30" t="s">
        <v>1587</v>
      </c>
      <c r="D3250" s="30" t="s">
        <v>1588</v>
      </c>
      <c r="F3250" s="30" t="s">
        <v>1591</v>
      </c>
      <c r="H3250" s="30" t="s">
        <v>1592</v>
      </c>
      <c r="M3250" s="30" t="s">
        <v>1880</v>
      </c>
      <c r="N3250" s="30" t="s">
        <v>1884</v>
      </c>
      <c r="P3250" s="30" t="s">
        <v>6735</v>
      </c>
      <c r="Q3250" t="s">
        <v>619</v>
      </c>
      <c r="R3250" t="s">
        <v>918</v>
      </c>
      <c r="S3250">
        <v>37</v>
      </c>
      <c r="T3250" s="29" t="str">
        <f t="shared" si="143"/>
        <v>2021.010B.R.Binomial_names.zip</v>
      </c>
      <c r="U3250" s="29" t="str">
        <f>HYPERLINK("https://ictv.global/taxonomy/taxondetails?taxnode_id=202307833","ictv.global=202307833")</f>
        <v>ictv.global=202307833</v>
      </c>
    </row>
    <row r="3251" spans="1:21">
      <c r="A3251">
        <v>3250</v>
      </c>
      <c r="B3251" s="30" t="s">
        <v>1587</v>
      </c>
      <c r="D3251" s="30" t="s">
        <v>1588</v>
      </c>
      <c r="F3251" s="30" t="s">
        <v>1591</v>
      </c>
      <c r="H3251" s="30" t="s">
        <v>1592</v>
      </c>
      <c r="M3251" s="30" t="s">
        <v>1880</v>
      </c>
      <c r="N3251" s="30" t="s">
        <v>1884</v>
      </c>
      <c r="P3251" s="30" t="s">
        <v>6736</v>
      </c>
      <c r="Q3251" t="s">
        <v>619</v>
      </c>
      <c r="R3251" t="s">
        <v>918</v>
      </c>
      <c r="S3251">
        <v>37</v>
      </c>
      <c r="T3251" s="29" t="str">
        <f t="shared" si="143"/>
        <v>2021.010B.R.Binomial_names.zip</v>
      </c>
      <c r="U3251" s="29" t="str">
        <f>HYPERLINK("https://ictv.global/taxonomy/taxondetails?taxnode_id=202307835","ictv.global=202307835")</f>
        <v>ictv.global=202307835</v>
      </c>
    </row>
    <row r="3252" spans="1:21">
      <c r="A3252">
        <v>3251</v>
      </c>
      <c r="B3252" s="30" t="s">
        <v>1587</v>
      </c>
      <c r="D3252" s="30" t="s">
        <v>1588</v>
      </c>
      <c r="F3252" s="30" t="s">
        <v>1591</v>
      </c>
      <c r="H3252" s="30" t="s">
        <v>1592</v>
      </c>
      <c r="M3252" s="30" t="s">
        <v>1880</v>
      </c>
      <c r="N3252" s="30" t="s">
        <v>1884</v>
      </c>
      <c r="P3252" s="30" t="s">
        <v>6737</v>
      </c>
      <c r="Q3252" t="s">
        <v>619</v>
      </c>
      <c r="R3252" t="s">
        <v>918</v>
      </c>
      <c r="S3252">
        <v>37</v>
      </c>
      <c r="T3252" s="29" t="str">
        <f t="shared" si="143"/>
        <v>2021.010B.R.Binomial_names.zip</v>
      </c>
      <c r="U3252" s="29" t="str">
        <f>HYPERLINK("https://ictv.global/taxonomy/taxondetails?taxnode_id=202307834","ictv.global=202307834")</f>
        <v>ictv.global=202307834</v>
      </c>
    </row>
    <row r="3253" spans="1:21">
      <c r="A3253">
        <v>3252</v>
      </c>
      <c r="B3253" s="30" t="s">
        <v>1587</v>
      </c>
      <c r="D3253" s="30" t="s">
        <v>1588</v>
      </c>
      <c r="F3253" s="30" t="s">
        <v>1591</v>
      </c>
      <c r="H3253" s="30" t="s">
        <v>1592</v>
      </c>
      <c r="M3253" s="30" t="s">
        <v>633</v>
      </c>
      <c r="N3253" s="30" t="s">
        <v>1341</v>
      </c>
      <c r="P3253" s="30" t="s">
        <v>6738</v>
      </c>
      <c r="Q3253" t="s">
        <v>619</v>
      </c>
      <c r="R3253" t="s">
        <v>918</v>
      </c>
      <c r="S3253">
        <v>37</v>
      </c>
      <c r="T3253" s="29" t="str">
        <f t="shared" si="143"/>
        <v>2021.010B.R.Binomial_names.zip</v>
      </c>
      <c r="U3253" s="29" t="str">
        <f>HYPERLINK("https://ictv.global/taxonomy/taxondetails?taxnode_id=202307080","ictv.global=202307080")</f>
        <v>ictv.global=202307080</v>
      </c>
    </row>
    <row r="3254" spans="1:21">
      <c r="A3254">
        <v>3253</v>
      </c>
      <c r="B3254" s="30" t="s">
        <v>1587</v>
      </c>
      <c r="D3254" s="30" t="s">
        <v>1588</v>
      </c>
      <c r="F3254" s="30" t="s">
        <v>1591</v>
      </c>
      <c r="H3254" s="30" t="s">
        <v>1592</v>
      </c>
      <c r="M3254" s="30" t="s">
        <v>633</v>
      </c>
      <c r="N3254" s="30" t="s">
        <v>1342</v>
      </c>
      <c r="P3254" s="30" t="s">
        <v>6739</v>
      </c>
      <c r="Q3254" t="s">
        <v>619</v>
      </c>
      <c r="R3254" t="s">
        <v>918</v>
      </c>
      <c r="S3254">
        <v>37</v>
      </c>
      <c r="T3254" s="29" t="str">
        <f t="shared" si="143"/>
        <v>2021.010B.R.Binomial_names.zip</v>
      </c>
      <c r="U3254" s="29" t="str">
        <f>HYPERLINK("https://ictv.global/taxonomy/taxondetails?taxnode_id=202300347","ictv.global=202300347")</f>
        <v>ictv.global=202300347</v>
      </c>
    </row>
    <row r="3255" spans="1:21">
      <c r="A3255">
        <v>3254</v>
      </c>
      <c r="B3255" s="30" t="s">
        <v>1587</v>
      </c>
      <c r="D3255" s="30" t="s">
        <v>1588</v>
      </c>
      <c r="F3255" s="30" t="s">
        <v>1591</v>
      </c>
      <c r="H3255" s="30" t="s">
        <v>1592</v>
      </c>
      <c r="M3255" s="30" t="s">
        <v>633</v>
      </c>
      <c r="N3255" s="30" t="s">
        <v>1342</v>
      </c>
      <c r="P3255" s="30" t="s">
        <v>6740</v>
      </c>
      <c r="Q3255" t="s">
        <v>619</v>
      </c>
      <c r="R3255" t="s">
        <v>918</v>
      </c>
      <c r="S3255">
        <v>37</v>
      </c>
      <c r="T3255" s="29" t="str">
        <f t="shared" si="143"/>
        <v>2021.010B.R.Binomial_names.zip</v>
      </c>
      <c r="U3255" s="29" t="str">
        <f>HYPERLINK("https://ictv.global/taxonomy/taxondetails?taxnode_id=202300348","ictv.global=202300348")</f>
        <v>ictv.global=202300348</v>
      </c>
    </row>
    <row r="3256" spans="1:21">
      <c r="A3256">
        <v>3255</v>
      </c>
      <c r="B3256" s="30" t="s">
        <v>1587</v>
      </c>
      <c r="D3256" s="30" t="s">
        <v>1588</v>
      </c>
      <c r="F3256" s="30" t="s">
        <v>1591</v>
      </c>
      <c r="H3256" s="30" t="s">
        <v>1592</v>
      </c>
      <c r="M3256" s="30" t="s">
        <v>633</v>
      </c>
      <c r="N3256" s="30" t="s">
        <v>1342</v>
      </c>
      <c r="P3256" s="30" t="s">
        <v>6741</v>
      </c>
      <c r="Q3256" t="s">
        <v>619</v>
      </c>
      <c r="R3256" t="s">
        <v>918</v>
      </c>
      <c r="S3256">
        <v>37</v>
      </c>
      <c r="T3256" s="29" t="str">
        <f t="shared" si="143"/>
        <v>2021.010B.R.Binomial_names.zip</v>
      </c>
      <c r="U3256" s="29" t="str">
        <f>HYPERLINK("https://ictv.global/taxonomy/taxondetails?taxnode_id=202300349","ictv.global=202300349")</f>
        <v>ictv.global=202300349</v>
      </c>
    </row>
    <row r="3257" spans="1:21">
      <c r="A3257">
        <v>3256</v>
      </c>
      <c r="B3257" s="30" t="s">
        <v>1587</v>
      </c>
      <c r="D3257" s="30" t="s">
        <v>1588</v>
      </c>
      <c r="F3257" s="30" t="s">
        <v>1591</v>
      </c>
      <c r="H3257" s="30" t="s">
        <v>1592</v>
      </c>
      <c r="M3257" s="30" t="s">
        <v>633</v>
      </c>
      <c r="N3257" s="30" t="s">
        <v>1342</v>
      </c>
      <c r="P3257" s="30" t="s">
        <v>6742</v>
      </c>
      <c r="Q3257" t="s">
        <v>619</v>
      </c>
      <c r="R3257" t="s">
        <v>918</v>
      </c>
      <c r="S3257">
        <v>37</v>
      </c>
      <c r="T3257" s="29" t="str">
        <f t="shared" si="143"/>
        <v>2021.010B.R.Binomial_names.zip</v>
      </c>
      <c r="U3257" s="29" t="str">
        <f>HYPERLINK("https://ictv.global/taxonomy/taxondetails?taxnode_id=202300350","ictv.global=202300350")</f>
        <v>ictv.global=202300350</v>
      </c>
    </row>
    <row r="3258" spans="1:21">
      <c r="A3258">
        <v>3257</v>
      </c>
      <c r="B3258" s="30" t="s">
        <v>1587</v>
      </c>
      <c r="D3258" s="30" t="s">
        <v>1588</v>
      </c>
      <c r="F3258" s="30" t="s">
        <v>1591</v>
      </c>
      <c r="H3258" s="30" t="s">
        <v>1592</v>
      </c>
      <c r="M3258" s="30" t="s">
        <v>633</v>
      </c>
      <c r="N3258" s="30" t="s">
        <v>1342</v>
      </c>
      <c r="P3258" s="30" t="s">
        <v>6743</v>
      </c>
      <c r="Q3258" t="s">
        <v>619</v>
      </c>
      <c r="R3258" t="s">
        <v>918</v>
      </c>
      <c r="S3258">
        <v>37</v>
      </c>
      <c r="T3258" s="29" t="str">
        <f t="shared" si="143"/>
        <v>2021.010B.R.Binomial_names.zip</v>
      </c>
      <c r="U3258" s="29" t="str">
        <f>HYPERLINK("https://ictv.global/taxonomy/taxondetails?taxnode_id=202300351","ictv.global=202300351")</f>
        <v>ictv.global=202300351</v>
      </c>
    </row>
    <row r="3259" spans="1:21">
      <c r="A3259">
        <v>3258</v>
      </c>
      <c r="B3259" s="30" t="s">
        <v>1587</v>
      </c>
      <c r="D3259" s="30" t="s">
        <v>1588</v>
      </c>
      <c r="F3259" s="30" t="s">
        <v>1591</v>
      </c>
      <c r="H3259" s="30" t="s">
        <v>1592</v>
      </c>
      <c r="M3259" s="30" t="s">
        <v>633</v>
      </c>
      <c r="N3259" s="30" t="s">
        <v>2256</v>
      </c>
      <c r="P3259" s="30" t="s">
        <v>6744</v>
      </c>
      <c r="Q3259" t="s">
        <v>619</v>
      </c>
      <c r="R3259" t="s">
        <v>918</v>
      </c>
      <c r="S3259">
        <v>37</v>
      </c>
      <c r="T3259" s="29" t="str">
        <f t="shared" si="143"/>
        <v>2021.010B.R.Binomial_names.zip</v>
      </c>
      <c r="U3259" s="29" t="str">
        <f>HYPERLINK("https://ictv.global/taxonomy/taxondetails?taxnode_id=202310105","ictv.global=202310105")</f>
        <v>ictv.global=202310105</v>
      </c>
    </row>
    <row r="3260" spans="1:21">
      <c r="A3260">
        <v>3259</v>
      </c>
      <c r="B3260" s="30" t="s">
        <v>1587</v>
      </c>
      <c r="D3260" s="30" t="s">
        <v>1588</v>
      </c>
      <c r="F3260" s="30" t="s">
        <v>1591</v>
      </c>
      <c r="H3260" s="30" t="s">
        <v>1592</v>
      </c>
      <c r="M3260" s="30" t="s">
        <v>633</v>
      </c>
      <c r="N3260" s="30" t="s">
        <v>2256</v>
      </c>
      <c r="P3260" s="30" t="s">
        <v>6745</v>
      </c>
      <c r="Q3260" t="s">
        <v>619</v>
      </c>
      <c r="R3260" t="s">
        <v>918</v>
      </c>
      <c r="S3260">
        <v>37</v>
      </c>
      <c r="T3260" s="29" t="str">
        <f t="shared" si="143"/>
        <v>2021.010B.R.Binomial_names.zip</v>
      </c>
      <c r="U3260" s="29" t="str">
        <f>HYPERLINK("https://ictv.global/taxonomy/taxondetails?taxnode_id=202310106","ictv.global=202310106")</f>
        <v>ictv.global=202310106</v>
      </c>
    </row>
    <row r="3261" spans="1:21">
      <c r="A3261">
        <v>3260</v>
      </c>
      <c r="B3261" s="30" t="s">
        <v>1587</v>
      </c>
      <c r="D3261" s="30" t="s">
        <v>1588</v>
      </c>
      <c r="F3261" s="30" t="s">
        <v>1591</v>
      </c>
      <c r="H3261" s="30" t="s">
        <v>1592</v>
      </c>
      <c r="M3261" s="30" t="s">
        <v>633</v>
      </c>
      <c r="N3261" s="30" t="s">
        <v>2257</v>
      </c>
      <c r="P3261" s="30" t="s">
        <v>6746</v>
      </c>
      <c r="Q3261" t="s">
        <v>619</v>
      </c>
      <c r="R3261" t="s">
        <v>918</v>
      </c>
      <c r="S3261">
        <v>37</v>
      </c>
      <c r="T3261" s="29" t="str">
        <f t="shared" si="143"/>
        <v>2021.010B.R.Binomial_names.zip</v>
      </c>
      <c r="U3261" s="29" t="str">
        <f>HYPERLINK("https://ictv.global/taxonomy/taxondetails?taxnode_id=202311550","ictv.global=202311550")</f>
        <v>ictv.global=202311550</v>
      </c>
    </row>
    <row r="3262" spans="1:21">
      <c r="A3262">
        <v>3261</v>
      </c>
      <c r="B3262" s="30" t="s">
        <v>1587</v>
      </c>
      <c r="D3262" s="30" t="s">
        <v>1588</v>
      </c>
      <c r="F3262" s="30" t="s">
        <v>1591</v>
      </c>
      <c r="H3262" s="30" t="s">
        <v>1592</v>
      </c>
      <c r="M3262" s="30" t="s">
        <v>633</v>
      </c>
      <c r="N3262" s="30" t="s">
        <v>2257</v>
      </c>
      <c r="P3262" s="30" t="s">
        <v>6747</v>
      </c>
      <c r="Q3262" t="s">
        <v>619</v>
      </c>
      <c r="R3262" t="s">
        <v>918</v>
      </c>
      <c r="S3262">
        <v>37</v>
      </c>
      <c r="T3262" s="29" t="str">
        <f t="shared" si="143"/>
        <v>2021.010B.R.Binomial_names.zip</v>
      </c>
      <c r="U3262" s="29" t="str">
        <f>HYPERLINK("https://ictv.global/taxonomy/taxondetails?taxnode_id=202311551","ictv.global=202311551")</f>
        <v>ictv.global=202311551</v>
      </c>
    </row>
    <row r="3263" spans="1:21">
      <c r="A3263">
        <v>3262</v>
      </c>
      <c r="B3263" s="30" t="s">
        <v>1587</v>
      </c>
      <c r="D3263" s="30" t="s">
        <v>1588</v>
      </c>
      <c r="F3263" s="30" t="s">
        <v>1591</v>
      </c>
      <c r="H3263" s="30" t="s">
        <v>1592</v>
      </c>
      <c r="M3263" s="30" t="s">
        <v>633</v>
      </c>
      <c r="N3263" s="30" t="s">
        <v>2257</v>
      </c>
      <c r="P3263" s="30" t="s">
        <v>6748</v>
      </c>
      <c r="Q3263" t="s">
        <v>619</v>
      </c>
      <c r="R3263" t="s">
        <v>918</v>
      </c>
      <c r="S3263">
        <v>37</v>
      </c>
      <c r="T3263" s="29" t="str">
        <f t="shared" si="143"/>
        <v>2021.010B.R.Binomial_names.zip</v>
      </c>
      <c r="U3263" s="29" t="str">
        <f>HYPERLINK("https://ictv.global/taxonomy/taxondetails?taxnode_id=202311554","ictv.global=202311554")</f>
        <v>ictv.global=202311554</v>
      </c>
    </row>
    <row r="3264" spans="1:21">
      <c r="A3264">
        <v>3263</v>
      </c>
      <c r="B3264" s="30" t="s">
        <v>1587</v>
      </c>
      <c r="D3264" s="30" t="s">
        <v>1588</v>
      </c>
      <c r="F3264" s="30" t="s">
        <v>1591</v>
      </c>
      <c r="H3264" s="30" t="s">
        <v>1592</v>
      </c>
      <c r="M3264" s="30" t="s">
        <v>633</v>
      </c>
      <c r="N3264" s="30" t="s">
        <v>2257</v>
      </c>
      <c r="P3264" s="30" t="s">
        <v>6749</v>
      </c>
      <c r="Q3264" t="s">
        <v>619</v>
      </c>
      <c r="R3264" t="s">
        <v>918</v>
      </c>
      <c r="S3264">
        <v>37</v>
      </c>
      <c r="T3264" s="29" t="str">
        <f t="shared" si="143"/>
        <v>2021.010B.R.Binomial_names.zip</v>
      </c>
      <c r="U3264" s="29" t="str">
        <f>HYPERLINK("https://ictv.global/taxonomy/taxondetails?taxnode_id=202311553","ictv.global=202311553")</f>
        <v>ictv.global=202311553</v>
      </c>
    </row>
    <row r="3265" spans="1:21">
      <c r="A3265">
        <v>3264</v>
      </c>
      <c r="B3265" s="30" t="s">
        <v>1587</v>
      </c>
      <c r="D3265" s="30" t="s">
        <v>1588</v>
      </c>
      <c r="F3265" s="30" t="s">
        <v>1591</v>
      </c>
      <c r="H3265" s="30" t="s">
        <v>1592</v>
      </c>
      <c r="M3265" s="30" t="s">
        <v>633</v>
      </c>
      <c r="N3265" s="30" t="s">
        <v>2257</v>
      </c>
      <c r="P3265" s="30" t="s">
        <v>6750</v>
      </c>
      <c r="Q3265" t="s">
        <v>619</v>
      </c>
      <c r="R3265" t="s">
        <v>918</v>
      </c>
      <c r="S3265">
        <v>37</v>
      </c>
      <c r="T3265" s="29" t="str">
        <f t="shared" si="143"/>
        <v>2021.010B.R.Binomial_names.zip</v>
      </c>
      <c r="U3265" s="29" t="str">
        <f>HYPERLINK("https://ictv.global/taxonomy/taxondetails?taxnode_id=202311549","ictv.global=202311549")</f>
        <v>ictv.global=202311549</v>
      </c>
    </row>
    <row r="3266" spans="1:21">
      <c r="A3266">
        <v>3265</v>
      </c>
      <c r="B3266" s="30" t="s">
        <v>1587</v>
      </c>
      <c r="D3266" s="30" t="s">
        <v>1588</v>
      </c>
      <c r="F3266" s="30" t="s">
        <v>1591</v>
      </c>
      <c r="H3266" s="30" t="s">
        <v>1592</v>
      </c>
      <c r="M3266" s="30" t="s">
        <v>633</v>
      </c>
      <c r="N3266" s="30" t="s">
        <v>2257</v>
      </c>
      <c r="P3266" s="30" t="s">
        <v>6751</v>
      </c>
      <c r="Q3266" t="s">
        <v>619</v>
      </c>
      <c r="R3266" t="s">
        <v>918</v>
      </c>
      <c r="S3266">
        <v>37</v>
      </c>
      <c r="T3266" s="29" t="str">
        <f t="shared" si="143"/>
        <v>2021.010B.R.Binomial_names.zip</v>
      </c>
      <c r="U3266" s="29" t="str">
        <f>HYPERLINK("https://ictv.global/taxonomy/taxondetails?taxnode_id=202311552","ictv.global=202311552")</f>
        <v>ictv.global=202311552</v>
      </c>
    </row>
    <row r="3267" spans="1:21">
      <c r="A3267">
        <v>3266</v>
      </c>
      <c r="B3267" s="30" t="s">
        <v>1587</v>
      </c>
      <c r="D3267" s="30" t="s">
        <v>1588</v>
      </c>
      <c r="F3267" s="30" t="s">
        <v>1591</v>
      </c>
      <c r="H3267" s="30" t="s">
        <v>1592</v>
      </c>
      <c r="M3267" s="30" t="s">
        <v>633</v>
      </c>
      <c r="N3267" s="30" t="s">
        <v>12472</v>
      </c>
      <c r="P3267" s="30" t="s">
        <v>12473</v>
      </c>
      <c r="Q3267" t="s">
        <v>619</v>
      </c>
      <c r="R3267" t="s">
        <v>917</v>
      </c>
      <c r="S3267">
        <v>39</v>
      </c>
      <c r="T3267" s="29" t="str">
        <f>HYPERLINK("https://ictv.global/ictv/proposals/2023.061B.Septuagintavirus_ng.zip","2023.061B.Septuagintavirus_ng.zip")</f>
        <v>2023.061B.Septuagintavirus_ng.zip</v>
      </c>
      <c r="U3267" s="29" t="str">
        <f>HYPERLINK("https://ictv.global/taxonomy/taxondetails?taxnode_id=202319268","ictv.global=202319268")</f>
        <v>ictv.global=202319268</v>
      </c>
    </row>
    <row r="3268" spans="1:21">
      <c r="A3268">
        <v>3267</v>
      </c>
      <c r="B3268" s="30" t="s">
        <v>1587</v>
      </c>
      <c r="D3268" s="30" t="s">
        <v>1588</v>
      </c>
      <c r="F3268" s="30" t="s">
        <v>1591</v>
      </c>
      <c r="H3268" s="30" t="s">
        <v>1592</v>
      </c>
      <c r="M3268" s="30" t="s">
        <v>633</v>
      </c>
      <c r="N3268" s="30" t="s">
        <v>12472</v>
      </c>
      <c r="P3268" s="30" t="s">
        <v>12474</v>
      </c>
      <c r="Q3268" t="s">
        <v>619</v>
      </c>
      <c r="R3268" t="s">
        <v>917</v>
      </c>
      <c r="S3268">
        <v>39</v>
      </c>
      <c r="T3268" s="29" t="str">
        <f>HYPERLINK("https://ictv.global/ictv/proposals/2023.061B.Septuagintavirus_ng.zip","2023.061B.Septuagintavirus_ng.zip")</f>
        <v>2023.061B.Septuagintavirus_ng.zip</v>
      </c>
      <c r="U3268" s="29" t="str">
        <f>HYPERLINK("https://ictv.global/taxonomy/taxondetails?taxnode_id=202319269","ictv.global=202319269")</f>
        <v>ictv.global=202319269</v>
      </c>
    </row>
    <row r="3269" spans="1:21">
      <c r="A3269">
        <v>3268</v>
      </c>
      <c r="B3269" s="30" t="s">
        <v>1587</v>
      </c>
      <c r="D3269" s="30" t="s">
        <v>1588</v>
      </c>
      <c r="F3269" s="30" t="s">
        <v>1591</v>
      </c>
      <c r="H3269" s="30" t="s">
        <v>1592</v>
      </c>
      <c r="M3269" s="30" t="s">
        <v>633</v>
      </c>
      <c r="N3269" s="30" t="s">
        <v>1343</v>
      </c>
      <c r="P3269" s="30" t="s">
        <v>6752</v>
      </c>
      <c r="Q3269" t="s">
        <v>619</v>
      </c>
      <c r="R3269" t="s">
        <v>918</v>
      </c>
      <c r="S3269">
        <v>37</v>
      </c>
      <c r="T3269" s="29" t="str">
        <f>HYPERLINK("https://ictv.global/ictv/proposals/2021.010B.R.Binomial_names.zip","2021.010B.R.Binomial_names.zip")</f>
        <v>2021.010B.R.Binomial_names.zip</v>
      </c>
      <c r="U3269" s="29" t="str">
        <f>HYPERLINK("https://ictv.global/taxonomy/taxondetails?taxnode_id=202300354","ictv.global=202300354")</f>
        <v>ictv.global=202300354</v>
      </c>
    </row>
    <row r="3270" spans="1:21">
      <c r="A3270">
        <v>3269</v>
      </c>
      <c r="B3270" s="30" t="s">
        <v>1587</v>
      </c>
      <c r="D3270" s="30" t="s">
        <v>1588</v>
      </c>
      <c r="F3270" s="30" t="s">
        <v>1591</v>
      </c>
      <c r="H3270" s="30" t="s">
        <v>1592</v>
      </c>
      <c r="M3270" s="30" t="s">
        <v>633</v>
      </c>
      <c r="N3270" s="30" t="s">
        <v>1343</v>
      </c>
      <c r="P3270" s="30" t="s">
        <v>6753</v>
      </c>
      <c r="Q3270" t="s">
        <v>619</v>
      </c>
      <c r="R3270" t="s">
        <v>918</v>
      </c>
      <c r="S3270">
        <v>37</v>
      </c>
      <c r="T3270" s="29" t="str">
        <f>HYPERLINK("https://ictv.global/ictv/proposals/2021.010B.R.Binomial_names.zip","2021.010B.R.Binomial_names.zip")</f>
        <v>2021.010B.R.Binomial_names.zip</v>
      </c>
      <c r="U3270" s="29" t="str">
        <f>HYPERLINK("https://ictv.global/taxonomy/taxondetails?taxnode_id=202300353","ictv.global=202300353")</f>
        <v>ictv.global=202300353</v>
      </c>
    </row>
    <row r="3271" spans="1:21">
      <c r="A3271">
        <v>3270</v>
      </c>
      <c r="B3271" s="30" t="s">
        <v>1587</v>
      </c>
      <c r="D3271" s="30" t="s">
        <v>1588</v>
      </c>
      <c r="F3271" s="30" t="s">
        <v>1591</v>
      </c>
      <c r="H3271" s="30" t="s">
        <v>1592</v>
      </c>
      <c r="M3271" s="30" t="s">
        <v>633</v>
      </c>
      <c r="N3271" s="30" t="s">
        <v>1343</v>
      </c>
      <c r="P3271" s="30" t="s">
        <v>6754</v>
      </c>
      <c r="Q3271" t="s">
        <v>619</v>
      </c>
      <c r="R3271" t="s">
        <v>918</v>
      </c>
      <c r="S3271">
        <v>37</v>
      </c>
      <c r="T3271" s="29" t="str">
        <f>HYPERLINK("https://ictv.global/ictv/proposals/2021.010B.R.Binomial_names.zip","2021.010B.R.Binomial_names.zip")</f>
        <v>2021.010B.R.Binomial_names.zip</v>
      </c>
      <c r="U3271" s="29" t="str">
        <f>HYPERLINK("https://ictv.global/taxonomy/taxondetails?taxnode_id=202300355","ictv.global=202300355")</f>
        <v>ictv.global=202300355</v>
      </c>
    </row>
    <row r="3272" spans="1:21">
      <c r="A3272">
        <v>3271</v>
      </c>
      <c r="B3272" s="30" t="s">
        <v>1587</v>
      </c>
      <c r="D3272" s="30" t="s">
        <v>1588</v>
      </c>
      <c r="F3272" s="30" t="s">
        <v>1591</v>
      </c>
      <c r="H3272" s="30" t="s">
        <v>1592</v>
      </c>
      <c r="M3272" s="30" t="s">
        <v>633</v>
      </c>
      <c r="N3272" s="30" t="s">
        <v>1343</v>
      </c>
      <c r="P3272" s="30" t="s">
        <v>6755</v>
      </c>
      <c r="Q3272" t="s">
        <v>619</v>
      </c>
      <c r="R3272" t="s">
        <v>918</v>
      </c>
      <c r="S3272">
        <v>37</v>
      </c>
      <c r="T3272" s="29" t="str">
        <f>HYPERLINK("https://ictv.global/ictv/proposals/2021.010B.R.Binomial_names.zip","2021.010B.R.Binomial_names.zip")</f>
        <v>2021.010B.R.Binomial_names.zip</v>
      </c>
      <c r="U3272" s="29" t="str">
        <f>HYPERLINK("https://ictv.global/taxonomy/taxondetails?taxnode_id=202300356","ictv.global=202300356")</f>
        <v>ictv.global=202300356</v>
      </c>
    </row>
    <row r="3273" spans="1:21">
      <c r="A3273">
        <v>3272</v>
      </c>
      <c r="B3273" s="30" t="s">
        <v>1587</v>
      </c>
      <c r="D3273" s="30" t="s">
        <v>1588</v>
      </c>
      <c r="F3273" s="30" t="s">
        <v>1591</v>
      </c>
      <c r="H3273" s="30" t="s">
        <v>1592</v>
      </c>
      <c r="M3273" s="30" t="s">
        <v>633</v>
      </c>
      <c r="N3273" s="30" t="s">
        <v>1344</v>
      </c>
      <c r="P3273" s="30" t="s">
        <v>12475</v>
      </c>
      <c r="Q3273" t="s">
        <v>619</v>
      </c>
      <c r="R3273" t="s">
        <v>917</v>
      </c>
      <c r="S3273">
        <v>39</v>
      </c>
      <c r="T3273" s="29" t="str">
        <f>HYPERLINK("https://ictv.global/ictv/proposals/2023.073B.Vequintavirus_28ns.zip","2023.073B.Vequintavirus_28ns.zip")</f>
        <v>2023.073B.Vequintavirus_28ns.zip</v>
      </c>
      <c r="U3273" s="29" t="str">
        <f>HYPERLINK("https://ictv.global/taxonomy/taxondetails?taxnode_id=202319484","ictv.global=202319484")</f>
        <v>ictv.global=202319484</v>
      </c>
    </row>
    <row r="3274" spans="1:21">
      <c r="A3274">
        <v>3273</v>
      </c>
      <c r="B3274" s="30" t="s">
        <v>1587</v>
      </c>
      <c r="D3274" s="30" t="s">
        <v>1588</v>
      </c>
      <c r="F3274" s="30" t="s">
        <v>1591</v>
      </c>
      <c r="H3274" s="30" t="s">
        <v>1592</v>
      </c>
      <c r="M3274" s="30" t="s">
        <v>633</v>
      </c>
      <c r="N3274" s="30" t="s">
        <v>1344</v>
      </c>
      <c r="P3274" s="30" t="s">
        <v>12476</v>
      </c>
      <c r="Q3274" t="s">
        <v>619</v>
      </c>
      <c r="R3274" t="s">
        <v>917</v>
      </c>
      <c r="S3274">
        <v>39</v>
      </c>
      <c r="T3274" s="29" t="str">
        <f>HYPERLINK("https://ictv.global/ictv/proposals/2023.073B.Vequintavirus_28ns.zip","2023.073B.Vequintavirus_28ns.zip")</f>
        <v>2023.073B.Vequintavirus_28ns.zip</v>
      </c>
      <c r="U3274" s="29" t="str">
        <f>HYPERLINK("https://ictv.global/taxonomy/taxondetails?taxnode_id=202319480","ictv.global=202319480")</f>
        <v>ictv.global=202319480</v>
      </c>
    </row>
    <row r="3275" spans="1:21">
      <c r="A3275">
        <v>3274</v>
      </c>
      <c r="B3275" s="30" t="s">
        <v>1587</v>
      </c>
      <c r="D3275" s="30" t="s">
        <v>1588</v>
      </c>
      <c r="F3275" s="30" t="s">
        <v>1591</v>
      </c>
      <c r="H3275" s="30" t="s">
        <v>1592</v>
      </c>
      <c r="M3275" s="30" t="s">
        <v>633</v>
      </c>
      <c r="N3275" s="30" t="s">
        <v>1344</v>
      </c>
      <c r="P3275" s="30" t="s">
        <v>6756</v>
      </c>
      <c r="Q3275" t="s">
        <v>619</v>
      </c>
      <c r="R3275" t="s">
        <v>918</v>
      </c>
      <c r="S3275">
        <v>37</v>
      </c>
      <c r="T3275" s="29" t="str">
        <f>HYPERLINK("https://ictv.global/ictv/proposals/2021.010B.R.Binomial_names.zip","2021.010B.R.Binomial_names.zip")</f>
        <v>2021.010B.R.Binomial_names.zip</v>
      </c>
      <c r="U3275" s="29" t="str">
        <f>HYPERLINK("https://ictv.global/taxonomy/taxondetails?taxnode_id=202307083","ictv.global=202307083")</f>
        <v>ictv.global=202307083</v>
      </c>
    </row>
    <row r="3276" spans="1:21">
      <c r="A3276">
        <v>3275</v>
      </c>
      <c r="B3276" s="30" t="s">
        <v>1587</v>
      </c>
      <c r="D3276" s="30" t="s">
        <v>1588</v>
      </c>
      <c r="F3276" s="30" t="s">
        <v>1591</v>
      </c>
      <c r="H3276" s="30" t="s">
        <v>1592</v>
      </c>
      <c r="M3276" s="30" t="s">
        <v>633</v>
      </c>
      <c r="N3276" s="30" t="s">
        <v>1344</v>
      </c>
      <c r="P3276" s="30" t="s">
        <v>12477</v>
      </c>
      <c r="Q3276" t="s">
        <v>619</v>
      </c>
      <c r="R3276" t="s">
        <v>917</v>
      </c>
      <c r="S3276">
        <v>39</v>
      </c>
      <c r="T3276" s="29" t="str">
        <f t="shared" ref="T3276:T3282" si="144">HYPERLINK("https://ictv.global/ictv/proposals/2023.073B.Vequintavirus_28ns.zip","2023.073B.Vequintavirus_28ns.zip")</f>
        <v>2023.073B.Vequintavirus_28ns.zip</v>
      </c>
      <c r="U3276" s="29" t="str">
        <f>HYPERLINK("https://ictv.global/taxonomy/taxondetails?taxnode_id=202319467","ictv.global=202319467")</f>
        <v>ictv.global=202319467</v>
      </c>
    </row>
    <row r="3277" spans="1:21">
      <c r="A3277">
        <v>3276</v>
      </c>
      <c r="B3277" s="30" t="s">
        <v>1587</v>
      </c>
      <c r="D3277" s="30" t="s">
        <v>1588</v>
      </c>
      <c r="F3277" s="30" t="s">
        <v>1591</v>
      </c>
      <c r="H3277" s="30" t="s">
        <v>1592</v>
      </c>
      <c r="M3277" s="30" t="s">
        <v>633</v>
      </c>
      <c r="N3277" s="30" t="s">
        <v>1344</v>
      </c>
      <c r="P3277" s="30" t="s">
        <v>12478</v>
      </c>
      <c r="Q3277" t="s">
        <v>619</v>
      </c>
      <c r="R3277" t="s">
        <v>917</v>
      </c>
      <c r="S3277">
        <v>39</v>
      </c>
      <c r="T3277" s="29" t="str">
        <f t="shared" si="144"/>
        <v>2023.073B.Vequintavirus_28ns.zip</v>
      </c>
      <c r="U3277" s="29" t="str">
        <f>HYPERLINK("https://ictv.global/taxonomy/taxondetails?taxnode_id=202319483","ictv.global=202319483")</f>
        <v>ictv.global=202319483</v>
      </c>
    </row>
    <row r="3278" spans="1:21">
      <c r="A3278">
        <v>3277</v>
      </c>
      <c r="B3278" s="30" t="s">
        <v>1587</v>
      </c>
      <c r="D3278" s="30" t="s">
        <v>1588</v>
      </c>
      <c r="F3278" s="30" t="s">
        <v>1591</v>
      </c>
      <c r="H3278" s="30" t="s">
        <v>1592</v>
      </c>
      <c r="M3278" s="30" t="s">
        <v>633</v>
      </c>
      <c r="N3278" s="30" t="s">
        <v>1344</v>
      </c>
      <c r="P3278" s="30" t="s">
        <v>12479</v>
      </c>
      <c r="Q3278" t="s">
        <v>619</v>
      </c>
      <c r="R3278" t="s">
        <v>917</v>
      </c>
      <c r="S3278">
        <v>39</v>
      </c>
      <c r="T3278" s="29" t="str">
        <f t="shared" si="144"/>
        <v>2023.073B.Vequintavirus_28ns.zip</v>
      </c>
      <c r="U3278" s="29" t="str">
        <f>HYPERLINK("https://ictv.global/taxonomy/taxondetails?taxnode_id=202319481","ictv.global=202319481")</f>
        <v>ictv.global=202319481</v>
      </c>
    </row>
    <row r="3279" spans="1:21">
      <c r="A3279">
        <v>3278</v>
      </c>
      <c r="B3279" s="30" t="s">
        <v>1587</v>
      </c>
      <c r="D3279" s="30" t="s">
        <v>1588</v>
      </c>
      <c r="F3279" s="30" t="s">
        <v>1591</v>
      </c>
      <c r="H3279" s="30" t="s">
        <v>1592</v>
      </c>
      <c r="M3279" s="30" t="s">
        <v>633</v>
      </c>
      <c r="N3279" s="30" t="s">
        <v>1344</v>
      </c>
      <c r="P3279" s="30" t="s">
        <v>12480</v>
      </c>
      <c r="Q3279" t="s">
        <v>619</v>
      </c>
      <c r="R3279" t="s">
        <v>917</v>
      </c>
      <c r="S3279">
        <v>39</v>
      </c>
      <c r="T3279" s="29" t="str">
        <f t="shared" si="144"/>
        <v>2023.073B.Vequintavirus_28ns.zip</v>
      </c>
      <c r="U3279" s="29" t="str">
        <f>HYPERLINK("https://ictv.global/taxonomy/taxondetails?taxnode_id=202319469","ictv.global=202319469")</f>
        <v>ictv.global=202319469</v>
      </c>
    </row>
    <row r="3280" spans="1:21">
      <c r="A3280">
        <v>3279</v>
      </c>
      <c r="B3280" s="30" t="s">
        <v>1587</v>
      </c>
      <c r="D3280" s="30" t="s">
        <v>1588</v>
      </c>
      <c r="F3280" s="30" t="s">
        <v>1591</v>
      </c>
      <c r="H3280" s="30" t="s">
        <v>1592</v>
      </c>
      <c r="M3280" s="30" t="s">
        <v>633</v>
      </c>
      <c r="N3280" s="30" t="s">
        <v>1344</v>
      </c>
      <c r="P3280" s="30" t="s">
        <v>12481</v>
      </c>
      <c r="Q3280" t="s">
        <v>619</v>
      </c>
      <c r="R3280" t="s">
        <v>917</v>
      </c>
      <c r="S3280">
        <v>39</v>
      </c>
      <c r="T3280" s="29" t="str">
        <f t="shared" si="144"/>
        <v>2023.073B.Vequintavirus_28ns.zip</v>
      </c>
      <c r="U3280" s="29" t="str">
        <f>HYPERLINK("https://ictv.global/taxonomy/taxondetails?taxnode_id=202319468","ictv.global=202319468")</f>
        <v>ictv.global=202319468</v>
      </c>
    </row>
    <row r="3281" spans="1:21">
      <c r="A3281">
        <v>3280</v>
      </c>
      <c r="B3281" s="30" t="s">
        <v>1587</v>
      </c>
      <c r="D3281" s="30" t="s">
        <v>1588</v>
      </c>
      <c r="F3281" s="30" t="s">
        <v>1591</v>
      </c>
      <c r="H3281" s="30" t="s">
        <v>1592</v>
      </c>
      <c r="M3281" s="30" t="s">
        <v>633</v>
      </c>
      <c r="N3281" s="30" t="s">
        <v>1344</v>
      </c>
      <c r="P3281" s="30" t="s">
        <v>12482</v>
      </c>
      <c r="Q3281" t="s">
        <v>619</v>
      </c>
      <c r="R3281" t="s">
        <v>917</v>
      </c>
      <c r="S3281">
        <v>39</v>
      </c>
      <c r="T3281" s="29" t="str">
        <f t="shared" si="144"/>
        <v>2023.073B.Vequintavirus_28ns.zip</v>
      </c>
      <c r="U3281" s="29" t="str">
        <f>HYPERLINK("https://ictv.global/taxonomy/taxondetails?taxnode_id=202319491","ictv.global=202319491")</f>
        <v>ictv.global=202319491</v>
      </c>
    </row>
    <row r="3282" spans="1:21">
      <c r="A3282">
        <v>3281</v>
      </c>
      <c r="B3282" s="30" t="s">
        <v>1587</v>
      </c>
      <c r="D3282" s="30" t="s">
        <v>1588</v>
      </c>
      <c r="F3282" s="30" t="s">
        <v>1591</v>
      </c>
      <c r="H3282" s="30" t="s">
        <v>1592</v>
      </c>
      <c r="M3282" s="30" t="s">
        <v>633</v>
      </c>
      <c r="N3282" s="30" t="s">
        <v>1344</v>
      </c>
      <c r="P3282" s="30" t="s">
        <v>12483</v>
      </c>
      <c r="Q3282" t="s">
        <v>619</v>
      </c>
      <c r="R3282" t="s">
        <v>917</v>
      </c>
      <c r="S3282">
        <v>39</v>
      </c>
      <c r="T3282" s="29" t="str">
        <f t="shared" si="144"/>
        <v>2023.073B.Vequintavirus_28ns.zip</v>
      </c>
      <c r="U3282" s="29" t="str">
        <f>HYPERLINK("https://ictv.global/taxonomy/taxondetails?taxnode_id=202319475","ictv.global=202319475")</f>
        <v>ictv.global=202319475</v>
      </c>
    </row>
    <row r="3283" spans="1:21">
      <c r="A3283">
        <v>3282</v>
      </c>
      <c r="B3283" s="30" t="s">
        <v>1587</v>
      </c>
      <c r="D3283" s="30" t="s">
        <v>1588</v>
      </c>
      <c r="F3283" s="30" t="s">
        <v>1591</v>
      </c>
      <c r="H3283" s="30" t="s">
        <v>1592</v>
      </c>
      <c r="M3283" s="30" t="s">
        <v>633</v>
      </c>
      <c r="N3283" s="30" t="s">
        <v>1344</v>
      </c>
      <c r="P3283" s="30" t="s">
        <v>6757</v>
      </c>
      <c r="Q3283" t="s">
        <v>619</v>
      </c>
      <c r="R3283" t="s">
        <v>918</v>
      </c>
      <c r="S3283">
        <v>37</v>
      </c>
      <c r="T3283" s="29" t="str">
        <f>HYPERLINK("https://ictv.global/ictv/proposals/2021.010B.R.Binomial_names.zip","2021.010B.R.Binomial_names.zip")</f>
        <v>2021.010B.R.Binomial_names.zip</v>
      </c>
      <c r="U3283" s="29" t="str">
        <f>HYPERLINK("https://ictv.global/taxonomy/taxondetails?taxnode_id=202300358","ictv.global=202300358")</f>
        <v>ictv.global=202300358</v>
      </c>
    </row>
    <row r="3284" spans="1:21">
      <c r="A3284">
        <v>3283</v>
      </c>
      <c r="B3284" s="30" t="s">
        <v>1587</v>
      </c>
      <c r="D3284" s="30" t="s">
        <v>1588</v>
      </c>
      <c r="F3284" s="30" t="s">
        <v>1591</v>
      </c>
      <c r="H3284" s="30" t="s">
        <v>1592</v>
      </c>
      <c r="M3284" s="30" t="s">
        <v>633</v>
      </c>
      <c r="N3284" s="30" t="s">
        <v>1344</v>
      </c>
      <c r="P3284" s="30" t="s">
        <v>6758</v>
      </c>
      <c r="Q3284" t="s">
        <v>619</v>
      </c>
      <c r="R3284" t="s">
        <v>918</v>
      </c>
      <c r="S3284">
        <v>37</v>
      </c>
      <c r="T3284" s="29" t="str">
        <f>HYPERLINK("https://ictv.global/ictv/proposals/2021.010B.R.Binomial_names.zip","2021.010B.R.Binomial_names.zip")</f>
        <v>2021.010B.R.Binomial_names.zip</v>
      </c>
      <c r="U3284" s="29" t="str">
        <f>HYPERLINK("https://ictv.global/taxonomy/taxondetails?taxnode_id=202300359","ictv.global=202300359")</f>
        <v>ictv.global=202300359</v>
      </c>
    </row>
    <row r="3285" spans="1:21">
      <c r="A3285">
        <v>3284</v>
      </c>
      <c r="B3285" s="30" t="s">
        <v>1587</v>
      </c>
      <c r="D3285" s="30" t="s">
        <v>1588</v>
      </c>
      <c r="F3285" s="30" t="s">
        <v>1591</v>
      </c>
      <c r="H3285" s="30" t="s">
        <v>1592</v>
      </c>
      <c r="M3285" s="30" t="s">
        <v>633</v>
      </c>
      <c r="N3285" s="30" t="s">
        <v>1344</v>
      </c>
      <c r="P3285" s="30" t="s">
        <v>12484</v>
      </c>
      <c r="Q3285" t="s">
        <v>619</v>
      </c>
      <c r="R3285" t="s">
        <v>917</v>
      </c>
      <c r="S3285">
        <v>39</v>
      </c>
      <c r="T3285" s="29" t="str">
        <f>HYPERLINK("https://ictv.global/ictv/proposals/2023.073B.Vequintavirus_28ns.zip","2023.073B.Vequintavirus_28ns.zip")</f>
        <v>2023.073B.Vequintavirus_28ns.zip</v>
      </c>
      <c r="U3285" s="29" t="str">
        <f>HYPERLINK("https://ictv.global/taxonomy/taxondetails?taxnode_id=202319474","ictv.global=202319474")</f>
        <v>ictv.global=202319474</v>
      </c>
    </row>
    <row r="3286" spans="1:21">
      <c r="A3286">
        <v>3285</v>
      </c>
      <c r="B3286" s="30" t="s">
        <v>1587</v>
      </c>
      <c r="D3286" s="30" t="s">
        <v>1588</v>
      </c>
      <c r="F3286" s="30" t="s">
        <v>1591</v>
      </c>
      <c r="H3286" s="30" t="s">
        <v>1592</v>
      </c>
      <c r="M3286" s="30" t="s">
        <v>633</v>
      </c>
      <c r="N3286" s="30" t="s">
        <v>1344</v>
      </c>
      <c r="P3286" s="30" t="s">
        <v>12485</v>
      </c>
      <c r="Q3286" t="s">
        <v>619</v>
      </c>
      <c r="R3286" t="s">
        <v>917</v>
      </c>
      <c r="S3286">
        <v>39</v>
      </c>
      <c r="T3286" s="29" t="str">
        <f>HYPERLINK("https://ictv.global/ictv/proposals/2023.073B.Vequintavirus_28ns.zip","2023.073B.Vequintavirus_28ns.zip")</f>
        <v>2023.073B.Vequintavirus_28ns.zip</v>
      </c>
      <c r="U3286" s="29" t="str">
        <f>HYPERLINK("https://ictv.global/taxonomy/taxondetails?taxnode_id=202319487","ictv.global=202319487")</f>
        <v>ictv.global=202319487</v>
      </c>
    </row>
    <row r="3287" spans="1:21">
      <c r="A3287">
        <v>3286</v>
      </c>
      <c r="B3287" s="30" t="s">
        <v>1587</v>
      </c>
      <c r="D3287" s="30" t="s">
        <v>1588</v>
      </c>
      <c r="F3287" s="30" t="s">
        <v>1591</v>
      </c>
      <c r="H3287" s="30" t="s">
        <v>1592</v>
      </c>
      <c r="M3287" s="30" t="s">
        <v>633</v>
      </c>
      <c r="N3287" s="30" t="s">
        <v>1344</v>
      </c>
      <c r="P3287" s="30" t="s">
        <v>12486</v>
      </c>
      <c r="Q3287" t="s">
        <v>619</v>
      </c>
      <c r="R3287" t="s">
        <v>917</v>
      </c>
      <c r="S3287">
        <v>39</v>
      </c>
      <c r="T3287" s="29" t="str">
        <f>HYPERLINK("https://ictv.global/ictv/proposals/2023.073B.Vequintavirus_28ns.zip","2023.073B.Vequintavirus_28ns.zip")</f>
        <v>2023.073B.Vequintavirus_28ns.zip</v>
      </c>
      <c r="U3287" s="29" t="str">
        <f>HYPERLINK("https://ictv.global/taxonomy/taxondetails?taxnode_id=202319464","ictv.global=202319464")</f>
        <v>ictv.global=202319464</v>
      </c>
    </row>
    <row r="3288" spans="1:21">
      <c r="A3288">
        <v>3287</v>
      </c>
      <c r="B3288" s="30" t="s">
        <v>1587</v>
      </c>
      <c r="D3288" s="30" t="s">
        <v>1588</v>
      </c>
      <c r="F3288" s="30" t="s">
        <v>1591</v>
      </c>
      <c r="H3288" s="30" t="s">
        <v>1592</v>
      </c>
      <c r="M3288" s="30" t="s">
        <v>633</v>
      </c>
      <c r="N3288" s="30" t="s">
        <v>1344</v>
      </c>
      <c r="P3288" s="30" t="s">
        <v>6759</v>
      </c>
      <c r="Q3288" t="s">
        <v>619</v>
      </c>
      <c r="R3288" t="s">
        <v>918</v>
      </c>
      <c r="S3288">
        <v>37</v>
      </c>
      <c r="T3288" s="29" t="str">
        <f>HYPERLINK("https://ictv.global/ictv/proposals/2021.010B.R.Binomial_names.zip","2021.010B.R.Binomial_names.zip")</f>
        <v>2021.010B.R.Binomial_names.zip</v>
      </c>
      <c r="U3288" s="29" t="str">
        <f>HYPERLINK("https://ictv.global/taxonomy/taxondetails?taxnode_id=202300360","ictv.global=202300360")</f>
        <v>ictv.global=202300360</v>
      </c>
    </row>
    <row r="3289" spans="1:21">
      <c r="A3289">
        <v>3288</v>
      </c>
      <c r="B3289" s="30" t="s">
        <v>1587</v>
      </c>
      <c r="D3289" s="30" t="s">
        <v>1588</v>
      </c>
      <c r="F3289" s="30" t="s">
        <v>1591</v>
      </c>
      <c r="H3289" s="30" t="s">
        <v>1592</v>
      </c>
      <c r="M3289" s="30" t="s">
        <v>633</v>
      </c>
      <c r="N3289" s="30" t="s">
        <v>1344</v>
      </c>
      <c r="P3289" s="30" t="s">
        <v>12487</v>
      </c>
      <c r="Q3289" t="s">
        <v>619</v>
      </c>
      <c r="R3289" t="s">
        <v>917</v>
      </c>
      <c r="S3289">
        <v>39</v>
      </c>
      <c r="T3289" s="29" t="str">
        <f>HYPERLINK("https://ictv.global/ictv/proposals/2023.073B.Vequintavirus_28ns.zip","2023.073B.Vequintavirus_28ns.zip")</f>
        <v>2023.073B.Vequintavirus_28ns.zip</v>
      </c>
      <c r="U3289" s="29" t="str">
        <f>HYPERLINK("https://ictv.global/taxonomy/taxondetails?taxnode_id=202319471","ictv.global=202319471")</f>
        <v>ictv.global=202319471</v>
      </c>
    </row>
    <row r="3290" spans="1:21">
      <c r="A3290">
        <v>3289</v>
      </c>
      <c r="B3290" s="30" t="s">
        <v>1587</v>
      </c>
      <c r="D3290" s="30" t="s">
        <v>1588</v>
      </c>
      <c r="F3290" s="30" t="s">
        <v>1591</v>
      </c>
      <c r="H3290" s="30" t="s">
        <v>1592</v>
      </c>
      <c r="M3290" s="30" t="s">
        <v>633</v>
      </c>
      <c r="N3290" s="30" t="s">
        <v>1344</v>
      </c>
      <c r="P3290" s="30" t="s">
        <v>12488</v>
      </c>
      <c r="Q3290" t="s">
        <v>619</v>
      </c>
      <c r="R3290" t="s">
        <v>917</v>
      </c>
      <c r="S3290">
        <v>39</v>
      </c>
      <c r="T3290" s="29" t="str">
        <f>HYPERLINK("https://ictv.global/ictv/proposals/2023.073B.Vequintavirus_28ns.zip","2023.073B.Vequintavirus_28ns.zip")</f>
        <v>2023.073B.Vequintavirus_28ns.zip</v>
      </c>
      <c r="U3290" s="29" t="str">
        <f>HYPERLINK("https://ictv.global/taxonomy/taxondetails?taxnode_id=202319485","ictv.global=202319485")</f>
        <v>ictv.global=202319485</v>
      </c>
    </row>
    <row r="3291" spans="1:21">
      <c r="A3291">
        <v>3290</v>
      </c>
      <c r="B3291" s="30" t="s">
        <v>1587</v>
      </c>
      <c r="D3291" s="30" t="s">
        <v>1588</v>
      </c>
      <c r="F3291" s="30" t="s">
        <v>1591</v>
      </c>
      <c r="H3291" s="30" t="s">
        <v>1592</v>
      </c>
      <c r="M3291" s="30" t="s">
        <v>633</v>
      </c>
      <c r="N3291" s="30" t="s">
        <v>1344</v>
      </c>
      <c r="P3291" s="30" t="s">
        <v>6760</v>
      </c>
      <c r="Q3291" t="s">
        <v>619</v>
      </c>
      <c r="R3291" t="s">
        <v>918</v>
      </c>
      <c r="S3291">
        <v>37</v>
      </c>
      <c r="T3291" s="29" t="str">
        <f>HYPERLINK("https://ictv.global/ictv/proposals/2021.010B.R.Binomial_names.zip","2021.010B.R.Binomial_names.zip")</f>
        <v>2021.010B.R.Binomial_names.zip</v>
      </c>
      <c r="U3291" s="29" t="str">
        <f>HYPERLINK("https://ictv.global/taxonomy/taxondetails?taxnode_id=202307082","ictv.global=202307082")</f>
        <v>ictv.global=202307082</v>
      </c>
    </row>
    <row r="3292" spans="1:21">
      <c r="A3292">
        <v>3291</v>
      </c>
      <c r="B3292" s="30" t="s">
        <v>1587</v>
      </c>
      <c r="D3292" s="30" t="s">
        <v>1588</v>
      </c>
      <c r="F3292" s="30" t="s">
        <v>1591</v>
      </c>
      <c r="H3292" s="30" t="s">
        <v>1592</v>
      </c>
      <c r="M3292" s="30" t="s">
        <v>633</v>
      </c>
      <c r="N3292" s="30" t="s">
        <v>1344</v>
      </c>
      <c r="P3292" s="30" t="s">
        <v>12489</v>
      </c>
      <c r="Q3292" t="s">
        <v>619</v>
      </c>
      <c r="R3292" t="s">
        <v>917</v>
      </c>
      <c r="S3292">
        <v>39</v>
      </c>
      <c r="T3292" s="29" t="str">
        <f t="shared" ref="T3292:T3300" si="145">HYPERLINK("https://ictv.global/ictv/proposals/2023.073B.Vequintavirus_28ns.zip","2023.073B.Vequintavirus_28ns.zip")</f>
        <v>2023.073B.Vequintavirus_28ns.zip</v>
      </c>
      <c r="U3292" s="29" t="str">
        <f>HYPERLINK("https://ictv.global/taxonomy/taxondetails?taxnode_id=202319490","ictv.global=202319490")</f>
        <v>ictv.global=202319490</v>
      </c>
    </row>
    <row r="3293" spans="1:21">
      <c r="A3293">
        <v>3292</v>
      </c>
      <c r="B3293" s="30" t="s">
        <v>1587</v>
      </c>
      <c r="D3293" s="30" t="s">
        <v>1588</v>
      </c>
      <c r="F3293" s="30" t="s">
        <v>1591</v>
      </c>
      <c r="H3293" s="30" t="s">
        <v>1592</v>
      </c>
      <c r="M3293" s="30" t="s">
        <v>633</v>
      </c>
      <c r="N3293" s="30" t="s">
        <v>1344</v>
      </c>
      <c r="P3293" s="30" t="s">
        <v>12490</v>
      </c>
      <c r="Q3293" t="s">
        <v>619</v>
      </c>
      <c r="R3293" t="s">
        <v>917</v>
      </c>
      <c r="S3293">
        <v>39</v>
      </c>
      <c r="T3293" s="29" t="str">
        <f t="shared" si="145"/>
        <v>2023.073B.Vequintavirus_28ns.zip</v>
      </c>
      <c r="U3293" s="29" t="str">
        <f>HYPERLINK("https://ictv.global/taxonomy/taxondetails?taxnode_id=202319482","ictv.global=202319482")</f>
        <v>ictv.global=202319482</v>
      </c>
    </row>
    <row r="3294" spans="1:21">
      <c r="A3294">
        <v>3293</v>
      </c>
      <c r="B3294" s="30" t="s">
        <v>1587</v>
      </c>
      <c r="D3294" s="30" t="s">
        <v>1588</v>
      </c>
      <c r="F3294" s="30" t="s">
        <v>1591</v>
      </c>
      <c r="H3294" s="30" t="s">
        <v>1592</v>
      </c>
      <c r="M3294" s="30" t="s">
        <v>633</v>
      </c>
      <c r="N3294" s="30" t="s">
        <v>1344</v>
      </c>
      <c r="P3294" s="30" t="s">
        <v>12491</v>
      </c>
      <c r="Q3294" t="s">
        <v>619</v>
      </c>
      <c r="R3294" t="s">
        <v>917</v>
      </c>
      <c r="S3294">
        <v>39</v>
      </c>
      <c r="T3294" s="29" t="str">
        <f t="shared" si="145"/>
        <v>2023.073B.Vequintavirus_28ns.zip</v>
      </c>
      <c r="U3294" s="29" t="str">
        <f>HYPERLINK("https://ictv.global/taxonomy/taxondetails?taxnode_id=202319472","ictv.global=202319472")</f>
        <v>ictv.global=202319472</v>
      </c>
    </row>
    <row r="3295" spans="1:21">
      <c r="A3295">
        <v>3294</v>
      </c>
      <c r="B3295" s="30" t="s">
        <v>1587</v>
      </c>
      <c r="D3295" s="30" t="s">
        <v>1588</v>
      </c>
      <c r="F3295" s="30" t="s">
        <v>1591</v>
      </c>
      <c r="H3295" s="30" t="s">
        <v>1592</v>
      </c>
      <c r="M3295" s="30" t="s">
        <v>633</v>
      </c>
      <c r="N3295" s="30" t="s">
        <v>1344</v>
      </c>
      <c r="P3295" s="30" t="s">
        <v>12492</v>
      </c>
      <c r="Q3295" t="s">
        <v>619</v>
      </c>
      <c r="R3295" t="s">
        <v>917</v>
      </c>
      <c r="S3295">
        <v>39</v>
      </c>
      <c r="T3295" s="29" t="str">
        <f t="shared" si="145"/>
        <v>2023.073B.Vequintavirus_28ns.zip</v>
      </c>
      <c r="U3295" s="29" t="str">
        <f>HYPERLINK("https://ictv.global/taxonomy/taxondetails?taxnode_id=202319476","ictv.global=202319476")</f>
        <v>ictv.global=202319476</v>
      </c>
    </row>
    <row r="3296" spans="1:21">
      <c r="A3296">
        <v>3295</v>
      </c>
      <c r="B3296" s="30" t="s">
        <v>1587</v>
      </c>
      <c r="D3296" s="30" t="s">
        <v>1588</v>
      </c>
      <c r="F3296" s="30" t="s">
        <v>1591</v>
      </c>
      <c r="H3296" s="30" t="s">
        <v>1592</v>
      </c>
      <c r="M3296" s="30" t="s">
        <v>633</v>
      </c>
      <c r="N3296" s="30" t="s">
        <v>1344</v>
      </c>
      <c r="P3296" s="30" t="s">
        <v>12493</v>
      </c>
      <c r="Q3296" t="s">
        <v>619</v>
      </c>
      <c r="R3296" t="s">
        <v>917</v>
      </c>
      <c r="S3296">
        <v>39</v>
      </c>
      <c r="T3296" s="29" t="str">
        <f t="shared" si="145"/>
        <v>2023.073B.Vequintavirus_28ns.zip</v>
      </c>
      <c r="U3296" s="29" t="str">
        <f>HYPERLINK("https://ictv.global/taxonomy/taxondetails?taxnode_id=202319489","ictv.global=202319489")</f>
        <v>ictv.global=202319489</v>
      </c>
    </row>
    <row r="3297" spans="1:21">
      <c r="A3297">
        <v>3296</v>
      </c>
      <c r="B3297" s="30" t="s">
        <v>1587</v>
      </c>
      <c r="D3297" s="30" t="s">
        <v>1588</v>
      </c>
      <c r="F3297" s="30" t="s">
        <v>1591</v>
      </c>
      <c r="H3297" s="30" t="s">
        <v>1592</v>
      </c>
      <c r="M3297" s="30" t="s">
        <v>633</v>
      </c>
      <c r="N3297" s="30" t="s">
        <v>1344</v>
      </c>
      <c r="P3297" s="30" t="s">
        <v>12494</v>
      </c>
      <c r="Q3297" t="s">
        <v>619</v>
      </c>
      <c r="R3297" t="s">
        <v>917</v>
      </c>
      <c r="S3297">
        <v>39</v>
      </c>
      <c r="T3297" s="29" t="str">
        <f t="shared" si="145"/>
        <v>2023.073B.Vequintavirus_28ns.zip</v>
      </c>
      <c r="U3297" s="29" t="str">
        <f>HYPERLINK("https://ictv.global/taxonomy/taxondetails?taxnode_id=202319479","ictv.global=202319479")</f>
        <v>ictv.global=202319479</v>
      </c>
    </row>
    <row r="3298" spans="1:21">
      <c r="A3298">
        <v>3297</v>
      </c>
      <c r="B3298" s="30" t="s">
        <v>1587</v>
      </c>
      <c r="D3298" s="30" t="s">
        <v>1588</v>
      </c>
      <c r="F3298" s="30" t="s">
        <v>1591</v>
      </c>
      <c r="H3298" s="30" t="s">
        <v>1592</v>
      </c>
      <c r="M3298" s="30" t="s">
        <v>633</v>
      </c>
      <c r="N3298" s="30" t="s">
        <v>1344</v>
      </c>
      <c r="P3298" s="30" t="s">
        <v>12495</v>
      </c>
      <c r="Q3298" t="s">
        <v>619</v>
      </c>
      <c r="R3298" t="s">
        <v>917</v>
      </c>
      <c r="S3298">
        <v>39</v>
      </c>
      <c r="T3298" s="29" t="str">
        <f t="shared" si="145"/>
        <v>2023.073B.Vequintavirus_28ns.zip</v>
      </c>
      <c r="U3298" s="29" t="str">
        <f>HYPERLINK("https://ictv.global/taxonomy/taxondetails?taxnode_id=202319486","ictv.global=202319486")</f>
        <v>ictv.global=202319486</v>
      </c>
    </row>
    <row r="3299" spans="1:21">
      <c r="A3299">
        <v>3298</v>
      </c>
      <c r="B3299" s="30" t="s">
        <v>1587</v>
      </c>
      <c r="D3299" s="30" t="s">
        <v>1588</v>
      </c>
      <c r="F3299" s="30" t="s">
        <v>1591</v>
      </c>
      <c r="H3299" s="30" t="s">
        <v>1592</v>
      </c>
      <c r="M3299" s="30" t="s">
        <v>633</v>
      </c>
      <c r="N3299" s="30" t="s">
        <v>1344</v>
      </c>
      <c r="P3299" s="30" t="s">
        <v>12496</v>
      </c>
      <c r="Q3299" t="s">
        <v>619</v>
      </c>
      <c r="R3299" t="s">
        <v>917</v>
      </c>
      <c r="S3299">
        <v>39</v>
      </c>
      <c r="T3299" s="29" t="str">
        <f t="shared" si="145"/>
        <v>2023.073B.Vequintavirus_28ns.zip</v>
      </c>
      <c r="U3299" s="29" t="str">
        <f>HYPERLINK("https://ictv.global/taxonomy/taxondetails?taxnode_id=202319470","ictv.global=202319470")</f>
        <v>ictv.global=202319470</v>
      </c>
    </row>
    <row r="3300" spans="1:21">
      <c r="A3300">
        <v>3299</v>
      </c>
      <c r="B3300" s="30" t="s">
        <v>1587</v>
      </c>
      <c r="D3300" s="30" t="s">
        <v>1588</v>
      </c>
      <c r="F3300" s="30" t="s">
        <v>1591</v>
      </c>
      <c r="H3300" s="30" t="s">
        <v>1592</v>
      </c>
      <c r="M3300" s="30" t="s">
        <v>633</v>
      </c>
      <c r="N3300" s="30" t="s">
        <v>1344</v>
      </c>
      <c r="P3300" s="30" t="s">
        <v>12497</v>
      </c>
      <c r="Q3300" t="s">
        <v>619</v>
      </c>
      <c r="R3300" t="s">
        <v>917</v>
      </c>
      <c r="S3300">
        <v>39</v>
      </c>
      <c r="T3300" s="29" t="str">
        <f t="shared" si="145"/>
        <v>2023.073B.Vequintavirus_28ns.zip</v>
      </c>
      <c r="U3300" s="29" t="str">
        <f>HYPERLINK("https://ictv.global/taxonomy/taxondetails?taxnode_id=202319473","ictv.global=202319473")</f>
        <v>ictv.global=202319473</v>
      </c>
    </row>
    <row r="3301" spans="1:21">
      <c r="A3301">
        <v>3300</v>
      </c>
      <c r="B3301" s="30" t="s">
        <v>1587</v>
      </c>
      <c r="D3301" s="30" t="s">
        <v>1588</v>
      </c>
      <c r="F3301" s="30" t="s">
        <v>1591</v>
      </c>
      <c r="H3301" s="30" t="s">
        <v>1592</v>
      </c>
      <c r="M3301" s="30" t="s">
        <v>633</v>
      </c>
      <c r="N3301" s="30" t="s">
        <v>1344</v>
      </c>
      <c r="P3301" s="30" t="s">
        <v>6761</v>
      </c>
      <c r="Q3301" t="s">
        <v>619</v>
      </c>
      <c r="R3301" t="s">
        <v>918</v>
      </c>
      <c r="S3301">
        <v>37</v>
      </c>
      <c r="T3301" s="29" t="str">
        <f>HYPERLINK("https://ictv.global/ictv/proposals/2021.010B.R.Binomial_names.zip","2021.010B.R.Binomial_names.zip")</f>
        <v>2021.010B.R.Binomial_names.zip</v>
      </c>
      <c r="U3301" s="29" t="str">
        <f>HYPERLINK("https://ictv.global/taxonomy/taxondetails?taxnode_id=202307081","ictv.global=202307081")</f>
        <v>ictv.global=202307081</v>
      </c>
    </row>
    <row r="3302" spans="1:21">
      <c r="A3302">
        <v>3301</v>
      </c>
      <c r="B3302" s="30" t="s">
        <v>1587</v>
      </c>
      <c r="D3302" s="30" t="s">
        <v>1588</v>
      </c>
      <c r="F3302" s="30" t="s">
        <v>1591</v>
      </c>
      <c r="H3302" s="30" t="s">
        <v>1592</v>
      </c>
      <c r="M3302" s="30" t="s">
        <v>633</v>
      </c>
      <c r="N3302" s="30" t="s">
        <v>1344</v>
      </c>
      <c r="P3302" s="30" t="s">
        <v>12498</v>
      </c>
      <c r="Q3302" t="s">
        <v>619</v>
      </c>
      <c r="R3302" t="s">
        <v>917</v>
      </c>
      <c r="S3302">
        <v>39</v>
      </c>
      <c r="T3302" s="29" t="str">
        <f>HYPERLINK("https://ictv.global/ictv/proposals/2023.073B.Vequintavirus_28ns.zip","2023.073B.Vequintavirus_28ns.zip")</f>
        <v>2023.073B.Vequintavirus_28ns.zip</v>
      </c>
      <c r="U3302" s="29" t="str">
        <f>HYPERLINK("https://ictv.global/taxonomy/taxondetails?taxnode_id=202319478","ictv.global=202319478")</f>
        <v>ictv.global=202319478</v>
      </c>
    </row>
    <row r="3303" spans="1:21">
      <c r="A3303">
        <v>3302</v>
      </c>
      <c r="B3303" s="30" t="s">
        <v>1587</v>
      </c>
      <c r="D3303" s="30" t="s">
        <v>1588</v>
      </c>
      <c r="F3303" s="30" t="s">
        <v>1591</v>
      </c>
      <c r="H3303" s="30" t="s">
        <v>1592</v>
      </c>
      <c r="M3303" s="30" t="s">
        <v>633</v>
      </c>
      <c r="N3303" s="30" t="s">
        <v>1344</v>
      </c>
      <c r="P3303" s="30" t="s">
        <v>12499</v>
      </c>
      <c r="Q3303" t="s">
        <v>619</v>
      </c>
      <c r="R3303" t="s">
        <v>917</v>
      </c>
      <c r="S3303">
        <v>39</v>
      </c>
      <c r="T3303" s="29" t="str">
        <f>HYPERLINK("https://ictv.global/ictv/proposals/2023.073B.Vequintavirus_28ns.zip","2023.073B.Vequintavirus_28ns.zip")</f>
        <v>2023.073B.Vequintavirus_28ns.zip</v>
      </c>
      <c r="U3303" s="29" t="str">
        <f>HYPERLINK("https://ictv.global/taxonomy/taxondetails?taxnode_id=202319466","ictv.global=202319466")</f>
        <v>ictv.global=202319466</v>
      </c>
    </row>
    <row r="3304" spans="1:21">
      <c r="A3304">
        <v>3303</v>
      </c>
      <c r="B3304" s="30" t="s">
        <v>1587</v>
      </c>
      <c r="D3304" s="30" t="s">
        <v>1588</v>
      </c>
      <c r="F3304" s="30" t="s">
        <v>1591</v>
      </c>
      <c r="H3304" s="30" t="s">
        <v>1592</v>
      </c>
      <c r="M3304" s="30" t="s">
        <v>633</v>
      </c>
      <c r="N3304" s="30" t="s">
        <v>1344</v>
      </c>
      <c r="P3304" s="30" t="s">
        <v>12500</v>
      </c>
      <c r="Q3304" t="s">
        <v>619</v>
      </c>
      <c r="R3304" t="s">
        <v>917</v>
      </c>
      <c r="S3304">
        <v>39</v>
      </c>
      <c r="T3304" s="29" t="str">
        <f>HYPERLINK("https://ictv.global/ictv/proposals/2023.073B.Vequintavirus_28ns.zip","2023.073B.Vequintavirus_28ns.zip")</f>
        <v>2023.073B.Vequintavirus_28ns.zip</v>
      </c>
      <c r="U3304" s="29" t="str">
        <f>HYPERLINK("https://ictv.global/taxonomy/taxondetails?taxnode_id=202319477","ictv.global=202319477")</f>
        <v>ictv.global=202319477</v>
      </c>
    </row>
    <row r="3305" spans="1:21">
      <c r="A3305">
        <v>3304</v>
      </c>
      <c r="B3305" s="30" t="s">
        <v>1587</v>
      </c>
      <c r="D3305" s="30" t="s">
        <v>1588</v>
      </c>
      <c r="F3305" s="30" t="s">
        <v>1591</v>
      </c>
      <c r="H3305" s="30" t="s">
        <v>1592</v>
      </c>
      <c r="M3305" s="30" t="s">
        <v>633</v>
      </c>
      <c r="N3305" s="30" t="s">
        <v>1344</v>
      </c>
      <c r="P3305" s="30" t="s">
        <v>6762</v>
      </c>
      <c r="Q3305" t="s">
        <v>619</v>
      </c>
      <c r="R3305" t="s">
        <v>918</v>
      </c>
      <c r="S3305">
        <v>37</v>
      </c>
      <c r="T3305" s="29" t="str">
        <f>HYPERLINK("https://ictv.global/ictv/proposals/2021.010B.R.Binomial_names.zip","2021.010B.R.Binomial_names.zip")</f>
        <v>2021.010B.R.Binomial_names.zip</v>
      </c>
      <c r="U3305" s="29" t="str">
        <f>HYPERLINK("https://ictv.global/taxonomy/taxondetails?taxnode_id=202300361","ictv.global=202300361")</f>
        <v>ictv.global=202300361</v>
      </c>
    </row>
    <row r="3306" spans="1:21">
      <c r="A3306">
        <v>3305</v>
      </c>
      <c r="B3306" s="30" t="s">
        <v>1587</v>
      </c>
      <c r="D3306" s="30" t="s">
        <v>1588</v>
      </c>
      <c r="F3306" s="30" t="s">
        <v>1591</v>
      </c>
      <c r="H3306" s="30" t="s">
        <v>1592</v>
      </c>
      <c r="M3306" s="30" t="s">
        <v>633</v>
      </c>
      <c r="N3306" s="30" t="s">
        <v>1344</v>
      </c>
      <c r="P3306" s="30" t="s">
        <v>6763</v>
      </c>
      <c r="Q3306" t="s">
        <v>619</v>
      </c>
      <c r="R3306" t="s">
        <v>918</v>
      </c>
      <c r="S3306">
        <v>37</v>
      </c>
      <c r="T3306" s="29" t="str">
        <f>HYPERLINK("https://ictv.global/ictv/proposals/2021.010B.R.Binomial_names.zip","2021.010B.R.Binomial_names.zip")</f>
        <v>2021.010B.R.Binomial_names.zip</v>
      </c>
      <c r="U3306" s="29" t="str">
        <f>HYPERLINK("https://ictv.global/taxonomy/taxondetails?taxnode_id=202307084","ictv.global=202307084")</f>
        <v>ictv.global=202307084</v>
      </c>
    </row>
    <row r="3307" spans="1:21">
      <c r="A3307">
        <v>3306</v>
      </c>
      <c r="B3307" s="30" t="s">
        <v>1587</v>
      </c>
      <c r="D3307" s="30" t="s">
        <v>1588</v>
      </c>
      <c r="F3307" s="30" t="s">
        <v>1591</v>
      </c>
      <c r="H3307" s="30" t="s">
        <v>1592</v>
      </c>
      <c r="M3307" s="30" t="s">
        <v>633</v>
      </c>
      <c r="N3307" s="30" t="s">
        <v>1344</v>
      </c>
      <c r="P3307" s="30" t="s">
        <v>12501</v>
      </c>
      <c r="Q3307" t="s">
        <v>619</v>
      </c>
      <c r="R3307" t="s">
        <v>917</v>
      </c>
      <c r="S3307">
        <v>39</v>
      </c>
      <c r="T3307" s="29" t="str">
        <f>HYPERLINK("https://ictv.global/ictv/proposals/2023.073B.Vequintavirus_28ns.zip","2023.073B.Vequintavirus_28ns.zip")</f>
        <v>2023.073B.Vequintavirus_28ns.zip</v>
      </c>
      <c r="U3307" s="29" t="str">
        <f>HYPERLINK("https://ictv.global/taxonomy/taxondetails?taxnode_id=202319488","ictv.global=202319488")</f>
        <v>ictv.global=202319488</v>
      </c>
    </row>
    <row r="3308" spans="1:21">
      <c r="A3308">
        <v>3307</v>
      </c>
      <c r="B3308" s="30" t="s">
        <v>1587</v>
      </c>
      <c r="D3308" s="30" t="s">
        <v>1588</v>
      </c>
      <c r="F3308" s="30" t="s">
        <v>1591</v>
      </c>
      <c r="H3308" s="30" t="s">
        <v>1592</v>
      </c>
      <c r="M3308" s="30" t="s">
        <v>633</v>
      </c>
      <c r="N3308" s="30" t="s">
        <v>1344</v>
      </c>
      <c r="P3308" s="30" t="s">
        <v>12502</v>
      </c>
      <c r="Q3308" t="s">
        <v>619</v>
      </c>
      <c r="R3308" t="s">
        <v>917</v>
      </c>
      <c r="S3308">
        <v>39</v>
      </c>
      <c r="T3308" s="29" t="str">
        <f>HYPERLINK("https://ictv.global/ictv/proposals/2023.073B.Vequintavirus_28ns.zip","2023.073B.Vequintavirus_28ns.zip")</f>
        <v>2023.073B.Vequintavirus_28ns.zip</v>
      </c>
      <c r="U3308" s="29" t="str">
        <f>HYPERLINK("https://ictv.global/taxonomy/taxondetails?taxnode_id=202319465","ictv.global=202319465")</f>
        <v>ictv.global=202319465</v>
      </c>
    </row>
    <row r="3309" spans="1:21">
      <c r="A3309">
        <v>3308</v>
      </c>
      <c r="B3309" s="30" t="s">
        <v>1587</v>
      </c>
      <c r="D3309" s="30" t="s">
        <v>1588</v>
      </c>
      <c r="F3309" s="30" t="s">
        <v>1591</v>
      </c>
      <c r="H3309" s="30" t="s">
        <v>1592</v>
      </c>
      <c r="M3309" s="30" t="s">
        <v>6764</v>
      </c>
      <c r="N3309" s="30" t="s">
        <v>6765</v>
      </c>
      <c r="P3309" s="30" t="s">
        <v>6766</v>
      </c>
      <c r="Q3309" t="s">
        <v>619</v>
      </c>
      <c r="R3309" t="s">
        <v>917</v>
      </c>
      <c r="S3309">
        <v>37</v>
      </c>
      <c r="T3309" s="29" t="str">
        <f t="shared" ref="T3309:T3340" si="146">HYPERLINK("https://ictv.global/ictv/proposals/2021.091B.R.Weiservirinae.zip","2021.091B.R.Weiservirinae.zip")</f>
        <v>2021.091B.R.Weiservirinae.zip</v>
      </c>
      <c r="U3309" s="29" t="str">
        <f>HYPERLINK("https://ictv.global/taxonomy/taxondetails?taxnode_id=202312732","ictv.global=202312732")</f>
        <v>ictv.global=202312732</v>
      </c>
    </row>
    <row r="3310" spans="1:21">
      <c r="A3310">
        <v>3309</v>
      </c>
      <c r="B3310" s="30" t="s">
        <v>1587</v>
      </c>
      <c r="D3310" s="30" t="s">
        <v>1588</v>
      </c>
      <c r="F3310" s="30" t="s">
        <v>1591</v>
      </c>
      <c r="H3310" s="30" t="s">
        <v>1592</v>
      </c>
      <c r="M3310" s="30" t="s">
        <v>6764</v>
      </c>
      <c r="N3310" s="30" t="s">
        <v>6765</v>
      </c>
      <c r="P3310" s="30" t="s">
        <v>6767</v>
      </c>
      <c r="Q3310" t="s">
        <v>619</v>
      </c>
      <c r="R3310" t="s">
        <v>917</v>
      </c>
      <c r="S3310">
        <v>37</v>
      </c>
      <c r="T3310" s="29" t="str">
        <f t="shared" si="146"/>
        <v>2021.091B.R.Weiservirinae.zip</v>
      </c>
      <c r="U3310" s="29" t="str">
        <f>HYPERLINK("https://ictv.global/taxonomy/taxondetails?taxnode_id=202312733","ictv.global=202312733")</f>
        <v>ictv.global=202312733</v>
      </c>
    </row>
    <row r="3311" spans="1:21">
      <c r="A3311">
        <v>3310</v>
      </c>
      <c r="B3311" s="30" t="s">
        <v>1587</v>
      </c>
      <c r="D3311" s="30" t="s">
        <v>1588</v>
      </c>
      <c r="F3311" s="30" t="s">
        <v>1591</v>
      </c>
      <c r="H3311" s="30" t="s">
        <v>1592</v>
      </c>
      <c r="M3311" s="30" t="s">
        <v>6764</v>
      </c>
      <c r="N3311" s="30" t="s">
        <v>6765</v>
      </c>
      <c r="P3311" s="30" t="s">
        <v>6768</v>
      </c>
      <c r="Q3311" t="s">
        <v>619</v>
      </c>
      <c r="R3311" t="s">
        <v>917</v>
      </c>
      <c r="S3311">
        <v>37</v>
      </c>
      <c r="T3311" s="29" t="str">
        <f t="shared" si="146"/>
        <v>2021.091B.R.Weiservirinae.zip</v>
      </c>
      <c r="U3311" s="29" t="str">
        <f>HYPERLINK("https://ictv.global/taxonomy/taxondetails?taxnode_id=202312734","ictv.global=202312734")</f>
        <v>ictv.global=202312734</v>
      </c>
    </row>
    <row r="3312" spans="1:21">
      <c r="A3312">
        <v>3311</v>
      </c>
      <c r="B3312" s="30" t="s">
        <v>1587</v>
      </c>
      <c r="D3312" s="30" t="s">
        <v>1588</v>
      </c>
      <c r="F3312" s="30" t="s">
        <v>1591</v>
      </c>
      <c r="H3312" s="30" t="s">
        <v>1592</v>
      </c>
      <c r="M3312" s="30" t="s">
        <v>6764</v>
      </c>
      <c r="N3312" s="30" t="s">
        <v>6765</v>
      </c>
      <c r="P3312" s="30" t="s">
        <v>6769</v>
      </c>
      <c r="Q3312" t="s">
        <v>619</v>
      </c>
      <c r="R3312" t="s">
        <v>917</v>
      </c>
      <c r="S3312">
        <v>37</v>
      </c>
      <c r="T3312" s="29" t="str">
        <f t="shared" si="146"/>
        <v>2021.091B.R.Weiservirinae.zip</v>
      </c>
      <c r="U3312" s="29" t="str">
        <f>HYPERLINK("https://ictv.global/taxonomy/taxondetails?taxnode_id=202312735","ictv.global=202312735")</f>
        <v>ictv.global=202312735</v>
      </c>
    </row>
    <row r="3313" spans="1:21">
      <c r="A3313">
        <v>3312</v>
      </c>
      <c r="B3313" s="30" t="s">
        <v>1587</v>
      </c>
      <c r="D3313" s="30" t="s">
        <v>1588</v>
      </c>
      <c r="F3313" s="30" t="s">
        <v>1591</v>
      </c>
      <c r="H3313" s="30" t="s">
        <v>1592</v>
      </c>
      <c r="M3313" s="30" t="s">
        <v>6764</v>
      </c>
      <c r="N3313" s="30" t="s">
        <v>6765</v>
      </c>
      <c r="P3313" s="30" t="s">
        <v>6770</v>
      </c>
      <c r="Q3313" t="s">
        <v>619</v>
      </c>
      <c r="R3313" t="s">
        <v>917</v>
      </c>
      <c r="S3313">
        <v>37</v>
      </c>
      <c r="T3313" s="29" t="str">
        <f t="shared" si="146"/>
        <v>2021.091B.R.Weiservirinae.zip</v>
      </c>
      <c r="U3313" s="29" t="str">
        <f>HYPERLINK("https://ictv.global/taxonomy/taxondetails?taxnode_id=202312736","ictv.global=202312736")</f>
        <v>ictv.global=202312736</v>
      </c>
    </row>
    <row r="3314" spans="1:21">
      <c r="A3314">
        <v>3313</v>
      </c>
      <c r="B3314" s="30" t="s">
        <v>1587</v>
      </c>
      <c r="D3314" s="30" t="s">
        <v>1588</v>
      </c>
      <c r="F3314" s="30" t="s">
        <v>1591</v>
      </c>
      <c r="H3314" s="30" t="s">
        <v>1592</v>
      </c>
      <c r="M3314" s="30" t="s">
        <v>6764</v>
      </c>
      <c r="N3314" s="30" t="s">
        <v>6771</v>
      </c>
      <c r="P3314" s="30" t="s">
        <v>6772</v>
      </c>
      <c r="Q3314" t="s">
        <v>619</v>
      </c>
      <c r="R3314" t="s">
        <v>917</v>
      </c>
      <c r="S3314">
        <v>37</v>
      </c>
      <c r="T3314" s="29" t="str">
        <f t="shared" si="146"/>
        <v>2021.091B.R.Weiservirinae.zip</v>
      </c>
      <c r="U3314" s="29" t="str">
        <f>HYPERLINK("https://ictv.global/taxonomy/taxondetails?taxnode_id=202312702","ictv.global=202312702")</f>
        <v>ictv.global=202312702</v>
      </c>
    </row>
    <row r="3315" spans="1:21">
      <c r="A3315">
        <v>3314</v>
      </c>
      <c r="B3315" s="30" t="s">
        <v>1587</v>
      </c>
      <c r="D3315" s="30" t="s">
        <v>1588</v>
      </c>
      <c r="F3315" s="30" t="s">
        <v>1591</v>
      </c>
      <c r="H3315" s="30" t="s">
        <v>1592</v>
      </c>
      <c r="M3315" s="30" t="s">
        <v>6764</v>
      </c>
      <c r="N3315" s="30" t="s">
        <v>6773</v>
      </c>
      <c r="P3315" s="30" t="s">
        <v>6774</v>
      </c>
      <c r="Q3315" t="s">
        <v>619</v>
      </c>
      <c r="R3315" t="s">
        <v>917</v>
      </c>
      <c r="S3315">
        <v>37</v>
      </c>
      <c r="T3315" s="29" t="str">
        <f t="shared" si="146"/>
        <v>2021.091B.R.Weiservirinae.zip</v>
      </c>
      <c r="U3315" s="29" t="str">
        <f>HYPERLINK("https://ictv.global/taxonomy/taxondetails?taxnode_id=202312738","ictv.global=202312738")</f>
        <v>ictv.global=202312738</v>
      </c>
    </row>
    <row r="3316" spans="1:21">
      <c r="A3316">
        <v>3315</v>
      </c>
      <c r="B3316" s="30" t="s">
        <v>1587</v>
      </c>
      <c r="D3316" s="30" t="s">
        <v>1588</v>
      </c>
      <c r="F3316" s="30" t="s">
        <v>1591</v>
      </c>
      <c r="H3316" s="30" t="s">
        <v>1592</v>
      </c>
      <c r="M3316" s="30" t="s">
        <v>6764</v>
      </c>
      <c r="N3316" s="30" t="s">
        <v>6773</v>
      </c>
      <c r="P3316" s="30" t="s">
        <v>6775</v>
      </c>
      <c r="Q3316" t="s">
        <v>619</v>
      </c>
      <c r="R3316" t="s">
        <v>917</v>
      </c>
      <c r="S3316">
        <v>37</v>
      </c>
      <c r="T3316" s="29" t="str">
        <f t="shared" si="146"/>
        <v>2021.091B.R.Weiservirinae.zip</v>
      </c>
      <c r="U3316" s="29" t="str">
        <f>HYPERLINK("https://ictv.global/taxonomy/taxondetails?taxnode_id=202312739","ictv.global=202312739")</f>
        <v>ictv.global=202312739</v>
      </c>
    </row>
    <row r="3317" spans="1:21">
      <c r="A3317">
        <v>3316</v>
      </c>
      <c r="B3317" s="30" t="s">
        <v>1587</v>
      </c>
      <c r="D3317" s="30" t="s">
        <v>1588</v>
      </c>
      <c r="F3317" s="30" t="s">
        <v>1591</v>
      </c>
      <c r="H3317" s="30" t="s">
        <v>1592</v>
      </c>
      <c r="M3317" s="30" t="s">
        <v>6764</v>
      </c>
      <c r="N3317" s="30" t="s">
        <v>6773</v>
      </c>
      <c r="P3317" s="30" t="s">
        <v>6776</v>
      </c>
      <c r="Q3317" t="s">
        <v>619</v>
      </c>
      <c r="R3317" t="s">
        <v>917</v>
      </c>
      <c r="S3317">
        <v>37</v>
      </c>
      <c r="T3317" s="29" t="str">
        <f t="shared" si="146"/>
        <v>2021.091B.R.Weiservirinae.zip</v>
      </c>
      <c r="U3317" s="29" t="str">
        <f>HYPERLINK("https://ictv.global/taxonomy/taxondetails?taxnode_id=202312740","ictv.global=202312740")</f>
        <v>ictv.global=202312740</v>
      </c>
    </row>
    <row r="3318" spans="1:21">
      <c r="A3318">
        <v>3317</v>
      </c>
      <c r="B3318" s="30" t="s">
        <v>1587</v>
      </c>
      <c r="D3318" s="30" t="s">
        <v>1588</v>
      </c>
      <c r="F3318" s="30" t="s">
        <v>1591</v>
      </c>
      <c r="H3318" s="30" t="s">
        <v>1592</v>
      </c>
      <c r="M3318" s="30" t="s">
        <v>6764</v>
      </c>
      <c r="N3318" s="30" t="s">
        <v>6773</v>
      </c>
      <c r="P3318" s="30" t="s">
        <v>6777</v>
      </c>
      <c r="Q3318" t="s">
        <v>619</v>
      </c>
      <c r="R3318" t="s">
        <v>917</v>
      </c>
      <c r="S3318">
        <v>37</v>
      </c>
      <c r="T3318" s="29" t="str">
        <f t="shared" si="146"/>
        <v>2021.091B.R.Weiservirinae.zip</v>
      </c>
      <c r="U3318" s="29" t="str">
        <f>HYPERLINK("https://ictv.global/taxonomy/taxondetails?taxnode_id=202312741","ictv.global=202312741")</f>
        <v>ictv.global=202312741</v>
      </c>
    </row>
    <row r="3319" spans="1:21">
      <c r="A3319">
        <v>3318</v>
      </c>
      <c r="B3319" s="30" t="s">
        <v>1587</v>
      </c>
      <c r="D3319" s="30" t="s">
        <v>1588</v>
      </c>
      <c r="F3319" s="30" t="s">
        <v>1591</v>
      </c>
      <c r="H3319" s="30" t="s">
        <v>1592</v>
      </c>
      <c r="M3319" s="30" t="s">
        <v>6764</v>
      </c>
      <c r="N3319" s="30" t="s">
        <v>6773</v>
      </c>
      <c r="P3319" s="30" t="s">
        <v>6778</v>
      </c>
      <c r="Q3319" t="s">
        <v>619</v>
      </c>
      <c r="R3319" t="s">
        <v>918</v>
      </c>
      <c r="S3319">
        <v>37</v>
      </c>
      <c r="T3319" s="29" t="str">
        <f t="shared" si="146"/>
        <v>2021.091B.R.Weiservirinae.zip</v>
      </c>
      <c r="U3319" s="29" t="str">
        <f>HYPERLINK("https://ictv.global/taxonomy/taxondetails?taxnode_id=202301343","ictv.global=202301343")</f>
        <v>ictv.global=202301343</v>
      </c>
    </row>
    <row r="3320" spans="1:21">
      <c r="A3320">
        <v>3319</v>
      </c>
      <c r="B3320" s="30" t="s">
        <v>1587</v>
      </c>
      <c r="D3320" s="30" t="s">
        <v>1588</v>
      </c>
      <c r="F3320" s="30" t="s">
        <v>1591</v>
      </c>
      <c r="H3320" s="30" t="s">
        <v>1592</v>
      </c>
      <c r="M3320" s="30" t="s">
        <v>6764</v>
      </c>
      <c r="N3320" s="30" t="s">
        <v>6773</v>
      </c>
      <c r="P3320" s="30" t="s">
        <v>6779</v>
      </c>
      <c r="Q3320" t="s">
        <v>619</v>
      </c>
      <c r="R3320" t="s">
        <v>918</v>
      </c>
      <c r="S3320">
        <v>37</v>
      </c>
      <c r="T3320" s="29" t="str">
        <f t="shared" si="146"/>
        <v>2021.091B.R.Weiservirinae.zip</v>
      </c>
      <c r="U3320" s="29" t="str">
        <f>HYPERLINK("https://ictv.global/taxonomy/taxondetails?taxnode_id=202301344","ictv.global=202301344")</f>
        <v>ictv.global=202301344</v>
      </c>
    </row>
    <row r="3321" spans="1:21">
      <c r="A3321">
        <v>3320</v>
      </c>
      <c r="B3321" s="30" t="s">
        <v>1587</v>
      </c>
      <c r="D3321" s="30" t="s">
        <v>1588</v>
      </c>
      <c r="F3321" s="30" t="s">
        <v>1591</v>
      </c>
      <c r="H3321" s="30" t="s">
        <v>1592</v>
      </c>
      <c r="M3321" s="30" t="s">
        <v>6764</v>
      </c>
      <c r="N3321" s="30" t="s">
        <v>6773</v>
      </c>
      <c r="P3321" s="30" t="s">
        <v>6780</v>
      </c>
      <c r="Q3321" t="s">
        <v>619</v>
      </c>
      <c r="R3321" t="s">
        <v>917</v>
      </c>
      <c r="S3321">
        <v>37</v>
      </c>
      <c r="T3321" s="29" t="str">
        <f t="shared" si="146"/>
        <v>2021.091B.R.Weiservirinae.zip</v>
      </c>
      <c r="U3321" s="29" t="str">
        <f>HYPERLINK("https://ictv.global/taxonomy/taxondetails?taxnode_id=202312742","ictv.global=202312742")</f>
        <v>ictv.global=202312742</v>
      </c>
    </row>
    <row r="3322" spans="1:21">
      <c r="A3322">
        <v>3321</v>
      </c>
      <c r="B3322" s="30" t="s">
        <v>1587</v>
      </c>
      <c r="D3322" s="30" t="s">
        <v>1588</v>
      </c>
      <c r="F3322" s="30" t="s">
        <v>1591</v>
      </c>
      <c r="H3322" s="30" t="s">
        <v>1592</v>
      </c>
      <c r="M3322" s="30" t="s">
        <v>6764</v>
      </c>
      <c r="N3322" s="30" t="s">
        <v>6773</v>
      </c>
      <c r="P3322" s="30" t="s">
        <v>6781</v>
      </c>
      <c r="Q3322" t="s">
        <v>619</v>
      </c>
      <c r="R3322" t="s">
        <v>917</v>
      </c>
      <c r="S3322">
        <v>37</v>
      </c>
      <c r="T3322" s="29" t="str">
        <f t="shared" si="146"/>
        <v>2021.091B.R.Weiservirinae.zip</v>
      </c>
      <c r="U3322" s="29" t="str">
        <f>HYPERLINK("https://ictv.global/taxonomy/taxondetails?taxnode_id=202312743","ictv.global=202312743")</f>
        <v>ictv.global=202312743</v>
      </c>
    </row>
    <row r="3323" spans="1:21">
      <c r="A3323">
        <v>3322</v>
      </c>
      <c r="B3323" s="30" t="s">
        <v>1587</v>
      </c>
      <c r="D3323" s="30" t="s">
        <v>1588</v>
      </c>
      <c r="F3323" s="30" t="s">
        <v>1591</v>
      </c>
      <c r="H3323" s="30" t="s">
        <v>1592</v>
      </c>
      <c r="M3323" s="30" t="s">
        <v>6764</v>
      </c>
      <c r="N3323" s="30" t="s">
        <v>6773</v>
      </c>
      <c r="P3323" s="30" t="s">
        <v>6782</v>
      </c>
      <c r="Q3323" t="s">
        <v>619</v>
      </c>
      <c r="R3323" t="s">
        <v>917</v>
      </c>
      <c r="S3323">
        <v>37</v>
      </c>
      <c r="T3323" s="29" t="str">
        <f t="shared" si="146"/>
        <v>2021.091B.R.Weiservirinae.zip</v>
      </c>
      <c r="U3323" s="29" t="str">
        <f>HYPERLINK("https://ictv.global/taxonomy/taxondetails?taxnode_id=202312744","ictv.global=202312744")</f>
        <v>ictv.global=202312744</v>
      </c>
    </row>
    <row r="3324" spans="1:21">
      <c r="A3324">
        <v>3323</v>
      </c>
      <c r="B3324" s="30" t="s">
        <v>1587</v>
      </c>
      <c r="D3324" s="30" t="s">
        <v>1588</v>
      </c>
      <c r="F3324" s="30" t="s">
        <v>1591</v>
      </c>
      <c r="H3324" s="30" t="s">
        <v>1592</v>
      </c>
      <c r="M3324" s="30" t="s">
        <v>6764</v>
      </c>
      <c r="N3324" s="30" t="s">
        <v>6773</v>
      </c>
      <c r="P3324" s="30" t="s">
        <v>6783</v>
      </c>
      <c r="Q3324" t="s">
        <v>619</v>
      </c>
      <c r="R3324" t="s">
        <v>917</v>
      </c>
      <c r="S3324">
        <v>37</v>
      </c>
      <c r="T3324" s="29" t="str">
        <f t="shared" si="146"/>
        <v>2021.091B.R.Weiservirinae.zip</v>
      </c>
      <c r="U3324" s="29" t="str">
        <f>HYPERLINK("https://ictv.global/taxonomy/taxondetails?taxnode_id=202312745","ictv.global=202312745")</f>
        <v>ictv.global=202312745</v>
      </c>
    </row>
    <row r="3325" spans="1:21">
      <c r="A3325">
        <v>3324</v>
      </c>
      <c r="B3325" s="30" t="s">
        <v>1587</v>
      </c>
      <c r="D3325" s="30" t="s">
        <v>1588</v>
      </c>
      <c r="F3325" s="30" t="s">
        <v>1591</v>
      </c>
      <c r="H3325" s="30" t="s">
        <v>1592</v>
      </c>
      <c r="M3325" s="30" t="s">
        <v>6764</v>
      </c>
      <c r="N3325" s="30" t="s">
        <v>6773</v>
      </c>
      <c r="P3325" s="30" t="s">
        <v>6784</v>
      </c>
      <c r="Q3325" t="s">
        <v>619</v>
      </c>
      <c r="R3325" t="s">
        <v>918</v>
      </c>
      <c r="S3325">
        <v>37</v>
      </c>
      <c r="T3325" s="29" t="str">
        <f t="shared" si="146"/>
        <v>2021.091B.R.Weiservirinae.zip</v>
      </c>
      <c r="U3325" s="29" t="str">
        <f>HYPERLINK("https://ictv.global/taxonomy/taxondetails?taxnode_id=202301345","ictv.global=202301345")</f>
        <v>ictv.global=202301345</v>
      </c>
    </row>
    <row r="3326" spans="1:21">
      <c r="A3326">
        <v>3325</v>
      </c>
      <c r="B3326" s="30" t="s">
        <v>1587</v>
      </c>
      <c r="D3326" s="30" t="s">
        <v>1588</v>
      </c>
      <c r="F3326" s="30" t="s">
        <v>1591</v>
      </c>
      <c r="H3326" s="30" t="s">
        <v>1592</v>
      </c>
      <c r="M3326" s="30" t="s">
        <v>6764</v>
      </c>
      <c r="N3326" s="30" t="s">
        <v>6773</v>
      </c>
      <c r="P3326" s="30" t="s">
        <v>6785</v>
      </c>
      <c r="Q3326" t="s">
        <v>619</v>
      </c>
      <c r="R3326" t="s">
        <v>917</v>
      </c>
      <c r="S3326">
        <v>37</v>
      </c>
      <c r="T3326" s="29" t="str">
        <f t="shared" si="146"/>
        <v>2021.091B.R.Weiservirinae.zip</v>
      </c>
      <c r="U3326" s="29" t="str">
        <f>HYPERLINK("https://ictv.global/taxonomy/taxondetails?taxnode_id=202312746","ictv.global=202312746")</f>
        <v>ictv.global=202312746</v>
      </c>
    </row>
    <row r="3327" spans="1:21">
      <c r="A3327">
        <v>3326</v>
      </c>
      <c r="B3327" s="30" t="s">
        <v>1587</v>
      </c>
      <c r="D3327" s="30" t="s">
        <v>1588</v>
      </c>
      <c r="F3327" s="30" t="s">
        <v>1591</v>
      </c>
      <c r="H3327" s="30" t="s">
        <v>1592</v>
      </c>
      <c r="M3327" s="30" t="s">
        <v>6764</v>
      </c>
      <c r="N3327" s="30" t="s">
        <v>6773</v>
      </c>
      <c r="P3327" s="30" t="s">
        <v>6786</v>
      </c>
      <c r="Q3327" t="s">
        <v>619</v>
      </c>
      <c r="R3327" t="s">
        <v>918</v>
      </c>
      <c r="S3327">
        <v>37</v>
      </c>
      <c r="T3327" s="29" t="str">
        <f t="shared" si="146"/>
        <v>2021.091B.R.Weiservirinae.zip</v>
      </c>
      <c r="U3327" s="29" t="str">
        <f>HYPERLINK("https://ictv.global/taxonomy/taxondetails?taxnode_id=202301347","ictv.global=202301347")</f>
        <v>ictv.global=202301347</v>
      </c>
    </row>
    <row r="3328" spans="1:21">
      <c r="A3328">
        <v>3327</v>
      </c>
      <c r="B3328" s="30" t="s">
        <v>1587</v>
      </c>
      <c r="D3328" s="30" t="s">
        <v>1588</v>
      </c>
      <c r="F3328" s="30" t="s">
        <v>1591</v>
      </c>
      <c r="H3328" s="30" t="s">
        <v>1592</v>
      </c>
      <c r="M3328" s="30" t="s">
        <v>6764</v>
      </c>
      <c r="N3328" s="30" t="s">
        <v>6773</v>
      </c>
      <c r="P3328" s="30" t="s">
        <v>6787</v>
      </c>
      <c r="Q3328" t="s">
        <v>619</v>
      </c>
      <c r="R3328" t="s">
        <v>917</v>
      </c>
      <c r="S3328">
        <v>37</v>
      </c>
      <c r="T3328" s="29" t="str">
        <f t="shared" si="146"/>
        <v>2021.091B.R.Weiservirinae.zip</v>
      </c>
      <c r="U3328" s="29" t="str">
        <f>HYPERLINK("https://ictv.global/taxonomy/taxondetails?taxnode_id=202312747","ictv.global=202312747")</f>
        <v>ictv.global=202312747</v>
      </c>
    </row>
    <row r="3329" spans="1:21">
      <c r="A3329">
        <v>3328</v>
      </c>
      <c r="B3329" s="30" t="s">
        <v>1587</v>
      </c>
      <c r="D3329" s="30" t="s">
        <v>1588</v>
      </c>
      <c r="F3329" s="30" t="s">
        <v>1591</v>
      </c>
      <c r="H3329" s="30" t="s">
        <v>1592</v>
      </c>
      <c r="M3329" s="30" t="s">
        <v>6764</v>
      </c>
      <c r="N3329" s="30" t="s">
        <v>6773</v>
      </c>
      <c r="P3329" s="30" t="s">
        <v>6788</v>
      </c>
      <c r="Q3329" t="s">
        <v>619</v>
      </c>
      <c r="R3329" t="s">
        <v>917</v>
      </c>
      <c r="S3329">
        <v>37</v>
      </c>
      <c r="T3329" s="29" t="str">
        <f t="shared" si="146"/>
        <v>2021.091B.R.Weiservirinae.zip</v>
      </c>
      <c r="U3329" s="29" t="str">
        <f>HYPERLINK("https://ictv.global/taxonomy/taxondetails?taxnode_id=202312748","ictv.global=202312748")</f>
        <v>ictv.global=202312748</v>
      </c>
    </row>
    <row r="3330" spans="1:21">
      <c r="A3330">
        <v>3329</v>
      </c>
      <c r="B3330" s="30" t="s">
        <v>1587</v>
      </c>
      <c r="D3330" s="30" t="s">
        <v>1588</v>
      </c>
      <c r="F3330" s="30" t="s">
        <v>1591</v>
      </c>
      <c r="H3330" s="30" t="s">
        <v>1592</v>
      </c>
      <c r="M3330" s="30" t="s">
        <v>6764</v>
      </c>
      <c r="N3330" s="30" t="s">
        <v>6773</v>
      </c>
      <c r="P3330" s="30" t="s">
        <v>6789</v>
      </c>
      <c r="Q3330" t="s">
        <v>619</v>
      </c>
      <c r="R3330" t="s">
        <v>917</v>
      </c>
      <c r="S3330">
        <v>37</v>
      </c>
      <c r="T3330" s="29" t="str">
        <f t="shared" si="146"/>
        <v>2021.091B.R.Weiservirinae.zip</v>
      </c>
      <c r="U3330" s="29" t="str">
        <f>HYPERLINK("https://ictv.global/taxonomy/taxondetails?taxnode_id=202312749","ictv.global=202312749")</f>
        <v>ictv.global=202312749</v>
      </c>
    </row>
    <row r="3331" spans="1:21">
      <c r="A3331">
        <v>3330</v>
      </c>
      <c r="B3331" s="30" t="s">
        <v>1587</v>
      </c>
      <c r="D3331" s="30" t="s">
        <v>1588</v>
      </c>
      <c r="F3331" s="30" t="s">
        <v>1591</v>
      </c>
      <c r="H3331" s="30" t="s">
        <v>1592</v>
      </c>
      <c r="M3331" s="30" t="s">
        <v>6764</v>
      </c>
      <c r="N3331" s="30" t="s">
        <v>6773</v>
      </c>
      <c r="P3331" s="30" t="s">
        <v>6790</v>
      </c>
      <c r="Q3331" t="s">
        <v>619</v>
      </c>
      <c r="R3331" t="s">
        <v>917</v>
      </c>
      <c r="S3331">
        <v>37</v>
      </c>
      <c r="T3331" s="29" t="str">
        <f t="shared" si="146"/>
        <v>2021.091B.R.Weiservirinae.zip</v>
      </c>
      <c r="U3331" s="29" t="str">
        <f>HYPERLINK("https://ictv.global/taxonomy/taxondetails?taxnode_id=202312750","ictv.global=202312750")</f>
        <v>ictv.global=202312750</v>
      </c>
    </row>
    <row r="3332" spans="1:21">
      <c r="A3332">
        <v>3331</v>
      </c>
      <c r="B3332" s="30" t="s">
        <v>1587</v>
      </c>
      <c r="D3332" s="30" t="s">
        <v>1588</v>
      </c>
      <c r="F3332" s="30" t="s">
        <v>1591</v>
      </c>
      <c r="H3332" s="30" t="s">
        <v>1592</v>
      </c>
      <c r="M3332" s="30" t="s">
        <v>6764</v>
      </c>
      <c r="N3332" s="30" t="s">
        <v>6773</v>
      </c>
      <c r="P3332" s="30" t="s">
        <v>6791</v>
      </c>
      <c r="Q3332" t="s">
        <v>619</v>
      </c>
      <c r="R3332" t="s">
        <v>917</v>
      </c>
      <c r="S3332">
        <v>37</v>
      </c>
      <c r="T3332" s="29" t="str">
        <f t="shared" si="146"/>
        <v>2021.091B.R.Weiservirinae.zip</v>
      </c>
      <c r="U3332" s="29" t="str">
        <f>HYPERLINK("https://ictv.global/taxonomy/taxondetails?taxnode_id=202312751","ictv.global=202312751")</f>
        <v>ictv.global=202312751</v>
      </c>
    </row>
    <row r="3333" spans="1:21">
      <c r="A3333">
        <v>3332</v>
      </c>
      <c r="B3333" s="30" t="s">
        <v>1587</v>
      </c>
      <c r="D3333" s="30" t="s">
        <v>1588</v>
      </c>
      <c r="F3333" s="30" t="s">
        <v>1591</v>
      </c>
      <c r="H3333" s="30" t="s">
        <v>1592</v>
      </c>
      <c r="M3333" s="30" t="s">
        <v>6764</v>
      </c>
      <c r="N3333" s="30" t="s">
        <v>6773</v>
      </c>
      <c r="P3333" s="30" t="s">
        <v>6792</v>
      </c>
      <c r="Q3333" t="s">
        <v>619</v>
      </c>
      <c r="R3333" t="s">
        <v>917</v>
      </c>
      <c r="S3333">
        <v>37</v>
      </c>
      <c r="T3333" s="29" t="str">
        <f t="shared" si="146"/>
        <v>2021.091B.R.Weiservirinae.zip</v>
      </c>
      <c r="U3333" s="29" t="str">
        <f>HYPERLINK("https://ictv.global/taxonomy/taxondetails?taxnode_id=202312752","ictv.global=202312752")</f>
        <v>ictv.global=202312752</v>
      </c>
    </row>
    <row r="3334" spans="1:21">
      <c r="A3334">
        <v>3333</v>
      </c>
      <c r="B3334" s="30" t="s">
        <v>1587</v>
      </c>
      <c r="D3334" s="30" t="s">
        <v>1588</v>
      </c>
      <c r="F3334" s="30" t="s">
        <v>1591</v>
      </c>
      <c r="H3334" s="30" t="s">
        <v>1592</v>
      </c>
      <c r="M3334" s="30" t="s">
        <v>6764</v>
      </c>
      <c r="N3334" s="30" t="s">
        <v>6773</v>
      </c>
      <c r="P3334" s="30" t="s">
        <v>6793</v>
      </c>
      <c r="Q3334" t="s">
        <v>619</v>
      </c>
      <c r="R3334" t="s">
        <v>917</v>
      </c>
      <c r="S3334">
        <v>37</v>
      </c>
      <c r="T3334" s="29" t="str">
        <f t="shared" si="146"/>
        <v>2021.091B.R.Weiservirinae.zip</v>
      </c>
      <c r="U3334" s="29" t="str">
        <f>HYPERLINK("https://ictv.global/taxonomy/taxondetails?taxnode_id=202312753","ictv.global=202312753")</f>
        <v>ictv.global=202312753</v>
      </c>
    </row>
    <row r="3335" spans="1:21">
      <c r="A3335">
        <v>3334</v>
      </c>
      <c r="B3335" s="30" t="s">
        <v>1587</v>
      </c>
      <c r="D3335" s="30" t="s">
        <v>1588</v>
      </c>
      <c r="F3335" s="30" t="s">
        <v>1591</v>
      </c>
      <c r="H3335" s="30" t="s">
        <v>1592</v>
      </c>
      <c r="M3335" s="30" t="s">
        <v>6764</v>
      </c>
      <c r="N3335" s="30" t="s">
        <v>6773</v>
      </c>
      <c r="P3335" s="30" t="s">
        <v>6794</v>
      </c>
      <c r="Q3335" t="s">
        <v>619</v>
      </c>
      <c r="R3335" t="s">
        <v>917</v>
      </c>
      <c r="S3335">
        <v>37</v>
      </c>
      <c r="T3335" s="29" t="str">
        <f t="shared" si="146"/>
        <v>2021.091B.R.Weiservirinae.zip</v>
      </c>
      <c r="U3335" s="29" t="str">
        <f>HYPERLINK("https://ictv.global/taxonomy/taxondetails?taxnode_id=202312754","ictv.global=202312754")</f>
        <v>ictv.global=202312754</v>
      </c>
    </row>
    <row r="3336" spans="1:21">
      <c r="A3336">
        <v>3335</v>
      </c>
      <c r="B3336" s="30" t="s">
        <v>1587</v>
      </c>
      <c r="D3336" s="30" t="s">
        <v>1588</v>
      </c>
      <c r="F3336" s="30" t="s">
        <v>1591</v>
      </c>
      <c r="H3336" s="30" t="s">
        <v>1592</v>
      </c>
      <c r="M3336" s="30" t="s">
        <v>6764</v>
      </c>
      <c r="N3336" s="30" t="s">
        <v>6773</v>
      </c>
      <c r="P3336" s="30" t="s">
        <v>6795</v>
      </c>
      <c r="Q3336" t="s">
        <v>619</v>
      </c>
      <c r="R3336" t="s">
        <v>917</v>
      </c>
      <c r="S3336">
        <v>37</v>
      </c>
      <c r="T3336" s="29" t="str">
        <f t="shared" si="146"/>
        <v>2021.091B.R.Weiservirinae.zip</v>
      </c>
      <c r="U3336" s="29" t="str">
        <f>HYPERLINK("https://ictv.global/taxonomy/taxondetails?taxnode_id=202312755","ictv.global=202312755")</f>
        <v>ictv.global=202312755</v>
      </c>
    </row>
    <row r="3337" spans="1:21">
      <c r="A3337">
        <v>3336</v>
      </c>
      <c r="B3337" s="30" t="s">
        <v>1587</v>
      </c>
      <c r="D3337" s="30" t="s">
        <v>1588</v>
      </c>
      <c r="F3337" s="30" t="s">
        <v>1591</v>
      </c>
      <c r="H3337" s="30" t="s">
        <v>1592</v>
      </c>
      <c r="M3337" s="30" t="s">
        <v>6764</v>
      </c>
      <c r="N3337" s="30" t="s">
        <v>6773</v>
      </c>
      <c r="P3337" s="30" t="s">
        <v>6796</v>
      </c>
      <c r="Q3337" t="s">
        <v>619</v>
      </c>
      <c r="R3337" t="s">
        <v>917</v>
      </c>
      <c r="S3337">
        <v>37</v>
      </c>
      <c r="T3337" s="29" t="str">
        <f t="shared" si="146"/>
        <v>2021.091B.R.Weiservirinae.zip</v>
      </c>
      <c r="U3337" s="29" t="str">
        <f>HYPERLINK("https://ictv.global/taxonomy/taxondetails?taxnode_id=202312756","ictv.global=202312756")</f>
        <v>ictv.global=202312756</v>
      </c>
    </row>
    <row r="3338" spans="1:21">
      <c r="A3338">
        <v>3337</v>
      </c>
      <c r="B3338" s="30" t="s">
        <v>1587</v>
      </c>
      <c r="D3338" s="30" t="s">
        <v>1588</v>
      </c>
      <c r="F3338" s="30" t="s">
        <v>1591</v>
      </c>
      <c r="H3338" s="30" t="s">
        <v>1592</v>
      </c>
      <c r="M3338" s="30" t="s">
        <v>6764</v>
      </c>
      <c r="N3338" s="30" t="s">
        <v>6773</v>
      </c>
      <c r="P3338" s="30" t="s">
        <v>6797</v>
      </c>
      <c r="Q3338" t="s">
        <v>619</v>
      </c>
      <c r="R3338" t="s">
        <v>917</v>
      </c>
      <c r="S3338">
        <v>37</v>
      </c>
      <c r="T3338" s="29" t="str">
        <f t="shared" si="146"/>
        <v>2021.091B.R.Weiservirinae.zip</v>
      </c>
      <c r="U3338" s="29" t="str">
        <f>HYPERLINK("https://ictv.global/taxonomy/taxondetails?taxnode_id=202312757","ictv.global=202312757")</f>
        <v>ictv.global=202312757</v>
      </c>
    </row>
    <row r="3339" spans="1:21">
      <c r="A3339">
        <v>3338</v>
      </c>
      <c r="B3339" s="30" t="s">
        <v>1587</v>
      </c>
      <c r="D3339" s="30" t="s">
        <v>1588</v>
      </c>
      <c r="F3339" s="30" t="s">
        <v>1591</v>
      </c>
      <c r="H3339" s="30" t="s">
        <v>1592</v>
      </c>
      <c r="M3339" s="30" t="s">
        <v>6764</v>
      </c>
      <c r="N3339" s="30" t="s">
        <v>6773</v>
      </c>
      <c r="P3339" s="30" t="s">
        <v>6798</v>
      </c>
      <c r="Q3339" t="s">
        <v>619</v>
      </c>
      <c r="R3339" t="s">
        <v>917</v>
      </c>
      <c r="S3339">
        <v>37</v>
      </c>
      <c r="T3339" s="29" t="str">
        <f t="shared" si="146"/>
        <v>2021.091B.R.Weiservirinae.zip</v>
      </c>
      <c r="U3339" s="29" t="str">
        <f>HYPERLINK("https://ictv.global/taxonomy/taxondetails?taxnode_id=202312758","ictv.global=202312758")</f>
        <v>ictv.global=202312758</v>
      </c>
    </row>
    <row r="3340" spans="1:21">
      <c r="A3340">
        <v>3339</v>
      </c>
      <c r="B3340" s="30" t="s">
        <v>1587</v>
      </c>
      <c r="D3340" s="30" t="s">
        <v>1588</v>
      </c>
      <c r="F3340" s="30" t="s">
        <v>1591</v>
      </c>
      <c r="H3340" s="30" t="s">
        <v>1592</v>
      </c>
      <c r="M3340" s="30" t="s">
        <v>6764</v>
      </c>
      <c r="N3340" s="30" t="s">
        <v>6773</v>
      </c>
      <c r="P3340" s="30" t="s">
        <v>6799</v>
      </c>
      <c r="Q3340" t="s">
        <v>619</v>
      </c>
      <c r="R3340" t="s">
        <v>917</v>
      </c>
      <c r="S3340">
        <v>37</v>
      </c>
      <c r="T3340" s="29" t="str">
        <f t="shared" si="146"/>
        <v>2021.091B.R.Weiservirinae.zip</v>
      </c>
      <c r="U3340" s="29" t="str">
        <f>HYPERLINK("https://ictv.global/taxonomy/taxondetails?taxnode_id=202312759","ictv.global=202312759")</f>
        <v>ictv.global=202312759</v>
      </c>
    </row>
    <row r="3341" spans="1:21">
      <c r="A3341">
        <v>3340</v>
      </c>
      <c r="B3341" s="30" t="s">
        <v>1587</v>
      </c>
      <c r="D3341" s="30" t="s">
        <v>1588</v>
      </c>
      <c r="F3341" s="30" t="s">
        <v>1591</v>
      </c>
      <c r="H3341" s="30" t="s">
        <v>1592</v>
      </c>
      <c r="M3341" s="30" t="s">
        <v>6764</v>
      </c>
      <c r="N3341" s="30" t="s">
        <v>6773</v>
      </c>
      <c r="P3341" s="30" t="s">
        <v>6800</v>
      </c>
      <c r="Q3341" t="s">
        <v>619</v>
      </c>
      <c r="R3341" t="s">
        <v>917</v>
      </c>
      <c r="S3341">
        <v>37</v>
      </c>
      <c r="T3341" s="29" t="str">
        <f t="shared" ref="T3341:T3361" si="147">HYPERLINK("https://ictv.global/ictv/proposals/2021.091B.R.Weiservirinae.zip","2021.091B.R.Weiservirinae.zip")</f>
        <v>2021.091B.R.Weiservirinae.zip</v>
      </c>
      <c r="U3341" s="29" t="str">
        <f>HYPERLINK("https://ictv.global/taxonomy/taxondetails?taxnode_id=202312760","ictv.global=202312760")</f>
        <v>ictv.global=202312760</v>
      </c>
    </row>
    <row r="3342" spans="1:21">
      <c r="A3342">
        <v>3341</v>
      </c>
      <c r="B3342" s="30" t="s">
        <v>1587</v>
      </c>
      <c r="D3342" s="30" t="s">
        <v>1588</v>
      </c>
      <c r="F3342" s="30" t="s">
        <v>1591</v>
      </c>
      <c r="H3342" s="30" t="s">
        <v>1592</v>
      </c>
      <c r="M3342" s="30" t="s">
        <v>6764</v>
      </c>
      <c r="N3342" s="30" t="s">
        <v>6773</v>
      </c>
      <c r="P3342" s="30" t="s">
        <v>6801</v>
      </c>
      <c r="Q3342" t="s">
        <v>619</v>
      </c>
      <c r="R3342" t="s">
        <v>917</v>
      </c>
      <c r="S3342">
        <v>37</v>
      </c>
      <c r="T3342" s="29" t="str">
        <f t="shared" si="147"/>
        <v>2021.091B.R.Weiservirinae.zip</v>
      </c>
      <c r="U3342" s="29" t="str">
        <f>HYPERLINK("https://ictv.global/taxonomy/taxondetails?taxnode_id=202312761","ictv.global=202312761")</f>
        <v>ictv.global=202312761</v>
      </c>
    </row>
    <row r="3343" spans="1:21">
      <c r="A3343">
        <v>3342</v>
      </c>
      <c r="B3343" s="30" t="s">
        <v>1587</v>
      </c>
      <c r="D3343" s="30" t="s">
        <v>1588</v>
      </c>
      <c r="F3343" s="30" t="s">
        <v>1591</v>
      </c>
      <c r="H3343" s="30" t="s">
        <v>1592</v>
      </c>
      <c r="M3343" s="30" t="s">
        <v>6764</v>
      </c>
      <c r="N3343" s="30" t="s">
        <v>6802</v>
      </c>
      <c r="P3343" s="30" t="s">
        <v>6803</v>
      </c>
      <c r="Q3343" t="s">
        <v>619</v>
      </c>
      <c r="R3343" t="s">
        <v>917</v>
      </c>
      <c r="S3343">
        <v>37</v>
      </c>
      <c r="T3343" s="29" t="str">
        <f t="shared" si="147"/>
        <v>2021.091B.R.Weiservirinae.zip</v>
      </c>
      <c r="U3343" s="29" t="str">
        <f>HYPERLINK("https://ictv.global/taxonomy/taxondetails?taxnode_id=202312706","ictv.global=202312706")</f>
        <v>ictv.global=202312706</v>
      </c>
    </row>
    <row r="3344" spans="1:21">
      <c r="A3344">
        <v>3343</v>
      </c>
      <c r="B3344" s="30" t="s">
        <v>1587</v>
      </c>
      <c r="D3344" s="30" t="s">
        <v>1588</v>
      </c>
      <c r="F3344" s="30" t="s">
        <v>1591</v>
      </c>
      <c r="H3344" s="30" t="s">
        <v>1592</v>
      </c>
      <c r="M3344" s="30" t="s">
        <v>6764</v>
      </c>
      <c r="N3344" s="30" t="s">
        <v>6802</v>
      </c>
      <c r="P3344" s="30" t="s">
        <v>6804</v>
      </c>
      <c r="Q3344" t="s">
        <v>619</v>
      </c>
      <c r="R3344" t="s">
        <v>917</v>
      </c>
      <c r="S3344">
        <v>37</v>
      </c>
      <c r="T3344" s="29" t="str">
        <f t="shared" si="147"/>
        <v>2021.091B.R.Weiservirinae.zip</v>
      </c>
      <c r="U3344" s="29" t="str">
        <f>HYPERLINK("https://ictv.global/taxonomy/taxondetails?taxnode_id=202312704","ictv.global=202312704")</f>
        <v>ictv.global=202312704</v>
      </c>
    </row>
    <row r="3345" spans="1:21">
      <c r="A3345">
        <v>3344</v>
      </c>
      <c r="B3345" s="30" t="s">
        <v>1587</v>
      </c>
      <c r="D3345" s="30" t="s">
        <v>1588</v>
      </c>
      <c r="F3345" s="30" t="s">
        <v>1591</v>
      </c>
      <c r="H3345" s="30" t="s">
        <v>1592</v>
      </c>
      <c r="M3345" s="30" t="s">
        <v>6764</v>
      </c>
      <c r="N3345" s="30" t="s">
        <v>6802</v>
      </c>
      <c r="P3345" s="30" t="s">
        <v>6805</v>
      </c>
      <c r="Q3345" t="s">
        <v>619</v>
      </c>
      <c r="R3345" t="s">
        <v>917</v>
      </c>
      <c r="S3345">
        <v>37</v>
      </c>
      <c r="T3345" s="29" t="str">
        <f t="shared" si="147"/>
        <v>2021.091B.R.Weiservirinae.zip</v>
      </c>
      <c r="U3345" s="29" t="str">
        <f>HYPERLINK("https://ictv.global/taxonomy/taxondetails?taxnode_id=202312705","ictv.global=202312705")</f>
        <v>ictv.global=202312705</v>
      </c>
    </row>
    <row r="3346" spans="1:21">
      <c r="A3346">
        <v>3345</v>
      </c>
      <c r="B3346" s="30" t="s">
        <v>1587</v>
      </c>
      <c r="D3346" s="30" t="s">
        <v>1588</v>
      </c>
      <c r="F3346" s="30" t="s">
        <v>1591</v>
      </c>
      <c r="H3346" s="30" t="s">
        <v>1592</v>
      </c>
      <c r="M3346" s="30" t="s">
        <v>6764</v>
      </c>
      <c r="N3346" s="30" t="s">
        <v>6802</v>
      </c>
      <c r="P3346" s="30" t="s">
        <v>6806</v>
      </c>
      <c r="Q3346" t="s">
        <v>619</v>
      </c>
      <c r="R3346" t="s">
        <v>917</v>
      </c>
      <c r="S3346">
        <v>37</v>
      </c>
      <c r="T3346" s="29" t="str">
        <f t="shared" si="147"/>
        <v>2021.091B.R.Weiservirinae.zip</v>
      </c>
      <c r="U3346" s="29" t="str">
        <f>HYPERLINK("https://ictv.global/taxonomy/taxondetails?taxnode_id=202312708","ictv.global=202312708")</f>
        <v>ictv.global=202312708</v>
      </c>
    </row>
    <row r="3347" spans="1:21">
      <c r="A3347">
        <v>3346</v>
      </c>
      <c r="B3347" s="30" t="s">
        <v>1587</v>
      </c>
      <c r="D3347" s="30" t="s">
        <v>1588</v>
      </c>
      <c r="F3347" s="30" t="s">
        <v>1591</v>
      </c>
      <c r="H3347" s="30" t="s">
        <v>1592</v>
      </c>
      <c r="M3347" s="30" t="s">
        <v>6764</v>
      </c>
      <c r="N3347" s="30" t="s">
        <v>6802</v>
      </c>
      <c r="P3347" s="30" t="s">
        <v>6807</v>
      </c>
      <c r="Q3347" t="s">
        <v>619</v>
      </c>
      <c r="R3347" t="s">
        <v>917</v>
      </c>
      <c r="S3347">
        <v>37</v>
      </c>
      <c r="T3347" s="29" t="str">
        <f t="shared" si="147"/>
        <v>2021.091B.R.Weiservirinae.zip</v>
      </c>
      <c r="U3347" s="29" t="str">
        <f>HYPERLINK("https://ictv.global/taxonomy/taxondetails?taxnode_id=202312707","ictv.global=202312707")</f>
        <v>ictv.global=202312707</v>
      </c>
    </row>
    <row r="3348" spans="1:21">
      <c r="A3348">
        <v>3347</v>
      </c>
      <c r="B3348" s="30" t="s">
        <v>1587</v>
      </c>
      <c r="D3348" s="30" t="s">
        <v>1588</v>
      </c>
      <c r="F3348" s="30" t="s">
        <v>1591</v>
      </c>
      <c r="H3348" s="30" t="s">
        <v>1592</v>
      </c>
      <c r="M3348" s="30" t="s">
        <v>6764</v>
      </c>
      <c r="N3348" s="30" t="s">
        <v>6808</v>
      </c>
      <c r="P3348" s="30" t="s">
        <v>6809</v>
      </c>
      <c r="Q3348" t="s">
        <v>619</v>
      </c>
      <c r="R3348" t="s">
        <v>917</v>
      </c>
      <c r="S3348">
        <v>37</v>
      </c>
      <c r="T3348" s="29" t="str">
        <f t="shared" si="147"/>
        <v>2021.091B.R.Weiservirinae.zip</v>
      </c>
      <c r="U3348" s="29" t="str">
        <f>HYPERLINK("https://ictv.global/taxonomy/taxondetails?taxnode_id=202312729","ictv.global=202312729")</f>
        <v>ictv.global=202312729</v>
      </c>
    </row>
    <row r="3349" spans="1:21">
      <c r="A3349">
        <v>3348</v>
      </c>
      <c r="B3349" s="30" t="s">
        <v>1587</v>
      </c>
      <c r="D3349" s="30" t="s">
        <v>1588</v>
      </c>
      <c r="F3349" s="30" t="s">
        <v>1591</v>
      </c>
      <c r="H3349" s="30" t="s">
        <v>1592</v>
      </c>
      <c r="M3349" s="30" t="s">
        <v>6764</v>
      </c>
      <c r="N3349" s="30" t="s">
        <v>6808</v>
      </c>
      <c r="P3349" s="30" t="s">
        <v>6810</v>
      </c>
      <c r="Q3349" t="s">
        <v>619</v>
      </c>
      <c r="R3349" t="s">
        <v>917</v>
      </c>
      <c r="S3349">
        <v>37</v>
      </c>
      <c r="T3349" s="29" t="str">
        <f t="shared" si="147"/>
        <v>2021.091B.R.Weiservirinae.zip</v>
      </c>
      <c r="U3349" s="29" t="str">
        <f>HYPERLINK("https://ictv.global/taxonomy/taxondetails?taxnode_id=202312728","ictv.global=202312728")</f>
        <v>ictv.global=202312728</v>
      </c>
    </row>
    <row r="3350" spans="1:21">
      <c r="A3350">
        <v>3349</v>
      </c>
      <c r="B3350" s="30" t="s">
        <v>1587</v>
      </c>
      <c r="D3350" s="30" t="s">
        <v>1588</v>
      </c>
      <c r="F3350" s="30" t="s">
        <v>1591</v>
      </c>
      <c r="H3350" s="30" t="s">
        <v>1592</v>
      </c>
      <c r="M3350" s="30" t="s">
        <v>6764</v>
      </c>
      <c r="N3350" s="30" t="s">
        <v>6808</v>
      </c>
      <c r="P3350" s="30" t="s">
        <v>6811</v>
      </c>
      <c r="Q3350" t="s">
        <v>619</v>
      </c>
      <c r="R3350" t="s">
        <v>918</v>
      </c>
      <c r="S3350">
        <v>37</v>
      </c>
      <c r="T3350" s="29" t="str">
        <f t="shared" si="147"/>
        <v>2021.091B.R.Weiservirinae.zip</v>
      </c>
      <c r="U3350" s="29" t="str">
        <f>HYPERLINK("https://ictv.global/taxonomy/taxondetails?taxnode_id=202301349","ictv.global=202301349")</f>
        <v>ictv.global=202301349</v>
      </c>
    </row>
    <row r="3351" spans="1:21">
      <c r="A3351">
        <v>3350</v>
      </c>
      <c r="B3351" s="30" t="s">
        <v>1587</v>
      </c>
      <c r="D3351" s="30" t="s">
        <v>1588</v>
      </c>
      <c r="F3351" s="30" t="s">
        <v>1591</v>
      </c>
      <c r="H3351" s="30" t="s">
        <v>1592</v>
      </c>
      <c r="M3351" s="30" t="s">
        <v>6764</v>
      </c>
      <c r="N3351" s="30" t="s">
        <v>6808</v>
      </c>
      <c r="P3351" s="30" t="s">
        <v>6812</v>
      </c>
      <c r="Q3351" t="s">
        <v>619</v>
      </c>
      <c r="R3351" t="s">
        <v>918</v>
      </c>
      <c r="S3351">
        <v>37</v>
      </c>
      <c r="T3351" s="29" t="str">
        <f t="shared" si="147"/>
        <v>2021.091B.R.Weiservirinae.zip</v>
      </c>
      <c r="U3351" s="29" t="str">
        <f>HYPERLINK("https://ictv.global/taxonomy/taxondetails?taxnode_id=202301350","ictv.global=202301350")</f>
        <v>ictv.global=202301350</v>
      </c>
    </row>
    <row r="3352" spans="1:21">
      <c r="A3352">
        <v>3351</v>
      </c>
      <c r="B3352" s="30" t="s">
        <v>1587</v>
      </c>
      <c r="D3352" s="30" t="s">
        <v>1588</v>
      </c>
      <c r="F3352" s="30" t="s">
        <v>1591</v>
      </c>
      <c r="H3352" s="30" t="s">
        <v>1592</v>
      </c>
      <c r="M3352" s="30" t="s">
        <v>6764</v>
      </c>
      <c r="N3352" s="30" t="s">
        <v>6808</v>
      </c>
      <c r="P3352" s="30" t="s">
        <v>6813</v>
      </c>
      <c r="Q3352" t="s">
        <v>619</v>
      </c>
      <c r="R3352" t="s">
        <v>917</v>
      </c>
      <c r="S3352">
        <v>37</v>
      </c>
      <c r="T3352" s="29" t="str">
        <f t="shared" si="147"/>
        <v>2021.091B.R.Weiservirinae.zip</v>
      </c>
      <c r="U3352" s="29" t="str">
        <f>HYPERLINK("https://ictv.global/taxonomy/taxondetails?taxnode_id=202312730","ictv.global=202312730")</f>
        <v>ictv.global=202312730</v>
      </c>
    </row>
    <row r="3353" spans="1:21">
      <c r="A3353">
        <v>3352</v>
      </c>
      <c r="B3353" s="30" t="s">
        <v>1587</v>
      </c>
      <c r="D3353" s="30" t="s">
        <v>1588</v>
      </c>
      <c r="F3353" s="30" t="s">
        <v>1591</v>
      </c>
      <c r="H3353" s="30" t="s">
        <v>1592</v>
      </c>
      <c r="M3353" s="30" t="s">
        <v>6764</v>
      </c>
      <c r="N3353" s="30" t="s">
        <v>6814</v>
      </c>
      <c r="P3353" s="30" t="s">
        <v>6815</v>
      </c>
      <c r="Q3353" t="s">
        <v>619</v>
      </c>
      <c r="R3353" t="s">
        <v>917</v>
      </c>
      <c r="S3353">
        <v>37</v>
      </c>
      <c r="T3353" s="29" t="str">
        <f t="shared" si="147"/>
        <v>2021.091B.R.Weiservirinae.zip</v>
      </c>
      <c r="U3353" s="29" t="str">
        <f>HYPERLINK("https://ictv.global/taxonomy/taxondetails?taxnode_id=202312711","ictv.global=202312711")</f>
        <v>ictv.global=202312711</v>
      </c>
    </row>
    <row r="3354" spans="1:21">
      <c r="A3354">
        <v>3353</v>
      </c>
      <c r="B3354" s="30" t="s">
        <v>1587</v>
      </c>
      <c r="D3354" s="30" t="s">
        <v>1588</v>
      </c>
      <c r="F3354" s="30" t="s">
        <v>1591</v>
      </c>
      <c r="H3354" s="30" t="s">
        <v>1592</v>
      </c>
      <c r="M3354" s="30" t="s">
        <v>6764</v>
      </c>
      <c r="N3354" s="30" t="s">
        <v>6814</v>
      </c>
      <c r="P3354" s="30" t="s">
        <v>6816</v>
      </c>
      <c r="Q3354" t="s">
        <v>619</v>
      </c>
      <c r="R3354" t="s">
        <v>917</v>
      </c>
      <c r="S3354">
        <v>37</v>
      </c>
      <c r="T3354" s="29" t="str">
        <f t="shared" si="147"/>
        <v>2021.091B.R.Weiservirinae.zip</v>
      </c>
      <c r="U3354" s="29" t="str">
        <f>HYPERLINK("https://ictv.global/taxonomy/taxondetails?taxnode_id=202312712","ictv.global=202312712")</f>
        <v>ictv.global=202312712</v>
      </c>
    </row>
    <row r="3355" spans="1:21">
      <c r="A3355">
        <v>3354</v>
      </c>
      <c r="B3355" s="30" t="s">
        <v>1587</v>
      </c>
      <c r="D3355" s="30" t="s">
        <v>1588</v>
      </c>
      <c r="F3355" s="30" t="s">
        <v>1591</v>
      </c>
      <c r="H3355" s="30" t="s">
        <v>1592</v>
      </c>
      <c r="M3355" s="30" t="s">
        <v>6764</v>
      </c>
      <c r="N3355" s="30" t="s">
        <v>6814</v>
      </c>
      <c r="P3355" s="30" t="s">
        <v>6817</v>
      </c>
      <c r="Q3355" t="s">
        <v>619</v>
      </c>
      <c r="R3355" t="s">
        <v>917</v>
      </c>
      <c r="S3355">
        <v>37</v>
      </c>
      <c r="T3355" s="29" t="str">
        <f t="shared" si="147"/>
        <v>2021.091B.R.Weiservirinae.zip</v>
      </c>
      <c r="U3355" s="29" t="str">
        <f>HYPERLINK("https://ictv.global/taxonomy/taxondetails?taxnode_id=202312710","ictv.global=202312710")</f>
        <v>ictv.global=202312710</v>
      </c>
    </row>
    <row r="3356" spans="1:21">
      <c r="A3356">
        <v>3355</v>
      </c>
      <c r="B3356" s="30" t="s">
        <v>1587</v>
      </c>
      <c r="D3356" s="30" t="s">
        <v>1588</v>
      </c>
      <c r="F3356" s="30" t="s">
        <v>1591</v>
      </c>
      <c r="H3356" s="30" t="s">
        <v>1592</v>
      </c>
      <c r="M3356" s="30" t="s">
        <v>6764</v>
      </c>
      <c r="N3356" s="30" t="s">
        <v>6814</v>
      </c>
      <c r="P3356" s="30" t="s">
        <v>6818</v>
      </c>
      <c r="Q3356" t="s">
        <v>619</v>
      </c>
      <c r="R3356" t="s">
        <v>918</v>
      </c>
      <c r="S3356">
        <v>37</v>
      </c>
      <c r="T3356" s="29" t="str">
        <f t="shared" si="147"/>
        <v>2021.091B.R.Weiservirinae.zip</v>
      </c>
      <c r="U3356" s="29" t="str">
        <f>HYPERLINK("https://ictv.global/taxonomy/taxondetails?taxnode_id=202301348","ictv.global=202301348")</f>
        <v>ictv.global=202301348</v>
      </c>
    </row>
    <row r="3357" spans="1:21">
      <c r="A3357">
        <v>3356</v>
      </c>
      <c r="B3357" s="30" t="s">
        <v>1587</v>
      </c>
      <c r="D3357" s="30" t="s">
        <v>1588</v>
      </c>
      <c r="F3357" s="30" t="s">
        <v>1591</v>
      </c>
      <c r="H3357" s="30" t="s">
        <v>1592</v>
      </c>
      <c r="M3357" s="30" t="s">
        <v>6764</v>
      </c>
      <c r="N3357" s="30" t="s">
        <v>6814</v>
      </c>
      <c r="P3357" s="30" t="s">
        <v>6819</v>
      </c>
      <c r="Q3357" t="s">
        <v>619</v>
      </c>
      <c r="R3357" t="s">
        <v>917</v>
      </c>
      <c r="S3357">
        <v>37</v>
      </c>
      <c r="T3357" s="29" t="str">
        <f t="shared" si="147"/>
        <v>2021.091B.R.Weiservirinae.zip</v>
      </c>
      <c r="U3357" s="29" t="str">
        <f>HYPERLINK("https://ictv.global/taxonomy/taxondetails?taxnode_id=202312713","ictv.global=202312713")</f>
        <v>ictv.global=202312713</v>
      </c>
    </row>
    <row r="3358" spans="1:21">
      <c r="A3358">
        <v>3357</v>
      </c>
      <c r="B3358" s="30" t="s">
        <v>1587</v>
      </c>
      <c r="D3358" s="30" t="s">
        <v>1588</v>
      </c>
      <c r="F3358" s="30" t="s">
        <v>1591</v>
      </c>
      <c r="H3358" s="30" t="s">
        <v>1592</v>
      </c>
      <c r="M3358" s="30" t="s">
        <v>6764</v>
      </c>
      <c r="N3358" s="30" t="s">
        <v>6814</v>
      </c>
      <c r="P3358" s="30" t="s">
        <v>6820</v>
      </c>
      <c r="Q3358" t="s">
        <v>619</v>
      </c>
      <c r="R3358" t="s">
        <v>917</v>
      </c>
      <c r="S3358">
        <v>37</v>
      </c>
      <c r="T3358" s="29" t="str">
        <f t="shared" si="147"/>
        <v>2021.091B.R.Weiservirinae.zip</v>
      </c>
      <c r="U3358" s="29" t="str">
        <f>HYPERLINK("https://ictv.global/taxonomy/taxondetails?taxnode_id=202312714","ictv.global=202312714")</f>
        <v>ictv.global=202312714</v>
      </c>
    </row>
    <row r="3359" spans="1:21">
      <c r="A3359">
        <v>3358</v>
      </c>
      <c r="B3359" s="30" t="s">
        <v>1587</v>
      </c>
      <c r="D3359" s="30" t="s">
        <v>1588</v>
      </c>
      <c r="F3359" s="30" t="s">
        <v>1591</v>
      </c>
      <c r="H3359" s="30" t="s">
        <v>1592</v>
      </c>
      <c r="M3359" s="30" t="s">
        <v>6764</v>
      </c>
      <c r="N3359" s="30" t="s">
        <v>6814</v>
      </c>
      <c r="P3359" s="30" t="s">
        <v>6821</v>
      </c>
      <c r="Q3359" t="s">
        <v>619</v>
      </c>
      <c r="R3359" t="s">
        <v>917</v>
      </c>
      <c r="S3359">
        <v>37</v>
      </c>
      <c r="T3359" s="29" t="str">
        <f t="shared" si="147"/>
        <v>2021.091B.R.Weiservirinae.zip</v>
      </c>
      <c r="U3359" s="29" t="str">
        <f>HYPERLINK("https://ictv.global/taxonomy/taxondetails?taxnode_id=202312715","ictv.global=202312715")</f>
        <v>ictv.global=202312715</v>
      </c>
    </row>
    <row r="3360" spans="1:21">
      <c r="A3360">
        <v>3359</v>
      </c>
      <c r="B3360" s="30" t="s">
        <v>1587</v>
      </c>
      <c r="D3360" s="30" t="s">
        <v>1588</v>
      </c>
      <c r="F3360" s="30" t="s">
        <v>1591</v>
      </c>
      <c r="H3360" s="30" t="s">
        <v>1592</v>
      </c>
      <c r="M3360" s="30" t="s">
        <v>6764</v>
      </c>
      <c r="N3360" s="30" t="s">
        <v>6814</v>
      </c>
      <c r="P3360" s="30" t="s">
        <v>6822</v>
      </c>
      <c r="Q3360" t="s">
        <v>619</v>
      </c>
      <c r="R3360" t="s">
        <v>917</v>
      </c>
      <c r="S3360">
        <v>37</v>
      </c>
      <c r="T3360" s="29" t="str">
        <f t="shared" si="147"/>
        <v>2021.091B.R.Weiservirinae.zip</v>
      </c>
      <c r="U3360" s="29" t="str">
        <f>HYPERLINK("https://ictv.global/taxonomy/taxondetails?taxnode_id=202312716","ictv.global=202312716")</f>
        <v>ictv.global=202312716</v>
      </c>
    </row>
    <row r="3361" spans="1:21">
      <c r="A3361">
        <v>3360</v>
      </c>
      <c r="B3361" s="30" t="s">
        <v>1587</v>
      </c>
      <c r="D3361" s="30" t="s">
        <v>1588</v>
      </c>
      <c r="F3361" s="30" t="s">
        <v>1591</v>
      </c>
      <c r="H3361" s="30" t="s">
        <v>1592</v>
      </c>
      <c r="M3361" s="30" t="s">
        <v>6764</v>
      </c>
      <c r="N3361" s="30" t="s">
        <v>6814</v>
      </c>
      <c r="P3361" s="30" t="s">
        <v>6823</v>
      </c>
      <c r="Q3361" t="s">
        <v>619</v>
      </c>
      <c r="R3361" t="s">
        <v>917</v>
      </c>
      <c r="S3361">
        <v>37</v>
      </c>
      <c r="T3361" s="29" t="str">
        <f t="shared" si="147"/>
        <v>2021.091B.R.Weiservirinae.zip</v>
      </c>
      <c r="U3361" s="29" t="str">
        <f>HYPERLINK("https://ictv.global/taxonomy/taxondetails?taxnode_id=202312717","ictv.global=202312717")</f>
        <v>ictv.global=202312717</v>
      </c>
    </row>
    <row r="3362" spans="1:21">
      <c r="A3362">
        <v>3361</v>
      </c>
      <c r="B3362" s="30" t="s">
        <v>1587</v>
      </c>
      <c r="D3362" s="30" t="s">
        <v>1588</v>
      </c>
      <c r="F3362" s="30" t="s">
        <v>1591</v>
      </c>
      <c r="H3362" s="30" t="s">
        <v>1592</v>
      </c>
      <c r="M3362" s="30" t="s">
        <v>6764</v>
      </c>
      <c r="N3362" s="30" t="s">
        <v>1559</v>
      </c>
      <c r="P3362" s="30" t="s">
        <v>704</v>
      </c>
      <c r="Q3362" t="s">
        <v>619</v>
      </c>
      <c r="R3362" t="s">
        <v>919</v>
      </c>
      <c r="S3362">
        <v>37</v>
      </c>
      <c r="T3362" s="29" t="str">
        <f>HYPERLINK("https://ictv.global/ictv/proposals/2021.001B.R.abolish_Caudovirales.zip","2021.001B.R.abolish_Caudovirales.zip;2021.091B.A.v1.Weiservirinae.zip")</f>
        <v>2021.001B.R.abolish_Caudovirales.zip;2021.091B.A.v1.Weiservirinae.zip</v>
      </c>
      <c r="U3362" s="29" t="str">
        <f>HYPERLINK("https://ictv.global/taxonomy/taxondetails?taxnode_id=202301351","ictv.global=202301351")</f>
        <v>ictv.global=202301351</v>
      </c>
    </row>
    <row r="3363" spans="1:21">
      <c r="A3363">
        <v>3362</v>
      </c>
      <c r="B3363" s="30" t="s">
        <v>1587</v>
      </c>
      <c r="D3363" s="30" t="s">
        <v>1588</v>
      </c>
      <c r="F3363" s="30" t="s">
        <v>1591</v>
      </c>
      <c r="H3363" s="30" t="s">
        <v>1592</v>
      </c>
      <c r="M3363" s="30" t="s">
        <v>6764</v>
      </c>
      <c r="N3363" s="30" t="s">
        <v>1559</v>
      </c>
      <c r="P3363" s="30" t="s">
        <v>6824</v>
      </c>
      <c r="Q3363" t="s">
        <v>619</v>
      </c>
      <c r="R3363" t="s">
        <v>917</v>
      </c>
      <c r="S3363">
        <v>37</v>
      </c>
      <c r="T3363" s="29" t="str">
        <f t="shared" ref="T3363:T3370" si="148">HYPERLINK("https://ictv.global/ictv/proposals/2021.091B.R.Weiservirinae.zip","2021.091B.R.Weiservirinae.zip")</f>
        <v>2021.091B.R.Weiservirinae.zip</v>
      </c>
      <c r="U3363" s="29" t="str">
        <f>HYPERLINK("https://ictv.global/taxonomy/taxondetails?taxnode_id=202312718","ictv.global=202312718")</f>
        <v>ictv.global=202312718</v>
      </c>
    </row>
    <row r="3364" spans="1:21">
      <c r="A3364">
        <v>3363</v>
      </c>
      <c r="B3364" s="30" t="s">
        <v>1587</v>
      </c>
      <c r="D3364" s="30" t="s">
        <v>1588</v>
      </c>
      <c r="F3364" s="30" t="s">
        <v>1591</v>
      </c>
      <c r="H3364" s="30" t="s">
        <v>1592</v>
      </c>
      <c r="M3364" s="30" t="s">
        <v>6764</v>
      </c>
      <c r="N3364" s="30" t="s">
        <v>1559</v>
      </c>
      <c r="P3364" s="30" t="s">
        <v>6825</v>
      </c>
      <c r="Q3364" t="s">
        <v>619</v>
      </c>
      <c r="R3364" t="s">
        <v>917</v>
      </c>
      <c r="S3364">
        <v>37</v>
      </c>
      <c r="T3364" s="29" t="str">
        <f t="shared" si="148"/>
        <v>2021.091B.R.Weiservirinae.zip</v>
      </c>
      <c r="U3364" s="29" t="str">
        <f>HYPERLINK("https://ictv.global/taxonomy/taxondetails?taxnode_id=202312719","ictv.global=202312719")</f>
        <v>ictv.global=202312719</v>
      </c>
    </row>
    <row r="3365" spans="1:21">
      <c r="A3365">
        <v>3364</v>
      </c>
      <c r="B3365" s="30" t="s">
        <v>1587</v>
      </c>
      <c r="D3365" s="30" t="s">
        <v>1588</v>
      </c>
      <c r="F3365" s="30" t="s">
        <v>1591</v>
      </c>
      <c r="H3365" s="30" t="s">
        <v>1592</v>
      </c>
      <c r="M3365" s="30" t="s">
        <v>6764</v>
      </c>
      <c r="N3365" s="30" t="s">
        <v>1559</v>
      </c>
      <c r="P3365" s="30" t="s">
        <v>6826</v>
      </c>
      <c r="Q3365" t="s">
        <v>619</v>
      </c>
      <c r="R3365" t="s">
        <v>917</v>
      </c>
      <c r="S3365">
        <v>37</v>
      </c>
      <c r="T3365" s="29" t="str">
        <f t="shared" si="148"/>
        <v>2021.091B.R.Weiservirinae.zip</v>
      </c>
      <c r="U3365" s="29" t="str">
        <f>HYPERLINK("https://ictv.global/taxonomy/taxondetails?taxnode_id=202312720","ictv.global=202312720")</f>
        <v>ictv.global=202312720</v>
      </c>
    </row>
    <row r="3366" spans="1:21">
      <c r="A3366">
        <v>3365</v>
      </c>
      <c r="B3366" s="30" t="s">
        <v>1587</v>
      </c>
      <c r="D3366" s="30" t="s">
        <v>1588</v>
      </c>
      <c r="F3366" s="30" t="s">
        <v>1591</v>
      </c>
      <c r="H3366" s="30" t="s">
        <v>1592</v>
      </c>
      <c r="M3366" s="30" t="s">
        <v>6764</v>
      </c>
      <c r="N3366" s="30" t="s">
        <v>6827</v>
      </c>
      <c r="P3366" s="30" t="s">
        <v>6828</v>
      </c>
      <c r="Q3366" t="s">
        <v>619</v>
      </c>
      <c r="R3366" t="s">
        <v>917</v>
      </c>
      <c r="S3366">
        <v>37</v>
      </c>
      <c r="T3366" s="29" t="str">
        <f t="shared" si="148"/>
        <v>2021.091B.R.Weiservirinae.zip</v>
      </c>
      <c r="U3366" s="29" t="str">
        <f>HYPERLINK("https://ictv.global/taxonomy/taxondetails?taxnode_id=202312723","ictv.global=202312723")</f>
        <v>ictv.global=202312723</v>
      </c>
    </row>
    <row r="3367" spans="1:21">
      <c r="A3367">
        <v>3366</v>
      </c>
      <c r="B3367" s="30" t="s">
        <v>1587</v>
      </c>
      <c r="D3367" s="30" t="s">
        <v>1588</v>
      </c>
      <c r="F3367" s="30" t="s">
        <v>1591</v>
      </c>
      <c r="H3367" s="30" t="s">
        <v>1592</v>
      </c>
      <c r="M3367" s="30" t="s">
        <v>6764</v>
      </c>
      <c r="N3367" s="30" t="s">
        <v>6827</v>
      </c>
      <c r="P3367" s="30" t="s">
        <v>6829</v>
      </c>
      <c r="Q3367" t="s">
        <v>619</v>
      </c>
      <c r="R3367" t="s">
        <v>917</v>
      </c>
      <c r="S3367">
        <v>37</v>
      </c>
      <c r="T3367" s="29" t="str">
        <f t="shared" si="148"/>
        <v>2021.091B.R.Weiservirinae.zip</v>
      </c>
      <c r="U3367" s="29" t="str">
        <f>HYPERLINK("https://ictv.global/taxonomy/taxondetails?taxnode_id=202312724","ictv.global=202312724")</f>
        <v>ictv.global=202312724</v>
      </c>
    </row>
    <row r="3368" spans="1:21">
      <c r="A3368">
        <v>3367</v>
      </c>
      <c r="B3368" s="30" t="s">
        <v>1587</v>
      </c>
      <c r="D3368" s="30" t="s">
        <v>1588</v>
      </c>
      <c r="F3368" s="30" t="s">
        <v>1591</v>
      </c>
      <c r="H3368" s="30" t="s">
        <v>1592</v>
      </c>
      <c r="M3368" s="30" t="s">
        <v>6764</v>
      </c>
      <c r="N3368" s="30" t="s">
        <v>6827</v>
      </c>
      <c r="P3368" s="30" t="s">
        <v>6830</v>
      </c>
      <c r="Q3368" t="s">
        <v>619</v>
      </c>
      <c r="R3368" t="s">
        <v>917</v>
      </c>
      <c r="S3368">
        <v>37</v>
      </c>
      <c r="T3368" s="29" t="str">
        <f t="shared" si="148"/>
        <v>2021.091B.R.Weiservirinae.zip</v>
      </c>
      <c r="U3368" s="29" t="str">
        <f>HYPERLINK("https://ictv.global/taxonomy/taxondetails?taxnode_id=202312725","ictv.global=202312725")</f>
        <v>ictv.global=202312725</v>
      </c>
    </row>
    <row r="3369" spans="1:21">
      <c r="A3369">
        <v>3368</v>
      </c>
      <c r="B3369" s="30" t="s">
        <v>1587</v>
      </c>
      <c r="D3369" s="30" t="s">
        <v>1588</v>
      </c>
      <c r="F3369" s="30" t="s">
        <v>1591</v>
      </c>
      <c r="H3369" s="30" t="s">
        <v>1592</v>
      </c>
      <c r="M3369" s="30" t="s">
        <v>6764</v>
      </c>
      <c r="N3369" s="30" t="s">
        <v>6827</v>
      </c>
      <c r="P3369" s="30" t="s">
        <v>6831</v>
      </c>
      <c r="Q3369" t="s">
        <v>619</v>
      </c>
      <c r="R3369" t="s">
        <v>917</v>
      </c>
      <c r="S3369">
        <v>37</v>
      </c>
      <c r="T3369" s="29" t="str">
        <f t="shared" si="148"/>
        <v>2021.091B.R.Weiservirinae.zip</v>
      </c>
      <c r="U3369" s="29" t="str">
        <f>HYPERLINK("https://ictv.global/taxonomy/taxondetails?taxnode_id=202312722","ictv.global=202312722")</f>
        <v>ictv.global=202312722</v>
      </c>
    </row>
    <row r="3370" spans="1:21">
      <c r="A3370">
        <v>3369</v>
      </c>
      <c r="B3370" s="30" t="s">
        <v>1587</v>
      </c>
      <c r="D3370" s="30" t="s">
        <v>1588</v>
      </c>
      <c r="F3370" s="30" t="s">
        <v>1591</v>
      </c>
      <c r="H3370" s="30" t="s">
        <v>1592</v>
      </c>
      <c r="M3370" s="30" t="s">
        <v>6764</v>
      </c>
      <c r="N3370" s="30" t="s">
        <v>6827</v>
      </c>
      <c r="P3370" s="30" t="s">
        <v>6832</v>
      </c>
      <c r="Q3370" t="s">
        <v>619</v>
      </c>
      <c r="R3370" t="s">
        <v>917</v>
      </c>
      <c r="S3370">
        <v>37</v>
      </c>
      <c r="T3370" s="29" t="str">
        <f t="shared" si="148"/>
        <v>2021.091B.R.Weiservirinae.zip</v>
      </c>
      <c r="U3370" s="29" t="str">
        <f>HYPERLINK("https://ictv.global/taxonomy/taxondetails?taxnode_id=202312726","ictv.global=202312726")</f>
        <v>ictv.global=202312726</v>
      </c>
    </row>
    <row r="3371" spans="1:21">
      <c r="A3371">
        <v>3370</v>
      </c>
      <c r="B3371" s="30" t="s">
        <v>1587</v>
      </c>
      <c r="D3371" s="30" t="s">
        <v>1588</v>
      </c>
      <c r="F3371" s="30" t="s">
        <v>1591</v>
      </c>
      <c r="H3371" s="30" t="s">
        <v>1592</v>
      </c>
      <c r="N3371" s="30" t="s">
        <v>6833</v>
      </c>
      <c r="P3371" s="30" t="s">
        <v>6834</v>
      </c>
      <c r="Q3371" t="s">
        <v>619</v>
      </c>
      <c r="R3371" t="s">
        <v>917</v>
      </c>
      <c r="S3371">
        <v>38</v>
      </c>
      <c r="T3371" s="29" t="str">
        <f>HYPERLINK("https://ictv.global/ictv/proposals/2022.058B.Caudoviricetes_3ng.zip","2022.058B.Caudoviricetes_3ng.zip")</f>
        <v>2022.058B.Caudoviricetes_3ng.zip</v>
      </c>
      <c r="U3371" s="29" t="str">
        <f>HYPERLINK("https://ictv.global/taxonomy/taxondetails?taxnode_id=202314701","ictv.global=202314701")</f>
        <v>ictv.global=202314701</v>
      </c>
    </row>
    <row r="3372" spans="1:21">
      <c r="A3372">
        <v>3371</v>
      </c>
      <c r="B3372" s="30" t="s">
        <v>1587</v>
      </c>
      <c r="D3372" s="30" t="s">
        <v>1588</v>
      </c>
      <c r="F3372" s="30" t="s">
        <v>1591</v>
      </c>
      <c r="H3372" s="30" t="s">
        <v>1592</v>
      </c>
      <c r="N3372" s="30" t="s">
        <v>1885</v>
      </c>
      <c r="P3372" s="30" t="s">
        <v>6835</v>
      </c>
      <c r="Q3372" t="s">
        <v>619</v>
      </c>
      <c r="R3372" t="s">
        <v>918</v>
      </c>
      <c r="S3372">
        <v>37</v>
      </c>
      <c r="T3372" s="29" t="str">
        <f>HYPERLINK("https://ictv.global/ictv/proposals/2021.010B.R.Binomial_names.zip","2021.010B.R.Binomial_names.zip")</f>
        <v>2021.010B.R.Binomial_names.zip</v>
      </c>
      <c r="U3372" s="29" t="str">
        <f>HYPERLINK("https://ictv.global/taxonomy/taxondetails?taxnode_id=202307712","ictv.global=202307712")</f>
        <v>ictv.global=202307712</v>
      </c>
    </row>
    <row r="3373" spans="1:21">
      <c r="A3373">
        <v>3372</v>
      </c>
      <c r="B3373" s="30" t="s">
        <v>1587</v>
      </c>
      <c r="D3373" s="30" t="s">
        <v>1588</v>
      </c>
      <c r="F3373" s="30" t="s">
        <v>1591</v>
      </c>
      <c r="H3373" s="30" t="s">
        <v>1592</v>
      </c>
      <c r="N3373" s="30" t="s">
        <v>848</v>
      </c>
      <c r="P3373" s="30" t="s">
        <v>6836</v>
      </c>
      <c r="Q3373" t="s">
        <v>619</v>
      </c>
      <c r="R3373" t="s">
        <v>918</v>
      </c>
      <c r="S3373">
        <v>37</v>
      </c>
      <c r="T3373" s="29" t="str">
        <f>HYPERLINK("https://ictv.global/ictv/proposals/2021.010B.R.Binomial_names.zip","2021.010B.R.Binomial_names.zip")</f>
        <v>2021.010B.R.Binomial_names.zip</v>
      </c>
      <c r="U3373" s="29" t="str">
        <f>HYPERLINK("https://ictv.global/taxonomy/taxondetails?taxnode_id=202300364","ictv.global=202300364")</f>
        <v>ictv.global=202300364</v>
      </c>
    </row>
    <row r="3374" spans="1:21">
      <c r="A3374">
        <v>3373</v>
      </c>
      <c r="B3374" s="30" t="s">
        <v>1587</v>
      </c>
      <c r="D3374" s="30" t="s">
        <v>1588</v>
      </c>
      <c r="F3374" s="30" t="s">
        <v>1591</v>
      </c>
      <c r="H3374" s="30" t="s">
        <v>1592</v>
      </c>
      <c r="N3374" s="30" t="s">
        <v>848</v>
      </c>
      <c r="P3374" s="30" t="s">
        <v>6837</v>
      </c>
      <c r="Q3374" t="s">
        <v>619</v>
      </c>
      <c r="R3374" t="s">
        <v>918</v>
      </c>
      <c r="S3374">
        <v>37</v>
      </c>
      <c r="T3374" s="29" t="str">
        <f>HYPERLINK("https://ictv.global/ictv/proposals/2021.010B.R.Binomial_names.zip","2021.010B.R.Binomial_names.zip")</f>
        <v>2021.010B.R.Binomial_names.zip</v>
      </c>
      <c r="U3374" s="29" t="str">
        <f>HYPERLINK("https://ictv.global/taxonomy/taxondetails?taxnode_id=202300365","ictv.global=202300365")</f>
        <v>ictv.global=202300365</v>
      </c>
    </row>
    <row r="3375" spans="1:21">
      <c r="A3375">
        <v>3374</v>
      </c>
      <c r="B3375" s="30" t="s">
        <v>1587</v>
      </c>
      <c r="D3375" s="30" t="s">
        <v>1588</v>
      </c>
      <c r="F3375" s="30" t="s">
        <v>1591</v>
      </c>
      <c r="H3375" s="30" t="s">
        <v>1592</v>
      </c>
      <c r="N3375" s="30" t="s">
        <v>6838</v>
      </c>
      <c r="P3375" s="30" t="s">
        <v>6839</v>
      </c>
      <c r="Q3375" t="s">
        <v>619</v>
      </c>
      <c r="R3375" t="s">
        <v>917</v>
      </c>
      <c r="S3375">
        <v>38</v>
      </c>
      <c r="T3375" s="29" t="str">
        <f>HYPERLINK("https://ictv.global/ictv/proposals/2022.091B.Caudoviricetes_3ng_actinophages.zip","2022.091B.Caudoviricetes_3ng_actinophages.zip")</f>
        <v>2022.091B.Caudoviricetes_3ng_actinophages.zip</v>
      </c>
      <c r="U3375" s="29" t="str">
        <f>HYPERLINK("https://ictv.global/taxonomy/taxondetails?taxnode_id=202314964","ictv.global=202314964")</f>
        <v>ictv.global=202314964</v>
      </c>
    </row>
    <row r="3376" spans="1:21">
      <c r="A3376">
        <v>3375</v>
      </c>
      <c r="B3376" s="30" t="s">
        <v>1587</v>
      </c>
      <c r="D3376" s="30" t="s">
        <v>1588</v>
      </c>
      <c r="F3376" s="30" t="s">
        <v>1591</v>
      </c>
      <c r="H3376" s="30" t="s">
        <v>1592</v>
      </c>
      <c r="N3376" s="30" t="s">
        <v>2408</v>
      </c>
      <c r="P3376" s="30" t="s">
        <v>6840</v>
      </c>
      <c r="Q3376" t="s">
        <v>619</v>
      </c>
      <c r="R3376" t="s">
        <v>918</v>
      </c>
      <c r="S3376">
        <v>37</v>
      </c>
      <c r="T3376" s="29" t="str">
        <f>HYPERLINK("https://ictv.global/ictv/proposals/2021.010B.R.Binomial_names.zip","2021.010B.R.Binomial_names.zip")</f>
        <v>2021.010B.R.Binomial_names.zip</v>
      </c>
      <c r="U3376" s="29" t="str">
        <f>HYPERLINK("https://ictv.global/taxonomy/taxondetails?taxnode_id=202309142","ictv.global=202309142")</f>
        <v>ictv.global=202309142</v>
      </c>
    </row>
    <row r="3377" spans="1:21">
      <c r="A3377">
        <v>3376</v>
      </c>
      <c r="B3377" s="30" t="s">
        <v>1587</v>
      </c>
      <c r="D3377" s="30" t="s">
        <v>1588</v>
      </c>
      <c r="F3377" s="30" t="s">
        <v>1591</v>
      </c>
      <c r="H3377" s="30" t="s">
        <v>1592</v>
      </c>
      <c r="N3377" s="30" t="s">
        <v>2409</v>
      </c>
      <c r="P3377" s="30" t="s">
        <v>6847</v>
      </c>
      <c r="Q3377" t="s">
        <v>619</v>
      </c>
      <c r="R3377" t="s">
        <v>918</v>
      </c>
      <c r="S3377">
        <v>37</v>
      </c>
      <c r="T3377" s="29" t="str">
        <f>HYPERLINK("https://ictv.global/ictv/proposals/2021.010B.R.Binomial_names.zip","2021.010B.R.Binomial_names.zip")</f>
        <v>2021.010B.R.Binomial_names.zip</v>
      </c>
      <c r="U3377" s="29" t="str">
        <f>HYPERLINK("https://ictv.global/taxonomy/taxondetails?taxnode_id=202309360","ictv.global=202309360")</f>
        <v>ictv.global=202309360</v>
      </c>
    </row>
    <row r="3378" spans="1:21">
      <c r="A3378">
        <v>3377</v>
      </c>
      <c r="B3378" s="30" t="s">
        <v>1587</v>
      </c>
      <c r="D3378" s="30" t="s">
        <v>1588</v>
      </c>
      <c r="F3378" s="30" t="s">
        <v>1591</v>
      </c>
      <c r="H3378" s="30" t="s">
        <v>1592</v>
      </c>
      <c r="N3378" s="30" t="s">
        <v>2409</v>
      </c>
      <c r="P3378" s="30" t="s">
        <v>6848</v>
      </c>
      <c r="Q3378" t="s">
        <v>619</v>
      </c>
      <c r="R3378" t="s">
        <v>918</v>
      </c>
      <c r="S3378">
        <v>37</v>
      </c>
      <c r="T3378" s="29" t="str">
        <f>HYPERLINK("https://ictv.global/ictv/proposals/2021.010B.R.Binomial_names.zip","2021.010B.R.Binomial_names.zip")</f>
        <v>2021.010B.R.Binomial_names.zip</v>
      </c>
      <c r="U3378" s="29" t="str">
        <f>HYPERLINK("https://ictv.global/taxonomy/taxondetails?taxnode_id=202309361","ictv.global=202309361")</f>
        <v>ictv.global=202309361</v>
      </c>
    </row>
    <row r="3379" spans="1:21">
      <c r="A3379">
        <v>3378</v>
      </c>
      <c r="B3379" s="30" t="s">
        <v>1587</v>
      </c>
      <c r="D3379" s="30" t="s">
        <v>1588</v>
      </c>
      <c r="F3379" s="30" t="s">
        <v>1591</v>
      </c>
      <c r="H3379" s="30" t="s">
        <v>1592</v>
      </c>
      <c r="N3379" s="30" t="s">
        <v>12503</v>
      </c>
      <c r="P3379" s="30" t="s">
        <v>12504</v>
      </c>
      <c r="Q3379" t="s">
        <v>619</v>
      </c>
      <c r="R3379" t="s">
        <v>917</v>
      </c>
      <c r="S3379">
        <v>39</v>
      </c>
      <c r="T3379" s="29" t="str">
        <f>HYPERLINK("https://ictv.global/ictv/proposals/2023.004B.Ahotrevirus_ng.zip","2023.004B.Ahotrevirus_ng.zip")</f>
        <v>2023.004B.Ahotrevirus_ng.zip</v>
      </c>
      <c r="U3379" s="29" t="str">
        <f>HYPERLINK("https://ictv.global/taxonomy/taxondetails?taxnode_id=202317786","ictv.global=202317786")</f>
        <v>ictv.global=202317786</v>
      </c>
    </row>
    <row r="3380" spans="1:21">
      <c r="A3380">
        <v>3379</v>
      </c>
      <c r="B3380" s="30" t="s">
        <v>1587</v>
      </c>
      <c r="D3380" s="30" t="s">
        <v>1588</v>
      </c>
      <c r="F3380" s="30" t="s">
        <v>1591</v>
      </c>
      <c r="H3380" s="30" t="s">
        <v>1592</v>
      </c>
      <c r="N3380" s="30" t="s">
        <v>6849</v>
      </c>
      <c r="P3380" s="30" t="s">
        <v>6850</v>
      </c>
      <c r="Q3380" t="s">
        <v>619</v>
      </c>
      <c r="R3380" t="s">
        <v>917</v>
      </c>
      <c r="S3380">
        <v>37</v>
      </c>
      <c r="T3380" s="29" t="str">
        <f>HYPERLINK("https://ictv.global/ictv/proposals/2021.078B.R.Siphoviridae_new_genera.zip","2021.078B.R.Siphoviridae_new_genera.zip")</f>
        <v>2021.078B.R.Siphoviridae_new_genera.zip</v>
      </c>
      <c r="U3380" s="29" t="str">
        <f>HYPERLINK("https://ictv.global/taxonomy/taxondetails?taxnode_id=202313631","ictv.global=202313631")</f>
        <v>ictv.global=202313631</v>
      </c>
    </row>
    <row r="3381" spans="1:21">
      <c r="A3381">
        <v>3380</v>
      </c>
      <c r="B3381" s="30" t="s">
        <v>1587</v>
      </c>
      <c r="D3381" s="30" t="s">
        <v>1588</v>
      </c>
      <c r="F3381" s="30" t="s">
        <v>1591</v>
      </c>
      <c r="H3381" s="30" t="s">
        <v>1592</v>
      </c>
      <c r="N3381" s="30" t="s">
        <v>2410</v>
      </c>
      <c r="P3381" s="30" t="s">
        <v>6851</v>
      </c>
      <c r="Q3381" t="s">
        <v>619</v>
      </c>
      <c r="R3381" t="s">
        <v>918</v>
      </c>
      <c r="S3381">
        <v>37</v>
      </c>
      <c r="T3381" s="29" t="str">
        <f t="shared" ref="T3381:T3386" si="149">HYPERLINK("https://ictv.global/ictv/proposals/2021.010B.R.Binomial_names.zip","2021.010B.R.Binomial_names.zip")</f>
        <v>2021.010B.R.Binomial_names.zip</v>
      </c>
      <c r="U3381" s="29" t="str">
        <f>HYPERLINK("https://ictv.global/taxonomy/taxondetails?taxnode_id=202309159","ictv.global=202309159")</f>
        <v>ictv.global=202309159</v>
      </c>
    </row>
    <row r="3382" spans="1:21">
      <c r="A3382">
        <v>3381</v>
      </c>
      <c r="B3382" s="30" t="s">
        <v>1587</v>
      </c>
      <c r="D3382" s="30" t="s">
        <v>1588</v>
      </c>
      <c r="F3382" s="30" t="s">
        <v>1591</v>
      </c>
      <c r="H3382" s="30" t="s">
        <v>1592</v>
      </c>
      <c r="N3382" s="30" t="s">
        <v>1346</v>
      </c>
      <c r="P3382" s="30" t="s">
        <v>6852</v>
      </c>
      <c r="Q3382" t="s">
        <v>619</v>
      </c>
      <c r="R3382" t="s">
        <v>918</v>
      </c>
      <c r="S3382">
        <v>37</v>
      </c>
      <c r="T3382" s="29" t="str">
        <f t="shared" si="149"/>
        <v>2021.010B.R.Binomial_names.zip</v>
      </c>
      <c r="U3382" s="29" t="str">
        <f>HYPERLINK("https://ictv.global/taxonomy/taxondetails?taxnode_id=202306654","ictv.global=202306654")</f>
        <v>ictv.global=202306654</v>
      </c>
    </row>
    <row r="3383" spans="1:21">
      <c r="A3383">
        <v>3382</v>
      </c>
      <c r="B3383" s="30" t="s">
        <v>1587</v>
      </c>
      <c r="D3383" s="30" t="s">
        <v>1588</v>
      </c>
      <c r="F3383" s="30" t="s">
        <v>1591</v>
      </c>
      <c r="H3383" s="30" t="s">
        <v>1592</v>
      </c>
      <c r="N3383" s="30" t="s">
        <v>1346</v>
      </c>
      <c r="P3383" s="30" t="s">
        <v>6853</v>
      </c>
      <c r="Q3383" t="s">
        <v>619</v>
      </c>
      <c r="R3383" t="s">
        <v>918</v>
      </c>
      <c r="S3383">
        <v>37</v>
      </c>
      <c r="T3383" s="29" t="str">
        <f t="shared" si="149"/>
        <v>2021.010B.R.Binomial_names.zip</v>
      </c>
      <c r="U3383" s="29" t="str">
        <f>HYPERLINK("https://ictv.global/taxonomy/taxondetails?taxnode_id=202306655","ictv.global=202306655")</f>
        <v>ictv.global=202306655</v>
      </c>
    </row>
    <row r="3384" spans="1:21">
      <c r="A3384">
        <v>3383</v>
      </c>
      <c r="B3384" s="30" t="s">
        <v>1587</v>
      </c>
      <c r="D3384" s="30" t="s">
        <v>1588</v>
      </c>
      <c r="F3384" s="30" t="s">
        <v>1591</v>
      </c>
      <c r="H3384" s="30" t="s">
        <v>1592</v>
      </c>
      <c r="N3384" s="30" t="s">
        <v>2411</v>
      </c>
      <c r="P3384" s="30" t="s">
        <v>6854</v>
      </c>
      <c r="Q3384" t="s">
        <v>619</v>
      </c>
      <c r="R3384" t="s">
        <v>918</v>
      </c>
      <c r="S3384">
        <v>37</v>
      </c>
      <c r="T3384" s="29" t="str">
        <f t="shared" si="149"/>
        <v>2021.010B.R.Binomial_names.zip</v>
      </c>
      <c r="U3384" s="29" t="str">
        <f>HYPERLINK("https://ictv.global/taxonomy/taxondetails?taxnode_id=202309353","ictv.global=202309353")</f>
        <v>ictv.global=202309353</v>
      </c>
    </row>
    <row r="3385" spans="1:21">
      <c r="A3385">
        <v>3384</v>
      </c>
      <c r="B3385" s="30" t="s">
        <v>1587</v>
      </c>
      <c r="D3385" s="30" t="s">
        <v>1588</v>
      </c>
      <c r="F3385" s="30" t="s">
        <v>1591</v>
      </c>
      <c r="H3385" s="30" t="s">
        <v>1592</v>
      </c>
      <c r="N3385" s="30" t="s">
        <v>1801</v>
      </c>
      <c r="P3385" s="30" t="s">
        <v>6855</v>
      </c>
      <c r="Q3385" t="s">
        <v>619</v>
      </c>
      <c r="R3385" t="s">
        <v>918</v>
      </c>
      <c r="S3385">
        <v>37</v>
      </c>
      <c r="T3385" s="29" t="str">
        <f t="shared" si="149"/>
        <v>2021.010B.R.Binomial_names.zip</v>
      </c>
      <c r="U3385" s="29" t="str">
        <f>HYPERLINK("https://ictv.global/taxonomy/taxondetails?taxnode_id=202307921","ictv.global=202307921")</f>
        <v>ictv.global=202307921</v>
      </c>
    </row>
    <row r="3386" spans="1:21">
      <c r="A3386">
        <v>3385</v>
      </c>
      <c r="B3386" s="30" t="s">
        <v>1587</v>
      </c>
      <c r="D3386" s="30" t="s">
        <v>1588</v>
      </c>
      <c r="F3386" s="30" t="s">
        <v>1591</v>
      </c>
      <c r="H3386" s="30" t="s">
        <v>1592</v>
      </c>
      <c r="N3386" s="30" t="s">
        <v>1801</v>
      </c>
      <c r="P3386" s="30" t="s">
        <v>6856</v>
      </c>
      <c r="Q3386" t="s">
        <v>619</v>
      </c>
      <c r="R3386" t="s">
        <v>918</v>
      </c>
      <c r="S3386">
        <v>37</v>
      </c>
      <c r="T3386" s="29" t="str">
        <f t="shared" si="149"/>
        <v>2021.010B.R.Binomial_names.zip</v>
      </c>
      <c r="U3386" s="29" t="str">
        <f>HYPERLINK("https://ictv.global/taxonomy/taxondetails?taxnode_id=202307920","ictv.global=202307920")</f>
        <v>ictv.global=202307920</v>
      </c>
    </row>
    <row r="3387" spans="1:21">
      <c r="A3387">
        <v>3386</v>
      </c>
      <c r="B3387" s="30" t="s">
        <v>1587</v>
      </c>
      <c r="D3387" s="30" t="s">
        <v>1588</v>
      </c>
      <c r="F3387" s="30" t="s">
        <v>1591</v>
      </c>
      <c r="H3387" s="30" t="s">
        <v>1592</v>
      </c>
      <c r="N3387" s="30" t="s">
        <v>1801</v>
      </c>
      <c r="P3387" s="30" t="s">
        <v>6857</v>
      </c>
      <c r="Q3387" t="s">
        <v>619</v>
      </c>
      <c r="R3387" t="s">
        <v>917</v>
      </c>
      <c r="S3387">
        <v>38</v>
      </c>
      <c r="T3387" s="29" t="str">
        <f t="shared" ref="T3387:T3396" si="150">HYPERLINK("https://ictv.global/ictv/proposals/2022.004B.Alexandravirus_10nsp.zip","2022.004B.Alexandravirus_10nsp.zip")</f>
        <v>2022.004B.Alexandravirus_10nsp.zip</v>
      </c>
      <c r="U3387" s="29" t="str">
        <f>HYPERLINK("https://ictv.global/taxonomy/taxondetails?taxnode_id=202314464","ictv.global=202314464")</f>
        <v>ictv.global=202314464</v>
      </c>
    </row>
    <row r="3388" spans="1:21">
      <c r="A3388">
        <v>3387</v>
      </c>
      <c r="B3388" s="30" t="s">
        <v>1587</v>
      </c>
      <c r="D3388" s="30" t="s">
        <v>1588</v>
      </c>
      <c r="F3388" s="30" t="s">
        <v>1591</v>
      </c>
      <c r="H3388" s="30" t="s">
        <v>1592</v>
      </c>
      <c r="N3388" s="30" t="s">
        <v>1801</v>
      </c>
      <c r="P3388" s="30" t="s">
        <v>6858</v>
      </c>
      <c r="Q3388" t="s">
        <v>619</v>
      </c>
      <c r="R3388" t="s">
        <v>917</v>
      </c>
      <c r="S3388">
        <v>38</v>
      </c>
      <c r="T3388" s="29" t="str">
        <f t="shared" si="150"/>
        <v>2022.004B.Alexandravirus_10nsp.zip</v>
      </c>
      <c r="U3388" s="29" t="str">
        <f>HYPERLINK("https://ictv.global/taxonomy/taxondetails?taxnode_id=202314459","ictv.global=202314459")</f>
        <v>ictv.global=202314459</v>
      </c>
    </row>
    <row r="3389" spans="1:21">
      <c r="A3389">
        <v>3388</v>
      </c>
      <c r="B3389" s="30" t="s">
        <v>1587</v>
      </c>
      <c r="D3389" s="30" t="s">
        <v>1588</v>
      </c>
      <c r="F3389" s="30" t="s">
        <v>1591</v>
      </c>
      <c r="H3389" s="30" t="s">
        <v>1592</v>
      </c>
      <c r="N3389" s="30" t="s">
        <v>1801</v>
      </c>
      <c r="P3389" s="30" t="s">
        <v>6859</v>
      </c>
      <c r="Q3389" t="s">
        <v>619</v>
      </c>
      <c r="R3389" t="s">
        <v>917</v>
      </c>
      <c r="S3389">
        <v>38</v>
      </c>
      <c r="T3389" s="29" t="str">
        <f t="shared" si="150"/>
        <v>2022.004B.Alexandravirus_10nsp.zip</v>
      </c>
      <c r="U3389" s="29" t="str">
        <f>HYPERLINK("https://ictv.global/taxonomy/taxondetails?taxnode_id=202314461","ictv.global=202314461")</f>
        <v>ictv.global=202314461</v>
      </c>
    </row>
    <row r="3390" spans="1:21">
      <c r="A3390">
        <v>3389</v>
      </c>
      <c r="B3390" s="30" t="s">
        <v>1587</v>
      </c>
      <c r="D3390" s="30" t="s">
        <v>1588</v>
      </c>
      <c r="F3390" s="30" t="s">
        <v>1591</v>
      </c>
      <c r="H3390" s="30" t="s">
        <v>1592</v>
      </c>
      <c r="N3390" s="30" t="s">
        <v>1801</v>
      </c>
      <c r="P3390" s="30" t="s">
        <v>6860</v>
      </c>
      <c r="Q3390" t="s">
        <v>619</v>
      </c>
      <c r="R3390" t="s">
        <v>917</v>
      </c>
      <c r="S3390">
        <v>38</v>
      </c>
      <c r="T3390" s="29" t="str">
        <f t="shared" si="150"/>
        <v>2022.004B.Alexandravirus_10nsp.zip</v>
      </c>
      <c r="U3390" s="29" t="str">
        <f>HYPERLINK("https://ictv.global/taxonomy/taxondetails?taxnode_id=202314457","ictv.global=202314457")</f>
        <v>ictv.global=202314457</v>
      </c>
    </row>
    <row r="3391" spans="1:21">
      <c r="A3391">
        <v>3390</v>
      </c>
      <c r="B3391" s="30" t="s">
        <v>1587</v>
      </c>
      <c r="D3391" s="30" t="s">
        <v>1588</v>
      </c>
      <c r="F3391" s="30" t="s">
        <v>1591</v>
      </c>
      <c r="H3391" s="30" t="s">
        <v>1592</v>
      </c>
      <c r="N3391" s="30" t="s">
        <v>1801</v>
      </c>
      <c r="P3391" s="30" t="s">
        <v>6861</v>
      </c>
      <c r="Q3391" t="s">
        <v>619</v>
      </c>
      <c r="R3391" t="s">
        <v>917</v>
      </c>
      <c r="S3391">
        <v>38</v>
      </c>
      <c r="T3391" s="29" t="str">
        <f t="shared" si="150"/>
        <v>2022.004B.Alexandravirus_10nsp.zip</v>
      </c>
      <c r="U3391" s="29" t="str">
        <f>HYPERLINK("https://ictv.global/taxonomy/taxondetails?taxnode_id=202314465","ictv.global=202314465")</f>
        <v>ictv.global=202314465</v>
      </c>
    </row>
    <row r="3392" spans="1:21">
      <c r="A3392">
        <v>3391</v>
      </c>
      <c r="B3392" s="30" t="s">
        <v>1587</v>
      </c>
      <c r="D3392" s="30" t="s">
        <v>1588</v>
      </c>
      <c r="F3392" s="30" t="s">
        <v>1591</v>
      </c>
      <c r="H3392" s="30" t="s">
        <v>1592</v>
      </c>
      <c r="N3392" s="30" t="s">
        <v>1801</v>
      </c>
      <c r="P3392" s="30" t="s">
        <v>6862</v>
      </c>
      <c r="Q3392" t="s">
        <v>619</v>
      </c>
      <c r="R3392" t="s">
        <v>917</v>
      </c>
      <c r="S3392">
        <v>38</v>
      </c>
      <c r="T3392" s="29" t="str">
        <f t="shared" si="150"/>
        <v>2022.004B.Alexandravirus_10nsp.zip</v>
      </c>
      <c r="U3392" s="29" t="str">
        <f>HYPERLINK("https://ictv.global/taxonomy/taxondetails?taxnode_id=202314456","ictv.global=202314456")</f>
        <v>ictv.global=202314456</v>
      </c>
    </row>
    <row r="3393" spans="1:21">
      <c r="A3393">
        <v>3392</v>
      </c>
      <c r="B3393" s="30" t="s">
        <v>1587</v>
      </c>
      <c r="D3393" s="30" t="s">
        <v>1588</v>
      </c>
      <c r="F3393" s="30" t="s">
        <v>1591</v>
      </c>
      <c r="H3393" s="30" t="s">
        <v>1592</v>
      </c>
      <c r="N3393" s="30" t="s">
        <v>1801</v>
      </c>
      <c r="P3393" s="30" t="s">
        <v>6863</v>
      </c>
      <c r="Q3393" t="s">
        <v>619</v>
      </c>
      <c r="R3393" t="s">
        <v>917</v>
      </c>
      <c r="S3393">
        <v>38</v>
      </c>
      <c r="T3393" s="29" t="str">
        <f t="shared" si="150"/>
        <v>2022.004B.Alexandravirus_10nsp.zip</v>
      </c>
      <c r="U3393" s="29" t="str">
        <f>HYPERLINK("https://ictv.global/taxonomy/taxondetails?taxnode_id=202314462","ictv.global=202314462")</f>
        <v>ictv.global=202314462</v>
      </c>
    </row>
    <row r="3394" spans="1:21">
      <c r="A3394">
        <v>3393</v>
      </c>
      <c r="B3394" s="30" t="s">
        <v>1587</v>
      </c>
      <c r="D3394" s="30" t="s">
        <v>1588</v>
      </c>
      <c r="F3394" s="30" t="s">
        <v>1591</v>
      </c>
      <c r="H3394" s="30" t="s">
        <v>1592</v>
      </c>
      <c r="N3394" s="30" t="s">
        <v>1801</v>
      </c>
      <c r="P3394" s="30" t="s">
        <v>6864</v>
      </c>
      <c r="Q3394" t="s">
        <v>619</v>
      </c>
      <c r="R3394" t="s">
        <v>917</v>
      </c>
      <c r="S3394">
        <v>38</v>
      </c>
      <c r="T3394" s="29" t="str">
        <f t="shared" si="150"/>
        <v>2022.004B.Alexandravirus_10nsp.zip</v>
      </c>
      <c r="U3394" s="29" t="str">
        <f>HYPERLINK("https://ictv.global/taxonomy/taxondetails?taxnode_id=202314460","ictv.global=202314460")</f>
        <v>ictv.global=202314460</v>
      </c>
    </row>
    <row r="3395" spans="1:21">
      <c r="A3395">
        <v>3394</v>
      </c>
      <c r="B3395" s="30" t="s">
        <v>1587</v>
      </c>
      <c r="D3395" s="30" t="s">
        <v>1588</v>
      </c>
      <c r="F3395" s="30" t="s">
        <v>1591</v>
      </c>
      <c r="H3395" s="30" t="s">
        <v>1592</v>
      </c>
      <c r="N3395" s="30" t="s">
        <v>1801</v>
      </c>
      <c r="P3395" s="30" t="s">
        <v>6865</v>
      </c>
      <c r="Q3395" t="s">
        <v>619</v>
      </c>
      <c r="R3395" t="s">
        <v>917</v>
      </c>
      <c r="S3395">
        <v>38</v>
      </c>
      <c r="T3395" s="29" t="str">
        <f t="shared" si="150"/>
        <v>2022.004B.Alexandravirus_10nsp.zip</v>
      </c>
      <c r="U3395" s="29" t="str">
        <f>HYPERLINK("https://ictv.global/taxonomy/taxondetails?taxnode_id=202314463","ictv.global=202314463")</f>
        <v>ictv.global=202314463</v>
      </c>
    </row>
    <row r="3396" spans="1:21">
      <c r="A3396">
        <v>3395</v>
      </c>
      <c r="B3396" s="30" t="s">
        <v>1587</v>
      </c>
      <c r="D3396" s="30" t="s">
        <v>1588</v>
      </c>
      <c r="F3396" s="30" t="s">
        <v>1591</v>
      </c>
      <c r="H3396" s="30" t="s">
        <v>1592</v>
      </c>
      <c r="N3396" s="30" t="s">
        <v>1801</v>
      </c>
      <c r="P3396" s="30" t="s">
        <v>6866</v>
      </c>
      <c r="Q3396" t="s">
        <v>619</v>
      </c>
      <c r="R3396" t="s">
        <v>917</v>
      </c>
      <c r="S3396">
        <v>38</v>
      </c>
      <c r="T3396" s="29" t="str">
        <f t="shared" si="150"/>
        <v>2022.004B.Alexandravirus_10nsp.zip</v>
      </c>
      <c r="U3396" s="29" t="str">
        <f>HYPERLINK("https://ictv.global/taxonomy/taxondetails?taxnode_id=202314458","ictv.global=202314458")</f>
        <v>ictv.global=202314458</v>
      </c>
    </row>
    <row r="3397" spans="1:21">
      <c r="A3397">
        <v>3396</v>
      </c>
      <c r="B3397" s="30" t="s">
        <v>1587</v>
      </c>
      <c r="D3397" s="30" t="s">
        <v>1588</v>
      </c>
      <c r="F3397" s="30" t="s">
        <v>1591</v>
      </c>
      <c r="H3397" s="30" t="s">
        <v>1592</v>
      </c>
      <c r="N3397" s="30" t="s">
        <v>12505</v>
      </c>
      <c r="P3397" s="30" t="s">
        <v>12506</v>
      </c>
      <c r="Q3397" t="s">
        <v>619</v>
      </c>
      <c r="R3397" t="s">
        <v>917</v>
      </c>
      <c r="S3397">
        <v>39</v>
      </c>
      <c r="T3397" s="29" t="str">
        <f>HYPERLINK("https://ictv.global/ictv/proposals/2023.003B.Actinobacteriophage_singletons_25ng.zip","2023.003B.Actinobacteriophage_singletons_25ng.zip")</f>
        <v>2023.003B.Actinobacteriophage_singletons_25ng.zip</v>
      </c>
      <c r="U3397" s="29" t="str">
        <f>HYPERLINK("https://ictv.global/taxonomy/taxondetails?taxnode_id=202317765","ictv.global=202317765")</f>
        <v>ictv.global=202317765</v>
      </c>
    </row>
    <row r="3398" spans="1:21">
      <c r="A3398">
        <v>3397</v>
      </c>
      <c r="B3398" s="30" t="s">
        <v>1587</v>
      </c>
      <c r="D3398" s="30" t="s">
        <v>1588</v>
      </c>
      <c r="F3398" s="30" t="s">
        <v>1591</v>
      </c>
      <c r="H3398" s="30" t="s">
        <v>1592</v>
      </c>
      <c r="N3398" s="30" t="s">
        <v>860</v>
      </c>
      <c r="P3398" s="30" t="s">
        <v>6867</v>
      </c>
      <c r="Q3398" t="s">
        <v>619</v>
      </c>
      <c r="R3398" t="s">
        <v>918</v>
      </c>
      <c r="S3398">
        <v>37</v>
      </c>
      <c r="T3398" s="29" t="str">
        <f>HYPERLINK("https://ictv.global/ictv/proposals/2021.010B.R.Binomial_names.zip","2021.010B.R.Binomial_names.zip")</f>
        <v>2021.010B.R.Binomial_names.zip</v>
      </c>
      <c r="U3398" s="29" t="str">
        <f>HYPERLINK("https://ictv.global/taxonomy/taxondetails?taxnode_id=202300843","ictv.global=202300843")</f>
        <v>ictv.global=202300843</v>
      </c>
    </row>
    <row r="3399" spans="1:21">
      <c r="A3399">
        <v>3398</v>
      </c>
      <c r="B3399" s="30" t="s">
        <v>1587</v>
      </c>
      <c r="D3399" s="30" t="s">
        <v>1588</v>
      </c>
      <c r="F3399" s="30" t="s">
        <v>1591</v>
      </c>
      <c r="H3399" s="30" t="s">
        <v>1592</v>
      </c>
      <c r="N3399" s="30" t="s">
        <v>860</v>
      </c>
      <c r="P3399" s="30" t="s">
        <v>6868</v>
      </c>
      <c r="Q3399" t="s">
        <v>619</v>
      </c>
      <c r="R3399" t="s">
        <v>918</v>
      </c>
      <c r="S3399">
        <v>37</v>
      </c>
      <c r="T3399" s="29" t="str">
        <f>HYPERLINK("https://ictv.global/ictv/proposals/2021.010B.R.Binomial_names.zip","2021.010B.R.Binomial_names.zip")</f>
        <v>2021.010B.R.Binomial_names.zip</v>
      </c>
      <c r="U3399" s="29" t="str">
        <f>HYPERLINK("https://ictv.global/taxonomy/taxondetails?taxnode_id=202306757","ictv.global=202306757")</f>
        <v>ictv.global=202306757</v>
      </c>
    </row>
    <row r="3400" spans="1:21">
      <c r="A3400">
        <v>3399</v>
      </c>
      <c r="B3400" s="30" t="s">
        <v>1587</v>
      </c>
      <c r="D3400" s="30" t="s">
        <v>1588</v>
      </c>
      <c r="F3400" s="30" t="s">
        <v>1591</v>
      </c>
      <c r="H3400" s="30" t="s">
        <v>1592</v>
      </c>
      <c r="N3400" s="30" t="s">
        <v>12507</v>
      </c>
      <c r="P3400" s="30" t="s">
        <v>12508</v>
      </c>
      <c r="Q3400" t="s">
        <v>619</v>
      </c>
      <c r="R3400" t="s">
        <v>917</v>
      </c>
      <c r="S3400">
        <v>39</v>
      </c>
      <c r="T3400" s="29" t="str">
        <f>HYPERLINK("https://ictv.global/ictv/proposals/2023.049B.Caudoviricetes_Enterococcus_6ng.zip","2023.049B.Caudoviricetes_Enterococcus_6ng.zip")</f>
        <v>2023.049B.Caudoviricetes_Enterococcus_6ng.zip</v>
      </c>
      <c r="U3400" s="29" t="str">
        <f>HYPERLINK("https://ictv.global/taxonomy/taxondetails?taxnode_id=202319223","ictv.global=202319223")</f>
        <v>ictv.global=202319223</v>
      </c>
    </row>
    <row r="3401" spans="1:21">
      <c r="A3401">
        <v>3400</v>
      </c>
      <c r="B3401" s="30" t="s">
        <v>1587</v>
      </c>
      <c r="D3401" s="30" t="s">
        <v>1588</v>
      </c>
      <c r="F3401" s="30" t="s">
        <v>1591</v>
      </c>
      <c r="H3401" s="30" t="s">
        <v>1592</v>
      </c>
      <c r="N3401" s="30" t="s">
        <v>1802</v>
      </c>
      <c r="P3401" s="30" t="s">
        <v>6869</v>
      </c>
      <c r="Q3401" t="s">
        <v>619</v>
      </c>
      <c r="R3401" t="s">
        <v>918</v>
      </c>
      <c r="S3401">
        <v>37</v>
      </c>
      <c r="T3401" s="29" t="str">
        <f t="shared" ref="T3401:T3406" si="151">HYPERLINK("https://ictv.global/ictv/proposals/2021.010B.R.Binomial_names.zip","2021.010B.R.Binomial_names.zip")</f>
        <v>2021.010B.R.Binomial_names.zip</v>
      </c>
      <c r="U3401" s="29" t="str">
        <f>HYPERLINK("https://ictv.global/taxonomy/taxondetails?taxnode_id=202307910","ictv.global=202307910")</f>
        <v>ictv.global=202307910</v>
      </c>
    </row>
    <row r="3402" spans="1:21">
      <c r="A3402">
        <v>3401</v>
      </c>
      <c r="B3402" s="30" t="s">
        <v>1587</v>
      </c>
      <c r="D3402" s="30" t="s">
        <v>1588</v>
      </c>
      <c r="F3402" s="30" t="s">
        <v>1591</v>
      </c>
      <c r="H3402" s="30" t="s">
        <v>1592</v>
      </c>
      <c r="N3402" s="30" t="s">
        <v>937</v>
      </c>
      <c r="P3402" s="30" t="s">
        <v>6870</v>
      </c>
      <c r="Q3402" t="s">
        <v>619</v>
      </c>
      <c r="R3402" t="s">
        <v>918</v>
      </c>
      <c r="S3402">
        <v>37</v>
      </c>
      <c r="T3402" s="29" t="str">
        <f t="shared" si="151"/>
        <v>2021.010B.R.Binomial_names.zip</v>
      </c>
      <c r="U3402" s="29" t="str">
        <f>HYPERLINK("https://ictv.global/taxonomy/taxondetails?taxnode_id=202305538","ictv.global=202305538")</f>
        <v>ictv.global=202305538</v>
      </c>
    </row>
    <row r="3403" spans="1:21">
      <c r="A3403">
        <v>3402</v>
      </c>
      <c r="B3403" s="30" t="s">
        <v>1587</v>
      </c>
      <c r="D3403" s="30" t="s">
        <v>1588</v>
      </c>
      <c r="F3403" s="30" t="s">
        <v>1591</v>
      </c>
      <c r="H3403" s="30" t="s">
        <v>1592</v>
      </c>
      <c r="N3403" s="30" t="s">
        <v>937</v>
      </c>
      <c r="P3403" s="30" t="s">
        <v>6871</v>
      </c>
      <c r="Q3403" t="s">
        <v>619</v>
      </c>
      <c r="R3403" t="s">
        <v>918</v>
      </c>
      <c r="S3403">
        <v>37</v>
      </c>
      <c r="T3403" s="29" t="str">
        <f t="shared" si="151"/>
        <v>2021.010B.R.Binomial_names.zip</v>
      </c>
      <c r="U3403" s="29" t="str">
        <f>HYPERLINK("https://ictv.global/taxonomy/taxondetails?taxnode_id=202305539","ictv.global=202305539")</f>
        <v>ictv.global=202305539</v>
      </c>
    </row>
    <row r="3404" spans="1:21">
      <c r="A3404">
        <v>3403</v>
      </c>
      <c r="B3404" s="30" t="s">
        <v>1587</v>
      </c>
      <c r="D3404" s="30" t="s">
        <v>1588</v>
      </c>
      <c r="F3404" s="30" t="s">
        <v>1591</v>
      </c>
      <c r="H3404" s="30" t="s">
        <v>1592</v>
      </c>
      <c r="N3404" s="30" t="s">
        <v>1886</v>
      </c>
      <c r="P3404" s="30" t="s">
        <v>6872</v>
      </c>
      <c r="Q3404" t="s">
        <v>619</v>
      </c>
      <c r="R3404" t="s">
        <v>918</v>
      </c>
      <c r="S3404">
        <v>37</v>
      </c>
      <c r="T3404" s="29" t="str">
        <f t="shared" si="151"/>
        <v>2021.010B.R.Binomial_names.zip</v>
      </c>
      <c r="U3404" s="29" t="str">
        <f>HYPERLINK("https://ictv.global/taxonomy/taxondetails?taxnode_id=202307734","ictv.global=202307734")</f>
        <v>ictv.global=202307734</v>
      </c>
    </row>
    <row r="3405" spans="1:21">
      <c r="A3405">
        <v>3404</v>
      </c>
      <c r="B3405" s="30" t="s">
        <v>1587</v>
      </c>
      <c r="D3405" s="30" t="s">
        <v>1588</v>
      </c>
      <c r="F3405" s="30" t="s">
        <v>1591</v>
      </c>
      <c r="H3405" s="30" t="s">
        <v>1592</v>
      </c>
      <c r="N3405" s="30" t="s">
        <v>657</v>
      </c>
      <c r="P3405" s="30" t="s">
        <v>6873</v>
      </c>
      <c r="Q3405" t="s">
        <v>619</v>
      </c>
      <c r="R3405" t="s">
        <v>918</v>
      </c>
      <c r="S3405">
        <v>37</v>
      </c>
      <c r="T3405" s="29" t="str">
        <f t="shared" si="151"/>
        <v>2021.010B.R.Binomial_names.zip</v>
      </c>
      <c r="U3405" s="29" t="str">
        <f>HYPERLINK("https://ictv.global/taxonomy/taxondetails?taxnode_id=202300845","ictv.global=202300845")</f>
        <v>ictv.global=202300845</v>
      </c>
    </row>
    <row r="3406" spans="1:21">
      <c r="A3406">
        <v>3405</v>
      </c>
      <c r="B3406" s="30" t="s">
        <v>1587</v>
      </c>
      <c r="D3406" s="30" t="s">
        <v>1588</v>
      </c>
      <c r="F3406" s="30" t="s">
        <v>1591</v>
      </c>
      <c r="H3406" s="30" t="s">
        <v>1592</v>
      </c>
      <c r="N3406" s="30" t="s">
        <v>657</v>
      </c>
      <c r="P3406" s="30" t="s">
        <v>6874</v>
      </c>
      <c r="Q3406" t="s">
        <v>619</v>
      </c>
      <c r="R3406" t="s">
        <v>918</v>
      </c>
      <c r="S3406">
        <v>37</v>
      </c>
      <c r="T3406" s="29" t="str">
        <f t="shared" si="151"/>
        <v>2021.010B.R.Binomial_names.zip</v>
      </c>
      <c r="U3406" s="29" t="str">
        <f>HYPERLINK("https://ictv.global/taxonomy/taxondetails?taxnode_id=202300846","ictv.global=202300846")</f>
        <v>ictv.global=202300846</v>
      </c>
    </row>
    <row r="3407" spans="1:21">
      <c r="A3407">
        <v>3406</v>
      </c>
      <c r="B3407" s="30" t="s">
        <v>1587</v>
      </c>
      <c r="D3407" s="30" t="s">
        <v>1588</v>
      </c>
      <c r="F3407" s="30" t="s">
        <v>1591</v>
      </c>
      <c r="H3407" s="30" t="s">
        <v>1592</v>
      </c>
      <c r="N3407" s="30" t="s">
        <v>657</v>
      </c>
      <c r="P3407" s="30" t="s">
        <v>12509</v>
      </c>
      <c r="Q3407" t="s">
        <v>619</v>
      </c>
      <c r="R3407" t="s">
        <v>917</v>
      </c>
      <c r="S3407">
        <v>39</v>
      </c>
      <c r="T3407" s="29" t="str">
        <f>HYPERLINK("https://ictv.global/ictv/proposals/2023.005B.Andromedavirus_2ns.zip","2023.005B.Andromedavirus_2ns.zip")</f>
        <v>2023.005B.Andromedavirus_2ns.zip</v>
      </c>
      <c r="U3407" s="29" t="str">
        <f>HYPERLINK("https://ictv.global/taxonomy/taxondetails?taxnode_id=202317797","ictv.global=202317797")</f>
        <v>ictv.global=202317797</v>
      </c>
    </row>
    <row r="3408" spans="1:21">
      <c r="A3408">
        <v>3407</v>
      </c>
      <c r="B3408" s="30" t="s">
        <v>1587</v>
      </c>
      <c r="D3408" s="30" t="s">
        <v>1588</v>
      </c>
      <c r="F3408" s="30" t="s">
        <v>1591</v>
      </c>
      <c r="H3408" s="30" t="s">
        <v>1592</v>
      </c>
      <c r="N3408" s="30" t="s">
        <v>657</v>
      </c>
      <c r="P3408" s="30" t="s">
        <v>6875</v>
      </c>
      <c r="Q3408" t="s">
        <v>619</v>
      </c>
      <c r="R3408" t="s">
        <v>918</v>
      </c>
      <c r="S3408">
        <v>37</v>
      </c>
      <c r="T3408" s="29" t="str">
        <f>HYPERLINK("https://ictv.global/ictv/proposals/2021.010B.R.Binomial_names.zip","2021.010B.R.Binomial_names.zip")</f>
        <v>2021.010B.R.Binomial_names.zip</v>
      </c>
      <c r="U3408" s="29" t="str">
        <f>HYPERLINK("https://ictv.global/taxonomy/taxondetails?taxnode_id=202300847","ictv.global=202300847")</f>
        <v>ictv.global=202300847</v>
      </c>
    </row>
    <row r="3409" spans="1:21">
      <c r="A3409">
        <v>3408</v>
      </c>
      <c r="B3409" s="30" t="s">
        <v>1587</v>
      </c>
      <c r="D3409" s="30" t="s">
        <v>1588</v>
      </c>
      <c r="F3409" s="30" t="s">
        <v>1591</v>
      </c>
      <c r="H3409" s="30" t="s">
        <v>1592</v>
      </c>
      <c r="N3409" s="30" t="s">
        <v>657</v>
      </c>
      <c r="P3409" s="30" t="s">
        <v>6876</v>
      </c>
      <c r="Q3409" t="s">
        <v>619</v>
      </c>
      <c r="R3409" t="s">
        <v>918</v>
      </c>
      <c r="S3409">
        <v>37</v>
      </c>
      <c r="T3409" s="29" t="str">
        <f>HYPERLINK("https://ictv.global/ictv/proposals/2021.010B.R.Binomial_names.zip","2021.010B.R.Binomial_names.zip")</f>
        <v>2021.010B.R.Binomial_names.zip</v>
      </c>
      <c r="U3409" s="29" t="str">
        <f>HYPERLINK("https://ictv.global/taxonomy/taxondetails?taxnode_id=202300848","ictv.global=202300848")</f>
        <v>ictv.global=202300848</v>
      </c>
    </row>
    <row r="3410" spans="1:21">
      <c r="A3410">
        <v>3409</v>
      </c>
      <c r="B3410" s="30" t="s">
        <v>1587</v>
      </c>
      <c r="D3410" s="30" t="s">
        <v>1588</v>
      </c>
      <c r="F3410" s="30" t="s">
        <v>1591</v>
      </c>
      <c r="H3410" s="30" t="s">
        <v>1592</v>
      </c>
      <c r="N3410" s="30" t="s">
        <v>657</v>
      </c>
      <c r="P3410" s="30" t="s">
        <v>6877</v>
      </c>
      <c r="Q3410" t="s">
        <v>619</v>
      </c>
      <c r="R3410" t="s">
        <v>918</v>
      </c>
      <c r="S3410">
        <v>37</v>
      </c>
      <c r="T3410" s="29" t="str">
        <f>HYPERLINK("https://ictv.global/ictv/proposals/2021.010B.R.Binomial_names.zip","2021.010B.R.Binomial_names.zip")</f>
        <v>2021.010B.R.Binomial_names.zip</v>
      </c>
      <c r="U3410" s="29" t="str">
        <f>HYPERLINK("https://ictv.global/taxonomy/taxondetails?taxnode_id=202300849","ictv.global=202300849")</f>
        <v>ictv.global=202300849</v>
      </c>
    </row>
    <row r="3411" spans="1:21">
      <c r="A3411">
        <v>3410</v>
      </c>
      <c r="B3411" s="30" t="s">
        <v>1587</v>
      </c>
      <c r="D3411" s="30" t="s">
        <v>1588</v>
      </c>
      <c r="F3411" s="30" t="s">
        <v>1591</v>
      </c>
      <c r="H3411" s="30" t="s">
        <v>1592</v>
      </c>
      <c r="N3411" s="30" t="s">
        <v>657</v>
      </c>
      <c r="P3411" s="30" t="s">
        <v>6878</v>
      </c>
      <c r="Q3411" t="s">
        <v>619</v>
      </c>
      <c r="R3411" t="s">
        <v>918</v>
      </c>
      <c r="S3411">
        <v>37</v>
      </c>
      <c r="T3411" s="29" t="str">
        <f>HYPERLINK("https://ictv.global/ictv/proposals/2021.010B.R.Binomial_names.zip","2021.010B.R.Binomial_names.zip")</f>
        <v>2021.010B.R.Binomial_names.zip</v>
      </c>
      <c r="U3411" s="29" t="str">
        <f>HYPERLINK("https://ictv.global/taxonomy/taxondetails?taxnode_id=202300850","ictv.global=202300850")</f>
        <v>ictv.global=202300850</v>
      </c>
    </row>
    <row r="3412" spans="1:21">
      <c r="A3412">
        <v>3411</v>
      </c>
      <c r="B3412" s="30" t="s">
        <v>1587</v>
      </c>
      <c r="D3412" s="30" t="s">
        <v>1588</v>
      </c>
      <c r="F3412" s="30" t="s">
        <v>1591</v>
      </c>
      <c r="H3412" s="30" t="s">
        <v>1592</v>
      </c>
      <c r="N3412" s="30" t="s">
        <v>657</v>
      </c>
      <c r="P3412" s="30" t="s">
        <v>12510</v>
      </c>
      <c r="Q3412" t="s">
        <v>619</v>
      </c>
      <c r="R3412" t="s">
        <v>917</v>
      </c>
      <c r="S3412">
        <v>39</v>
      </c>
      <c r="T3412" s="29" t="str">
        <f>HYPERLINK("https://ictv.global/ictv/proposals/2023.005B.Andromedavirus_2ns.zip","2023.005B.Andromedavirus_2ns.zip")</f>
        <v>2023.005B.Andromedavirus_2ns.zip</v>
      </c>
      <c r="U3412" s="29" t="str">
        <f>HYPERLINK("https://ictv.global/taxonomy/taxondetails?taxnode_id=202317798","ictv.global=202317798")</f>
        <v>ictv.global=202317798</v>
      </c>
    </row>
    <row r="3413" spans="1:21">
      <c r="A3413">
        <v>3412</v>
      </c>
      <c r="B3413" s="30" t="s">
        <v>1587</v>
      </c>
      <c r="D3413" s="30" t="s">
        <v>1588</v>
      </c>
      <c r="F3413" s="30" t="s">
        <v>1591</v>
      </c>
      <c r="H3413" s="30" t="s">
        <v>1592</v>
      </c>
      <c r="N3413" s="30" t="s">
        <v>657</v>
      </c>
      <c r="P3413" s="30" t="s">
        <v>6879</v>
      </c>
      <c r="Q3413" t="s">
        <v>619</v>
      </c>
      <c r="R3413" t="s">
        <v>918</v>
      </c>
      <c r="S3413">
        <v>37</v>
      </c>
      <c r="T3413" s="29" t="str">
        <f>HYPERLINK("https://ictv.global/ictv/proposals/2021.010B.R.Binomial_names.zip","2021.010B.R.Binomial_names.zip")</f>
        <v>2021.010B.R.Binomial_names.zip</v>
      </c>
      <c r="U3413" s="29" t="str">
        <f>HYPERLINK("https://ictv.global/taxonomy/taxondetails?taxnode_id=202300851","ictv.global=202300851")</f>
        <v>ictv.global=202300851</v>
      </c>
    </row>
    <row r="3414" spans="1:21">
      <c r="A3414">
        <v>3413</v>
      </c>
      <c r="B3414" s="30" t="s">
        <v>1587</v>
      </c>
      <c r="D3414" s="30" t="s">
        <v>1588</v>
      </c>
      <c r="F3414" s="30" t="s">
        <v>1591</v>
      </c>
      <c r="H3414" s="30" t="s">
        <v>1592</v>
      </c>
      <c r="N3414" s="30" t="s">
        <v>657</v>
      </c>
      <c r="P3414" s="30" t="s">
        <v>6880</v>
      </c>
      <c r="Q3414" t="s">
        <v>619</v>
      </c>
      <c r="R3414" t="s">
        <v>918</v>
      </c>
      <c r="S3414">
        <v>37</v>
      </c>
      <c r="T3414" s="29" t="str">
        <f>HYPERLINK("https://ictv.global/ictv/proposals/2021.010B.R.Binomial_names.zip","2021.010B.R.Binomial_names.zip")</f>
        <v>2021.010B.R.Binomial_names.zip</v>
      </c>
      <c r="U3414" s="29" t="str">
        <f>HYPERLINK("https://ictv.global/taxonomy/taxondetails?taxnode_id=202300852","ictv.global=202300852")</f>
        <v>ictv.global=202300852</v>
      </c>
    </row>
    <row r="3415" spans="1:21">
      <c r="A3415">
        <v>3414</v>
      </c>
      <c r="B3415" s="30" t="s">
        <v>1587</v>
      </c>
      <c r="D3415" s="30" t="s">
        <v>1588</v>
      </c>
      <c r="F3415" s="30" t="s">
        <v>1591</v>
      </c>
      <c r="H3415" s="30" t="s">
        <v>1592</v>
      </c>
      <c r="N3415" s="30" t="s">
        <v>2303</v>
      </c>
      <c r="P3415" s="30" t="s">
        <v>6881</v>
      </c>
      <c r="Q3415" t="s">
        <v>619</v>
      </c>
      <c r="R3415" t="s">
        <v>918</v>
      </c>
      <c r="S3415">
        <v>37</v>
      </c>
      <c r="T3415" s="29" t="str">
        <f>HYPERLINK("https://ictv.global/ictv/proposals/2021.010B.R.Binomial_names.zip","2021.010B.R.Binomial_names.zip")</f>
        <v>2021.010B.R.Binomial_names.zip</v>
      </c>
      <c r="U3415" s="29" t="str">
        <f>HYPERLINK("https://ictv.global/taxonomy/taxondetails?taxnode_id=202309250","ictv.global=202309250")</f>
        <v>ictv.global=202309250</v>
      </c>
    </row>
    <row r="3416" spans="1:21">
      <c r="A3416">
        <v>3415</v>
      </c>
      <c r="B3416" s="30" t="s">
        <v>1587</v>
      </c>
      <c r="D3416" s="30" t="s">
        <v>1588</v>
      </c>
      <c r="F3416" s="30" t="s">
        <v>1591</v>
      </c>
      <c r="H3416" s="30" t="s">
        <v>1592</v>
      </c>
      <c r="N3416" s="30" t="s">
        <v>2303</v>
      </c>
      <c r="P3416" s="30" t="s">
        <v>6882</v>
      </c>
      <c r="Q3416" t="s">
        <v>619</v>
      </c>
      <c r="R3416" t="s">
        <v>918</v>
      </c>
      <c r="S3416">
        <v>37</v>
      </c>
      <c r="T3416" s="29" t="str">
        <f>HYPERLINK("https://ictv.global/ictv/proposals/2021.010B.R.Binomial_names.zip","2021.010B.R.Binomial_names.zip")</f>
        <v>2021.010B.R.Binomial_names.zip</v>
      </c>
      <c r="U3416" s="29" t="str">
        <f>HYPERLINK("https://ictv.global/taxonomy/taxondetails?taxnode_id=202309251","ictv.global=202309251")</f>
        <v>ictv.global=202309251</v>
      </c>
    </row>
    <row r="3417" spans="1:21">
      <c r="A3417">
        <v>3416</v>
      </c>
      <c r="B3417" s="30" t="s">
        <v>1587</v>
      </c>
      <c r="D3417" s="30" t="s">
        <v>1588</v>
      </c>
      <c r="F3417" s="30" t="s">
        <v>1591</v>
      </c>
      <c r="H3417" s="30" t="s">
        <v>1592</v>
      </c>
      <c r="N3417" s="30" t="s">
        <v>6883</v>
      </c>
      <c r="P3417" s="30" t="s">
        <v>6884</v>
      </c>
      <c r="Q3417" t="s">
        <v>619</v>
      </c>
      <c r="R3417" t="s">
        <v>917</v>
      </c>
      <c r="S3417">
        <v>37</v>
      </c>
      <c r="T3417" s="29" t="str">
        <f>HYPERLINK("https://ictv.global/ictv/proposals/2021.003B.R.Anthonyvirus.zip","2021.003B.R.Anthonyvirus.zip")</f>
        <v>2021.003B.R.Anthonyvirus.zip</v>
      </c>
      <c r="U3417" s="29" t="str">
        <f>HYPERLINK("https://ictv.global/taxonomy/taxondetails?taxnode_id=202313125","ictv.global=202313125")</f>
        <v>ictv.global=202313125</v>
      </c>
    </row>
    <row r="3418" spans="1:21">
      <c r="A3418">
        <v>3417</v>
      </c>
      <c r="B3418" s="30" t="s">
        <v>1587</v>
      </c>
      <c r="D3418" s="30" t="s">
        <v>1588</v>
      </c>
      <c r="F3418" s="30" t="s">
        <v>1591</v>
      </c>
      <c r="H3418" s="30" t="s">
        <v>1592</v>
      </c>
      <c r="N3418" s="30" t="s">
        <v>1804</v>
      </c>
      <c r="P3418" s="30" t="s">
        <v>6885</v>
      </c>
      <c r="Q3418" t="s">
        <v>619</v>
      </c>
      <c r="R3418" t="s">
        <v>918</v>
      </c>
      <c r="S3418">
        <v>37</v>
      </c>
      <c r="T3418" s="29" t="str">
        <f>HYPERLINK("https://ictv.global/ictv/proposals/2021.010B.R.Binomial_names.zip","2021.010B.R.Binomial_names.zip")</f>
        <v>2021.010B.R.Binomial_names.zip</v>
      </c>
      <c r="U3418" s="29" t="str">
        <f>HYPERLINK("https://ictv.global/taxonomy/taxondetails?taxnode_id=202307764","ictv.global=202307764")</f>
        <v>ictv.global=202307764</v>
      </c>
    </row>
    <row r="3419" spans="1:21">
      <c r="A3419">
        <v>3418</v>
      </c>
      <c r="B3419" s="30" t="s">
        <v>1587</v>
      </c>
      <c r="D3419" s="30" t="s">
        <v>1588</v>
      </c>
      <c r="F3419" s="30" t="s">
        <v>1591</v>
      </c>
      <c r="H3419" s="30" t="s">
        <v>1592</v>
      </c>
      <c r="N3419" s="30" t="s">
        <v>1887</v>
      </c>
      <c r="P3419" s="30" t="s">
        <v>6886</v>
      </c>
      <c r="Q3419" t="s">
        <v>619</v>
      </c>
      <c r="R3419" t="s">
        <v>918</v>
      </c>
      <c r="S3419">
        <v>37</v>
      </c>
      <c r="T3419" s="29" t="str">
        <f>HYPERLINK("https://ictv.global/ictv/proposals/2021.010B.R.Binomial_names.zip","2021.010B.R.Binomial_names.zip")</f>
        <v>2021.010B.R.Binomial_names.zip</v>
      </c>
      <c r="U3419" s="29" t="str">
        <f>HYPERLINK("https://ictv.global/taxonomy/taxondetails?taxnode_id=202307736","ictv.global=202307736")</f>
        <v>ictv.global=202307736</v>
      </c>
    </row>
    <row r="3420" spans="1:21">
      <c r="A3420">
        <v>3419</v>
      </c>
      <c r="B3420" s="30" t="s">
        <v>1587</v>
      </c>
      <c r="D3420" s="30" t="s">
        <v>1588</v>
      </c>
      <c r="F3420" s="30" t="s">
        <v>1591</v>
      </c>
      <c r="H3420" s="30" t="s">
        <v>1592</v>
      </c>
      <c r="N3420" s="30" t="s">
        <v>1888</v>
      </c>
      <c r="P3420" s="30" t="s">
        <v>6887</v>
      </c>
      <c r="Q3420" t="s">
        <v>619</v>
      </c>
      <c r="R3420" t="s">
        <v>918</v>
      </c>
      <c r="S3420">
        <v>37</v>
      </c>
      <c r="T3420" s="29" t="str">
        <f>HYPERLINK("https://ictv.global/ictv/proposals/2021.010B.R.Binomial_names.zip","2021.010B.R.Binomial_names.zip")</f>
        <v>2021.010B.R.Binomial_names.zip</v>
      </c>
      <c r="U3420" s="29" t="str">
        <f>HYPERLINK("https://ictv.global/taxonomy/taxondetails?taxnode_id=202308701","ictv.global=202308701")</f>
        <v>ictv.global=202308701</v>
      </c>
    </row>
    <row r="3421" spans="1:21">
      <c r="A3421">
        <v>3420</v>
      </c>
      <c r="B3421" s="30" t="s">
        <v>1587</v>
      </c>
      <c r="D3421" s="30" t="s">
        <v>1588</v>
      </c>
      <c r="F3421" s="30" t="s">
        <v>1591</v>
      </c>
      <c r="H3421" s="30" t="s">
        <v>1592</v>
      </c>
      <c r="N3421" s="30" t="s">
        <v>12511</v>
      </c>
      <c r="P3421" s="30" t="s">
        <v>12512</v>
      </c>
      <c r="Q3421" t="s">
        <v>619</v>
      </c>
      <c r="R3421" t="s">
        <v>917</v>
      </c>
      <c r="S3421">
        <v>39</v>
      </c>
      <c r="T3421" s="29" t="str">
        <f>HYPERLINK("https://ictv.global/ictv/proposals/2023.006B.Aquaneticvirus_ng.zip","2023.006B.Aquaneticvirus_ng.zip")</f>
        <v>2023.006B.Aquaneticvirus_ng.zip</v>
      </c>
      <c r="U3421" s="29" t="str">
        <f>HYPERLINK("https://ictv.global/taxonomy/taxondetails?taxnode_id=202317828","ictv.global=202317828")</f>
        <v>ictv.global=202317828</v>
      </c>
    </row>
    <row r="3422" spans="1:21">
      <c r="A3422">
        <v>3421</v>
      </c>
      <c r="B3422" s="30" t="s">
        <v>1587</v>
      </c>
      <c r="D3422" s="30" t="s">
        <v>1588</v>
      </c>
      <c r="F3422" s="30" t="s">
        <v>1591</v>
      </c>
      <c r="H3422" s="30" t="s">
        <v>1592</v>
      </c>
      <c r="N3422" s="30" t="s">
        <v>12513</v>
      </c>
      <c r="P3422" s="30" t="s">
        <v>12514</v>
      </c>
      <c r="Q3422" t="s">
        <v>619</v>
      </c>
      <c r="R3422" t="s">
        <v>917</v>
      </c>
      <c r="S3422">
        <v>39</v>
      </c>
      <c r="T3422" s="29" t="str">
        <f t="shared" ref="T3422:T3428" si="152">HYPERLINK("https://ictv.global/ictv/proposals/2023.007B.Aquingentivirus_ng.zip","2023.007B.Aquingentivirus_ng.zip")</f>
        <v>2023.007B.Aquingentivirus_ng.zip</v>
      </c>
      <c r="U3422" s="29" t="str">
        <f>HYPERLINK("https://ictv.global/taxonomy/taxondetails?taxnode_id=202317830","ictv.global=202317830")</f>
        <v>ictv.global=202317830</v>
      </c>
    </row>
    <row r="3423" spans="1:21">
      <c r="A3423">
        <v>3422</v>
      </c>
      <c r="B3423" s="30" t="s">
        <v>1587</v>
      </c>
      <c r="D3423" s="30" t="s">
        <v>1588</v>
      </c>
      <c r="F3423" s="30" t="s">
        <v>1591</v>
      </c>
      <c r="H3423" s="30" t="s">
        <v>1592</v>
      </c>
      <c r="N3423" s="30" t="s">
        <v>12513</v>
      </c>
      <c r="P3423" s="30" t="s">
        <v>12515</v>
      </c>
      <c r="Q3423" t="s">
        <v>619</v>
      </c>
      <c r="R3423" t="s">
        <v>917</v>
      </c>
      <c r="S3423">
        <v>39</v>
      </c>
      <c r="T3423" s="29" t="str">
        <f t="shared" si="152"/>
        <v>2023.007B.Aquingentivirus_ng.zip</v>
      </c>
      <c r="U3423" s="29" t="str">
        <f>HYPERLINK("https://ictv.global/taxonomy/taxondetails?taxnode_id=202317836","ictv.global=202317836")</f>
        <v>ictv.global=202317836</v>
      </c>
    </row>
    <row r="3424" spans="1:21">
      <c r="A3424">
        <v>3423</v>
      </c>
      <c r="B3424" s="30" t="s">
        <v>1587</v>
      </c>
      <c r="D3424" s="30" t="s">
        <v>1588</v>
      </c>
      <c r="F3424" s="30" t="s">
        <v>1591</v>
      </c>
      <c r="H3424" s="30" t="s">
        <v>1592</v>
      </c>
      <c r="N3424" s="30" t="s">
        <v>12513</v>
      </c>
      <c r="P3424" s="30" t="s">
        <v>12516</v>
      </c>
      <c r="Q3424" t="s">
        <v>619</v>
      </c>
      <c r="R3424" t="s">
        <v>917</v>
      </c>
      <c r="S3424">
        <v>39</v>
      </c>
      <c r="T3424" s="29" t="str">
        <f t="shared" si="152"/>
        <v>2023.007B.Aquingentivirus_ng.zip</v>
      </c>
      <c r="U3424" s="29" t="str">
        <f>HYPERLINK("https://ictv.global/taxonomy/taxondetails?taxnode_id=202317834","ictv.global=202317834")</f>
        <v>ictv.global=202317834</v>
      </c>
    </row>
    <row r="3425" spans="1:21">
      <c r="A3425">
        <v>3424</v>
      </c>
      <c r="B3425" s="30" t="s">
        <v>1587</v>
      </c>
      <c r="D3425" s="30" t="s">
        <v>1588</v>
      </c>
      <c r="F3425" s="30" t="s">
        <v>1591</v>
      </c>
      <c r="H3425" s="30" t="s">
        <v>1592</v>
      </c>
      <c r="N3425" s="30" t="s">
        <v>12513</v>
      </c>
      <c r="P3425" s="30" t="s">
        <v>12517</v>
      </c>
      <c r="Q3425" t="s">
        <v>619</v>
      </c>
      <c r="R3425" t="s">
        <v>917</v>
      </c>
      <c r="S3425">
        <v>39</v>
      </c>
      <c r="T3425" s="29" t="str">
        <f t="shared" si="152"/>
        <v>2023.007B.Aquingentivirus_ng.zip</v>
      </c>
      <c r="U3425" s="29" t="str">
        <f>HYPERLINK("https://ictv.global/taxonomy/taxondetails?taxnode_id=202317831","ictv.global=202317831")</f>
        <v>ictv.global=202317831</v>
      </c>
    </row>
    <row r="3426" spans="1:21">
      <c r="A3426">
        <v>3425</v>
      </c>
      <c r="B3426" s="30" t="s">
        <v>1587</v>
      </c>
      <c r="D3426" s="30" t="s">
        <v>1588</v>
      </c>
      <c r="F3426" s="30" t="s">
        <v>1591</v>
      </c>
      <c r="H3426" s="30" t="s">
        <v>1592</v>
      </c>
      <c r="N3426" s="30" t="s">
        <v>12513</v>
      </c>
      <c r="P3426" s="30" t="s">
        <v>12518</v>
      </c>
      <c r="Q3426" t="s">
        <v>619</v>
      </c>
      <c r="R3426" t="s">
        <v>917</v>
      </c>
      <c r="S3426">
        <v>39</v>
      </c>
      <c r="T3426" s="29" t="str">
        <f t="shared" si="152"/>
        <v>2023.007B.Aquingentivirus_ng.zip</v>
      </c>
      <c r="U3426" s="29" t="str">
        <f>HYPERLINK("https://ictv.global/taxonomy/taxondetails?taxnode_id=202317832","ictv.global=202317832")</f>
        <v>ictv.global=202317832</v>
      </c>
    </row>
    <row r="3427" spans="1:21">
      <c r="A3427">
        <v>3426</v>
      </c>
      <c r="B3427" s="30" t="s">
        <v>1587</v>
      </c>
      <c r="D3427" s="30" t="s">
        <v>1588</v>
      </c>
      <c r="F3427" s="30" t="s">
        <v>1591</v>
      </c>
      <c r="H3427" s="30" t="s">
        <v>1592</v>
      </c>
      <c r="N3427" s="30" t="s">
        <v>12513</v>
      </c>
      <c r="P3427" s="30" t="s">
        <v>12519</v>
      </c>
      <c r="Q3427" t="s">
        <v>619</v>
      </c>
      <c r="R3427" t="s">
        <v>917</v>
      </c>
      <c r="S3427">
        <v>39</v>
      </c>
      <c r="T3427" s="29" t="str">
        <f t="shared" si="152"/>
        <v>2023.007B.Aquingentivirus_ng.zip</v>
      </c>
      <c r="U3427" s="29" t="str">
        <f>HYPERLINK("https://ictv.global/taxonomy/taxondetails?taxnode_id=202317833","ictv.global=202317833")</f>
        <v>ictv.global=202317833</v>
      </c>
    </row>
    <row r="3428" spans="1:21">
      <c r="A3428">
        <v>3427</v>
      </c>
      <c r="B3428" s="30" t="s">
        <v>1587</v>
      </c>
      <c r="D3428" s="30" t="s">
        <v>1588</v>
      </c>
      <c r="F3428" s="30" t="s">
        <v>1591</v>
      </c>
      <c r="H3428" s="30" t="s">
        <v>1592</v>
      </c>
      <c r="N3428" s="30" t="s">
        <v>12513</v>
      </c>
      <c r="P3428" s="30" t="s">
        <v>12520</v>
      </c>
      <c r="Q3428" t="s">
        <v>619</v>
      </c>
      <c r="R3428" t="s">
        <v>917</v>
      </c>
      <c r="S3428">
        <v>39</v>
      </c>
      <c r="T3428" s="29" t="str">
        <f t="shared" si="152"/>
        <v>2023.007B.Aquingentivirus_ng.zip</v>
      </c>
      <c r="U3428" s="29" t="str">
        <f>HYPERLINK("https://ictv.global/taxonomy/taxondetails?taxnode_id=202317835","ictv.global=202317835")</f>
        <v>ictv.global=202317835</v>
      </c>
    </row>
    <row r="3429" spans="1:21">
      <c r="A3429">
        <v>3428</v>
      </c>
      <c r="B3429" s="30" t="s">
        <v>1587</v>
      </c>
      <c r="D3429" s="30" t="s">
        <v>1588</v>
      </c>
      <c r="F3429" s="30" t="s">
        <v>1591</v>
      </c>
      <c r="H3429" s="30" t="s">
        <v>1592</v>
      </c>
      <c r="N3429" s="30" t="s">
        <v>12521</v>
      </c>
      <c r="P3429" s="30" t="s">
        <v>12522</v>
      </c>
      <c r="Q3429" t="s">
        <v>619</v>
      </c>
      <c r="R3429" t="s">
        <v>917</v>
      </c>
      <c r="S3429">
        <v>39</v>
      </c>
      <c r="T3429" s="29" t="str">
        <f>HYPERLINK("https://ictv.global/ictv/proposals/2023.049B.Caudoviricetes_Enterococcus_6ng.zip","2023.049B.Caudoviricetes_Enterococcus_6ng.zip")</f>
        <v>2023.049B.Caudoviricetes_Enterococcus_6ng.zip</v>
      </c>
      <c r="U3429" s="29" t="str">
        <f>HYPERLINK("https://ictv.global/taxonomy/taxondetails?taxnode_id=202319216","ictv.global=202319216")</f>
        <v>ictv.global=202319216</v>
      </c>
    </row>
    <row r="3430" spans="1:21">
      <c r="A3430">
        <v>3429</v>
      </c>
      <c r="B3430" s="30" t="s">
        <v>1587</v>
      </c>
      <c r="D3430" s="30" t="s">
        <v>1588</v>
      </c>
      <c r="F3430" s="30" t="s">
        <v>1591</v>
      </c>
      <c r="H3430" s="30" t="s">
        <v>1592</v>
      </c>
      <c r="N3430" s="30" t="s">
        <v>12521</v>
      </c>
      <c r="P3430" s="30" t="s">
        <v>12523</v>
      </c>
      <c r="Q3430" t="s">
        <v>619</v>
      </c>
      <c r="R3430" t="s">
        <v>917</v>
      </c>
      <c r="S3430">
        <v>39</v>
      </c>
      <c r="T3430" s="29" t="str">
        <f>HYPERLINK("https://ictv.global/ictv/proposals/2023.049B.Caudoviricetes_Enterococcus_6ng.zip","2023.049B.Caudoviricetes_Enterococcus_6ng.zip")</f>
        <v>2023.049B.Caudoviricetes_Enterococcus_6ng.zip</v>
      </c>
      <c r="U3430" s="29" t="str">
        <f>HYPERLINK("https://ictv.global/taxonomy/taxondetails?taxnode_id=202319217","ictv.global=202319217")</f>
        <v>ictv.global=202319217</v>
      </c>
    </row>
    <row r="3431" spans="1:21">
      <c r="A3431">
        <v>3430</v>
      </c>
      <c r="B3431" s="30" t="s">
        <v>1587</v>
      </c>
      <c r="D3431" s="30" t="s">
        <v>1588</v>
      </c>
      <c r="F3431" s="30" t="s">
        <v>1591</v>
      </c>
      <c r="H3431" s="30" t="s">
        <v>1592</v>
      </c>
      <c r="N3431" s="30" t="s">
        <v>2413</v>
      </c>
      <c r="P3431" s="30" t="s">
        <v>6888</v>
      </c>
      <c r="Q3431" t="s">
        <v>619</v>
      </c>
      <c r="R3431" t="s">
        <v>918</v>
      </c>
      <c r="S3431">
        <v>37</v>
      </c>
      <c r="T3431" s="29" t="str">
        <f>HYPERLINK("https://ictv.global/ictv/proposals/2021.010B.R.Binomial_names.zip","2021.010B.R.Binomial_names.zip")</f>
        <v>2021.010B.R.Binomial_names.zip</v>
      </c>
      <c r="U3431" s="29" t="str">
        <f>HYPERLINK("https://ictv.global/taxonomy/taxondetails?taxnode_id=202309291","ictv.global=202309291")</f>
        <v>ictv.global=202309291</v>
      </c>
    </row>
    <row r="3432" spans="1:21">
      <c r="A3432">
        <v>3431</v>
      </c>
      <c r="B3432" s="30" t="s">
        <v>1587</v>
      </c>
      <c r="D3432" s="30" t="s">
        <v>1588</v>
      </c>
      <c r="F3432" s="30" t="s">
        <v>1591</v>
      </c>
      <c r="H3432" s="30" t="s">
        <v>1592</v>
      </c>
      <c r="N3432" s="30" t="s">
        <v>6889</v>
      </c>
      <c r="P3432" s="30" t="s">
        <v>6890</v>
      </c>
      <c r="Q3432" t="s">
        <v>619</v>
      </c>
      <c r="R3432" t="s">
        <v>917</v>
      </c>
      <c r="S3432">
        <v>37</v>
      </c>
      <c r="T3432" s="29" t="str">
        <f>HYPERLINK("https://ictv.global/ictv/proposals/2021.004B.R.Archimedesvirus.zip","2021.004B.R.Archimedesvirus.zip")</f>
        <v>2021.004B.R.Archimedesvirus.zip</v>
      </c>
      <c r="U3432" s="29" t="str">
        <f>HYPERLINK("https://ictv.global/taxonomy/taxondetails?taxnode_id=202313127","ictv.global=202313127")</f>
        <v>ictv.global=202313127</v>
      </c>
    </row>
    <row r="3433" spans="1:21">
      <c r="A3433">
        <v>3432</v>
      </c>
      <c r="B3433" s="30" t="s">
        <v>1587</v>
      </c>
      <c r="D3433" s="30" t="s">
        <v>1588</v>
      </c>
      <c r="F3433" s="30" t="s">
        <v>1591</v>
      </c>
      <c r="H3433" s="30" t="s">
        <v>1592</v>
      </c>
      <c r="N3433" s="30" t="s">
        <v>1889</v>
      </c>
      <c r="P3433" s="30" t="s">
        <v>6891</v>
      </c>
      <c r="Q3433" t="s">
        <v>619</v>
      </c>
      <c r="R3433" t="s">
        <v>918</v>
      </c>
      <c r="S3433">
        <v>37</v>
      </c>
      <c r="T3433" s="29" t="str">
        <f>HYPERLINK("https://ictv.global/ictv/proposals/2021.010B.R.Binomial_names.zip","2021.010B.R.Binomial_names.zip")</f>
        <v>2021.010B.R.Binomial_names.zip</v>
      </c>
      <c r="U3433" s="29" t="str">
        <f>HYPERLINK("https://ictv.global/taxonomy/taxondetails?taxnode_id=202307723","ictv.global=202307723")</f>
        <v>ictv.global=202307723</v>
      </c>
    </row>
    <row r="3434" spans="1:21">
      <c r="A3434">
        <v>3433</v>
      </c>
      <c r="B3434" s="30" t="s">
        <v>1587</v>
      </c>
      <c r="D3434" s="30" t="s">
        <v>1588</v>
      </c>
      <c r="F3434" s="30" t="s">
        <v>1591</v>
      </c>
      <c r="H3434" s="30" t="s">
        <v>1592</v>
      </c>
      <c r="N3434" s="30" t="s">
        <v>6892</v>
      </c>
      <c r="P3434" s="30" t="s">
        <v>6893</v>
      </c>
      <c r="Q3434" t="s">
        <v>619</v>
      </c>
      <c r="R3434" t="s">
        <v>917</v>
      </c>
      <c r="S3434">
        <v>38</v>
      </c>
      <c r="T3434" s="29" t="str">
        <f>HYPERLINK("https://ictv.global/ictv/proposals/2022.007B.Arvduovirus_ng.zip","2022.007B.Arvduovirus_ng.zip")</f>
        <v>2022.007B.Arvduovirus_ng.zip</v>
      </c>
      <c r="U3434" s="29" t="str">
        <f>HYPERLINK("https://ictv.global/taxonomy/taxondetails?taxnode_id=202314491","ictv.global=202314491")</f>
        <v>ictv.global=202314491</v>
      </c>
    </row>
    <row r="3435" spans="1:21">
      <c r="A3435">
        <v>3434</v>
      </c>
      <c r="B3435" s="30" t="s">
        <v>1587</v>
      </c>
      <c r="D3435" s="30" t="s">
        <v>1588</v>
      </c>
      <c r="F3435" s="30" t="s">
        <v>1591</v>
      </c>
      <c r="H3435" s="30" t="s">
        <v>1592</v>
      </c>
      <c r="N3435" s="30" t="s">
        <v>2414</v>
      </c>
      <c r="P3435" s="30" t="s">
        <v>6894</v>
      </c>
      <c r="Q3435" t="s">
        <v>619</v>
      </c>
      <c r="R3435" t="s">
        <v>918</v>
      </c>
      <c r="S3435">
        <v>37</v>
      </c>
      <c r="T3435" s="29" t="str">
        <f>HYPERLINK("https://ictv.global/ictv/proposals/2021.010B.R.Binomial_names.zip","2021.010B.R.Binomial_names.zip")</f>
        <v>2021.010B.R.Binomial_names.zip</v>
      </c>
      <c r="U3435" s="29" t="str">
        <f>HYPERLINK("https://ictv.global/taxonomy/taxondetails?taxnode_id=202310191","ictv.global=202310191")</f>
        <v>ictv.global=202310191</v>
      </c>
    </row>
    <row r="3436" spans="1:21">
      <c r="A3436">
        <v>3435</v>
      </c>
      <c r="B3436" s="30" t="s">
        <v>1587</v>
      </c>
      <c r="D3436" s="30" t="s">
        <v>1588</v>
      </c>
      <c r="F3436" s="30" t="s">
        <v>1591</v>
      </c>
      <c r="H3436" s="30" t="s">
        <v>1592</v>
      </c>
      <c r="N3436" s="30" t="s">
        <v>12524</v>
      </c>
      <c r="P3436" s="30" t="s">
        <v>12525</v>
      </c>
      <c r="Q3436" t="s">
        <v>619</v>
      </c>
      <c r="R3436" t="s">
        <v>917</v>
      </c>
      <c r="S3436">
        <v>39</v>
      </c>
      <c r="T3436" s="29" t="str">
        <f>HYPERLINK("https://ictv.global/ictv/proposals/2023.003B.Actinobacteriophage_singletons_25ng.zip","2023.003B.Actinobacteriophage_singletons_25ng.zip")</f>
        <v>2023.003B.Actinobacteriophage_singletons_25ng.zip</v>
      </c>
      <c r="U3436" s="29" t="str">
        <f>HYPERLINK("https://ictv.global/taxonomy/taxondetails?taxnode_id=202317764","ictv.global=202317764")</f>
        <v>ictv.global=202317764</v>
      </c>
    </row>
    <row r="3437" spans="1:21">
      <c r="A3437">
        <v>3436</v>
      </c>
      <c r="B3437" s="30" t="s">
        <v>1587</v>
      </c>
      <c r="D3437" s="30" t="s">
        <v>1588</v>
      </c>
      <c r="F3437" s="30" t="s">
        <v>1591</v>
      </c>
      <c r="H3437" s="30" t="s">
        <v>1592</v>
      </c>
      <c r="N3437" s="30" t="s">
        <v>1348</v>
      </c>
      <c r="P3437" s="30" t="s">
        <v>6895</v>
      </c>
      <c r="Q3437" t="s">
        <v>619</v>
      </c>
      <c r="R3437" t="s">
        <v>918</v>
      </c>
      <c r="S3437">
        <v>37</v>
      </c>
      <c r="T3437" s="29" t="str">
        <f>HYPERLINK("https://ictv.global/ictv/proposals/2021.010B.R.Binomial_names.zip","2021.010B.R.Binomial_names.zip")</f>
        <v>2021.010B.R.Binomial_names.zip</v>
      </c>
      <c r="U3437" s="29" t="str">
        <f>HYPERLINK("https://ictv.global/taxonomy/taxondetails?taxnode_id=202306660","ictv.global=202306660")</f>
        <v>ictv.global=202306660</v>
      </c>
    </row>
    <row r="3438" spans="1:21">
      <c r="A3438">
        <v>3437</v>
      </c>
      <c r="B3438" s="30" t="s">
        <v>1587</v>
      </c>
      <c r="D3438" s="30" t="s">
        <v>1588</v>
      </c>
      <c r="F3438" s="30" t="s">
        <v>1591</v>
      </c>
      <c r="H3438" s="30" t="s">
        <v>1592</v>
      </c>
      <c r="N3438" s="30" t="s">
        <v>1348</v>
      </c>
      <c r="P3438" s="30" t="s">
        <v>6896</v>
      </c>
      <c r="Q3438" t="s">
        <v>619</v>
      </c>
      <c r="R3438" t="s">
        <v>918</v>
      </c>
      <c r="S3438">
        <v>37</v>
      </c>
      <c r="T3438" s="29" t="str">
        <f>HYPERLINK("https://ictv.global/ictv/proposals/2021.010B.R.Binomial_names.zip","2021.010B.R.Binomial_names.zip")</f>
        <v>2021.010B.R.Binomial_names.zip</v>
      </c>
      <c r="U3438" s="29" t="str">
        <f>HYPERLINK("https://ictv.global/taxonomy/taxondetails?taxnode_id=202306659","ictv.global=202306659")</f>
        <v>ictv.global=202306659</v>
      </c>
    </row>
    <row r="3439" spans="1:21">
      <c r="A3439">
        <v>3438</v>
      </c>
      <c r="B3439" s="30" t="s">
        <v>1587</v>
      </c>
      <c r="D3439" s="30" t="s">
        <v>1588</v>
      </c>
      <c r="F3439" s="30" t="s">
        <v>1591</v>
      </c>
      <c r="H3439" s="30" t="s">
        <v>1592</v>
      </c>
      <c r="N3439" s="30" t="s">
        <v>2304</v>
      </c>
      <c r="P3439" s="30" t="s">
        <v>6897</v>
      </c>
      <c r="Q3439" t="s">
        <v>619</v>
      </c>
      <c r="R3439" t="s">
        <v>918</v>
      </c>
      <c r="S3439">
        <v>37</v>
      </c>
      <c r="T3439" s="29" t="str">
        <f>HYPERLINK("https://ictv.global/ictv/proposals/2021.010B.R.Binomial_names.zip","2021.010B.R.Binomial_names.zip")</f>
        <v>2021.010B.R.Binomial_names.zip</v>
      </c>
      <c r="U3439" s="29" t="str">
        <f>HYPERLINK("https://ictv.global/taxonomy/taxondetails?taxnode_id=202309373","ictv.global=202309373")</f>
        <v>ictv.global=202309373</v>
      </c>
    </row>
    <row r="3440" spans="1:21">
      <c r="A3440">
        <v>3439</v>
      </c>
      <c r="B3440" s="30" t="s">
        <v>1587</v>
      </c>
      <c r="D3440" s="30" t="s">
        <v>1588</v>
      </c>
      <c r="F3440" s="30" t="s">
        <v>1591</v>
      </c>
      <c r="H3440" s="30" t="s">
        <v>1592</v>
      </c>
      <c r="N3440" s="30" t="s">
        <v>12526</v>
      </c>
      <c r="P3440" s="30" t="s">
        <v>12527</v>
      </c>
      <c r="Q3440" t="s">
        <v>619</v>
      </c>
      <c r="R3440" t="s">
        <v>917</v>
      </c>
      <c r="S3440">
        <v>39</v>
      </c>
      <c r="T3440" s="29" t="str">
        <f>HYPERLINK("https://ictv.global/ictv/proposals/2023.008B.Athenavirus_Theosmithvirus_2ng.zip","2023.008B.Athenavirus_Theosmithvirus_2ng.zip")</f>
        <v>2023.008B.Athenavirus_Theosmithvirus_2ng.zip</v>
      </c>
      <c r="U3440" s="29" t="str">
        <f>HYPERLINK("https://ictv.global/taxonomy/taxondetails?taxnode_id=202317871","ictv.global=202317871")</f>
        <v>ictv.global=202317871</v>
      </c>
    </row>
    <row r="3441" spans="1:21">
      <c r="A3441">
        <v>3440</v>
      </c>
      <c r="B3441" s="30" t="s">
        <v>1587</v>
      </c>
      <c r="D3441" s="30" t="s">
        <v>1588</v>
      </c>
      <c r="F3441" s="30" t="s">
        <v>1591</v>
      </c>
      <c r="H3441" s="30" t="s">
        <v>1592</v>
      </c>
      <c r="N3441" s="30" t="s">
        <v>6898</v>
      </c>
      <c r="P3441" s="30" t="s">
        <v>6899</v>
      </c>
      <c r="Q3441" t="s">
        <v>619</v>
      </c>
      <c r="R3441" t="s">
        <v>917</v>
      </c>
      <c r="S3441">
        <v>38</v>
      </c>
      <c r="T3441" s="29" t="str">
        <f>HYPERLINK("https://ictv.global/ictv/proposals/2022.091B.Caudoviricetes_3ng_actinophages.zip","2022.091B.Caudoviricetes_3ng_actinophages.zip")</f>
        <v>2022.091B.Caudoviricetes_3ng_actinophages.zip</v>
      </c>
      <c r="U3441" s="29" t="str">
        <f>HYPERLINK("https://ictv.global/taxonomy/taxondetails?taxnode_id=202314965","ictv.global=202314965")</f>
        <v>ictv.global=202314965</v>
      </c>
    </row>
    <row r="3442" spans="1:21">
      <c r="A3442">
        <v>3441</v>
      </c>
      <c r="B3442" s="30" t="s">
        <v>1587</v>
      </c>
      <c r="D3442" s="30" t="s">
        <v>1588</v>
      </c>
      <c r="F3442" s="30" t="s">
        <v>1591</v>
      </c>
      <c r="H3442" s="30" t="s">
        <v>1592</v>
      </c>
      <c r="N3442" s="30" t="s">
        <v>938</v>
      </c>
      <c r="P3442" s="30" t="s">
        <v>6900</v>
      </c>
      <c r="Q3442" t="s">
        <v>619</v>
      </c>
      <c r="R3442" t="s">
        <v>918</v>
      </c>
      <c r="S3442">
        <v>37</v>
      </c>
      <c r="T3442" s="29" t="str">
        <f>HYPERLINK("https://ictv.global/ictv/proposals/2021.010B.R.Binomial_names.zip","2021.010B.R.Binomial_names.zip")</f>
        <v>2021.010B.R.Binomial_names.zip</v>
      </c>
      <c r="U3442" s="29" t="str">
        <f>HYPERLINK("https://ictv.global/taxonomy/taxondetails?taxnode_id=202305541","ictv.global=202305541")</f>
        <v>ictv.global=202305541</v>
      </c>
    </row>
    <row r="3443" spans="1:21">
      <c r="A3443">
        <v>3442</v>
      </c>
      <c r="B3443" s="30" t="s">
        <v>1587</v>
      </c>
      <c r="D3443" s="30" t="s">
        <v>1588</v>
      </c>
      <c r="F3443" s="30" t="s">
        <v>1591</v>
      </c>
      <c r="H3443" s="30" t="s">
        <v>1592</v>
      </c>
      <c r="N3443" s="30" t="s">
        <v>938</v>
      </c>
      <c r="P3443" s="30" t="s">
        <v>6901</v>
      </c>
      <c r="Q3443" t="s">
        <v>619</v>
      </c>
      <c r="R3443" t="s">
        <v>917</v>
      </c>
      <c r="S3443">
        <v>38</v>
      </c>
      <c r="T3443" s="29" t="str">
        <f t="shared" ref="T3443:T3450" si="153">HYPERLINK("https://ictv.global/ictv/proposals/2022.084B.Caudoviricetes_6ng_33nsp.zip","2022.084B.Caudoviricetes_6ng_33nsp.zip")</f>
        <v>2022.084B.Caudoviricetes_6ng_33nsp.zip</v>
      </c>
      <c r="U3443" s="29" t="str">
        <f>HYPERLINK("https://ictv.global/taxonomy/taxondetails?taxnode_id=202314908","ictv.global=202314908")</f>
        <v>ictv.global=202314908</v>
      </c>
    </row>
    <row r="3444" spans="1:21">
      <c r="A3444">
        <v>3443</v>
      </c>
      <c r="B3444" s="30" t="s">
        <v>1587</v>
      </c>
      <c r="D3444" s="30" t="s">
        <v>1588</v>
      </c>
      <c r="F3444" s="30" t="s">
        <v>1591</v>
      </c>
      <c r="H3444" s="30" t="s">
        <v>1592</v>
      </c>
      <c r="N3444" s="30" t="s">
        <v>938</v>
      </c>
      <c r="P3444" s="30" t="s">
        <v>6902</v>
      </c>
      <c r="Q3444" t="s">
        <v>619</v>
      </c>
      <c r="R3444" t="s">
        <v>917</v>
      </c>
      <c r="S3444">
        <v>38</v>
      </c>
      <c r="T3444" s="29" t="str">
        <f t="shared" si="153"/>
        <v>2022.084B.Caudoviricetes_6ng_33nsp.zip</v>
      </c>
      <c r="U3444" s="29" t="str">
        <f>HYPERLINK("https://ictv.global/taxonomy/taxondetails?taxnode_id=202314909","ictv.global=202314909")</f>
        <v>ictv.global=202314909</v>
      </c>
    </row>
    <row r="3445" spans="1:21">
      <c r="A3445">
        <v>3444</v>
      </c>
      <c r="B3445" s="30" t="s">
        <v>1587</v>
      </c>
      <c r="D3445" s="30" t="s">
        <v>1588</v>
      </c>
      <c r="F3445" s="30" t="s">
        <v>1591</v>
      </c>
      <c r="H3445" s="30" t="s">
        <v>1592</v>
      </c>
      <c r="N3445" s="30" t="s">
        <v>938</v>
      </c>
      <c r="P3445" s="30" t="s">
        <v>6903</v>
      </c>
      <c r="Q3445" t="s">
        <v>619</v>
      </c>
      <c r="R3445" t="s">
        <v>917</v>
      </c>
      <c r="S3445">
        <v>38</v>
      </c>
      <c r="T3445" s="29" t="str">
        <f t="shared" si="153"/>
        <v>2022.084B.Caudoviricetes_6ng_33nsp.zip</v>
      </c>
      <c r="U3445" s="29" t="str">
        <f>HYPERLINK("https://ictv.global/taxonomy/taxondetails?taxnode_id=202314906","ictv.global=202314906")</f>
        <v>ictv.global=202314906</v>
      </c>
    </row>
    <row r="3446" spans="1:21">
      <c r="A3446">
        <v>3445</v>
      </c>
      <c r="B3446" s="30" t="s">
        <v>1587</v>
      </c>
      <c r="D3446" s="30" t="s">
        <v>1588</v>
      </c>
      <c r="F3446" s="30" t="s">
        <v>1591</v>
      </c>
      <c r="H3446" s="30" t="s">
        <v>1592</v>
      </c>
      <c r="N3446" s="30" t="s">
        <v>938</v>
      </c>
      <c r="P3446" s="30" t="s">
        <v>6904</v>
      </c>
      <c r="Q3446" t="s">
        <v>619</v>
      </c>
      <c r="R3446" t="s">
        <v>917</v>
      </c>
      <c r="S3446">
        <v>38</v>
      </c>
      <c r="T3446" s="29" t="str">
        <f t="shared" si="153"/>
        <v>2022.084B.Caudoviricetes_6ng_33nsp.zip</v>
      </c>
      <c r="U3446" s="29" t="str">
        <f>HYPERLINK("https://ictv.global/taxonomy/taxondetails?taxnode_id=202314903","ictv.global=202314903")</f>
        <v>ictv.global=202314903</v>
      </c>
    </row>
    <row r="3447" spans="1:21">
      <c r="A3447">
        <v>3446</v>
      </c>
      <c r="B3447" s="30" t="s">
        <v>1587</v>
      </c>
      <c r="D3447" s="30" t="s">
        <v>1588</v>
      </c>
      <c r="F3447" s="30" t="s">
        <v>1591</v>
      </c>
      <c r="H3447" s="30" t="s">
        <v>1592</v>
      </c>
      <c r="N3447" s="30" t="s">
        <v>938</v>
      </c>
      <c r="P3447" s="30" t="s">
        <v>6905</v>
      </c>
      <c r="Q3447" t="s">
        <v>619</v>
      </c>
      <c r="R3447" t="s">
        <v>917</v>
      </c>
      <c r="S3447">
        <v>38</v>
      </c>
      <c r="T3447" s="29" t="str">
        <f t="shared" si="153"/>
        <v>2022.084B.Caudoviricetes_6ng_33nsp.zip</v>
      </c>
      <c r="U3447" s="29" t="str">
        <f>HYPERLINK("https://ictv.global/taxonomy/taxondetails?taxnode_id=202314904","ictv.global=202314904")</f>
        <v>ictv.global=202314904</v>
      </c>
    </row>
    <row r="3448" spans="1:21">
      <c r="A3448">
        <v>3447</v>
      </c>
      <c r="B3448" s="30" t="s">
        <v>1587</v>
      </c>
      <c r="D3448" s="30" t="s">
        <v>1588</v>
      </c>
      <c r="F3448" s="30" t="s">
        <v>1591</v>
      </c>
      <c r="H3448" s="30" t="s">
        <v>1592</v>
      </c>
      <c r="N3448" s="30" t="s">
        <v>938</v>
      </c>
      <c r="P3448" s="30" t="s">
        <v>6906</v>
      </c>
      <c r="Q3448" t="s">
        <v>619</v>
      </c>
      <c r="R3448" t="s">
        <v>917</v>
      </c>
      <c r="S3448">
        <v>38</v>
      </c>
      <c r="T3448" s="29" t="str">
        <f t="shared" si="153"/>
        <v>2022.084B.Caudoviricetes_6ng_33nsp.zip</v>
      </c>
      <c r="U3448" s="29" t="str">
        <f>HYPERLINK("https://ictv.global/taxonomy/taxondetails?taxnode_id=202314907","ictv.global=202314907")</f>
        <v>ictv.global=202314907</v>
      </c>
    </row>
    <row r="3449" spans="1:21">
      <c r="A3449">
        <v>3448</v>
      </c>
      <c r="B3449" s="30" t="s">
        <v>1587</v>
      </c>
      <c r="D3449" s="30" t="s">
        <v>1588</v>
      </c>
      <c r="F3449" s="30" t="s">
        <v>1591</v>
      </c>
      <c r="H3449" s="30" t="s">
        <v>1592</v>
      </c>
      <c r="N3449" s="30" t="s">
        <v>938</v>
      </c>
      <c r="P3449" s="30" t="s">
        <v>6907</v>
      </c>
      <c r="Q3449" t="s">
        <v>619</v>
      </c>
      <c r="R3449" t="s">
        <v>917</v>
      </c>
      <c r="S3449">
        <v>38</v>
      </c>
      <c r="T3449" s="29" t="str">
        <f t="shared" si="153"/>
        <v>2022.084B.Caudoviricetes_6ng_33nsp.zip</v>
      </c>
      <c r="U3449" s="29" t="str">
        <f>HYPERLINK("https://ictv.global/taxonomy/taxondetails?taxnode_id=202314902","ictv.global=202314902")</f>
        <v>ictv.global=202314902</v>
      </c>
    </row>
    <row r="3450" spans="1:21">
      <c r="A3450">
        <v>3449</v>
      </c>
      <c r="B3450" s="30" t="s">
        <v>1587</v>
      </c>
      <c r="D3450" s="30" t="s">
        <v>1588</v>
      </c>
      <c r="F3450" s="30" t="s">
        <v>1591</v>
      </c>
      <c r="H3450" s="30" t="s">
        <v>1592</v>
      </c>
      <c r="N3450" s="30" t="s">
        <v>938</v>
      </c>
      <c r="P3450" s="30" t="s">
        <v>6908</v>
      </c>
      <c r="Q3450" t="s">
        <v>619</v>
      </c>
      <c r="R3450" t="s">
        <v>917</v>
      </c>
      <c r="S3450">
        <v>38</v>
      </c>
      <c r="T3450" s="29" t="str">
        <f t="shared" si="153"/>
        <v>2022.084B.Caudoviricetes_6ng_33nsp.zip</v>
      </c>
      <c r="U3450" s="29" t="str">
        <f>HYPERLINK("https://ictv.global/taxonomy/taxondetails?taxnode_id=202314905","ictv.global=202314905")</f>
        <v>ictv.global=202314905</v>
      </c>
    </row>
    <row r="3451" spans="1:21">
      <c r="A3451">
        <v>3450</v>
      </c>
      <c r="B3451" s="30" t="s">
        <v>1587</v>
      </c>
      <c r="D3451" s="30" t="s">
        <v>1588</v>
      </c>
      <c r="F3451" s="30" t="s">
        <v>1591</v>
      </c>
      <c r="H3451" s="30" t="s">
        <v>1592</v>
      </c>
      <c r="N3451" s="30" t="s">
        <v>1890</v>
      </c>
      <c r="P3451" s="30" t="s">
        <v>6909</v>
      </c>
      <c r="Q3451" t="s">
        <v>619</v>
      </c>
      <c r="R3451" t="s">
        <v>918</v>
      </c>
      <c r="S3451">
        <v>37</v>
      </c>
      <c r="T3451" s="29" t="str">
        <f t="shared" ref="T3451:T3462" si="154">HYPERLINK("https://ictv.global/ictv/proposals/2021.010B.R.Binomial_names.zip","2021.010B.R.Binomial_names.zip")</f>
        <v>2021.010B.R.Binomial_names.zip</v>
      </c>
      <c r="U3451" s="29" t="str">
        <f>HYPERLINK("https://ictv.global/taxonomy/taxondetails?taxnode_id=202307725","ictv.global=202307725")</f>
        <v>ictv.global=202307725</v>
      </c>
    </row>
    <row r="3452" spans="1:21">
      <c r="A3452">
        <v>3451</v>
      </c>
      <c r="B3452" s="30" t="s">
        <v>1587</v>
      </c>
      <c r="D3452" s="30" t="s">
        <v>1588</v>
      </c>
      <c r="F3452" s="30" t="s">
        <v>1591</v>
      </c>
      <c r="H3452" s="30" t="s">
        <v>1592</v>
      </c>
      <c r="N3452" s="30" t="s">
        <v>2415</v>
      </c>
      <c r="P3452" s="30" t="s">
        <v>6910</v>
      </c>
      <c r="Q3452" t="s">
        <v>619</v>
      </c>
      <c r="R3452" t="s">
        <v>918</v>
      </c>
      <c r="S3452">
        <v>37</v>
      </c>
      <c r="T3452" s="29" t="str">
        <f t="shared" si="154"/>
        <v>2021.010B.R.Binomial_names.zip</v>
      </c>
      <c r="U3452" s="29" t="str">
        <f>HYPERLINK("https://ictv.global/taxonomy/taxondetails?taxnode_id=202309386","ictv.global=202309386")</f>
        <v>ictv.global=202309386</v>
      </c>
    </row>
    <row r="3453" spans="1:21">
      <c r="A3453">
        <v>3452</v>
      </c>
      <c r="B3453" s="30" t="s">
        <v>1587</v>
      </c>
      <c r="D3453" s="30" t="s">
        <v>1588</v>
      </c>
      <c r="F3453" s="30" t="s">
        <v>1591</v>
      </c>
      <c r="H3453" s="30" t="s">
        <v>1592</v>
      </c>
      <c r="N3453" s="30" t="s">
        <v>2415</v>
      </c>
      <c r="P3453" s="30" t="s">
        <v>6911</v>
      </c>
      <c r="Q3453" t="s">
        <v>619</v>
      </c>
      <c r="R3453" t="s">
        <v>918</v>
      </c>
      <c r="S3453">
        <v>37</v>
      </c>
      <c r="T3453" s="29" t="str">
        <f t="shared" si="154"/>
        <v>2021.010B.R.Binomial_names.zip</v>
      </c>
      <c r="U3453" s="29" t="str">
        <f>HYPERLINK("https://ictv.global/taxonomy/taxondetails?taxnode_id=202309388","ictv.global=202309388")</f>
        <v>ictv.global=202309388</v>
      </c>
    </row>
    <row r="3454" spans="1:21">
      <c r="A3454">
        <v>3453</v>
      </c>
      <c r="B3454" s="30" t="s">
        <v>1587</v>
      </c>
      <c r="D3454" s="30" t="s">
        <v>1588</v>
      </c>
      <c r="F3454" s="30" t="s">
        <v>1591</v>
      </c>
      <c r="H3454" s="30" t="s">
        <v>1592</v>
      </c>
      <c r="N3454" s="30" t="s">
        <v>2415</v>
      </c>
      <c r="P3454" s="30" t="s">
        <v>6912</v>
      </c>
      <c r="Q3454" t="s">
        <v>619</v>
      </c>
      <c r="R3454" t="s">
        <v>918</v>
      </c>
      <c r="S3454">
        <v>37</v>
      </c>
      <c r="T3454" s="29" t="str">
        <f t="shared" si="154"/>
        <v>2021.010B.R.Binomial_names.zip</v>
      </c>
      <c r="U3454" s="29" t="str">
        <f>HYPERLINK("https://ictv.global/taxonomy/taxondetails?taxnode_id=202309385","ictv.global=202309385")</f>
        <v>ictv.global=202309385</v>
      </c>
    </row>
    <row r="3455" spans="1:21">
      <c r="A3455">
        <v>3454</v>
      </c>
      <c r="B3455" s="30" t="s">
        <v>1587</v>
      </c>
      <c r="D3455" s="30" t="s">
        <v>1588</v>
      </c>
      <c r="F3455" s="30" t="s">
        <v>1591</v>
      </c>
      <c r="H3455" s="30" t="s">
        <v>1592</v>
      </c>
      <c r="N3455" s="30" t="s">
        <v>2415</v>
      </c>
      <c r="P3455" s="30" t="s">
        <v>6913</v>
      </c>
      <c r="Q3455" t="s">
        <v>619</v>
      </c>
      <c r="R3455" t="s">
        <v>918</v>
      </c>
      <c r="S3455">
        <v>37</v>
      </c>
      <c r="T3455" s="29" t="str">
        <f t="shared" si="154"/>
        <v>2021.010B.R.Binomial_names.zip</v>
      </c>
      <c r="U3455" s="29" t="str">
        <f>HYPERLINK("https://ictv.global/taxonomy/taxondetails?taxnode_id=202309389","ictv.global=202309389")</f>
        <v>ictv.global=202309389</v>
      </c>
    </row>
    <row r="3456" spans="1:21">
      <c r="A3456">
        <v>3455</v>
      </c>
      <c r="B3456" s="30" t="s">
        <v>1587</v>
      </c>
      <c r="D3456" s="30" t="s">
        <v>1588</v>
      </c>
      <c r="F3456" s="30" t="s">
        <v>1591</v>
      </c>
      <c r="H3456" s="30" t="s">
        <v>1592</v>
      </c>
      <c r="N3456" s="30" t="s">
        <v>2415</v>
      </c>
      <c r="P3456" s="30" t="s">
        <v>6914</v>
      </c>
      <c r="Q3456" t="s">
        <v>619</v>
      </c>
      <c r="R3456" t="s">
        <v>918</v>
      </c>
      <c r="S3456">
        <v>37</v>
      </c>
      <c r="T3456" s="29" t="str">
        <f t="shared" si="154"/>
        <v>2021.010B.R.Binomial_names.zip</v>
      </c>
      <c r="U3456" s="29" t="str">
        <f>HYPERLINK("https://ictv.global/taxonomy/taxondetails?taxnode_id=202309387","ictv.global=202309387")</f>
        <v>ictv.global=202309387</v>
      </c>
    </row>
    <row r="3457" spans="1:21">
      <c r="A3457">
        <v>3456</v>
      </c>
      <c r="B3457" s="30" t="s">
        <v>1587</v>
      </c>
      <c r="D3457" s="30" t="s">
        <v>1588</v>
      </c>
      <c r="F3457" s="30" t="s">
        <v>1591</v>
      </c>
      <c r="H3457" s="30" t="s">
        <v>1592</v>
      </c>
      <c r="N3457" s="30" t="s">
        <v>2415</v>
      </c>
      <c r="P3457" s="30" t="s">
        <v>6915</v>
      </c>
      <c r="Q3457" t="s">
        <v>619</v>
      </c>
      <c r="R3457" t="s">
        <v>918</v>
      </c>
      <c r="S3457">
        <v>37</v>
      </c>
      <c r="T3457" s="29" t="str">
        <f t="shared" si="154"/>
        <v>2021.010B.R.Binomial_names.zip</v>
      </c>
      <c r="U3457" s="29" t="str">
        <f>HYPERLINK("https://ictv.global/taxonomy/taxondetails?taxnode_id=202309391","ictv.global=202309391")</f>
        <v>ictv.global=202309391</v>
      </c>
    </row>
    <row r="3458" spans="1:21">
      <c r="A3458">
        <v>3457</v>
      </c>
      <c r="B3458" s="30" t="s">
        <v>1587</v>
      </c>
      <c r="D3458" s="30" t="s">
        <v>1588</v>
      </c>
      <c r="F3458" s="30" t="s">
        <v>1591</v>
      </c>
      <c r="H3458" s="30" t="s">
        <v>1592</v>
      </c>
      <c r="N3458" s="30" t="s">
        <v>2415</v>
      </c>
      <c r="P3458" s="30" t="s">
        <v>6916</v>
      </c>
      <c r="Q3458" t="s">
        <v>619</v>
      </c>
      <c r="R3458" t="s">
        <v>918</v>
      </c>
      <c r="S3458">
        <v>37</v>
      </c>
      <c r="T3458" s="29" t="str">
        <f t="shared" si="154"/>
        <v>2021.010B.R.Binomial_names.zip</v>
      </c>
      <c r="U3458" s="29" t="str">
        <f>HYPERLINK("https://ictv.global/taxonomy/taxondetails?taxnode_id=202309390","ictv.global=202309390")</f>
        <v>ictv.global=202309390</v>
      </c>
    </row>
    <row r="3459" spans="1:21">
      <c r="A3459">
        <v>3458</v>
      </c>
      <c r="B3459" s="30" t="s">
        <v>1587</v>
      </c>
      <c r="D3459" s="30" t="s">
        <v>1588</v>
      </c>
      <c r="F3459" s="30" t="s">
        <v>1591</v>
      </c>
      <c r="H3459" s="30" t="s">
        <v>1592</v>
      </c>
      <c r="N3459" s="30" t="s">
        <v>1806</v>
      </c>
      <c r="P3459" s="30" t="s">
        <v>6917</v>
      </c>
      <c r="Q3459" t="s">
        <v>619</v>
      </c>
      <c r="R3459" t="s">
        <v>918</v>
      </c>
      <c r="S3459">
        <v>37</v>
      </c>
      <c r="T3459" s="29" t="str">
        <f t="shared" si="154"/>
        <v>2021.010B.R.Binomial_names.zip</v>
      </c>
      <c r="U3459" s="29" t="str">
        <f>HYPERLINK("https://ictv.global/taxonomy/taxondetails?taxnode_id=202307766","ictv.global=202307766")</f>
        <v>ictv.global=202307766</v>
      </c>
    </row>
    <row r="3460" spans="1:21">
      <c r="A3460">
        <v>3459</v>
      </c>
      <c r="B3460" s="30" t="s">
        <v>1587</v>
      </c>
      <c r="D3460" s="30" t="s">
        <v>1588</v>
      </c>
      <c r="F3460" s="30" t="s">
        <v>1591</v>
      </c>
      <c r="H3460" s="30" t="s">
        <v>1592</v>
      </c>
      <c r="N3460" s="30" t="s">
        <v>1891</v>
      </c>
      <c r="P3460" s="30" t="s">
        <v>6918</v>
      </c>
      <c r="Q3460" t="s">
        <v>619</v>
      </c>
      <c r="R3460" t="s">
        <v>918</v>
      </c>
      <c r="S3460">
        <v>37</v>
      </c>
      <c r="T3460" s="29" t="str">
        <f t="shared" si="154"/>
        <v>2021.010B.R.Binomial_names.zip</v>
      </c>
      <c r="U3460" s="29" t="str">
        <f>HYPERLINK("https://ictv.global/taxonomy/taxondetails?taxnode_id=202307727","ictv.global=202307727")</f>
        <v>ictv.global=202307727</v>
      </c>
    </row>
    <row r="3461" spans="1:21">
      <c r="A3461">
        <v>3460</v>
      </c>
      <c r="B3461" s="30" t="s">
        <v>1587</v>
      </c>
      <c r="D3461" s="30" t="s">
        <v>1588</v>
      </c>
      <c r="F3461" s="30" t="s">
        <v>1591</v>
      </c>
      <c r="H3461" s="30" t="s">
        <v>1592</v>
      </c>
      <c r="N3461" s="30" t="s">
        <v>1891</v>
      </c>
      <c r="P3461" s="30" t="s">
        <v>6919</v>
      </c>
      <c r="Q3461" t="s">
        <v>619</v>
      </c>
      <c r="R3461" t="s">
        <v>918</v>
      </c>
      <c r="S3461">
        <v>37</v>
      </c>
      <c r="T3461" s="29" t="str">
        <f t="shared" si="154"/>
        <v>2021.010B.R.Binomial_names.zip</v>
      </c>
      <c r="U3461" s="29" t="str">
        <f>HYPERLINK("https://ictv.global/taxonomy/taxondetails?taxnode_id=202307728","ictv.global=202307728")</f>
        <v>ictv.global=202307728</v>
      </c>
    </row>
    <row r="3462" spans="1:21">
      <c r="A3462">
        <v>3461</v>
      </c>
      <c r="B3462" s="30" t="s">
        <v>1587</v>
      </c>
      <c r="D3462" s="30" t="s">
        <v>1588</v>
      </c>
      <c r="F3462" s="30" t="s">
        <v>1591</v>
      </c>
      <c r="H3462" s="30" t="s">
        <v>1592</v>
      </c>
      <c r="N3462" s="30" t="s">
        <v>1891</v>
      </c>
      <c r="P3462" s="30" t="s">
        <v>6920</v>
      </c>
      <c r="Q3462" t="s">
        <v>619</v>
      </c>
      <c r="R3462" t="s">
        <v>918</v>
      </c>
      <c r="S3462">
        <v>37</v>
      </c>
      <c r="T3462" s="29" t="str">
        <f t="shared" si="154"/>
        <v>2021.010B.R.Binomial_names.zip</v>
      </c>
      <c r="U3462" s="29" t="str">
        <f>HYPERLINK("https://ictv.global/taxonomy/taxondetails?taxnode_id=202307729","ictv.global=202307729")</f>
        <v>ictv.global=202307729</v>
      </c>
    </row>
    <row r="3463" spans="1:21">
      <c r="A3463">
        <v>3462</v>
      </c>
      <c r="B3463" s="30" t="s">
        <v>1587</v>
      </c>
      <c r="D3463" s="30" t="s">
        <v>1588</v>
      </c>
      <c r="F3463" s="30" t="s">
        <v>1591</v>
      </c>
      <c r="H3463" s="30" t="s">
        <v>1592</v>
      </c>
      <c r="N3463" s="30" t="s">
        <v>6921</v>
      </c>
      <c r="P3463" s="30" t="s">
        <v>6922</v>
      </c>
      <c r="Q3463" t="s">
        <v>619</v>
      </c>
      <c r="R3463" t="s">
        <v>917</v>
      </c>
      <c r="S3463">
        <v>38</v>
      </c>
      <c r="T3463" s="29" t="str">
        <f>HYPERLINK("https://ictv.global/ictv/proposals/2022.009B.Axeltriavirus_ng.zip","2022.009B.Axeltriavirus_ng.zip")</f>
        <v>2022.009B.Axeltriavirus_ng.zip</v>
      </c>
      <c r="U3463" s="29" t="str">
        <f>HYPERLINK("https://ictv.global/taxonomy/taxondetails?taxnode_id=202314495","ictv.global=202314495")</f>
        <v>ictv.global=202314495</v>
      </c>
    </row>
    <row r="3464" spans="1:21">
      <c r="A3464">
        <v>3463</v>
      </c>
      <c r="B3464" s="30" t="s">
        <v>1587</v>
      </c>
      <c r="D3464" s="30" t="s">
        <v>1588</v>
      </c>
      <c r="F3464" s="30" t="s">
        <v>1591</v>
      </c>
      <c r="H3464" s="30" t="s">
        <v>1592</v>
      </c>
      <c r="N3464" s="30" t="s">
        <v>2258</v>
      </c>
      <c r="P3464" s="30" t="s">
        <v>6923</v>
      </c>
      <c r="Q3464" t="s">
        <v>619</v>
      </c>
      <c r="R3464" t="s">
        <v>918</v>
      </c>
      <c r="S3464">
        <v>37</v>
      </c>
      <c r="T3464" s="29" t="str">
        <f>HYPERLINK("https://ictv.global/ictv/proposals/2021.010B.R.Binomial_names.zip","2021.010B.R.Binomial_names.zip")</f>
        <v>2021.010B.R.Binomial_names.zip</v>
      </c>
      <c r="U3464" s="29" t="str">
        <f>HYPERLINK("https://ictv.global/taxonomy/taxondetails?taxnode_id=202309548","ictv.global=202309548")</f>
        <v>ictv.global=202309548</v>
      </c>
    </row>
    <row r="3465" spans="1:21">
      <c r="A3465">
        <v>3464</v>
      </c>
      <c r="B3465" s="30" t="s">
        <v>1587</v>
      </c>
      <c r="D3465" s="30" t="s">
        <v>1588</v>
      </c>
      <c r="F3465" s="30" t="s">
        <v>1591</v>
      </c>
      <c r="H3465" s="30" t="s">
        <v>1592</v>
      </c>
      <c r="N3465" s="30" t="s">
        <v>12528</v>
      </c>
      <c r="P3465" s="30" t="s">
        <v>12529</v>
      </c>
      <c r="Q3465" t="s">
        <v>619</v>
      </c>
      <c r="R3465" t="s">
        <v>917</v>
      </c>
      <c r="S3465">
        <v>39</v>
      </c>
      <c r="T3465" s="29" t="str">
        <f>HYPERLINK("https://ictv.global/ictv/proposals/2023.025B.Caudoviricetes_Gordonia_2ng.zip","2023.025B.Caudoviricetes_Gordonia_2ng.zip")</f>
        <v>2023.025B.Caudoviricetes_Gordonia_2ng.zip</v>
      </c>
      <c r="U3465" s="29" t="str">
        <f>HYPERLINK("https://ictv.global/taxonomy/taxondetails?taxnode_id=202318852","ictv.global=202318852")</f>
        <v>ictv.global=202318852</v>
      </c>
    </row>
    <row r="3466" spans="1:21">
      <c r="A3466">
        <v>3465</v>
      </c>
      <c r="B3466" s="30" t="s">
        <v>1587</v>
      </c>
      <c r="D3466" s="30" t="s">
        <v>1588</v>
      </c>
      <c r="F3466" s="30" t="s">
        <v>1591</v>
      </c>
      <c r="H3466" s="30" t="s">
        <v>1592</v>
      </c>
      <c r="N3466" s="30" t="s">
        <v>12528</v>
      </c>
      <c r="P3466" s="30" t="s">
        <v>12530</v>
      </c>
      <c r="Q3466" t="s">
        <v>619</v>
      </c>
      <c r="R3466" t="s">
        <v>917</v>
      </c>
      <c r="S3466">
        <v>39</v>
      </c>
      <c r="T3466" s="29" t="str">
        <f>HYPERLINK("https://ictv.global/ictv/proposals/2023.025B.Caudoviricetes_Gordonia_2ng.zip","2023.025B.Caudoviricetes_Gordonia_2ng.zip")</f>
        <v>2023.025B.Caudoviricetes_Gordonia_2ng.zip</v>
      </c>
      <c r="U3466" s="29" t="str">
        <f>HYPERLINK("https://ictv.global/taxonomy/taxondetails?taxnode_id=202318853","ictv.global=202318853")</f>
        <v>ictv.global=202318853</v>
      </c>
    </row>
    <row r="3467" spans="1:21">
      <c r="A3467">
        <v>3466</v>
      </c>
      <c r="B3467" s="30" t="s">
        <v>1587</v>
      </c>
      <c r="D3467" s="30" t="s">
        <v>1588</v>
      </c>
      <c r="F3467" s="30" t="s">
        <v>1591</v>
      </c>
      <c r="H3467" s="30" t="s">
        <v>1592</v>
      </c>
      <c r="N3467" s="30" t="s">
        <v>6924</v>
      </c>
      <c r="P3467" s="30" t="s">
        <v>6925</v>
      </c>
      <c r="Q3467" t="s">
        <v>619</v>
      </c>
      <c r="R3467" t="s">
        <v>918</v>
      </c>
      <c r="S3467">
        <v>37</v>
      </c>
      <c r="T3467" s="29" t="str">
        <f t="shared" ref="T3467:T3482" si="155">HYPERLINK("https://ictv.global/ictv/proposals/2021.006B.R.Backyardiganvirus.zip","2021.006B.R.Backyardiganvirus.zip")</f>
        <v>2021.006B.R.Backyardiganvirus.zip</v>
      </c>
      <c r="U3467" s="29" t="str">
        <f>HYPERLINK("https://ictv.global/taxonomy/taxondetails?taxnode_id=202301010","ictv.global=202301010")</f>
        <v>ictv.global=202301010</v>
      </c>
    </row>
    <row r="3468" spans="1:21">
      <c r="A3468">
        <v>3467</v>
      </c>
      <c r="B3468" s="30" t="s">
        <v>1587</v>
      </c>
      <c r="D3468" s="30" t="s">
        <v>1588</v>
      </c>
      <c r="F3468" s="30" t="s">
        <v>1591</v>
      </c>
      <c r="H3468" s="30" t="s">
        <v>1592</v>
      </c>
      <c r="N3468" s="30" t="s">
        <v>6924</v>
      </c>
      <c r="P3468" s="30" t="s">
        <v>6926</v>
      </c>
      <c r="Q3468" t="s">
        <v>619</v>
      </c>
      <c r="R3468" t="s">
        <v>918</v>
      </c>
      <c r="S3468">
        <v>37</v>
      </c>
      <c r="T3468" s="29" t="str">
        <f t="shared" si="155"/>
        <v>2021.006B.R.Backyardiganvirus.zip</v>
      </c>
      <c r="U3468" s="29" t="str">
        <f>HYPERLINK("https://ictv.global/taxonomy/taxondetails?taxnode_id=202301012","ictv.global=202301012")</f>
        <v>ictv.global=202301012</v>
      </c>
    </row>
    <row r="3469" spans="1:21">
      <c r="A3469">
        <v>3468</v>
      </c>
      <c r="B3469" s="30" t="s">
        <v>1587</v>
      </c>
      <c r="D3469" s="30" t="s">
        <v>1588</v>
      </c>
      <c r="F3469" s="30" t="s">
        <v>1591</v>
      </c>
      <c r="H3469" s="30" t="s">
        <v>1592</v>
      </c>
      <c r="N3469" s="30" t="s">
        <v>6924</v>
      </c>
      <c r="P3469" s="30" t="s">
        <v>6927</v>
      </c>
      <c r="Q3469" t="s">
        <v>619</v>
      </c>
      <c r="R3469" t="s">
        <v>917</v>
      </c>
      <c r="S3469">
        <v>37</v>
      </c>
      <c r="T3469" s="29" t="str">
        <f t="shared" si="155"/>
        <v>2021.006B.R.Backyardiganvirus.zip</v>
      </c>
      <c r="U3469" s="29" t="str">
        <f>HYPERLINK("https://ictv.global/taxonomy/taxondetails?taxnode_id=202313168","ictv.global=202313168")</f>
        <v>ictv.global=202313168</v>
      </c>
    </row>
    <row r="3470" spans="1:21">
      <c r="A3470">
        <v>3469</v>
      </c>
      <c r="B3470" s="30" t="s">
        <v>1587</v>
      </c>
      <c r="D3470" s="30" t="s">
        <v>1588</v>
      </c>
      <c r="F3470" s="30" t="s">
        <v>1591</v>
      </c>
      <c r="H3470" s="30" t="s">
        <v>1592</v>
      </c>
      <c r="N3470" s="30" t="s">
        <v>6924</v>
      </c>
      <c r="P3470" s="30" t="s">
        <v>6928</v>
      </c>
      <c r="Q3470" t="s">
        <v>619</v>
      </c>
      <c r="R3470" t="s">
        <v>917</v>
      </c>
      <c r="S3470">
        <v>37</v>
      </c>
      <c r="T3470" s="29" t="str">
        <f t="shared" si="155"/>
        <v>2021.006B.R.Backyardiganvirus.zip</v>
      </c>
      <c r="U3470" s="29" t="str">
        <f>HYPERLINK("https://ictv.global/taxonomy/taxondetails?taxnode_id=202313171","ictv.global=202313171")</f>
        <v>ictv.global=202313171</v>
      </c>
    </row>
    <row r="3471" spans="1:21">
      <c r="A3471">
        <v>3470</v>
      </c>
      <c r="B3471" s="30" t="s">
        <v>1587</v>
      </c>
      <c r="D3471" s="30" t="s">
        <v>1588</v>
      </c>
      <c r="F3471" s="30" t="s">
        <v>1591</v>
      </c>
      <c r="H3471" s="30" t="s">
        <v>1592</v>
      </c>
      <c r="N3471" s="30" t="s">
        <v>6924</v>
      </c>
      <c r="P3471" s="30" t="s">
        <v>6929</v>
      </c>
      <c r="Q3471" t="s">
        <v>619</v>
      </c>
      <c r="R3471" t="s">
        <v>917</v>
      </c>
      <c r="S3471">
        <v>37</v>
      </c>
      <c r="T3471" s="29" t="str">
        <f t="shared" si="155"/>
        <v>2021.006B.R.Backyardiganvirus.zip</v>
      </c>
      <c r="U3471" s="29" t="str">
        <f>HYPERLINK("https://ictv.global/taxonomy/taxondetails?taxnode_id=202313166","ictv.global=202313166")</f>
        <v>ictv.global=202313166</v>
      </c>
    </row>
    <row r="3472" spans="1:21">
      <c r="A3472">
        <v>3471</v>
      </c>
      <c r="B3472" s="30" t="s">
        <v>1587</v>
      </c>
      <c r="D3472" s="30" t="s">
        <v>1588</v>
      </c>
      <c r="F3472" s="30" t="s">
        <v>1591</v>
      </c>
      <c r="H3472" s="30" t="s">
        <v>1592</v>
      </c>
      <c r="N3472" s="30" t="s">
        <v>6924</v>
      </c>
      <c r="P3472" s="30" t="s">
        <v>6930</v>
      </c>
      <c r="Q3472" t="s">
        <v>619</v>
      </c>
      <c r="R3472" t="s">
        <v>917</v>
      </c>
      <c r="S3472">
        <v>37</v>
      </c>
      <c r="T3472" s="29" t="str">
        <f t="shared" si="155"/>
        <v>2021.006B.R.Backyardiganvirus.zip</v>
      </c>
      <c r="U3472" s="29" t="str">
        <f>HYPERLINK("https://ictv.global/taxonomy/taxondetails?taxnode_id=202313176","ictv.global=202313176")</f>
        <v>ictv.global=202313176</v>
      </c>
    </row>
    <row r="3473" spans="1:21">
      <c r="A3473">
        <v>3472</v>
      </c>
      <c r="B3473" s="30" t="s">
        <v>1587</v>
      </c>
      <c r="D3473" s="30" t="s">
        <v>1588</v>
      </c>
      <c r="F3473" s="30" t="s">
        <v>1591</v>
      </c>
      <c r="H3473" s="30" t="s">
        <v>1592</v>
      </c>
      <c r="N3473" s="30" t="s">
        <v>6924</v>
      </c>
      <c r="P3473" s="30" t="s">
        <v>6931</v>
      </c>
      <c r="Q3473" t="s">
        <v>619</v>
      </c>
      <c r="R3473" t="s">
        <v>917</v>
      </c>
      <c r="S3473">
        <v>37</v>
      </c>
      <c r="T3473" s="29" t="str">
        <f t="shared" si="155"/>
        <v>2021.006B.R.Backyardiganvirus.zip</v>
      </c>
      <c r="U3473" s="29" t="str">
        <f>HYPERLINK("https://ictv.global/taxonomy/taxondetails?taxnode_id=202313169","ictv.global=202313169")</f>
        <v>ictv.global=202313169</v>
      </c>
    </row>
    <row r="3474" spans="1:21">
      <c r="A3474">
        <v>3473</v>
      </c>
      <c r="B3474" s="30" t="s">
        <v>1587</v>
      </c>
      <c r="D3474" s="30" t="s">
        <v>1588</v>
      </c>
      <c r="F3474" s="30" t="s">
        <v>1591</v>
      </c>
      <c r="H3474" s="30" t="s">
        <v>1592</v>
      </c>
      <c r="N3474" s="30" t="s">
        <v>6924</v>
      </c>
      <c r="P3474" s="30" t="s">
        <v>6932</v>
      </c>
      <c r="Q3474" t="s">
        <v>619</v>
      </c>
      <c r="R3474" t="s">
        <v>917</v>
      </c>
      <c r="S3474">
        <v>37</v>
      </c>
      <c r="T3474" s="29" t="str">
        <f t="shared" si="155"/>
        <v>2021.006B.R.Backyardiganvirus.zip</v>
      </c>
      <c r="U3474" s="29" t="str">
        <f>HYPERLINK("https://ictv.global/taxonomy/taxondetails?taxnode_id=202313172","ictv.global=202313172")</f>
        <v>ictv.global=202313172</v>
      </c>
    </row>
    <row r="3475" spans="1:21">
      <c r="A3475">
        <v>3474</v>
      </c>
      <c r="B3475" s="30" t="s">
        <v>1587</v>
      </c>
      <c r="D3475" s="30" t="s">
        <v>1588</v>
      </c>
      <c r="F3475" s="30" t="s">
        <v>1591</v>
      </c>
      <c r="H3475" s="30" t="s">
        <v>1592</v>
      </c>
      <c r="N3475" s="30" t="s">
        <v>6924</v>
      </c>
      <c r="P3475" s="30" t="s">
        <v>6933</v>
      </c>
      <c r="Q3475" t="s">
        <v>619</v>
      </c>
      <c r="R3475" t="s">
        <v>917</v>
      </c>
      <c r="S3475">
        <v>37</v>
      </c>
      <c r="T3475" s="29" t="str">
        <f t="shared" si="155"/>
        <v>2021.006B.R.Backyardiganvirus.zip</v>
      </c>
      <c r="U3475" s="29" t="str">
        <f>HYPERLINK("https://ictv.global/taxonomy/taxondetails?taxnode_id=202313167","ictv.global=202313167")</f>
        <v>ictv.global=202313167</v>
      </c>
    </row>
    <row r="3476" spans="1:21">
      <c r="A3476">
        <v>3475</v>
      </c>
      <c r="B3476" s="30" t="s">
        <v>1587</v>
      </c>
      <c r="D3476" s="30" t="s">
        <v>1588</v>
      </c>
      <c r="F3476" s="30" t="s">
        <v>1591</v>
      </c>
      <c r="H3476" s="30" t="s">
        <v>1592</v>
      </c>
      <c r="N3476" s="30" t="s">
        <v>6924</v>
      </c>
      <c r="P3476" s="30" t="s">
        <v>6934</v>
      </c>
      <c r="Q3476" t="s">
        <v>619</v>
      </c>
      <c r="R3476" t="s">
        <v>918</v>
      </c>
      <c r="S3476">
        <v>37</v>
      </c>
      <c r="T3476" s="29" t="str">
        <f t="shared" si="155"/>
        <v>2021.006B.R.Backyardiganvirus.zip</v>
      </c>
      <c r="U3476" s="29" t="str">
        <f>HYPERLINK("https://ictv.global/taxonomy/taxondetails?taxnode_id=202301040","ictv.global=202301040")</f>
        <v>ictv.global=202301040</v>
      </c>
    </row>
    <row r="3477" spans="1:21">
      <c r="A3477">
        <v>3476</v>
      </c>
      <c r="B3477" s="30" t="s">
        <v>1587</v>
      </c>
      <c r="D3477" s="30" t="s">
        <v>1588</v>
      </c>
      <c r="F3477" s="30" t="s">
        <v>1591</v>
      </c>
      <c r="H3477" s="30" t="s">
        <v>1592</v>
      </c>
      <c r="N3477" s="30" t="s">
        <v>6924</v>
      </c>
      <c r="P3477" s="30" t="s">
        <v>6935</v>
      </c>
      <c r="Q3477" t="s">
        <v>619</v>
      </c>
      <c r="R3477" t="s">
        <v>917</v>
      </c>
      <c r="S3477">
        <v>37</v>
      </c>
      <c r="T3477" s="29" t="str">
        <f t="shared" si="155"/>
        <v>2021.006B.R.Backyardiganvirus.zip</v>
      </c>
      <c r="U3477" s="29" t="str">
        <f>HYPERLINK("https://ictv.global/taxonomy/taxondetails?taxnode_id=202313174","ictv.global=202313174")</f>
        <v>ictv.global=202313174</v>
      </c>
    </row>
    <row r="3478" spans="1:21">
      <c r="A3478">
        <v>3477</v>
      </c>
      <c r="B3478" s="30" t="s">
        <v>1587</v>
      </c>
      <c r="D3478" s="30" t="s">
        <v>1588</v>
      </c>
      <c r="F3478" s="30" t="s">
        <v>1591</v>
      </c>
      <c r="H3478" s="30" t="s">
        <v>1592</v>
      </c>
      <c r="N3478" s="30" t="s">
        <v>6924</v>
      </c>
      <c r="P3478" s="30" t="s">
        <v>6936</v>
      </c>
      <c r="Q3478" t="s">
        <v>619</v>
      </c>
      <c r="R3478" t="s">
        <v>917</v>
      </c>
      <c r="S3478">
        <v>37</v>
      </c>
      <c r="T3478" s="29" t="str">
        <f t="shared" si="155"/>
        <v>2021.006B.R.Backyardiganvirus.zip</v>
      </c>
      <c r="U3478" s="29" t="str">
        <f>HYPERLINK("https://ictv.global/taxonomy/taxondetails?taxnode_id=202313175","ictv.global=202313175")</f>
        <v>ictv.global=202313175</v>
      </c>
    </row>
    <row r="3479" spans="1:21">
      <c r="A3479">
        <v>3478</v>
      </c>
      <c r="B3479" s="30" t="s">
        <v>1587</v>
      </c>
      <c r="D3479" s="30" t="s">
        <v>1588</v>
      </c>
      <c r="F3479" s="30" t="s">
        <v>1591</v>
      </c>
      <c r="H3479" s="30" t="s">
        <v>1592</v>
      </c>
      <c r="N3479" s="30" t="s">
        <v>6924</v>
      </c>
      <c r="P3479" s="30" t="s">
        <v>6937</v>
      </c>
      <c r="Q3479" t="s">
        <v>619</v>
      </c>
      <c r="R3479" t="s">
        <v>917</v>
      </c>
      <c r="S3479">
        <v>37</v>
      </c>
      <c r="T3479" s="29" t="str">
        <f t="shared" si="155"/>
        <v>2021.006B.R.Backyardiganvirus.zip</v>
      </c>
      <c r="U3479" s="29" t="str">
        <f>HYPERLINK("https://ictv.global/taxonomy/taxondetails?taxnode_id=202313173","ictv.global=202313173")</f>
        <v>ictv.global=202313173</v>
      </c>
    </row>
    <row r="3480" spans="1:21">
      <c r="A3480">
        <v>3479</v>
      </c>
      <c r="B3480" s="30" t="s">
        <v>1587</v>
      </c>
      <c r="D3480" s="30" t="s">
        <v>1588</v>
      </c>
      <c r="F3480" s="30" t="s">
        <v>1591</v>
      </c>
      <c r="H3480" s="30" t="s">
        <v>1592</v>
      </c>
      <c r="N3480" s="30" t="s">
        <v>6924</v>
      </c>
      <c r="P3480" s="30" t="s">
        <v>6938</v>
      </c>
      <c r="Q3480" t="s">
        <v>619</v>
      </c>
      <c r="R3480" t="s">
        <v>918</v>
      </c>
      <c r="S3480">
        <v>37</v>
      </c>
      <c r="T3480" s="29" t="str">
        <f t="shared" si="155"/>
        <v>2021.006B.R.Backyardiganvirus.zip</v>
      </c>
      <c r="U3480" s="29" t="str">
        <f>HYPERLINK("https://ictv.global/taxonomy/taxondetails?taxnode_id=202301048","ictv.global=202301048")</f>
        <v>ictv.global=202301048</v>
      </c>
    </row>
    <row r="3481" spans="1:21">
      <c r="A3481">
        <v>3480</v>
      </c>
      <c r="B3481" s="30" t="s">
        <v>1587</v>
      </c>
      <c r="D3481" s="30" t="s">
        <v>1588</v>
      </c>
      <c r="F3481" s="30" t="s">
        <v>1591</v>
      </c>
      <c r="H3481" s="30" t="s">
        <v>1592</v>
      </c>
      <c r="N3481" s="30" t="s">
        <v>6924</v>
      </c>
      <c r="P3481" s="30" t="s">
        <v>6939</v>
      </c>
      <c r="Q3481" t="s">
        <v>619</v>
      </c>
      <c r="R3481" t="s">
        <v>917</v>
      </c>
      <c r="S3481">
        <v>37</v>
      </c>
      <c r="T3481" s="29" t="str">
        <f t="shared" si="155"/>
        <v>2021.006B.R.Backyardiganvirus.zip</v>
      </c>
      <c r="U3481" s="29" t="str">
        <f>HYPERLINK("https://ictv.global/taxonomy/taxondetails?taxnode_id=202313165","ictv.global=202313165")</f>
        <v>ictv.global=202313165</v>
      </c>
    </row>
    <row r="3482" spans="1:21">
      <c r="A3482">
        <v>3481</v>
      </c>
      <c r="B3482" s="30" t="s">
        <v>1587</v>
      </c>
      <c r="D3482" s="30" t="s">
        <v>1588</v>
      </c>
      <c r="F3482" s="30" t="s">
        <v>1591</v>
      </c>
      <c r="H3482" s="30" t="s">
        <v>1592</v>
      </c>
      <c r="N3482" s="30" t="s">
        <v>6924</v>
      </c>
      <c r="P3482" s="30" t="s">
        <v>6940</v>
      </c>
      <c r="Q3482" t="s">
        <v>619</v>
      </c>
      <c r="R3482" t="s">
        <v>917</v>
      </c>
      <c r="S3482">
        <v>37</v>
      </c>
      <c r="T3482" s="29" t="str">
        <f t="shared" si="155"/>
        <v>2021.006B.R.Backyardiganvirus.zip</v>
      </c>
      <c r="U3482" s="29" t="str">
        <f>HYPERLINK("https://ictv.global/taxonomy/taxondetails?taxnode_id=202313170","ictv.global=202313170")</f>
        <v>ictv.global=202313170</v>
      </c>
    </row>
    <row r="3483" spans="1:21">
      <c r="A3483">
        <v>3482</v>
      </c>
      <c r="B3483" s="30" t="s">
        <v>1587</v>
      </c>
      <c r="D3483" s="30" t="s">
        <v>1588</v>
      </c>
      <c r="F3483" s="30" t="s">
        <v>1591</v>
      </c>
      <c r="H3483" s="30" t="s">
        <v>1592</v>
      </c>
      <c r="N3483" s="30" t="s">
        <v>2305</v>
      </c>
      <c r="P3483" s="30" t="s">
        <v>6941</v>
      </c>
      <c r="Q3483" t="s">
        <v>619</v>
      </c>
      <c r="R3483" t="s">
        <v>918</v>
      </c>
      <c r="S3483">
        <v>37</v>
      </c>
      <c r="T3483" s="29" t="str">
        <f>HYPERLINK("https://ictv.global/ictv/proposals/2021.010B.R.Binomial_names.zip","2021.010B.R.Binomial_names.zip")</f>
        <v>2021.010B.R.Binomial_names.zip</v>
      </c>
      <c r="U3483" s="29" t="str">
        <f>HYPERLINK("https://ictv.global/taxonomy/taxondetails?taxnode_id=202309581","ictv.global=202309581")</f>
        <v>ictv.global=202309581</v>
      </c>
    </row>
    <row r="3484" spans="1:21">
      <c r="A3484">
        <v>3483</v>
      </c>
      <c r="B3484" s="30" t="s">
        <v>1587</v>
      </c>
      <c r="D3484" s="30" t="s">
        <v>1588</v>
      </c>
      <c r="F3484" s="30" t="s">
        <v>1591</v>
      </c>
      <c r="H3484" s="30" t="s">
        <v>1592</v>
      </c>
      <c r="N3484" s="30" t="s">
        <v>2305</v>
      </c>
      <c r="P3484" s="30" t="s">
        <v>6942</v>
      </c>
      <c r="Q3484" t="s">
        <v>619</v>
      </c>
      <c r="R3484" t="s">
        <v>918</v>
      </c>
      <c r="S3484">
        <v>37</v>
      </c>
      <c r="T3484" s="29" t="str">
        <f>HYPERLINK("https://ictv.global/ictv/proposals/2021.010B.R.Binomial_names.zip","2021.010B.R.Binomial_names.zip")</f>
        <v>2021.010B.R.Binomial_names.zip</v>
      </c>
      <c r="U3484" s="29" t="str">
        <f>HYPERLINK("https://ictv.global/taxonomy/taxondetails?taxnode_id=202309580","ictv.global=202309580")</f>
        <v>ictv.global=202309580</v>
      </c>
    </row>
    <row r="3485" spans="1:21">
      <c r="A3485">
        <v>3484</v>
      </c>
      <c r="B3485" s="30" t="s">
        <v>1587</v>
      </c>
      <c r="D3485" s="30" t="s">
        <v>1588</v>
      </c>
      <c r="F3485" s="30" t="s">
        <v>1591</v>
      </c>
      <c r="H3485" s="30" t="s">
        <v>1592</v>
      </c>
      <c r="N3485" s="30" t="s">
        <v>1807</v>
      </c>
      <c r="P3485" s="30" t="s">
        <v>6943</v>
      </c>
      <c r="Q3485" t="s">
        <v>619</v>
      </c>
      <c r="R3485" t="s">
        <v>918</v>
      </c>
      <c r="S3485">
        <v>37</v>
      </c>
      <c r="T3485" s="29" t="str">
        <f>HYPERLINK("https://ictv.global/ictv/proposals/2021.010B.R.Binomial_names.zip","2021.010B.R.Binomial_names.zip")</f>
        <v>2021.010B.R.Binomial_names.zip</v>
      </c>
      <c r="U3485" s="29" t="str">
        <f>HYPERLINK("https://ictv.global/taxonomy/taxondetails?taxnode_id=202307912","ictv.global=202307912")</f>
        <v>ictv.global=202307912</v>
      </c>
    </row>
    <row r="3486" spans="1:21">
      <c r="A3486">
        <v>3485</v>
      </c>
      <c r="B3486" s="30" t="s">
        <v>1587</v>
      </c>
      <c r="D3486" s="30" t="s">
        <v>1588</v>
      </c>
      <c r="F3486" s="30" t="s">
        <v>1591</v>
      </c>
      <c r="H3486" s="30" t="s">
        <v>1592</v>
      </c>
      <c r="N3486" s="30" t="s">
        <v>6944</v>
      </c>
      <c r="P3486" s="30" t="s">
        <v>6945</v>
      </c>
      <c r="Q3486" t="s">
        <v>619</v>
      </c>
      <c r="R3486" t="s">
        <v>917</v>
      </c>
      <c r="S3486">
        <v>38</v>
      </c>
      <c r="T3486" s="29" t="str">
        <f>HYPERLINK("https://ictv.global/ictv/proposals/2022.011B.Baileybluevirus_ng.zip","2022.011B.Baileybluevirus_ng.zip")</f>
        <v>2022.011B.Baileybluevirus_ng.zip</v>
      </c>
      <c r="U3486" s="29" t="str">
        <f>HYPERLINK("https://ictv.global/taxonomy/taxondetails?taxnode_id=202314512","ictv.global=202314512")</f>
        <v>ictv.global=202314512</v>
      </c>
    </row>
    <row r="3487" spans="1:21">
      <c r="A3487">
        <v>3486</v>
      </c>
      <c r="B3487" s="30" t="s">
        <v>1587</v>
      </c>
      <c r="D3487" s="30" t="s">
        <v>1588</v>
      </c>
      <c r="F3487" s="30" t="s">
        <v>1591</v>
      </c>
      <c r="H3487" s="30" t="s">
        <v>1592</v>
      </c>
      <c r="N3487" s="30" t="s">
        <v>2259</v>
      </c>
      <c r="P3487" s="30" t="s">
        <v>6946</v>
      </c>
      <c r="Q3487" t="s">
        <v>619</v>
      </c>
      <c r="R3487" t="s">
        <v>918</v>
      </c>
      <c r="S3487">
        <v>37</v>
      </c>
      <c r="T3487" s="29" t="str">
        <f t="shared" ref="T3487:T3496" si="156">HYPERLINK("https://ictv.global/ictv/proposals/2021.010B.R.Binomial_names.zip","2021.010B.R.Binomial_names.zip")</f>
        <v>2021.010B.R.Binomial_names.zip</v>
      </c>
      <c r="U3487" s="29" t="str">
        <f>HYPERLINK("https://ictv.global/taxonomy/taxondetails?taxnode_id=202311649","ictv.global=202311649")</f>
        <v>ictv.global=202311649</v>
      </c>
    </row>
    <row r="3488" spans="1:21">
      <c r="A3488">
        <v>3487</v>
      </c>
      <c r="B3488" s="30" t="s">
        <v>1587</v>
      </c>
      <c r="D3488" s="30" t="s">
        <v>1588</v>
      </c>
      <c r="F3488" s="30" t="s">
        <v>1591</v>
      </c>
      <c r="H3488" s="30" t="s">
        <v>1592</v>
      </c>
      <c r="N3488" s="30" t="s">
        <v>2259</v>
      </c>
      <c r="P3488" s="30" t="s">
        <v>6947</v>
      </c>
      <c r="Q3488" t="s">
        <v>619</v>
      </c>
      <c r="R3488" t="s">
        <v>918</v>
      </c>
      <c r="S3488">
        <v>37</v>
      </c>
      <c r="T3488" s="29" t="str">
        <f t="shared" si="156"/>
        <v>2021.010B.R.Binomial_names.zip</v>
      </c>
      <c r="U3488" s="29" t="str">
        <f>HYPERLINK("https://ictv.global/taxonomy/taxondetails?taxnode_id=202311650","ictv.global=202311650")</f>
        <v>ictv.global=202311650</v>
      </c>
    </row>
    <row r="3489" spans="1:21">
      <c r="A3489">
        <v>3488</v>
      </c>
      <c r="B3489" s="30" t="s">
        <v>1587</v>
      </c>
      <c r="D3489" s="30" t="s">
        <v>1588</v>
      </c>
      <c r="F3489" s="30" t="s">
        <v>1591</v>
      </c>
      <c r="H3489" s="30" t="s">
        <v>1592</v>
      </c>
      <c r="N3489" s="30" t="s">
        <v>1456</v>
      </c>
      <c r="P3489" s="30" t="s">
        <v>6948</v>
      </c>
      <c r="Q3489" t="s">
        <v>619</v>
      </c>
      <c r="R3489" t="s">
        <v>918</v>
      </c>
      <c r="S3489">
        <v>37</v>
      </c>
      <c r="T3489" s="29" t="str">
        <f t="shared" si="156"/>
        <v>2021.010B.R.Binomial_names.zip</v>
      </c>
      <c r="U3489" s="29" t="str">
        <f>HYPERLINK("https://ictv.global/taxonomy/taxondetails?taxnode_id=202306342","ictv.global=202306342")</f>
        <v>ictv.global=202306342</v>
      </c>
    </row>
    <row r="3490" spans="1:21">
      <c r="A3490">
        <v>3489</v>
      </c>
      <c r="B3490" s="30" t="s">
        <v>1587</v>
      </c>
      <c r="D3490" s="30" t="s">
        <v>1588</v>
      </c>
      <c r="F3490" s="30" t="s">
        <v>1591</v>
      </c>
      <c r="H3490" s="30" t="s">
        <v>1592</v>
      </c>
      <c r="N3490" s="30" t="s">
        <v>1808</v>
      </c>
      <c r="P3490" s="30" t="s">
        <v>6949</v>
      </c>
      <c r="Q3490" t="s">
        <v>619</v>
      </c>
      <c r="R3490" t="s">
        <v>918</v>
      </c>
      <c r="S3490">
        <v>37</v>
      </c>
      <c r="T3490" s="29" t="str">
        <f t="shared" si="156"/>
        <v>2021.010B.R.Binomial_names.zip</v>
      </c>
      <c r="U3490" s="29" t="str">
        <f>HYPERLINK("https://ictv.global/taxonomy/taxondetails?taxnode_id=202307108","ictv.global=202307108")</f>
        <v>ictv.global=202307108</v>
      </c>
    </row>
    <row r="3491" spans="1:21">
      <c r="A3491">
        <v>3490</v>
      </c>
      <c r="B3491" s="30" t="s">
        <v>1587</v>
      </c>
      <c r="D3491" s="30" t="s">
        <v>1588</v>
      </c>
      <c r="F3491" s="30" t="s">
        <v>1591</v>
      </c>
      <c r="H3491" s="30" t="s">
        <v>1592</v>
      </c>
      <c r="N3491" s="30" t="s">
        <v>1808</v>
      </c>
      <c r="P3491" s="30" t="s">
        <v>6950</v>
      </c>
      <c r="Q3491" t="s">
        <v>619</v>
      </c>
      <c r="R3491" t="s">
        <v>918</v>
      </c>
      <c r="S3491">
        <v>37</v>
      </c>
      <c r="T3491" s="29" t="str">
        <f t="shared" si="156"/>
        <v>2021.010B.R.Binomial_names.zip</v>
      </c>
      <c r="U3491" s="29" t="str">
        <f>HYPERLINK("https://ictv.global/taxonomy/taxondetails?taxnode_id=202307112","ictv.global=202307112")</f>
        <v>ictv.global=202307112</v>
      </c>
    </row>
    <row r="3492" spans="1:21">
      <c r="A3492">
        <v>3491</v>
      </c>
      <c r="B3492" s="30" t="s">
        <v>1587</v>
      </c>
      <c r="D3492" s="30" t="s">
        <v>1588</v>
      </c>
      <c r="F3492" s="30" t="s">
        <v>1591</v>
      </c>
      <c r="H3492" s="30" t="s">
        <v>1592</v>
      </c>
      <c r="N3492" s="30" t="s">
        <v>1808</v>
      </c>
      <c r="P3492" s="30" t="s">
        <v>6951</v>
      </c>
      <c r="Q3492" t="s">
        <v>619</v>
      </c>
      <c r="R3492" t="s">
        <v>918</v>
      </c>
      <c r="S3492">
        <v>37</v>
      </c>
      <c r="T3492" s="29" t="str">
        <f t="shared" si="156"/>
        <v>2021.010B.R.Binomial_names.zip</v>
      </c>
      <c r="U3492" s="29" t="str">
        <f>HYPERLINK("https://ictv.global/taxonomy/taxondetails?taxnode_id=202307109","ictv.global=202307109")</f>
        <v>ictv.global=202307109</v>
      </c>
    </row>
    <row r="3493" spans="1:21">
      <c r="A3493">
        <v>3492</v>
      </c>
      <c r="B3493" s="30" t="s">
        <v>1587</v>
      </c>
      <c r="D3493" s="30" t="s">
        <v>1588</v>
      </c>
      <c r="F3493" s="30" t="s">
        <v>1591</v>
      </c>
      <c r="H3493" s="30" t="s">
        <v>1592</v>
      </c>
      <c r="N3493" s="30" t="s">
        <v>1808</v>
      </c>
      <c r="P3493" s="30" t="s">
        <v>6952</v>
      </c>
      <c r="Q3493" t="s">
        <v>619</v>
      </c>
      <c r="R3493" t="s">
        <v>918</v>
      </c>
      <c r="S3493">
        <v>37</v>
      </c>
      <c r="T3493" s="29" t="str">
        <f t="shared" si="156"/>
        <v>2021.010B.R.Binomial_names.zip</v>
      </c>
      <c r="U3493" s="29" t="str">
        <f>HYPERLINK("https://ictv.global/taxonomy/taxondetails?taxnode_id=202307110","ictv.global=202307110")</f>
        <v>ictv.global=202307110</v>
      </c>
    </row>
    <row r="3494" spans="1:21">
      <c r="A3494">
        <v>3493</v>
      </c>
      <c r="B3494" s="30" t="s">
        <v>1587</v>
      </c>
      <c r="D3494" s="30" t="s">
        <v>1588</v>
      </c>
      <c r="F3494" s="30" t="s">
        <v>1591</v>
      </c>
      <c r="H3494" s="30" t="s">
        <v>1592</v>
      </c>
      <c r="N3494" s="30" t="s">
        <v>1808</v>
      </c>
      <c r="P3494" s="30" t="s">
        <v>6953</v>
      </c>
      <c r="Q3494" t="s">
        <v>619</v>
      </c>
      <c r="R3494" t="s">
        <v>918</v>
      </c>
      <c r="S3494">
        <v>37</v>
      </c>
      <c r="T3494" s="29" t="str">
        <f t="shared" si="156"/>
        <v>2021.010B.R.Binomial_names.zip</v>
      </c>
      <c r="U3494" s="29" t="str">
        <f>HYPERLINK("https://ictv.global/taxonomy/taxondetails?taxnode_id=202307111","ictv.global=202307111")</f>
        <v>ictv.global=202307111</v>
      </c>
    </row>
    <row r="3495" spans="1:21">
      <c r="A3495">
        <v>3494</v>
      </c>
      <c r="B3495" s="30" t="s">
        <v>1587</v>
      </c>
      <c r="D3495" s="30" t="s">
        <v>1588</v>
      </c>
      <c r="F3495" s="30" t="s">
        <v>1591</v>
      </c>
      <c r="H3495" s="30" t="s">
        <v>1592</v>
      </c>
      <c r="N3495" s="30" t="s">
        <v>658</v>
      </c>
      <c r="P3495" s="30" t="s">
        <v>6954</v>
      </c>
      <c r="Q3495" t="s">
        <v>619</v>
      </c>
      <c r="R3495" t="s">
        <v>918</v>
      </c>
      <c r="S3495">
        <v>37</v>
      </c>
      <c r="T3495" s="29" t="str">
        <f t="shared" si="156"/>
        <v>2021.010B.R.Binomial_names.zip</v>
      </c>
      <c r="U3495" s="29" t="str">
        <f>HYPERLINK("https://ictv.global/taxonomy/taxondetails?taxnode_id=202300854","ictv.global=202300854")</f>
        <v>ictv.global=202300854</v>
      </c>
    </row>
    <row r="3496" spans="1:21">
      <c r="A3496">
        <v>3495</v>
      </c>
      <c r="B3496" s="30" t="s">
        <v>1587</v>
      </c>
      <c r="D3496" s="30" t="s">
        <v>1588</v>
      </c>
      <c r="F3496" s="30" t="s">
        <v>1591</v>
      </c>
      <c r="H3496" s="30" t="s">
        <v>1592</v>
      </c>
      <c r="N3496" s="30" t="s">
        <v>658</v>
      </c>
      <c r="P3496" s="30" t="s">
        <v>6955</v>
      </c>
      <c r="Q3496" t="s">
        <v>619</v>
      </c>
      <c r="R3496" t="s">
        <v>918</v>
      </c>
      <c r="S3496">
        <v>37</v>
      </c>
      <c r="T3496" s="29" t="str">
        <f t="shared" si="156"/>
        <v>2021.010B.R.Binomial_names.zip</v>
      </c>
      <c r="U3496" s="29" t="str">
        <f>HYPERLINK("https://ictv.global/taxonomy/taxondetails?taxnode_id=202309604","ictv.global=202309604")</f>
        <v>ictv.global=202309604</v>
      </c>
    </row>
    <row r="3497" spans="1:21">
      <c r="A3497">
        <v>3496</v>
      </c>
      <c r="B3497" s="30" t="s">
        <v>1587</v>
      </c>
      <c r="D3497" s="30" t="s">
        <v>1588</v>
      </c>
      <c r="F3497" s="30" t="s">
        <v>1591</v>
      </c>
      <c r="H3497" s="30" t="s">
        <v>1592</v>
      </c>
      <c r="N3497" s="30" t="s">
        <v>12531</v>
      </c>
      <c r="P3497" s="30" t="s">
        <v>12532</v>
      </c>
      <c r="Q3497" t="s">
        <v>619</v>
      </c>
      <c r="R3497" t="s">
        <v>917</v>
      </c>
      <c r="S3497">
        <v>39</v>
      </c>
      <c r="T3497" s="29" t="str">
        <f>HYPERLINK("https://ictv.global/ictv/proposals/2023.009B.Bauervirus_ng.zip","2023.009B.Bauervirus_ng.zip")</f>
        <v>2023.009B.Bauervirus_ng.zip</v>
      </c>
      <c r="U3497" s="29" t="str">
        <f>HYPERLINK("https://ictv.global/taxonomy/taxondetails?taxnode_id=202317927","ictv.global=202317927")</f>
        <v>ictv.global=202317927</v>
      </c>
    </row>
    <row r="3498" spans="1:21">
      <c r="A3498">
        <v>3497</v>
      </c>
      <c r="B3498" s="30" t="s">
        <v>1587</v>
      </c>
      <c r="D3498" s="30" t="s">
        <v>1588</v>
      </c>
      <c r="F3498" s="30" t="s">
        <v>1591</v>
      </c>
      <c r="H3498" s="30" t="s">
        <v>1592</v>
      </c>
      <c r="N3498" s="30" t="s">
        <v>2260</v>
      </c>
      <c r="P3498" s="30" t="s">
        <v>6956</v>
      </c>
      <c r="Q3498" t="s">
        <v>619</v>
      </c>
      <c r="R3498" t="s">
        <v>918</v>
      </c>
      <c r="S3498">
        <v>37</v>
      </c>
      <c r="T3498" s="29" t="str">
        <f>HYPERLINK("https://ictv.global/ictv/proposals/2021.010B.R.Binomial_names.zip","2021.010B.R.Binomial_names.zip")</f>
        <v>2021.010B.R.Binomial_names.zip</v>
      </c>
      <c r="U3498" s="29" t="str">
        <f>HYPERLINK("https://ictv.global/taxonomy/taxondetails?taxnode_id=202300475","ictv.global=202300475")</f>
        <v>ictv.global=202300475</v>
      </c>
    </row>
    <row r="3499" spans="1:21">
      <c r="A3499">
        <v>3498</v>
      </c>
      <c r="B3499" s="30" t="s">
        <v>1587</v>
      </c>
      <c r="D3499" s="30" t="s">
        <v>1588</v>
      </c>
      <c r="F3499" s="30" t="s">
        <v>1591</v>
      </c>
      <c r="H3499" s="30" t="s">
        <v>1592</v>
      </c>
      <c r="N3499" s="30" t="s">
        <v>636</v>
      </c>
      <c r="P3499" s="30" t="s">
        <v>6957</v>
      </c>
      <c r="Q3499" t="s">
        <v>619</v>
      </c>
      <c r="R3499" t="s">
        <v>918</v>
      </c>
      <c r="S3499">
        <v>37</v>
      </c>
      <c r="T3499" s="29" t="str">
        <f>HYPERLINK("https://ictv.global/ictv/proposals/2021.010B.R.Binomial_names.zip","2021.010B.R.Binomial_names.zip")</f>
        <v>2021.010B.R.Binomial_names.zip</v>
      </c>
      <c r="U3499" s="29" t="str">
        <f>HYPERLINK("https://ictv.global/taxonomy/taxondetails?taxnode_id=202300408","ictv.global=202300408")</f>
        <v>ictv.global=202300408</v>
      </c>
    </row>
    <row r="3500" spans="1:21">
      <c r="A3500">
        <v>3499</v>
      </c>
      <c r="B3500" s="30" t="s">
        <v>1587</v>
      </c>
      <c r="D3500" s="30" t="s">
        <v>1588</v>
      </c>
      <c r="F3500" s="30" t="s">
        <v>1591</v>
      </c>
      <c r="H3500" s="30" t="s">
        <v>1592</v>
      </c>
      <c r="N3500" s="30" t="s">
        <v>636</v>
      </c>
      <c r="P3500" s="30" t="s">
        <v>6958</v>
      </c>
      <c r="Q3500" t="s">
        <v>619</v>
      </c>
      <c r="R3500" t="s">
        <v>918</v>
      </c>
      <c r="S3500">
        <v>37</v>
      </c>
      <c r="T3500" s="29" t="str">
        <f>HYPERLINK("https://ictv.global/ictv/proposals/2021.010B.R.Binomial_names.zip","2021.010B.R.Binomial_names.zip")</f>
        <v>2021.010B.R.Binomial_names.zip</v>
      </c>
      <c r="U3500" s="29" t="str">
        <f>HYPERLINK("https://ictv.global/taxonomy/taxondetails?taxnode_id=202300409","ictv.global=202300409")</f>
        <v>ictv.global=202300409</v>
      </c>
    </row>
    <row r="3501" spans="1:21">
      <c r="A3501">
        <v>3500</v>
      </c>
      <c r="B3501" s="30" t="s">
        <v>1587</v>
      </c>
      <c r="D3501" s="30" t="s">
        <v>1588</v>
      </c>
      <c r="F3501" s="30" t="s">
        <v>1591</v>
      </c>
      <c r="H3501" s="30" t="s">
        <v>1592</v>
      </c>
      <c r="N3501" s="30" t="s">
        <v>2417</v>
      </c>
      <c r="P3501" s="30" t="s">
        <v>6959</v>
      </c>
      <c r="Q3501" t="s">
        <v>619</v>
      </c>
      <c r="R3501" t="s">
        <v>918</v>
      </c>
      <c r="S3501">
        <v>37</v>
      </c>
      <c r="T3501" s="29" t="str">
        <f>HYPERLINK("https://ictv.global/ictv/proposals/2021.010B.R.Binomial_names.zip","2021.010B.R.Binomial_names.zip")</f>
        <v>2021.010B.R.Binomial_names.zip</v>
      </c>
      <c r="U3501" s="29" t="str">
        <f>HYPERLINK("https://ictv.global/taxonomy/taxondetails?taxnode_id=202309616","ictv.global=202309616")</f>
        <v>ictv.global=202309616</v>
      </c>
    </row>
    <row r="3502" spans="1:21">
      <c r="A3502">
        <v>3501</v>
      </c>
      <c r="B3502" s="30" t="s">
        <v>1587</v>
      </c>
      <c r="D3502" s="30" t="s">
        <v>1588</v>
      </c>
      <c r="F3502" s="30" t="s">
        <v>1591</v>
      </c>
      <c r="H3502" s="30" t="s">
        <v>1592</v>
      </c>
      <c r="N3502" s="30" t="s">
        <v>2261</v>
      </c>
      <c r="P3502" s="30" t="s">
        <v>6960</v>
      </c>
      <c r="Q3502" t="s">
        <v>619</v>
      </c>
      <c r="R3502" t="s">
        <v>918</v>
      </c>
      <c r="S3502">
        <v>37</v>
      </c>
      <c r="T3502" s="29" t="str">
        <f>HYPERLINK("https://ictv.global/ictv/proposals/2021.010B.R.Binomial_names.zip","2021.010B.R.Binomial_names.zip")</f>
        <v>2021.010B.R.Binomial_names.zip</v>
      </c>
      <c r="U3502" s="29" t="str">
        <f>HYPERLINK("https://ictv.global/taxonomy/taxondetails?taxnode_id=202309620","ictv.global=202309620")</f>
        <v>ictv.global=202309620</v>
      </c>
    </row>
    <row r="3503" spans="1:21">
      <c r="A3503">
        <v>3502</v>
      </c>
      <c r="B3503" s="30" t="s">
        <v>1587</v>
      </c>
      <c r="D3503" s="30" t="s">
        <v>1588</v>
      </c>
      <c r="F3503" s="30" t="s">
        <v>1591</v>
      </c>
      <c r="H3503" s="30" t="s">
        <v>1592</v>
      </c>
      <c r="N3503" s="30" t="s">
        <v>6961</v>
      </c>
      <c r="P3503" s="30" t="s">
        <v>6962</v>
      </c>
      <c r="Q3503" t="s">
        <v>619</v>
      </c>
      <c r="R3503" t="s">
        <v>917</v>
      </c>
      <c r="S3503">
        <v>38</v>
      </c>
      <c r="T3503" s="29" t="str">
        <f t="shared" ref="T3503:T3512" si="157">HYPERLINK("https://ictv.global/ictv/proposals/2022.084B.Caudoviricetes_6ng_33nsp.zip","2022.084B.Caudoviricetes_6ng_33nsp.zip")</f>
        <v>2022.084B.Caudoviricetes_6ng_33nsp.zip</v>
      </c>
      <c r="U3503" s="29" t="str">
        <f>HYPERLINK("https://ictv.global/taxonomy/taxondetails?taxnode_id=202314911","ictv.global=202314911")</f>
        <v>ictv.global=202314911</v>
      </c>
    </row>
    <row r="3504" spans="1:21">
      <c r="A3504">
        <v>3503</v>
      </c>
      <c r="B3504" s="30" t="s">
        <v>1587</v>
      </c>
      <c r="D3504" s="30" t="s">
        <v>1588</v>
      </c>
      <c r="F3504" s="30" t="s">
        <v>1591</v>
      </c>
      <c r="H3504" s="30" t="s">
        <v>1592</v>
      </c>
      <c r="N3504" s="30" t="s">
        <v>6961</v>
      </c>
      <c r="P3504" s="30" t="s">
        <v>6963</v>
      </c>
      <c r="Q3504" t="s">
        <v>619</v>
      </c>
      <c r="R3504" t="s">
        <v>917</v>
      </c>
      <c r="S3504">
        <v>38</v>
      </c>
      <c r="T3504" s="29" t="str">
        <f t="shared" si="157"/>
        <v>2022.084B.Caudoviricetes_6ng_33nsp.zip</v>
      </c>
      <c r="U3504" s="29" t="str">
        <f>HYPERLINK("https://ictv.global/taxonomy/taxondetails?taxnode_id=202314916","ictv.global=202314916")</f>
        <v>ictv.global=202314916</v>
      </c>
    </row>
    <row r="3505" spans="1:21">
      <c r="A3505">
        <v>3504</v>
      </c>
      <c r="B3505" s="30" t="s">
        <v>1587</v>
      </c>
      <c r="D3505" s="30" t="s">
        <v>1588</v>
      </c>
      <c r="F3505" s="30" t="s">
        <v>1591</v>
      </c>
      <c r="H3505" s="30" t="s">
        <v>1592</v>
      </c>
      <c r="N3505" s="30" t="s">
        <v>6961</v>
      </c>
      <c r="P3505" s="30" t="s">
        <v>6964</v>
      </c>
      <c r="Q3505" t="s">
        <v>619</v>
      </c>
      <c r="R3505" t="s">
        <v>917</v>
      </c>
      <c r="S3505">
        <v>38</v>
      </c>
      <c r="T3505" s="29" t="str">
        <f t="shared" si="157"/>
        <v>2022.084B.Caudoviricetes_6ng_33nsp.zip</v>
      </c>
      <c r="U3505" s="29" t="str">
        <f>HYPERLINK("https://ictv.global/taxonomy/taxondetails?taxnode_id=202314915","ictv.global=202314915")</f>
        <v>ictv.global=202314915</v>
      </c>
    </row>
    <row r="3506" spans="1:21">
      <c r="A3506">
        <v>3505</v>
      </c>
      <c r="B3506" s="30" t="s">
        <v>1587</v>
      </c>
      <c r="D3506" s="30" t="s">
        <v>1588</v>
      </c>
      <c r="F3506" s="30" t="s">
        <v>1591</v>
      </c>
      <c r="H3506" s="30" t="s">
        <v>1592</v>
      </c>
      <c r="N3506" s="30" t="s">
        <v>6961</v>
      </c>
      <c r="P3506" s="30" t="s">
        <v>6965</v>
      </c>
      <c r="Q3506" t="s">
        <v>619</v>
      </c>
      <c r="R3506" t="s">
        <v>917</v>
      </c>
      <c r="S3506">
        <v>38</v>
      </c>
      <c r="T3506" s="29" t="str">
        <f t="shared" si="157"/>
        <v>2022.084B.Caudoviricetes_6ng_33nsp.zip</v>
      </c>
      <c r="U3506" s="29" t="str">
        <f>HYPERLINK("https://ictv.global/taxonomy/taxondetails?taxnode_id=202314913","ictv.global=202314913")</f>
        <v>ictv.global=202314913</v>
      </c>
    </row>
    <row r="3507" spans="1:21">
      <c r="A3507">
        <v>3506</v>
      </c>
      <c r="B3507" s="30" t="s">
        <v>1587</v>
      </c>
      <c r="D3507" s="30" t="s">
        <v>1588</v>
      </c>
      <c r="F3507" s="30" t="s">
        <v>1591</v>
      </c>
      <c r="H3507" s="30" t="s">
        <v>1592</v>
      </c>
      <c r="N3507" s="30" t="s">
        <v>6961</v>
      </c>
      <c r="P3507" s="30" t="s">
        <v>6966</v>
      </c>
      <c r="Q3507" t="s">
        <v>619</v>
      </c>
      <c r="R3507" t="s">
        <v>917</v>
      </c>
      <c r="S3507">
        <v>38</v>
      </c>
      <c r="T3507" s="29" t="str">
        <f t="shared" si="157"/>
        <v>2022.084B.Caudoviricetes_6ng_33nsp.zip</v>
      </c>
      <c r="U3507" s="29" t="str">
        <f>HYPERLINK("https://ictv.global/taxonomy/taxondetails?taxnode_id=202314914","ictv.global=202314914")</f>
        <v>ictv.global=202314914</v>
      </c>
    </row>
    <row r="3508" spans="1:21">
      <c r="A3508">
        <v>3507</v>
      </c>
      <c r="B3508" s="30" t="s">
        <v>1587</v>
      </c>
      <c r="D3508" s="30" t="s">
        <v>1588</v>
      </c>
      <c r="F3508" s="30" t="s">
        <v>1591</v>
      </c>
      <c r="H3508" s="30" t="s">
        <v>1592</v>
      </c>
      <c r="N3508" s="30" t="s">
        <v>6961</v>
      </c>
      <c r="P3508" s="30" t="s">
        <v>6967</v>
      </c>
      <c r="Q3508" t="s">
        <v>619</v>
      </c>
      <c r="R3508" t="s">
        <v>917</v>
      </c>
      <c r="S3508">
        <v>38</v>
      </c>
      <c r="T3508" s="29" t="str">
        <f t="shared" si="157"/>
        <v>2022.084B.Caudoviricetes_6ng_33nsp.zip</v>
      </c>
      <c r="U3508" s="29" t="str">
        <f>HYPERLINK("https://ictv.global/taxonomy/taxondetails?taxnode_id=202314919","ictv.global=202314919")</f>
        <v>ictv.global=202314919</v>
      </c>
    </row>
    <row r="3509" spans="1:21">
      <c r="A3509">
        <v>3508</v>
      </c>
      <c r="B3509" s="30" t="s">
        <v>1587</v>
      </c>
      <c r="D3509" s="30" t="s">
        <v>1588</v>
      </c>
      <c r="F3509" s="30" t="s">
        <v>1591</v>
      </c>
      <c r="H3509" s="30" t="s">
        <v>1592</v>
      </c>
      <c r="N3509" s="30" t="s">
        <v>6961</v>
      </c>
      <c r="P3509" s="30" t="s">
        <v>6968</v>
      </c>
      <c r="Q3509" t="s">
        <v>619</v>
      </c>
      <c r="R3509" t="s">
        <v>917</v>
      </c>
      <c r="S3509">
        <v>38</v>
      </c>
      <c r="T3509" s="29" t="str">
        <f t="shared" si="157"/>
        <v>2022.084B.Caudoviricetes_6ng_33nsp.zip</v>
      </c>
      <c r="U3509" s="29" t="str">
        <f>HYPERLINK("https://ictv.global/taxonomy/taxondetails?taxnode_id=202314918","ictv.global=202314918")</f>
        <v>ictv.global=202314918</v>
      </c>
    </row>
    <row r="3510" spans="1:21">
      <c r="A3510">
        <v>3509</v>
      </c>
      <c r="B3510" s="30" t="s">
        <v>1587</v>
      </c>
      <c r="D3510" s="30" t="s">
        <v>1588</v>
      </c>
      <c r="F3510" s="30" t="s">
        <v>1591</v>
      </c>
      <c r="H3510" s="30" t="s">
        <v>1592</v>
      </c>
      <c r="N3510" s="30" t="s">
        <v>6961</v>
      </c>
      <c r="P3510" s="30" t="s">
        <v>6969</v>
      </c>
      <c r="Q3510" t="s">
        <v>619</v>
      </c>
      <c r="R3510" t="s">
        <v>917</v>
      </c>
      <c r="S3510">
        <v>38</v>
      </c>
      <c r="T3510" s="29" t="str">
        <f t="shared" si="157"/>
        <v>2022.084B.Caudoviricetes_6ng_33nsp.zip</v>
      </c>
      <c r="U3510" s="29" t="str">
        <f>HYPERLINK("https://ictv.global/taxonomy/taxondetails?taxnode_id=202314917","ictv.global=202314917")</f>
        <v>ictv.global=202314917</v>
      </c>
    </row>
    <row r="3511" spans="1:21">
      <c r="A3511">
        <v>3510</v>
      </c>
      <c r="B3511" s="30" t="s">
        <v>1587</v>
      </c>
      <c r="D3511" s="30" t="s">
        <v>1588</v>
      </c>
      <c r="F3511" s="30" t="s">
        <v>1591</v>
      </c>
      <c r="H3511" s="30" t="s">
        <v>1592</v>
      </c>
      <c r="N3511" s="30" t="s">
        <v>6961</v>
      </c>
      <c r="P3511" s="30" t="s">
        <v>6970</v>
      </c>
      <c r="Q3511" t="s">
        <v>619</v>
      </c>
      <c r="R3511" t="s">
        <v>917</v>
      </c>
      <c r="S3511">
        <v>38</v>
      </c>
      <c r="T3511" s="29" t="str">
        <f t="shared" si="157"/>
        <v>2022.084B.Caudoviricetes_6ng_33nsp.zip</v>
      </c>
      <c r="U3511" s="29" t="str">
        <f>HYPERLINK("https://ictv.global/taxonomy/taxondetails?taxnode_id=202314912","ictv.global=202314912")</f>
        <v>ictv.global=202314912</v>
      </c>
    </row>
    <row r="3512" spans="1:21">
      <c r="A3512">
        <v>3511</v>
      </c>
      <c r="B3512" s="30" t="s">
        <v>1587</v>
      </c>
      <c r="D3512" s="30" t="s">
        <v>1588</v>
      </c>
      <c r="F3512" s="30" t="s">
        <v>1591</v>
      </c>
      <c r="H3512" s="30" t="s">
        <v>1592</v>
      </c>
      <c r="N3512" s="30" t="s">
        <v>6961</v>
      </c>
      <c r="P3512" s="30" t="s">
        <v>6971</v>
      </c>
      <c r="Q3512" t="s">
        <v>619</v>
      </c>
      <c r="R3512" t="s">
        <v>917</v>
      </c>
      <c r="S3512">
        <v>38</v>
      </c>
      <c r="T3512" s="29" t="str">
        <f t="shared" si="157"/>
        <v>2022.084B.Caudoviricetes_6ng_33nsp.zip</v>
      </c>
      <c r="U3512" s="29" t="str">
        <f>HYPERLINK("https://ictv.global/taxonomy/taxondetails?taxnode_id=202314920","ictv.global=202314920")</f>
        <v>ictv.global=202314920</v>
      </c>
    </row>
    <row r="3513" spans="1:21">
      <c r="A3513">
        <v>3512</v>
      </c>
      <c r="B3513" s="30" t="s">
        <v>1587</v>
      </c>
      <c r="D3513" s="30" t="s">
        <v>1588</v>
      </c>
      <c r="F3513" s="30" t="s">
        <v>1591</v>
      </c>
      <c r="H3513" s="30" t="s">
        <v>1592</v>
      </c>
      <c r="N3513" s="30" t="s">
        <v>2418</v>
      </c>
      <c r="P3513" s="30" t="s">
        <v>6973</v>
      </c>
      <c r="Q3513" t="s">
        <v>619</v>
      </c>
      <c r="R3513" t="s">
        <v>918</v>
      </c>
      <c r="S3513">
        <v>37</v>
      </c>
      <c r="T3513" s="29" t="str">
        <f>HYPERLINK("https://ictv.global/ictv/proposals/2021.010B.R.Binomial_names.zip","2021.010B.R.Binomial_names.zip")</f>
        <v>2021.010B.R.Binomial_names.zip</v>
      </c>
      <c r="U3513" s="29" t="str">
        <f>HYPERLINK("https://ictv.global/taxonomy/taxondetails?taxnode_id=202310193","ictv.global=202310193")</f>
        <v>ictv.global=202310193</v>
      </c>
    </row>
    <row r="3514" spans="1:21">
      <c r="A3514">
        <v>3513</v>
      </c>
      <c r="B3514" s="30" t="s">
        <v>1587</v>
      </c>
      <c r="D3514" s="30" t="s">
        <v>1588</v>
      </c>
      <c r="F3514" s="30" t="s">
        <v>1591</v>
      </c>
      <c r="H3514" s="30" t="s">
        <v>1592</v>
      </c>
      <c r="N3514" s="30" t="s">
        <v>1458</v>
      </c>
      <c r="P3514" s="30" t="s">
        <v>6974</v>
      </c>
      <c r="Q3514" t="s">
        <v>619</v>
      </c>
      <c r="R3514" t="s">
        <v>918</v>
      </c>
      <c r="S3514">
        <v>37</v>
      </c>
      <c r="T3514" s="29" t="str">
        <f>HYPERLINK("https://ictv.global/ictv/proposals/2021.010B.R.Binomial_names.zip","2021.010B.R.Binomial_names.zip")</f>
        <v>2021.010B.R.Binomial_names.zip</v>
      </c>
      <c r="U3514" s="29" t="str">
        <f>HYPERLINK("https://ictv.global/taxonomy/taxondetails?taxnode_id=202306394","ictv.global=202306394")</f>
        <v>ictv.global=202306394</v>
      </c>
    </row>
    <row r="3515" spans="1:21">
      <c r="A3515">
        <v>3514</v>
      </c>
      <c r="B3515" s="30" t="s">
        <v>1587</v>
      </c>
      <c r="D3515" s="30" t="s">
        <v>1588</v>
      </c>
      <c r="F3515" s="30" t="s">
        <v>1591</v>
      </c>
      <c r="H3515" s="30" t="s">
        <v>1592</v>
      </c>
      <c r="N3515" s="30" t="s">
        <v>6975</v>
      </c>
      <c r="P3515" s="30" t="s">
        <v>6976</v>
      </c>
      <c r="Q3515" t="s">
        <v>619</v>
      </c>
      <c r="R3515" t="s">
        <v>917</v>
      </c>
      <c r="S3515">
        <v>37</v>
      </c>
      <c r="T3515" s="29" t="str">
        <f t="shared" ref="T3515:T3528" si="158">HYPERLINK("https://ictv.global/ictv/proposals/2021.008B.R.Benedictvirus.zip","2021.008B.R.Benedictvirus.zip")</f>
        <v>2021.008B.R.Benedictvirus.zip</v>
      </c>
      <c r="U3515" s="29" t="str">
        <f>HYPERLINK("https://ictv.global/taxonomy/taxondetails?taxnode_id=202313208","ictv.global=202313208")</f>
        <v>ictv.global=202313208</v>
      </c>
    </row>
    <row r="3516" spans="1:21">
      <c r="A3516">
        <v>3515</v>
      </c>
      <c r="B3516" s="30" t="s">
        <v>1587</v>
      </c>
      <c r="D3516" s="30" t="s">
        <v>1588</v>
      </c>
      <c r="F3516" s="30" t="s">
        <v>1591</v>
      </c>
      <c r="H3516" s="30" t="s">
        <v>1592</v>
      </c>
      <c r="N3516" s="30" t="s">
        <v>6975</v>
      </c>
      <c r="P3516" s="30" t="s">
        <v>6977</v>
      </c>
      <c r="Q3516" t="s">
        <v>619</v>
      </c>
      <c r="R3516" t="s">
        <v>918</v>
      </c>
      <c r="S3516">
        <v>37</v>
      </c>
      <c r="T3516" s="29" t="str">
        <f t="shared" si="158"/>
        <v>2021.008B.R.Benedictvirus.zip</v>
      </c>
      <c r="U3516" s="29" t="str">
        <f>HYPERLINK("https://ictv.global/taxonomy/taxondetails?taxnode_id=202301014","ictv.global=202301014")</f>
        <v>ictv.global=202301014</v>
      </c>
    </row>
    <row r="3517" spans="1:21">
      <c r="A3517">
        <v>3516</v>
      </c>
      <c r="B3517" s="30" t="s">
        <v>1587</v>
      </c>
      <c r="D3517" s="30" t="s">
        <v>1588</v>
      </c>
      <c r="F3517" s="30" t="s">
        <v>1591</v>
      </c>
      <c r="H3517" s="30" t="s">
        <v>1592</v>
      </c>
      <c r="N3517" s="30" t="s">
        <v>6975</v>
      </c>
      <c r="P3517" s="30" t="s">
        <v>6978</v>
      </c>
      <c r="Q3517" t="s">
        <v>619</v>
      </c>
      <c r="R3517" t="s">
        <v>917</v>
      </c>
      <c r="S3517">
        <v>37</v>
      </c>
      <c r="T3517" s="29" t="str">
        <f t="shared" si="158"/>
        <v>2021.008B.R.Benedictvirus.zip</v>
      </c>
      <c r="U3517" s="29" t="str">
        <f>HYPERLINK("https://ictv.global/taxonomy/taxondetails?taxnode_id=202313207","ictv.global=202313207")</f>
        <v>ictv.global=202313207</v>
      </c>
    </row>
    <row r="3518" spans="1:21">
      <c r="A3518">
        <v>3517</v>
      </c>
      <c r="B3518" s="30" t="s">
        <v>1587</v>
      </c>
      <c r="D3518" s="30" t="s">
        <v>1588</v>
      </c>
      <c r="F3518" s="30" t="s">
        <v>1591</v>
      </c>
      <c r="H3518" s="30" t="s">
        <v>1592</v>
      </c>
      <c r="N3518" s="30" t="s">
        <v>6975</v>
      </c>
      <c r="P3518" s="30" t="s">
        <v>6979</v>
      </c>
      <c r="Q3518" t="s">
        <v>619</v>
      </c>
      <c r="R3518" t="s">
        <v>917</v>
      </c>
      <c r="S3518">
        <v>37</v>
      </c>
      <c r="T3518" s="29" t="str">
        <f t="shared" si="158"/>
        <v>2021.008B.R.Benedictvirus.zip</v>
      </c>
      <c r="U3518" s="29" t="str">
        <f>HYPERLINK("https://ictv.global/taxonomy/taxondetails?taxnode_id=202313201","ictv.global=202313201")</f>
        <v>ictv.global=202313201</v>
      </c>
    </row>
    <row r="3519" spans="1:21">
      <c r="A3519">
        <v>3518</v>
      </c>
      <c r="B3519" s="30" t="s">
        <v>1587</v>
      </c>
      <c r="D3519" s="30" t="s">
        <v>1588</v>
      </c>
      <c r="F3519" s="30" t="s">
        <v>1591</v>
      </c>
      <c r="H3519" s="30" t="s">
        <v>1592</v>
      </c>
      <c r="N3519" s="30" t="s">
        <v>6975</v>
      </c>
      <c r="P3519" s="30" t="s">
        <v>6980</v>
      </c>
      <c r="Q3519" t="s">
        <v>619</v>
      </c>
      <c r="R3519" t="s">
        <v>918</v>
      </c>
      <c r="S3519">
        <v>37</v>
      </c>
      <c r="T3519" s="29" t="str">
        <f t="shared" si="158"/>
        <v>2021.008B.R.Benedictvirus.zip</v>
      </c>
      <c r="U3519" s="29" t="str">
        <f>HYPERLINK("https://ictv.global/taxonomy/taxondetails?taxnode_id=202301021","ictv.global=202301021")</f>
        <v>ictv.global=202301021</v>
      </c>
    </row>
    <row r="3520" spans="1:21">
      <c r="A3520">
        <v>3519</v>
      </c>
      <c r="B3520" s="30" t="s">
        <v>1587</v>
      </c>
      <c r="D3520" s="30" t="s">
        <v>1588</v>
      </c>
      <c r="F3520" s="30" t="s">
        <v>1591</v>
      </c>
      <c r="H3520" s="30" t="s">
        <v>1592</v>
      </c>
      <c r="N3520" s="30" t="s">
        <v>6975</v>
      </c>
      <c r="P3520" s="30" t="s">
        <v>6981</v>
      </c>
      <c r="Q3520" t="s">
        <v>619</v>
      </c>
      <c r="R3520" t="s">
        <v>917</v>
      </c>
      <c r="S3520">
        <v>37</v>
      </c>
      <c r="T3520" s="29" t="str">
        <f t="shared" si="158"/>
        <v>2021.008B.R.Benedictvirus.zip</v>
      </c>
      <c r="U3520" s="29" t="str">
        <f>HYPERLINK("https://ictv.global/taxonomy/taxondetails?taxnode_id=202313209","ictv.global=202313209")</f>
        <v>ictv.global=202313209</v>
      </c>
    </row>
    <row r="3521" spans="1:21">
      <c r="A3521">
        <v>3520</v>
      </c>
      <c r="B3521" s="30" t="s">
        <v>1587</v>
      </c>
      <c r="D3521" s="30" t="s">
        <v>1588</v>
      </c>
      <c r="F3521" s="30" t="s">
        <v>1591</v>
      </c>
      <c r="H3521" s="30" t="s">
        <v>1592</v>
      </c>
      <c r="N3521" s="30" t="s">
        <v>6975</v>
      </c>
      <c r="P3521" s="30" t="s">
        <v>6982</v>
      </c>
      <c r="Q3521" t="s">
        <v>619</v>
      </c>
      <c r="R3521" t="s">
        <v>917</v>
      </c>
      <c r="S3521">
        <v>37</v>
      </c>
      <c r="T3521" s="29" t="str">
        <f t="shared" si="158"/>
        <v>2021.008B.R.Benedictvirus.zip</v>
      </c>
      <c r="U3521" s="29" t="str">
        <f>HYPERLINK("https://ictv.global/taxonomy/taxondetails?taxnode_id=202313205","ictv.global=202313205")</f>
        <v>ictv.global=202313205</v>
      </c>
    </row>
    <row r="3522" spans="1:21">
      <c r="A3522">
        <v>3521</v>
      </c>
      <c r="B3522" s="30" t="s">
        <v>1587</v>
      </c>
      <c r="D3522" s="30" t="s">
        <v>1588</v>
      </c>
      <c r="F3522" s="30" t="s">
        <v>1591</v>
      </c>
      <c r="H3522" s="30" t="s">
        <v>1592</v>
      </c>
      <c r="N3522" s="30" t="s">
        <v>6975</v>
      </c>
      <c r="P3522" s="30" t="s">
        <v>6983</v>
      </c>
      <c r="Q3522" t="s">
        <v>619</v>
      </c>
      <c r="R3522" t="s">
        <v>917</v>
      </c>
      <c r="S3522">
        <v>37</v>
      </c>
      <c r="T3522" s="29" t="str">
        <f t="shared" si="158"/>
        <v>2021.008B.R.Benedictvirus.zip</v>
      </c>
      <c r="U3522" s="29" t="str">
        <f>HYPERLINK("https://ictv.global/taxonomy/taxondetails?taxnode_id=202313199","ictv.global=202313199")</f>
        <v>ictv.global=202313199</v>
      </c>
    </row>
    <row r="3523" spans="1:21">
      <c r="A3523">
        <v>3522</v>
      </c>
      <c r="B3523" s="30" t="s">
        <v>1587</v>
      </c>
      <c r="D3523" s="30" t="s">
        <v>1588</v>
      </c>
      <c r="F3523" s="30" t="s">
        <v>1591</v>
      </c>
      <c r="H3523" s="30" t="s">
        <v>1592</v>
      </c>
      <c r="N3523" s="30" t="s">
        <v>6975</v>
      </c>
      <c r="P3523" s="30" t="s">
        <v>6984</v>
      </c>
      <c r="Q3523" t="s">
        <v>619</v>
      </c>
      <c r="R3523" t="s">
        <v>917</v>
      </c>
      <c r="S3523">
        <v>37</v>
      </c>
      <c r="T3523" s="29" t="str">
        <f t="shared" si="158"/>
        <v>2021.008B.R.Benedictvirus.zip</v>
      </c>
      <c r="U3523" s="29" t="str">
        <f>HYPERLINK("https://ictv.global/taxonomy/taxondetails?taxnode_id=202313202","ictv.global=202313202")</f>
        <v>ictv.global=202313202</v>
      </c>
    </row>
    <row r="3524" spans="1:21">
      <c r="A3524">
        <v>3523</v>
      </c>
      <c r="B3524" s="30" t="s">
        <v>1587</v>
      </c>
      <c r="D3524" s="30" t="s">
        <v>1588</v>
      </c>
      <c r="F3524" s="30" t="s">
        <v>1591</v>
      </c>
      <c r="H3524" s="30" t="s">
        <v>1592</v>
      </c>
      <c r="N3524" s="30" t="s">
        <v>6975</v>
      </c>
      <c r="P3524" s="30" t="s">
        <v>6985</v>
      </c>
      <c r="Q3524" t="s">
        <v>619</v>
      </c>
      <c r="R3524" t="s">
        <v>917</v>
      </c>
      <c r="S3524">
        <v>37</v>
      </c>
      <c r="T3524" s="29" t="str">
        <f t="shared" si="158"/>
        <v>2021.008B.R.Benedictvirus.zip</v>
      </c>
      <c r="U3524" s="29" t="str">
        <f>HYPERLINK("https://ictv.global/taxonomy/taxondetails?taxnode_id=202313204","ictv.global=202313204")</f>
        <v>ictv.global=202313204</v>
      </c>
    </row>
    <row r="3525" spans="1:21">
      <c r="A3525">
        <v>3524</v>
      </c>
      <c r="B3525" s="30" t="s">
        <v>1587</v>
      </c>
      <c r="D3525" s="30" t="s">
        <v>1588</v>
      </c>
      <c r="F3525" s="30" t="s">
        <v>1591</v>
      </c>
      <c r="H3525" s="30" t="s">
        <v>1592</v>
      </c>
      <c r="N3525" s="30" t="s">
        <v>6975</v>
      </c>
      <c r="P3525" s="30" t="s">
        <v>6986</v>
      </c>
      <c r="Q3525" t="s">
        <v>619</v>
      </c>
      <c r="R3525" t="s">
        <v>917</v>
      </c>
      <c r="S3525">
        <v>37</v>
      </c>
      <c r="T3525" s="29" t="str">
        <f t="shared" si="158"/>
        <v>2021.008B.R.Benedictvirus.zip</v>
      </c>
      <c r="U3525" s="29" t="str">
        <f>HYPERLINK("https://ictv.global/taxonomy/taxondetails?taxnode_id=202313203","ictv.global=202313203")</f>
        <v>ictv.global=202313203</v>
      </c>
    </row>
    <row r="3526" spans="1:21">
      <c r="A3526">
        <v>3525</v>
      </c>
      <c r="B3526" s="30" t="s">
        <v>1587</v>
      </c>
      <c r="D3526" s="30" t="s">
        <v>1588</v>
      </c>
      <c r="F3526" s="30" t="s">
        <v>1591</v>
      </c>
      <c r="H3526" s="30" t="s">
        <v>1592</v>
      </c>
      <c r="N3526" s="30" t="s">
        <v>6975</v>
      </c>
      <c r="P3526" s="30" t="s">
        <v>6987</v>
      </c>
      <c r="Q3526" t="s">
        <v>619</v>
      </c>
      <c r="R3526" t="s">
        <v>918</v>
      </c>
      <c r="S3526">
        <v>37</v>
      </c>
      <c r="T3526" s="29" t="str">
        <f t="shared" si="158"/>
        <v>2021.008B.R.Benedictvirus.zip</v>
      </c>
      <c r="U3526" s="29" t="str">
        <f>HYPERLINK("https://ictv.global/taxonomy/taxondetails?taxnode_id=202301061","ictv.global=202301061")</f>
        <v>ictv.global=202301061</v>
      </c>
    </row>
    <row r="3527" spans="1:21">
      <c r="A3527">
        <v>3526</v>
      </c>
      <c r="B3527" s="30" t="s">
        <v>1587</v>
      </c>
      <c r="D3527" s="30" t="s">
        <v>1588</v>
      </c>
      <c r="F3527" s="30" t="s">
        <v>1591</v>
      </c>
      <c r="H3527" s="30" t="s">
        <v>1592</v>
      </c>
      <c r="N3527" s="30" t="s">
        <v>6975</v>
      </c>
      <c r="P3527" s="30" t="s">
        <v>6988</v>
      </c>
      <c r="Q3527" t="s">
        <v>619</v>
      </c>
      <c r="R3527" t="s">
        <v>917</v>
      </c>
      <c r="S3527">
        <v>37</v>
      </c>
      <c r="T3527" s="29" t="str">
        <f t="shared" si="158"/>
        <v>2021.008B.R.Benedictvirus.zip</v>
      </c>
      <c r="U3527" s="29" t="str">
        <f>HYPERLINK("https://ictv.global/taxonomy/taxondetails?taxnode_id=202313200","ictv.global=202313200")</f>
        <v>ictv.global=202313200</v>
      </c>
    </row>
    <row r="3528" spans="1:21">
      <c r="A3528">
        <v>3527</v>
      </c>
      <c r="B3528" s="30" t="s">
        <v>1587</v>
      </c>
      <c r="D3528" s="30" t="s">
        <v>1588</v>
      </c>
      <c r="F3528" s="30" t="s">
        <v>1591</v>
      </c>
      <c r="H3528" s="30" t="s">
        <v>1592</v>
      </c>
      <c r="N3528" s="30" t="s">
        <v>6975</v>
      </c>
      <c r="P3528" s="30" t="s">
        <v>6989</v>
      </c>
      <c r="Q3528" t="s">
        <v>619</v>
      </c>
      <c r="R3528" t="s">
        <v>917</v>
      </c>
      <c r="S3528">
        <v>37</v>
      </c>
      <c r="T3528" s="29" t="str">
        <f t="shared" si="158"/>
        <v>2021.008B.R.Benedictvirus.zip</v>
      </c>
      <c r="U3528" s="29" t="str">
        <f>HYPERLINK("https://ictv.global/taxonomy/taxondetails?taxnode_id=202313206","ictv.global=202313206")</f>
        <v>ictv.global=202313206</v>
      </c>
    </row>
    <row r="3529" spans="1:21">
      <c r="A3529">
        <v>3528</v>
      </c>
      <c r="B3529" s="30" t="s">
        <v>1587</v>
      </c>
      <c r="D3529" s="30" t="s">
        <v>1588</v>
      </c>
      <c r="F3529" s="30" t="s">
        <v>1591</v>
      </c>
      <c r="H3529" s="30" t="s">
        <v>1592</v>
      </c>
      <c r="N3529" s="30" t="s">
        <v>1459</v>
      </c>
      <c r="P3529" s="30" t="s">
        <v>6990</v>
      </c>
      <c r="Q3529" t="s">
        <v>619</v>
      </c>
      <c r="R3529" t="s">
        <v>918</v>
      </c>
      <c r="S3529">
        <v>37</v>
      </c>
      <c r="T3529" s="29" t="str">
        <f>HYPERLINK("https://ictv.global/ictv/proposals/2021.010B.R.Binomial_names.zip","2021.010B.R.Binomial_names.zip")</f>
        <v>2021.010B.R.Binomial_names.zip</v>
      </c>
      <c r="U3529" s="29" t="str">
        <f>HYPERLINK("https://ictv.global/taxonomy/taxondetails?taxnode_id=202300858","ictv.global=202300858")</f>
        <v>ictv.global=202300858</v>
      </c>
    </row>
    <row r="3530" spans="1:21">
      <c r="A3530">
        <v>3529</v>
      </c>
      <c r="B3530" s="30" t="s">
        <v>1587</v>
      </c>
      <c r="D3530" s="30" t="s">
        <v>1588</v>
      </c>
      <c r="F3530" s="30" t="s">
        <v>1591</v>
      </c>
      <c r="H3530" s="30" t="s">
        <v>1592</v>
      </c>
      <c r="N3530" s="30" t="s">
        <v>1459</v>
      </c>
      <c r="P3530" s="30" t="s">
        <v>6991</v>
      </c>
      <c r="Q3530" t="s">
        <v>619</v>
      </c>
      <c r="R3530" t="s">
        <v>917</v>
      </c>
      <c r="S3530">
        <v>37</v>
      </c>
      <c r="T3530" s="29" t="str">
        <f>HYPERLINK("https://ictv.global/ictv/proposals/2021.039B.R.Infilling.zip","2021.039B.R.Infilling.zip")</f>
        <v>2021.039B.R.Infilling.zip</v>
      </c>
      <c r="U3530" s="29" t="str">
        <f>HYPERLINK("https://ictv.global/taxonomy/taxondetails?taxnode_id=202312355","ictv.global=202312355")</f>
        <v>ictv.global=202312355</v>
      </c>
    </row>
    <row r="3531" spans="1:21">
      <c r="A3531">
        <v>3530</v>
      </c>
      <c r="B3531" s="30" t="s">
        <v>1587</v>
      </c>
      <c r="D3531" s="30" t="s">
        <v>1588</v>
      </c>
      <c r="F3531" s="30" t="s">
        <v>1591</v>
      </c>
      <c r="H3531" s="30" t="s">
        <v>1592</v>
      </c>
      <c r="N3531" s="30" t="s">
        <v>1460</v>
      </c>
      <c r="P3531" s="30" t="s">
        <v>6992</v>
      </c>
      <c r="Q3531" t="s">
        <v>619</v>
      </c>
      <c r="R3531" t="s">
        <v>918</v>
      </c>
      <c r="S3531">
        <v>37</v>
      </c>
      <c r="T3531" s="29" t="str">
        <f>HYPERLINK("https://ictv.global/ictv/proposals/2021.010B.R.Binomial_names.zip","2021.010B.R.Binomial_names.zip")</f>
        <v>2021.010B.R.Binomial_names.zip</v>
      </c>
      <c r="U3531" s="29" t="str">
        <f>HYPERLINK("https://ictv.global/taxonomy/taxondetails?taxnode_id=202306801","ictv.global=202306801")</f>
        <v>ictv.global=202306801</v>
      </c>
    </row>
    <row r="3532" spans="1:21">
      <c r="A3532">
        <v>3531</v>
      </c>
      <c r="B3532" s="30" t="s">
        <v>1587</v>
      </c>
      <c r="D3532" s="30" t="s">
        <v>1588</v>
      </c>
      <c r="F3532" s="30" t="s">
        <v>1591</v>
      </c>
      <c r="H3532" s="30" t="s">
        <v>1592</v>
      </c>
      <c r="N3532" s="30" t="s">
        <v>12533</v>
      </c>
      <c r="P3532" s="30" t="s">
        <v>12534</v>
      </c>
      <c r="Q3532" t="s">
        <v>619</v>
      </c>
      <c r="R3532" t="s">
        <v>917</v>
      </c>
      <c r="S3532">
        <v>39</v>
      </c>
      <c r="T3532" s="29" t="str">
        <f>HYPERLINK("https://ictv.global/ictv/proposals/2023.080B.Bglawtbvirus_ng.zip","2023.080B.Bglawtbvirus_ng.zip")</f>
        <v>2023.080B.Bglawtbvirus_ng.zip</v>
      </c>
      <c r="U3532" s="29" t="str">
        <f>HYPERLINK("https://ictv.global/taxonomy/taxondetails?taxnode_id=202319574","ictv.global=202319574")</f>
        <v>ictv.global=202319574</v>
      </c>
    </row>
    <row r="3533" spans="1:21">
      <c r="A3533">
        <v>3532</v>
      </c>
      <c r="B3533" s="30" t="s">
        <v>1587</v>
      </c>
      <c r="D3533" s="30" t="s">
        <v>1588</v>
      </c>
      <c r="F3533" s="30" t="s">
        <v>1591</v>
      </c>
      <c r="H3533" s="30" t="s">
        <v>1592</v>
      </c>
      <c r="N3533" s="30" t="s">
        <v>2419</v>
      </c>
      <c r="P3533" s="30" t="s">
        <v>6993</v>
      </c>
      <c r="Q3533" t="s">
        <v>619</v>
      </c>
      <c r="R3533" t="s">
        <v>918</v>
      </c>
      <c r="S3533">
        <v>37</v>
      </c>
      <c r="T3533" s="29" t="str">
        <f>HYPERLINK("https://ictv.global/ictv/proposals/2021.010B.R.Binomial_names.zip","2021.010B.R.Binomial_names.zip")</f>
        <v>2021.010B.R.Binomial_names.zip</v>
      </c>
      <c r="U3533" s="29" t="str">
        <f>HYPERLINK("https://ictv.global/taxonomy/taxondetails?taxnode_id=202309344","ictv.global=202309344")</f>
        <v>ictv.global=202309344</v>
      </c>
    </row>
    <row r="3534" spans="1:21">
      <c r="A3534">
        <v>3533</v>
      </c>
      <c r="B3534" s="30" t="s">
        <v>1587</v>
      </c>
      <c r="D3534" s="30" t="s">
        <v>1588</v>
      </c>
      <c r="F3534" s="30" t="s">
        <v>1591</v>
      </c>
      <c r="H3534" s="30" t="s">
        <v>1592</v>
      </c>
      <c r="N3534" s="30" t="s">
        <v>6994</v>
      </c>
      <c r="P3534" s="30" t="s">
        <v>6995</v>
      </c>
      <c r="Q3534" t="s">
        <v>619</v>
      </c>
      <c r="R3534" t="s">
        <v>917</v>
      </c>
      <c r="S3534">
        <v>38</v>
      </c>
      <c r="T3534" s="29" t="str">
        <f>HYPERLINK("https://ictv.global/ictv/proposals/2022.046B.Caudoviricetes_2ng.zip","2022.046B.Caudoviricetes_2ng.zip")</f>
        <v>2022.046B.Caudoviricetes_2ng.zip</v>
      </c>
      <c r="U3534" s="29" t="str">
        <f>HYPERLINK("https://ictv.global/taxonomy/taxondetails?taxnode_id=202314667","ictv.global=202314667")</f>
        <v>ictv.global=202314667</v>
      </c>
    </row>
    <row r="3535" spans="1:21">
      <c r="A3535">
        <v>3534</v>
      </c>
      <c r="B3535" s="30" t="s">
        <v>1587</v>
      </c>
      <c r="D3535" s="30" t="s">
        <v>1588</v>
      </c>
      <c r="F3535" s="30" t="s">
        <v>1591</v>
      </c>
      <c r="H3535" s="30" t="s">
        <v>1592</v>
      </c>
      <c r="N3535" s="30" t="s">
        <v>1461</v>
      </c>
      <c r="P3535" s="30" t="s">
        <v>6996</v>
      </c>
      <c r="Q3535" t="s">
        <v>619</v>
      </c>
      <c r="R3535" t="s">
        <v>918</v>
      </c>
      <c r="S3535">
        <v>37</v>
      </c>
      <c r="T3535" s="29" t="str">
        <f>HYPERLINK("https://ictv.global/ictv/proposals/2021.010B.R.Binomial_names.zip","2021.010B.R.Binomial_names.zip")</f>
        <v>2021.010B.R.Binomial_names.zip</v>
      </c>
      <c r="U3535" s="29" t="str">
        <f>HYPERLINK("https://ictv.global/taxonomy/taxondetails?taxnode_id=202306724","ictv.global=202306724")</f>
        <v>ictv.global=202306724</v>
      </c>
    </row>
    <row r="3536" spans="1:21">
      <c r="A3536">
        <v>3535</v>
      </c>
      <c r="B3536" s="30" t="s">
        <v>1587</v>
      </c>
      <c r="D3536" s="30" t="s">
        <v>1588</v>
      </c>
      <c r="F3536" s="30" t="s">
        <v>1591</v>
      </c>
      <c r="H3536" s="30" t="s">
        <v>1592</v>
      </c>
      <c r="N3536" s="30" t="s">
        <v>6997</v>
      </c>
      <c r="P3536" s="30" t="s">
        <v>6998</v>
      </c>
      <c r="Q3536" t="s">
        <v>619</v>
      </c>
      <c r="R3536" t="s">
        <v>917</v>
      </c>
      <c r="S3536">
        <v>37</v>
      </c>
      <c r="T3536" s="29" t="str">
        <f>HYPERLINK("https://ictv.global/ictv/proposals/2021.011B.R.Bippervirus.zip","2021.011B.R.Bippervirus.zip")</f>
        <v>2021.011B.R.Bippervirus.zip</v>
      </c>
      <c r="U3536" s="29" t="str">
        <f>HYPERLINK("https://ictv.global/taxonomy/taxondetails?taxnode_id=202312974","ictv.global=202312974")</f>
        <v>ictv.global=202312974</v>
      </c>
    </row>
    <row r="3537" spans="1:21">
      <c r="A3537">
        <v>3536</v>
      </c>
      <c r="B3537" s="30" t="s">
        <v>1587</v>
      </c>
      <c r="D3537" s="30" t="s">
        <v>1588</v>
      </c>
      <c r="F3537" s="30" t="s">
        <v>1591</v>
      </c>
      <c r="H3537" s="30" t="s">
        <v>1592</v>
      </c>
      <c r="N3537" s="30" t="s">
        <v>12535</v>
      </c>
      <c r="P3537" s="30" t="s">
        <v>12536</v>
      </c>
      <c r="Q3537" t="s">
        <v>619</v>
      </c>
      <c r="R3537" t="s">
        <v>917</v>
      </c>
      <c r="S3537">
        <v>39</v>
      </c>
      <c r="T3537" s="29" t="str">
        <f>HYPERLINK("https://ictv.global/ictv/proposals/2023.003B.Actinobacteriophage_singletons_25ng.zip","2023.003B.Actinobacteriophage_singletons_25ng.zip")</f>
        <v>2023.003B.Actinobacteriophage_singletons_25ng.zip</v>
      </c>
      <c r="U3537" s="29" t="str">
        <f>HYPERLINK("https://ictv.global/taxonomy/taxondetails?taxnode_id=202317768","ictv.global=202317768")</f>
        <v>ictv.global=202317768</v>
      </c>
    </row>
    <row r="3538" spans="1:21">
      <c r="A3538">
        <v>3537</v>
      </c>
      <c r="B3538" s="30" t="s">
        <v>1587</v>
      </c>
      <c r="D3538" s="30" t="s">
        <v>1588</v>
      </c>
      <c r="F3538" s="30" t="s">
        <v>1591</v>
      </c>
      <c r="H3538" s="30" t="s">
        <v>1592</v>
      </c>
      <c r="N3538" s="30" t="s">
        <v>1415</v>
      </c>
      <c r="P3538" s="30" t="s">
        <v>6999</v>
      </c>
      <c r="Q3538" t="s">
        <v>619</v>
      </c>
      <c r="R3538" t="s">
        <v>918</v>
      </c>
      <c r="S3538">
        <v>37</v>
      </c>
      <c r="T3538" s="29" t="str">
        <f>HYPERLINK("https://ictv.global/ictv/proposals/2021.010B.R.Binomial_names.zip","2021.010B.R.Binomial_names.zip")</f>
        <v>2021.010B.R.Binomial_names.zip</v>
      </c>
      <c r="U3538" s="29" t="str">
        <f>HYPERLINK("https://ictv.global/taxonomy/taxondetails?taxnode_id=202306806","ictv.global=202306806")</f>
        <v>ictv.global=202306806</v>
      </c>
    </row>
    <row r="3539" spans="1:21">
      <c r="A3539">
        <v>3538</v>
      </c>
      <c r="B3539" s="30" t="s">
        <v>1587</v>
      </c>
      <c r="D3539" s="30" t="s">
        <v>1588</v>
      </c>
      <c r="F3539" s="30" t="s">
        <v>1591</v>
      </c>
      <c r="H3539" s="30" t="s">
        <v>1592</v>
      </c>
      <c r="N3539" s="30" t="s">
        <v>12537</v>
      </c>
      <c r="P3539" s="30" t="s">
        <v>12538</v>
      </c>
      <c r="Q3539" t="s">
        <v>619</v>
      </c>
      <c r="R3539" t="s">
        <v>917</v>
      </c>
      <c r="S3539">
        <v>39</v>
      </c>
      <c r="T3539" s="29" t="str">
        <f>HYPERLINK("https://ictv.global/ictv/proposals/2023.002B.Actinobacteriophage_Database_Cluster_FE_1nsf_5ng.zip","2023.002B.Actinobacteriophage_Database_Cluster_FE_1nsf_5ng.zip")</f>
        <v>2023.002B.Actinobacteriophage_Database_Cluster_FE_1nsf_5ng.zip</v>
      </c>
      <c r="U3539" s="29" t="str">
        <f>HYPERLINK("https://ictv.global/taxonomy/taxondetails?taxnode_id=202317743","ictv.global=202317743")</f>
        <v>ictv.global=202317743</v>
      </c>
    </row>
    <row r="3540" spans="1:21">
      <c r="A3540">
        <v>3539</v>
      </c>
      <c r="B3540" s="30" t="s">
        <v>1587</v>
      </c>
      <c r="D3540" s="30" t="s">
        <v>1588</v>
      </c>
      <c r="F3540" s="30" t="s">
        <v>1591</v>
      </c>
      <c r="H3540" s="30" t="s">
        <v>1592</v>
      </c>
      <c r="N3540" s="30" t="s">
        <v>7000</v>
      </c>
      <c r="P3540" s="30" t="s">
        <v>7001</v>
      </c>
      <c r="Q3540" t="s">
        <v>619</v>
      </c>
      <c r="R3540" t="s">
        <v>917</v>
      </c>
      <c r="S3540">
        <v>38</v>
      </c>
      <c r="T3540" s="29" t="str">
        <f>HYPERLINK("https://ictv.global/ictv/proposals/2022.013B.Bocovirus_ng.zip","2022.013B.Bocovirus_ng.zip")</f>
        <v>2022.013B.Bocovirus_ng.zip</v>
      </c>
      <c r="U3540" s="29" t="str">
        <f>HYPERLINK("https://ictv.global/taxonomy/taxondetails?taxnode_id=202314523","ictv.global=202314523")</f>
        <v>ictv.global=202314523</v>
      </c>
    </row>
    <row r="3541" spans="1:21">
      <c r="A3541">
        <v>3540</v>
      </c>
      <c r="B3541" s="30" t="s">
        <v>1587</v>
      </c>
      <c r="D3541" s="30" t="s">
        <v>1588</v>
      </c>
      <c r="F3541" s="30" t="s">
        <v>1591</v>
      </c>
      <c r="H3541" s="30" t="s">
        <v>1592</v>
      </c>
      <c r="N3541" s="30" t="s">
        <v>12539</v>
      </c>
      <c r="P3541" s="30" t="s">
        <v>12540</v>
      </c>
      <c r="Q3541" t="s">
        <v>619</v>
      </c>
      <c r="R3541" t="s">
        <v>917</v>
      </c>
      <c r="S3541">
        <v>39</v>
      </c>
      <c r="T3541" s="29" t="str">
        <f>HYPERLINK("https://ictv.global/ictv/proposals/2023.056B.Caudoviricetes_Serratia_2ng.zip","2023.056B.Caudoviricetes_Serratia_2ng.zip")</f>
        <v>2023.056B.Caudoviricetes_Serratia_2ng.zip</v>
      </c>
      <c r="U3541" s="29" t="str">
        <f>HYPERLINK("https://ictv.global/taxonomy/taxondetails?taxnode_id=202319256","ictv.global=202319256")</f>
        <v>ictv.global=202319256</v>
      </c>
    </row>
    <row r="3542" spans="1:21">
      <c r="A3542">
        <v>3541</v>
      </c>
      <c r="B3542" s="30" t="s">
        <v>1587</v>
      </c>
      <c r="D3542" s="30" t="s">
        <v>1588</v>
      </c>
      <c r="F3542" s="30" t="s">
        <v>1591</v>
      </c>
      <c r="H3542" s="30" t="s">
        <v>1592</v>
      </c>
      <c r="N3542" s="30" t="s">
        <v>12539</v>
      </c>
      <c r="P3542" s="30" t="s">
        <v>12541</v>
      </c>
      <c r="Q3542" t="s">
        <v>619</v>
      </c>
      <c r="R3542" t="s">
        <v>917</v>
      </c>
      <c r="S3542">
        <v>39</v>
      </c>
      <c r="T3542" s="29" t="str">
        <f>HYPERLINK("https://ictv.global/ictv/proposals/2023.056B.Caudoviricetes_Serratia_2ng.zip","2023.056B.Caudoviricetes_Serratia_2ng.zip")</f>
        <v>2023.056B.Caudoviricetes_Serratia_2ng.zip</v>
      </c>
      <c r="U3542" s="29" t="str">
        <f>HYPERLINK("https://ictv.global/taxonomy/taxondetails?taxnode_id=202319253","ictv.global=202319253")</f>
        <v>ictv.global=202319253</v>
      </c>
    </row>
    <row r="3543" spans="1:21">
      <c r="A3543">
        <v>3542</v>
      </c>
      <c r="B3543" s="30" t="s">
        <v>1587</v>
      </c>
      <c r="D3543" s="30" t="s">
        <v>1588</v>
      </c>
      <c r="F3543" s="30" t="s">
        <v>1591</v>
      </c>
      <c r="H3543" s="30" t="s">
        <v>1592</v>
      </c>
      <c r="N3543" s="30" t="s">
        <v>12539</v>
      </c>
      <c r="P3543" s="30" t="s">
        <v>12542</v>
      </c>
      <c r="Q3543" t="s">
        <v>619</v>
      </c>
      <c r="R3543" t="s">
        <v>917</v>
      </c>
      <c r="S3543">
        <v>39</v>
      </c>
      <c r="T3543" s="29" t="str">
        <f>HYPERLINK("https://ictv.global/ictv/proposals/2023.056B.Caudoviricetes_Serratia_2ng.zip","2023.056B.Caudoviricetes_Serratia_2ng.zip")</f>
        <v>2023.056B.Caudoviricetes_Serratia_2ng.zip</v>
      </c>
      <c r="U3543" s="29" t="str">
        <f>HYPERLINK("https://ictv.global/taxonomy/taxondetails?taxnode_id=202319254","ictv.global=202319254")</f>
        <v>ictv.global=202319254</v>
      </c>
    </row>
    <row r="3544" spans="1:21">
      <c r="A3544">
        <v>3543</v>
      </c>
      <c r="B3544" s="30" t="s">
        <v>1587</v>
      </c>
      <c r="D3544" s="30" t="s">
        <v>1588</v>
      </c>
      <c r="F3544" s="30" t="s">
        <v>1591</v>
      </c>
      <c r="H3544" s="30" t="s">
        <v>1592</v>
      </c>
      <c r="N3544" s="30" t="s">
        <v>12539</v>
      </c>
      <c r="P3544" s="30" t="s">
        <v>12543</v>
      </c>
      <c r="Q3544" t="s">
        <v>619</v>
      </c>
      <c r="R3544" t="s">
        <v>917</v>
      </c>
      <c r="S3544">
        <v>39</v>
      </c>
      <c r="T3544" s="29" t="str">
        <f>HYPERLINK("https://ictv.global/ictv/proposals/2023.056B.Caudoviricetes_Serratia_2ng.zip","2023.056B.Caudoviricetes_Serratia_2ng.zip")</f>
        <v>2023.056B.Caudoviricetes_Serratia_2ng.zip</v>
      </c>
      <c r="U3544" s="29" t="str">
        <f>HYPERLINK("https://ictv.global/taxonomy/taxondetails?taxnode_id=202319255","ictv.global=202319255")</f>
        <v>ictv.global=202319255</v>
      </c>
    </row>
    <row r="3545" spans="1:21">
      <c r="A3545">
        <v>3544</v>
      </c>
      <c r="B3545" s="30" t="s">
        <v>1587</v>
      </c>
      <c r="D3545" s="30" t="s">
        <v>1588</v>
      </c>
      <c r="F3545" s="30" t="s">
        <v>1591</v>
      </c>
      <c r="H3545" s="30" t="s">
        <v>1592</v>
      </c>
      <c r="N3545" s="30" t="s">
        <v>2262</v>
      </c>
      <c r="P3545" s="30" t="s">
        <v>7002</v>
      </c>
      <c r="Q3545" t="s">
        <v>619</v>
      </c>
      <c r="R3545" t="s">
        <v>918</v>
      </c>
      <c r="S3545">
        <v>37</v>
      </c>
      <c r="T3545" s="29" t="str">
        <f>HYPERLINK("https://ictv.global/ictv/proposals/2021.010B.R.Binomial_names.zip","2021.010B.R.Binomial_names.zip")</f>
        <v>2021.010B.R.Binomial_names.zip</v>
      </c>
      <c r="U3545" s="29" t="str">
        <f>HYPERLINK("https://ictv.global/taxonomy/taxondetails?taxnode_id=202309662","ictv.global=202309662")</f>
        <v>ictv.global=202309662</v>
      </c>
    </row>
    <row r="3546" spans="1:21">
      <c r="A3546">
        <v>3545</v>
      </c>
      <c r="B3546" s="30" t="s">
        <v>1587</v>
      </c>
      <c r="D3546" s="30" t="s">
        <v>1588</v>
      </c>
      <c r="F3546" s="30" t="s">
        <v>1591</v>
      </c>
      <c r="H3546" s="30" t="s">
        <v>1592</v>
      </c>
      <c r="N3546" s="30" t="s">
        <v>1462</v>
      </c>
      <c r="P3546" s="30" t="s">
        <v>7003</v>
      </c>
      <c r="Q3546" t="s">
        <v>619</v>
      </c>
      <c r="R3546" t="s">
        <v>918</v>
      </c>
      <c r="S3546">
        <v>37</v>
      </c>
      <c r="T3546" s="29" t="str">
        <f>HYPERLINK("https://ictv.global/ictv/proposals/2021.010B.R.Binomial_names.zip","2021.010B.R.Binomial_names.zip")</f>
        <v>2021.010B.R.Binomial_names.zip</v>
      </c>
      <c r="U3546" s="29" t="str">
        <f>HYPERLINK("https://ictv.global/taxonomy/taxondetails?taxnode_id=202306620","ictv.global=202306620")</f>
        <v>ictv.global=202306620</v>
      </c>
    </row>
    <row r="3547" spans="1:21">
      <c r="A3547">
        <v>3546</v>
      </c>
      <c r="B3547" s="30" t="s">
        <v>1587</v>
      </c>
      <c r="D3547" s="30" t="s">
        <v>1588</v>
      </c>
      <c r="F3547" s="30" t="s">
        <v>1591</v>
      </c>
      <c r="H3547" s="30" t="s">
        <v>1592</v>
      </c>
      <c r="N3547" s="30" t="s">
        <v>7004</v>
      </c>
      <c r="P3547" s="30" t="s">
        <v>7005</v>
      </c>
      <c r="Q3547" t="s">
        <v>619</v>
      </c>
      <c r="R3547" t="s">
        <v>917</v>
      </c>
      <c r="S3547">
        <v>38</v>
      </c>
      <c r="T3547" s="29" t="str">
        <f>HYPERLINK("https://ictv.global/ictv/proposals/2022.014B.Branisovskavirus_ng.zip","2022.014B.Branisovskavirus_ng.zip")</f>
        <v>2022.014B.Branisovskavirus_ng.zip</v>
      </c>
      <c r="U3547" s="29" t="str">
        <f>HYPERLINK("https://ictv.global/taxonomy/taxondetails?taxnode_id=202314525","ictv.global=202314525")</f>
        <v>ictv.global=202314525</v>
      </c>
    </row>
    <row r="3548" spans="1:21">
      <c r="A3548">
        <v>3547</v>
      </c>
      <c r="B3548" s="30" t="s">
        <v>1587</v>
      </c>
      <c r="D3548" s="30" t="s">
        <v>1588</v>
      </c>
      <c r="F3548" s="30" t="s">
        <v>1591</v>
      </c>
      <c r="H3548" s="30" t="s">
        <v>1592</v>
      </c>
      <c r="N3548" s="30" t="s">
        <v>1892</v>
      </c>
      <c r="P3548" s="30" t="s">
        <v>7006</v>
      </c>
      <c r="Q3548" t="s">
        <v>619</v>
      </c>
      <c r="R3548" t="s">
        <v>918</v>
      </c>
      <c r="S3548">
        <v>37</v>
      </c>
      <c r="T3548" s="29" t="str">
        <f t="shared" ref="T3548:T3562" si="159">HYPERLINK("https://ictv.global/ictv/proposals/2021.010B.R.Binomial_names.zip","2021.010B.R.Binomial_names.zip")</f>
        <v>2021.010B.R.Binomial_names.zip</v>
      </c>
      <c r="U3548" s="29" t="str">
        <f>HYPERLINK("https://ictv.global/taxonomy/taxondetails?taxnode_id=202307136","ictv.global=202307136")</f>
        <v>ictv.global=202307136</v>
      </c>
    </row>
    <row r="3549" spans="1:21">
      <c r="A3549">
        <v>3548</v>
      </c>
      <c r="B3549" s="30" t="s">
        <v>1587</v>
      </c>
      <c r="D3549" s="30" t="s">
        <v>1588</v>
      </c>
      <c r="F3549" s="30" t="s">
        <v>1591</v>
      </c>
      <c r="H3549" s="30" t="s">
        <v>1592</v>
      </c>
      <c r="N3549" s="30" t="s">
        <v>1892</v>
      </c>
      <c r="P3549" s="30" t="s">
        <v>7007</v>
      </c>
      <c r="Q3549" t="s">
        <v>619</v>
      </c>
      <c r="R3549" t="s">
        <v>918</v>
      </c>
      <c r="S3549">
        <v>37</v>
      </c>
      <c r="T3549" s="29" t="str">
        <f t="shared" si="159"/>
        <v>2021.010B.R.Binomial_names.zip</v>
      </c>
      <c r="U3549" s="29" t="str">
        <f>HYPERLINK("https://ictv.global/taxonomy/taxondetails?taxnode_id=202307138","ictv.global=202307138")</f>
        <v>ictv.global=202307138</v>
      </c>
    </row>
    <row r="3550" spans="1:21">
      <c r="A3550">
        <v>3549</v>
      </c>
      <c r="B3550" s="30" t="s">
        <v>1587</v>
      </c>
      <c r="D3550" s="30" t="s">
        <v>1588</v>
      </c>
      <c r="F3550" s="30" t="s">
        <v>1591</v>
      </c>
      <c r="H3550" s="30" t="s">
        <v>1592</v>
      </c>
      <c r="N3550" s="30" t="s">
        <v>1892</v>
      </c>
      <c r="P3550" s="30" t="s">
        <v>7008</v>
      </c>
      <c r="Q3550" t="s">
        <v>619</v>
      </c>
      <c r="R3550" t="s">
        <v>918</v>
      </c>
      <c r="S3550">
        <v>37</v>
      </c>
      <c r="T3550" s="29" t="str">
        <f t="shared" si="159"/>
        <v>2021.010B.R.Binomial_names.zip</v>
      </c>
      <c r="U3550" s="29" t="str">
        <f>HYPERLINK("https://ictv.global/taxonomy/taxondetails?taxnode_id=202307140","ictv.global=202307140")</f>
        <v>ictv.global=202307140</v>
      </c>
    </row>
    <row r="3551" spans="1:21">
      <c r="A3551">
        <v>3550</v>
      </c>
      <c r="B3551" s="30" t="s">
        <v>1587</v>
      </c>
      <c r="D3551" s="30" t="s">
        <v>1588</v>
      </c>
      <c r="F3551" s="30" t="s">
        <v>1591</v>
      </c>
      <c r="H3551" s="30" t="s">
        <v>1592</v>
      </c>
      <c r="N3551" s="30" t="s">
        <v>1892</v>
      </c>
      <c r="P3551" s="30" t="s">
        <v>7009</v>
      </c>
      <c r="Q3551" t="s">
        <v>619</v>
      </c>
      <c r="R3551" t="s">
        <v>918</v>
      </c>
      <c r="S3551">
        <v>37</v>
      </c>
      <c r="T3551" s="29" t="str">
        <f t="shared" si="159"/>
        <v>2021.010B.R.Binomial_names.zip</v>
      </c>
      <c r="U3551" s="29" t="str">
        <f>HYPERLINK("https://ictv.global/taxonomy/taxondetails?taxnode_id=202307137","ictv.global=202307137")</f>
        <v>ictv.global=202307137</v>
      </c>
    </row>
    <row r="3552" spans="1:21">
      <c r="A3552">
        <v>3551</v>
      </c>
      <c r="B3552" s="30" t="s">
        <v>1587</v>
      </c>
      <c r="D3552" s="30" t="s">
        <v>1588</v>
      </c>
      <c r="F3552" s="30" t="s">
        <v>1591</v>
      </c>
      <c r="H3552" s="30" t="s">
        <v>1592</v>
      </c>
      <c r="N3552" s="30" t="s">
        <v>1892</v>
      </c>
      <c r="P3552" s="30" t="s">
        <v>7010</v>
      </c>
      <c r="Q3552" t="s">
        <v>619</v>
      </c>
      <c r="R3552" t="s">
        <v>918</v>
      </c>
      <c r="S3552">
        <v>37</v>
      </c>
      <c r="T3552" s="29" t="str">
        <f t="shared" si="159"/>
        <v>2021.010B.R.Binomial_names.zip</v>
      </c>
      <c r="U3552" s="29" t="str">
        <f>HYPERLINK("https://ictv.global/taxonomy/taxondetails?taxnode_id=202307139","ictv.global=202307139")</f>
        <v>ictv.global=202307139</v>
      </c>
    </row>
    <row r="3553" spans="1:21">
      <c r="A3553">
        <v>3552</v>
      </c>
      <c r="B3553" s="30" t="s">
        <v>1587</v>
      </c>
      <c r="D3553" s="30" t="s">
        <v>1588</v>
      </c>
      <c r="F3553" s="30" t="s">
        <v>1591</v>
      </c>
      <c r="H3553" s="30" t="s">
        <v>1592</v>
      </c>
      <c r="N3553" s="30" t="s">
        <v>1810</v>
      </c>
      <c r="P3553" s="30" t="s">
        <v>7011</v>
      </c>
      <c r="Q3553" t="s">
        <v>619</v>
      </c>
      <c r="R3553" t="s">
        <v>918</v>
      </c>
      <c r="S3553">
        <v>37</v>
      </c>
      <c r="T3553" s="29" t="str">
        <f t="shared" si="159"/>
        <v>2021.010B.R.Binomial_names.zip</v>
      </c>
      <c r="U3553" s="29" t="str">
        <f>HYPERLINK("https://ictv.global/taxonomy/taxondetails?taxnode_id=202308052","ictv.global=202308052")</f>
        <v>ictv.global=202308052</v>
      </c>
    </row>
    <row r="3554" spans="1:21">
      <c r="A3554">
        <v>3553</v>
      </c>
      <c r="B3554" s="30" t="s">
        <v>1587</v>
      </c>
      <c r="D3554" s="30" t="s">
        <v>1588</v>
      </c>
      <c r="F3554" s="30" t="s">
        <v>1591</v>
      </c>
      <c r="H3554" s="30" t="s">
        <v>1592</v>
      </c>
      <c r="N3554" s="30" t="s">
        <v>1463</v>
      </c>
      <c r="P3554" s="30" t="s">
        <v>7012</v>
      </c>
      <c r="Q3554" t="s">
        <v>619</v>
      </c>
      <c r="R3554" t="s">
        <v>918</v>
      </c>
      <c r="S3554">
        <v>37</v>
      </c>
      <c r="T3554" s="29" t="str">
        <f t="shared" si="159"/>
        <v>2021.010B.R.Binomial_names.zip</v>
      </c>
      <c r="U3554" s="29" t="str">
        <f>HYPERLINK("https://ictv.global/taxonomy/taxondetails?taxnode_id=202306808","ictv.global=202306808")</f>
        <v>ictv.global=202306808</v>
      </c>
    </row>
    <row r="3555" spans="1:21">
      <c r="A3555">
        <v>3554</v>
      </c>
      <c r="B3555" s="30" t="s">
        <v>1587</v>
      </c>
      <c r="D3555" s="30" t="s">
        <v>1588</v>
      </c>
      <c r="F3555" s="30" t="s">
        <v>1591</v>
      </c>
      <c r="H3555" s="30" t="s">
        <v>1592</v>
      </c>
      <c r="N3555" s="30" t="s">
        <v>1351</v>
      </c>
      <c r="P3555" s="30" t="s">
        <v>7013</v>
      </c>
      <c r="Q3555" t="s">
        <v>619</v>
      </c>
      <c r="R3555" t="s">
        <v>918</v>
      </c>
      <c r="S3555">
        <v>37</v>
      </c>
      <c r="T3555" s="29" t="str">
        <f t="shared" si="159"/>
        <v>2021.010B.R.Binomial_names.zip</v>
      </c>
      <c r="U3555" s="29" t="str">
        <f>HYPERLINK("https://ictv.global/taxonomy/taxondetails?taxnode_id=202306810","ictv.global=202306810")</f>
        <v>ictv.global=202306810</v>
      </c>
    </row>
    <row r="3556" spans="1:21">
      <c r="A3556">
        <v>3555</v>
      </c>
      <c r="B3556" s="30" t="s">
        <v>1587</v>
      </c>
      <c r="D3556" s="30" t="s">
        <v>1588</v>
      </c>
      <c r="F3556" s="30" t="s">
        <v>1591</v>
      </c>
      <c r="H3556" s="30" t="s">
        <v>1592</v>
      </c>
      <c r="N3556" s="30" t="s">
        <v>1416</v>
      </c>
      <c r="P3556" s="30" t="s">
        <v>7014</v>
      </c>
      <c r="Q3556" t="s">
        <v>619</v>
      </c>
      <c r="R3556" t="s">
        <v>918</v>
      </c>
      <c r="S3556">
        <v>37</v>
      </c>
      <c r="T3556" s="29" t="str">
        <f t="shared" si="159"/>
        <v>2021.010B.R.Binomial_names.zip</v>
      </c>
      <c r="U3556" s="29" t="str">
        <f>HYPERLINK("https://ictv.global/taxonomy/taxondetails?taxnode_id=202300661","ictv.global=202300661")</f>
        <v>ictv.global=202300661</v>
      </c>
    </row>
    <row r="3557" spans="1:21">
      <c r="A3557">
        <v>3556</v>
      </c>
      <c r="B3557" s="30" t="s">
        <v>1587</v>
      </c>
      <c r="D3557" s="30" t="s">
        <v>1588</v>
      </c>
      <c r="F3557" s="30" t="s">
        <v>1591</v>
      </c>
      <c r="H3557" s="30" t="s">
        <v>1592</v>
      </c>
      <c r="N3557" s="30" t="s">
        <v>1416</v>
      </c>
      <c r="P3557" s="30" t="s">
        <v>7015</v>
      </c>
      <c r="Q3557" t="s">
        <v>619</v>
      </c>
      <c r="R3557" t="s">
        <v>918</v>
      </c>
      <c r="S3557">
        <v>37</v>
      </c>
      <c r="T3557" s="29" t="str">
        <f t="shared" si="159"/>
        <v>2021.010B.R.Binomial_names.zip</v>
      </c>
      <c r="U3557" s="29" t="str">
        <f>HYPERLINK("https://ictv.global/taxonomy/taxondetails?taxnode_id=202300662","ictv.global=202300662")</f>
        <v>ictv.global=202300662</v>
      </c>
    </row>
    <row r="3558" spans="1:21">
      <c r="A3558">
        <v>3557</v>
      </c>
      <c r="B3558" s="30" t="s">
        <v>1587</v>
      </c>
      <c r="D3558" s="30" t="s">
        <v>1588</v>
      </c>
      <c r="F3558" s="30" t="s">
        <v>1591</v>
      </c>
      <c r="H3558" s="30" t="s">
        <v>1592</v>
      </c>
      <c r="N3558" s="30" t="s">
        <v>1416</v>
      </c>
      <c r="P3558" s="30" t="s">
        <v>7016</v>
      </c>
      <c r="Q3558" t="s">
        <v>619</v>
      </c>
      <c r="R3558" t="s">
        <v>918</v>
      </c>
      <c r="S3558">
        <v>37</v>
      </c>
      <c r="T3558" s="29" t="str">
        <f t="shared" si="159"/>
        <v>2021.010B.R.Binomial_names.zip</v>
      </c>
      <c r="U3558" s="29" t="str">
        <f>HYPERLINK("https://ictv.global/taxonomy/taxondetails?taxnode_id=202300663","ictv.global=202300663")</f>
        <v>ictv.global=202300663</v>
      </c>
    </row>
    <row r="3559" spans="1:21">
      <c r="A3559">
        <v>3558</v>
      </c>
      <c r="B3559" s="30" t="s">
        <v>1587</v>
      </c>
      <c r="D3559" s="30" t="s">
        <v>1588</v>
      </c>
      <c r="F3559" s="30" t="s">
        <v>1591</v>
      </c>
      <c r="H3559" s="30" t="s">
        <v>1592</v>
      </c>
      <c r="N3559" s="30" t="s">
        <v>1416</v>
      </c>
      <c r="P3559" s="30" t="s">
        <v>7017</v>
      </c>
      <c r="Q3559" t="s">
        <v>619</v>
      </c>
      <c r="R3559" t="s">
        <v>918</v>
      </c>
      <c r="S3559">
        <v>37</v>
      </c>
      <c r="T3559" s="29" t="str">
        <f t="shared" si="159"/>
        <v>2021.010B.R.Binomial_names.zip</v>
      </c>
      <c r="U3559" s="29" t="str">
        <f>HYPERLINK("https://ictv.global/taxonomy/taxondetails?taxnode_id=202300664","ictv.global=202300664")</f>
        <v>ictv.global=202300664</v>
      </c>
    </row>
    <row r="3560" spans="1:21">
      <c r="A3560">
        <v>3559</v>
      </c>
      <c r="B3560" s="30" t="s">
        <v>1587</v>
      </c>
      <c r="D3560" s="30" t="s">
        <v>1588</v>
      </c>
      <c r="F3560" s="30" t="s">
        <v>1591</v>
      </c>
      <c r="H3560" s="30" t="s">
        <v>1592</v>
      </c>
      <c r="N3560" s="30" t="s">
        <v>1416</v>
      </c>
      <c r="P3560" s="30" t="s">
        <v>7018</v>
      </c>
      <c r="Q3560" t="s">
        <v>619</v>
      </c>
      <c r="R3560" t="s">
        <v>918</v>
      </c>
      <c r="S3560">
        <v>37</v>
      </c>
      <c r="T3560" s="29" t="str">
        <f t="shared" si="159"/>
        <v>2021.010B.R.Binomial_names.zip</v>
      </c>
      <c r="U3560" s="29" t="str">
        <f>HYPERLINK("https://ictv.global/taxonomy/taxondetails?taxnode_id=202300665","ictv.global=202300665")</f>
        <v>ictv.global=202300665</v>
      </c>
    </row>
    <row r="3561" spans="1:21">
      <c r="A3561">
        <v>3560</v>
      </c>
      <c r="B3561" s="30" t="s">
        <v>1587</v>
      </c>
      <c r="D3561" s="30" t="s">
        <v>1588</v>
      </c>
      <c r="F3561" s="30" t="s">
        <v>1591</v>
      </c>
      <c r="H3561" s="30" t="s">
        <v>1592</v>
      </c>
      <c r="N3561" s="30" t="s">
        <v>1416</v>
      </c>
      <c r="P3561" s="30" t="s">
        <v>7019</v>
      </c>
      <c r="Q3561" t="s">
        <v>619</v>
      </c>
      <c r="R3561" t="s">
        <v>918</v>
      </c>
      <c r="S3561">
        <v>37</v>
      </c>
      <c r="T3561" s="29" t="str">
        <f t="shared" si="159"/>
        <v>2021.010B.R.Binomial_names.zip</v>
      </c>
      <c r="U3561" s="29" t="str">
        <f>HYPERLINK("https://ictv.global/taxonomy/taxondetails?taxnode_id=202300666","ictv.global=202300666")</f>
        <v>ictv.global=202300666</v>
      </c>
    </row>
    <row r="3562" spans="1:21">
      <c r="A3562">
        <v>3561</v>
      </c>
      <c r="B3562" s="30" t="s">
        <v>1587</v>
      </c>
      <c r="D3562" s="30" t="s">
        <v>1588</v>
      </c>
      <c r="F3562" s="30" t="s">
        <v>1591</v>
      </c>
      <c r="H3562" s="30" t="s">
        <v>1592</v>
      </c>
      <c r="N3562" s="30" t="s">
        <v>1416</v>
      </c>
      <c r="P3562" s="30" t="s">
        <v>7020</v>
      </c>
      <c r="Q3562" t="s">
        <v>619</v>
      </c>
      <c r="R3562" t="s">
        <v>918</v>
      </c>
      <c r="S3562">
        <v>37</v>
      </c>
      <c r="T3562" s="29" t="str">
        <f t="shared" si="159"/>
        <v>2021.010B.R.Binomial_names.zip</v>
      </c>
      <c r="U3562" s="29" t="str">
        <f>HYPERLINK("https://ictv.global/taxonomy/taxondetails?taxnode_id=202300667","ictv.global=202300667")</f>
        <v>ictv.global=202300667</v>
      </c>
    </row>
    <row r="3563" spans="1:21">
      <c r="A3563">
        <v>3562</v>
      </c>
      <c r="B3563" s="30" t="s">
        <v>1587</v>
      </c>
      <c r="D3563" s="30" t="s">
        <v>1588</v>
      </c>
      <c r="F3563" s="30" t="s">
        <v>1591</v>
      </c>
      <c r="H3563" s="30" t="s">
        <v>1592</v>
      </c>
      <c r="N3563" s="30" t="s">
        <v>7021</v>
      </c>
      <c r="P3563" s="30" t="s">
        <v>7022</v>
      </c>
      <c r="Q3563" t="s">
        <v>619</v>
      </c>
      <c r="R3563" t="s">
        <v>917</v>
      </c>
      <c r="S3563">
        <v>37</v>
      </c>
      <c r="T3563" s="29" t="str">
        <f>HYPERLINK("https://ictv.global/ictv/proposals/2021.078B.R.Siphoviridae_new_genera.zip","2021.078B.R.Siphoviridae_new_genera.zip")</f>
        <v>2021.078B.R.Siphoviridae_new_genera.zip</v>
      </c>
      <c r="U3563" s="29" t="str">
        <f>HYPERLINK("https://ictv.global/taxonomy/taxondetails?taxnode_id=202313618","ictv.global=202313618")</f>
        <v>ictv.global=202313618</v>
      </c>
    </row>
    <row r="3564" spans="1:21">
      <c r="A3564">
        <v>3563</v>
      </c>
      <c r="B3564" s="30" t="s">
        <v>1587</v>
      </c>
      <c r="D3564" s="30" t="s">
        <v>1588</v>
      </c>
      <c r="F3564" s="30" t="s">
        <v>1591</v>
      </c>
      <c r="H3564" s="30" t="s">
        <v>1592</v>
      </c>
      <c r="N3564" s="30" t="s">
        <v>12544</v>
      </c>
      <c r="P3564" s="30" t="s">
        <v>12545</v>
      </c>
      <c r="Q3564" t="s">
        <v>619</v>
      </c>
      <c r="R3564" t="s">
        <v>917</v>
      </c>
      <c r="S3564">
        <v>39</v>
      </c>
      <c r="T3564" s="29" t="str">
        <f>HYPERLINK("https://ictv.global/ictv/proposals/2023.022B.Caudoviricetes_Pseudomonas_7ng.zip","2023.022B.Caudoviricetes_Pseudomonas_7ng.zip")</f>
        <v>2023.022B.Caudoviricetes_Pseudomonas_7ng.zip</v>
      </c>
      <c r="U3564" s="29" t="str">
        <f>HYPERLINK("https://ictv.global/taxonomy/taxondetails?taxnode_id=202318572","ictv.global=202318572")</f>
        <v>ictv.global=202318572</v>
      </c>
    </row>
    <row r="3565" spans="1:21">
      <c r="A3565">
        <v>3564</v>
      </c>
      <c r="B3565" s="30" t="s">
        <v>1587</v>
      </c>
      <c r="D3565" s="30" t="s">
        <v>1588</v>
      </c>
      <c r="F3565" s="30" t="s">
        <v>1591</v>
      </c>
      <c r="H3565" s="30" t="s">
        <v>1592</v>
      </c>
      <c r="N3565" s="30" t="s">
        <v>12546</v>
      </c>
      <c r="P3565" s="30" t="s">
        <v>12547</v>
      </c>
      <c r="Q3565" t="s">
        <v>619</v>
      </c>
      <c r="R3565" t="s">
        <v>917</v>
      </c>
      <c r="S3565">
        <v>39</v>
      </c>
      <c r="T3565" s="29" t="str">
        <f>HYPERLINK("https://ictv.global/ictv/proposals/2023.013B.Bunatrivirus_ng.zip","2023.013B.Bunatrivirus_ng.zip")</f>
        <v>2023.013B.Bunatrivirus_ng.zip</v>
      </c>
      <c r="U3565" s="29" t="str">
        <f>HYPERLINK("https://ictv.global/taxonomy/taxondetails?taxnode_id=202318065","ictv.global=202318065")</f>
        <v>ictv.global=202318065</v>
      </c>
    </row>
    <row r="3566" spans="1:21">
      <c r="A3566">
        <v>3565</v>
      </c>
      <c r="B3566" s="30" t="s">
        <v>1587</v>
      </c>
      <c r="D3566" s="30" t="s">
        <v>1588</v>
      </c>
      <c r="F3566" s="30" t="s">
        <v>1591</v>
      </c>
      <c r="H3566" s="30" t="s">
        <v>1592</v>
      </c>
      <c r="N3566" s="30" t="s">
        <v>2306</v>
      </c>
      <c r="P3566" s="30" t="s">
        <v>7023</v>
      </c>
      <c r="Q3566" t="s">
        <v>619</v>
      </c>
      <c r="R3566" t="s">
        <v>918</v>
      </c>
      <c r="S3566">
        <v>37</v>
      </c>
      <c r="T3566" s="29" t="str">
        <f>HYPERLINK("https://ictv.global/ictv/proposals/2021.010B.R.Binomial_names.zip","2021.010B.R.Binomial_names.zip")</f>
        <v>2021.010B.R.Binomial_names.zip</v>
      </c>
      <c r="U3566" s="29" t="str">
        <f>HYPERLINK("https://ictv.global/taxonomy/taxondetails?taxnode_id=202309707","ictv.global=202309707")</f>
        <v>ictv.global=202309707</v>
      </c>
    </row>
    <row r="3567" spans="1:21">
      <c r="A3567">
        <v>3566</v>
      </c>
      <c r="B3567" s="30" t="s">
        <v>1587</v>
      </c>
      <c r="D3567" s="30" t="s">
        <v>1588</v>
      </c>
      <c r="F3567" s="30" t="s">
        <v>1591</v>
      </c>
      <c r="H3567" s="30" t="s">
        <v>1592</v>
      </c>
      <c r="N3567" s="30" t="s">
        <v>2306</v>
      </c>
      <c r="P3567" s="30" t="s">
        <v>7024</v>
      </c>
      <c r="Q3567" t="s">
        <v>619</v>
      </c>
      <c r="R3567" t="s">
        <v>918</v>
      </c>
      <c r="S3567">
        <v>37</v>
      </c>
      <c r="T3567" s="29" t="str">
        <f>HYPERLINK("https://ictv.global/ictv/proposals/2021.010B.R.Binomial_names.zip","2021.010B.R.Binomial_names.zip")</f>
        <v>2021.010B.R.Binomial_names.zip</v>
      </c>
      <c r="U3567" s="29" t="str">
        <f>HYPERLINK("https://ictv.global/taxonomy/taxondetails?taxnode_id=202309708","ictv.global=202309708")</f>
        <v>ictv.global=202309708</v>
      </c>
    </row>
    <row r="3568" spans="1:21">
      <c r="A3568">
        <v>3567</v>
      </c>
      <c r="B3568" s="30" t="s">
        <v>1587</v>
      </c>
      <c r="D3568" s="30" t="s">
        <v>1588</v>
      </c>
      <c r="F3568" s="30" t="s">
        <v>1591</v>
      </c>
      <c r="H3568" s="30" t="s">
        <v>1592</v>
      </c>
      <c r="N3568" s="30" t="s">
        <v>2306</v>
      </c>
      <c r="P3568" s="30" t="s">
        <v>7025</v>
      </c>
      <c r="Q3568" t="s">
        <v>619</v>
      </c>
      <c r="R3568" t="s">
        <v>918</v>
      </c>
      <c r="S3568">
        <v>37</v>
      </c>
      <c r="T3568" s="29" t="str">
        <f>HYPERLINK("https://ictv.global/ictv/proposals/2021.010B.R.Binomial_names.zip","2021.010B.R.Binomial_names.zip")</f>
        <v>2021.010B.R.Binomial_names.zip</v>
      </c>
      <c r="U3568" s="29" t="str">
        <f>HYPERLINK("https://ictv.global/taxonomy/taxondetails?taxnode_id=202309706","ictv.global=202309706")</f>
        <v>ictv.global=202309706</v>
      </c>
    </row>
    <row r="3569" spans="1:21">
      <c r="A3569">
        <v>3568</v>
      </c>
      <c r="B3569" s="30" t="s">
        <v>1587</v>
      </c>
      <c r="D3569" s="30" t="s">
        <v>1588</v>
      </c>
      <c r="F3569" s="30" t="s">
        <v>1591</v>
      </c>
      <c r="H3569" s="30" t="s">
        <v>1592</v>
      </c>
      <c r="N3569" s="30" t="s">
        <v>1352</v>
      </c>
      <c r="P3569" s="30" t="s">
        <v>7026</v>
      </c>
      <c r="Q3569" t="s">
        <v>619</v>
      </c>
      <c r="R3569" t="s">
        <v>918</v>
      </c>
      <c r="S3569">
        <v>37</v>
      </c>
      <c r="T3569" s="29" t="str">
        <f>HYPERLINK("https://ictv.global/ictv/proposals/2021.010B.R.Binomial_names.zip","2021.010B.R.Binomial_names.zip")</f>
        <v>2021.010B.R.Binomial_names.zip</v>
      </c>
      <c r="U3569" s="29" t="str">
        <f>HYPERLINK("https://ictv.global/taxonomy/taxondetails?taxnode_id=202306812","ictv.global=202306812")</f>
        <v>ictv.global=202306812</v>
      </c>
    </row>
    <row r="3570" spans="1:21">
      <c r="A3570">
        <v>3569</v>
      </c>
      <c r="B3570" s="30" t="s">
        <v>1587</v>
      </c>
      <c r="D3570" s="30" t="s">
        <v>1588</v>
      </c>
      <c r="F3570" s="30" t="s">
        <v>1591</v>
      </c>
      <c r="H3570" s="30" t="s">
        <v>1592</v>
      </c>
      <c r="N3570" s="30" t="s">
        <v>7027</v>
      </c>
      <c r="P3570" s="30" t="s">
        <v>7028</v>
      </c>
      <c r="Q3570" t="s">
        <v>619</v>
      </c>
      <c r="R3570" t="s">
        <v>917</v>
      </c>
      <c r="S3570">
        <v>37</v>
      </c>
      <c r="T3570" s="29" t="str">
        <f>HYPERLINK("https://ictv.global/ictv/proposals/2021.078B.R.Siphoviridae_new_genera.zip","2021.078B.R.Siphoviridae_new_genera.zip")</f>
        <v>2021.078B.R.Siphoviridae_new_genera.zip</v>
      </c>
      <c r="U3570" s="29" t="str">
        <f>HYPERLINK("https://ictv.global/taxonomy/taxondetails?taxnode_id=202313633","ictv.global=202313633")</f>
        <v>ictv.global=202313633</v>
      </c>
    </row>
    <row r="3571" spans="1:21">
      <c r="A3571">
        <v>3570</v>
      </c>
      <c r="B3571" s="30" t="s">
        <v>1587</v>
      </c>
      <c r="D3571" s="30" t="s">
        <v>1588</v>
      </c>
      <c r="F3571" s="30" t="s">
        <v>1591</v>
      </c>
      <c r="H3571" s="30" t="s">
        <v>1592</v>
      </c>
      <c r="N3571" s="30" t="s">
        <v>2420</v>
      </c>
      <c r="P3571" s="30" t="s">
        <v>7029</v>
      </c>
      <c r="Q3571" t="s">
        <v>619</v>
      </c>
      <c r="R3571" t="s">
        <v>918</v>
      </c>
      <c r="S3571">
        <v>37</v>
      </c>
      <c r="T3571" s="29" t="str">
        <f>HYPERLINK("https://ictv.global/ictv/proposals/2021.010B.R.Binomial_names.zip","2021.010B.R.Binomial_names.zip")</f>
        <v>2021.010B.R.Binomial_names.zip</v>
      </c>
      <c r="U3571" s="29" t="str">
        <f>HYPERLINK("https://ictv.global/taxonomy/taxondetails?taxnode_id=202309755","ictv.global=202309755")</f>
        <v>ictv.global=202309755</v>
      </c>
    </row>
    <row r="3572" spans="1:21">
      <c r="A3572">
        <v>3571</v>
      </c>
      <c r="B3572" s="30" t="s">
        <v>1587</v>
      </c>
      <c r="D3572" s="30" t="s">
        <v>1588</v>
      </c>
      <c r="F3572" s="30" t="s">
        <v>1591</v>
      </c>
      <c r="H3572" s="30" t="s">
        <v>1592</v>
      </c>
      <c r="N3572" s="30" t="s">
        <v>2420</v>
      </c>
      <c r="P3572" s="30" t="s">
        <v>7030</v>
      </c>
      <c r="Q3572" t="s">
        <v>619</v>
      </c>
      <c r="R3572" t="s">
        <v>918</v>
      </c>
      <c r="S3572">
        <v>37</v>
      </c>
      <c r="T3572" s="29" t="str">
        <f>HYPERLINK("https://ictv.global/ictv/proposals/2021.010B.R.Binomial_names.zip","2021.010B.R.Binomial_names.zip")</f>
        <v>2021.010B.R.Binomial_names.zip</v>
      </c>
      <c r="U3572" s="29" t="str">
        <f>HYPERLINK("https://ictv.global/taxonomy/taxondetails?taxnode_id=202309754","ictv.global=202309754")</f>
        <v>ictv.global=202309754</v>
      </c>
    </row>
    <row r="3573" spans="1:21">
      <c r="A3573">
        <v>3572</v>
      </c>
      <c r="B3573" s="30" t="s">
        <v>1587</v>
      </c>
      <c r="D3573" s="30" t="s">
        <v>1588</v>
      </c>
      <c r="F3573" s="30" t="s">
        <v>1591</v>
      </c>
      <c r="H3573" s="30" t="s">
        <v>1592</v>
      </c>
      <c r="N3573" s="30" t="s">
        <v>2420</v>
      </c>
      <c r="P3573" s="30" t="s">
        <v>7031</v>
      </c>
      <c r="Q3573" t="s">
        <v>619</v>
      </c>
      <c r="R3573" t="s">
        <v>918</v>
      </c>
      <c r="S3573">
        <v>37</v>
      </c>
      <c r="T3573" s="29" t="str">
        <f>HYPERLINK("https://ictv.global/ictv/proposals/2021.010B.R.Binomial_names.zip","2021.010B.R.Binomial_names.zip")</f>
        <v>2021.010B.R.Binomial_names.zip</v>
      </c>
      <c r="U3573" s="29" t="str">
        <f>HYPERLINK("https://ictv.global/taxonomy/taxondetails?taxnode_id=202309756","ictv.global=202309756")</f>
        <v>ictv.global=202309756</v>
      </c>
    </row>
    <row r="3574" spans="1:21">
      <c r="A3574">
        <v>3573</v>
      </c>
      <c r="B3574" s="30" t="s">
        <v>1587</v>
      </c>
      <c r="D3574" s="30" t="s">
        <v>1588</v>
      </c>
      <c r="F3574" s="30" t="s">
        <v>1591</v>
      </c>
      <c r="H3574" s="30" t="s">
        <v>1592</v>
      </c>
      <c r="N3574" s="30" t="s">
        <v>7032</v>
      </c>
      <c r="P3574" s="30" t="s">
        <v>7033</v>
      </c>
      <c r="Q3574" t="s">
        <v>619</v>
      </c>
      <c r="R3574" t="s">
        <v>917</v>
      </c>
      <c r="S3574">
        <v>38</v>
      </c>
      <c r="T3574" s="29" t="str">
        <f>HYPERLINK("https://ictv.global/ictv/proposals/2022.015B.Cantarevirus_ng.zip","2022.015B.Cantarevirus_ng.zip")</f>
        <v>2022.015B.Cantarevirus_ng.zip</v>
      </c>
      <c r="U3574" s="29" t="str">
        <f>HYPERLINK("https://ictv.global/taxonomy/taxondetails?taxnode_id=202314527","ictv.global=202314527")</f>
        <v>ictv.global=202314527</v>
      </c>
    </row>
    <row r="3575" spans="1:21">
      <c r="A3575">
        <v>3574</v>
      </c>
      <c r="B3575" s="30" t="s">
        <v>1587</v>
      </c>
      <c r="D3575" s="30" t="s">
        <v>1588</v>
      </c>
      <c r="F3575" s="30" t="s">
        <v>1591</v>
      </c>
      <c r="H3575" s="30" t="s">
        <v>1592</v>
      </c>
      <c r="N3575" s="30" t="s">
        <v>7034</v>
      </c>
      <c r="P3575" s="30" t="s">
        <v>7035</v>
      </c>
      <c r="Q3575" t="s">
        <v>619</v>
      </c>
      <c r="R3575" t="s">
        <v>917</v>
      </c>
      <c r="S3575">
        <v>38</v>
      </c>
      <c r="T3575" s="29" t="str">
        <f>HYPERLINK("https://ictv.global/ictv/proposals/2022.016B.Capnelvirus_ng.zip","2022.016B.Capnelvirus_ng.zip")</f>
        <v>2022.016B.Capnelvirus_ng.zip</v>
      </c>
      <c r="U3575" s="29" t="str">
        <f>HYPERLINK("https://ictv.global/taxonomy/taxondetails?taxnode_id=202314529","ictv.global=202314529")</f>
        <v>ictv.global=202314529</v>
      </c>
    </row>
    <row r="3576" spans="1:21">
      <c r="A3576">
        <v>3575</v>
      </c>
      <c r="B3576" s="30" t="s">
        <v>1587</v>
      </c>
      <c r="D3576" s="30" t="s">
        <v>1588</v>
      </c>
      <c r="F3576" s="30" t="s">
        <v>1591</v>
      </c>
      <c r="H3576" s="30" t="s">
        <v>1592</v>
      </c>
      <c r="N3576" s="30" t="s">
        <v>7036</v>
      </c>
      <c r="P3576" s="30" t="s">
        <v>7037</v>
      </c>
      <c r="Q3576" t="s">
        <v>619</v>
      </c>
      <c r="R3576" t="s">
        <v>917</v>
      </c>
      <c r="S3576">
        <v>38</v>
      </c>
      <c r="T3576" s="29" t="str">
        <f>HYPERLINK("https://ictv.global/ictv/proposals/2022.017B.Carnodivirus_ng.zip","2022.017B.Carnodivirus_ng.zip")</f>
        <v>2022.017B.Carnodivirus_ng.zip</v>
      </c>
      <c r="U3576" s="29" t="str">
        <f>HYPERLINK("https://ictv.global/taxonomy/taxondetails?taxnode_id=202314531","ictv.global=202314531")</f>
        <v>ictv.global=202314531</v>
      </c>
    </row>
    <row r="3577" spans="1:21">
      <c r="A3577">
        <v>3576</v>
      </c>
      <c r="B3577" s="30" t="s">
        <v>1587</v>
      </c>
      <c r="D3577" s="30" t="s">
        <v>1588</v>
      </c>
      <c r="F3577" s="30" t="s">
        <v>1591</v>
      </c>
      <c r="H3577" s="30" t="s">
        <v>1592</v>
      </c>
      <c r="N3577" s="30" t="s">
        <v>7036</v>
      </c>
      <c r="P3577" s="30" t="s">
        <v>7038</v>
      </c>
      <c r="Q3577" t="s">
        <v>619</v>
      </c>
      <c r="R3577" t="s">
        <v>917</v>
      </c>
      <c r="S3577">
        <v>38</v>
      </c>
      <c r="T3577" s="29" t="str">
        <f>HYPERLINK("https://ictv.global/ictv/proposals/2022.017B.Carnodivirus_ng.zip","2022.017B.Carnodivirus_ng.zip")</f>
        <v>2022.017B.Carnodivirus_ng.zip</v>
      </c>
      <c r="U3577" s="29" t="str">
        <f>HYPERLINK("https://ictv.global/taxonomy/taxondetails?taxnode_id=202314532","ictv.global=202314532")</f>
        <v>ictv.global=202314532</v>
      </c>
    </row>
    <row r="3578" spans="1:21">
      <c r="A3578">
        <v>3577</v>
      </c>
      <c r="B3578" s="30" t="s">
        <v>1587</v>
      </c>
      <c r="D3578" s="30" t="s">
        <v>1588</v>
      </c>
      <c r="F3578" s="30" t="s">
        <v>1591</v>
      </c>
      <c r="H3578" s="30" t="s">
        <v>1592</v>
      </c>
      <c r="N3578" s="30" t="s">
        <v>1812</v>
      </c>
      <c r="P3578" s="30" t="s">
        <v>7039</v>
      </c>
      <c r="Q3578" t="s">
        <v>619</v>
      </c>
      <c r="R3578" t="s">
        <v>918</v>
      </c>
      <c r="S3578">
        <v>37</v>
      </c>
      <c r="T3578" s="29" t="str">
        <f>HYPERLINK("https://ictv.global/ictv/proposals/2021.010B.R.Binomial_names.zip","2021.010B.R.Binomial_names.zip")</f>
        <v>2021.010B.R.Binomial_names.zip</v>
      </c>
      <c r="U3578" s="29" t="str">
        <f>HYPERLINK("https://ictv.global/taxonomy/taxondetails?taxnode_id=202307928","ictv.global=202307928")</f>
        <v>ictv.global=202307928</v>
      </c>
    </row>
    <row r="3579" spans="1:21">
      <c r="A3579">
        <v>3578</v>
      </c>
      <c r="B3579" s="30" t="s">
        <v>1587</v>
      </c>
      <c r="D3579" s="30" t="s">
        <v>1588</v>
      </c>
      <c r="F3579" s="30" t="s">
        <v>1591</v>
      </c>
      <c r="H3579" s="30" t="s">
        <v>1592</v>
      </c>
      <c r="N3579" s="30" t="s">
        <v>1812</v>
      </c>
      <c r="P3579" s="30" t="s">
        <v>7040</v>
      </c>
      <c r="Q3579" t="s">
        <v>619</v>
      </c>
      <c r="R3579" t="s">
        <v>918</v>
      </c>
      <c r="S3579">
        <v>37</v>
      </c>
      <c r="T3579" s="29" t="str">
        <f>HYPERLINK("https://ictv.global/ictv/proposals/2021.010B.R.Binomial_names.zip","2021.010B.R.Binomial_names.zip")</f>
        <v>2021.010B.R.Binomial_names.zip</v>
      </c>
      <c r="U3579" s="29" t="str">
        <f>HYPERLINK("https://ictv.global/taxonomy/taxondetails?taxnode_id=202307929","ictv.global=202307929")</f>
        <v>ictv.global=202307929</v>
      </c>
    </row>
    <row r="3580" spans="1:21">
      <c r="A3580">
        <v>3579</v>
      </c>
      <c r="B3580" s="30" t="s">
        <v>1587</v>
      </c>
      <c r="D3580" s="30" t="s">
        <v>1588</v>
      </c>
      <c r="F3580" s="30" t="s">
        <v>1591</v>
      </c>
      <c r="H3580" s="30" t="s">
        <v>1592</v>
      </c>
      <c r="N3580" s="30" t="s">
        <v>7041</v>
      </c>
      <c r="P3580" s="30" t="s">
        <v>7042</v>
      </c>
      <c r="Q3580" t="s">
        <v>619</v>
      </c>
      <c r="R3580" t="s">
        <v>917</v>
      </c>
      <c r="S3580">
        <v>38</v>
      </c>
      <c r="T3580" s="29" t="str">
        <f>HYPERLINK("https://ictv.global/ictv/proposals/2022.018B.Carvajevirus_ng.zip","2022.018B.Carvajevirus_ng.zip")</f>
        <v>2022.018B.Carvajevirus_ng.zip</v>
      </c>
      <c r="U3580" s="29" t="str">
        <f>HYPERLINK("https://ictv.global/taxonomy/taxondetails?taxnode_id=202314534","ictv.global=202314534")</f>
        <v>ictv.global=202314534</v>
      </c>
    </row>
    <row r="3581" spans="1:21">
      <c r="A3581">
        <v>3580</v>
      </c>
      <c r="B3581" s="30" t="s">
        <v>1587</v>
      </c>
      <c r="D3581" s="30" t="s">
        <v>1588</v>
      </c>
      <c r="F3581" s="30" t="s">
        <v>1591</v>
      </c>
      <c r="H3581" s="30" t="s">
        <v>1592</v>
      </c>
      <c r="N3581" s="30" t="s">
        <v>1465</v>
      </c>
      <c r="P3581" s="30" t="s">
        <v>7043</v>
      </c>
      <c r="Q3581" t="s">
        <v>619</v>
      </c>
      <c r="R3581" t="s">
        <v>917</v>
      </c>
      <c r="S3581">
        <v>38</v>
      </c>
      <c r="T3581" s="29" t="str">
        <f>HYPERLINK("https://ictv.global/ictv/proposals/2022.019B.Casadabanvirus_16nsp.zip","2022.019B.Casadabanvirus_16nsp.zip")</f>
        <v>2022.019B.Casadabanvirus_16nsp.zip</v>
      </c>
      <c r="U3581" s="29" t="str">
        <f>HYPERLINK("https://ictv.global/taxonomy/taxondetails?taxnode_id=202314549","ictv.global=202314549")</f>
        <v>ictv.global=202314549</v>
      </c>
    </row>
    <row r="3582" spans="1:21">
      <c r="A3582">
        <v>3581</v>
      </c>
      <c r="B3582" s="30" t="s">
        <v>1587</v>
      </c>
      <c r="D3582" s="30" t="s">
        <v>1588</v>
      </c>
      <c r="F3582" s="30" t="s">
        <v>1591</v>
      </c>
      <c r="H3582" s="30" t="s">
        <v>1592</v>
      </c>
      <c r="N3582" s="30" t="s">
        <v>1465</v>
      </c>
      <c r="P3582" s="30" t="s">
        <v>7044</v>
      </c>
      <c r="Q3582" t="s">
        <v>619</v>
      </c>
      <c r="R3582" t="s">
        <v>917</v>
      </c>
      <c r="S3582">
        <v>38</v>
      </c>
      <c r="T3582" s="29" t="str">
        <f>HYPERLINK("https://ictv.global/ictv/proposals/2022.019B.Casadabanvirus_16nsp.zip","2022.019B.Casadabanvirus_16nsp.zip")</f>
        <v>2022.019B.Casadabanvirus_16nsp.zip</v>
      </c>
      <c r="U3582" s="29" t="str">
        <f>HYPERLINK("https://ictv.global/taxonomy/taxondetails?taxnode_id=202314542","ictv.global=202314542")</f>
        <v>ictv.global=202314542</v>
      </c>
    </row>
    <row r="3583" spans="1:21">
      <c r="A3583">
        <v>3582</v>
      </c>
      <c r="B3583" s="30" t="s">
        <v>1587</v>
      </c>
      <c r="D3583" s="30" t="s">
        <v>1588</v>
      </c>
      <c r="F3583" s="30" t="s">
        <v>1591</v>
      </c>
      <c r="H3583" s="30" t="s">
        <v>1592</v>
      </c>
      <c r="N3583" s="30" t="s">
        <v>1465</v>
      </c>
      <c r="P3583" s="30" t="s">
        <v>7045</v>
      </c>
      <c r="Q3583" t="s">
        <v>619</v>
      </c>
      <c r="R3583" t="s">
        <v>918</v>
      </c>
      <c r="S3583">
        <v>37</v>
      </c>
      <c r="T3583" s="29" t="str">
        <f>HYPERLINK("https://ictv.global/ictv/proposals/2021.010B.R.Binomial_names.zip","2021.010B.R.Binomial_names.zip")</f>
        <v>2021.010B.R.Binomial_names.zip</v>
      </c>
      <c r="U3583" s="29" t="str">
        <f>HYPERLINK("https://ictv.global/taxonomy/taxondetails?taxnode_id=202300945","ictv.global=202300945")</f>
        <v>ictv.global=202300945</v>
      </c>
    </row>
    <row r="3584" spans="1:21">
      <c r="A3584">
        <v>3583</v>
      </c>
      <c r="B3584" s="30" t="s">
        <v>1587</v>
      </c>
      <c r="D3584" s="30" t="s">
        <v>1588</v>
      </c>
      <c r="F3584" s="30" t="s">
        <v>1591</v>
      </c>
      <c r="H3584" s="30" t="s">
        <v>1592</v>
      </c>
      <c r="N3584" s="30" t="s">
        <v>1465</v>
      </c>
      <c r="P3584" s="30" t="s">
        <v>7046</v>
      </c>
      <c r="Q3584" t="s">
        <v>619</v>
      </c>
      <c r="R3584" t="s">
        <v>918</v>
      </c>
      <c r="S3584">
        <v>37</v>
      </c>
      <c r="T3584" s="29" t="str">
        <f>HYPERLINK("https://ictv.global/ictv/proposals/2021.010B.R.Binomial_names.zip","2021.010B.R.Binomial_names.zip")</f>
        <v>2021.010B.R.Binomial_names.zip</v>
      </c>
      <c r="U3584" s="29" t="str">
        <f>HYPERLINK("https://ictv.global/taxonomy/taxondetails?taxnode_id=202300946","ictv.global=202300946")</f>
        <v>ictv.global=202300946</v>
      </c>
    </row>
    <row r="3585" spans="1:21">
      <c r="A3585">
        <v>3584</v>
      </c>
      <c r="B3585" s="30" t="s">
        <v>1587</v>
      </c>
      <c r="D3585" s="30" t="s">
        <v>1588</v>
      </c>
      <c r="F3585" s="30" t="s">
        <v>1591</v>
      </c>
      <c r="H3585" s="30" t="s">
        <v>1592</v>
      </c>
      <c r="N3585" s="30" t="s">
        <v>1465</v>
      </c>
      <c r="P3585" s="30" t="s">
        <v>7047</v>
      </c>
      <c r="Q3585" t="s">
        <v>619</v>
      </c>
      <c r="R3585" t="s">
        <v>917</v>
      </c>
      <c r="S3585">
        <v>38</v>
      </c>
      <c r="T3585" s="29" t="str">
        <f>HYPERLINK("https://ictv.global/ictv/proposals/2022.019B.Casadabanvirus_16nsp.zip","2022.019B.Casadabanvirus_16nsp.zip")</f>
        <v>2022.019B.Casadabanvirus_16nsp.zip</v>
      </c>
      <c r="U3585" s="29" t="str">
        <f>HYPERLINK("https://ictv.global/taxonomy/taxondetails?taxnode_id=202314544","ictv.global=202314544")</f>
        <v>ictv.global=202314544</v>
      </c>
    </row>
    <row r="3586" spans="1:21">
      <c r="A3586">
        <v>3585</v>
      </c>
      <c r="B3586" s="30" t="s">
        <v>1587</v>
      </c>
      <c r="D3586" s="30" t="s">
        <v>1588</v>
      </c>
      <c r="F3586" s="30" t="s">
        <v>1591</v>
      </c>
      <c r="H3586" s="30" t="s">
        <v>1592</v>
      </c>
      <c r="N3586" s="30" t="s">
        <v>1465</v>
      </c>
      <c r="P3586" s="30" t="s">
        <v>7048</v>
      </c>
      <c r="Q3586" t="s">
        <v>619</v>
      </c>
      <c r="R3586" t="s">
        <v>918</v>
      </c>
      <c r="S3586">
        <v>37</v>
      </c>
      <c r="T3586" s="29" t="str">
        <f>HYPERLINK("https://ictv.global/ictv/proposals/2021.010B.R.Binomial_names.zip","2021.010B.R.Binomial_names.zip")</f>
        <v>2021.010B.R.Binomial_names.zip</v>
      </c>
      <c r="U3586" s="29" t="str">
        <f>HYPERLINK("https://ictv.global/taxonomy/taxondetails?taxnode_id=202300947","ictv.global=202300947")</f>
        <v>ictv.global=202300947</v>
      </c>
    </row>
    <row r="3587" spans="1:21">
      <c r="A3587">
        <v>3586</v>
      </c>
      <c r="B3587" s="30" t="s">
        <v>1587</v>
      </c>
      <c r="D3587" s="30" t="s">
        <v>1588</v>
      </c>
      <c r="F3587" s="30" t="s">
        <v>1591</v>
      </c>
      <c r="H3587" s="30" t="s">
        <v>1592</v>
      </c>
      <c r="N3587" s="30" t="s">
        <v>1465</v>
      </c>
      <c r="P3587" s="30" t="s">
        <v>7049</v>
      </c>
      <c r="Q3587" t="s">
        <v>619</v>
      </c>
      <c r="R3587" t="s">
        <v>917</v>
      </c>
      <c r="S3587">
        <v>38</v>
      </c>
      <c r="T3587" s="29" t="str">
        <f t="shared" ref="T3587:T3593" si="160">HYPERLINK("https://ictv.global/ictv/proposals/2022.019B.Casadabanvirus_16nsp.zip","2022.019B.Casadabanvirus_16nsp.zip")</f>
        <v>2022.019B.Casadabanvirus_16nsp.zip</v>
      </c>
      <c r="U3587" s="29" t="str">
        <f>HYPERLINK("https://ictv.global/taxonomy/taxondetails?taxnode_id=202314543","ictv.global=202314543")</f>
        <v>ictv.global=202314543</v>
      </c>
    </row>
    <row r="3588" spans="1:21">
      <c r="A3588">
        <v>3587</v>
      </c>
      <c r="B3588" s="30" t="s">
        <v>1587</v>
      </c>
      <c r="D3588" s="30" t="s">
        <v>1588</v>
      </c>
      <c r="F3588" s="30" t="s">
        <v>1591</v>
      </c>
      <c r="H3588" s="30" t="s">
        <v>1592</v>
      </c>
      <c r="N3588" s="30" t="s">
        <v>1465</v>
      </c>
      <c r="P3588" s="30" t="s">
        <v>7050</v>
      </c>
      <c r="Q3588" t="s">
        <v>619</v>
      </c>
      <c r="R3588" t="s">
        <v>917</v>
      </c>
      <c r="S3588">
        <v>38</v>
      </c>
      <c r="T3588" s="29" t="str">
        <f t="shared" si="160"/>
        <v>2022.019B.Casadabanvirus_16nsp.zip</v>
      </c>
      <c r="U3588" s="29" t="str">
        <f>HYPERLINK("https://ictv.global/taxonomy/taxondetails?taxnode_id=202314538","ictv.global=202314538")</f>
        <v>ictv.global=202314538</v>
      </c>
    </row>
    <row r="3589" spans="1:21">
      <c r="A3589">
        <v>3588</v>
      </c>
      <c r="B3589" s="30" t="s">
        <v>1587</v>
      </c>
      <c r="D3589" s="30" t="s">
        <v>1588</v>
      </c>
      <c r="F3589" s="30" t="s">
        <v>1591</v>
      </c>
      <c r="H3589" s="30" t="s">
        <v>1592</v>
      </c>
      <c r="N3589" s="30" t="s">
        <v>1465</v>
      </c>
      <c r="P3589" s="30" t="s">
        <v>7051</v>
      </c>
      <c r="Q3589" t="s">
        <v>619</v>
      </c>
      <c r="R3589" t="s">
        <v>917</v>
      </c>
      <c r="S3589">
        <v>38</v>
      </c>
      <c r="T3589" s="29" t="str">
        <f t="shared" si="160"/>
        <v>2022.019B.Casadabanvirus_16nsp.zip</v>
      </c>
      <c r="U3589" s="29" t="str">
        <f>HYPERLINK("https://ictv.global/taxonomy/taxondetails?taxnode_id=202314548","ictv.global=202314548")</f>
        <v>ictv.global=202314548</v>
      </c>
    </row>
    <row r="3590" spans="1:21">
      <c r="A3590">
        <v>3589</v>
      </c>
      <c r="B3590" s="30" t="s">
        <v>1587</v>
      </c>
      <c r="D3590" s="30" t="s">
        <v>1588</v>
      </c>
      <c r="F3590" s="30" t="s">
        <v>1591</v>
      </c>
      <c r="H3590" s="30" t="s">
        <v>1592</v>
      </c>
      <c r="N3590" s="30" t="s">
        <v>1465</v>
      </c>
      <c r="P3590" s="30" t="s">
        <v>7052</v>
      </c>
      <c r="Q3590" t="s">
        <v>619</v>
      </c>
      <c r="R3590" t="s">
        <v>917</v>
      </c>
      <c r="S3590">
        <v>38</v>
      </c>
      <c r="T3590" s="29" t="str">
        <f t="shared" si="160"/>
        <v>2022.019B.Casadabanvirus_16nsp.zip</v>
      </c>
      <c r="U3590" s="29" t="str">
        <f>HYPERLINK("https://ictv.global/taxonomy/taxondetails?taxnode_id=202314541","ictv.global=202314541")</f>
        <v>ictv.global=202314541</v>
      </c>
    </row>
    <row r="3591" spans="1:21">
      <c r="A3591">
        <v>3590</v>
      </c>
      <c r="B3591" s="30" t="s">
        <v>1587</v>
      </c>
      <c r="D3591" s="30" t="s">
        <v>1588</v>
      </c>
      <c r="F3591" s="30" t="s">
        <v>1591</v>
      </c>
      <c r="H3591" s="30" t="s">
        <v>1592</v>
      </c>
      <c r="N3591" s="30" t="s">
        <v>1465</v>
      </c>
      <c r="P3591" s="30" t="s">
        <v>7053</v>
      </c>
      <c r="Q3591" t="s">
        <v>619</v>
      </c>
      <c r="R3591" t="s">
        <v>917</v>
      </c>
      <c r="S3591">
        <v>38</v>
      </c>
      <c r="T3591" s="29" t="str">
        <f t="shared" si="160"/>
        <v>2022.019B.Casadabanvirus_16nsp.zip</v>
      </c>
      <c r="U3591" s="29" t="str">
        <f>HYPERLINK("https://ictv.global/taxonomy/taxondetails?taxnode_id=202314547","ictv.global=202314547")</f>
        <v>ictv.global=202314547</v>
      </c>
    </row>
    <row r="3592" spans="1:21">
      <c r="A3592">
        <v>3591</v>
      </c>
      <c r="B3592" s="30" t="s">
        <v>1587</v>
      </c>
      <c r="D3592" s="30" t="s">
        <v>1588</v>
      </c>
      <c r="F3592" s="30" t="s">
        <v>1591</v>
      </c>
      <c r="H3592" s="30" t="s">
        <v>1592</v>
      </c>
      <c r="N3592" s="30" t="s">
        <v>1465</v>
      </c>
      <c r="P3592" s="30" t="s">
        <v>7054</v>
      </c>
      <c r="Q3592" t="s">
        <v>619</v>
      </c>
      <c r="R3592" t="s">
        <v>917</v>
      </c>
      <c r="S3592">
        <v>38</v>
      </c>
      <c r="T3592" s="29" t="str">
        <f t="shared" si="160"/>
        <v>2022.019B.Casadabanvirus_16nsp.zip</v>
      </c>
      <c r="U3592" s="29" t="str">
        <f>HYPERLINK("https://ictv.global/taxonomy/taxondetails?taxnode_id=202314545","ictv.global=202314545")</f>
        <v>ictv.global=202314545</v>
      </c>
    </row>
    <row r="3593" spans="1:21">
      <c r="A3593">
        <v>3592</v>
      </c>
      <c r="B3593" s="30" t="s">
        <v>1587</v>
      </c>
      <c r="D3593" s="30" t="s">
        <v>1588</v>
      </c>
      <c r="F3593" s="30" t="s">
        <v>1591</v>
      </c>
      <c r="H3593" s="30" t="s">
        <v>1592</v>
      </c>
      <c r="N3593" s="30" t="s">
        <v>1465</v>
      </c>
      <c r="P3593" s="30" t="s">
        <v>7055</v>
      </c>
      <c r="Q3593" t="s">
        <v>619</v>
      </c>
      <c r="R3593" t="s">
        <v>917</v>
      </c>
      <c r="S3593">
        <v>38</v>
      </c>
      <c r="T3593" s="29" t="str">
        <f t="shared" si="160"/>
        <v>2022.019B.Casadabanvirus_16nsp.zip</v>
      </c>
      <c r="U3593" s="29" t="str">
        <f>HYPERLINK("https://ictv.global/taxonomy/taxondetails?taxnode_id=202314540","ictv.global=202314540")</f>
        <v>ictv.global=202314540</v>
      </c>
    </row>
    <row r="3594" spans="1:21">
      <c r="A3594">
        <v>3593</v>
      </c>
      <c r="B3594" s="30" t="s">
        <v>1587</v>
      </c>
      <c r="D3594" s="30" t="s">
        <v>1588</v>
      </c>
      <c r="F3594" s="30" t="s">
        <v>1591</v>
      </c>
      <c r="H3594" s="30" t="s">
        <v>1592</v>
      </c>
      <c r="N3594" s="30" t="s">
        <v>1465</v>
      </c>
      <c r="P3594" s="30" t="s">
        <v>7056</v>
      </c>
      <c r="Q3594" t="s">
        <v>619</v>
      </c>
      <c r="R3594" t="s">
        <v>918</v>
      </c>
      <c r="S3594">
        <v>37</v>
      </c>
      <c r="T3594" s="29" t="str">
        <f>HYPERLINK("https://ictv.global/ictv/proposals/2021.010B.R.Binomial_names.zip","2021.010B.R.Binomial_names.zip")</f>
        <v>2021.010B.R.Binomial_names.zip</v>
      </c>
      <c r="U3594" s="29" t="str">
        <f>HYPERLINK("https://ictv.global/taxonomy/taxondetails?taxnode_id=202300948","ictv.global=202300948")</f>
        <v>ictv.global=202300948</v>
      </c>
    </row>
    <row r="3595" spans="1:21">
      <c r="A3595">
        <v>3594</v>
      </c>
      <c r="B3595" s="30" t="s">
        <v>1587</v>
      </c>
      <c r="D3595" s="30" t="s">
        <v>1588</v>
      </c>
      <c r="F3595" s="30" t="s">
        <v>1591</v>
      </c>
      <c r="H3595" s="30" t="s">
        <v>1592</v>
      </c>
      <c r="N3595" s="30" t="s">
        <v>1465</v>
      </c>
      <c r="P3595" s="30" t="s">
        <v>7057</v>
      </c>
      <c r="Q3595" t="s">
        <v>619</v>
      </c>
      <c r="R3595" t="s">
        <v>918</v>
      </c>
      <c r="S3595">
        <v>37</v>
      </c>
      <c r="T3595" s="29" t="str">
        <f>HYPERLINK("https://ictv.global/ictv/proposals/2021.010B.R.Binomial_names.zip","2021.010B.R.Binomial_names.zip")</f>
        <v>2021.010B.R.Binomial_names.zip</v>
      </c>
      <c r="U3595" s="29" t="str">
        <f>HYPERLINK("https://ictv.global/taxonomy/taxondetails?taxnode_id=202300949","ictv.global=202300949")</f>
        <v>ictv.global=202300949</v>
      </c>
    </row>
    <row r="3596" spans="1:21">
      <c r="A3596">
        <v>3595</v>
      </c>
      <c r="B3596" s="30" t="s">
        <v>1587</v>
      </c>
      <c r="D3596" s="30" t="s">
        <v>1588</v>
      </c>
      <c r="F3596" s="30" t="s">
        <v>1591</v>
      </c>
      <c r="H3596" s="30" t="s">
        <v>1592</v>
      </c>
      <c r="N3596" s="30" t="s">
        <v>1465</v>
      </c>
      <c r="P3596" s="30" t="s">
        <v>7058</v>
      </c>
      <c r="Q3596" t="s">
        <v>619</v>
      </c>
      <c r="R3596" t="s">
        <v>918</v>
      </c>
      <c r="S3596">
        <v>37</v>
      </c>
      <c r="T3596" s="29" t="str">
        <f>HYPERLINK("https://ictv.global/ictv/proposals/2021.010B.R.Binomial_names.zip","2021.010B.R.Binomial_names.zip")</f>
        <v>2021.010B.R.Binomial_names.zip</v>
      </c>
      <c r="U3596" s="29" t="str">
        <f>HYPERLINK("https://ictv.global/taxonomy/taxondetails?taxnode_id=202300950","ictv.global=202300950")</f>
        <v>ictv.global=202300950</v>
      </c>
    </row>
    <row r="3597" spans="1:21">
      <c r="A3597">
        <v>3596</v>
      </c>
      <c r="B3597" s="30" t="s">
        <v>1587</v>
      </c>
      <c r="D3597" s="30" t="s">
        <v>1588</v>
      </c>
      <c r="F3597" s="30" t="s">
        <v>1591</v>
      </c>
      <c r="H3597" s="30" t="s">
        <v>1592</v>
      </c>
      <c r="N3597" s="30" t="s">
        <v>1465</v>
      </c>
      <c r="P3597" s="30" t="s">
        <v>7059</v>
      </c>
      <c r="Q3597" t="s">
        <v>619</v>
      </c>
      <c r="R3597" t="s">
        <v>918</v>
      </c>
      <c r="S3597">
        <v>37</v>
      </c>
      <c r="T3597" s="29" t="str">
        <f>HYPERLINK("https://ictv.global/ictv/proposals/2021.010B.R.Binomial_names.zip","2021.010B.R.Binomial_names.zip")</f>
        <v>2021.010B.R.Binomial_names.zip</v>
      </c>
      <c r="U3597" s="29" t="str">
        <f>HYPERLINK("https://ictv.global/taxonomy/taxondetails?taxnode_id=202300951","ictv.global=202300951")</f>
        <v>ictv.global=202300951</v>
      </c>
    </row>
    <row r="3598" spans="1:21">
      <c r="A3598">
        <v>3597</v>
      </c>
      <c r="B3598" s="30" t="s">
        <v>1587</v>
      </c>
      <c r="D3598" s="30" t="s">
        <v>1588</v>
      </c>
      <c r="F3598" s="30" t="s">
        <v>1591</v>
      </c>
      <c r="H3598" s="30" t="s">
        <v>1592</v>
      </c>
      <c r="N3598" s="30" t="s">
        <v>1465</v>
      </c>
      <c r="P3598" s="30" t="s">
        <v>7060</v>
      </c>
      <c r="Q3598" t="s">
        <v>619</v>
      </c>
      <c r="R3598" t="s">
        <v>917</v>
      </c>
      <c r="S3598">
        <v>38</v>
      </c>
      <c r="T3598" s="29" t="str">
        <f>HYPERLINK("https://ictv.global/ictv/proposals/2022.019B.Casadabanvirus_16nsp.zip","2022.019B.Casadabanvirus_16nsp.zip")</f>
        <v>2022.019B.Casadabanvirus_16nsp.zip</v>
      </c>
      <c r="U3598" s="29" t="str">
        <f>HYPERLINK("https://ictv.global/taxonomy/taxondetails?taxnode_id=202314546","ictv.global=202314546")</f>
        <v>ictv.global=202314546</v>
      </c>
    </row>
    <row r="3599" spans="1:21">
      <c r="A3599">
        <v>3598</v>
      </c>
      <c r="B3599" s="30" t="s">
        <v>1587</v>
      </c>
      <c r="D3599" s="30" t="s">
        <v>1588</v>
      </c>
      <c r="F3599" s="30" t="s">
        <v>1591</v>
      </c>
      <c r="H3599" s="30" t="s">
        <v>1592</v>
      </c>
      <c r="N3599" s="30" t="s">
        <v>1465</v>
      </c>
      <c r="P3599" s="30" t="s">
        <v>7061</v>
      </c>
      <c r="Q3599" t="s">
        <v>619</v>
      </c>
      <c r="R3599" t="s">
        <v>917</v>
      </c>
      <c r="S3599">
        <v>38</v>
      </c>
      <c r="T3599" s="29" t="str">
        <f>HYPERLINK("https://ictv.global/ictv/proposals/2022.019B.Casadabanvirus_16nsp.zip","2022.019B.Casadabanvirus_16nsp.zip")</f>
        <v>2022.019B.Casadabanvirus_16nsp.zip</v>
      </c>
      <c r="U3599" s="29" t="str">
        <f>HYPERLINK("https://ictv.global/taxonomy/taxondetails?taxnode_id=202314536","ictv.global=202314536")</f>
        <v>ictv.global=202314536</v>
      </c>
    </row>
    <row r="3600" spans="1:21">
      <c r="A3600">
        <v>3599</v>
      </c>
      <c r="B3600" s="30" t="s">
        <v>1587</v>
      </c>
      <c r="D3600" s="30" t="s">
        <v>1588</v>
      </c>
      <c r="F3600" s="30" t="s">
        <v>1591</v>
      </c>
      <c r="H3600" s="30" t="s">
        <v>1592</v>
      </c>
      <c r="N3600" s="30" t="s">
        <v>1465</v>
      </c>
      <c r="P3600" s="30" t="s">
        <v>7062</v>
      </c>
      <c r="Q3600" t="s">
        <v>619</v>
      </c>
      <c r="R3600" t="s">
        <v>918</v>
      </c>
      <c r="S3600">
        <v>37</v>
      </c>
      <c r="T3600" s="29" t="str">
        <f>HYPERLINK("https://ictv.global/ictv/proposals/2021.010B.R.Binomial_names.zip","2021.010B.R.Binomial_names.zip")</f>
        <v>2021.010B.R.Binomial_names.zip</v>
      </c>
      <c r="U3600" s="29" t="str">
        <f>HYPERLINK("https://ictv.global/taxonomy/taxondetails?taxnode_id=202300952","ictv.global=202300952")</f>
        <v>ictv.global=202300952</v>
      </c>
    </row>
    <row r="3601" spans="1:21">
      <c r="A3601">
        <v>3600</v>
      </c>
      <c r="B3601" s="30" t="s">
        <v>1587</v>
      </c>
      <c r="D3601" s="30" t="s">
        <v>1588</v>
      </c>
      <c r="F3601" s="30" t="s">
        <v>1591</v>
      </c>
      <c r="H3601" s="30" t="s">
        <v>1592</v>
      </c>
      <c r="N3601" s="30" t="s">
        <v>1465</v>
      </c>
      <c r="P3601" s="30" t="s">
        <v>7063</v>
      </c>
      <c r="Q3601" t="s">
        <v>619</v>
      </c>
      <c r="R3601" t="s">
        <v>917</v>
      </c>
      <c r="S3601">
        <v>38</v>
      </c>
      <c r="T3601" s="29" t="str">
        <f>HYPERLINK("https://ictv.global/ictv/proposals/2022.019B.Casadabanvirus_16nsp.zip","2022.019B.Casadabanvirus_16nsp.zip")</f>
        <v>2022.019B.Casadabanvirus_16nsp.zip</v>
      </c>
      <c r="U3601" s="29" t="str">
        <f>HYPERLINK("https://ictv.global/taxonomy/taxondetails?taxnode_id=202314550","ictv.global=202314550")</f>
        <v>ictv.global=202314550</v>
      </c>
    </row>
    <row r="3602" spans="1:21">
      <c r="A3602">
        <v>3601</v>
      </c>
      <c r="B3602" s="30" t="s">
        <v>1587</v>
      </c>
      <c r="D3602" s="30" t="s">
        <v>1588</v>
      </c>
      <c r="F3602" s="30" t="s">
        <v>1591</v>
      </c>
      <c r="H3602" s="30" t="s">
        <v>1592</v>
      </c>
      <c r="N3602" s="30" t="s">
        <v>1465</v>
      </c>
      <c r="P3602" s="30" t="s">
        <v>7064</v>
      </c>
      <c r="Q3602" t="s">
        <v>619</v>
      </c>
      <c r="R3602" t="s">
        <v>917</v>
      </c>
      <c r="S3602">
        <v>38</v>
      </c>
      <c r="T3602" s="29" t="str">
        <f>HYPERLINK("https://ictv.global/ictv/proposals/2022.019B.Casadabanvirus_16nsp.zip","2022.019B.Casadabanvirus_16nsp.zip")</f>
        <v>2022.019B.Casadabanvirus_16nsp.zip</v>
      </c>
      <c r="U3602" s="29" t="str">
        <f>HYPERLINK("https://ictv.global/taxonomy/taxondetails?taxnode_id=202314535","ictv.global=202314535")</f>
        <v>ictv.global=202314535</v>
      </c>
    </row>
    <row r="3603" spans="1:21">
      <c r="A3603">
        <v>3602</v>
      </c>
      <c r="B3603" s="30" t="s">
        <v>1587</v>
      </c>
      <c r="D3603" s="30" t="s">
        <v>1588</v>
      </c>
      <c r="F3603" s="30" t="s">
        <v>1591</v>
      </c>
      <c r="H3603" s="30" t="s">
        <v>1592</v>
      </c>
      <c r="N3603" s="30" t="s">
        <v>1465</v>
      </c>
      <c r="P3603" s="30" t="s">
        <v>7065</v>
      </c>
      <c r="Q3603" t="s">
        <v>619</v>
      </c>
      <c r="R3603" t="s">
        <v>917</v>
      </c>
      <c r="S3603">
        <v>38</v>
      </c>
      <c r="T3603" s="29" t="str">
        <f>HYPERLINK("https://ictv.global/ictv/proposals/2022.019B.Casadabanvirus_16nsp.zip","2022.019B.Casadabanvirus_16nsp.zip")</f>
        <v>2022.019B.Casadabanvirus_16nsp.zip</v>
      </c>
      <c r="U3603" s="29" t="str">
        <f>HYPERLINK("https://ictv.global/taxonomy/taxondetails?taxnode_id=202314539","ictv.global=202314539")</f>
        <v>ictv.global=202314539</v>
      </c>
    </row>
    <row r="3604" spans="1:21">
      <c r="A3604">
        <v>3603</v>
      </c>
      <c r="B3604" s="30" t="s">
        <v>1587</v>
      </c>
      <c r="D3604" s="30" t="s">
        <v>1588</v>
      </c>
      <c r="F3604" s="30" t="s">
        <v>1591</v>
      </c>
      <c r="H3604" s="30" t="s">
        <v>1592</v>
      </c>
      <c r="N3604" s="30" t="s">
        <v>1465</v>
      </c>
      <c r="P3604" s="30" t="s">
        <v>7066</v>
      </c>
      <c r="Q3604" t="s">
        <v>619</v>
      </c>
      <c r="R3604" t="s">
        <v>917</v>
      </c>
      <c r="S3604">
        <v>38</v>
      </c>
      <c r="T3604" s="29" t="str">
        <f>HYPERLINK("https://ictv.global/ictv/proposals/2022.019B.Casadabanvirus_16nsp.zip","2022.019B.Casadabanvirus_16nsp.zip")</f>
        <v>2022.019B.Casadabanvirus_16nsp.zip</v>
      </c>
      <c r="U3604" s="29" t="str">
        <f>HYPERLINK("https://ictv.global/taxonomy/taxondetails?taxnode_id=202314537","ictv.global=202314537")</f>
        <v>ictv.global=202314537</v>
      </c>
    </row>
    <row r="3605" spans="1:21">
      <c r="A3605">
        <v>3604</v>
      </c>
      <c r="B3605" s="30" t="s">
        <v>1587</v>
      </c>
      <c r="D3605" s="30" t="s">
        <v>1588</v>
      </c>
      <c r="F3605" s="30" t="s">
        <v>1591</v>
      </c>
      <c r="H3605" s="30" t="s">
        <v>1592</v>
      </c>
      <c r="N3605" s="30" t="s">
        <v>663</v>
      </c>
      <c r="P3605" s="30" t="s">
        <v>7067</v>
      </c>
      <c r="Q3605" t="s">
        <v>619</v>
      </c>
      <c r="R3605" t="s">
        <v>918</v>
      </c>
      <c r="S3605">
        <v>37</v>
      </c>
      <c r="T3605" s="29" t="str">
        <f>HYPERLINK("https://ictv.global/ictv/proposals/2021.010B.R.Binomial_names.zip","2021.010B.R.Binomial_names.zip")</f>
        <v>2021.010B.R.Binomial_names.zip</v>
      </c>
      <c r="U3605" s="29" t="str">
        <f>HYPERLINK("https://ictv.global/taxonomy/taxondetails?taxnode_id=202300883","ictv.global=202300883")</f>
        <v>ictv.global=202300883</v>
      </c>
    </row>
    <row r="3606" spans="1:21">
      <c r="A3606">
        <v>3605</v>
      </c>
      <c r="B3606" s="30" t="s">
        <v>1587</v>
      </c>
      <c r="D3606" s="30" t="s">
        <v>1588</v>
      </c>
      <c r="F3606" s="30" t="s">
        <v>1591</v>
      </c>
      <c r="H3606" s="30" t="s">
        <v>1592</v>
      </c>
      <c r="N3606" s="30" t="s">
        <v>664</v>
      </c>
      <c r="P3606" s="30" t="s">
        <v>7068</v>
      </c>
      <c r="Q3606" t="s">
        <v>619</v>
      </c>
      <c r="R3606" t="s">
        <v>918</v>
      </c>
      <c r="S3606">
        <v>37</v>
      </c>
      <c r="T3606" s="29" t="str">
        <f>HYPERLINK("https://ictv.global/ictv/proposals/2021.010B.R.Binomial_names.zip","2021.010B.R.Binomial_names.zip")</f>
        <v>2021.010B.R.Binomial_names.zip</v>
      </c>
      <c r="U3606" s="29" t="str">
        <f>HYPERLINK("https://ictv.global/taxonomy/taxondetails?taxnode_id=202300885","ictv.global=202300885")</f>
        <v>ictv.global=202300885</v>
      </c>
    </row>
    <row r="3607" spans="1:21">
      <c r="A3607">
        <v>3606</v>
      </c>
      <c r="B3607" s="30" t="s">
        <v>1587</v>
      </c>
      <c r="D3607" s="30" t="s">
        <v>1588</v>
      </c>
      <c r="F3607" s="30" t="s">
        <v>1591</v>
      </c>
      <c r="H3607" s="30" t="s">
        <v>1592</v>
      </c>
      <c r="N3607" s="30" t="s">
        <v>664</v>
      </c>
      <c r="P3607" s="30" t="s">
        <v>7069</v>
      </c>
      <c r="Q3607" t="s">
        <v>619</v>
      </c>
      <c r="R3607" t="s">
        <v>918</v>
      </c>
      <c r="S3607">
        <v>37</v>
      </c>
      <c r="T3607" s="29" t="str">
        <f>HYPERLINK("https://ictv.global/ictv/proposals/2021.010B.R.Binomial_names.zip","2021.010B.R.Binomial_names.zip")</f>
        <v>2021.010B.R.Binomial_names.zip</v>
      </c>
      <c r="U3607" s="29" t="str">
        <f>HYPERLINK("https://ictv.global/taxonomy/taxondetails?taxnode_id=202300886","ictv.global=202300886")</f>
        <v>ictv.global=202300886</v>
      </c>
    </row>
    <row r="3608" spans="1:21">
      <c r="A3608">
        <v>3607</v>
      </c>
      <c r="B3608" s="30" t="s">
        <v>1587</v>
      </c>
      <c r="D3608" s="30" t="s">
        <v>1588</v>
      </c>
      <c r="F3608" s="30" t="s">
        <v>1591</v>
      </c>
      <c r="H3608" s="30" t="s">
        <v>1592</v>
      </c>
      <c r="N3608" s="30" t="s">
        <v>7070</v>
      </c>
      <c r="P3608" s="30" t="s">
        <v>7071</v>
      </c>
      <c r="Q3608" t="s">
        <v>619</v>
      </c>
      <c r="R3608" t="s">
        <v>917</v>
      </c>
      <c r="S3608">
        <v>37</v>
      </c>
      <c r="T3608" s="29" t="str">
        <f>HYPERLINK("https://ictv.global/ictv/proposals/2021.078B.R.Siphoviridae_new_genera.zip","2021.078B.R.Siphoviridae_new_genera.zip")</f>
        <v>2021.078B.R.Siphoviridae_new_genera.zip</v>
      </c>
      <c r="U3608" s="29" t="str">
        <f>HYPERLINK("https://ictv.global/taxonomy/taxondetails?taxnode_id=202313616","ictv.global=202313616")</f>
        <v>ictv.global=202313616</v>
      </c>
    </row>
    <row r="3609" spans="1:21">
      <c r="A3609">
        <v>3608</v>
      </c>
      <c r="B3609" s="30" t="s">
        <v>1587</v>
      </c>
      <c r="D3609" s="30" t="s">
        <v>1588</v>
      </c>
      <c r="F3609" s="30" t="s">
        <v>1591</v>
      </c>
      <c r="H3609" s="30" t="s">
        <v>1592</v>
      </c>
      <c r="N3609" s="30" t="s">
        <v>1466</v>
      </c>
      <c r="P3609" s="30" t="s">
        <v>7072</v>
      </c>
      <c r="Q3609" t="s">
        <v>619</v>
      </c>
      <c r="R3609" t="s">
        <v>918</v>
      </c>
      <c r="S3609">
        <v>37</v>
      </c>
      <c r="T3609" s="29" t="str">
        <f t="shared" ref="T3609:T3648" si="161">HYPERLINK("https://ictv.global/ictv/proposals/2021.010B.R.Binomial_names.zip","2021.010B.R.Binomial_names.zip")</f>
        <v>2021.010B.R.Binomial_names.zip</v>
      </c>
      <c r="U3609" s="29" t="str">
        <f>HYPERLINK("https://ictv.global/taxonomy/taxondetails?taxnode_id=202309801","ictv.global=202309801")</f>
        <v>ictv.global=202309801</v>
      </c>
    </row>
    <row r="3610" spans="1:21">
      <c r="A3610">
        <v>3609</v>
      </c>
      <c r="B3610" s="30" t="s">
        <v>1587</v>
      </c>
      <c r="D3610" s="30" t="s">
        <v>1588</v>
      </c>
      <c r="F3610" s="30" t="s">
        <v>1591</v>
      </c>
      <c r="H3610" s="30" t="s">
        <v>1592</v>
      </c>
      <c r="N3610" s="30" t="s">
        <v>1466</v>
      </c>
      <c r="P3610" s="30" t="s">
        <v>7073</v>
      </c>
      <c r="Q3610" t="s">
        <v>619</v>
      </c>
      <c r="R3610" t="s">
        <v>918</v>
      </c>
      <c r="S3610">
        <v>37</v>
      </c>
      <c r="T3610" s="29" t="str">
        <f t="shared" si="161"/>
        <v>2021.010B.R.Binomial_names.zip</v>
      </c>
      <c r="U3610" s="29" t="str">
        <f>HYPERLINK("https://ictv.global/taxonomy/taxondetails?taxnode_id=202309806","ictv.global=202309806")</f>
        <v>ictv.global=202309806</v>
      </c>
    </row>
    <row r="3611" spans="1:21">
      <c r="A3611">
        <v>3610</v>
      </c>
      <c r="B3611" s="30" t="s">
        <v>1587</v>
      </c>
      <c r="D3611" s="30" t="s">
        <v>1588</v>
      </c>
      <c r="F3611" s="30" t="s">
        <v>1591</v>
      </c>
      <c r="H3611" s="30" t="s">
        <v>1592</v>
      </c>
      <c r="N3611" s="30" t="s">
        <v>1466</v>
      </c>
      <c r="P3611" s="30" t="s">
        <v>7074</v>
      </c>
      <c r="Q3611" t="s">
        <v>619</v>
      </c>
      <c r="R3611" t="s">
        <v>918</v>
      </c>
      <c r="S3611">
        <v>37</v>
      </c>
      <c r="T3611" s="29" t="str">
        <f t="shared" si="161"/>
        <v>2021.010B.R.Binomial_names.zip</v>
      </c>
      <c r="U3611" s="29" t="str">
        <f>HYPERLINK("https://ictv.global/taxonomy/taxondetails?taxnode_id=202309797","ictv.global=202309797")</f>
        <v>ictv.global=202309797</v>
      </c>
    </row>
    <row r="3612" spans="1:21">
      <c r="A3612">
        <v>3611</v>
      </c>
      <c r="B3612" s="30" t="s">
        <v>1587</v>
      </c>
      <c r="D3612" s="30" t="s">
        <v>1588</v>
      </c>
      <c r="F3612" s="30" t="s">
        <v>1591</v>
      </c>
      <c r="H3612" s="30" t="s">
        <v>1592</v>
      </c>
      <c r="N3612" s="30" t="s">
        <v>1466</v>
      </c>
      <c r="P3612" s="30" t="s">
        <v>7075</v>
      </c>
      <c r="Q3612" t="s">
        <v>619</v>
      </c>
      <c r="R3612" t="s">
        <v>918</v>
      </c>
      <c r="S3612">
        <v>37</v>
      </c>
      <c r="T3612" s="29" t="str">
        <f t="shared" si="161"/>
        <v>2021.010B.R.Binomial_names.zip</v>
      </c>
      <c r="U3612" s="29" t="str">
        <f>HYPERLINK("https://ictv.global/taxonomy/taxondetails?taxnode_id=202309814","ictv.global=202309814")</f>
        <v>ictv.global=202309814</v>
      </c>
    </row>
    <row r="3613" spans="1:21">
      <c r="A3613">
        <v>3612</v>
      </c>
      <c r="B3613" s="30" t="s">
        <v>1587</v>
      </c>
      <c r="D3613" s="30" t="s">
        <v>1588</v>
      </c>
      <c r="F3613" s="30" t="s">
        <v>1591</v>
      </c>
      <c r="H3613" s="30" t="s">
        <v>1592</v>
      </c>
      <c r="N3613" s="30" t="s">
        <v>1466</v>
      </c>
      <c r="P3613" s="30" t="s">
        <v>7076</v>
      </c>
      <c r="Q3613" t="s">
        <v>619</v>
      </c>
      <c r="R3613" t="s">
        <v>918</v>
      </c>
      <c r="S3613">
        <v>37</v>
      </c>
      <c r="T3613" s="29" t="str">
        <f t="shared" si="161"/>
        <v>2021.010B.R.Binomial_names.zip</v>
      </c>
      <c r="U3613" s="29" t="str">
        <f>HYPERLINK("https://ictv.global/taxonomy/taxondetails?taxnode_id=202309807","ictv.global=202309807")</f>
        <v>ictv.global=202309807</v>
      </c>
    </row>
    <row r="3614" spans="1:21">
      <c r="A3614">
        <v>3613</v>
      </c>
      <c r="B3614" s="30" t="s">
        <v>1587</v>
      </c>
      <c r="D3614" s="30" t="s">
        <v>1588</v>
      </c>
      <c r="F3614" s="30" t="s">
        <v>1591</v>
      </c>
      <c r="H3614" s="30" t="s">
        <v>1592</v>
      </c>
      <c r="N3614" s="30" t="s">
        <v>1466</v>
      </c>
      <c r="P3614" s="30" t="s">
        <v>7077</v>
      </c>
      <c r="Q3614" t="s">
        <v>619</v>
      </c>
      <c r="R3614" t="s">
        <v>918</v>
      </c>
      <c r="S3614">
        <v>37</v>
      </c>
      <c r="T3614" s="29" t="str">
        <f t="shared" si="161"/>
        <v>2021.010B.R.Binomial_names.zip</v>
      </c>
      <c r="U3614" s="29" t="str">
        <f>HYPERLINK("https://ictv.global/taxonomy/taxondetails?taxnode_id=202309818","ictv.global=202309818")</f>
        <v>ictv.global=202309818</v>
      </c>
    </row>
    <row r="3615" spans="1:21">
      <c r="A3615">
        <v>3614</v>
      </c>
      <c r="B3615" s="30" t="s">
        <v>1587</v>
      </c>
      <c r="D3615" s="30" t="s">
        <v>1588</v>
      </c>
      <c r="F3615" s="30" t="s">
        <v>1591</v>
      </c>
      <c r="H3615" s="30" t="s">
        <v>1592</v>
      </c>
      <c r="N3615" s="30" t="s">
        <v>1466</v>
      </c>
      <c r="P3615" s="30" t="s">
        <v>7078</v>
      </c>
      <c r="Q3615" t="s">
        <v>619</v>
      </c>
      <c r="R3615" t="s">
        <v>918</v>
      </c>
      <c r="S3615">
        <v>37</v>
      </c>
      <c r="T3615" s="29" t="str">
        <f t="shared" si="161"/>
        <v>2021.010B.R.Binomial_names.zip</v>
      </c>
      <c r="U3615" s="29" t="str">
        <f>HYPERLINK("https://ictv.global/taxonomy/taxondetails?taxnode_id=202300869","ictv.global=202300869")</f>
        <v>ictv.global=202300869</v>
      </c>
    </row>
    <row r="3616" spans="1:21">
      <c r="A3616">
        <v>3615</v>
      </c>
      <c r="B3616" s="30" t="s">
        <v>1587</v>
      </c>
      <c r="D3616" s="30" t="s">
        <v>1588</v>
      </c>
      <c r="F3616" s="30" t="s">
        <v>1591</v>
      </c>
      <c r="H3616" s="30" t="s">
        <v>1592</v>
      </c>
      <c r="N3616" s="30" t="s">
        <v>1466</v>
      </c>
      <c r="P3616" s="30" t="s">
        <v>7079</v>
      </c>
      <c r="Q3616" t="s">
        <v>619</v>
      </c>
      <c r="R3616" t="s">
        <v>918</v>
      </c>
      <c r="S3616">
        <v>37</v>
      </c>
      <c r="T3616" s="29" t="str">
        <f t="shared" si="161"/>
        <v>2021.010B.R.Binomial_names.zip</v>
      </c>
      <c r="U3616" s="29" t="str">
        <f>HYPERLINK("https://ictv.global/taxonomy/taxondetails?taxnode_id=202309794","ictv.global=202309794")</f>
        <v>ictv.global=202309794</v>
      </c>
    </row>
    <row r="3617" spans="1:21">
      <c r="A3617">
        <v>3616</v>
      </c>
      <c r="B3617" s="30" t="s">
        <v>1587</v>
      </c>
      <c r="D3617" s="30" t="s">
        <v>1588</v>
      </c>
      <c r="F3617" s="30" t="s">
        <v>1591</v>
      </c>
      <c r="H3617" s="30" t="s">
        <v>1592</v>
      </c>
      <c r="N3617" s="30" t="s">
        <v>1466</v>
      </c>
      <c r="P3617" s="30" t="s">
        <v>7080</v>
      </c>
      <c r="Q3617" t="s">
        <v>619</v>
      </c>
      <c r="R3617" t="s">
        <v>918</v>
      </c>
      <c r="S3617">
        <v>37</v>
      </c>
      <c r="T3617" s="29" t="str">
        <f t="shared" si="161"/>
        <v>2021.010B.R.Binomial_names.zip</v>
      </c>
      <c r="U3617" s="29" t="str">
        <f>HYPERLINK("https://ictv.global/taxonomy/taxondetails?taxnode_id=202300870","ictv.global=202300870")</f>
        <v>ictv.global=202300870</v>
      </c>
    </row>
    <row r="3618" spans="1:21">
      <c r="A3618">
        <v>3617</v>
      </c>
      <c r="B3618" s="30" t="s">
        <v>1587</v>
      </c>
      <c r="D3618" s="30" t="s">
        <v>1588</v>
      </c>
      <c r="F3618" s="30" t="s">
        <v>1591</v>
      </c>
      <c r="H3618" s="30" t="s">
        <v>1592</v>
      </c>
      <c r="N3618" s="30" t="s">
        <v>1466</v>
      </c>
      <c r="P3618" s="30" t="s">
        <v>7081</v>
      </c>
      <c r="Q3618" t="s">
        <v>619</v>
      </c>
      <c r="R3618" t="s">
        <v>918</v>
      </c>
      <c r="S3618">
        <v>37</v>
      </c>
      <c r="T3618" s="29" t="str">
        <f t="shared" si="161"/>
        <v>2021.010B.R.Binomial_names.zip</v>
      </c>
      <c r="U3618" s="29" t="str">
        <f>HYPERLINK("https://ictv.global/taxonomy/taxondetails?taxnode_id=202309820","ictv.global=202309820")</f>
        <v>ictv.global=202309820</v>
      </c>
    </row>
    <row r="3619" spans="1:21">
      <c r="A3619">
        <v>3618</v>
      </c>
      <c r="B3619" s="30" t="s">
        <v>1587</v>
      </c>
      <c r="D3619" s="30" t="s">
        <v>1588</v>
      </c>
      <c r="F3619" s="30" t="s">
        <v>1591</v>
      </c>
      <c r="H3619" s="30" t="s">
        <v>1592</v>
      </c>
      <c r="N3619" s="30" t="s">
        <v>1466</v>
      </c>
      <c r="P3619" s="30" t="s">
        <v>7082</v>
      </c>
      <c r="Q3619" t="s">
        <v>619</v>
      </c>
      <c r="R3619" t="s">
        <v>918</v>
      </c>
      <c r="S3619">
        <v>37</v>
      </c>
      <c r="T3619" s="29" t="str">
        <f t="shared" si="161"/>
        <v>2021.010B.R.Binomial_names.zip</v>
      </c>
      <c r="U3619" s="29" t="str">
        <f>HYPERLINK("https://ictv.global/taxonomy/taxondetails?taxnode_id=202309823","ictv.global=202309823")</f>
        <v>ictv.global=202309823</v>
      </c>
    </row>
    <row r="3620" spans="1:21">
      <c r="A3620">
        <v>3619</v>
      </c>
      <c r="B3620" s="30" t="s">
        <v>1587</v>
      </c>
      <c r="D3620" s="30" t="s">
        <v>1588</v>
      </c>
      <c r="F3620" s="30" t="s">
        <v>1591</v>
      </c>
      <c r="H3620" s="30" t="s">
        <v>1592</v>
      </c>
      <c r="N3620" s="30" t="s">
        <v>1466</v>
      </c>
      <c r="P3620" s="30" t="s">
        <v>7083</v>
      </c>
      <c r="Q3620" t="s">
        <v>619</v>
      </c>
      <c r="R3620" t="s">
        <v>918</v>
      </c>
      <c r="S3620">
        <v>37</v>
      </c>
      <c r="T3620" s="29" t="str">
        <f t="shared" si="161"/>
        <v>2021.010B.R.Binomial_names.zip</v>
      </c>
      <c r="U3620" s="29" t="str">
        <f>HYPERLINK("https://ictv.global/taxonomy/taxondetails?taxnode_id=202309795","ictv.global=202309795")</f>
        <v>ictv.global=202309795</v>
      </c>
    </row>
    <row r="3621" spans="1:21">
      <c r="A3621">
        <v>3620</v>
      </c>
      <c r="B3621" s="30" t="s">
        <v>1587</v>
      </c>
      <c r="D3621" s="30" t="s">
        <v>1588</v>
      </c>
      <c r="F3621" s="30" t="s">
        <v>1591</v>
      </c>
      <c r="H3621" s="30" t="s">
        <v>1592</v>
      </c>
      <c r="N3621" s="30" t="s">
        <v>1466</v>
      </c>
      <c r="P3621" s="30" t="s">
        <v>7084</v>
      </c>
      <c r="Q3621" t="s">
        <v>619</v>
      </c>
      <c r="R3621" t="s">
        <v>918</v>
      </c>
      <c r="S3621">
        <v>37</v>
      </c>
      <c r="T3621" s="29" t="str">
        <f t="shared" si="161"/>
        <v>2021.010B.R.Binomial_names.zip</v>
      </c>
      <c r="U3621" s="29" t="str">
        <f>HYPERLINK("https://ictv.global/taxonomy/taxondetails?taxnode_id=202309819","ictv.global=202309819")</f>
        <v>ictv.global=202309819</v>
      </c>
    </row>
    <row r="3622" spans="1:21">
      <c r="A3622">
        <v>3621</v>
      </c>
      <c r="B3622" s="30" t="s">
        <v>1587</v>
      </c>
      <c r="D3622" s="30" t="s">
        <v>1588</v>
      </c>
      <c r="F3622" s="30" t="s">
        <v>1591</v>
      </c>
      <c r="H3622" s="30" t="s">
        <v>1592</v>
      </c>
      <c r="N3622" s="30" t="s">
        <v>1466</v>
      </c>
      <c r="P3622" s="30" t="s">
        <v>7085</v>
      </c>
      <c r="Q3622" t="s">
        <v>619</v>
      </c>
      <c r="R3622" t="s">
        <v>918</v>
      </c>
      <c r="S3622">
        <v>37</v>
      </c>
      <c r="T3622" s="29" t="str">
        <f t="shared" si="161"/>
        <v>2021.010B.R.Binomial_names.zip</v>
      </c>
      <c r="U3622" s="29" t="str">
        <f>HYPERLINK("https://ictv.global/taxonomy/taxondetails?taxnode_id=202309825","ictv.global=202309825")</f>
        <v>ictv.global=202309825</v>
      </c>
    </row>
    <row r="3623" spans="1:21">
      <c r="A3623">
        <v>3622</v>
      </c>
      <c r="B3623" s="30" t="s">
        <v>1587</v>
      </c>
      <c r="D3623" s="30" t="s">
        <v>1588</v>
      </c>
      <c r="F3623" s="30" t="s">
        <v>1591</v>
      </c>
      <c r="H3623" s="30" t="s">
        <v>1592</v>
      </c>
      <c r="N3623" s="30" t="s">
        <v>1466</v>
      </c>
      <c r="P3623" s="30" t="s">
        <v>7086</v>
      </c>
      <c r="Q3623" t="s">
        <v>619</v>
      </c>
      <c r="R3623" t="s">
        <v>918</v>
      </c>
      <c r="S3623">
        <v>37</v>
      </c>
      <c r="T3623" s="29" t="str">
        <f t="shared" si="161"/>
        <v>2021.010B.R.Binomial_names.zip</v>
      </c>
      <c r="U3623" s="29" t="str">
        <f>HYPERLINK("https://ictv.global/taxonomy/taxondetails?taxnode_id=202309800","ictv.global=202309800")</f>
        <v>ictv.global=202309800</v>
      </c>
    </row>
    <row r="3624" spans="1:21">
      <c r="A3624">
        <v>3623</v>
      </c>
      <c r="B3624" s="30" t="s">
        <v>1587</v>
      </c>
      <c r="D3624" s="30" t="s">
        <v>1588</v>
      </c>
      <c r="F3624" s="30" t="s">
        <v>1591</v>
      </c>
      <c r="H3624" s="30" t="s">
        <v>1592</v>
      </c>
      <c r="N3624" s="30" t="s">
        <v>1466</v>
      </c>
      <c r="P3624" s="30" t="s">
        <v>7087</v>
      </c>
      <c r="Q3624" t="s">
        <v>619</v>
      </c>
      <c r="R3624" t="s">
        <v>918</v>
      </c>
      <c r="S3624">
        <v>37</v>
      </c>
      <c r="T3624" s="29" t="str">
        <f t="shared" si="161"/>
        <v>2021.010B.R.Binomial_names.zip</v>
      </c>
      <c r="U3624" s="29" t="str">
        <f>HYPERLINK("https://ictv.global/taxonomy/taxondetails?taxnode_id=202309824","ictv.global=202309824")</f>
        <v>ictv.global=202309824</v>
      </c>
    </row>
    <row r="3625" spans="1:21">
      <c r="A3625">
        <v>3624</v>
      </c>
      <c r="B3625" s="30" t="s">
        <v>1587</v>
      </c>
      <c r="D3625" s="30" t="s">
        <v>1588</v>
      </c>
      <c r="F3625" s="30" t="s">
        <v>1591</v>
      </c>
      <c r="H3625" s="30" t="s">
        <v>1592</v>
      </c>
      <c r="N3625" s="30" t="s">
        <v>1466</v>
      </c>
      <c r="P3625" s="30" t="s">
        <v>7088</v>
      </c>
      <c r="Q3625" t="s">
        <v>619</v>
      </c>
      <c r="R3625" t="s">
        <v>918</v>
      </c>
      <c r="S3625">
        <v>37</v>
      </c>
      <c r="T3625" s="29" t="str">
        <f t="shared" si="161"/>
        <v>2021.010B.R.Binomial_names.zip</v>
      </c>
      <c r="U3625" s="29" t="str">
        <f>HYPERLINK("https://ictv.global/taxonomy/taxondetails?taxnode_id=202309802","ictv.global=202309802")</f>
        <v>ictv.global=202309802</v>
      </c>
    </row>
    <row r="3626" spans="1:21">
      <c r="A3626">
        <v>3625</v>
      </c>
      <c r="B3626" s="30" t="s">
        <v>1587</v>
      </c>
      <c r="D3626" s="30" t="s">
        <v>1588</v>
      </c>
      <c r="F3626" s="30" t="s">
        <v>1591</v>
      </c>
      <c r="H3626" s="30" t="s">
        <v>1592</v>
      </c>
      <c r="N3626" s="30" t="s">
        <v>1466</v>
      </c>
      <c r="P3626" s="30" t="s">
        <v>7089</v>
      </c>
      <c r="Q3626" t="s">
        <v>619</v>
      </c>
      <c r="R3626" t="s">
        <v>918</v>
      </c>
      <c r="S3626">
        <v>37</v>
      </c>
      <c r="T3626" s="29" t="str">
        <f t="shared" si="161"/>
        <v>2021.010B.R.Binomial_names.zip</v>
      </c>
      <c r="U3626" s="29" t="str">
        <f>HYPERLINK("https://ictv.global/taxonomy/taxondetails?taxnode_id=202309803","ictv.global=202309803")</f>
        <v>ictv.global=202309803</v>
      </c>
    </row>
    <row r="3627" spans="1:21">
      <c r="A3627">
        <v>3626</v>
      </c>
      <c r="B3627" s="30" t="s">
        <v>1587</v>
      </c>
      <c r="D3627" s="30" t="s">
        <v>1588</v>
      </c>
      <c r="F3627" s="30" t="s">
        <v>1591</v>
      </c>
      <c r="H3627" s="30" t="s">
        <v>1592</v>
      </c>
      <c r="N3627" s="30" t="s">
        <v>1466</v>
      </c>
      <c r="P3627" s="30" t="s">
        <v>7090</v>
      </c>
      <c r="Q3627" t="s">
        <v>619</v>
      </c>
      <c r="R3627" t="s">
        <v>918</v>
      </c>
      <c r="S3627">
        <v>37</v>
      </c>
      <c r="T3627" s="29" t="str">
        <f t="shared" si="161"/>
        <v>2021.010B.R.Binomial_names.zip</v>
      </c>
      <c r="U3627" s="29" t="str">
        <f>HYPERLINK("https://ictv.global/taxonomy/taxondetails?taxnode_id=202309821","ictv.global=202309821")</f>
        <v>ictv.global=202309821</v>
      </c>
    </row>
    <row r="3628" spans="1:21">
      <c r="A3628">
        <v>3627</v>
      </c>
      <c r="B3628" s="30" t="s">
        <v>1587</v>
      </c>
      <c r="D3628" s="30" t="s">
        <v>1588</v>
      </c>
      <c r="F3628" s="30" t="s">
        <v>1591</v>
      </c>
      <c r="H3628" s="30" t="s">
        <v>1592</v>
      </c>
      <c r="N3628" s="30" t="s">
        <v>1466</v>
      </c>
      <c r="P3628" s="30" t="s">
        <v>7091</v>
      </c>
      <c r="Q3628" t="s">
        <v>619</v>
      </c>
      <c r="R3628" t="s">
        <v>918</v>
      </c>
      <c r="S3628">
        <v>37</v>
      </c>
      <c r="T3628" s="29" t="str">
        <f t="shared" si="161"/>
        <v>2021.010B.R.Binomial_names.zip</v>
      </c>
      <c r="U3628" s="29" t="str">
        <f>HYPERLINK("https://ictv.global/taxonomy/taxondetails?taxnode_id=202309813","ictv.global=202309813")</f>
        <v>ictv.global=202309813</v>
      </c>
    </row>
    <row r="3629" spans="1:21">
      <c r="A3629">
        <v>3628</v>
      </c>
      <c r="B3629" s="30" t="s">
        <v>1587</v>
      </c>
      <c r="D3629" s="30" t="s">
        <v>1588</v>
      </c>
      <c r="F3629" s="30" t="s">
        <v>1591</v>
      </c>
      <c r="H3629" s="30" t="s">
        <v>1592</v>
      </c>
      <c r="N3629" s="30" t="s">
        <v>1466</v>
      </c>
      <c r="P3629" s="30" t="s">
        <v>7092</v>
      </c>
      <c r="Q3629" t="s">
        <v>619</v>
      </c>
      <c r="R3629" t="s">
        <v>918</v>
      </c>
      <c r="S3629">
        <v>37</v>
      </c>
      <c r="T3629" s="29" t="str">
        <f t="shared" si="161"/>
        <v>2021.010B.R.Binomial_names.zip</v>
      </c>
      <c r="U3629" s="29" t="str">
        <f>HYPERLINK("https://ictv.global/taxonomy/taxondetails?taxnode_id=202309816","ictv.global=202309816")</f>
        <v>ictv.global=202309816</v>
      </c>
    </row>
    <row r="3630" spans="1:21">
      <c r="A3630">
        <v>3629</v>
      </c>
      <c r="B3630" s="30" t="s">
        <v>1587</v>
      </c>
      <c r="D3630" s="30" t="s">
        <v>1588</v>
      </c>
      <c r="F3630" s="30" t="s">
        <v>1591</v>
      </c>
      <c r="H3630" s="30" t="s">
        <v>1592</v>
      </c>
      <c r="N3630" s="30" t="s">
        <v>1466</v>
      </c>
      <c r="P3630" s="30" t="s">
        <v>7093</v>
      </c>
      <c r="Q3630" t="s">
        <v>619</v>
      </c>
      <c r="R3630" t="s">
        <v>918</v>
      </c>
      <c r="S3630">
        <v>37</v>
      </c>
      <c r="T3630" s="29" t="str">
        <f t="shared" si="161"/>
        <v>2021.010B.R.Binomial_names.zip</v>
      </c>
      <c r="U3630" s="29" t="str">
        <f>HYPERLINK("https://ictv.global/taxonomy/taxondetails?taxnode_id=202309815","ictv.global=202309815")</f>
        <v>ictv.global=202309815</v>
      </c>
    </row>
    <row r="3631" spans="1:21">
      <c r="A3631">
        <v>3630</v>
      </c>
      <c r="B3631" s="30" t="s">
        <v>1587</v>
      </c>
      <c r="D3631" s="30" t="s">
        <v>1588</v>
      </c>
      <c r="F3631" s="30" t="s">
        <v>1591</v>
      </c>
      <c r="H3631" s="30" t="s">
        <v>1592</v>
      </c>
      <c r="N3631" s="30" t="s">
        <v>1466</v>
      </c>
      <c r="P3631" s="30" t="s">
        <v>7094</v>
      </c>
      <c r="Q3631" t="s">
        <v>619</v>
      </c>
      <c r="R3631" t="s">
        <v>918</v>
      </c>
      <c r="S3631">
        <v>37</v>
      </c>
      <c r="T3631" s="29" t="str">
        <f t="shared" si="161"/>
        <v>2021.010B.R.Binomial_names.zip</v>
      </c>
      <c r="U3631" s="29" t="str">
        <f>HYPERLINK("https://ictv.global/taxonomy/taxondetails?taxnode_id=202309817","ictv.global=202309817")</f>
        <v>ictv.global=202309817</v>
      </c>
    </row>
    <row r="3632" spans="1:21">
      <c r="A3632">
        <v>3631</v>
      </c>
      <c r="B3632" s="30" t="s">
        <v>1587</v>
      </c>
      <c r="D3632" s="30" t="s">
        <v>1588</v>
      </c>
      <c r="F3632" s="30" t="s">
        <v>1591</v>
      </c>
      <c r="H3632" s="30" t="s">
        <v>1592</v>
      </c>
      <c r="N3632" s="30" t="s">
        <v>1466</v>
      </c>
      <c r="P3632" s="30" t="s">
        <v>7095</v>
      </c>
      <c r="Q3632" t="s">
        <v>619</v>
      </c>
      <c r="R3632" t="s">
        <v>918</v>
      </c>
      <c r="S3632">
        <v>37</v>
      </c>
      <c r="T3632" s="29" t="str">
        <f t="shared" si="161"/>
        <v>2021.010B.R.Binomial_names.zip</v>
      </c>
      <c r="U3632" s="29" t="str">
        <f>HYPERLINK("https://ictv.global/taxonomy/taxondetails?taxnode_id=202309822","ictv.global=202309822")</f>
        <v>ictv.global=202309822</v>
      </c>
    </row>
    <row r="3633" spans="1:21">
      <c r="A3633">
        <v>3632</v>
      </c>
      <c r="B3633" s="30" t="s">
        <v>1587</v>
      </c>
      <c r="D3633" s="30" t="s">
        <v>1588</v>
      </c>
      <c r="F3633" s="30" t="s">
        <v>1591</v>
      </c>
      <c r="H3633" s="30" t="s">
        <v>1592</v>
      </c>
      <c r="N3633" s="30" t="s">
        <v>1466</v>
      </c>
      <c r="P3633" s="30" t="s">
        <v>7096</v>
      </c>
      <c r="Q3633" t="s">
        <v>619</v>
      </c>
      <c r="R3633" t="s">
        <v>918</v>
      </c>
      <c r="S3633">
        <v>37</v>
      </c>
      <c r="T3633" s="29" t="str">
        <f t="shared" si="161"/>
        <v>2021.010B.R.Binomial_names.zip</v>
      </c>
      <c r="U3633" s="29" t="str">
        <f>HYPERLINK("https://ictv.global/taxonomy/taxondetails?taxnode_id=202309805","ictv.global=202309805")</f>
        <v>ictv.global=202309805</v>
      </c>
    </row>
    <row r="3634" spans="1:21">
      <c r="A3634">
        <v>3633</v>
      </c>
      <c r="B3634" s="30" t="s">
        <v>1587</v>
      </c>
      <c r="D3634" s="30" t="s">
        <v>1588</v>
      </c>
      <c r="F3634" s="30" t="s">
        <v>1591</v>
      </c>
      <c r="H3634" s="30" t="s">
        <v>1592</v>
      </c>
      <c r="N3634" s="30" t="s">
        <v>1466</v>
      </c>
      <c r="P3634" s="30" t="s">
        <v>7097</v>
      </c>
      <c r="Q3634" t="s">
        <v>619</v>
      </c>
      <c r="R3634" t="s">
        <v>918</v>
      </c>
      <c r="S3634">
        <v>37</v>
      </c>
      <c r="T3634" s="29" t="str">
        <f t="shared" si="161"/>
        <v>2021.010B.R.Binomial_names.zip</v>
      </c>
      <c r="U3634" s="29" t="str">
        <f>HYPERLINK("https://ictv.global/taxonomy/taxondetails?taxnode_id=202309798","ictv.global=202309798")</f>
        <v>ictv.global=202309798</v>
      </c>
    </row>
    <row r="3635" spans="1:21">
      <c r="A3635">
        <v>3634</v>
      </c>
      <c r="B3635" s="30" t="s">
        <v>1587</v>
      </c>
      <c r="D3635" s="30" t="s">
        <v>1588</v>
      </c>
      <c r="F3635" s="30" t="s">
        <v>1591</v>
      </c>
      <c r="H3635" s="30" t="s">
        <v>1592</v>
      </c>
      <c r="N3635" s="30" t="s">
        <v>1466</v>
      </c>
      <c r="P3635" s="30" t="s">
        <v>7098</v>
      </c>
      <c r="Q3635" t="s">
        <v>619</v>
      </c>
      <c r="R3635" t="s">
        <v>918</v>
      </c>
      <c r="S3635">
        <v>37</v>
      </c>
      <c r="T3635" s="29" t="str">
        <f t="shared" si="161"/>
        <v>2021.010B.R.Binomial_names.zip</v>
      </c>
      <c r="U3635" s="29" t="str">
        <f>HYPERLINK("https://ictv.global/taxonomy/taxondetails?taxnode_id=202309799","ictv.global=202309799")</f>
        <v>ictv.global=202309799</v>
      </c>
    </row>
    <row r="3636" spans="1:21">
      <c r="A3636">
        <v>3635</v>
      </c>
      <c r="B3636" s="30" t="s">
        <v>1587</v>
      </c>
      <c r="D3636" s="30" t="s">
        <v>1588</v>
      </c>
      <c r="F3636" s="30" t="s">
        <v>1591</v>
      </c>
      <c r="H3636" s="30" t="s">
        <v>1592</v>
      </c>
      <c r="N3636" s="30" t="s">
        <v>1466</v>
      </c>
      <c r="P3636" s="30" t="s">
        <v>7099</v>
      </c>
      <c r="Q3636" t="s">
        <v>619</v>
      </c>
      <c r="R3636" t="s">
        <v>918</v>
      </c>
      <c r="S3636">
        <v>37</v>
      </c>
      <c r="T3636" s="29" t="str">
        <f t="shared" si="161"/>
        <v>2021.010B.R.Binomial_names.zip</v>
      </c>
      <c r="U3636" s="29" t="str">
        <f>HYPERLINK("https://ictv.global/taxonomy/taxondetails?taxnode_id=202309809","ictv.global=202309809")</f>
        <v>ictv.global=202309809</v>
      </c>
    </row>
    <row r="3637" spans="1:21">
      <c r="A3637">
        <v>3636</v>
      </c>
      <c r="B3637" s="30" t="s">
        <v>1587</v>
      </c>
      <c r="D3637" s="30" t="s">
        <v>1588</v>
      </c>
      <c r="F3637" s="30" t="s">
        <v>1591</v>
      </c>
      <c r="H3637" s="30" t="s">
        <v>1592</v>
      </c>
      <c r="N3637" s="30" t="s">
        <v>1466</v>
      </c>
      <c r="P3637" s="30" t="s">
        <v>7100</v>
      </c>
      <c r="Q3637" t="s">
        <v>619</v>
      </c>
      <c r="R3637" t="s">
        <v>918</v>
      </c>
      <c r="S3637">
        <v>37</v>
      </c>
      <c r="T3637" s="29" t="str">
        <f t="shared" si="161"/>
        <v>2021.010B.R.Binomial_names.zip</v>
      </c>
      <c r="U3637" s="29" t="str">
        <f>HYPERLINK("https://ictv.global/taxonomy/taxondetails?taxnode_id=202309796","ictv.global=202309796")</f>
        <v>ictv.global=202309796</v>
      </c>
    </row>
    <row r="3638" spans="1:21">
      <c r="A3638">
        <v>3637</v>
      </c>
      <c r="B3638" s="30" t="s">
        <v>1587</v>
      </c>
      <c r="D3638" s="30" t="s">
        <v>1588</v>
      </c>
      <c r="F3638" s="30" t="s">
        <v>1591</v>
      </c>
      <c r="H3638" s="30" t="s">
        <v>1592</v>
      </c>
      <c r="N3638" s="30" t="s">
        <v>1466</v>
      </c>
      <c r="P3638" s="30" t="s">
        <v>7101</v>
      </c>
      <c r="Q3638" t="s">
        <v>619</v>
      </c>
      <c r="R3638" t="s">
        <v>918</v>
      </c>
      <c r="S3638">
        <v>37</v>
      </c>
      <c r="T3638" s="29" t="str">
        <f t="shared" si="161"/>
        <v>2021.010B.R.Binomial_names.zip</v>
      </c>
      <c r="U3638" s="29" t="str">
        <f>HYPERLINK("https://ictv.global/taxonomy/taxondetails?taxnode_id=202309811","ictv.global=202309811")</f>
        <v>ictv.global=202309811</v>
      </c>
    </row>
    <row r="3639" spans="1:21">
      <c r="A3639">
        <v>3638</v>
      </c>
      <c r="B3639" s="30" t="s">
        <v>1587</v>
      </c>
      <c r="D3639" s="30" t="s">
        <v>1588</v>
      </c>
      <c r="F3639" s="30" t="s">
        <v>1591</v>
      </c>
      <c r="H3639" s="30" t="s">
        <v>1592</v>
      </c>
      <c r="N3639" s="30" t="s">
        <v>1466</v>
      </c>
      <c r="P3639" s="30" t="s">
        <v>7102</v>
      </c>
      <c r="Q3639" t="s">
        <v>619</v>
      </c>
      <c r="R3639" t="s">
        <v>918</v>
      </c>
      <c r="S3639">
        <v>37</v>
      </c>
      <c r="T3639" s="29" t="str">
        <f t="shared" si="161"/>
        <v>2021.010B.R.Binomial_names.zip</v>
      </c>
      <c r="U3639" s="29" t="str">
        <f>HYPERLINK("https://ictv.global/taxonomy/taxondetails?taxnode_id=202309808","ictv.global=202309808")</f>
        <v>ictv.global=202309808</v>
      </c>
    </row>
    <row r="3640" spans="1:21">
      <c r="A3640">
        <v>3639</v>
      </c>
      <c r="B3640" s="30" t="s">
        <v>1587</v>
      </c>
      <c r="D3640" s="30" t="s">
        <v>1588</v>
      </c>
      <c r="F3640" s="30" t="s">
        <v>1591</v>
      </c>
      <c r="H3640" s="30" t="s">
        <v>1592</v>
      </c>
      <c r="N3640" s="30" t="s">
        <v>1466</v>
      </c>
      <c r="P3640" s="30" t="s">
        <v>7103</v>
      </c>
      <c r="Q3640" t="s">
        <v>619</v>
      </c>
      <c r="R3640" t="s">
        <v>918</v>
      </c>
      <c r="S3640">
        <v>37</v>
      </c>
      <c r="T3640" s="29" t="str">
        <f t="shared" si="161"/>
        <v>2021.010B.R.Binomial_names.zip</v>
      </c>
      <c r="U3640" s="29" t="str">
        <f>HYPERLINK("https://ictv.global/taxonomy/taxondetails?taxnode_id=202309812","ictv.global=202309812")</f>
        <v>ictv.global=202309812</v>
      </c>
    </row>
    <row r="3641" spans="1:21">
      <c r="A3641">
        <v>3640</v>
      </c>
      <c r="B3641" s="30" t="s">
        <v>1587</v>
      </c>
      <c r="D3641" s="30" t="s">
        <v>1588</v>
      </c>
      <c r="F3641" s="30" t="s">
        <v>1591</v>
      </c>
      <c r="H3641" s="30" t="s">
        <v>1592</v>
      </c>
      <c r="N3641" s="30" t="s">
        <v>1466</v>
      </c>
      <c r="P3641" s="30" t="s">
        <v>7104</v>
      </c>
      <c r="Q3641" t="s">
        <v>619</v>
      </c>
      <c r="R3641" t="s">
        <v>918</v>
      </c>
      <c r="S3641">
        <v>37</v>
      </c>
      <c r="T3641" s="29" t="str">
        <f t="shared" si="161"/>
        <v>2021.010B.R.Binomial_names.zip</v>
      </c>
      <c r="U3641" s="29" t="str">
        <f>HYPERLINK("https://ictv.global/taxonomy/taxondetails?taxnode_id=202309810","ictv.global=202309810")</f>
        <v>ictv.global=202309810</v>
      </c>
    </row>
    <row r="3642" spans="1:21">
      <c r="A3642">
        <v>3641</v>
      </c>
      <c r="B3642" s="30" t="s">
        <v>1587</v>
      </c>
      <c r="D3642" s="30" t="s">
        <v>1588</v>
      </c>
      <c r="F3642" s="30" t="s">
        <v>1591</v>
      </c>
      <c r="H3642" s="30" t="s">
        <v>1592</v>
      </c>
      <c r="N3642" s="30" t="s">
        <v>1466</v>
      </c>
      <c r="P3642" s="30" t="s">
        <v>7105</v>
      </c>
      <c r="Q3642" t="s">
        <v>619</v>
      </c>
      <c r="R3642" t="s">
        <v>918</v>
      </c>
      <c r="S3642">
        <v>37</v>
      </c>
      <c r="T3642" s="29" t="str">
        <f t="shared" si="161"/>
        <v>2021.010B.R.Binomial_names.zip</v>
      </c>
      <c r="U3642" s="29" t="str">
        <f>HYPERLINK("https://ictv.global/taxonomy/taxondetails?taxnode_id=202309804","ictv.global=202309804")</f>
        <v>ictv.global=202309804</v>
      </c>
    </row>
    <row r="3643" spans="1:21">
      <c r="A3643">
        <v>3642</v>
      </c>
      <c r="B3643" s="30" t="s">
        <v>1587</v>
      </c>
      <c r="D3643" s="30" t="s">
        <v>1588</v>
      </c>
      <c r="F3643" s="30" t="s">
        <v>1591</v>
      </c>
      <c r="H3643" s="30" t="s">
        <v>1592</v>
      </c>
      <c r="N3643" s="30" t="s">
        <v>1471</v>
      </c>
      <c r="P3643" s="30" t="s">
        <v>7106</v>
      </c>
      <c r="Q3643" t="s">
        <v>619</v>
      </c>
      <c r="R3643" t="s">
        <v>918</v>
      </c>
      <c r="S3643">
        <v>37</v>
      </c>
      <c r="T3643" s="29" t="str">
        <f t="shared" si="161"/>
        <v>2021.010B.R.Binomial_names.zip</v>
      </c>
      <c r="U3643" s="29" t="str">
        <f>HYPERLINK("https://ictv.global/taxonomy/taxondetails?taxnode_id=202300872","ictv.global=202300872")</f>
        <v>ictv.global=202300872</v>
      </c>
    </row>
    <row r="3644" spans="1:21">
      <c r="A3644">
        <v>3643</v>
      </c>
      <c r="B3644" s="30" t="s">
        <v>1587</v>
      </c>
      <c r="D3644" s="30" t="s">
        <v>1588</v>
      </c>
      <c r="F3644" s="30" t="s">
        <v>1591</v>
      </c>
      <c r="H3644" s="30" t="s">
        <v>1592</v>
      </c>
      <c r="N3644" s="30" t="s">
        <v>1471</v>
      </c>
      <c r="P3644" s="30" t="s">
        <v>7107</v>
      </c>
      <c r="Q3644" t="s">
        <v>619</v>
      </c>
      <c r="R3644" t="s">
        <v>918</v>
      </c>
      <c r="S3644">
        <v>37</v>
      </c>
      <c r="T3644" s="29" t="str">
        <f t="shared" si="161"/>
        <v>2021.010B.R.Binomial_names.zip</v>
      </c>
      <c r="U3644" s="29" t="str">
        <f>HYPERLINK("https://ictv.global/taxonomy/taxondetails?taxnode_id=202300873","ictv.global=202300873")</f>
        <v>ictv.global=202300873</v>
      </c>
    </row>
    <row r="3645" spans="1:21">
      <c r="A3645">
        <v>3644</v>
      </c>
      <c r="B3645" s="30" t="s">
        <v>1587</v>
      </c>
      <c r="D3645" s="30" t="s">
        <v>1588</v>
      </c>
      <c r="F3645" s="30" t="s">
        <v>1591</v>
      </c>
      <c r="H3645" s="30" t="s">
        <v>1592</v>
      </c>
      <c r="N3645" s="30" t="s">
        <v>1471</v>
      </c>
      <c r="P3645" s="30" t="s">
        <v>7108</v>
      </c>
      <c r="Q3645" t="s">
        <v>619</v>
      </c>
      <c r="R3645" t="s">
        <v>918</v>
      </c>
      <c r="S3645">
        <v>37</v>
      </c>
      <c r="T3645" s="29" t="str">
        <f t="shared" si="161"/>
        <v>2021.010B.R.Binomial_names.zip</v>
      </c>
      <c r="U3645" s="29" t="str">
        <f>HYPERLINK("https://ictv.global/taxonomy/taxondetails?taxnode_id=202300874","ictv.global=202300874")</f>
        <v>ictv.global=202300874</v>
      </c>
    </row>
    <row r="3646" spans="1:21">
      <c r="A3646">
        <v>3645</v>
      </c>
      <c r="B3646" s="30" t="s">
        <v>1587</v>
      </c>
      <c r="D3646" s="30" t="s">
        <v>1588</v>
      </c>
      <c r="F3646" s="30" t="s">
        <v>1591</v>
      </c>
      <c r="H3646" s="30" t="s">
        <v>1592</v>
      </c>
      <c r="N3646" s="30" t="s">
        <v>1471</v>
      </c>
      <c r="P3646" s="30" t="s">
        <v>7109</v>
      </c>
      <c r="Q3646" t="s">
        <v>619</v>
      </c>
      <c r="R3646" t="s">
        <v>918</v>
      </c>
      <c r="S3646">
        <v>37</v>
      </c>
      <c r="T3646" s="29" t="str">
        <f t="shared" si="161"/>
        <v>2021.010B.R.Binomial_names.zip</v>
      </c>
      <c r="U3646" s="29" t="str">
        <f>HYPERLINK("https://ictv.global/taxonomy/taxondetails?taxnode_id=202300875","ictv.global=202300875")</f>
        <v>ictv.global=202300875</v>
      </c>
    </row>
    <row r="3647" spans="1:21">
      <c r="A3647">
        <v>3646</v>
      </c>
      <c r="B3647" s="30" t="s">
        <v>1587</v>
      </c>
      <c r="D3647" s="30" t="s">
        <v>1588</v>
      </c>
      <c r="F3647" s="30" t="s">
        <v>1591</v>
      </c>
      <c r="H3647" s="30" t="s">
        <v>1592</v>
      </c>
      <c r="N3647" s="30" t="s">
        <v>1471</v>
      </c>
      <c r="P3647" s="30" t="s">
        <v>7110</v>
      </c>
      <c r="Q3647" t="s">
        <v>619</v>
      </c>
      <c r="R3647" t="s">
        <v>918</v>
      </c>
      <c r="S3647">
        <v>37</v>
      </c>
      <c r="T3647" s="29" t="str">
        <f t="shared" si="161"/>
        <v>2021.010B.R.Binomial_names.zip</v>
      </c>
      <c r="U3647" s="29" t="str">
        <f>HYPERLINK("https://ictv.global/taxonomy/taxondetails?taxnode_id=202300877","ictv.global=202300877")</f>
        <v>ictv.global=202300877</v>
      </c>
    </row>
    <row r="3648" spans="1:21">
      <c r="A3648">
        <v>3647</v>
      </c>
      <c r="B3648" s="30" t="s">
        <v>1587</v>
      </c>
      <c r="D3648" s="30" t="s">
        <v>1588</v>
      </c>
      <c r="F3648" s="30" t="s">
        <v>1591</v>
      </c>
      <c r="H3648" s="30" t="s">
        <v>1592</v>
      </c>
      <c r="N3648" s="30" t="s">
        <v>1471</v>
      </c>
      <c r="P3648" s="30" t="s">
        <v>7111</v>
      </c>
      <c r="Q3648" t="s">
        <v>619</v>
      </c>
      <c r="R3648" t="s">
        <v>918</v>
      </c>
      <c r="S3648">
        <v>37</v>
      </c>
      <c r="T3648" s="29" t="str">
        <f t="shared" si="161"/>
        <v>2021.010B.R.Binomial_names.zip</v>
      </c>
      <c r="U3648" s="29" t="str">
        <f>HYPERLINK("https://ictv.global/taxonomy/taxondetails?taxnode_id=202300876","ictv.global=202300876")</f>
        <v>ictv.global=202300876</v>
      </c>
    </row>
    <row r="3649" spans="1:21">
      <c r="A3649">
        <v>3648</v>
      </c>
      <c r="B3649" s="30" t="s">
        <v>1587</v>
      </c>
      <c r="D3649" s="30" t="s">
        <v>1588</v>
      </c>
      <c r="F3649" s="30" t="s">
        <v>1591</v>
      </c>
      <c r="H3649" s="30" t="s">
        <v>1592</v>
      </c>
      <c r="N3649" s="30" t="s">
        <v>7112</v>
      </c>
      <c r="P3649" s="30" t="s">
        <v>7113</v>
      </c>
      <c r="Q3649" t="s">
        <v>619</v>
      </c>
      <c r="R3649" t="s">
        <v>917</v>
      </c>
      <c r="S3649">
        <v>38</v>
      </c>
      <c r="T3649" s="29" t="str">
        <f>HYPERLINK("https://ictv.global/ictv/proposals/2022.021B.Certevirus_ng.zip","2022.021B.Certevirus_ng.zip")</f>
        <v>2022.021B.Certevirus_ng.zip</v>
      </c>
      <c r="U3649" s="29" t="str">
        <f>HYPERLINK("https://ictv.global/taxonomy/taxondetails?taxnode_id=202314554","ictv.global=202314554")</f>
        <v>ictv.global=202314554</v>
      </c>
    </row>
    <row r="3650" spans="1:21">
      <c r="A3650">
        <v>3649</v>
      </c>
      <c r="B3650" s="30" t="s">
        <v>1587</v>
      </c>
      <c r="D3650" s="30" t="s">
        <v>1588</v>
      </c>
      <c r="F3650" s="30" t="s">
        <v>1591</v>
      </c>
      <c r="H3650" s="30" t="s">
        <v>1592</v>
      </c>
      <c r="N3650" s="30" t="s">
        <v>1353</v>
      </c>
      <c r="P3650" s="30" t="s">
        <v>7114</v>
      </c>
      <c r="Q3650" t="s">
        <v>619</v>
      </c>
      <c r="R3650" t="s">
        <v>918</v>
      </c>
      <c r="S3650">
        <v>37</v>
      </c>
      <c r="T3650" s="29" t="str">
        <f>HYPERLINK("https://ictv.global/ictv/proposals/2021.010B.R.Binomial_names.zip","2021.010B.R.Binomial_names.zip")</f>
        <v>2021.010B.R.Binomial_names.zip</v>
      </c>
      <c r="U3650" s="29" t="str">
        <f>HYPERLINK("https://ictv.global/taxonomy/taxondetails?taxnode_id=202306814","ictv.global=202306814")</f>
        <v>ictv.global=202306814</v>
      </c>
    </row>
    <row r="3651" spans="1:21">
      <c r="A3651">
        <v>3650</v>
      </c>
      <c r="B3651" s="30" t="s">
        <v>1587</v>
      </c>
      <c r="D3651" s="30" t="s">
        <v>1588</v>
      </c>
      <c r="F3651" s="30" t="s">
        <v>1591</v>
      </c>
      <c r="H3651" s="30" t="s">
        <v>1592</v>
      </c>
      <c r="N3651" s="30" t="s">
        <v>7115</v>
      </c>
      <c r="P3651" s="30" t="s">
        <v>7116</v>
      </c>
      <c r="Q3651" t="s">
        <v>619</v>
      </c>
      <c r="R3651" t="s">
        <v>917</v>
      </c>
      <c r="S3651">
        <v>38</v>
      </c>
      <c r="T3651" s="29" t="str">
        <f>HYPERLINK("https://ictv.global/ictv/proposals/2022.022B.Chaoshanvirus_ng.zip","2022.022B.Chaoshanvirus_ng.zip")</f>
        <v>2022.022B.Chaoshanvirus_ng.zip</v>
      </c>
      <c r="U3651" s="29" t="str">
        <f>HYPERLINK("https://ictv.global/taxonomy/taxondetails?taxnode_id=202314556","ictv.global=202314556")</f>
        <v>ictv.global=202314556</v>
      </c>
    </row>
    <row r="3652" spans="1:21">
      <c r="A3652">
        <v>3651</v>
      </c>
      <c r="B3652" s="30" t="s">
        <v>1587</v>
      </c>
      <c r="D3652" s="30" t="s">
        <v>1588</v>
      </c>
      <c r="F3652" s="30" t="s">
        <v>1591</v>
      </c>
      <c r="H3652" s="30" t="s">
        <v>1592</v>
      </c>
      <c r="N3652" s="30" t="s">
        <v>1473</v>
      </c>
      <c r="P3652" s="30" t="s">
        <v>7117</v>
      </c>
      <c r="Q3652" t="s">
        <v>619</v>
      </c>
      <c r="R3652" t="s">
        <v>918</v>
      </c>
      <c r="S3652">
        <v>37</v>
      </c>
      <c r="T3652" s="29" t="str">
        <f>HYPERLINK("https://ictv.global/ictv/proposals/2021.010B.R.Binomial_names.zip","2021.010B.R.Binomial_names.zip")</f>
        <v>2021.010B.R.Binomial_names.zip</v>
      </c>
      <c r="U3652" s="29" t="str">
        <f>HYPERLINK("https://ictv.global/taxonomy/taxondetails?taxnode_id=202300922","ictv.global=202300922")</f>
        <v>ictv.global=202300922</v>
      </c>
    </row>
    <row r="3653" spans="1:21">
      <c r="A3653">
        <v>3652</v>
      </c>
      <c r="B3653" s="30" t="s">
        <v>1587</v>
      </c>
      <c r="D3653" s="30" t="s">
        <v>1588</v>
      </c>
      <c r="F3653" s="30" t="s">
        <v>1591</v>
      </c>
      <c r="H3653" s="30" t="s">
        <v>1592</v>
      </c>
      <c r="N3653" s="30" t="s">
        <v>1473</v>
      </c>
      <c r="P3653" s="30" t="s">
        <v>7118</v>
      </c>
      <c r="Q3653" t="s">
        <v>619</v>
      </c>
      <c r="R3653" t="s">
        <v>918</v>
      </c>
      <c r="S3653">
        <v>37</v>
      </c>
      <c r="T3653" s="29" t="str">
        <f>HYPERLINK("https://ictv.global/ictv/proposals/2021.010B.R.Binomial_names.zip","2021.010B.R.Binomial_names.zip")</f>
        <v>2021.010B.R.Binomial_names.zip</v>
      </c>
      <c r="U3653" s="29" t="str">
        <f>HYPERLINK("https://ictv.global/taxonomy/taxondetails?taxnode_id=202305506","ictv.global=202305506")</f>
        <v>ictv.global=202305506</v>
      </c>
    </row>
    <row r="3654" spans="1:21">
      <c r="A3654">
        <v>3653</v>
      </c>
      <c r="B3654" s="30" t="s">
        <v>1587</v>
      </c>
      <c r="D3654" s="30" t="s">
        <v>1588</v>
      </c>
      <c r="F3654" s="30" t="s">
        <v>1591</v>
      </c>
      <c r="H3654" s="30" t="s">
        <v>1592</v>
      </c>
      <c r="N3654" s="30" t="s">
        <v>2421</v>
      </c>
      <c r="P3654" s="30" t="s">
        <v>7119</v>
      </c>
      <c r="Q3654" t="s">
        <v>619</v>
      </c>
      <c r="R3654" t="s">
        <v>918</v>
      </c>
      <c r="S3654">
        <v>37</v>
      </c>
      <c r="T3654" s="29" t="str">
        <f>HYPERLINK("https://ictv.global/ictv/proposals/2021.010B.R.Binomial_names.zip","2021.010B.R.Binomial_names.zip")</f>
        <v>2021.010B.R.Binomial_names.zip</v>
      </c>
      <c r="U3654" s="29" t="str">
        <f>HYPERLINK("https://ictv.global/taxonomy/taxondetails?taxnode_id=202309864","ictv.global=202309864")</f>
        <v>ictv.global=202309864</v>
      </c>
    </row>
    <row r="3655" spans="1:21">
      <c r="A3655">
        <v>3654</v>
      </c>
      <c r="B3655" s="30" t="s">
        <v>1587</v>
      </c>
      <c r="D3655" s="30" t="s">
        <v>1588</v>
      </c>
      <c r="F3655" s="30" t="s">
        <v>1591</v>
      </c>
      <c r="H3655" s="30" t="s">
        <v>1592</v>
      </c>
      <c r="N3655" s="30" t="s">
        <v>12548</v>
      </c>
      <c r="P3655" s="30" t="s">
        <v>12549</v>
      </c>
      <c r="Q3655" t="s">
        <v>619</v>
      </c>
      <c r="R3655" t="s">
        <v>917</v>
      </c>
      <c r="S3655">
        <v>39</v>
      </c>
      <c r="T3655" s="29" t="str">
        <f>HYPERLINK("https://ictv.global/ictv/proposals/2023.003B.Actinobacteriophage_singletons_25ng.zip","2023.003B.Actinobacteriophage_singletons_25ng.zip")</f>
        <v>2023.003B.Actinobacteriophage_singletons_25ng.zip</v>
      </c>
      <c r="U3655" s="29" t="str">
        <f>HYPERLINK("https://ictv.global/taxonomy/taxondetails?taxnode_id=202317752","ictv.global=202317752")</f>
        <v>ictv.global=202317752</v>
      </c>
    </row>
    <row r="3656" spans="1:21">
      <c r="A3656">
        <v>3655</v>
      </c>
      <c r="B3656" s="30" t="s">
        <v>1587</v>
      </c>
      <c r="D3656" s="30" t="s">
        <v>1588</v>
      </c>
      <c r="F3656" s="30" t="s">
        <v>1591</v>
      </c>
      <c r="H3656" s="30" t="s">
        <v>1592</v>
      </c>
      <c r="N3656" s="30" t="s">
        <v>7122</v>
      </c>
      <c r="P3656" s="30" t="s">
        <v>7123</v>
      </c>
      <c r="Q3656" t="s">
        <v>619</v>
      </c>
      <c r="R3656" t="s">
        <v>917</v>
      </c>
      <c r="S3656">
        <v>38</v>
      </c>
      <c r="T3656" s="29" t="str">
        <f>HYPERLINK("https://ictv.global/ictv/proposals/2022.023B.Chidieberevirus_ng.zip","2022.023B.Chidieberevirus_ng.zip")</f>
        <v>2022.023B.Chidieberevirus_ng.zip</v>
      </c>
      <c r="U3656" s="29" t="str">
        <f>HYPERLINK("https://ictv.global/taxonomy/taxondetails?taxnode_id=202314558","ictv.global=202314558")</f>
        <v>ictv.global=202314558</v>
      </c>
    </row>
    <row r="3657" spans="1:21">
      <c r="A3657">
        <v>3656</v>
      </c>
      <c r="B3657" s="30" t="s">
        <v>1587</v>
      </c>
      <c r="D3657" s="30" t="s">
        <v>1588</v>
      </c>
      <c r="F3657" s="30" t="s">
        <v>1591</v>
      </c>
      <c r="H3657" s="30" t="s">
        <v>1592</v>
      </c>
      <c r="N3657" s="30" t="s">
        <v>7122</v>
      </c>
      <c r="P3657" s="30" t="s">
        <v>7124</v>
      </c>
      <c r="Q3657" t="s">
        <v>619</v>
      </c>
      <c r="R3657" t="s">
        <v>917</v>
      </c>
      <c r="S3657">
        <v>38</v>
      </c>
      <c r="T3657" s="29" t="str">
        <f>HYPERLINK("https://ictv.global/ictv/proposals/2022.023B.Chidieberevirus_ng.zip","2022.023B.Chidieberevirus_ng.zip")</f>
        <v>2022.023B.Chidieberevirus_ng.zip</v>
      </c>
      <c r="U3657" s="29" t="str">
        <f>HYPERLINK("https://ictv.global/taxonomy/taxondetails?taxnode_id=202314559","ictv.global=202314559")</f>
        <v>ictv.global=202314559</v>
      </c>
    </row>
    <row r="3658" spans="1:21">
      <c r="A3658">
        <v>3657</v>
      </c>
      <c r="B3658" s="30" t="s">
        <v>1587</v>
      </c>
      <c r="D3658" s="30" t="s">
        <v>1588</v>
      </c>
      <c r="F3658" s="30" t="s">
        <v>1591</v>
      </c>
      <c r="H3658" s="30" t="s">
        <v>1592</v>
      </c>
      <c r="N3658" s="30" t="s">
        <v>2307</v>
      </c>
      <c r="P3658" s="30" t="s">
        <v>7125</v>
      </c>
      <c r="Q3658" t="s">
        <v>619</v>
      </c>
      <c r="R3658" t="s">
        <v>918</v>
      </c>
      <c r="S3658">
        <v>37</v>
      </c>
      <c r="T3658" s="29" t="str">
        <f>HYPERLINK("https://ictv.global/ictv/proposals/2021.010B.R.Binomial_names.zip","2021.010B.R.Binomial_names.zip")</f>
        <v>2021.010B.R.Binomial_names.zip</v>
      </c>
      <c r="U3658" s="29" t="str">
        <f>HYPERLINK("https://ictv.global/taxonomy/taxondetails?taxnode_id=202300703","ictv.global=202300703")</f>
        <v>ictv.global=202300703</v>
      </c>
    </row>
    <row r="3659" spans="1:21">
      <c r="A3659">
        <v>3658</v>
      </c>
      <c r="B3659" s="30" t="s">
        <v>1587</v>
      </c>
      <c r="D3659" s="30" t="s">
        <v>1588</v>
      </c>
      <c r="F3659" s="30" t="s">
        <v>1591</v>
      </c>
      <c r="H3659" s="30" t="s">
        <v>1592</v>
      </c>
      <c r="N3659" s="30" t="s">
        <v>12550</v>
      </c>
      <c r="P3659" s="30" t="s">
        <v>12551</v>
      </c>
      <c r="Q3659" t="s">
        <v>619</v>
      </c>
      <c r="R3659" t="s">
        <v>917</v>
      </c>
      <c r="S3659">
        <v>39</v>
      </c>
      <c r="T3659" s="29" t="str">
        <f>HYPERLINK("https://ictv.global/ictv/proposals/2023.003B.Actinobacteriophage_singletons_25ng.zip","2023.003B.Actinobacteriophage_singletons_25ng.zip")</f>
        <v>2023.003B.Actinobacteriophage_singletons_25ng.zip</v>
      </c>
      <c r="U3659" s="29" t="str">
        <f>HYPERLINK("https://ictv.global/taxonomy/taxondetails?taxnode_id=202317753","ictv.global=202317753")</f>
        <v>ictv.global=202317753</v>
      </c>
    </row>
    <row r="3660" spans="1:21">
      <c r="A3660">
        <v>3659</v>
      </c>
      <c r="B3660" s="30" t="s">
        <v>1587</v>
      </c>
      <c r="D3660" s="30" t="s">
        <v>1588</v>
      </c>
      <c r="F3660" s="30" t="s">
        <v>1591</v>
      </c>
      <c r="H3660" s="30" t="s">
        <v>1592</v>
      </c>
      <c r="N3660" s="30" t="s">
        <v>2308</v>
      </c>
      <c r="P3660" s="30" t="s">
        <v>7126</v>
      </c>
      <c r="Q3660" t="s">
        <v>619</v>
      </c>
      <c r="R3660" t="s">
        <v>918</v>
      </c>
      <c r="S3660">
        <v>37</v>
      </c>
      <c r="T3660" s="29" t="str">
        <f t="shared" ref="T3660:T3666" si="162">HYPERLINK("https://ictv.global/ictv/proposals/2021.010B.R.Binomial_names.zip","2021.010B.R.Binomial_names.zip")</f>
        <v>2021.010B.R.Binomial_names.zip</v>
      </c>
      <c r="U3660" s="29" t="str">
        <f>HYPERLINK("https://ictv.global/taxonomy/taxondetails?taxnode_id=202311652","ictv.global=202311652")</f>
        <v>ictv.global=202311652</v>
      </c>
    </row>
    <row r="3661" spans="1:21">
      <c r="A3661">
        <v>3660</v>
      </c>
      <c r="B3661" s="30" t="s">
        <v>1587</v>
      </c>
      <c r="D3661" s="30" t="s">
        <v>1588</v>
      </c>
      <c r="F3661" s="30" t="s">
        <v>1591</v>
      </c>
      <c r="H3661" s="30" t="s">
        <v>1592</v>
      </c>
      <c r="N3661" s="30" t="s">
        <v>2308</v>
      </c>
      <c r="P3661" s="30" t="s">
        <v>7127</v>
      </c>
      <c r="Q3661" t="s">
        <v>619</v>
      </c>
      <c r="R3661" t="s">
        <v>918</v>
      </c>
      <c r="S3661">
        <v>37</v>
      </c>
      <c r="T3661" s="29" t="str">
        <f t="shared" si="162"/>
        <v>2021.010B.R.Binomial_names.zip</v>
      </c>
      <c r="U3661" s="29" t="str">
        <f>HYPERLINK("https://ictv.global/taxonomy/taxondetails?taxnode_id=202311654","ictv.global=202311654")</f>
        <v>ictv.global=202311654</v>
      </c>
    </row>
    <row r="3662" spans="1:21">
      <c r="A3662">
        <v>3661</v>
      </c>
      <c r="B3662" s="30" t="s">
        <v>1587</v>
      </c>
      <c r="D3662" s="30" t="s">
        <v>1588</v>
      </c>
      <c r="F3662" s="30" t="s">
        <v>1591</v>
      </c>
      <c r="H3662" s="30" t="s">
        <v>1592</v>
      </c>
      <c r="N3662" s="30" t="s">
        <v>2308</v>
      </c>
      <c r="P3662" s="30" t="s">
        <v>7128</v>
      </c>
      <c r="Q3662" t="s">
        <v>619</v>
      </c>
      <c r="R3662" t="s">
        <v>918</v>
      </c>
      <c r="S3662">
        <v>37</v>
      </c>
      <c r="T3662" s="29" t="str">
        <f t="shared" si="162"/>
        <v>2021.010B.R.Binomial_names.zip</v>
      </c>
      <c r="U3662" s="29" t="str">
        <f>HYPERLINK("https://ictv.global/taxonomy/taxondetails?taxnode_id=202311655","ictv.global=202311655")</f>
        <v>ictv.global=202311655</v>
      </c>
    </row>
    <row r="3663" spans="1:21">
      <c r="A3663">
        <v>3662</v>
      </c>
      <c r="B3663" s="30" t="s">
        <v>1587</v>
      </c>
      <c r="D3663" s="30" t="s">
        <v>1588</v>
      </c>
      <c r="F3663" s="30" t="s">
        <v>1591</v>
      </c>
      <c r="H3663" s="30" t="s">
        <v>1592</v>
      </c>
      <c r="N3663" s="30" t="s">
        <v>2308</v>
      </c>
      <c r="P3663" s="30" t="s">
        <v>7129</v>
      </c>
      <c r="Q3663" t="s">
        <v>619</v>
      </c>
      <c r="R3663" t="s">
        <v>918</v>
      </c>
      <c r="S3663">
        <v>37</v>
      </c>
      <c r="T3663" s="29" t="str">
        <f t="shared" si="162"/>
        <v>2021.010B.R.Binomial_names.zip</v>
      </c>
      <c r="U3663" s="29" t="str">
        <f>HYPERLINK("https://ictv.global/taxonomy/taxondetails?taxnode_id=202311656","ictv.global=202311656")</f>
        <v>ictv.global=202311656</v>
      </c>
    </row>
    <row r="3664" spans="1:21">
      <c r="A3664">
        <v>3663</v>
      </c>
      <c r="B3664" s="30" t="s">
        <v>1587</v>
      </c>
      <c r="D3664" s="30" t="s">
        <v>1588</v>
      </c>
      <c r="F3664" s="30" t="s">
        <v>1591</v>
      </c>
      <c r="H3664" s="30" t="s">
        <v>1592</v>
      </c>
      <c r="N3664" s="30" t="s">
        <v>2308</v>
      </c>
      <c r="P3664" s="30" t="s">
        <v>7130</v>
      </c>
      <c r="Q3664" t="s">
        <v>619</v>
      </c>
      <c r="R3664" t="s">
        <v>918</v>
      </c>
      <c r="S3664">
        <v>37</v>
      </c>
      <c r="T3664" s="29" t="str">
        <f t="shared" si="162"/>
        <v>2021.010B.R.Binomial_names.zip</v>
      </c>
      <c r="U3664" s="29" t="str">
        <f>HYPERLINK("https://ictv.global/taxonomy/taxondetails?taxnode_id=202311653","ictv.global=202311653")</f>
        <v>ictv.global=202311653</v>
      </c>
    </row>
    <row r="3665" spans="1:21">
      <c r="A3665">
        <v>3664</v>
      </c>
      <c r="B3665" s="30" t="s">
        <v>1587</v>
      </c>
      <c r="D3665" s="30" t="s">
        <v>1588</v>
      </c>
      <c r="F3665" s="30" t="s">
        <v>1591</v>
      </c>
      <c r="H3665" s="30" t="s">
        <v>1592</v>
      </c>
      <c r="N3665" s="30" t="s">
        <v>1477</v>
      </c>
      <c r="P3665" s="30" t="s">
        <v>7131</v>
      </c>
      <c r="Q3665" t="s">
        <v>619</v>
      </c>
      <c r="R3665" t="s">
        <v>918</v>
      </c>
      <c r="S3665">
        <v>37</v>
      </c>
      <c r="T3665" s="29" t="str">
        <f t="shared" si="162"/>
        <v>2021.010B.R.Binomial_names.zip</v>
      </c>
      <c r="U3665" s="29" t="str">
        <f>HYPERLINK("https://ictv.global/taxonomy/taxondetails?taxnode_id=202306733","ictv.global=202306733")</f>
        <v>ictv.global=202306733</v>
      </c>
    </row>
    <row r="3666" spans="1:21">
      <c r="A3666">
        <v>3665</v>
      </c>
      <c r="B3666" s="30" t="s">
        <v>1587</v>
      </c>
      <c r="D3666" s="30" t="s">
        <v>1588</v>
      </c>
      <c r="F3666" s="30" t="s">
        <v>1591</v>
      </c>
      <c r="H3666" s="30" t="s">
        <v>1592</v>
      </c>
      <c r="N3666" s="30" t="s">
        <v>1478</v>
      </c>
      <c r="P3666" s="30" t="s">
        <v>7132</v>
      </c>
      <c r="Q3666" t="s">
        <v>619</v>
      </c>
      <c r="R3666" t="s">
        <v>918</v>
      </c>
      <c r="S3666">
        <v>37</v>
      </c>
      <c r="T3666" s="29" t="str">
        <f t="shared" si="162"/>
        <v>2021.010B.R.Binomial_names.zip</v>
      </c>
      <c r="U3666" s="29" t="str">
        <f>HYPERLINK("https://ictv.global/taxonomy/taxondetails?taxnode_id=202306735","ictv.global=202306735")</f>
        <v>ictv.global=202306735</v>
      </c>
    </row>
    <row r="3667" spans="1:21">
      <c r="A3667">
        <v>3666</v>
      </c>
      <c r="B3667" s="30" t="s">
        <v>1587</v>
      </c>
      <c r="D3667" s="30" t="s">
        <v>1588</v>
      </c>
      <c r="F3667" s="30" t="s">
        <v>1591</v>
      </c>
      <c r="H3667" s="30" t="s">
        <v>1592</v>
      </c>
      <c r="N3667" s="30" t="s">
        <v>7133</v>
      </c>
      <c r="P3667" s="30" t="s">
        <v>7134</v>
      </c>
      <c r="Q3667" t="s">
        <v>619</v>
      </c>
      <c r="R3667" t="s">
        <v>917</v>
      </c>
      <c r="S3667">
        <v>38</v>
      </c>
      <c r="T3667" s="29" t="str">
        <f>HYPERLINK("https://ictv.global/ictv/proposals/2022.024B.Clawzvirus_ng.zip","2022.024B.Clawzvirus_ng.zip")</f>
        <v>2022.024B.Clawzvirus_ng.zip</v>
      </c>
      <c r="U3667" s="29" t="str">
        <f>HYPERLINK("https://ictv.global/taxonomy/taxondetails?taxnode_id=202314561","ictv.global=202314561")</f>
        <v>ictv.global=202314561</v>
      </c>
    </row>
    <row r="3668" spans="1:21">
      <c r="A3668">
        <v>3667</v>
      </c>
      <c r="B3668" s="30" t="s">
        <v>1587</v>
      </c>
      <c r="D3668" s="30" t="s">
        <v>1588</v>
      </c>
      <c r="F3668" s="30" t="s">
        <v>1591</v>
      </c>
      <c r="H3668" s="30" t="s">
        <v>1592</v>
      </c>
      <c r="N3668" s="30" t="s">
        <v>7135</v>
      </c>
      <c r="P3668" s="30" t="s">
        <v>7136</v>
      </c>
      <c r="Q3668" t="s">
        <v>619</v>
      </c>
      <c r="R3668" t="s">
        <v>917</v>
      </c>
      <c r="S3668">
        <v>37</v>
      </c>
      <c r="T3668" s="29" t="str">
        <f>HYPERLINK("https://ictv.global/ictv/proposals/2021.018B.R.Clownvirus.zip","2021.018B.R.Clownvirus.zip")</f>
        <v>2021.018B.R.Clownvirus.zip</v>
      </c>
      <c r="U3668" s="29" t="str">
        <f>HYPERLINK("https://ictv.global/taxonomy/taxondetails?taxnode_id=202313051","ictv.global=202313051")</f>
        <v>ictv.global=202313051</v>
      </c>
    </row>
    <row r="3669" spans="1:21">
      <c r="A3669">
        <v>3668</v>
      </c>
      <c r="B3669" s="30" t="s">
        <v>1587</v>
      </c>
      <c r="D3669" s="30" t="s">
        <v>1588</v>
      </c>
      <c r="F3669" s="30" t="s">
        <v>1591</v>
      </c>
      <c r="H3669" s="30" t="s">
        <v>1592</v>
      </c>
      <c r="N3669" s="30" t="s">
        <v>7137</v>
      </c>
      <c r="P3669" s="30" t="s">
        <v>7138</v>
      </c>
      <c r="Q3669" t="s">
        <v>619</v>
      </c>
      <c r="R3669" t="s">
        <v>917</v>
      </c>
      <c r="S3669">
        <v>37</v>
      </c>
      <c r="T3669" s="29" t="str">
        <f>HYPERLINK("https://ictv.global/ictv/proposals/2021.019B.R.Coatlandelriovirus.zip","2021.019B.R.Coatlandelriovirus.zip")</f>
        <v>2021.019B.R.Coatlandelriovirus.zip</v>
      </c>
      <c r="U3669" s="29" t="str">
        <f>HYPERLINK("https://ictv.global/taxonomy/taxondetails?taxnode_id=202313053","ictv.global=202313053")</f>
        <v>ictv.global=202313053</v>
      </c>
    </row>
    <row r="3670" spans="1:21">
      <c r="A3670">
        <v>3669</v>
      </c>
      <c r="B3670" s="30" t="s">
        <v>1587</v>
      </c>
      <c r="D3670" s="30" t="s">
        <v>1588</v>
      </c>
      <c r="F3670" s="30" t="s">
        <v>1591</v>
      </c>
      <c r="H3670" s="30" t="s">
        <v>1592</v>
      </c>
      <c r="N3670" s="30" t="s">
        <v>7139</v>
      </c>
      <c r="P3670" s="30" t="s">
        <v>7140</v>
      </c>
      <c r="Q3670" t="s">
        <v>619</v>
      </c>
      <c r="R3670" t="s">
        <v>917</v>
      </c>
      <c r="S3670">
        <v>38</v>
      </c>
      <c r="T3670" s="29" t="str">
        <f>HYPERLINK("https://ictv.global/ictv/proposals/2022.025B.Cobrasixvirus_ng.zip","2022.025B.Cobrasixvirus_ng.zip")</f>
        <v>2022.025B.Cobrasixvirus_ng.zip</v>
      </c>
      <c r="U3670" s="29" t="str">
        <f>HYPERLINK("https://ictv.global/taxonomy/taxondetails?taxnode_id=202314563","ictv.global=202314563")</f>
        <v>ictv.global=202314563</v>
      </c>
    </row>
    <row r="3671" spans="1:21">
      <c r="A3671">
        <v>3670</v>
      </c>
      <c r="B3671" s="30" t="s">
        <v>1587</v>
      </c>
      <c r="D3671" s="30" t="s">
        <v>1588</v>
      </c>
      <c r="F3671" s="30" t="s">
        <v>1591</v>
      </c>
      <c r="H3671" s="30" t="s">
        <v>1592</v>
      </c>
      <c r="N3671" s="30" t="s">
        <v>1479</v>
      </c>
      <c r="P3671" s="30" t="s">
        <v>7141</v>
      </c>
      <c r="Q3671" t="s">
        <v>619</v>
      </c>
      <c r="R3671" t="s">
        <v>918</v>
      </c>
      <c r="S3671">
        <v>37</v>
      </c>
      <c r="T3671" s="29" t="str">
        <f>HYPERLINK("https://ictv.global/ictv/proposals/2021.010B.R.Binomial_names.zip","2021.010B.R.Binomial_names.zip")</f>
        <v>2021.010B.R.Binomial_names.zip</v>
      </c>
      <c r="U3671" s="29" t="str">
        <f>HYPERLINK("https://ictv.global/taxonomy/taxondetails?taxnode_id=202301231","ictv.global=202301231")</f>
        <v>ictv.global=202301231</v>
      </c>
    </row>
    <row r="3672" spans="1:21">
      <c r="A3672">
        <v>3671</v>
      </c>
      <c r="B3672" s="30" t="s">
        <v>1587</v>
      </c>
      <c r="D3672" s="30" t="s">
        <v>1588</v>
      </c>
      <c r="F3672" s="30" t="s">
        <v>1591</v>
      </c>
      <c r="H3672" s="30" t="s">
        <v>1592</v>
      </c>
      <c r="N3672" s="30" t="s">
        <v>1479</v>
      </c>
      <c r="P3672" s="30" t="s">
        <v>7142</v>
      </c>
      <c r="Q3672" t="s">
        <v>619</v>
      </c>
      <c r="R3672" t="s">
        <v>918</v>
      </c>
      <c r="S3672">
        <v>37</v>
      </c>
      <c r="T3672" s="29" t="str">
        <f>HYPERLINK("https://ictv.global/ictv/proposals/2021.010B.R.Binomial_names.zip","2021.010B.R.Binomial_names.zip")</f>
        <v>2021.010B.R.Binomial_names.zip</v>
      </c>
      <c r="U3672" s="29" t="str">
        <f>HYPERLINK("https://ictv.global/taxonomy/taxondetails?taxnode_id=202301233","ictv.global=202301233")</f>
        <v>ictv.global=202301233</v>
      </c>
    </row>
    <row r="3673" spans="1:21">
      <c r="A3673">
        <v>3672</v>
      </c>
      <c r="B3673" s="30" t="s">
        <v>1587</v>
      </c>
      <c r="D3673" s="30" t="s">
        <v>1588</v>
      </c>
      <c r="F3673" s="30" t="s">
        <v>1591</v>
      </c>
      <c r="H3673" s="30" t="s">
        <v>1592</v>
      </c>
      <c r="N3673" s="30" t="s">
        <v>1479</v>
      </c>
      <c r="P3673" s="30" t="s">
        <v>7143</v>
      </c>
      <c r="Q3673" t="s">
        <v>619</v>
      </c>
      <c r="R3673" t="s">
        <v>918</v>
      </c>
      <c r="S3673">
        <v>37</v>
      </c>
      <c r="T3673" s="29" t="str">
        <f>HYPERLINK("https://ictv.global/ictv/proposals/2021.010B.R.Binomial_names.zip","2021.010B.R.Binomial_names.zip")</f>
        <v>2021.010B.R.Binomial_names.zip</v>
      </c>
      <c r="U3673" s="29" t="str">
        <f>HYPERLINK("https://ictv.global/taxonomy/taxondetails?taxnode_id=202301232","ictv.global=202301232")</f>
        <v>ictv.global=202301232</v>
      </c>
    </row>
    <row r="3674" spans="1:21">
      <c r="A3674">
        <v>3673</v>
      </c>
      <c r="B3674" s="30" t="s">
        <v>1587</v>
      </c>
      <c r="D3674" s="30" t="s">
        <v>1588</v>
      </c>
      <c r="F3674" s="30" t="s">
        <v>1591</v>
      </c>
      <c r="H3674" s="30" t="s">
        <v>1592</v>
      </c>
      <c r="N3674" s="30" t="s">
        <v>7144</v>
      </c>
      <c r="P3674" s="30" t="s">
        <v>7145</v>
      </c>
      <c r="Q3674" t="s">
        <v>619</v>
      </c>
      <c r="R3674" t="s">
        <v>917</v>
      </c>
      <c r="S3674">
        <v>38</v>
      </c>
      <c r="T3674" s="29" t="str">
        <f>HYPERLINK("https://ictv.global/ictv/proposals/2022.032B.Caudoviricetes_5ng.zip","2022.032B.Caudoviricetes_5ng.zip")</f>
        <v>2022.032B.Caudoviricetes_5ng.zip</v>
      </c>
      <c r="U3674" s="29" t="str">
        <f>HYPERLINK("https://ictv.global/taxonomy/taxondetails?taxnode_id=202314590","ictv.global=202314590")</f>
        <v>ictv.global=202314590</v>
      </c>
    </row>
    <row r="3675" spans="1:21">
      <c r="A3675">
        <v>3674</v>
      </c>
      <c r="B3675" s="30" t="s">
        <v>1587</v>
      </c>
      <c r="D3675" s="30" t="s">
        <v>1588</v>
      </c>
      <c r="F3675" s="30" t="s">
        <v>1591</v>
      </c>
      <c r="H3675" s="30" t="s">
        <v>1592</v>
      </c>
      <c r="N3675" s="30" t="s">
        <v>2263</v>
      </c>
      <c r="P3675" s="30" t="s">
        <v>7146</v>
      </c>
      <c r="Q3675" t="s">
        <v>619</v>
      </c>
      <c r="R3675" t="s">
        <v>918</v>
      </c>
      <c r="S3675">
        <v>37</v>
      </c>
      <c r="T3675" s="29" t="str">
        <f t="shared" ref="T3675:T3684" si="163">HYPERLINK("https://ictv.global/ictv/proposals/2021.010B.R.Binomial_names.zip","2021.010B.R.Binomial_names.zip")</f>
        <v>2021.010B.R.Binomial_names.zip</v>
      </c>
      <c r="U3675" s="29" t="str">
        <f>HYPERLINK("https://ictv.global/taxonomy/taxondetails?taxnode_id=202300422","ictv.global=202300422")</f>
        <v>ictv.global=202300422</v>
      </c>
    </row>
    <row r="3676" spans="1:21">
      <c r="A3676">
        <v>3675</v>
      </c>
      <c r="B3676" s="30" t="s">
        <v>1587</v>
      </c>
      <c r="D3676" s="30" t="s">
        <v>1588</v>
      </c>
      <c r="F3676" s="30" t="s">
        <v>1591</v>
      </c>
      <c r="H3676" s="30" t="s">
        <v>1592</v>
      </c>
      <c r="N3676" s="30" t="s">
        <v>2263</v>
      </c>
      <c r="P3676" s="30" t="s">
        <v>7147</v>
      </c>
      <c r="Q3676" t="s">
        <v>619</v>
      </c>
      <c r="R3676" t="s">
        <v>918</v>
      </c>
      <c r="S3676">
        <v>37</v>
      </c>
      <c r="T3676" s="29" t="str">
        <f t="shared" si="163"/>
        <v>2021.010B.R.Binomial_names.zip</v>
      </c>
      <c r="U3676" s="29" t="str">
        <f>HYPERLINK("https://ictv.global/taxonomy/taxondetails?taxnode_id=202309886","ictv.global=202309886")</f>
        <v>ictv.global=202309886</v>
      </c>
    </row>
    <row r="3677" spans="1:21">
      <c r="A3677">
        <v>3676</v>
      </c>
      <c r="B3677" s="30" t="s">
        <v>1587</v>
      </c>
      <c r="D3677" s="30" t="s">
        <v>1588</v>
      </c>
      <c r="F3677" s="30" t="s">
        <v>1591</v>
      </c>
      <c r="H3677" s="30" t="s">
        <v>1592</v>
      </c>
      <c r="N3677" s="30" t="s">
        <v>2263</v>
      </c>
      <c r="P3677" s="30" t="s">
        <v>7148</v>
      </c>
      <c r="Q3677" t="s">
        <v>619</v>
      </c>
      <c r="R3677" t="s">
        <v>918</v>
      </c>
      <c r="S3677">
        <v>37</v>
      </c>
      <c r="T3677" s="29" t="str">
        <f t="shared" si="163"/>
        <v>2021.010B.R.Binomial_names.zip</v>
      </c>
      <c r="U3677" s="29" t="str">
        <f>HYPERLINK("https://ictv.global/taxonomy/taxondetails?taxnode_id=202309885","ictv.global=202309885")</f>
        <v>ictv.global=202309885</v>
      </c>
    </row>
    <row r="3678" spans="1:21">
      <c r="A3678">
        <v>3677</v>
      </c>
      <c r="B3678" s="30" t="s">
        <v>1587</v>
      </c>
      <c r="D3678" s="30" t="s">
        <v>1588</v>
      </c>
      <c r="F3678" s="30" t="s">
        <v>1591</v>
      </c>
      <c r="H3678" s="30" t="s">
        <v>1592</v>
      </c>
      <c r="N3678" s="30" t="s">
        <v>2263</v>
      </c>
      <c r="P3678" s="30" t="s">
        <v>7149</v>
      </c>
      <c r="Q3678" t="s">
        <v>619</v>
      </c>
      <c r="R3678" t="s">
        <v>918</v>
      </c>
      <c r="S3678">
        <v>37</v>
      </c>
      <c r="T3678" s="29" t="str">
        <f t="shared" si="163"/>
        <v>2021.010B.R.Binomial_names.zip</v>
      </c>
      <c r="U3678" s="29" t="str">
        <f>HYPERLINK("https://ictv.global/taxonomy/taxondetails?taxnode_id=202309888","ictv.global=202309888")</f>
        <v>ictv.global=202309888</v>
      </c>
    </row>
    <row r="3679" spans="1:21">
      <c r="A3679">
        <v>3678</v>
      </c>
      <c r="B3679" s="30" t="s">
        <v>1587</v>
      </c>
      <c r="D3679" s="30" t="s">
        <v>1588</v>
      </c>
      <c r="F3679" s="30" t="s">
        <v>1591</v>
      </c>
      <c r="H3679" s="30" t="s">
        <v>1592</v>
      </c>
      <c r="N3679" s="30" t="s">
        <v>2263</v>
      </c>
      <c r="P3679" s="30" t="s">
        <v>7150</v>
      </c>
      <c r="Q3679" t="s">
        <v>619</v>
      </c>
      <c r="R3679" t="s">
        <v>918</v>
      </c>
      <c r="S3679">
        <v>37</v>
      </c>
      <c r="T3679" s="29" t="str">
        <f t="shared" si="163"/>
        <v>2021.010B.R.Binomial_names.zip</v>
      </c>
      <c r="U3679" s="29" t="str">
        <f>HYPERLINK("https://ictv.global/taxonomy/taxondetails?taxnode_id=202309887","ictv.global=202309887")</f>
        <v>ictv.global=202309887</v>
      </c>
    </row>
    <row r="3680" spans="1:21">
      <c r="A3680">
        <v>3679</v>
      </c>
      <c r="B3680" s="30" t="s">
        <v>1587</v>
      </c>
      <c r="D3680" s="30" t="s">
        <v>1588</v>
      </c>
      <c r="F3680" s="30" t="s">
        <v>1591</v>
      </c>
      <c r="H3680" s="30" t="s">
        <v>1592</v>
      </c>
      <c r="N3680" s="30" t="s">
        <v>2423</v>
      </c>
      <c r="P3680" s="30" t="s">
        <v>7151</v>
      </c>
      <c r="Q3680" t="s">
        <v>619</v>
      </c>
      <c r="R3680" t="s">
        <v>918</v>
      </c>
      <c r="S3680">
        <v>37</v>
      </c>
      <c r="T3680" s="29" t="str">
        <f t="shared" si="163"/>
        <v>2021.010B.R.Binomial_names.zip</v>
      </c>
      <c r="U3680" s="29" t="str">
        <f>HYPERLINK("https://ictv.global/taxonomy/taxondetails?taxnode_id=202310180","ictv.global=202310180")</f>
        <v>ictv.global=202310180</v>
      </c>
    </row>
    <row r="3681" spans="1:21">
      <c r="A3681">
        <v>3680</v>
      </c>
      <c r="B3681" s="30" t="s">
        <v>1587</v>
      </c>
      <c r="D3681" s="30" t="s">
        <v>1588</v>
      </c>
      <c r="F3681" s="30" t="s">
        <v>1591</v>
      </c>
      <c r="H3681" s="30" t="s">
        <v>1592</v>
      </c>
      <c r="N3681" s="30" t="s">
        <v>2423</v>
      </c>
      <c r="P3681" s="30" t="s">
        <v>7152</v>
      </c>
      <c r="Q3681" t="s">
        <v>619</v>
      </c>
      <c r="R3681" t="s">
        <v>918</v>
      </c>
      <c r="S3681">
        <v>37</v>
      </c>
      <c r="T3681" s="29" t="str">
        <f t="shared" si="163"/>
        <v>2021.010B.R.Binomial_names.zip</v>
      </c>
      <c r="U3681" s="29" t="str">
        <f>HYPERLINK("https://ictv.global/taxonomy/taxondetails?taxnode_id=202310182","ictv.global=202310182")</f>
        <v>ictv.global=202310182</v>
      </c>
    </row>
    <row r="3682" spans="1:21">
      <c r="A3682">
        <v>3681</v>
      </c>
      <c r="B3682" s="30" t="s">
        <v>1587</v>
      </c>
      <c r="D3682" s="30" t="s">
        <v>1588</v>
      </c>
      <c r="F3682" s="30" t="s">
        <v>1591</v>
      </c>
      <c r="H3682" s="30" t="s">
        <v>1592</v>
      </c>
      <c r="N3682" s="30" t="s">
        <v>2423</v>
      </c>
      <c r="P3682" s="30" t="s">
        <v>7153</v>
      </c>
      <c r="Q3682" t="s">
        <v>619</v>
      </c>
      <c r="R3682" t="s">
        <v>918</v>
      </c>
      <c r="S3682">
        <v>37</v>
      </c>
      <c r="T3682" s="29" t="str">
        <f t="shared" si="163"/>
        <v>2021.010B.R.Binomial_names.zip</v>
      </c>
      <c r="U3682" s="29" t="str">
        <f>HYPERLINK("https://ictv.global/taxonomy/taxondetails?taxnode_id=202310181","ictv.global=202310181")</f>
        <v>ictv.global=202310181</v>
      </c>
    </row>
    <row r="3683" spans="1:21">
      <c r="A3683">
        <v>3682</v>
      </c>
      <c r="B3683" s="30" t="s">
        <v>1587</v>
      </c>
      <c r="D3683" s="30" t="s">
        <v>1588</v>
      </c>
      <c r="F3683" s="30" t="s">
        <v>1591</v>
      </c>
      <c r="H3683" s="30" t="s">
        <v>1592</v>
      </c>
      <c r="N3683" s="30" t="s">
        <v>1898</v>
      </c>
      <c r="P3683" s="30" t="s">
        <v>7154</v>
      </c>
      <c r="Q3683" t="s">
        <v>619</v>
      </c>
      <c r="R3683" t="s">
        <v>918</v>
      </c>
      <c r="S3683">
        <v>37</v>
      </c>
      <c r="T3683" s="29" t="str">
        <f t="shared" si="163"/>
        <v>2021.010B.R.Binomial_names.zip</v>
      </c>
      <c r="U3683" s="29" t="str">
        <f>HYPERLINK("https://ictv.global/taxonomy/taxondetails?taxnode_id=202307256","ictv.global=202307256")</f>
        <v>ictv.global=202307256</v>
      </c>
    </row>
    <row r="3684" spans="1:21">
      <c r="A3684">
        <v>3683</v>
      </c>
      <c r="B3684" s="30" t="s">
        <v>1587</v>
      </c>
      <c r="D3684" s="30" t="s">
        <v>1588</v>
      </c>
      <c r="F3684" s="30" t="s">
        <v>1591</v>
      </c>
      <c r="H3684" s="30" t="s">
        <v>1592</v>
      </c>
      <c r="N3684" s="30" t="s">
        <v>1898</v>
      </c>
      <c r="P3684" s="30" t="s">
        <v>7155</v>
      </c>
      <c r="Q3684" t="s">
        <v>619</v>
      </c>
      <c r="R3684" t="s">
        <v>918</v>
      </c>
      <c r="S3684">
        <v>37</v>
      </c>
      <c r="T3684" s="29" t="str">
        <f t="shared" si="163"/>
        <v>2021.010B.R.Binomial_names.zip</v>
      </c>
      <c r="U3684" s="29" t="str">
        <f>HYPERLINK("https://ictv.global/taxonomy/taxondetails?taxnode_id=202307257","ictv.global=202307257")</f>
        <v>ictv.global=202307257</v>
      </c>
    </row>
    <row r="3685" spans="1:21">
      <c r="A3685">
        <v>3684</v>
      </c>
      <c r="B3685" s="30" t="s">
        <v>1587</v>
      </c>
      <c r="D3685" s="30" t="s">
        <v>1588</v>
      </c>
      <c r="F3685" s="30" t="s">
        <v>1591</v>
      </c>
      <c r="H3685" s="30" t="s">
        <v>1592</v>
      </c>
      <c r="N3685" s="30" t="s">
        <v>688</v>
      </c>
      <c r="P3685" s="30" t="s">
        <v>7156</v>
      </c>
      <c r="Q3685" t="s">
        <v>619</v>
      </c>
      <c r="R3685" t="s">
        <v>917</v>
      </c>
      <c r="S3685">
        <v>37</v>
      </c>
      <c r="T3685" s="29" t="str">
        <f>HYPERLINK("https://ictv.global/ictv/proposals/2021.021B.R.Corndogvirus.zip","2021.021B.R.Corndogvirus.zip")</f>
        <v>2021.021B.R.Corndogvirus.zip</v>
      </c>
      <c r="U3685" s="29" t="str">
        <f>HYPERLINK("https://ictv.global/taxonomy/taxondetails?taxnode_id=202313056","ictv.global=202313056")</f>
        <v>ictv.global=202313056</v>
      </c>
    </row>
    <row r="3686" spans="1:21">
      <c r="A3686">
        <v>3685</v>
      </c>
      <c r="B3686" s="30" t="s">
        <v>1587</v>
      </c>
      <c r="D3686" s="30" t="s">
        <v>1588</v>
      </c>
      <c r="F3686" s="30" t="s">
        <v>1591</v>
      </c>
      <c r="H3686" s="30" t="s">
        <v>1592</v>
      </c>
      <c r="N3686" s="30" t="s">
        <v>688</v>
      </c>
      <c r="P3686" s="30" t="s">
        <v>7157</v>
      </c>
      <c r="Q3686" t="s">
        <v>619</v>
      </c>
      <c r="R3686" t="s">
        <v>918</v>
      </c>
      <c r="S3686">
        <v>37</v>
      </c>
      <c r="T3686" s="29" t="str">
        <f>HYPERLINK("https://ictv.global/ictv/proposals/2021.010B.R.Binomial_names.zip","2021.010B.R.Binomial_names.zip")</f>
        <v>2021.010B.R.Binomial_names.zip</v>
      </c>
      <c r="U3686" s="29" t="str">
        <f>HYPERLINK("https://ictv.global/taxonomy/taxondetails?taxnode_id=202300940","ictv.global=202300940")</f>
        <v>ictv.global=202300940</v>
      </c>
    </row>
    <row r="3687" spans="1:21">
      <c r="A3687">
        <v>3686</v>
      </c>
      <c r="B3687" s="30" t="s">
        <v>1587</v>
      </c>
      <c r="D3687" s="30" t="s">
        <v>1588</v>
      </c>
      <c r="F3687" s="30" t="s">
        <v>1591</v>
      </c>
      <c r="H3687" s="30" t="s">
        <v>1592</v>
      </c>
      <c r="N3687" s="30" t="s">
        <v>688</v>
      </c>
      <c r="P3687" s="30" t="s">
        <v>7158</v>
      </c>
      <c r="Q3687" t="s">
        <v>619</v>
      </c>
      <c r="R3687" t="s">
        <v>918</v>
      </c>
      <c r="S3687">
        <v>37</v>
      </c>
      <c r="T3687" s="29" t="str">
        <f>HYPERLINK("https://ictv.global/ictv/proposals/2021.010B.R.Binomial_names.zip","2021.010B.R.Binomial_names.zip")</f>
        <v>2021.010B.R.Binomial_names.zip</v>
      </c>
      <c r="U3687" s="29" t="str">
        <f>HYPERLINK("https://ictv.global/taxonomy/taxondetails?taxnode_id=202300941","ictv.global=202300941")</f>
        <v>ictv.global=202300941</v>
      </c>
    </row>
    <row r="3688" spans="1:21">
      <c r="A3688">
        <v>3687</v>
      </c>
      <c r="B3688" s="30" t="s">
        <v>1587</v>
      </c>
      <c r="D3688" s="30" t="s">
        <v>1588</v>
      </c>
      <c r="F3688" s="30" t="s">
        <v>1591</v>
      </c>
      <c r="H3688" s="30" t="s">
        <v>1592</v>
      </c>
      <c r="N3688" s="30" t="s">
        <v>688</v>
      </c>
      <c r="P3688" s="30" t="s">
        <v>7159</v>
      </c>
      <c r="Q3688" t="s">
        <v>619</v>
      </c>
      <c r="R3688" t="s">
        <v>917</v>
      </c>
      <c r="S3688">
        <v>37</v>
      </c>
      <c r="T3688" s="29" t="str">
        <f>HYPERLINK("https://ictv.global/ictv/proposals/2021.021B.R.Corndogvirus.zip","2021.021B.R.Corndogvirus.zip")</f>
        <v>2021.021B.R.Corndogvirus.zip</v>
      </c>
      <c r="U3688" s="29" t="str">
        <f>HYPERLINK("https://ictv.global/taxonomy/taxondetails?taxnode_id=202313055","ictv.global=202313055")</f>
        <v>ictv.global=202313055</v>
      </c>
    </row>
    <row r="3689" spans="1:21">
      <c r="A3689">
        <v>3688</v>
      </c>
      <c r="B3689" s="30" t="s">
        <v>1587</v>
      </c>
      <c r="D3689" s="30" t="s">
        <v>1588</v>
      </c>
      <c r="F3689" s="30" t="s">
        <v>1591</v>
      </c>
      <c r="H3689" s="30" t="s">
        <v>1592</v>
      </c>
      <c r="N3689" s="30" t="s">
        <v>2426</v>
      </c>
      <c r="P3689" s="30" t="s">
        <v>7160</v>
      </c>
      <c r="Q3689" t="s">
        <v>619</v>
      </c>
      <c r="R3689" t="s">
        <v>918</v>
      </c>
      <c r="S3689">
        <v>37</v>
      </c>
      <c r="T3689" s="29" t="str">
        <f t="shared" ref="T3689:T3695" si="164">HYPERLINK("https://ictv.global/ictv/proposals/2021.010B.R.Binomial_names.zip","2021.010B.R.Binomial_names.zip")</f>
        <v>2021.010B.R.Binomial_names.zip</v>
      </c>
      <c r="U3689" s="29" t="str">
        <f>HYPERLINK("https://ictv.global/taxonomy/taxondetails?taxnode_id=202309905","ictv.global=202309905")</f>
        <v>ictv.global=202309905</v>
      </c>
    </row>
    <row r="3690" spans="1:21">
      <c r="A3690">
        <v>3689</v>
      </c>
      <c r="B3690" s="30" t="s">
        <v>1587</v>
      </c>
      <c r="D3690" s="30" t="s">
        <v>1588</v>
      </c>
      <c r="F3690" s="30" t="s">
        <v>1591</v>
      </c>
      <c r="H3690" s="30" t="s">
        <v>1592</v>
      </c>
      <c r="N3690" s="30" t="s">
        <v>2426</v>
      </c>
      <c r="P3690" s="30" t="s">
        <v>7161</v>
      </c>
      <c r="Q3690" t="s">
        <v>619</v>
      </c>
      <c r="R3690" t="s">
        <v>918</v>
      </c>
      <c r="S3690">
        <v>37</v>
      </c>
      <c r="T3690" s="29" t="str">
        <f t="shared" si="164"/>
        <v>2021.010B.R.Binomial_names.zip</v>
      </c>
      <c r="U3690" s="29" t="str">
        <f>HYPERLINK("https://ictv.global/taxonomy/taxondetails?taxnode_id=202309908","ictv.global=202309908")</f>
        <v>ictv.global=202309908</v>
      </c>
    </row>
    <row r="3691" spans="1:21">
      <c r="A3691">
        <v>3690</v>
      </c>
      <c r="B3691" s="30" t="s">
        <v>1587</v>
      </c>
      <c r="D3691" s="30" t="s">
        <v>1588</v>
      </c>
      <c r="F3691" s="30" t="s">
        <v>1591</v>
      </c>
      <c r="H3691" s="30" t="s">
        <v>1592</v>
      </c>
      <c r="N3691" s="30" t="s">
        <v>2426</v>
      </c>
      <c r="P3691" s="30" t="s">
        <v>7162</v>
      </c>
      <c r="Q3691" t="s">
        <v>619</v>
      </c>
      <c r="R3691" t="s">
        <v>918</v>
      </c>
      <c r="S3691">
        <v>37</v>
      </c>
      <c r="T3691" s="29" t="str">
        <f t="shared" si="164"/>
        <v>2021.010B.R.Binomial_names.zip</v>
      </c>
      <c r="U3691" s="29" t="str">
        <f>HYPERLINK("https://ictv.global/taxonomy/taxondetails?taxnode_id=202309904","ictv.global=202309904")</f>
        <v>ictv.global=202309904</v>
      </c>
    </row>
    <row r="3692" spans="1:21">
      <c r="A3692">
        <v>3691</v>
      </c>
      <c r="B3692" s="30" t="s">
        <v>1587</v>
      </c>
      <c r="D3692" s="30" t="s">
        <v>1588</v>
      </c>
      <c r="F3692" s="30" t="s">
        <v>1591</v>
      </c>
      <c r="H3692" s="30" t="s">
        <v>1592</v>
      </c>
      <c r="N3692" s="30" t="s">
        <v>2426</v>
      </c>
      <c r="P3692" s="30" t="s">
        <v>7163</v>
      </c>
      <c r="Q3692" t="s">
        <v>619</v>
      </c>
      <c r="R3692" t="s">
        <v>918</v>
      </c>
      <c r="S3692">
        <v>37</v>
      </c>
      <c r="T3692" s="29" t="str">
        <f t="shared" si="164"/>
        <v>2021.010B.R.Binomial_names.zip</v>
      </c>
      <c r="U3692" s="29" t="str">
        <f>HYPERLINK("https://ictv.global/taxonomy/taxondetails?taxnode_id=202309909","ictv.global=202309909")</f>
        <v>ictv.global=202309909</v>
      </c>
    </row>
    <row r="3693" spans="1:21">
      <c r="A3693">
        <v>3692</v>
      </c>
      <c r="B3693" s="30" t="s">
        <v>1587</v>
      </c>
      <c r="D3693" s="30" t="s">
        <v>1588</v>
      </c>
      <c r="F3693" s="30" t="s">
        <v>1591</v>
      </c>
      <c r="H3693" s="30" t="s">
        <v>1592</v>
      </c>
      <c r="N3693" s="30" t="s">
        <v>2426</v>
      </c>
      <c r="P3693" s="30" t="s">
        <v>7164</v>
      </c>
      <c r="Q3693" t="s">
        <v>619</v>
      </c>
      <c r="R3693" t="s">
        <v>918</v>
      </c>
      <c r="S3693">
        <v>37</v>
      </c>
      <c r="T3693" s="29" t="str">
        <f t="shared" si="164"/>
        <v>2021.010B.R.Binomial_names.zip</v>
      </c>
      <c r="U3693" s="29" t="str">
        <f>HYPERLINK("https://ictv.global/taxonomy/taxondetails?taxnode_id=202309903","ictv.global=202309903")</f>
        <v>ictv.global=202309903</v>
      </c>
    </row>
    <row r="3694" spans="1:21">
      <c r="A3694">
        <v>3693</v>
      </c>
      <c r="B3694" s="30" t="s">
        <v>1587</v>
      </c>
      <c r="D3694" s="30" t="s">
        <v>1588</v>
      </c>
      <c r="F3694" s="30" t="s">
        <v>1591</v>
      </c>
      <c r="H3694" s="30" t="s">
        <v>1592</v>
      </c>
      <c r="N3694" s="30" t="s">
        <v>2426</v>
      </c>
      <c r="P3694" s="30" t="s">
        <v>7165</v>
      </c>
      <c r="Q3694" t="s">
        <v>619</v>
      </c>
      <c r="R3694" t="s">
        <v>918</v>
      </c>
      <c r="S3694">
        <v>37</v>
      </c>
      <c r="T3694" s="29" t="str">
        <f t="shared" si="164"/>
        <v>2021.010B.R.Binomial_names.zip</v>
      </c>
      <c r="U3694" s="29" t="str">
        <f>HYPERLINK("https://ictv.global/taxonomy/taxondetails?taxnode_id=202309907","ictv.global=202309907")</f>
        <v>ictv.global=202309907</v>
      </c>
    </row>
    <row r="3695" spans="1:21">
      <c r="A3695">
        <v>3694</v>
      </c>
      <c r="B3695" s="30" t="s">
        <v>1587</v>
      </c>
      <c r="D3695" s="30" t="s">
        <v>1588</v>
      </c>
      <c r="F3695" s="30" t="s">
        <v>1591</v>
      </c>
      <c r="H3695" s="30" t="s">
        <v>1592</v>
      </c>
      <c r="N3695" s="30" t="s">
        <v>2426</v>
      </c>
      <c r="P3695" s="30" t="s">
        <v>7166</v>
      </c>
      <c r="Q3695" t="s">
        <v>619</v>
      </c>
      <c r="R3695" t="s">
        <v>918</v>
      </c>
      <c r="S3695">
        <v>37</v>
      </c>
      <c r="T3695" s="29" t="str">
        <f t="shared" si="164"/>
        <v>2021.010B.R.Binomial_names.zip</v>
      </c>
      <c r="U3695" s="29" t="str">
        <f>HYPERLINK("https://ictv.global/taxonomy/taxondetails?taxnode_id=202309906","ictv.global=202309906")</f>
        <v>ictv.global=202309906</v>
      </c>
    </row>
    <row r="3696" spans="1:21">
      <c r="A3696">
        <v>3695</v>
      </c>
      <c r="B3696" s="30" t="s">
        <v>1587</v>
      </c>
      <c r="D3696" s="30" t="s">
        <v>1588</v>
      </c>
      <c r="F3696" s="30" t="s">
        <v>1591</v>
      </c>
      <c r="H3696" s="30" t="s">
        <v>1592</v>
      </c>
      <c r="N3696" s="30" t="s">
        <v>7167</v>
      </c>
      <c r="P3696" s="30" t="s">
        <v>7168</v>
      </c>
      <c r="Q3696" t="s">
        <v>619</v>
      </c>
      <c r="R3696" t="s">
        <v>917</v>
      </c>
      <c r="S3696">
        <v>38</v>
      </c>
      <c r="T3696" s="29" t="str">
        <f>HYPERLINK("https://ictv.global/ictv/proposals/2022.027B.Craquatrovirus_ng.zip","2022.027B.Craquatrovirus_ng.zip")</f>
        <v>2022.027B.Craquatrovirus_ng.zip</v>
      </c>
      <c r="U3696" s="29" t="str">
        <f>HYPERLINK("https://ictv.global/taxonomy/taxondetails?taxnode_id=202314566","ictv.global=202314566")</f>
        <v>ictv.global=202314566</v>
      </c>
    </row>
    <row r="3697" spans="1:21">
      <c r="A3697">
        <v>3696</v>
      </c>
      <c r="B3697" s="30" t="s">
        <v>1587</v>
      </c>
      <c r="D3697" s="30" t="s">
        <v>1588</v>
      </c>
      <c r="F3697" s="30" t="s">
        <v>1591</v>
      </c>
      <c r="H3697" s="30" t="s">
        <v>1592</v>
      </c>
      <c r="N3697" s="30" t="s">
        <v>7167</v>
      </c>
      <c r="P3697" s="30" t="s">
        <v>7169</v>
      </c>
      <c r="Q3697" t="s">
        <v>619</v>
      </c>
      <c r="R3697" t="s">
        <v>917</v>
      </c>
      <c r="S3697">
        <v>38</v>
      </c>
      <c r="T3697" s="29" t="str">
        <f>HYPERLINK("https://ictv.global/ictv/proposals/2022.027B.Craquatrovirus_ng.zip","2022.027B.Craquatrovirus_ng.zip")</f>
        <v>2022.027B.Craquatrovirus_ng.zip</v>
      </c>
      <c r="U3697" s="29" t="str">
        <f>HYPERLINK("https://ictv.global/taxonomy/taxondetails?taxnode_id=202314567","ictv.global=202314567")</f>
        <v>ictv.global=202314567</v>
      </c>
    </row>
    <row r="3698" spans="1:21">
      <c r="A3698">
        <v>3697</v>
      </c>
      <c r="B3698" s="30" t="s">
        <v>1587</v>
      </c>
      <c r="D3698" s="30" t="s">
        <v>1588</v>
      </c>
      <c r="F3698" s="30" t="s">
        <v>1591</v>
      </c>
      <c r="H3698" s="30" t="s">
        <v>1592</v>
      </c>
      <c r="N3698" s="30" t="s">
        <v>861</v>
      </c>
      <c r="P3698" s="30" t="s">
        <v>7170</v>
      </c>
      <c r="Q3698" t="s">
        <v>619</v>
      </c>
      <c r="R3698" t="s">
        <v>918</v>
      </c>
      <c r="S3698">
        <v>37</v>
      </c>
      <c r="T3698" s="29" t="str">
        <f>HYPERLINK("https://ictv.global/ictv/proposals/2021.010B.R.Binomial_names.zip","2021.010B.R.Binomial_names.zip")</f>
        <v>2021.010B.R.Binomial_names.zip</v>
      </c>
      <c r="U3698" s="29" t="str">
        <f>HYPERLINK("https://ictv.global/taxonomy/taxondetails?taxnode_id=202300943","ictv.global=202300943")</f>
        <v>ictv.global=202300943</v>
      </c>
    </row>
    <row r="3699" spans="1:21">
      <c r="A3699">
        <v>3698</v>
      </c>
      <c r="B3699" s="30" t="s">
        <v>1587</v>
      </c>
      <c r="D3699" s="30" t="s">
        <v>1588</v>
      </c>
      <c r="F3699" s="30" t="s">
        <v>1591</v>
      </c>
      <c r="H3699" s="30" t="s">
        <v>1592</v>
      </c>
      <c r="N3699" s="30" t="s">
        <v>2427</v>
      </c>
      <c r="P3699" s="30" t="s">
        <v>7171</v>
      </c>
      <c r="Q3699" t="s">
        <v>619</v>
      </c>
      <c r="R3699" t="s">
        <v>918</v>
      </c>
      <c r="S3699">
        <v>37</v>
      </c>
      <c r="T3699" s="29" t="str">
        <f>HYPERLINK("https://ictv.global/ictv/proposals/2021.010B.R.Binomial_names.zip","2021.010B.R.Binomial_names.zip")</f>
        <v>2021.010B.R.Binomial_names.zip</v>
      </c>
      <c r="U3699" s="29" t="str">
        <f>HYPERLINK("https://ictv.global/taxonomy/taxondetails?taxnode_id=202309911","ictv.global=202309911")</f>
        <v>ictv.global=202309911</v>
      </c>
    </row>
    <row r="3700" spans="1:21">
      <c r="A3700">
        <v>3699</v>
      </c>
      <c r="B3700" s="30" t="s">
        <v>1587</v>
      </c>
      <c r="D3700" s="30" t="s">
        <v>1588</v>
      </c>
      <c r="F3700" s="30" t="s">
        <v>1591</v>
      </c>
      <c r="H3700" s="30" t="s">
        <v>1592</v>
      </c>
      <c r="N3700" s="30" t="s">
        <v>1899</v>
      </c>
      <c r="P3700" s="30" t="s">
        <v>7172</v>
      </c>
      <c r="Q3700" t="s">
        <v>619</v>
      </c>
      <c r="R3700" t="s">
        <v>918</v>
      </c>
      <c r="S3700">
        <v>37</v>
      </c>
      <c r="T3700" s="29" t="str">
        <f>HYPERLINK("https://ictv.global/ictv/proposals/2021.010B.R.Binomial_names.zip","2021.010B.R.Binomial_names.zip")</f>
        <v>2021.010B.R.Binomial_names.zip</v>
      </c>
      <c r="U3700" s="29" t="str">
        <f>HYPERLINK("https://ictv.global/taxonomy/taxondetails?taxnode_id=202307191","ictv.global=202307191")</f>
        <v>ictv.global=202307191</v>
      </c>
    </row>
    <row r="3701" spans="1:21">
      <c r="A3701">
        <v>3700</v>
      </c>
      <c r="B3701" s="30" t="s">
        <v>1587</v>
      </c>
      <c r="D3701" s="30" t="s">
        <v>1588</v>
      </c>
      <c r="F3701" s="30" t="s">
        <v>1591</v>
      </c>
      <c r="H3701" s="30" t="s">
        <v>1592</v>
      </c>
      <c r="N3701" s="30" t="s">
        <v>862</v>
      </c>
      <c r="P3701" s="30" t="s">
        <v>7173</v>
      </c>
      <c r="Q3701" t="s">
        <v>619</v>
      </c>
      <c r="R3701" t="s">
        <v>918</v>
      </c>
      <c r="S3701">
        <v>37</v>
      </c>
      <c r="T3701" s="29" t="str">
        <f>HYPERLINK("https://ictv.global/ictv/proposals/2021.010B.R.Binomial_names.zip","2021.010B.R.Binomial_names.zip")</f>
        <v>2021.010B.R.Binomial_names.zip</v>
      </c>
      <c r="U3701" s="29" t="str">
        <f>HYPERLINK("https://ictv.global/taxonomy/taxondetails?taxnode_id=202300957","ictv.global=202300957")</f>
        <v>ictv.global=202300957</v>
      </c>
    </row>
    <row r="3702" spans="1:21">
      <c r="A3702">
        <v>3701</v>
      </c>
      <c r="B3702" s="30" t="s">
        <v>1587</v>
      </c>
      <c r="D3702" s="30" t="s">
        <v>1588</v>
      </c>
      <c r="F3702" s="30" t="s">
        <v>1591</v>
      </c>
      <c r="H3702" s="30" t="s">
        <v>1592</v>
      </c>
      <c r="N3702" s="30" t="s">
        <v>1480</v>
      </c>
      <c r="P3702" s="30" t="s">
        <v>7174</v>
      </c>
      <c r="Q3702" t="s">
        <v>619</v>
      </c>
      <c r="R3702" t="s">
        <v>918</v>
      </c>
      <c r="S3702">
        <v>37</v>
      </c>
      <c r="T3702" s="29" t="str">
        <f>HYPERLINK("https://ictv.global/ictv/proposals/2021.010B.R.Binomial_names.zip","2021.010B.R.Binomial_names.zip")</f>
        <v>2021.010B.R.Binomial_names.zip</v>
      </c>
      <c r="U3702" s="29" t="str">
        <f>HYPERLINK("https://ictv.global/taxonomy/taxondetails?taxnode_id=202306932","ictv.global=202306932")</f>
        <v>ictv.global=202306932</v>
      </c>
    </row>
    <row r="3703" spans="1:21">
      <c r="A3703">
        <v>3702</v>
      </c>
      <c r="B3703" s="30" t="s">
        <v>1587</v>
      </c>
      <c r="D3703" s="30" t="s">
        <v>1588</v>
      </c>
      <c r="F3703" s="30" t="s">
        <v>1591</v>
      </c>
      <c r="H3703" s="30" t="s">
        <v>1592</v>
      </c>
      <c r="N3703" s="30" t="s">
        <v>12552</v>
      </c>
      <c r="P3703" s="30" t="s">
        <v>12553</v>
      </c>
      <c r="Q3703" t="s">
        <v>619</v>
      </c>
      <c r="R3703" t="s">
        <v>917</v>
      </c>
      <c r="S3703">
        <v>39</v>
      </c>
      <c r="T3703" s="29" t="str">
        <f>HYPERLINK("https://ictv.global/ictv/proposals/2023.049B.Caudoviricetes_Enterococcus_6ng.zip","2023.049B.Caudoviricetes_Enterococcus_6ng.zip")</f>
        <v>2023.049B.Caudoviricetes_Enterococcus_6ng.zip</v>
      </c>
      <c r="U3703" s="29" t="str">
        <f>HYPERLINK("https://ictv.global/taxonomy/taxondetails?taxnode_id=202319220","ictv.global=202319220")</f>
        <v>ictv.global=202319220</v>
      </c>
    </row>
    <row r="3704" spans="1:21">
      <c r="A3704">
        <v>3703</v>
      </c>
      <c r="B3704" s="30" t="s">
        <v>1587</v>
      </c>
      <c r="D3704" s="30" t="s">
        <v>1588</v>
      </c>
      <c r="F3704" s="30" t="s">
        <v>1591</v>
      </c>
      <c r="H3704" s="30" t="s">
        <v>1592</v>
      </c>
      <c r="N3704" s="30" t="s">
        <v>12552</v>
      </c>
      <c r="P3704" s="30" t="s">
        <v>12554</v>
      </c>
      <c r="Q3704" t="s">
        <v>619</v>
      </c>
      <c r="R3704" t="s">
        <v>917</v>
      </c>
      <c r="S3704">
        <v>39</v>
      </c>
      <c r="T3704" s="29" t="str">
        <f>HYPERLINK("https://ictv.global/ictv/proposals/2023.049B.Caudoviricetes_Enterococcus_6ng.zip","2023.049B.Caudoviricetes_Enterococcus_6ng.zip")</f>
        <v>2023.049B.Caudoviricetes_Enterococcus_6ng.zip</v>
      </c>
      <c r="U3704" s="29" t="str">
        <f>HYPERLINK("https://ictv.global/taxonomy/taxondetails?taxnode_id=202319221","ictv.global=202319221")</f>
        <v>ictv.global=202319221</v>
      </c>
    </row>
    <row r="3705" spans="1:21">
      <c r="A3705">
        <v>3704</v>
      </c>
      <c r="B3705" s="30" t="s">
        <v>1587</v>
      </c>
      <c r="D3705" s="30" t="s">
        <v>1588</v>
      </c>
      <c r="F3705" s="30" t="s">
        <v>1591</v>
      </c>
      <c r="H3705" s="30" t="s">
        <v>1592</v>
      </c>
      <c r="N3705" s="30" t="s">
        <v>2309</v>
      </c>
      <c r="P3705" s="30" t="s">
        <v>7175</v>
      </c>
      <c r="Q3705" t="s">
        <v>619</v>
      </c>
      <c r="R3705" t="s">
        <v>918</v>
      </c>
      <c r="S3705">
        <v>37</v>
      </c>
      <c r="T3705" s="29" t="str">
        <f>HYPERLINK("https://ictv.global/ictv/proposals/2021.010B.R.Binomial_names.zip","2021.010B.R.Binomial_names.zip")</f>
        <v>2021.010B.R.Binomial_names.zip</v>
      </c>
      <c r="U3705" s="29" t="str">
        <f>HYPERLINK("https://ictv.global/taxonomy/taxondetails?taxnode_id=202300604","ictv.global=202300604")</f>
        <v>ictv.global=202300604</v>
      </c>
    </row>
    <row r="3706" spans="1:21">
      <c r="A3706">
        <v>3705</v>
      </c>
      <c r="B3706" s="30" t="s">
        <v>1587</v>
      </c>
      <c r="D3706" s="30" t="s">
        <v>1588</v>
      </c>
      <c r="F3706" s="30" t="s">
        <v>1591</v>
      </c>
      <c r="H3706" s="30" t="s">
        <v>1592</v>
      </c>
      <c r="N3706" s="30" t="s">
        <v>863</v>
      </c>
      <c r="P3706" s="30" t="s">
        <v>7176</v>
      </c>
      <c r="Q3706" t="s">
        <v>619</v>
      </c>
      <c r="R3706" t="s">
        <v>918</v>
      </c>
      <c r="S3706">
        <v>37</v>
      </c>
      <c r="T3706" s="29" t="str">
        <f>HYPERLINK("https://ictv.global/ictv/proposals/2021.010B.R.Binomial_names.zip","2021.010B.R.Binomial_names.zip")</f>
        <v>2021.010B.R.Binomial_names.zip</v>
      </c>
      <c r="U3706" s="29" t="str">
        <f>HYPERLINK("https://ictv.global/taxonomy/taxondetails?taxnode_id=202300959","ictv.global=202300959")</f>
        <v>ictv.global=202300959</v>
      </c>
    </row>
    <row r="3707" spans="1:21">
      <c r="A3707">
        <v>3706</v>
      </c>
      <c r="B3707" s="30" t="s">
        <v>1587</v>
      </c>
      <c r="D3707" s="30" t="s">
        <v>1588</v>
      </c>
      <c r="F3707" s="30" t="s">
        <v>1591</v>
      </c>
      <c r="H3707" s="30" t="s">
        <v>1592</v>
      </c>
      <c r="N3707" s="30" t="s">
        <v>863</v>
      </c>
      <c r="P3707" s="30" t="s">
        <v>7177</v>
      </c>
      <c r="Q3707" t="s">
        <v>619</v>
      </c>
      <c r="R3707" t="s">
        <v>918</v>
      </c>
      <c r="S3707">
        <v>37</v>
      </c>
      <c r="T3707" s="29" t="str">
        <f>HYPERLINK("https://ictv.global/ictv/proposals/2021.010B.R.Binomial_names.zip","2021.010B.R.Binomial_names.zip")</f>
        <v>2021.010B.R.Binomial_names.zip</v>
      </c>
      <c r="U3707" s="29" t="str">
        <f>HYPERLINK("https://ictv.global/taxonomy/taxondetails?taxnode_id=202300960","ictv.global=202300960")</f>
        <v>ictv.global=202300960</v>
      </c>
    </row>
    <row r="3708" spans="1:21">
      <c r="A3708">
        <v>3707</v>
      </c>
      <c r="B3708" s="30" t="s">
        <v>1587</v>
      </c>
      <c r="D3708" s="30" t="s">
        <v>1588</v>
      </c>
      <c r="F3708" s="30" t="s">
        <v>1591</v>
      </c>
      <c r="H3708" s="30" t="s">
        <v>1592</v>
      </c>
      <c r="N3708" s="30" t="s">
        <v>7178</v>
      </c>
      <c r="P3708" s="30" t="s">
        <v>7179</v>
      </c>
      <c r="Q3708" t="s">
        <v>619</v>
      </c>
      <c r="R3708" t="s">
        <v>917</v>
      </c>
      <c r="S3708">
        <v>38</v>
      </c>
      <c r="T3708" s="29" t="str">
        <f>HYPERLINK("https://ictv.global/ictv/proposals/2022.084B.Caudoviricetes_6ng_33nsp.zip","2022.084B.Caudoviricetes_6ng_33nsp.zip")</f>
        <v>2022.084B.Caudoviricetes_6ng_33nsp.zip</v>
      </c>
      <c r="U3708" s="29" t="str">
        <f>HYPERLINK("https://ictv.global/taxonomy/taxondetails?taxnode_id=202314921","ictv.global=202314921")</f>
        <v>ictv.global=202314921</v>
      </c>
    </row>
    <row r="3709" spans="1:21">
      <c r="A3709">
        <v>3708</v>
      </c>
      <c r="B3709" s="30" t="s">
        <v>1587</v>
      </c>
      <c r="D3709" s="30" t="s">
        <v>1588</v>
      </c>
      <c r="F3709" s="30" t="s">
        <v>1591</v>
      </c>
      <c r="H3709" s="30" t="s">
        <v>1592</v>
      </c>
      <c r="N3709" s="30" t="s">
        <v>7181</v>
      </c>
      <c r="P3709" s="30" t="s">
        <v>7182</v>
      </c>
      <c r="Q3709" t="s">
        <v>619</v>
      </c>
      <c r="R3709" t="s">
        <v>917</v>
      </c>
      <c r="S3709">
        <v>37</v>
      </c>
      <c r="T3709" s="29" t="str">
        <f>HYPERLINK("https://ictv.global/ictv/proposals/2021.078B.R.Siphoviridae_new_genera.zip","2021.078B.R.Siphoviridae_new_genera.zip")</f>
        <v>2021.078B.R.Siphoviridae_new_genera.zip</v>
      </c>
      <c r="U3709" s="29" t="str">
        <f>HYPERLINK("https://ictv.global/taxonomy/taxondetails?taxnode_id=202313640","ictv.global=202313640")</f>
        <v>ictv.global=202313640</v>
      </c>
    </row>
    <row r="3710" spans="1:21">
      <c r="A3710">
        <v>3709</v>
      </c>
      <c r="B3710" s="30" t="s">
        <v>1587</v>
      </c>
      <c r="D3710" s="30" t="s">
        <v>1588</v>
      </c>
      <c r="F3710" s="30" t="s">
        <v>1591</v>
      </c>
      <c r="H3710" s="30" t="s">
        <v>1592</v>
      </c>
      <c r="N3710" s="30" t="s">
        <v>7181</v>
      </c>
      <c r="P3710" s="30" t="s">
        <v>7183</v>
      </c>
      <c r="Q3710" t="s">
        <v>619</v>
      </c>
      <c r="R3710" t="s">
        <v>917</v>
      </c>
      <c r="S3710">
        <v>37</v>
      </c>
      <c r="T3710" s="29" t="str">
        <f>HYPERLINK("https://ictv.global/ictv/proposals/2021.078B.R.Siphoviridae_new_genera.zip","2021.078B.R.Siphoviridae_new_genera.zip")</f>
        <v>2021.078B.R.Siphoviridae_new_genera.zip</v>
      </c>
      <c r="U3710" s="29" t="str">
        <f>HYPERLINK("https://ictv.global/taxonomy/taxondetails?taxnode_id=202313639","ictv.global=202313639")</f>
        <v>ictv.global=202313639</v>
      </c>
    </row>
    <row r="3711" spans="1:21">
      <c r="A3711">
        <v>3710</v>
      </c>
      <c r="B3711" s="30" t="s">
        <v>1587</v>
      </c>
      <c r="D3711" s="30" t="s">
        <v>1588</v>
      </c>
      <c r="F3711" s="30" t="s">
        <v>1591</v>
      </c>
      <c r="H3711" s="30" t="s">
        <v>1592</v>
      </c>
      <c r="N3711" s="30" t="s">
        <v>1481</v>
      </c>
      <c r="P3711" s="30" t="s">
        <v>7184</v>
      </c>
      <c r="Q3711" t="s">
        <v>619</v>
      </c>
      <c r="R3711" t="s">
        <v>918</v>
      </c>
      <c r="S3711">
        <v>37</v>
      </c>
      <c r="T3711" s="29" t="str">
        <f>HYPERLINK("https://ictv.global/ictv/proposals/2021.010B.R.Binomial_names.zip","2021.010B.R.Binomial_names.zip")</f>
        <v>2021.010B.R.Binomial_names.zip</v>
      </c>
      <c r="U3711" s="29" t="str">
        <f>HYPERLINK("https://ictv.global/taxonomy/taxondetails?taxnode_id=202300954","ictv.global=202300954")</f>
        <v>ictv.global=202300954</v>
      </c>
    </row>
    <row r="3712" spans="1:21">
      <c r="A3712">
        <v>3711</v>
      </c>
      <c r="B3712" s="30" t="s">
        <v>1587</v>
      </c>
      <c r="D3712" s="30" t="s">
        <v>1588</v>
      </c>
      <c r="F3712" s="30" t="s">
        <v>1591</v>
      </c>
      <c r="H3712" s="30" t="s">
        <v>1592</v>
      </c>
      <c r="N3712" s="30" t="s">
        <v>1481</v>
      </c>
      <c r="P3712" s="30" t="s">
        <v>7185</v>
      </c>
      <c r="Q3712" t="s">
        <v>619</v>
      </c>
      <c r="R3712" t="s">
        <v>918</v>
      </c>
      <c r="S3712">
        <v>37</v>
      </c>
      <c r="T3712" s="29" t="str">
        <f>HYPERLINK("https://ictv.global/ictv/proposals/2021.010B.R.Binomial_names.zip","2021.010B.R.Binomial_names.zip")</f>
        <v>2021.010B.R.Binomial_names.zip</v>
      </c>
      <c r="U3712" s="29" t="str">
        <f>HYPERLINK("https://ictv.global/taxonomy/taxondetails?taxnode_id=202300955","ictv.global=202300955")</f>
        <v>ictv.global=202300955</v>
      </c>
    </row>
    <row r="3713" spans="1:21">
      <c r="A3713">
        <v>3712</v>
      </c>
      <c r="B3713" s="30" t="s">
        <v>1587</v>
      </c>
      <c r="D3713" s="30" t="s">
        <v>1588</v>
      </c>
      <c r="F3713" s="30" t="s">
        <v>1591</v>
      </c>
      <c r="H3713" s="30" t="s">
        <v>1592</v>
      </c>
      <c r="N3713" s="30" t="s">
        <v>2428</v>
      </c>
      <c r="P3713" s="30" t="s">
        <v>7186</v>
      </c>
      <c r="Q3713" t="s">
        <v>619</v>
      </c>
      <c r="R3713" t="s">
        <v>918</v>
      </c>
      <c r="S3713">
        <v>37</v>
      </c>
      <c r="T3713" s="29" t="str">
        <f>HYPERLINK("https://ictv.global/ictv/proposals/2021.010B.R.Binomial_names.zip","2021.010B.R.Binomial_names.zip")</f>
        <v>2021.010B.R.Binomial_names.zip</v>
      </c>
      <c r="U3713" s="29" t="str">
        <f>HYPERLINK("https://ictv.global/taxonomy/taxondetails?taxnode_id=202309965","ictv.global=202309965")</f>
        <v>ictv.global=202309965</v>
      </c>
    </row>
    <row r="3714" spans="1:21">
      <c r="A3714">
        <v>3713</v>
      </c>
      <c r="B3714" s="30" t="s">
        <v>1587</v>
      </c>
      <c r="D3714" s="30" t="s">
        <v>1588</v>
      </c>
      <c r="F3714" s="30" t="s">
        <v>1591</v>
      </c>
      <c r="H3714" s="30" t="s">
        <v>1592</v>
      </c>
      <c r="N3714" s="30" t="s">
        <v>7187</v>
      </c>
      <c r="P3714" s="30" t="s">
        <v>7188</v>
      </c>
      <c r="Q3714" t="s">
        <v>619</v>
      </c>
      <c r="R3714" t="s">
        <v>917</v>
      </c>
      <c r="S3714">
        <v>37</v>
      </c>
      <c r="T3714" s="29" t="str">
        <f>HYPERLINK("https://ictv.global/ictv/proposals/2021.024B.R.Dexdertvirus.zip","2021.024B.R.Dexdertvirus.zip")</f>
        <v>2021.024B.R.Dexdertvirus.zip</v>
      </c>
      <c r="U3714" s="29" t="str">
        <f>HYPERLINK("https://ictv.global/taxonomy/taxondetails?taxnode_id=202313518","ictv.global=202313518")</f>
        <v>ictv.global=202313518</v>
      </c>
    </row>
    <row r="3715" spans="1:21">
      <c r="A3715">
        <v>3714</v>
      </c>
      <c r="B3715" s="30" t="s">
        <v>1587</v>
      </c>
      <c r="D3715" s="30" t="s">
        <v>1588</v>
      </c>
      <c r="F3715" s="30" t="s">
        <v>1591</v>
      </c>
      <c r="H3715" s="30" t="s">
        <v>1592</v>
      </c>
      <c r="N3715" s="30" t="s">
        <v>7187</v>
      </c>
      <c r="P3715" s="30" t="s">
        <v>7189</v>
      </c>
      <c r="Q3715" t="s">
        <v>619</v>
      </c>
      <c r="R3715" t="s">
        <v>917</v>
      </c>
      <c r="S3715">
        <v>37</v>
      </c>
      <c r="T3715" s="29" t="str">
        <f>HYPERLINK("https://ictv.global/ictv/proposals/2021.024B.R.Dexdertvirus.zip","2021.024B.R.Dexdertvirus.zip")</f>
        <v>2021.024B.R.Dexdertvirus.zip</v>
      </c>
      <c r="U3715" s="29" t="str">
        <f>HYPERLINK("https://ictv.global/taxonomy/taxondetails?taxnode_id=202313519","ictv.global=202313519")</f>
        <v>ictv.global=202313519</v>
      </c>
    </row>
    <row r="3716" spans="1:21">
      <c r="A3716">
        <v>3715</v>
      </c>
      <c r="B3716" s="30" t="s">
        <v>1587</v>
      </c>
      <c r="D3716" s="30" t="s">
        <v>1588</v>
      </c>
      <c r="F3716" s="30" t="s">
        <v>1591</v>
      </c>
      <c r="H3716" s="30" t="s">
        <v>1592</v>
      </c>
      <c r="N3716" s="30" t="s">
        <v>7187</v>
      </c>
      <c r="P3716" s="30" t="s">
        <v>7190</v>
      </c>
      <c r="Q3716" t="s">
        <v>619</v>
      </c>
      <c r="R3716" t="s">
        <v>917</v>
      </c>
      <c r="S3716">
        <v>37</v>
      </c>
      <c r="T3716" s="29" t="str">
        <f>HYPERLINK("https://ictv.global/ictv/proposals/2021.024B.R.Dexdertvirus.zip","2021.024B.R.Dexdertvirus.zip")</f>
        <v>2021.024B.R.Dexdertvirus.zip</v>
      </c>
      <c r="U3716" s="29" t="str">
        <f>HYPERLINK("https://ictv.global/taxonomy/taxondetails?taxnode_id=202313520","ictv.global=202313520")</f>
        <v>ictv.global=202313520</v>
      </c>
    </row>
    <row r="3717" spans="1:21">
      <c r="A3717">
        <v>3716</v>
      </c>
      <c r="B3717" s="30" t="s">
        <v>1587</v>
      </c>
      <c r="D3717" s="30" t="s">
        <v>1588</v>
      </c>
      <c r="F3717" s="30" t="s">
        <v>1591</v>
      </c>
      <c r="H3717" s="30" t="s">
        <v>1592</v>
      </c>
      <c r="N3717" s="30" t="s">
        <v>1482</v>
      </c>
      <c r="P3717" s="30" t="s">
        <v>12555</v>
      </c>
      <c r="Q3717" t="s">
        <v>619</v>
      </c>
      <c r="R3717" t="s">
        <v>917</v>
      </c>
      <c r="S3717">
        <v>39</v>
      </c>
      <c r="T3717" s="29" t="str">
        <f t="shared" ref="T3717:T3725" si="165">HYPERLINK("https://ictv.global/ictv/proposals/2023.020B.Dhillonvirus_42ns.zip","2023.020B.Dhillonvirus_42ns.zip")</f>
        <v>2023.020B.Dhillonvirus_42ns.zip</v>
      </c>
      <c r="U3717" s="29" t="str">
        <f>HYPERLINK("https://ictv.global/taxonomy/taxondetails?taxnode_id=202318435","ictv.global=202318435")</f>
        <v>ictv.global=202318435</v>
      </c>
    </row>
    <row r="3718" spans="1:21">
      <c r="A3718">
        <v>3717</v>
      </c>
      <c r="B3718" s="30" t="s">
        <v>1587</v>
      </c>
      <c r="D3718" s="30" t="s">
        <v>1588</v>
      </c>
      <c r="F3718" s="30" t="s">
        <v>1591</v>
      </c>
      <c r="H3718" s="30" t="s">
        <v>1592</v>
      </c>
      <c r="N3718" s="30" t="s">
        <v>1482</v>
      </c>
      <c r="P3718" s="30" t="s">
        <v>12556</v>
      </c>
      <c r="Q3718" t="s">
        <v>619</v>
      </c>
      <c r="R3718" t="s">
        <v>917</v>
      </c>
      <c r="S3718">
        <v>39</v>
      </c>
      <c r="T3718" s="29" t="str">
        <f t="shared" si="165"/>
        <v>2023.020B.Dhillonvirus_42ns.zip</v>
      </c>
      <c r="U3718" s="29" t="str">
        <f>HYPERLINK("https://ictv.global/taxonomy/taxondetails?taxnode_id=202318449","ictv.global=202318449")</f>
        <v>ictv.global=202318449</v>
      </c>
    </row>
    <row r="3719" spans="1:21">
      <c r="A3719">
        <v>3718</v>
      </c>
      <c r="B3719" s="30" t="s">
        <v>1587</v>
      </c>
      <c r="D3719" s="30" t="s">
        <v>1588</v>
      </c>
      <c r="F3719" s="30" t="s">
        <v>1591</v>
      </c>
      <c r="H3719" s="30" t="s">
        <v>1592</v>
      </c>
      <c r="N3719" s="30" t="s">
        <v>1482</v>
      </c>
      <c r="P3719" s="30" t="s">
        <v>12557</v>
      </c>
      <c r="Q3719" t="s">
        <v>619</v>
      </c>
      <c r="R3719" t="s">
        <v>917</v>
      </c>
      <c r="S3719">
        <v>39</v>
      </c>
      <c r="T3719" s="29" t="str">
        <f t="shared" si="165"/>
        <v>2023.020B.Dhillonvirus_42ns.zip</v>
      </c>
      <c r="U3719" s="29" t="str">
        <f>HYPERLINK("https://ictv.global/taxonomy/taxondetails?taxnode_id=202318438","ictv.global=202318438")</f>
        <v>ictv.global=202318438</v>
      </c>
    </row>
    <row r="3720" spans="1:21">
      <c r="A3720">
        <v>3719</v>
      </c>
      <c r="B3720" s="30" t="s">
        <v>1587</v>
      </c>
      <c r="D3720" s="30" t="s">
        <v>1588</v>
      </c>
      <c r="F3720" s="30" t="s">
        <v>1591</v>
      </c>
      <c r="H3720" s="30" t="s">
        <v>1592</v>
      </c>
      <c r="N3720" s="30" t="s">
        <v>1482</v>
      </c>
      <c r="P3720" s="30" t="s">
        <v>12558</v>
      </c>
      <c r="Q3720" t="s">
        <v>619</v>
      </c>
      <c r="R3720" t="s">
        <v>917</v>
      </c>
      <c r="S3720">
        <v>39</v>
      </c>
      <c r="T3720" s="29" t="str">
        <f t="shared" si="165"/>
        <v>2023.020B.Dhillonvirus_42ns.zip</v>
      </c>
      <c r="U3720" s="29" t="str">
        <f>HYPERLINK("https://ictv.global/taxonomy/taxondetails?taxnode_id=202318450","ictv.global=202318450")</f>
        <v>ictv.global=202318450</v>
      </c>
    </row>
    <row r="3721" spans="1:21">
      <c r="A3721">
        <v>3720</v>
      </c>
      <c r="B3721" s="30" t="s">
        <v>1587</v>
      </c>
      <c r="D3721" s="30" t="s">
        <v>1588</v>
      </c>
      <c r="F3721" s="30" t="s">
        <v>1591</v>
      </c>
      <c r="H3721" s="30" t="s">
        <v>1592</v>
      </c>
      <c r="N3721" s="30" t="s">
        <v>1482</v>
      </c>
      <c r="P3721" s="30" t="s">
        <v>12559</v>
      </c>
      <c r="Q3721" t="s">
        <v>619</v>
      </c>
      <c r="R3721" t="s">
        <v>917</v>
      </c>
      <c r="S3721">
        <v>39</v>
      </c>
      <c r="T3721" s="29" t="str">
        <f t="shared" si="165"/>
        <v>2023.020B.Dhillonvirus_42ns.zip</v>
      </c>
      <c r="U3721" s="29" t="str">
        <f>HYPERLINK("https://ictv.global/taxonomy/taxondetails?taxnode_id=202318436","ictv.global=202318436")</f>
        <v>ictv.global=202318436</v>
      </c>
    </row>
    <row r="3722" spans="1:21">
      <c r="A3722">
        <v>3721</v>
      </c>
      <c r="B3722" s="30" t="s">
        <v>1587</v>
      </c>
      <c r="D3722" s="30" t="s">
        <v>1588</v>
      </c>
      <c r="F3722" s="30" t="s">
        <v>1591</v>
      </c>
      <c r="H3722" s="30" t="s">
        <v>1592</v>
      </c>
      <c r="N3722" s="30" t="s">
        <v>1482</v>
      </c>
      <c r="P3722" s="30" t="s">
        <v>12560</v>
      </c>
      <c r="Q3722" t="s">
        <v>619</v>
      </c>
      <c r="R3722" t="s">
        <v>917</v>
      </c>
      <c r="S3722">
        <v>39</v>
      </c>
      <c r="T3722" s="29" t="str">
        <f t="shared" si="165"/>
        <v>2023.020B.Dhillonvirus_42ns.zip</v>
      </c>
      <c r="U3722" s="29" t="str">
        <f>HYPERLINK("https://ictv.global/taxonomy/taxondetails?taxnode_id=202318425","ictv.global=202318425")</f>
        <v>ictv.global=202318425</v>
      </c>
    </row>
    <row r="3723" spans="1:21">
      <c r="A3723">
        <v>3722</v>
      </c>
      <c r="B3723" s="30" t="s">
        <v>1587</v>
      </c>
      <c r="D3723" s="30" t="s">
        <v>1588</v>
      </c>
      <c r="F3723" s="30" t="s">
        <v>1591</v>
      </c>
      <c r="H3723" s="30" t="s">
        <v>1592</v>
      </c>
      <c r="N3723" s="30" t="s">
        <v>1482</v>
      </c>
      <c r="P3723" s="30" t="s">
        <v>12561</v>
      </c>
      <c r="Q3723" t="s">
        <v>619</v>
      </c>
      <c r="R3723" t="s">
        <v>917</v>
      </c>
      <c r="S3723">
        <v>39</v>
      </c>
      <c r="T3723" s="29" t="str">
        <f t="shared" si="165"/>
        <v>2023.020B.Dhillonvirus_42ns.zip</v>
      </c>
      <c r="U3723" s="29" t="str">
        <f>HYPERLINK("https://ictv.global/taxonomy/taxondetails?taxnode_id=202318427","ictv.global=202318427")</f>
        <v>ictv.global=202318427</v>
      </c>
    </row>
    <row r="3724" spans="1:21">
      <c r="A3724">
        <v>3723</v>
      </c>
      <c r="B3724" s="30" t="s">
        <v>1587</v>
      </c>
      <c r="D3724" s="30" t="s">
        <v>1588</v>
      </c>
      <c r="F3724" s="30" t="s">
        <v>1591</v>
      </c>
      <c r="H3724" s="30" t="s">
        <v>1592</v>
      </c>
      <c r="N3724" s="30" t="s">
        <v>1482</v>
      </c>
      <c r="P3724" s="30" t="s">
        <v>12562</v>
      </c>
      <c r="Q3724" t="s">
        <v>619</v>
      </c>
      <c r="R3724" t="s">
        <v>917</v>
      </c>
      <c r="S3724">
        <v>39</v>
      </c>
      <c r="T3724" s="29" t="str">
        <f t="shared" si="165"/>
        <v>2023.020B.Dhillonvirus_42ns.zip</v>
      </c>
      <c r="U3724" s="29" t="str">
        <f>HYPERLINK("https://ictv.global/taxonomy/taxondetails?taxnode_id=202318451","ictv.global=202318451")</f>
        <v>ictv.global=202318451</v>
      </c>
    </row>
    <row r="3725" spans="1:21">
      <c r="A3725">
        <v>3724</v>
      </c>
      <c r="B3725" s="30" t="s">
        <v>1587</v>
      </c>
      <c r="D3725" s="30" t="s">
        <v>1588</v>
      </c>
      <c r="F3725" s="30" t="s">
        <v>1591</v>
      </c>
      <c r="H3725" s="30" t="s">
        <v>1592</v>
      </c>
      <c r="N3725" s="30" t="s">
        <v>1482</v>
      </c>
      <c r="P3725" s="30" t="s">
        <v>12563</v>
      </c>
      <c r="Q3725" t="s">
        <v>619</v>
      </c>
      <c r="R3725" t="s">
        <v>917</v>
      </c>
      <c r="S3725">
        <v>39</v>
      </c>
      <c r="T3725" s="29" t="str">
        <f t="shared" si="165"/>
        <v>2023.020B.Dhillonvirus_42ns.zip</v>
      </c>
      <c r="U3725" s="29" t="str">
        <f>HYPERLINK("https://ictv.global/taxonomy/taxondetails?taxnode_id=202318446","ictv.global=202318446")</f>
        <v>ictv.global=202318446</v>
      </c>
    </row>
    <row r="3726" spans="1:21">
      <c r="A3726">
        <v>3725</v>
      </c>
      <c r="B3726" s="30" t="s">
        <v>1587</v>
      </c>
      <c r="D3726" s="30" t="s">
        <v>1588</v>
      </c>
      <c r="F3726" s="30" t="s">
        <v>1591</v>
      </c>
      <c r="H3726" s="30" t="s">
        <v>1592</v>
      </c>
      <c r="N3726" s="30" t="s">
        <v>1482</v>
      </c>
      <c r="P3726" s="30" t="s">
        <v>7191</v>
      </c>
      <c r="Q3726" t="s">
        <v>619</v>
      </c>
      <c r="R3726" t="s">
        <v>918</v>
      </c>
      <c r="S3726">
        <v>37</v>
      </c>
      <c r="T3726" s="29" t="str">
        <f>HYPERLINK("https://ictv.global/ictv/proposals/2021.010B.R.Binomial_names.zip","2021.010B.R.Binomial_names.zip")</f>
        <v>2021.010B.R.Binomial_names.zip</v>
      </c>
      <c r="U3726" s="29" t="str">
        <f>HYPERLINK("https://ictv.global/taxonomy/taxondetails?taxnode_id=202300983","ictv.global=202300983")</f>
        <v>ictv.global=202300983</v>
      </c>
    </row>
    <row r="3727" spans="1:21">
      <c r="A3727">
        <v>3726</v>
      </c>
      <c r="B3727" s="30" t="s">
        <v>1587</v>
      </c>
      <c r="D3727" s="30" t="s">
        <v>1588</v>
      </c>
      <c r="F3727" s="30" t="s">
        <v>1591</v>
      </c>
      <c r="H3727" s="30" t="s">
        <v>1592</v>
      </c>
      <c r="N3727" s="30" t="s">
        <v>1482</v>
      </c>
      <c r="P3727" s="30" t="s">
        <v>12564</v>
      </c>
      <c r="Q3727" t="s">
        <v>619</v>
      </c>
      <c r="R3727" t="s">
        <v>917</v>
      </c>
      <c r="S3727">
        <v>39</v>
      </c>
      <c r="T3727" s="29" t="str">
        <f>HYPERLINK("https://ictv.global/ictv/proposals/2023.020B.Dhillonvirus_42ns.zip","2023.020B.Dhillonvirus_42ns.zip")</f>
        <v>2023.020B.Dhillonvirus_42ns.zip</v>
      </c>
      <c r="U3727" s="29" t="str">
        <f>HYPERLINK("https://ictv.global/taxonomy/taxondetails?taxnode_id=202318419","ictv.global=202318419")</f>
        <v>ictv.global=202318419</v>
      </c>
    </row>
    <row r="3728" spans="1:21">
      <c r="A3728">
        <v>3727</v>
      </c>
      <c r="B3728" s="30" t="s">
        <v>1587</v>
      </c>
      <c r="D3728" s="30" t="s">
        <v>1588</v>
      </c>
      <c r="F3728" s="30" t="s">
        <v>1591</v>
      </c>
      <c r="H3728" s="30" t="s">
        <v>1592</v>
      </c>
      <c r="N3728" s="30" t="s">
        <v>1482</v>
      </c>
      <c r="P3728" s="30" t="s">
        <v>7192</v>
      </c>
      <c r="Q3728" t="s">
        <v>619</v>
      </c>
      <c r="R3728" t="s">
        <v>918</v>
      </c>
      <c r="S3728">
        <v>37</v>
      </c>
      <c r="T3728" s="29" t="str">
        <f>HYPERLINK("https://ictv.global/ictv/proposals/2021.010B.R.Binomial_names.zip","2021.010B.R.Binomial_names.zip")</f>
        <v>2021.010B.R.Binomial_names.zip</v>
      </c>
      <c r="U3728" s="29" t="str">
        <f>HYPERLINK("https://ictv.global/taxonomy/taxondetails?taxnode_id=202300988","ictv.global=202300988")</f>
        <v>ictv.global=202300988</v>
      </c>
    </row>
    <row r="3729" spans="1:21">
      <c r="A3729">
        <v>3728</v>
      </c>
      <c r="B3729" s="30" t="s">
        <v>1587</v>
      </c>
      <c r="D3729" s="30" t="s">
        <v>1588</v>
      </c>
      <c r="F3729" s="30" t="s">
        <v>1591</v>
      </c>
      <c r="H3729" s="30" t="s">
        <v>1592</v>
      </c>
      <c r="N3729" s="30" t="s">
        <v>1482</v>
      </c>
      <c r="P3729" s="30" t="s">
        <v>12565</v>
      </c>
      <c r="Q3729" t="s">
        <v>619</v>
      </c>
      <c r="R3729" t="s">
        <v>917</v>
      </c>
      <c r="S3729">
        <v>39</v>
      </c>
      <c r="T3729" s="29" t="str">
        <f>HYPERLINK("https://ictv.global/ictv/proposals/2023.020B.Dhillonvirus_42ns.zip","2023.020B.Dhillonvirus_42ns.zip")</f>
        <v>2023.020B.Dhillonvirus_42ns.zip</v>
      </c>
      <c r="U3729" s="29" t="str">
        <f>HYPERLINK("https://ictv.global/taxonomy/taxondetails?taxnode_id=202318432","ictv.global=202318432")</f>
        <v>ictv.global=202318432</v>
      </c>
    </row>
    <row r="3730" spans="1:21">
      <c r="A3730">
        <v>3729</v>
      </c>
      <c r="B3730" s="30" t="s">
        <v>1587</v>
      </c>
      <c r="D3730" s="30" t="s">
        <v>1588</v>
      </c>
      <c r="F3730" s="30" t="s">
        <v>1591</v>
      </c>
      <c r="H3730" s="30" t="s">
        <v>1592</v>
      </c>
      <c r="N3730" s="30" t="s">
        <v>1482</v>
      </c>
      <c r="P3730" s="30" t="s">
        <v>12566</v>
      </c>
      <c r="Q3730" t="s">
        <v>619</v>
      </c>
      <c r="R3730" t="s">
        <v>917</v>
      </c>
      <c r="S3730">
        <v>39</v>
      </c>
      <c r="T3730" s="29" t="str">
        <f>HYPERLINK("https://ictv.global/ictv/proposals/2023.020B.Dhillonvirus_42ns.zip","2023.020B.Dhillonvirus_42ns.zip")</f>
        <v>2023.020B.Dhillonvirus_42ns.zip</v>
      </c>
      <c r="U3730" s="29" t="str">
        <f>HYPERLINK("https://ictv.global/taxonomy/taxondetails?taxnode_id=202318416","ictv.global=202318416")</f>
        <v>ictv.global=202318416</v>
      </c>
    </row>
    <row r="3731" spans="1:21">
      <c r="A3731">
        <v>3730</v>
      </c>
      <c r="B3731" s="30" t="s">
        <v>1587</v>
      </c>
      <c r="D3731" s="30" t="s">
        <v>1588</v>
      </c>
      <c r="F3731" s="30" t="s">
        <v>1591</v>
      </c>
      <c r="H3731" s="30" t="s">
        <v>1592</v>
      </c>
      <c r="N3731" s="30" t="s">
        <v>1482</v>
      </c>
      <c r="P3731" s="30" t="s">
        <v>12567</v>
      </c>
      <c r="Q3731" t="s">
        <v>619</v>
      </c>
      <c r="R3731" t="s">
        <v>917</v>
      </c>
      <c r="S3731">
        <v>39</v>
      </c>
      <c r="T3731" s="29" t="str">
        <f>HYPERLINK("https://ictv.global/ictv/proposals/2023.020B.Dhillonvirus_42ns.zip","2023.020B.Dhillonvirus_42ns.zip")</f>
        <v>2023.020B.Dhillonvirus_42ns.zip</v>
      </c>
      <c r="U3731" s="29" t="str">
        <f>HYPERLINK("https://ictv.global/taxonomy/taxondetails?taxnode_id=202318453","ictv.global=202318453")</f>
        <v>ictv.global=202318453</v>
      </c>
    </row>
    <row r="3732" spans="1:21">
      <c r="A3732">
        <v>3731</v>
      </c>
      <c r="B3732" s="30" t="s">
        <v>1587</v>
      </c>
      <c r="D3732" s="30" t="s">
        <v>1588</v>
      </c>
      <c r="F3732" s="30" t="s">
        <v>1591</v>
      </c>
      <c r="H3732" s="30" t="s">
        <v>1592</v>
      </c>
      <c r="N3732" s="30" t="s">
        <v>1482</v>
      </c>
      <c r="P3732" s="30" t="s">
        <v>7193</v>
      </c>
      <c r="Q3732" t="s">
        <v>619</v>
      </c>
      <c r="R3732" t="s">
        <v>918</v>
      </c>
      <c r="S3732">
        <v>37</v>
      </c>
      <c r="T3732" s="29" t="str">
        <f>HYPERLINK("https://ictv.global/ictv/proposals/2021.010B.R.Binomial_names.zip","2021.010B.R.Binomial_names.zip")</f>
        <v>2021.010B.R.Binomial_names.zip</v>
      </c>
      <c r="U3732" s="29" t="str">
        <f>HYPERLINK("https://ictv.global/taxonomy/taxondetails?taxnode_id=202300984","ictv.global=202300984")</f>
        <v>ictv.global=202300984</v>
      </c>
    </row>
    <row r="3733" spans="1:21">
      <c r="A3733">
        <v>3732</v>
      </c>
      <c r="B3733" s="30" t="s">
        <v>1587</v>
      </c>
      <c r="D3733" s="30" t="s">
        <v>1588</v>
      </c>
      <c r="F3733" s="30" t="s">
        <v>1591</v>
      </c>
      <c r="H3733" s="30" t="s">
        <v>1592</v>
      </c>
      <c r="N3733" s="30" t="s">
        <v>1482</v>
      </c>
      <c r="P3733" s="30" t="s">
        <v>12568</v>
      </c>
      <c r="Q3733" t="s">
        <v>619</v>
      </c>
      <c r="R3733" t="s">
        <v>917</v>
      </c>
      <c r="S3733">
        <v>39</v>
      </c>
      <c r="T3733" s="29" t="str">
        <f>HYPERLINK("https://ictv.global/ictv/proposals/2023.020B.Dhillonvirus_42ns.zip","2023.020B.Dhillonvirus_42ns.zip")</f>
        <v>2023.020B.Dhillonvirus_42ns.zip</v>
      </c>
      <c r="U3733" s="29" t="str">
        <f>HYPERLINK("https://ictv.global/taxonomy/taxondetails?taxnode_id=202318442","ictv.global=202318442")</f>
        <v>ictv.global=202318442</v>
      </c>
    </row>
    <row r="3734" spans="1:21">
      <c r="A3734">
        <v>3733</v>
      </c>
      <c r="B3734" s="30" t="s">
        <v>1587</v>
      </c>
      <c r="D3734" s="30" t="s">
        <v>1588</v>
      </c>
      <c r="F3734" s="30" t="s">
        <v>1591</v>
      </c>
      <c r="H3734" s="30" t="s">
        <v>1592</v>
      </c>
      <c r="N3734" s="30" t="s">
        <v>1482</v>
      </c>
      <c r="P3734" s="30" t="s">
        <v>7194</v>
      </c>
      <c r="Q3734" t="s">
        <v>619</v>
      </c>
      <c r="R3734" t="s">
        <v>918</v>
      </c>
      <c r="S3734">
        <v>37</v>
      </c>
      <c r="T3734" s="29" t="str">
        <f>HYPERLINK("https://ictv.global/ictv/proposals/2021.010B.R.Binomial_names.zip","2021.010B.R.Binomial_names.zip")</f>
        <v>2021.010B.R.Binomial_names.zip</v>
      </c>
      <c r="U3734" s="29" t="str">
        <f>HYPERLINK("https://ictv.global/taxonomy/taxondetails?taxnode_id=202300985","ictv.global=202300985")</f>
        <v>ictv.global=202300985</v>
      </c>
    </row>
    <row r="3735" spans="1:21">
      <c r="A3735">
        <v>3734</v>
      </c>
      <c r="B3735" s="30" t="s">
        <v>1587</v>
      </c>
      <c r="D3735" s="30" t="s">
        <v>1588</v>
      </c>
      <c r="F3735" s="30" t="s">
        <v>1591</v>
      </c>
      <c r="H3735" s="30" t="s">
        <v>1592</v>
      </c>
      <c r="N3735" s="30" t="s">
        <v>1482</v>
      </c>
      <c r="P3735" s="30" t="s">
        <v>12569</v>
      </c>
      <c r="Q3735" t="s">
        <v>619</v>
      </c>
      <c r="R3735" t="s">
        <v>917</v>
      </c>
      <c r="S3735">
        <v>39</v>
      </c>
      <c r="T3735" s="29" t="str">
        <f t="shared" ref="T3735:T3752" si="166">HYPERLINK("https://ictv.global/ictv/proposals/2023.020B.Dhillonvirus_42ns.zip","2023.020B.Dhillonvirus_42ns.zip")</f>
        <v>2023.020B.Dhillonvirus_42ns.zip</v>
      </c>
      <c r="U3735" s="29" t="str">
        <f>HYPERLINK("https://ictv.global/taxonomy/taxondetails?taxnode_id=202318420","ictv.global=202318420")</f>
        <v>ictv.global=202318420</v>
      </c>
    </row>
    <row r="3736" spans="1:21">
      <c r="A3736">
        <v>3735</v>
      </c>
      <c r="B3736" s="30" t="s">
        <v>1587</v>
      </c>
      <c r="D3736" s="30" t="s">
        <v>1588</v>
      </c>
      <c r="F3736" s="30" t="s">
        <v>1591</v>
      </c>
      <c r="H3736" s="30" t="s">
        <v>1592</v>
      </c>
      <c r="N3736" s="30" t="s">
        <v>1482</v>
      </c>
      <c r="P3736" s="30" t="s">
        <v>12570</v>
      </c>
      <c r="Q3736" t="s">
        <v>619</v>
      </c>
      <c r="R3736" t="s">
        <v>917</v>
      </c>
      <c r="S3736">
        <v>39</v>
      </c>
      <c r="T3736" s="29" t="str">
        <f t="shared" si="166"/>
        <v>2023.020B.Dhillonvirus_42ns.zip</v>
      </c>
      <c r="U3736" s="29" t="str">
        <f>HYPERLINK("https://ictv.global/taxonomy/taxondetails?taxnode_id=202318417","ictv.global=202318417")</f>
        <v>ictv.global=202318417</v>
      </c>
    </row>
    <row r="3737" spans="1:21">
      <c r="A3737">
        <v>3736</v>
      </c>
      <c r="B3737" s="30" t="s">
        <v>1587</v>
      </c>
      <c r="D3737" s="30" t="s">
        <v>1588</v>
      </c>
      <c r="F3737" s="30" t="s">
        <v>1591</v>
      </c>
      <c r="H3737" s="30" t="s">
        <v>1592</v>
      </c>
      <c r="N3737" s="30" t="s">
        <v>1482</v>
      </c>
      <c r="P3737" s="30" t="s">
        <v>12571</v>
      </c>
      <c r="Q3737" t="s">
        <v>619</v>
      </c>
      <c r="R3737" t="s">
        <v>917</v>
      </c>
      <c r="S3737">
        <v>39</v>
      </c>
      <c r="T3737" s="29" t="str">
        <f t="shared" si="166"/>
        <v>2023.020B.Dhillonvirus_42ns.zip</v>
      </c>
      <c r="U3737" s="29" t="str">
        <f>HYPERLINK("https://ictv.global/taxonomy/taxondetails?taxnode_id=202318423","ictv.global=202318423")</f>
        <v>ictv.global=202318423</v>
      </c>
    </row>
    <row r="3738" spans="1:21">
      <c r="A3738">
        <v>3737</v>
      </c>
      <c r="B3738" s="30" t="s">
        <v>1587</v>
      </c>
      <c r="D3738" s="30" t="s">
        <v>1588</v>
      </c>
      <c r="F3738" s="30" t="s">
        <v>1591</v>
      </c>
      <c r="H3738" s="30" t="s">
        <v>1592</v>
      </c>
      <c r="N3738" s="30" t="s">
        <v>1482</v>
      </c>
      <c r="P3738" s="30" t="s">
        <v>12572</v>
      </c>
      <c r="Q3738" t="s">
        <v>619</v>
      </c>
      <c r="R3738" t="s">
        <v>917</v>
      </c>
      <c r="S3738">
        <v>39</v>
      </c>
      <c r="T3738" s="29" t="str">
        <f t="shared" si="166"/>
        <v>2023.020B.Dhillonvirus_42ns.zip</v>
      </c>
      <c r="U3738" s="29" t="str">
        <f>HYPERLINK("https://ictv.global/taxonomy/taxondetails?taxnode_id=202318452","ictv.global=202318452")</f>
        <v>ictv.global=202318452</v>
      </c>
    </row>
    <row r="3739" spans="1:21">
      <c r="A3739">
        <v>3738</v>
      </c>
      <c r="B3739" s="30" t="s">
        <v>1587</v>
      </c>
      <c r="D3739" s="30" t="s">
        <v>1588</v>
      </c>
      <c r="F3739" s="30" t="s">
        <v>1591</v>
      </c>
      <c r="H3739" s="30" t="s">
        <v>1592</v>
      </c>
      <c r="N3739" s="30" t="s">
        <v>1482</v>
      </c>
      <c r="P3739" s="30" t="s">
        <v>12573</v>
      </c>
      <c r="Q3739" t="s">
        <v>619</v>
      </c>
      <c r="R3739" t="s">
        <v>917</v>
      </c>
      <c r="S3739">
        <v>39</v>
      </c>
      <c r="T3739" s="29" t="str">
        <f t="shared" si="166"/>
        <v>2023.020B.Dhillonvirus_42ns.zip</v>
      </c>
      <c r="U3739" s="29" t="str">
        <f>HYPERLINK("https://ictv.global/taxonomy/taxondetails?taxnode_id=202318443","ictv.global=202318443")</f>
        <v>ictv.global=202318443</v>
      </c>
    </row>
    <row r="3740" spans="1:21">
      <c r="A3740">
        <v>3739</v>
      </c>
      <c r="B3740" s="30" t="s">
        <v>1587</v>
      </c>
      <c r="D3740" s="30" t="s">
        <v>1588</v>
      </c>
      <c r="F3740" s="30" t="s">
        <v>1591</v>
      </c>
      <c r="H3740" s="30" t="s">
        <v>1592</v>
      </c>
      <c r="N3740" s="30" t="s">
        <v>1482</v>
      </c>
      <c r="P3740" s="30" t="s">
        <v>12574</v>
      </c>
      <c r="Q3740" t="s">
        <v>619</v>
      </c>
      <c r="R3740" t="s">
        <v>917</v>
      </c>
      <c r="S3740">
        <v>39</v>
      </c>
      <c r="T3740" s="29" t="str">
        <f t="shared" si="166"/>
        <v>2023.020B.Dhillonvirus_42ns.zip</v>
      </c>
      <c r="U3740" s="29" t="str">
        <f>HYPERLINK("https://ictv.global/taxonomy/taxondetails?taxnode_id=202318439","ictv.global=202318439")</f>
        <v>ictv.global=202318439</v>
      </c>
    </row>
    <row r="3741" spans="1:21">
      <c r="A3741">
        <v>3740</v>
      </c>
      <c r="B3741" s="30" t="s">
        <v>1587</v>
      </c>
      <c r="D3741" s="30" t="s">
        <v>1588</v>
      </c>
      <c r="F3741" s="30" t="s">
        <v>1591</v>
      </c>
      <c r="H3741" s="30" t="s">
        <v>1592</v>
      </c>
      <c r="N3741" s="30" t="s">
        <v>1482</v>
      </c>
      <c r="P3741" s="30" t="s">
        <v>12575</v>
      </c>
      <c r="Q3741" t="s">
        <v>619</v>
      </c>
      <c r="R3741" t="s">
        <v>917</v>
      </c>
      <c r="S3741">
        <v>39</v>
      </c>
      <c r="T3741" s="29" t="str">
        <f t="shared" si="166"/>
        <v>2023.020B.Dhillonvirus_42ns.zip</v>
      </c>
      <c r="U3741" s="29" t="str">
        <f>HYPERLINK("https://ictv.global/taxonomy/taxondetails?taxnode_id=202318455","ictv.global=202318455")</f>
        <v>ictv.global=202318455</v>
      </c>
    </row>
    <row r="3742" spans="1:21">
      <c r="A3742">
        <v>3741</v>
      </c>
      <c r="B3742" s="30" t="s">
        <v>1587</v>
      </c>
      <c r="D3742" s="30" t="s">
        <v>1588</v>
      </c>
      <c r="F3742" s="30" t="s">
        <v>1591</v>
      </c>
      <c r="H3742" s="30" t="s">
        <v>1592</v>
      </c>
      <c r="N3742" s="30" t="s">
        <v>1482</v>
      </c>
      <c r="P3742" s="30" t="s">
        <v>12576</v>
      </c>
      <c r="Q3742" t="s">
        <v>619</v>
      </c>
      <c r="R3742" t="s">
        <v>917</v>
      </c>
      <c r="S3742">
        <v>39</v>
      </c>
      <c r="T3742" s="29" t="str">
        <f t="shared" si="166"/>
        <v>2023.020B.Dhillonvirus_42ns.zip</v>
      </c>
      <c r="U3742" s="29" t="str">
        <f>HYPERLINK("https://ictv.global/taxonomy/taxondetails?taxnode_id=202318421","ictv.global=202318421")</f>
        <v>ictv.global=202318421</v>
      </c>
    </row>
    <row r="3743" spans="1:21">
      <c r="A3743">
        <v>3742</v>
      </c>
      <c r="B3743" s="30" t="s">
        <v>1587</v>
      </c>
      <c r="D3743" s="30" t="s">
        <v>1588</v>
      </c>
      <c r="F3743" s="30" t="s">
        <v>1591</v>
      </c>
      <c r="H3743" s="30" t="s">
        <v>1592</v>
      </c>
      <c r="N3743" s="30" t="s">
        <v>1482</v>
      </c>
      <c r="P3743" s="30" t="s">
        <v>12577</v>
      </c>
      <c r="Q3743" t="s">
        <v>619</v>
      </c>
      <c r="R3743" t="s">
        <v>917</v>
      </c>
      <c r="S3743">
        <v>39</v>
      </c>
      <c r="T3743" s="29" t="str">
        <f t="shared" si="166"/>
        <v>2023.020B.Dhillonvirus_42ns.zip</v>
      </c>
      <c r="U3743" s="29" t="str">
        <f>HYPERLINK("https://ictv.global/taxonomy/taxondetails?taxnode_id=202318445","ictv.global=202318445")</f>
        <v>ictv.global=202318445</v>
      </c>
    </row>
    <row r="3744" spans="1:21">
      <c r="A3744">
        <v>3743</v>
      </c>
      <c r="B3744" s="30" t="s">
        <v>1587</v>
      </c>
      <c r="D3744" s="30" t="s">
        <v>1588</v>
      </c>
      <c r="F3744" s="30" t="s">
        <v>1591</v>
      </c>
      <c r="H3744" s="30" t="s">
        <v>1592</v>
      </c>
      <c r="N3744" s="30" t="s">
        <v>1482</v>
      </c>
      <c r="P3744" s="30" t="s">
        <v>12578</v>
      </c>
      <c r="Q3744" t="s">
        <v>619</v>
      </c>
      <c r="R3744" t="s">
        <v>917</v>
      </c>
      <c r="S3744">
        <v>39</v>
      </c>
      <c r="T3744" s="29" t="str">
        <f t="shared" si="166"/>
        <v>2023.020B.Dhillonvirus_42ns.zip</v>
      </c>
      <c r="U3744" s="29" t="str">
        <f>HYPERLINK("https://ictv.global/taxonomy/taxondetails?taxnode_id=202318433","ictv.global=202318433")</f>
        <v>ictv.global=202318433</v>
      </c>
    </row>
    <row r="3745" spans="1:21">
      <c r="A3745">
        <v>3744</v>
      </c>
      <c r="B3745" s="30" t="s">
        <v>1587</v>
      </c>
      <c r="D3745" s="30" t="s">
        <v>1588</v>
      </c>
      <c r="F3745" s="30" t="s">
        <v>1591</v>
      </c>
      <c r="H3745" s="30" t="s">
        <v>1592</v>
      </c>
      <c r="N3745" s="30" t="s">
        <v>1482</v>
      </c>
      <c r="P3745" s="30" t="s">
        <v>12579</v>
      </c>
      <c r="Q3745" t="s">
        <v>619</v>
      </c>
      <c r="R3745" t="s">
        <v>917</v>
      </c>
      <c r="S3745">
        <v>39</v>
      </c>
      <c r="T3745" s="29" t="str">
        <f t="shared" si="166"/>
        <v>2023.020B.Dhillonvirus_42ns.zip</v>
      </c>
      <c r="U3745" s="29" t="str">
        <f>HYPERLINK("https://ictv.global/taxonomy/taxondetails?taxnode_id=202318454","ictv.global=202318454")</f>
        <v>ictv.global=202318454</v>
      </c>
    </row>
    <row r="3746" spans="1:21">
      <c r="A3746">
        <v>3745</v>
      </c>
      <c r="B3746" s="30" t="s">
        <v>1587</v>
      </c>
      <c r="D3746" s="30" t="s">
        <v>1588</v>
      </c>
      <c r="F3746" s="30" t="s">
        <v>1591</v>
      </c>
      <c r="H3746" s="30" t="s">
        <v>1592</v>
      </c>
      <c r="N3746" s="30" t="s">
        <v>1482</v>
      </c>
      <c r="P3746" s="30" t="s">
        <v>12580</v>
      </c>
      <c r="Q3746" t="s">
        <v>619</v>
      </c>
      <c r="R3746" t="s">
        <v>917</v>
      </c>
      <c r="S3746">
        <v>39</v>
      </c>
      <c r="T3746" s="29" t="str">
        <f t="shared" si="166"/>
        <v>2023.020B.Dhillonvirus_42ns.zip</v>
      </c>
      <c r="U3746" s="29" t="str">
        <f>HYPERLINK("https://ictv.global/taxonomy/taxondetails?taxnode_id=202318415","ictv.global=202318415")</f>
        <v>ictv.global=202318415</v>
      </c>
    </row>
    <row r="3747" spans="1:21">
      <c r="A3747">
        <v>3746</v>
      </c>
      <c r="B3747" s="30" t="s">
        <v>1587</v>
      </c>
      <c r="D3747" s="30" t="s">
        <v>1588</v>
      </c>
      <c r="F3747" s="30" t="s">
        <v>1591</v>
      </c>
      <c r="H3747" s="30" t="s">
        <v>1592</v>
      </c>
      <c r="N3747" s="30" t="s">
        <v>1482</v>
      </c>
      <c r="P3747" s="30" t="s">
        <v>12581</v>
      </c>
      <c r="Q3747" t="s">
        <v>619</v>
      </c>
      <c r="R3747" t="s">
        <v>917</v>
      </c>
      <c r="S3747">
        <v>39</v>
      </c>
      <c r="T3747" s="29" t="str">
        <f t="shared" si="166"/>
        <v>2023.020B.Dhillonvirus_42ns.zip</v>
      </c>
      <c r="U3747" s="29" t="str">
        <f>HYPERLINK("https://ictv.global/taxonomy/taxondetails?taxnode_id=202318429","ictv.global=202318429")</f>
        <v>ictv.global=202318429</v>
      </c>
    </row>
    <row r="3748" spans="1:21">
      <c r="A3748">
        <v>3747</v>
      </c>
      <c r="B3748" s="30" t="s">
        <v>1587</v>
      </c>
      <c r="D3748" s="30" t="s">
        <v>1588</v>
      </c>
      <c r="F3748" s="30" t="s">
        <v>1591</v>
      </c>
      <c r="H3748" s="30" t="s">
        <v>1592</v>
      </c>
      <c r="N3748" s="30" t="s">
        <v>1482</v>
      </c>
      <c r="P3748" s="30" t="s">
        <v>12582</v>
      </c>
      <c r="Q3748" t="s">
        <v>619</v>
      </c>
      <c r="R3748" t="s">
        <v>917</v>
      </c>
      <c r="S3748">
        <v>39</v>
      </c>
      <c r="T3748" s="29" t="str">
        <f t="shared" si="166"/>
        <v>2023.020B.Dhillonvirus_42ns.zip</v>
      </c>
      <c r="U3748" s="29" t="str">
        <f>HYPERLINK("https://ictv.global/taxonomy/taxondetails?taxnode_id=202318430","ictv.global=202318430")</f>
        <v>ictv.global=202318430</v>
      </c>
    </row>
    <row r="3749" spans="1:21">
      <c r="A3749">
        <v>3748</v>
      </c>
      <c r="B3749" s="30" t="s">
        <v>1587</v>
      </c>
      <c r="D3749" s="30" t="s">
        <v>1588</v>
      </c>
      <c r="F3749" s="30" t="s">
        <v>1591</v>
      </c>
      <c r="H3749" s="30" t="s">
        <v>1592</v>
      </c>
      <c r="N3749" s="30" t="s">
        <v>1482</v>
      </c>
      <c r="P3749" s="30" t="s">
        <v>12583</v>
      </c>
      <c r="Q3749" t="s">
        <v>619</v>
      </c>
      <c r="R3749" t="s">
        <v>917</v>
      </c>
      <c r="S3749">
        <v>39</v>
      </c>
      <c r="T3749" s="29" t="str">
        <f t="shared" si="166"/>
        <v>2023.020B.Dhillonvirus_42ns.zip</v>
      </c>
      <c r="U3749" s="29" t="str">
        <f>HYPERLINK("https://ictv.global/taxonomy/taxondetails?taxnode_id=202318434","ictv.global=202318434")</f>
        <v>ictv.global=202318434</v>
      </c>
    </row>
    <row r="3750" spans="1:21">
      <c r="A3750">
        <v>3749</v>
      </c>
      <c r="B3750" s="30" t="s">
        <v>1587</v>
      </c>
      <c r="D3750" s="30" t="s">
        <v>1588</v>
      </c>
      <c r="F3750" s="30" t="s">
        <v>1591</v>
      </c>
      <c r="H3750" s="30" t="s">
        <v>1592</v>
      </c>
      <c r="N3750" s="30" t="s">
        <v>1482</v>
      </c>
      <c r="P3750" s="30" t="s">
        <v>12584</v>
      </c>
      <c r="Q3750" t="s">
        <v>619</v>
      </c>
      <c r="R3750" t="s">
        <v>917</v>
      </c>
      <c r="S3750">
        <v>39</v>
      </c>
      <c r="T3750" s="29" t="str">
        <f t="shared" si="166"/>
        <v>2023.020B.Dhillonvirus_42ns.zip</v>
      </c>
      <c r="U3750" s="29" t="str">
        <f>HYPERLINK("https://ictv.global/taxonomy/taxondetails?taxnode_id=202318422","ictv.global=202318422")</f>
        <v>ictv.global=202318422</v>
      </c>
    </row>
    <row r="3751" spans="1:21">
      <c r="A3751">
        <v>3750</v>
      </c>
      <c r="B3751" s="30" t="s">
        <v>1587</v>
      </c>
      <c r="D3751" s="30" t="s">
        <v>1588</v>
      </c>
      <c r="F3751" s="30" t="s">
        <v>1591</v>
      </c>
      <c r="H3751" s="30" t="s">
        <v>1592</v>
      </c>
      <c r="N3751" s="30" t="s">
        <v>1482</v>
      </c>
      <c r="P3751" s="30" t="s">
        <v>12585</v>
      </c>
      <c r="Q3751" t="s">
        <v>619</v>
      </c>
      <c r="R3751" t="s">
        <v>917</v>
      </c>
      <c r="S3751">
        <v>39</v>
      </c>
      <c r="T3751" s="29" t="str">
        <f t="shared" si="166"/>
        <v>2023.020B.Dhillonvirus_42ns.zip</v>
      </c>
      <c r="U3751" s="29" t="str">
        <f>HYPERLINK("https://ictv.global/taxonomy/taxondetails?taxnode_id=202318437","ictv.global=202318437")</f>
        <v>ictv.global=202318437</v>
      </c>
    </row>
    <row r="3752" spans="1:21">
      <c r="A3752">
        <v>3751</v>
      </c>
      <c r="B3752" s="30" t="s">
        <v>1587</v>
      </c>
      <c r="D3752" s="30" t="s">
        <v>1588</v>
      </c>
      <c r="F3752" s="30" t="s">
        <v>1591</v>
      </c>
      <c r="H3752" s="30" t="s">
        <v>1592</v>
      </c>
      <c r="N3752" s="30" t="s">
        <v>1482</v>
      </c>
      <c r="P3752" s="30" t="s">
        <v>12586</v>
      </c>
      <c r="Q3752" t="s">
        <v>619</v>
      </c>
      <c r="R3752" t="s">
        <v>917</v>
      </c>
      <c r="S3752">
        <v>39</v>
      </c>
      <c r="T3752" s="29" t="str">
        <f t="shared" si="166"/>
        <v>2023.020B.Dhillonvirus_42ns.zip</v>
      </c>
      <c r="U3752" s="29" t="str">
        <f>HYPERLINK("https://ictv.global/taxonomy/taxondetails?taxnode_id=202318456","ictv.global=202318456")</f>
        <v>ictv.global=202318456</v>
      </c>
    </row>
    <row r="3753" spans="1:21">
      <c r="A3753">
        <v>3752</v>
      </c>
      <c r="B3753" s="30" t="s">
        <v>1587</v>
      </c>
      <c r="D3753" s="30" t="s">
        <v>1588</v>
      </c>
      <c r="F3753" s="30" t="s">
        <v>1591</v>
      </c>
      <c r="H3753" s="30" t="s">
        <v>1592</v>
      </c>
      <c r="N3753" s="30" t="s">
        <v>1482</v>
      </c>
      <c r="P3753" s="30" t="s">
        <v>7195</v>
      </c>
      <c r="Q3753" t="s">
        <v>619</v>
      </c>
      <c r="R3753" t="s">
        <v>918</v>
      </c>
      <c r="S3753">
        <v>37</v>
      </c>
      <c r="T3753" s="29" t="str">
        <f>HYPERLINK("https://ictv.global/ictv/proposals/2021.010B.R.Binomial_names.zip","2021.010B.R.Binomial_names.zip")</f>
        <v>2021.010B.R.Binomial_names.zip</v>
      </c>
      <c r="U3753" s="29" t="str">
        <f>HYPERLINK("https://ictv.global/taxonomy/taxondetails?taxnode_id=202300989","ictv.global=202300989")</f>
        <v>ictv.global=202300989</v>
      </c>
    </row>
    <row r="3754" spans="1:21">
      <c r="A3754">
        <v>3753</v>
      </c>
      <c r="B3754" s="30" t="s">
        <v>1587</v>
      </c>
      <c r="D3754" s="30" t="s">
        <v>1588</v>
      </c>
      <c r="F3754" s="30" t="s">
        <v>1591</v>
      </c>
      <c r="H3754" s="30" t="s">
        <v>1592</v>
      </c>
      <c r="N3754" s="30" t="s">
        <v>1482</v>
      </c>
      <c r="P3754" s="30" t="s">
        <v>12587</v>
      </c>
      <c r="Q3754" t="s">
        <v>619</v>
      </c>
      <c r="R3754" t="s">
        <v>917</v>
      </c>
      <c r="S3754">
        <v>39</v>
      </c>
      <c r="T3754" s="29" t="str">
        <f>HYPERLINK("https://ictv.global/ictv/proposals/2023.020B.Dhillonvirus_42ns.zip","2023.020B.Dhillonvirus_42ns.zip")</f>
        <v>2023.020B.Dhillonvirus_42ns.zip</v>
      </c>
      <c r="U3754" s="29" t="str">
        <f>HYPERLINK("https://ictv.global/taxonomy/taxondetails?taxnode_id=202318447","ictv.global=202318447")</f>
        <v>ictv.global=202318447</v>
      </c>
    </row>
    <row r="3755" spans="1:21">
      <c r="A3755">
        <v>3754</v>
      </c>
      <c r="B3755" s="30" t="s">
        <v>1587</v>
      </c>
      <c r="D3755" s="30" t="s">
        <v>1588</v>
      </c>
      <c r="F3755" s="30" t="s">
        <v>1591</v>
      </c>
      <c r="H3755" s="30" t="s">
        <v>1592</v>
      </c>
      <c r="N3755" s="30" t="s">
        <v>1482</v>
      </c>
      <c r="P3755" s="30" t="s">
        <v>7196</v>
      </c>
      <c r="Q3755" t="s">
        <v>619</v>
      </c>
      <c r="R3755" t="s">
        <v>918</v>
      </c>
      <c r="S3755">
        <v>37</v>
      </c>
      <c r="T3755" s="29" t="str">
        <f>HYPERLINK("https://ictv.global/ictv/proposals/2021.010B.R.Binomial_names.zip","2021.010B.R.Binomial_names.zip")</f>
        <v>2021.010B.R.Binomial_names.zip</v>
      </c>
      <c r="U3755" s="29" t="str">
        <f>HYPERLINK("https://ictv.global/taxonomy/taxondetails?taxnode_id=202300986","ictv.global=202300986")</f>
        <v>ictv.global=202300986</v>
      </c>
    </row>
    <row r="3756" spans="1:21">
      <c r="A3756">
        <v>3755</v>
      </c>
      <c r="B3756" s="30" t="s">
        <v>1587</v>
      </c>
      <c r="D3756" s="30" t="s">
        <v>1588</v>
      </c>
      <c r="F3756" s="30" t="s">
        <v>1591</v>
      </c>
      <c r="H3756" s="30" t="s">
        <v>1592</v>
      </c>
      <c r="N3756" s="30" t="s">
        <v>1482</v>
      </c>
      <c r="P3756" s="30" t="s">
        <v>12588</v>
      </c>
      <c r="Q3756" t="s">
        <v>619</v>
      </c>
      <c r="R3756" t="s">
        <v>917</v>
      </c>
      <c r="S3756">
        <v>39</v>
      </c>
      <c r="T3756" s="29" t="str">
        <f t="shared" ref="T3756:T3762" si="167">HYPERLINK("https://ictv.global/ictv/proposals/2023.020B.Dhillonvirus_42ns.zip","2023.020B.Dhillonvirus_42ns.zip")</f>
        <v>2023.020B.Dhillonvirus_42ns.zip</v>
      </c>
      <c r="U3756" s="29" t="str">
        <f>HYPERLINK("https://ictv.global/taxonomy/taxondetails?taxnode_id=202318448","ictv.global=202318448")</f>
        <v>ictv.global=202318448</v>
      </c>
    </row>
    <row r="3757" spans="1:21">
      <c r="A3757">
        <v>3756</v>
      </c>
      <c r="B3757" s="30" t="s">
        <v>1587</v>
      </c>
      <c r="D3757" s="30" t="s">
        <v>1588</v>
      </c>
      <c r="F3757" s="30" t="s">
        <v>1591</v>
      </c>
      <c r="H3757" s="30" t="s">
        <v>1592</v>
      </c>
      <c r="N3757" s="30" t="s">
        <v>1482</v>
      </c>
      <c r="P3757" s="30" t="s">
        <v>12589</v>
      </c>
      <c r="Q3757" t="s">
        <v>619</v>
      </c>
      <c r="R3757" t="s">
        <v>917</v>
      </c>
      <c r="S3757">
        <v>39</v>
      </c>
      <c r="T3757" s="29" t="str">
        <f t="shared" si="167"/>
        <v>2023.020B.Dhillonvirus_42ns.zip</v>
      </c>
      <c r="U3757" s="29" t="str">
        <f>HYPERLINK("https://ictv.global/taxonomy/taxondetails?taxnode_id=202318418","ictv.global=202318418")</f>
        <v>ictv.global=202318418</v>
      </c>
    </row>
    <row r="3758" spans="1:21">
      <c r="A3758">
        <v>3757</v>
      </c>
      <c r="B3758" s="30" t="s">
        <v>1587</v>
      </c>
      <c r="D3758" s="30" t="s">
        <v>1588</v>
      </c>
      <c r="F3758" s="30" t="s">
        <v>1591</v>
      </c>
      <c r="H3758" s="30" t="s">
        <v>1592</v>
      </c>
      <c r="N3758" s="30" t="s">
        <v>1482</v>
      </c>
      <c r="P3758" s="30" t="s">
        <v>12590</v>
      </c>
      <c r="Q3758" t="s">
        <v>619</v>
      </c>
      <c r="R3758" t="s">
        <v>917</v>
      </c>
      <c r="S3758">
        <v>39</v>
      </c>
      <c r="T3758" s="29" t="str">
        <f t="shared" si="167"/>
        <v>2023.020B.Dhillonvirus_42ns.zip</v>
      </c>
      <c r="U3758" s="29" t="str">
        <f>HYPERLINK("https://ictv.global/taxonomy/taxondetails?taxnode_id=202318428","ictv.global=202318428")</f>
        <v>ictv.global=202318428</v>
      </c>
    </row>
    <row r="3759" spans="1:21">
      <c r="A3759">
        <v>3758</v>
      </c>
      <c r="B3759" s="30" t="s">
        <v>1587</v>
      </c>
      <c r="D3759" s="30" t="s">
        <v>1588</v>
      </c>
      <c r="F3759" s="30" t="s">
        <v>1591</v>
      </c>
      <c r="H3759" s="30" t="s">
        <v>1592</v>
      </c>
      <c r="N3759" s="30" t="s">
        <v>1482</v>
      </c>
      <c r="P3759" s="30" t="s">
        <v>12591</v>
      </c>
      <c r="Q3759" t="s">
        <v>619</v>
      </c>
      <c r="R3759" t="s">
        <v>917</v>
      </c>
      <c r="S3759">
        <v>39</v>
      </c>
      <c r="T3759" s="29" t="str">
        <f t="shared" si="167"/>
        <v>2023.020B.Dhillonvirus_42ns.zip</v>
      </c>
      <c r="U3759" s="29" t="str">
        <f>HYPERLINK("https://ictv.global/taxonomy/taxondetails?taxnode_id=202318440","ictv.global=202318440")</f>
        <v>ictv.global=202318440</v>
      </c>
    </row>
    <row r="3760" spans="1:21">
      <c r="A3760">
        <v>3759</v>
      </c>
      <c r="B3760" s="30" t="s">
        <v>1587</v>
      </c>
      <c r="D3760" s="30" t="s">
        <v>1588</v>
      </c>
      <c r="F3760" s="30" t="s">
        <v>1591</v>
      </c>
      <c r="H3760" s="30" t="s">
        <v>1592</v>
      </c>
      <c r="N3760" s="30" t="s">
        <v>1482</v>
      </c>
      <c r="P3760" s="30" t="s">
        <v>12592</v>
      </c>
      <c r="Q3760" t="s">
        <v>619</v>
      </c>
      <c r="R3760" t="s">
        <v>917</v>
      </c>
      <c r="S3760">
        <v>39</v>
      </c>
      <c r="T3760" s="29" t="str">
        <f t="shared" si="167"/>
        <v>2023.020B.Dhillonvirus_42ns.zip</v>
      </c>
      <c r="U3760" s="29" t="str">
        <f>HYPERLINK("https://ictv.global/taxonomy/taxondetails?taxnode_id=202318444","ictv.global=202318444")</f>
        <v>ictv.global=202318444</v>
      </c>
    </row>
    <row r="3761" spans="1:21">
      <c r="A3761">
        <v>3760</v>
      </c>
      <c r="B3761" s="30" t="s">
        <v>1587</v>
      </c>
      <c r="D3761" s="30" t="s">
        <v>1588</v>
      </c>
      <c r="F3761" s="30" t="s">
        <v>1591</v>
      </c>
      <c r="H3761" s="30" t="s">
        <v>1592</v>
      </c>
      <c r="N3761" s="30" t="s">
        <v>1482</v>
      </c>
      <c r="P3761" s="30" t="s">
        <v>12593</v>
      </c>
      <c r="Q3761" t="s">
        <v>619</v>
      </c>
      <c r="R3761" t="s">
        <v>917</v>
      </c>
      <c r="S3761">
        <v>39</v>
      </c>
      <c r="T3761" s="29" t="str">
        <f t="shared" si="167"/>
        <v>2023.020B.Dhillonvirus_42ns.zip</v>
      </c>
      <c r="U3761" s="29" t="str">
        <f>HYPERLINK("https://ictv.global/taxonomy/taxondetails?taxnode_id=202318424","ictv.global=202318424")</f>
        <v>ictv.global=202318424</v>
      </c>
    </row>
    <row r="3762" spans="1:21">
      <c r="A3762">
        <v>3761</v>
      </c>
      <c r="B3762" s="30" t="s">
        <v>1587</v>
      </c>
      <c r="D3762" s="30" t="s">
        <v>1588</v>
      </c>
      <c r="F3762" s="30" t="s">
        <v>1591</v>
      </c>
      <c r="H3762" s="30" t="s">
        <v>1592</v>
      </c>
      <c r="N3762" s="30" t="s">
        <v>1482</v>
      </c>
      <c r="P3762" s="30" t="s">
        <v>12594</v>
      </c>
      <c r="Q3762" t="s">
        <v>619</v>
      </c>
      <c r="R3762" t="s">
        <v>917</v>
      </c>
      <c r="S3762">
        <v>39</v>
      </c>
      <c r="T3762" s="29" t="str">
        <f t="shared" si="167"/>
        <v>2023.020B.Dhillonvirus_42ns.zip</v>
      </c>
      <c r="U3762" s="29" t="str">
        <f>HYPERLINK("https://ictv.global/taxonomy/taxondetails?taxnode_id=202318426","ictv.global=202318426")</f>
        <v>ictv.global=202318426</v>
      </c>
    </row>
    <row r="3763" spans="1:21">
      <c r="A3763">
        <v>3762</v>
      </c>
      <c r="B3763" s="30" t="s">
        <v>1587</v>
      </c>
      <c r="D3763" s="30" t="s">
        <v>1588</v>
      </c>
      <c r="F3763" s="30" t="s">
        <v>1591</v>
      </c>
      <c r="H3763" s="30" t="s">
        <v>1592</v>
      </c>
      <c r="N3763" s="30" t="s">
        <v>1482</v>
      </c>
      <c r="P3763" s="30" t="s">
        <v>7197</v>
      </c>
      <c r="Q3763" t="s">
        <v>619</v>
      </c>
      <c r="R3763" t="s">
        <v>918</v>
      </c>
      <c r="S3763">
        <v>37</v>
      </c>
      <c r="T3763" s="29" t="str">
        <f>HYPERLINK("https://ictv.global/ictv/proposals/2021.010B.R.Binomial_names.zip","2021.010B.R.Binomial_names.zip")</f>
        <v>2021.010B.R.Binomial_names.zip</v>
      </c>
      <c r="U3763" s="29" t="str">
        <f>HYPERLINK("https://ictv.global/taxonomy/taxondetails?taxnode_id=202300987","ictv.global=202300987")</f>
        <v>ictv.global=202300987</v>
      </c>
    </row>
    <row r="3764" spans="1:21">
      <c r="A3764">
        <v>3763</v>
      </c>
      <c r="B3764" s="30" t="s">
        <v>1587</v>
      </c>
      <c r="D3764" s="30" t="s">
        <v>1588</v>
      </c>
      <c r="F3764" s="30" t="s">
        <v>1591</v>
      </c>
      <c r="H3764" s="30" t="s">
        <v>1592</v>
      </c>
      <c r="N3764" s="30" t="s">
        <v>1482</v>
      </c>
      <c r="P3764" s="30" t="s">
        <v>12595</v>
      </c>
      <c r="Q3764" t="s">
        <v>619</v>
      </c>
      <c r="R3764" t="s">
        <v>917</v>
      </c>
      <c r="S3764">
        <v>39</v>
      </c>
      <c r="T3764" s="29" t="str">
        <f>HYPERLINK("https://ictv.global/ictv/proposals/2023.020B.Dhillonvirus_42ns.zip","2023.020B.Dhillonvirus_42ns.zip")</f>
        <v>2023.020B.Dhillonvirus_42ns.zip</v>
      </c>
      <c r="U3764" s="29" t="str">
        <f>HYPERLINK("https://ictv.global/taxonomy/taxondetails?taxnode_id=202318431","ictv.global=202318431")</f>
        <v>ictv.global=202318431</v>
      </c>
    </row>
    <row r="3765" spans="1:21">
      <c r="A3765">
        <v>3764</v>
      </c>
      <c r="B3765" s="30" t="s">
        <v>1587</v>
      </c>
      <c r="D3765" s="30" t="s">
        <v>1588</v>
      </c>
      <c r="F3765" s="30" t="s">
        <v>1591</v>
      </c>
      <c r="H3765" s="30" t="s">
        <v>1592</v>
      </c>
      <c r="N3765" s="30" t="s">
        <v>1482</v>
      </c>
      <c r="P3765" s="30" t="s">
        <v>12596</v>
      </c>
      <c r="Q3765" t="s">
        <v>619</v>
      </c>
      <c r="R3765" t="s">
        <v>917</v>
      </c>
      <c r="S3765">
        <v>39</v>
      </c>
      <c r="T3765" s="29" t="str">
        <f>HYPERLINK("https://ictv.global/ictv/proposals/2023.020B.Dhillonvirus_42ns.zip","2023.020B.Dhillonvirus_42ns.zip")</f>
        <v>2023.020B.Dhillonvirus_42ns.zip</v>
      </c>
      <c r="U3765" s="29" t="str">
        <f>HYPERLINK("https://ictv.global/taxonomy/taxondetails?taxnode_id=202318441","ictv.global=202318441")</f>
        <v>ictv.global=202318441</v>
      </c>
    </row>
    <row r="3766" spans="1:21">
      <c r="A3766">
        <v>3765</v>
      </c>
      <c r="B3766" s="30" t="s">
        <v>1587</v>
      </c>
      <c r="D3766" s="30" t="s">
        <v>1588</v>
      </c>
      <c r="F3766" s="30" t="s">
        <v>1591</v>
      </c>
      <c r="H3766" s="30" t="s">
        <v>1592</v>
      </c>
      <c r="N3766" s="30" t="s">
        <v>2264</v>
      </c>
      <c r="P3766" s="30" t="s">
        <v>7198</v>
      </c>
      <c r="Q3766" t="s">
        <v>619</v>
      </c>
      <c r="R3766" t="s">
        <v>918</v>
      </c>
      <c r="S3766">
        <v>37</v>
      </c>
      <c r="T3766" s="29" t="str">
        <f>HYPERLINK("https://ictv.global/ictv/proposals/2021.010B.R.Binomial_names.zip","2021.010B.R.Binomial_names.zip")</f>
        <v>2021.010B.R.Binomial_names.zip</v>
      </c>
      <c r="U3766" s="29" t="str">
        <f>HYPERLINK("https://ictv.global/taxonomy/taxondetails?taxnode_id=202309969","ictv.global=202309969")</f>
        <v>ictv.global=202309969</v>
      </c>
    </row>
    <row r="3767" spans="1:21">
      <c r="A3767">
        <v>3766</v>
      </c>
      <c r="B3767" s="30" t="s">
        <v>1587</v>
      </c>
      <c r="D3767" s="30" t="s">
        <v>1588</v>
      </c>
      <c r="F3767" s="30" t="s">
        <v>1591</v>
      </c>
      <c r="H3767" s="30" t="s">
        <v>1592</v>
      </c>
      <c r="N3767" s="30" t="s">
        <v>2264</v>
      </c>
      <c r="P3767" s="30" t="s">
        <v>7199</v>
      </c>
      <c r="Q3767" t="s">
        <v>619</v>
      </c>
      <c r="R3767" t="s">
        <v>918</v>
      </c>
      <c r="S3767">
        <v>37</v>
      </c>
      <c r="T3767" s="29" t="str">
        <f>HYPERLINK("https://ictv.global/ictv/proposals/2021.010B.R.Binomial_names.zip","2021.010B.R.Binomial_names.zip")</f>
        <v>2021.010B.R.Binomial_names.zip</v>
      </c>
      <c r="U3767" s="29" t="str">
        <f>HYPERLINK("https://ictv.global/taxonomy/taxondetails?taxnode_id=202309967","ictv.global=202309967")</f>
        <v>ictv.global=202309967</v>
      </c>
    </row>
    <row r="3768" spans="1:21">
      <c r="A3768">
        <v>3767</v>
      </c>
      <c r="B3768" s="30" t="s">
        <v>1587</v>
      </c>
      <c r="D3768" s="30" t="s">
        <v>1588</v>
      </c>
      <c r="F3768" s="30" t="s">
        <v>1591</v>
      </c>
      <c r="H3768" s="30" t="s">
        <v>1592</v>
      </c>
      <c r="N3768" s="30" t="s">
        <v>2264</v>
      </c>
      <c r="P3768" s="30" t="s">
        <v>7200</v>
      </c>
      <c r="Q3768" t="s">
        <v>619</v>
      </c>
      <c r="R3768" t="s">
        <v>918</v>
      </c>
      <c r="S3768">
        <v>37</v>
      </c>
      <c r="T3768" s="29" t="str">
        <f>HYPERLINK("https://ictv.global/ictv/proposals/2021.010B.R.Binomial_names.zip","2021.010B.R.Binomial_names.zip")</f>
        <v>2021.010B.R.Binomial_names.zip</v>
      </c>
      <c r="U3768" s="29" t="str">
        <f>HYPERLINK("https://ictv.global/taxonomy/taxondetails?taxnode_id=202309968","ictv.global=202309968")</f>
        <v>ictv.global=202309968</v>
      </c>
    </row>
    <row r="3769" spans="1:21">
      <c r="A3769">
        <v>3768</v>
      </c>
      <c r="B3769" s="30" t="s">
        <v>1587</v>
      </c>
      <c r="D3769" s="30" t="s">
        <v>1588</v>
      </c>
      <c r="F3769" s="30" t="s">
        <v>1591</v>
      </c>
      <c r="H3769" s="30" t="s">
        <v>1592</v>
      </c>
      <c r="N3769" s="30" t="s">
        <v>2429</v>
      </c>
      <c r="P3769" s="30" t="s">
        <v>7201</v>
      </c>
      <c r="Q3769" t="s">
        <v>619</v>
      </c>
      <c r="R3769" t="s">
        <v>918</v>
      </c>
      <c r="S3769">
        <v>37</v>
      </c>
      <c r="T3769" s="29" t="str">
        <f>HYPERLINK("https://ictv.global/ictv/proposals/2021.010B.R.Binomial_names.zip","2021.010B.R.Binomial_names.zip")</f>
        <v>2021.010B.R.Binomial_names.zip</v>
      </c>
      <c r="U3769" s="29" t="str">
        <f>HYPERLINK("https://ictv.global/taxonomy/taxondetails?taxnode_id=202311658","ictv.global=202311658")</f>
        <v>ictv.global=202311658</v>
      </c>
    </row>
    <row r="3770" spans="1:21">
      <c r="A3770">
        <v>3769</v>
      </c>
      <c r="B3770" s="30" t="s">
        <v>1587</v>
      </c>
      <c r="D3770" s="30" t="s">
        <v>1588</v>
      </c>
      <c r="F3770" s="30" t="s">
        <v>1591</v>
      </c>
      <c r="H3770" s="30" t="s">
        <v>1592</v>
      </c>
      <c r="N3770" s="30" t="s">
        <v>1483</v>
      </c>
      <c r="P3770" s="30" t="s">
        <v>7202</v>
      </c>
      <c r="Q3770" t="s">
        <v>619</v>
      </c>
      <c r="R3770" t="s">
        <v>918</v>
      </c>
      <c r="S3770">
        <v>37</v>
      </c>
      <c r="T3770" s="29" t="str">
        <f>HYPERLINK("https://ictv.global/ictv/proposals/2021.010B.R.Binomial_names.zip","2021.010B.R.Binomial_names.zip")</f>
        <v>2021.010B.R.Binomial_names.zip</v>
      </c>
      <c r="U3770" s="29" t="str">
        <f>HYPERLINK("https://ictv.global/taxonomy/taxondetails?taxnode_id=202306737","ictv.global=202306737")</f>
        <v>ictv.global=202306737</v>
      </c>
    </row>
    <row r="3771" spans="1:21">
      <c r="A3771">
        <v>3770</v>
      </c>
      <c r="B3771" s="30" t="s">
        <v>1587</v>
      </c>
      <c r="D3771" s="30" t="s">
        <v>1588</v>
      </c>
      <c r="F3771" s="30" t="s">
        <v>1591</v>
      </c>
      <c r="H3771" s="30" t="s">
        <v>1592</v>
      </c>
      <c r="N3771" s="30" t="s">
        <v>12597</v>
      </c>
      <c r="P3771" s="30" t="s">
        <v>12598</v>
      </c>
      <c r="Q3771" t="s">
        <v>619</v>
      </c>
      <c r="R3771" t="s">
        <v>917</v>
      </c>
      <c r="S3771">
        <v>39</v>
      </c>
      <c r="T3771" s="29" t="str">
        <f>HYPERLINK("https://ictv.global/ictv/proposals/2023.003B.Actinobacteriophage_singletons_25ng.zip","2023.003B.Actinobacteriophage_singletons_25ng.zip")</f>
        <v>2023.003B.Actinobacteriophage_singletons_25ng.zip</v>
      </c>
      <c r="U3771" s="29" t="str">
        <f>HYPERLINK("https://ictv.global/taxonomy/taxondetails?taxnode_id=202317772","ictv.global=202317772")</f>
        <v>ictv.global=202317772</v>
      </c>
    </row>
    <row r="3772" spans="1:21">
      <c r="A3772">
        <v>3771</v>
      </c>
      <c r="B3772" s="30" t="s">
        <v>1587</v>
      </c>
      <c r="D3772" s="30" t="s">
        <v>1588</v>
      </c>
      <c r="F3772" s="30" t="s">
        <v>1591</v>
      </c>
      <c r="H3772" s="30" t="s">
        <v>1592</v>
      </c>
      <c r="N3772" s="30" t="s">
        <v>2265</v>
      </c>
      <c r="P3772" s="30" t="s">
        <v>7203</v>
      </c>
      <c r="Q3772" t="s">
        <v>619</v>
      </c>
      <c r="R3772" t="s">
        <v>918</v>
      </c>
      <c r="S3772">
        <v>37</v>
      </c>
      <c r="T3772" s="29" t="str">
        <f>HYPERLINK("https://ictv.global/ictv/proposals/2021.010B.R.Binomial_names.zip","2021.010B.R.Binomial_names.zip")</f>
        <v>2021.010B.R.Binomial_names.zip</v>
      </c>
      <c r="U3772" s="29" t="str">
        <f>HYPERLINK("https://ictv.global/taxonomy/taxondetails?taxnode_id=202300513","ictv.global=202300513")</f>
        <v>ictv.global=202300513</v>
      </c>
    </row>
    <row r="3773" spans="1:21">
      <c r="A3773">
        <v>3772</v>
      </c>
      <c r="B3773" s="30" t="s">
        <v>1587</v>
      </c>
      <c r="D3773" s="30" t="s">
        <v>1588</v>
      </c>
      <c r="F3773" s="30" t="s">
        <v>1591</v>
      </c>
      <c r="H3773" s="30" t="s">
        <v>1592</v>
      </c>
      <c r="N3773" s="30" t="s">
        <v>939</v>
      </c>
      <c r="P3773" s="30" t="s">
        <v>7204</v>
      </c>
      <c r="Q3773" t="s">
        <v>619</v>
      </c>
      <c r="R3773" t="s">
        <v>918</v>
      </c>
      <c r="S3773">
        <v>37</v>
      </c>
      <c r="T3773" s="29" t="str">
        <f>HYPERLINK("https://ictv.global/ictv/proposals/2021.010B.R.Binomial_names.zip","2021.010B.R.Binomial_names.zip")</f>
        <v>2021.010B.R.Binomial_names.zip</v>
      </c>
      <c r="U3773" s="29" t="str">
        <f>HYPERLINK("https://ictv.global/taxonomy/taxondetails?taxnode_id=202305543","ictv.global=202305543")</f>
        <v>ictv.global=202305543</v>
      </c>
    </row>
    <row r="3774" spans="1:21">
      <c r="A3774">
        <v>3773</v>
      </c>
      <c r="B3774" s="30" t="s">
        <v>1587</v>
      </c>
      <c r="D3774" s="30" t="s">
        <v>1588</v>
      </c>
      <c r="F3774" s="30" t="s">
        <v>1591</v>
      </c>
      <c r="H3774" s="30" t="s">
        <v>1592</v>
      </c>
      <c r="N3774" s="30" t="s">
        <v>939</v>
      </c>
      <c r="P3774" s="30" t="s">
        <v>7205</v>
      </c>
      <c r="Q3774" t="s">
        <v>619</v>
      </c>
      <c r="R3774" t="s">
        <v>918</v>
      </c>
      <c r="S3774">
        <v>37</v>
      </c>
      <c r="T3774" s="29" t="str">
        <f>HYPERLINK("https://ictv.global/ictv/proposals/2021.010B.R.Binomial_names.zip","2021.010B.R.Binomial_names.zip")</f>
        <v>2021.010B.R.Binomial_names.zip</v>
      </c>
      <c r="U3774" s="29" t="str">
        <f>HYPERLINK("https://ictv.global/taxonomy/taxondetails?taxnode_id=202305544","ictv.global=202305544")</f>
        <v>ictv.global=202305544</v>
      </c>
    </row>
    <row r="3775" spans="1:21">
      <c r="A3775">
        <v>3774</v>
      </c>
      <c r="B3775" s="30" t="s">
        <v>1587</v>
      </c>
      <c r="D3775" s="30" t="s">
        <v>1588</v>
      </c>
      <c r="F3775" s="30" t="s">
        <v>1591</v>
      </c>
      <c r="H3775" s="30" t="s">
        <v>1592</v>
      </c>
      <c r="N3775" s="30" t="s">
        <v>939</v>
      </c>
      <c r="P3775" s="30" t="s">
        <v>7206</v>
      </c>
      <c r="Q3775" t="s">
        <v>619</v>
      </c>
      <c r="R3775" t="s">
        <v>918</v>
      </c>
      <c r="S3775">
        <v>37</v>
      </c>
      <c r="T3775" s="29" t="str">
        <f>HYPERLINK("https://ictv.global/ictv/proposals/2021.010B.R.Binomial_names.zip","2021.010B.R.Binomial_names.zip")</f>
        <v>2021.010B.R.Binomial_names.zip</v>
      </c>
      <c r="U3775" s="29" t="str">
        <f>HYPERLINK("https://ictv.global/taxonomy/taxondetails?taxnode_id=202305545","ictv.global=202305545")</f>
        <v>ictv.global=202305545</v>
      </c>
    </row>
    <row r="3776" spans="1:21">
      <c r="A3776">
        <v>3775</v>
      </c>
      <c r="B3776" s="30" t="s">
        <v>1587</v>
      </c>
      <c r="D3776" s="30" t="s">
        <v>1588</v>
      </c>
      <c r="F3776" s="30" t="s">
        <v>1591</v>
      </c>
      <c r="H3776" s="30" t="s">
        <v>1592</v>
      </c>
      <c r="N3776" s="30" t="s">
        <v>939</v>
      </c>
      <c r="P3776" s="30" t="s">
        <v>7207</v>
      </c>
      <c r="Q3776" t="s">
        <v>619</v>
      </c>
      <c r="R3776" t="s">
        <v>918</v>
      </c>
      <c r="S3776">
        <v>37</v>
      </c>
      <c r="T3776" s="29" t="str">
        <f>HYPERLINK("https://ictv.global/ictv/proposals/2021.010B.R.Binomial_names.zip","2021.010B.R.Binomial_names.zip")</f>
        <v>2021.010B.R.Binomial_names.zip</v>
      </c>
      <c r="U3776" s="29" t="str">
        <f>HYPERLINK("https://ictv.global/taxonomy/taxondetails?taxnode_id=202305546","ictv.global=202305546")</f>
        <v>ictv.global=202305546</v>
      </c>
    </row>
    <row r="3777" spans="1:21">
      <c r="A3777">
        <v>3776</v>
      </c>
      <c r="B3777" s="30" t="s">
        <v>1587</v>
      </c>
      <c r="D3777" s="30" t="s">
        <v>1588</v>
      </c>
      <c r="F3777" s="30" t="s">
        <v>1591</v>
      </c>
      <c r="H3777" s="30" t="s">
        <v>1592</v>
      </c>
      <c r="N3777" s="30" t="s">
        <v>7208</v>
      </c>
      <c r="P3777" s="30" t="s">
        <v>7209</v>
      </c>
      <c r="Q3777" t="s">
        <v>619</v>
      </c>
      <c r="R3777" t="s">
        <v>917</v>
      </c>
      <c r="S3777">
        <v>38</v>
      </c>
      <c r="T3777" s="29" t="str">
        <f>HYPERLINK("https://ictv.global/ictv/proposals/2022.081B.Caudoviricetes_6ng_streptomyces.zip","2022.081B.Caudoviricetes_6ng_streptomyces.zip")</f>
        <v>2022.081B.Caudoviricetes_6ng_streptomyces.zip</v>
      </c>
      <c r="U3777" s="29" t="str">
        <f>HYPERLINK("https://ictv.global/taxonomy/taxondetails?taxnode_id=202314877","ictv.global=202314877")</f>
        <v>ictv.global=202314877</v>
      </c>
    </row>
    <row r="3778" spans="1:21">
      <c r="A3778">
        <v>3777</v>
      </c>
      <c r="B3778" s="30" t="s">
        <v>1587</v>
      </c>
      <c r="D3778" s="30" t="s">
        <v>1588</v>
      </c>
      <c r="F3778" s="30" t="s">
        <v>1591</v>
      </c>
      <c r="H3778" s="30" t="s">
        <v>1592</v>
      </c>
      <c r="N3778" s="30" t="s">
        <v>2310</v>
      </c>
      <c r="P3778" s="30" t="s">
        <v>7210</v>
      </c>
      <c r="Q3778" t="s">
        <v>619</v>
      </c>
      <c r="R3778" t="s">
        <v>918</v>
      </c>
      <c r="S3778">
        <v>37</v>
      </c>
      <c r="T3778" s="29" t="str">
        <f>HYPERLINK("https://ictv.global/ictv/proposals/2021.010B.R.Binomial_names.zip","2021.010B.R.Binomial_names.zip")</f>
        <v>2021.010B.R.Binomial_names.zip</v>
      </c>
      <c r="U3778" s="29" t="str">
        <f>HYPERLINK("https://ictv.global/taxonomy/taxondetails?taxnode_id=202300603","ictv.global=202300603")</f>
        <v>ictv.global=202300603</v>
      </c>
    </row>
    <row r="3779" spans="1:21">
      <c r="A3779">
        <v>3778</v>
      </c>
      <c r="B3779" s="30" t="s">
        <v>1587</v>
      </c>
      <c r="D3779" s="30" t="s">
        <v>1588</v>
      </c>
      <c r="F3779" s="30" t="s">
        <v>1591</v>
      </c>
      <c r="H3779" s="30" t="s">
        <v>1592</v>
      </c>
      <c r="N3779" s="30" t="s">
        <v>7211</v>
      </c>
      <c r="P3779" s="30" t="s">
        <v>7212</v>
      </c>
      <c r="Q3779" t="s">
        <v>619</v>
      </c>
      <c r="R3779" t="s">
        <v>917</v>
      </c>
      <c r="S3779">
        <v>37</v>
      </c>
      <c r="T3779" s="29" t="str">
        <f>HYPERLINK("https://ictv.global/ictv/proposals/2021.025B.R.Eagleeyevirus.zip","2021.025B.R.Eagleeyevirus.zip")</f>
        <v>2021.025B.R.Eagleeyevirus.zip</v>
      </c>
      <c r="U3779" s="29" t="str">
        <f>HYPERLINK("https://ictv.global/taxonomy/taxondetails?taxnode_id=202313522","ictv.global=202313522")</f>
        <v>ictv.global=202313522</v>
      </c>
    </row>
    <row r="3780" spans="1:21">
      <c r="A3780">
        <v>3779</v>
      </c>
      <c r="B3780" s="30" t="s">
        <v>1587</v>
      </c>
      <c r="D3780" s="30" t="s">
        <v>1588</v>
      </c>
      <c r="F3780" s="30" t="s">
        <v>1591</v>
      </c>
      <c r="H3780" s="30" t="s">
        <v>1592</v>
      </c>
      <c r="N3780" s="30" t="s">
        <v>1900</v>
      </c>
      <c r="P3780" s="30" t="s">
        <v>7213</v>
      </c>
      <c r="Q3780" t="s">
        <v>619</v>
      </c>
      <c r="R3780" t="s">
        <v>918</v>
      </c>
      <c r="S3780">
        <v>37</v>
      </c>
      <c r="T3780" s="29" t="str">
        <f>HYPERLINK("https://ictv.global/ictv/proposals/2021.010B.R.Binomial_names.zip","2021.010B.R.Binomial_names.zip")</f>
        <v>2021.010B.R.Binomial_names.zip</v>
      </c>
      <c r="U3780" s="29" t="str">
        <f>HYPERLINK("https://ictv.global/taxonomy/taxondetails?taxnode_id=202307839","ictv.global=202307839")</f>
        <v>ictv.global=202307839</v>
      </c>
    </row>
    <row r="3781" spans="1:21">
      <c r="A3781">
        <v>3780</v>
      </c>
      <c r="B3781" s="30" t="s">
        <v>1587</v>
      </c>
      <c r="D3781" s="30" t="s">
        <v>1588</v>
      </c>
      <c r="F3781" s="30" t="s">
        <v>1591</v>
      </c>
      <c r="H3781" s="30" t="s">
        <v>1592</v>
      </c>
      <c r="N3781" s="30" t="s">
        <v>12599</v>
      </c>
      <c r="P3781" s="30" t="s">
        <v>12600</v>
      </c>
      <c r="Q3781" t="s">
        <v>619</v>
      </c>
      <c r="R3781" t="s">
        <v>917</v>
      </c>
      <c r="S3781">
        <v>39</v>
      </c>
      <c r="T3781" s="29" t="str">
        <f>HYPERLINK("https://ictv.global/ictv/proposals/2023.049B.Caudoviricetes_Enterococcus_6ng.zip","2023.049B.Caudoviricetes_Enterococcus_6ng.zip")</f>
        <v>2023.049B.Caudoviricetes_Enterococcus_6ng.zip</v>
      </c>
      <c r="U3781" s="29" t="str">
        <f>HYPERLINK("https://ictv.global/taxonomy/taxondetails?taxnode_id=202319222","ictv.global=202319222")</f>
        <v>ictv.global=202319222</v>
      </c>
    </row>
    <row r="3782" spans="1:21">
      <c r="A3782">
        <v>3781</v>
      </c>
      <c r="B3782" s="30" t="s">
        <v>1587</v>
      </c>
      <c r="D3782" s="30" t="s">
        <v>1588</v>
      </c>
      <c r="F3782" s="30" t="s">
        <v>1591</v>
      </c>
      <c r="H3782" s="30" t="s">
        <v>1592</v>
      </c>
      <c r="N3782" s="30" t="s">
        <v>12601</v>
      </c>
      <c r="P3782" s="30" t="s">
        <v>12602</v>
      </c>
      <c r="Q3782" t="s">
        <v>619</v>
      </c>
      <c r="R3782" t="s">
        <v>917</v>
      </c>
      <c r="S3782">
        <v>39</v>
      </c>
      <c r="T3782" s="29" t="str">
        <f>HYPERLINK("https://ictv.global/ictv/proposals/2023.049B.Caudoviricetes_Enterococcus_6ng.zip","2023.049B.Caudoviricetes_Enterococcus_6ng.zip")</f>
        <v>2023.049B.Caudoviricetes_Enterococcus_6ng.zip</v>
      </c>
      <c r="U3782" s="29" t="str">
        <f>HYPERLINK("https://ictv.global/taxonomy/taxondetails?taxnode_id=202319218","ictv.global=202319218")</f>
        <v>ictv.global=202319218</v>
      </c>
    </row>
    <row r="3783" spans="1:21">
      <c r="A3783">
        <v>3782</v>
      </c>
      <c r="B3783" s="30" t="s">
        <v>1587</v>
      </c>
      <c r="D3783" s="30" t="s">
        <v>1588</v>
      </c>
      <c r="F3783" s="30" t="s">
        <v>1591</v>
      </c>
      <c r="H3783" s="30" t="s">
        <v>1592</v>
      </c>
      <c r="N3783" s="30" t="s">
        <v>12601</v>
      </c>
      <c r="P3783" s="30" t="s">
        <v>12603</v>
      </c>
      <c r="Q3783" t="s">
        <v>619</v>
      </c>
      <c r="R3783" t="s">
        <v>917</v>
      </c>
      <c r="S3783">
        <v>39</v>
      </c>
      <c r="T3783" s="29" t="str">
        <f>HYPERLINK("https://ictv.global/ictv/proposals/2023.049B.Caudoviricetes_Enterococcus_6ng.zip","2023.049B.Caudoviricetes_Enterococcus_6ng.zip")</f>
        <v>2023.049B.Caudoviricetes_Enterococcus_6ng.zip</v>
      </c>
      <c r="U3783" s="29" t="str">
        <f>HYPERLINK("https://ictv.global/taxonomy/taxondetails?taxnode_id=202319219","ictv.global=202319219")</f>
        <v>ictv.global=202319219</v>
      </c>
    </row>
    <row r="3784" spans="1:21">
      <c r="A3784">
        <v>3783</v>
      </c>
      <c r="B3784" s="30" t="s">
        <v>1587</v>
      </c>
      <c r="D3784" s="30" t="s">
        <v>1588</v>
      </c>
      <c r="F3784" s="30" t="s">
        <v>1591</v>
      </c>
      <c r="H3784" s="30" t="s">
        <v>1592</v>
      </c>
      <c r="N3784" s="30" t="s">
        <v>1484</v>
      </c>
      <c r="P3784" s="30" t="s">
        <v>7214</v>
      </c>
      <c r="Q3784" t="s">
        <v>619</v>
      </c>
      <c r="R3784" t="s">
        <v>918</v>
      </c>
      <c r="S3784">
        <v>37</v>
      </c>
      <c r="T3784" s="29" t="str">
        <f t="shared" ref="T3784:T3797" si="168">HYPERLINK("https://ictv.global/ictv/proposals/2021.010B.R.Binomial_names.zip","2021.010B.R.Binomial_names.zip")</f>
        <v>2021.010B.R.Binomial_names.zip</v>
      </c>
      <c r="U3784" s="29" t="str">
        <f>HYPERLINK("https://ictv.global/taxonomy/taxondetails?taxnode_id=202306936","ictv.global=202306936")</f>
        <v>ictv.global=202306936</v>
      </c>
    </row>
    <row r="3785" spans="1:21">
      <c r="A3785">
        <v>3784</v>
      </c>
      <c r="B3785" s="30" t="s">
        <v>1587</v>
      </c>
      <c r="D3785" s="30" t="s">
        <v>1588</v>
      </c>
      <c r="F3785" s="30" t="s">
        <v>1591</v>
      </c>
      <c r="H3785" s="30" t="s">
        <v>1592</v>
      </c>
      <c r="N3785" s="30" t="s">
        <v>1484</v>
      </c>
      <c r="P3785" s="30" t="s">
        <v>7215</v>
      </c>
      <c r="Q3785" t="s">
        <v>619</v>
      </c>
      <c r="R3785" t="s">
        <v>918</v>
      </c>
      <c r="S3785">
        <v>37</v>
      </c>
      <c r="T3785" s="29" t="str">
        <f t="shared" si="168"/>
        <v>2021.010B.R.Binomial_names.zip</v>
      </c>
      <c r="U3785" s="29" t="str">
        <f>HYPERLINK("https://ictv.global/taxonomy/taxondetails?taxnode_id=202306938","ictv.global=202306938")</f>
        <v>ictv.global=202306938</v>
      </c>
    </row>
    <row r="3786" spans="1:21">
      <c r="A3786">
        <v>3785</v>
      </c>
      <c r="B3786" s="30" t="s">
        <v>1587</v>
      </c>
      <c r="D3786" s="30" t="s">
        <v>1588</v>
      </c>
      <c r="F3786" s="30" t="s">
        <v>1591</v>
      </c>
      <c r="H3786" s="30" t="s">
        <v>1592</v>
      </c>
      <c r="N3786" s="30" t="s">
        <v>1484</v>
      </c>
      <c r="P3786" s="30" t="s">
        <v>7216</v>
      </c>
      <c r="Q3786" t="s">
        <v>619</v>
      </c>
      <c r="R3786" t="s">
        <v>918</v>
      </c>
      <c r="S3786">
        <v>37</v>
      </c>
      <c r="T3786" s="29" t="str">
        <f t="shared" si="168"/>
        <v>2021.010B.R.Binomial_names.zip</v>
      </c>
      <c r="U3786" s="29" t="str">
        <f>HYPERLINK("https://ictv.global/taxonomy/taxondetails?taxnode_id=202306939","ictv.global=202306939")</f>
        <v>ictv.global=202306939</v>
      </c>
    </row>
    <row r="3787" spans="1:21">
      <c r="A3787">
        <v>3786</v>
      </c>
      <c r="B3787" s="30" t="s">
        <v>1587</v>
      </c>
      <c r="D3787" s="30" t="s">
        <v>1588</v>
      </c>
      <c r="F3787" s="30" t="s">
        <v>1591</v>
      </c>
      <c r="H3787" s="30" t="s">
        <v>1592</v>
      </c>
      <c r="N3787" s="30" t="s">
        <v>1484</v>
      </c>
      <c r="P3787" s="30" t="s">
        <v>7217</v>
      </c>
      <c r="Q3787" t="s">
        <v>619</v>
      </c>
      <c r="R3787" t="s">
        <v>918</v>
      </c>
      <c r="S3787">
        <v>37</v>
      </c>
      <c r="T3787" s="29" t="str">
        <f t="shared" si="168"/>
        <v>2021.010B.R.Binomial_names.zip</v>
      </c>
      <c r="U3787" s="29" t="str">
        <f>HYPERLINK("https://ictv.global/taxonomy/taxondetails?taxnode_id=202306935","ictv.global=202306935")</f>
        <v>ictv.global=202306935</v>
      </c>
    </row>
    <row r="3788" spans="1:21">
      <c r="A3788">
        <v>3787</v>
      </c>
      <c r="B3788" s="30" t="s">
        <v>1587</v>
      </c>
      <c r="D3788" s="30" t="s">
        <v>1588</v>
      </c>
      <c r="F3788" s="30" t="s">
        <v>1591</v>
      </c>
      <c r="H3788" s="30" t="s">
        <v>1592</v>
      </c>
      <c r="N3788" s="30" t="s">
        <v>1484</v>
      </c>
      <c r="P3788" s="30" t="s">
        <v>7218</v>
      </c>
      <c r="Q3788" t="s">
        <v>619</v>
      </c>
      <c r="R3788" t="s">
        <v>918</v>
      </c>
      <c r="S3788">
        <v>37</v>
      </c>
      <c r="T3788" s="29" t="str">
        <f t="shared" si="168"/>
        <v>2021.010B.R.Binomial_names.zip</v>
      </c>
      <c r="U3788" s="29" t="str">
        <f>HYPERLINK("https://ictv.global/taxonomy/taxondetails?taxnode_id=202306940","ictv.global=202306940")</f>
        <v>ictv.global=202306940</v>
      </c>
    </row>
    <row r="3789" spans="1:21">
      <c r="A3789">
        <v>3788</v>
      </c>
      <c r="B3789" s="30" t="s">
        <v>1587</v>
      </c>
      <c r="D3789" s="30" t="s">
        <v>1588</v>
      </c>
      <c r="F3789" s="30" t="s">
        <v>1591</v>
      </c>
      <c r="H3789" s="30" t="s">
        <v>1592</v>
      </c>
      <c r="N3789" s="30" t="s">
        <v>1484</v>
      </c>
      <c r="P3789" s="30" t="s">
        <v>7219</v>
      </c>
      <c r="Q3789" t="s">
        <v>619</v>
      </c>
      <c r="R3789" t="s">
        <v>918</v>
      </c>
      <c r="S3789">
        <v>37</v>
      </c>
      <c r="T3789" s="29" t="str">
        <f t="shared" si="168"/>
        <v>2021.010B.R.Binomial_names.zip</v>
      </c>
      <c r="U3789" s="29" t="str">
        <f>HYPERLINK("https://ictv.global/taxonomy/taxondetails?taxnode_id=202306934","ictv.global=202306934")</f>
        <v>ictv.global=202306934</v>
      </c>
    </row>
    <row r="3790" spans="1:21">
      <c r="A3790">
        <v>3789</v>
      </c>
      <c r="B3790" s="30" t="s">
        <v>1587</v>
      </c>
      <c r="D3790" s="30" t="s">
        <v>1588</v>
      </c>
      <c r="F3790" s="30" t="s">
        <v>1591</v>
      </c>
      <c r="H3790" s="30" t="s">
        <v>1592</v>
      </c>
      <c r="N3790" s="30" t="s">
        <v>1484</v>
      </c>
      <c r="P3790" s="30" t="s">
        <v>7220</v>
      </c>
      <c r="Q3790" t="s">
        <v>619</v>
      </c>
      <c r="R3790" t="s">
        <v>918</v>
      </c>
      <c r="S3790">
        <v>37</v>
      </c>
      <c r="T3790" s="29" t="str">
        <f t="shared" si="168"/>
        <v>2021.010B.R.Binomial_names.zip</v>
      </c>
      <c r="U3790" s="29" t="str">
        <f>HYPERLINK("https://ictv.global/taxonomy/taxondetails?taxnode_id=202306946","ictv.global=202306946")</f>
        <v>ictv.global=202306946</v>
      </c>
    </row>
    <row r="3791" spans="1:21">
      <c r="A3791">
        <v>3790</v>
      </c>
      <c r="B3791" s="30" t="s">
        <v>1587</v>
      </c>
      <c r="D3791" s="30" t="s">
        <v>1588</v>
      </c>
      <c r="F3791" s="30" t="s">
        <v>1591</v>
      </c>
      <c r="H3791" s="30" t="s">
        <v>1592</v>
      </c>
      <c r="N3791" s="30" t="s">
        <v>1484</v>
      </c>
      <c r="P3791" s="30" t="s">
        <v>7221</v>
      </c>
      <c r="Q3791" t="s">
        <v>619</v>
      </c>
      <c r="R3791" t="s">
        <v>918</v>
      </c>
      <c r="S3791">
        <v>37</v>
      </c>
      <c r="T3791" s="29" t="str">
        <f t="shared" si="168"/>
        <v>2021.010B.R.Binomial_names.zip</v>
      </c>
      <c r="U3791" s="29" t="str">
        <f>HYPERLINK("https://ictv.global/taxonomy/taxondetails?taxnode_id=202306947","ictv.global=202306947")</f>
        <v>ictv.global=202306947</v>
      </c>
    </row>
    <row r="3792" spans="1:21">
      <c r="A3792">
        <v>3791</v>
      </c>
      <c r="B3792" s="30" t="s">
        <v>1587</v>
      </c>
      <c r="D3792" s="30" t="s">
        <v>1588</v>
      </c>
      <c r="F3792" s="30" t="s">
        <v>1591</v>
      </c>
      <c r="H3792" s="30" t="s">
        <v>1592</v>
      </c>
      <c r="N3792" s="30" t="s">
        <v>1484</v>
      </c>
      <c r="P3792" s="30" t="s">
        <v>7222</v>
      </c>
      <c r="Q3792" t="s">
        <v>619</v>
      </c>
      <c r="R3792" t="s">
        <v>918</v>
      </c>
      <c r="S3792">
        <v>37</v>
      </c>
      <c r="T3792" s="29" t="str">
        <f t="shared" si="168"/>
        <v>2021.010B.R.Binomial_names.zip</v>
      </c>
      <c r="U3792" s="29" t="str">
        <f>HYPERLINK("https://ictv.global/taxonomy/taxondetails?taxnode_id=202306937","ictv.global=202306937")</f>
        <v>ictv.global=202306937</v>
      </c>
    </row>
    <row r="3793" spans="1:21">
      <c r="A3793">
        <v>3792</v>
      </c>
      <c r="B3793" s="30" t="s">
        <v>1587</v>
      </c>
      <c r="D3793" s="30" t="s">
        <v>1588</v>
      </c>
      <c r="F3793" s="30" t="s">
        <v>1591</v>
      </c>
      <c r="H3793" s="30" t="s">
        <v>1592</v>
      </c>
      <c r="N3793" s="30" t="s">
        <v>1484</v>
      </c>
      <c r="P3793" s="30" t="s">
        <v>7223</v>
      </c>
      <c r="Q3793" t="s">
        <v>619</v>
      </c>
      <c r="R3793" t="s">
        <v>918</v>
      </c>
      <c r="S3793">
        <v>37</v>
      </c>
      <c r="T3793" s="29" t="str">
        <f t="shared" si="168"/>
        <v>2021.010B.R.Binomial_names.zip</v>
      </c>
      <c r="U3793" s="29" t="str">
        <f>HYPERLINK("https://ictv.global/taxonomy/taxondetails?taxnode_id=202306945","ictv.global=202306945")</f>
        <v>ictv.global=202306945</v>
      </c>
    </row>
    <row r="3794" spans="1:21">
      <c r="A3794">
        <v>3793</v>
      </c>
      <c r="B3794" s="30" t="s">
        <v>1587</v>
      </c>
      <c r="D3794" s="30" t="s">
        <v>1588</v>
      </c>
      <c r="F3794" s="30" t="s">
        <v>1591</v>
      </c>
      <c r="H3794" s="30" t="s">
        <v>1592</v>
      </c>
      <c r="N3794" s="30" t="s">
        <v>1484</v>
      </c>
      <c r="P3794" s="30" t="s">
        <v>7224</v>
      </c>
      <c r="Q3794" t="s">
        <v>619</v>
      </c>
      <c r="R3794" t="s">
        <v>918</v>
      </c>
      <c r="S3794">
        <v>37</v>
      </c>
      <c r="T3794" s="29" t="str">
        <f t="shared" si="168"/>
        <v>2021.010B.R.Binomial_names.zip</v>
      </c>
      <c r="U3794" s="29" t="str">
        <f>HYPERLINK("https://ictv.global/taxonomy/taxondetails?taxnode_id=202306943","ictv.global=202306943")</f>
        <v>ictv.global=202306943</v>
      </c>
    </row>
    <row r="3795" spans="1:21">
      <c r="A3795">
        <v>3794</v>
      </c>
      <c r="B3795" s="30" t="s">
        <v>1587</v>
      </c>
      <c r="D3795" s="30" t="s">
        <v>1588</v>
      </c>
      <c r="F3795" s="30" t="s">
        <v>1591</v>
      </c>
      <c r="H3795" s="30" t="s">
        <v>1592</v>
      </c>
      <c r="N3795" s="30" t="s">
        <v>1484</v>
      </c>
      <c r="P3795" s="30" t="s">
        <v>7225</v>
      </c>
      <c r="Q3795" t="s">
        <v>619</v>
      </c>
      <c r="R3795" t="s">
        <v>918</v>
      </c>
      <c r="S3795">
        <v>37</v>
      </c>
      <c r="T3795" s="29" t="str">
        <f t="shared" si="168"/>
        <v>2021.010B.R.Binomial_names.zip</v>
      </c>
      <c r="U3795" s="29" t="str">
        <f>HYPERLINK("https://ictv.global/taxonomy/taxondetails?taxnode_id=202306944","ictv.global=202306944")</f>
        <v>ictv.global=202306944</v>
      </c>
    </row>
    <row r="3796" spans="1:21">
      <c r="A3796">
        <v>3795</v>
      </c>
      <c r="B3796" s="30" t="s">
        <v>1587</v>
      </c>
      <c r="D3796" s="30" t="s">
        <v>1588</v>
      </c>
      <c r="F3796" s="30" t="s">
        <v>1591</v>
      </c>
      <c r="H3796" s="30" t="s">
        <v>1592</v>
      </c>
      <c r="N3796" s="30" t="s">
        <v>1484</v>
      </c>
      <c r="P3796" s="30" t="s">
        <v>7226</v>
      </c>
      <c r="Q3796" t="s">
        <v>619</v>
      </c>
      <c r="R3796" t="s">
        <v>918</v>
      </c>
      <c r="S3796">
        <v>37</v>
      </c>
      <c r="T3796" s="29" t="str">
        <f t="shared" si="168"/>
        <v>2021.010B.R.Binomial_names.zip</v>
      </c>
      <c r="U3796" s="29" t="str">
        <f>HYPERLINK("https://ictv.global/taxonomy/taxondetails?taxnode_id=202306942","ictv.global=202306942")</f>
        <v>ictv.global=202306942</v>
      </c>
    </row>
    <row r="3797" spans="1:21">
      <c r="A3797">
        <v>3796</v>
      </c>
      <c r="B3797" s="30" t="s">
        <v>1587</v>
      </c>
      <c r="D3797" s="30" t="s">
        <v>1588</v>
      </c>
      <c r="F3797" s="30" t="s">
        <v>1591</v>
      </c>
      <c r="H3797" s="30" t="s">
        <v>1592</v>
      </c>
      <c r="N3797" s="30" t="s">
        <v>1484</v>
      </c>
      <c r="P3797" s="30" t="s">
        <v>7227</v>
      </c>
      <c r="Q3797" t="s">
        <v>619</v>
      </c>
      <c r="R3797" t="s">
        <v>918</v>
      </c>
      <c r="S3797">
        <v>37</v>
      </c>
      <c r="T3797" s="29" t="str">
        <f t="shared" si="168"/>
        <v>2021.010B.R.Binomial_names.zip</v>
      </c>
      <c r="U3797" s="29" t="str">
        <f>HYPERLINK("https://ictv.global/taxonomy/taxondetails?taxnode_id=202306941","ictv.global=202306941")</f>
        <v>ictv.global=202306941</v>
      </c>
    </row>
    <row r="3798" spans="1:21">
      <c r="A3798">
        <v>3797</v>
      </c>
      <c r="B3798" s="30" t="s">
        <v>1587</v>
      </c>
      <c r="D3798" s="30" t="s">
        <v>1588</v>
      </c>
      <c r="F3798" s="30" t="s">
        <v>1591</v>
      </c>
      <c r="H3798" s="30" t="s">
        <v>1592</v>
      </c>
      <c r="N3798" s="30" t="s">
        <v>12604</v>
      </c>
      <c r="P3798" s="30" t="s">
        <v>12605</v>
      </c>
      <c r="Q3798" t="s">
        <v>619</v>
      </c>
      <c r="R3798" t="s">
        <v>917</v>
      </c>
      <c r="S3798">
        <v>39</v>
      </c>
      <c r="T3798" s="29" t="str">
        <f>HYPERLINK("https://ictv.global/ictv/proposals/2023.021B.Efunavirus_ng.zip","2023.021B.Efunavirus_ng.zip")</f>
        <v>2023.021B.Efunavirus_ng.zip</v>
      </c>
      <c r="U3798" s="29" t="str">
        <f>HYPERLINK("https://ictv.global/taxonomy/taxondetails?taxnode_id=202318501","ictv.global=202318501")</f>
        <v>ictv.global=202318501</v>
      </c>
    </row>
    <row r="3799" spans="1:21">
      <c r="A3799">
        <v>3798</v>
      </c>
      <c r="B3799" s="30" t="s">
        <v>1587</v>
      </c>
      <c r="D3799" s="30" t="s">
        <v>1588</v>
      </c>
      <c r="F3799" s="30" t="s">
        <v>1591</v>
      </c>
      <c r="H3799" s="30" t="s">
        <v>1592</v>
      </c>
      <c r="N3799" s="30" t="s">
        <v>12604</v>
      </c>
      <c r="P3799" s="30" t="s">
        <v>12606</v>
      </c>
      <c r="Q3799" t="s">
        <v>619</v>
      </c>
      <c r="R3799" t="s">
        <v>917</v>
      </c>
      <c r="S3799">
        <v>39</v>
      </c>
      <c r="T3799" s="29" t="str">
        <f>HYPERLINK("https://ictv.global/ictv/proposals/2023.021B.Efunavirus_ng.zip","2023.021B.Efunavirus_ng.zip")</f>
        <v>2023.021B.Efunavirus_ng.zip</v>
      </c>
      <c r="U3799" s="29" t="str">
        <f>HYPERLINK("https://ictv.global/taxonomy/taxondetails?taxnode_id=202318502","ictv.global=202318502")</f>
        <v>ictv.global=202318502</v>
      </c>
    </row>
    <row r="3800" spans="1:21">
      <c r="A3800">
        <v>3799</v>
      </c>
      <c r="B3800" s="30" t="s">
        <v>1587</v>
      </c>
      <c r="D3800" s="30" t="s">
        <v>1588</v>
      </c>
      <c r="F3800" s="30" t="s">
        <v>1591</v>
      </c>
      <c r="H3800" s="30" t="s">
        <v>1592</v>
      </c>
      <c r="N3800" s="30" t="s">
        <v>864</v>
      </c>
      <c r="P3800" s="30" t="s">
        <v>7228</v>
      </c>
      <c r="Q3800" t="s">
        <v>619</v>
      </c>
      <c r="R3800" t="s">
        <v>918</v>
      </c>
      <c r="S3800">
        <v>37</v>
      </c>
      <c r="T3800" s="29" t="str">
        <f>HYPERLINK("https://ictv.global/ictv/proposals/2021.010B.R.Binomial_names.zip","2021.010B.R.Binomial_names.zip")</f>
        <v>2021.010B.R.Binomial_names.zip</v>
      </c>
      <c r="U3800" s="29" t="str">
        <f>HYPERLINK("https://ictv.global/taxonomy/taxondetails?taxnode_id=202300967","ictv.global=202300967")</f>
        <v>ictv.global=202300967</v>
      </c>
    </row>
    <row r="3801" spans="1:21">
      <c r="A3801">
        <v>3800</v>
      </c>
      <c r="B3801" s="30" t="s">
        <v>1587</v>
      </c>
      <c r="D3801" s="30" t="s">
        <v>1588</v>
      </c>
      <c r="F3801" s="30" t="s">
        <v>1591</v>
      </c>
      <c r="H3801" s="30" t="s">
        <v>1592</v>
      </c>
      <c r="N3801" s="30" t="s">
        <v>1485</v>
      </c>
      <c r="P3801" s="30" t="s">
        <v>7229</v>
      </c>
      <c r="Q3801" t="s">
        <v>619</v>
      </c>
      <c r="R3801" t="s">
        <v>918</v>
      </c>
      <c r="S3801">
        <v>37</v>
      </c>
      <c r="T3801" s="29" t="str">
        <f>HYPERLINK("https://ictv.global/ictv/proposals/2021.010B.R.Binomial_names.zip","2021.010B.R.Binomial_names.zip")</f>
        <v>2021.010B.R.Binomial_names.zip</v>
      </c>
      <c r="U3801" s="29" t="str">
        <f>HYPERLINK("https://ictv.global/taxonomy/taxondetails?taxnode_id=202301379","ictv.global=202301379")</f>
        <v>ictv.global=202301379</v>
      </c>
    </row>
    <row r="3802" spans="1:21">
      <c r="A3802">
        <v>3801</v>
      </c>
      <c r="B3802" s="30" t="s">
        <v>1587</v>
      </c>
      <c r="D3802" s="30" t="s">
        <v>1588</v>
      </c>
      <c r="F3802" s="30" t="s">
        <v>1591</v>
      </c>
      <c r="H3802" s="30" t="s">
        <v>1592</v>
      </c>
      <c r="N3802" s="30" t="s">
        <v>7230</v>
      </c>
      <c r="P3802" s="30" t="s">
        <v>7231</v>
      </c>
      <c r="Q3802" t="s">
        <v>619</v>
      </c>
      <c r="R3802" t="s">
        <v>917</v>
      </c>
      <c r="S3802">
        <v>37</v>
      </c>
      <c r="T3802" s="29" t="str">
        <f t="shared" ref="T3802:T3807" si="169">HYPERLINK("https://ictv.global/ictv/proposals/2021.028B.R.Flavobacterium_phages_new_genera.zip","2021.028B.R.Flavobacterium_phages_new_genera.zip")</f>
        <v>2021.028B.R.Flavobacterium_phages_new_genera.zip</v>
      </c>
      <c r="U3802" s="29" t="str">
        <f>HYPERLINK("https://ictv.global/taxonomy/taxondetails?taxnode_id=202313530","ictv.global=202313530")</f>
        <v>ictv.global=202313530</v>
      </c>
    </row>
    <row r="3803" spans="1:21">
      <c r="A3803">
        <v>3802</v>
      </c>
      <c r="B3803" s="30" t="s">
        <v>1587</v>
      </c>
      <c r="D3803" s="30" t="s">
        <v>1588</v>
      </c>
      <c r="F3803" s="30" t="s">
        <v>1591</v>
      </c>
      <c r="H3803" s="30" t="s">
        <v>1592</v>
      </c>
      <c r="N3803" s="30" t="s">
        <v>7230</v>
      </c>
      <c r="P3803" s="30" t="s">
        <v>7232</v>
      </c>
      <c r="Q3803" t="s">
        <v>619</v>
      </c>
      <c r="R3803" t="s">
        <v>917</v>
      </c>
      <c r="S3803">
        <v>37</v>
      </c>
      <c r="T3803" s="29" t="str">
        <f t="shared" si="169"/>
        <v>2021.028B.R.Flavobacterium_phages_new_genera.zip</v>
      </c>
      <c r="U3803" s="29" t="str">
        <f>HYPERLINK("https://ictv.global/taxonomy/taxondetails?taxnode_id=202313531","ictv.global=202313531")</f>
        <v>ictv.global=202313531</v>
      </c>
    </row>
    <row r="3804" spans="1:21">
      <c r="A3804">
        <v>3803</v>
      </c>
      <c r="B3804" s="30" t="s">
        <v>1587</v>
      </c>
      <c r="D3804" s="30" t="s">
        <v>1588</v>
      </c>
      <c r="F3804" s="30" t="s">
        <v>1591</v>
      </c>
      <c r="H3804" s="30" t="s">
        <v>1592</v>
      </c>
      <c r="N3804" s="30" t="s">
        <v>7230</v>
      </c>
      <c r="P3804" s="30" t="s">
        <v>7233</v>
      </c>
      <c r="Q3804" t="s">
        <v>619</v>
      </c>
      <c r="R3804" t="s">
        <v>917</v>
      </c>
      <c r="S3804">
        <v>37</v>
      </c>
      <c r="T3804" s="29" t="str">
        <f t="shared" si="169"/>
        <v>2021.028B.R.Flavobacterium_phages_new_genera.zip</v>
      </c>
      <c r="U3804" s="29" t="str">
        <f>HYPERLINK("https://ictv.global/taxonomy/taxondetails?taxnode_id=202313532","ictv.global=202313532")</f>
        <v>ictv.global=202313532</v>
      </c>
    </row>
    <row r="3805" spans="1:21">
      <c r="A3805">
        <v>3804</v>
      </c>
      <c r="B3805" s="30" t="s">
        <v>1587</v>
      </c>
      <c r="D3805" s="30" t="s">
        <v>1588</v>
      </c>
      <c r="F3805" s="30" t="s">
        <v>1591</v>
      </c>
      <c r="H3805" s="30" t="s">
        <v>1592</v>
      </c>
      <c r="N3805" s="30" t="s">
        <v>7230</v>
      </c>
      <c r="P3805" s="30" t="s">
        <v>7234</v>
      </c>
      <c r="Q3805" t="s">
        <v>619</v>
      </c>
      <c r="R3805" t="s">
        <v>917</v>
      </c>
      <c r="S3805">
        <v>37</v>
      </c>
      <c r="T3805" s="29" t="str">
        <f t="shared" si="169"/>
        <v>2021.028B.R.Flavobacterium_phages_new_genera.zip</v>
      </c>
      <c r="U3805" s="29" t="str">
        <f>HYPERLINK("https://ictv.global/taxonomy/taxondetails?taxnode_id=202313533","ictv.global=202313533")</f>
        <v>ictv.global=202313533</v>
      </c>
    </row>
    <row r="3806" spans="1:21">
      <c r="A3806">
        <v>3805</v>
      </c>
      <c r="B3806" s="30" t="s">
        <v>1587</v>
      </c>
      <c r="D3806" s="30" t="s">
        <v>1588</v>
      </c>
      <c r="F3806" s="30" t="s">
        <v>1591</v>
      </c>
      <c r="H3806" s="30" t="s">
        <v>1592</v>
      </c>
      <c r="N3806" s="30" t="s">
        <v>7230</v>
      </c>
      <c r="P3806" s="30" t="s">
        <v>7235</v>
      </c>
      <c r="Q3806" t="s">
        <v>619</v>
      </c>
      <c r="R3806" t="s">
        <v>917</v>
      </c>
      <c r="S3806">
        <v>37</v>
      </c>
      <c r="T3806" s="29" t="str">
        <f t="shared" si="169"/>
        <v>2021.028B.R.Flavobacterium_phages_new_genera.zip</v>
      </c>
      <c r="U3806" s="29" t="str">
        <f>HYPERLINK("https://ictv.global/taxonomy/taxondetails?taxnode_id=202313534","ictv.global=202313534")</f>
        <v>ictv.global=202313534</v>
      </c>
    </row>
    <row r="3807" spans="1:21">
      <c r="A3807">
        <v>3806</v>
      </c>
      <c r="B3807" s="30" t="s">
        <v>1587</v>
      </c>
      <c r="D3807" s="30" t="s">
        <v>1588</v>
      </c>
      <c r="F3807" s="30" t="s">
        <v>1591</v>
      </c>
      <c r="H3807" s="30" t="s">
        <v>1592</v>
      </c>
      <c r="N3807" s="30" t="s">
        <v>7230</v>
      </c>
      <c r="P3807" s="30" t="s">
        <v>7236</v>
      </c>
      <c r="Q3807" t="s">
        <v>619</v>
      </c>
      <c r="R3807" t="s">
        <v>917</v>
      </c>
      <c r="S3807">
        <v>37</v>
      </c>
      <c r="T3807" s="29" t="str">
        <f t="shared" si="169"/>
        <v>2021.028B.R.Flavobacterium_phages_new_genera.zip</v>
      </c>
      <c r="U3807" s="29" t="str">
        <f>HYPERLINK("https://ictv.global/taxonomy/taxondetails?taxnode_id=202313535","ictv.global=202313535")</f>
        <v>ictv.global=202313535</v>
      </c>
    </row>
    <row r="3808" spans="1:21">
      <c r="A3808">
        <v>3807</v>
      </c>
      <c r="B3808" s="30" t="s">
        <v>1587</v>
      </c>
      <c r="D3808" s="30" t="s">
        <v>1588</v>
      </c>
      <c r="F3808" s="30" t="s">
        <v>1591</v>
      </c>
      <c r="H3808" s="30" t="s">
        <v>1592</v>
      </c>
      <c r="N3808" s="30" t="s">
        <v>1486</v>
      </c>
      <c r="P3808" s="30" t="s">
        <v>7237</v>
      </c>
      <c r="Q3808" t="s">
        <v>619</v>
      </c>
      <c r="R3808" t="s">
        <v>918</v>
      </c>
      <c r="S3808">
        <v>37</v>
      </c>
      <c r="T3808" s="29" t="str">
        <f t="shared" ref="T3808:T3816" si="170">HYPERLINK("https://ictv.global/ictv/proposals/2021.010B.R.Binomial_names.zip","2021.010B.R.Binomial_names.zip")</f>
        <v>2021.010B.R.Binomial_names.zip</v>
      </c>
      <c r="U3808" s="29" t="str">
        <f>HYPERLINK("https://ictv.global/taxonomy/taxondetails?taxnode_id=202306739","ictv.global=202306739")</f>
        <v>ictv.global=202306739</v>
      </c>
    </row>
    <row r="3809" spans="1:21">
      <c r="A3809">
        <v>3808</v>
      </c>
      <c r="B3809" s="30" t="s">
        <v>1587</v>
      </c>
      <c r="D3809" s="30" t="s">
        <v>1588</v>
      </c>
      <c r="F3809" s="30" t="s">
        <v>1591</v>
      </c>
      <c r="H3809" s="30" t="s">
        <v>1592</v>
      </c>
      <c r="N3809" s="30" t="s">
        <v>2266</v>
      </c>
      <c r="P3809" s="30" t="s">
        <v>7238</v>
      </c>
      <c r="Q3809" t="s">
        <v>619</v>
      </c>
      <c r="R3809" t="s">
        <v>918</v>
      </c>
      <c r="S3809">
        <v>37</v>
      </c>
      <c r="T3809" s="29" t="str">
        <f t="shared" si="170"/>
        <v>2021.010B.R.Binomial_names.zip</v>
      </c>
      <c r="U3809" s="29" t="str">
        <f>HYPERLINK("https://ictv.global/taxonomy/taxondetails?taxnode_id=202309991","ictv.global=202309991")</f>
        <v>ictv.global=202309991</v>
      </c>
    </row>
    <row r="3810" spans="1:21">
      <c r="A3810">
        <v>3809</v>
      </c>
      <c r="B3810" s="30" t="s">
        <v>1587</v>
      </c>
      <c r="D3810" s="30" t="s">
        <v>1588</v>
      </c>
      <c r="F3810" s="30" t="s">
        <v>1591</v>
      </c>
      <c r="H3810" s="30" t="s">
        <v>1592</v>
      </c>
      <c r="N3810" s="30" t="s">
        <v>1487</v>
      </c>
      <c r="P3810" s="30" t="s">
        <v>7240</v>
      </c>
      <c r="Q3810" t="s">
        <v>619</v>
      </c>
      <c r="R3810" t="s">
        <v>918</v>
      </c>
      <c r="S3810">
        <v>37</v>
      </c>
      <c r="T3810" s="29" t="str">
        <f t="shared" si="170"/>
        <v>2021.010B.R.Binomial_names.zip</v>
      </c>
      <c r="U3810" s="29" t="str">
        <f>HYPERLINK("https://ictv.global/taxonomy/taxondetails?taxnode_id=202306821","ictv.global=202306821")</f>
        <v>ictv.global=202306821</v>
      </c>
    </row>
    <row r="3811" spans="1:21">
      <c r="A3811">
        <v>3810</v>
      </c>
      <c r="B3811" s="30" t="s">
        <v>1587</v>
      </c>
      <c r="D3811" s="30" t="s">
        <v>1588</v>
      </c>
      <c r="F3811" s="30" t="s">
        <v>1591</v>
      </c>
      <c r="H3811" s="30" t="s">
        <v>1592</v>
      </c>
      <c r="N3811" s="30" t="s">
        <v>1487</v>
      </c>
      <c r="P3811" s="30" t="s">
        <v>7241</v>
      </c>
      <c r="Q3811" t="s">
        <v>619</v>
      </c>
      <c r="R3811" t="s">
        <v>918</v>
      </c>
      <c r="S3811">
        <v>37</v>
      </c>
      <c r="T3811" s="29" t="str">
        <f t="shared" si="170"/>
        <v>2021.010B.R.Binomial_names.zip</v>
      </c>
      <c r="U3811" s="29" t="str">
        <f>HYPERLINK("https://ictv.global/taxonomy/taxondetails?taxnode_id=202306818","ictv.global=202306818")</f>
        <v>ictv.global=202306818</v>
      </c>
    </row>
    <row r="3812" spans="1:21">
      <c r="A3812">
        <v>3811</v>
      </c>
      <c r="B3812" s="30" t="s">
        <v>1587</v>
      </c>
      <c r="D3812" s="30" t="s">
        <v>1588</v>
      </c>
      <c r="F3812" s="30" t="s">
        <v>1591</v>
      </c>
      <c r="H3812" s="30" t="s">
        <v>1592</v>
      </c>
      <c r="N3812" s="30" t="s">
        <v>1487</v>
      </c>
      <c r="P3812" s="30" t="s">
        <v>7242</v>
      </c>
      <c r="Q3812" t="s">
        <v>619</v>
      </c>
      <c r="R3812" t="s">
        <v>918</v>
      </c>
      <c r="S3812">
        <v>37</v>
      </c>
      <c r="T3812" s="29" t="str">
        <f t="shared" si="170"/>
        <v>2021.010B.R.Binomial_names.zip</v>
      </c>
      <c r="U3812" s="29" t="str">
        <f>HYPERLINK("https://ictv.global/taxonomy/taxondetails?taxnode_id=202306819","ictv.global=202306819")</f>
        <v>ictv.global=202306819</v>
      </c>
    </row>
    <row r="3813" spans="1:21">
      <c r="A3813">
        <v>3812</v>
      </c>
      <c r="B3813" s="30" t="s">
        <v>1587</v>
      </c>
      <c r="D3813" s="30" t="s">
        <v>1588</v>
      </c>
      <c r="F3813" s="30" t="s">
        <v>1591</v>
      </c>
      <c r="H3813" s="30" t="s">
        <v>1592</v>
      </c>
      <c r="N3813" s="30" t="s">
        <v>1487</v>
      </c>
      <c r="P3813" s="30" t="s">
        <v>7243</v>
      </c>
      <c r="Q3813" t="s">
        <v>619</v>
      </c>
      <c r="R3813" t="s">
        <v>918</v>
      </c>
      <c r="S3813">
        <v>37</v>
      </c>
      <c r="T3813" s="29" t="str">
        <f t="shared" si="170"/>
        <v>2021.010B.R.Binomial_names.zip</v>
      </c>
      <c r="U3813" s="29" t="str">
        <f>HYPERLINK("https://ictv.global/taxonomy/taxondetails?taxnode_id=202306820","ictv.global=202306820")</f>
        <v>ictv.global=202306820</v>
      </c>
    </row>
    <row r="3814" spans="1:21">
      <c r="A3814">
        <v>3813</v>
      </c>
      <c r="B3814" s="30" t="s">
        <v>1587</v>
      </c>
      <c r="D3814" s="30" t="s">
        <v>1588</v>
      </c>
      <c r="F3814" s="30" t="s">
        <v>1591</v>
      </c>
      <c r="H3814" s="30" t="s">
        <v>1592</v>
      </c>
      <c r="N3814" s="30" t="s">
        <v>1355</v>
      </c>
      <c r="P3814" s="30" t="s">
        <v>7244</v>
      </c>
      <c r="Q3814" t="s">
        <v>619</v>
      </c>
      <c r="R3814" t="s">
        <v>918</v>
      </c>
      <c r="S3814">
        <v>37</v>
      </c>
      <c r="T3814" s="29" t="str">
        <f t="shared" si="170"/>
        <v>2021.010B.R.Binomial_names.zip</v>
      </c>
      <c r="U3814" s="29" t="str">
        <f>HYPERLINK("https://ictv.global/taxonomy/taxondetails?taxnode_id=202300444","ictv.global=202300444")</f>
        <v>ictv.global=202300444</v>
      </c>
    </row>
    <row r="3815" spans="1:21">
      <c r="A3815">
        <v>3814</v>
      </c>
      <c r="B3815" s="30" t="s">
        <v>1587</v>
      </c>
      <c r="D3815" s="30" t="s">
        <v>1588</v>
      </c>
      <c r="F3815" s="30" t="s">
        <v>1591</v>
      </c>
      <c r="H3815" s="30" t="s">
        <v>1592</v>
      </c>
      <c r="N3815" s="30" t="s">
        <v>1355</v>
      </c>
      <c r="P3815" s="30" t="s">
        <v>7245</v>
      </c>
      <c r="Q3815" t="s">
        <v>619</v>
      </c>
      <c r="R3815" t="s">
        <v>918</v>
      </c>
      <c r="S3815">
        <v>37</v>
      </c>
      <c r="T3815" s="29" t="str">
        <f t="shared" si="170"/>
        <v>2021.010B.R.Binomial_names.zip</v>
      </c>
      <c r="U3815" s="29" t="str">
        <f>HYPERLINK("https://ictv.global/taxonomy/taxondetails?taxnode_id=202300445","ictv.global=202300445")</f>
        <v>ictv.global=202300445</v>
      </c>
    </row>
    <row r="3816" spans="1:21">
      <c r="A3816">
        <v>3815</v>
      </c>
      <c r="B3816" s="30" t="s">
        <v>1587</v>
      </c>
      <c r="D3816" s="30" t="s">
        <v>1588</v>
      </c>
      <c r="F3816" s="30" t="s">
        <v>1591</v>
      </c>
      <c r="H3816" s="30" t="s">
        <v>1592</v>
      </c>
      <c r="N3816" s="30" t="s">
        <v>1355</v>
      </c>
      <c r="P3816" s="30" t="s">
        <v>7246</v>
      </c>
      <c r="Q3816" t="s">
        <v>619</v>
      </c>
      <c r="R3816" t="s">
        <v>918</v>
      </c>
      <c r="S3816">
        <v>37</v>
      </c>
      <c r="T3816" s="29" t="str">
        <f t="shared" si="170"/>
        <v>2021.010B.R.Binomial_names.zip</v>
      </c>
      <c r="U3816" s="29" t="str">
        <f>HYPERLINK("https://ictv.global/taxonomy/taxondetails?taxnode_id=202300446","ictv.global=202300446")</f>
        <v>ictv.global=202300446</v>
      </c>
    </row>
    <row r="3817" spans="1:21">
      <c r="A3817">
        <v>3816</v>
      </c>
      <c r="B3817" s="30" t="s">
        <v>1587</v>
      </c>
      <c r="D3817" s="30" t="s">
        <v>1588</v>
      </c>
      <c r="F3817" s="30" t="s">
        <v>1591</v>
      </c>
      <c r="H3817" s="30" t="s">
        <v>1592</v>
      </c>
      <c r="N3817" s="30" t="s">
        <v>12607</v>
      </c>
      <c r="P3817" s="30" t="s">
        <v>12608</v>
      </c>
      <c r="Q3817" t="s">
        <v>619</v>
      </c>
      <c r="R3817" t="s">
        <v>917</v>
      </c>
      <c r="S3817">
        <v>39</v>
      </c>
      <c r="T3817" s="29" t="str">
        <f>HYPERLINK("https://ictv.global/ictv/proposals/2023.003B.Actinobacteriophage_singletons_25ng.zip","2023.003B.Actinobacteriophage_singletons_25ng.zip")</f>
        <v>2023.003B.Actinobacteriophage_singletons_25ng.zip</v>
      </c>
      <c r="U3817" s="29" t="str">
        <f>HYPERLINK("https://ictv.global/taxonomy/taxondetails?taxnode_id=202317754","ictv.global=202317754")</f>
        <v>ictv.global=202317754</v>
      </c>
    </row>
    <row r="3818" spans="1:21">
      <c r="A3818">
        <v>3817</v>
      </c>
      <c r="B3818" s="30" t="s">
        <v>1587</v>
      </c>
      <c r="D3818" s="30" t="s">
        <v>1588</v>
      </c>
      <c r="F3818" s="30" t="s">
        <v>1591</v>
      </c>
      <c r="H3818" s="30" t="s">
        <v>1592</v>
      </c>
      <c r="N3818" s="30" t="s">
        <v>7247</v>
      </c>
      <c r="P3818" s="30" t="s">
        <v>7248</v>
      </c>
      <c r="Q3818" t="s">
        <v>619</v>
      </c>
      <c r="R3818" t="s">
        <v>917</v>
      </c>
      <c r="S3818">
        <v>38</v>
      </c>
      <c r="T3818" s="29" t="str">
        <f>HYPERLINK("https://ictv.global/ictv/proposals/2022.032B.Caudoviricetes_5ng.zip","2022.032B.Caudoviricetes_5ng.zip")</f>
        <v>2022.032B.Caudoviricetes_5ng.zip</v>
      </c>
      <c r="U3818" s="29" t="str">
        <f>HYPERLINK("https://ictv.global/taxonomy/taxondetails?taxnode_id=202314591","ictv.global=202314591")</f>
        <v>ictv.global=202314591</v>
      </c>
    </row>
    <row r="3819" spans="1:21">
      <c r="A3819">
        <v>3818</v>
      </c>
      <c r="B3819" s="30" t="s">
        <v>1587</v>
      </c>
      <c r="D3819" s="30" t="s">
        <v>1588</v>
      </c>
      <c r="F3819" s="30" t="s">
        <v>1591</v>
      </c>
      <c r="H3819" s="30" t="s">
        <v>1592</v>
      </c>
      <c r="N3819" s="30" t="s">
        <v>7247</v>
      </c>
      <c r="P3819" s="30" t="s">
        <v>7249</v>
      </c>
      <c r="Q3819" t="s">
        <v>619</v>
      </c>
      <c r="R3819" t="s">
        <v>917</v>
      </c>
      <c r="S3819">
        <v>38</v>
      </c>
      <c r="T3819" s="29" t="str">
        <f>HYPERLINK("https://ictv.global/ictv/proposals/2022.032B.Caudoviricetes_5ng.zip","2022.032B.Caudoviricetes_5ng.zip")</f>
        <v>2022.032B.Caudoviricetes_5ng.zip</v>
      </c>
      <c r="U3819" s="29" t="str">
        <f>HYPERLINK("https://ictv.global/taxonomy/taxondetails?taxnode_id=202314592","ictv.global=202314592")</f>
        <v>ictv.global=202314592</v>
      </c>
    </row>
    <row r="3820" spans="1:21">
      <c r="A3820">
        <v>3819</v>
      </c>
      <c r="B3820" s="30" t="s">
        <v>1587</v>
      </c>
      <c r="D3820" s="30" t="s">
        <v>1588</v>
      </c>
      <c r="F3820" s="30" t="s">
        <v>1591</v>
      </c>
      <c r="H3820" s="30" t="s">
        <v>1592</v>
      </c>
      <c r="N3820" s="30" t="s">
        <v>1356</v>
      </c>
      <c r="P3820" s="30" t="s">
        <v>7250</v>
      </c>
      <c r="Q3820" t="s">
        <v>619</v>
      </c>
      <c r="R3820" t="s">
        <v>918</v>
      </c>
      <c r="S3820">
        <v>37</v>
      </c>
      <c r="T3820" s="29" t="str">
        <f>HYPERLINK("https://ictv.global/ictv/proposals/2021.010B.R.Binomial_names.zip","2021.010B.R.Binomial_names.zip")</f>
        <v>2021.010B.R.Binomial_names.zip</v>
      </c>
      <c r="U3820" s="29" t="str">
        <f>HYPERLINK("https://ictv.global/taxonomy/taxondetails?taxnode_id=202306669","ictv.global=202306669")</f>
        <v>ictv.global=202306669</v>
      </c>
    </row>
    <row r="3821" spans="1:21">
      <c r="A3821">
        <v>3820</v>
      </c>
      <c r="B3821" s="30" t="s">
        <v>1587</v>
      </c>
      <c r="D3821" s="30" t="s">
        <v>1588</v>
      </c>
      <c r="F3821" s="30" t="s">
        <v>1591</v>
      </c>
      <c r="H3821" s="30" t="s">
        <v>1592</v>
      </c>
      <c r="N3821" s="30" t="s">
        <v>1356</v>
      </c>
      <c r="P3821" s="30" t="s">
        <v>7251</v>
      </c>
      <c r="Q3821" t="s">
        <v>619</v>
      </c>
      <c r="R3821" t="s">
        <v>918</v>
      </c>
      <c r="S3821">
        <v>37</v>
      </c>
      <c r="T3821" s="29" t="str">
        <f>HYPERLINK("https://ictv.global/ictv/proposals/2021.010B.R.Binomial_names.zip","2021.010B.R.Binomial_names.zip")</f>
        <v>2021.010B.R.Binomial_names.zip</v>
      </c>
      <c r="U3821" s="29" t="str">
        <f>HYPERLINK("https://ictv.global/taxonomy/taxondetails?taxnode_id=202306670","ictv.global=202306670")</f>
        <v>ictv.global=202306670</v>
      </c>
    </row>
    <row r="3822" spans="1:21">
      <c r="A3822">
        <v>3821</v>
      </c>
      <c r="B3822" s="30" t="s">
        <v>1587</v>
      </c>
      <c r="D3822" s="30" t="s">
        <v>1588</v>
      </c>
      <c r="F3822" s="30" t="s">
        <v>1591</v>
      </c>
      <c r="H3822" s="30" t="s">
        <v>1592</v>
      </c>
      <c r="N3822" s="30" t="s">
        <v>7252</v>
      </c>
      <c r="P3822" s="30" t="s">
        <v>7253</v>
      </c>
      <c r="Q3822" t="s">
        <v>619</v>
      </c>
      <c r="R3822" t="s">
        <v>917</v>
      </c>
      <c r="S3822">
        <v>38</v>
      </c>
      <c r="T3822" s="29" t="str">
        <f>HYPERLINK("https://ictv.global/ictv/proposals/2022.089B.Caudoviricetes_3ng_vibrio.zip","2022.089B.Caudoviricetes_3ng_vibrio.zip")</f>
        <v>2022.089B.Caudoviricetes_3ng_vibrio.zip</v>
      </c>
      <c r="U3822" s="29" t="str">
        <f>HYPERLINK("https://ictv.global/taxonomy/taxondetails?taxnode_id=202314951","ictv.global=202314951")</f>
        <v>ictv.global=202314951</v>
      </c>
    </row>
    <row r="3823" spans="1:21">
      <c r="A3823">
        <v>3822</v>
      </c>
      <c r="B3823" s="30" t="s">
        <v>1587</v>
      </c>
      <c r="D3823" s="30" t="s">
        <v>1588</v>
      </c>
      <c r="F3823" s="30" t="s">
        <v>1591</v>
      </c>
      <c r="H3823" s="30" t="s">
        <v>1592</v>
      </c>
      <c r="N3823" s="30" t="s">
        <v>1417</v>
      </c>
      <c r="P3823" s="30" t="s">
        <v>7254</v>
      </c>
      <c r="Q3823" t="s">
        <v>619</v>
      </c>
      <c r="R3823" t="s">
        <v>918</v>
      </c>
      <c r="S3823">
        <v>37</v>
      </c>
      <c r="T3823" s="29" t="str">
        <f>HYPERLINK("https://ictv.global/ictv/proposals/2021.010B.R.Binomial_names.zip","2021.010B.R.Binomial_names.zip")</f>
        <v>2021.010B.R.Binomial_names.zip</v>
      </c>
      <c r="U3823" s="29" t="str">
        <f>HYPERLINK("https://ictv.global/taxonomy/taxondetails?taxnode_id=202300710","ictv.global=202300710")</f>
        <v>ictv.global=202300710</v>
      </c>
    </row>
    <row r="3824" spans="1:21">
      <c r="A3824">
        <v>3823</v>
      </c>
      <c r="B3824" s="30" t="s">
        <v>1587</v>
      </c>
      <c r="D3824" s="30" t="s">
        <v>1588</v>
      </c>
      <c r="F3824" s="30" t="s">
        <v>1591</v>
      </c>
      <c r="H3824" s="30" t="s">
        <v>1592</v>
      </c>
      <c r="N3824" s="30" t="s">
        <v>1417</v>
      </c>
      <c r="P3824" s="30" t="s">
        <v>7255</v>
      </c>
      <c r="Q3824" t="s">
        <v>619</v>
      </c>
      <c r="R3824" t="s">
        <v>918</v>
      </c>
      <c r="S3824">
        <v>37</v>
      </c>
      <c r="T3824" s="29" t="str">
        <f>HYPERLINK("https://ictv.global/ictv/proposals/2021.010B.R.Binomial_names.zip","2021.010B.R.Binomial_names.zip")</f>
        <v>2021.010B.R.Binomial_names.zip</v>
      </c>
      <c r="U3824" s="29" t="str">
        <f>HYPERLINK("https://ictv.global/taxonomy/taxondetails?taxnode_id=202300711","ictv.global=202300711")</f>
        <v>ictv.global=202300711</v>
      </c>
    </row>
    <row r="3825" spans="1:21">
      <c r="A3825">
        <v>3824</v>
      </c>
      <c r="B3825" s="30" t="s">
        <v>1587</v>
      </c>
      <c r="D3825" s="30" t="s">
        <v>1588</v>
      </c>
      <c r="F3825" s="30" t="s">
        <v>1591</v>
      </c>
      <c r="H3825" s="30" t="s">
        <v>1592</v>
      </c>
      <c r="N3825" s="30" t="s">
        <v>1417</v>
      </c>
      <c r="P3825" s="30" t="s">
        <v>7256</v>
      </c>
      <c r="Q3825" t="s">
        <v>619</v>
      </c>
      <c r="R3825" t="s">
        <v>918</v>
      </c>
      <c r="S3825">
        <v>37</v>
      </c>
      <c r="T3825" s="29" t="str">
        <f>HYPERLINK("https://ictv.global/ictv/proposals/2021.010B.R.Binomial_names.zip","2021.010B.R.Binomial_names.zip")</f>
        <v>2021.010B.R.Binomial_names.zip</v>
      </c>
      <c r="U3825" s="29" t="str">
        <f>HYPERLINK("https://ictv.global/taxonomy/taxondetails?taxnode_id=202300712","ictv.global=202300712")</f>
        <v>ictv.global=202300712</v>
      </c>
    </row>
    <row r="3826" spans="1:21">
      <c r="A3826">
        <v>3825</v>
      </c>
      <c r="B3826" s="30" t="s">
        <v>1587</v>
      </c>
      <c r="D3826" s="30" t="s">
        <v>1588</v>
      </c>
      <c r="F3826" s="30" t="s">
        <v>1591</v>
      </c>
      <c r="H3826" s="30" t="s">
        <v>1592</v>
      </c>
      <c r="N3826" s="30" t="s">
        <v>7257</v>
      </c>
      <c r="P3826" s="30" t="s">
        <v>7258</v>
      </c>
      <c r="Q3826" t="s">
        <v>619</v>
      </c>
      <c r="R3826" t="s">
        <v>917</v>
      </c>
      <c r="S3826">
        <v>38</v>
      </c>
      <c r="T3826" s="29" t="str">
        <f>HYPERLINK("https://ictv.global/ictv/proposals/2022.029B.Eowynvirus_ng.zip","2022.029B.Eowynvirus_ng.zip")</f>
        <v>2022.029B.Eowynvirus_ng.zip</v>
      </c>
      <c r="U3826" s="29" t="str">
        <f>HYPERLINK("https://ictv.global/taxonomy/taxondetails?taxnode_id=202314579","ictv.global=202314579")</f>
        <v>ictv.global=202314579</v>
      </c>
    </row>
    <row r="3827" spans="1:21">
      <c r="A3827">
        <v>3826</v>
      </c>
      <c r="B3827" s="30" t="s">
        <v>1587</v>
      </c>
      <c r="D3827" s="30" t="s">
        <v>1588</v>
      </c>
      <c r="F3827" s="30" t="s">
        <v>1591</v>
      </c>
      <c r="H3827" s="30" t="s">
        <v>1592</v>
      </c>
      <c r="N3827" s="30" t="s">
        <v>1816</v>
      </c>
      <c r="P3827" s="30" t="s">
        <v>7259</v>
      </c>
      <c r="Q3827" t="s">
        <v>619</v>
      </c>
      <c r="R3827" t="s">
        <v>918</v>
      </c>
      <c r="S3827">
        <v>37</v>
      </c>
      <c r="T3827" s="29" t="str">
        <f>HYPERLINK("https://ictv.global/ictv/proposals/2021.010B.R.Binomial_names.zip","2021.010B.R.Binomial_names.zip")</f>
        <v>2021.010B.R.Binomial_names.zip</v>
      </c>
      <c r="U3827" s="29" t="str">
        <f>HYPERLINK("https://ictv.global/taxonomy/taxondetails?taxnode_id=202308048","ictv.global=202308048")</f>
        <v>ictv.global=202308048</v>
      </c>
    </row>
    <row r="3828" spans="1:21">
      <c r="A3828">
        <v>3827</v>
      </c>
      <c r="B3828" s="30" t="s">
        <v>1587</v>
      </c>
      <c r="D3828" s="30" t="s">
        <v>1588</v>
      </c>
      <c r="F3828" s="30" t="s">
        <v>1591</v>
      </c>
      <c r="H3828" s="30" t="s">
        <v>1592</v>
      </c>
      <c r="N3828" s="30" t="s">
        <v>7260</v>
      </c>
      <c r="P3828" s="30" t="s">
        <v>7261</v>
      </c>
      <c r="Q3828" t="s">
        <v>619</v>
      </c>
      <c r="R3828" t="s">
        <v>917</v>
      </c>
      <c r="S3828">
        <v>38</v>
      </c>
      <c r="T3828" s="29" t="str">
        <f>HYPERLINK("https://ictv.global/ictv/proposals/2022.032B.Caudoviricetes_5ng.zip","2022.032B.Caudoviricetes_5ng.zip")</f>
        <v>2022.032B.Caudoviricetes_5ng.zip</v>
      </c>
      <c r="U3828" s="29" t="str">
        <f>HYPERLINK("https://ictv.global/taxonomy/taxondetails?taxnode_id=202314593","ictv.global=202314593")</f>
        <v>ictv.global=202314593</v>
      </c>
    </row>
    <row r="3829" spans="1:21">
      <c r="A3829">
        <v>3828</v>
      </c>
      <c r="B3829" s="30" t="s">
        <v>1587</v>
      </c>
      <c r="D3829" s="30" t="s">
        <v>1588</v>
      </c>
      <c r="F3829" s="30" t="s">
        <v>1591</v>
      </c>
      <c r="H3829" s="30" t="s">
        <v>1592</v>
      </c>
      <c r="N3829" s="30" t="s">
        <v>1817</v>
      </c>
      <c r="P3829" s="30" t="s">
        <v>7264</v>
      </c>
      <c r="Q3829" t="s">
        <v>619</v>
      </c>
      <c r="R3829" t="s">
        <v>918</v>
      </c>
      <c r="S3829">
        <v>37</v>
      </c>
      <c r="T3829" s="29" t="str">
        <f>HYPERLINK("https://ictv.global/ictv/proposals/2021.010B.R.Binomial_names.zip","2021.010B.R.Binomial_names.zip")</f>
        <v>2021.010B.R.Binomial_names.zip</v>
      </c>
      <c r="U3829" s="29" t="str">
        <f>HYPERLINK("https://ictv.global/taxonomy/taxondetails?taxnode_id=202307779","ictv.global=202307779")</f>
        <v>ictv.global=202307779</v>
      </c>
    </row>
    <row r="3830" spans="1:21">
      <c r="A3830">
        <v>3829</v>
      </c>
      <c r="B3830" s="30" t="s">
        <v>1587</v>
      </c>
      <c r="D3830" s="30" t="s">
        <v>1588</v>
      </c>
      <c r="F3830" s="30" t="s">
        <v>1591</v>
      </c>
      <c r="H3830" s="30" t="s">
        <v>1592</v>
      </c>
      <c r="N3830" s="30" t="s">
        <v>1817</v>
      </c>
      <c r="P3830" s="30" t="s">
        <v>7265</v>
      </c>
      <c r="Q3830" t="s">
        <v>619</v>
      </c>
      <c r="R3830" t="s">
        <v>918</v>
      </c>
      <c r="S3830">
        <v>37</v>
      </c>
      <c r="T3830" s="29" t="str">
        <f>HYPERLINK("https://ictv.global/ictv/proposals/2021.010B.R.Binomial_names.zip","2021.010B.R.Binomial_names.zip")</f>
        <v>2021.010B.R.Binomial_names.zip</v>
      </c>
      <c r="U3830" s="29" t="str">
        <f>HYPERLINK("https://ictv.global/taxonomy/taxondetails?taxnode_id=202307778","ictv.global=202307778")</f>
        <v>ictv.global=202307778</v>
      </c>
    </row>
    <row r="3831" spans="1:21">
      <c r="A3831">
        <v>3830</v>
      </c>
      <c r="B3831" s="30" t="s">
        <v>1587</v>
      </c>
      <c r="D3831" s="30" t="s">
        <v>1588</v>
      </c>
      <c r="F3831" s="30" t="s">
        <v>1591</v>
      </c>
      <c r="H3831" s="30" t="s">
        <v>1592</v>
      </c>
      <c r="N3831" s="30" t="s">
        <v>1817</v>
      </c>
      <c r="P3831" s="30" t="s">
        <v>7266</v>
      </c>
      <c r="Q3831" t="s">
        <v>619</v>
      </c>
      <c r="R3831" t="s">
        <v>918</v>
      </c>
      <c r="S3831">
        <v>37</v>
      </c>
      <c r="T3831" s="29" t="str">
        <f>HYPERLINK("https://ictv.global/ictv/proposals/2021.010B.R.Binomial_names.zip","2021.010B.R.Binomial_names.zip")</f>
        <v>2021.010B.R.Binomial_names.zip</v>
      </c>
      <c r="U3831" s="29" t="str">
        <f>HYPERLINK("https://ictv.global/taxonomy/taxondetails?taxnode_id=202307780","ictv.global=202307780")</f>
        <v>ictv.global=202307780</v>
      </c>
    </row>
    <row r="3832" spans="1:21">
      <c r="A3832">
        <v>3831</v>
      </c>
      <c r="B3832" s="30" t="s">
        <v>1587</v>
      </c>
      <c r="D3832" s="30" t="s">
        <v>1588</v>
      </c>
      <c r="F3832" s="30" t="s">
        <v>1591</v>
      </c>
      <c r="H3832" s="30" t="s">
        <v>1592</v>
      </c>
      <c r="N3832" s="30" t="s">
        <v>1488</v>
      </c>
      <c r="P3832" s="30" t="s">
        <v>7267</v>
      </c>
      <c r="Q3832" t="s">
        <v>619</v>
      </c>
      <c r="R3832" t="s">
        <v>918</v>
      </c>
      <c r="S3832">
        <v>37</v>
      </c>
      <c r="T3832" s="29" t="str">
        <f>HYPERLINK("https://ictv.global/ictv/proposals/2021.010B.R.Binomial_names.zip","2021.010B.R.Binomial_names.zip")</f>
        <v>2021.010B.R.Binomial_names.zip</v>
      </c>
      <c r="U3832" s="29" t="str">
        <f>HYPERLINK("https://ictv.global/taxonomy/taxondetails?taxnode_id=202306424","ictv.global=202306424")</f>
        <v>ictv.global=202306424</v>
      </c>
    </row>
    <row r="3833" spans="1:21">
      <c r="A3833">
        <v>3832</v>
      </c>
      <c r="B3833" s="30" t="s">
        <v>1587</v>
      </c>
      <c r="D3833" s="30" t="s">
        <v>1588</v>
      </c>
      <c r="F3833" s="30" t="s">
        <v>1591</v>
      </c>
      <c r="H3833" s="30" t="s">
        <v>1592</v>
      </c>
      <c r="N3833" s="30" t="s">
        <v>1901</v>
      </c>
      <c r="P3833" s="30" t="s">
        <v>7268</v>
      </c>
      <c r="Q3833" t="s">
        <v>619</v>
      </c>
      <c r="R3833" t="s">
        <v>918</v>
      </c>
      <c r="S3833">
        <v>37</v>
      </c>
      <c r="T3833" s="29" t="str">
        <f>HYPERLINK("https://ictv.global/ictv/proposals/2021.010B.R.Binomial_names.zip","2021.010B.R.Binomial_names.zip")</f>
        <v>2021.010B.R.Binomial_names.zip</v>
      </c>
      <c r="U3833" s="29" t="str">
        <f>HYPERLINK("https://ictv.global/taxonomy/taxondetails?taxnode_id=202307273","ictv.global=202307273")</f>
        <v>ictv.global=202307273</v>
      </c>
    </row>
    <row r="3834" spans="1:21">
      <c r="A3834">
        <v>3833</v>
      </c>
      <c r="B3834" s="30" t="s">
        <v>1587</v>
      </c>
      <c r="D3834" s="30" t="s">
        <v>1588</v>
      </c>
      <c r="F3834" s="30" t="s">
        <v>1591</v>
      </c>
      <c r="H3834" s="30" t="s">
        <v>1592</v>
      </c>
      <c r="N3834" s="30" t="s">
        <v>1901</v>
      </c>
      <c r="P3834" s="30" t="s">
        <v>7269</v>
      </c>
      <c r="Q3834" t="s">
        <v>619</v>
      </c>
      <c r="R3834" t="s">
        <v>917</v>
      </c>
      <c r="S3834">
        <v>37</v>
      </c>
      <c r="T3834" s="29" t="str">
        <f>HYPERLINK("https://ictv.global/ictv/proposals/2021.026B.R.Fairfaxidumvirus_new_species.zip","2021.026B.R.Fairfaxidumvirus_new_species.zip")</f>
        <v>2021.026B.R.Fairfaxidumvirus_new_species.zip</v>
      </c>
      <c r="U3834" s="29" t="str">
        <f>HYPERLINK("https://ictv.global/taxonomy/taxondetails?taxnode_id=202313523","ictv.global=202313523")</f>
        <v>ictv.global=202313523</v>
      </c>
    </row>
    <row r="3835" spans="1:21">
      <c r="A3835">
        <v>3834</v>
      </c>
      <c r="B3835" s="30" t="s">
        <v>1587</v>
      </c>
      <c r="D3835" s="30" t="s">
        <v>1588</v>
      </c>
      <c r="F3835" s="30" t="s">
        <v>1591</v>
      </c>
      <c r="H3835" s="30" t="s">
        <v>1592</v>
      </c>
      <c r="N3835" s="30" t="s">
        <v>1901</v>
      </c>
      <c r="P3835" s="30" t="s">
        <v>7270</v>
      </c>
      <c r="Q3835" t="s">
        <v>619</v>
      </c>
      <c r="R3835" t="s">
        <v>917</v>
      </c>
      <c r="S3835">
        <v>37</v>
      </c>
      <c r="T3835" s="29" t="str">
        <f>HYPERLINK("https://ictv.global/ictv/proposals/2021.026B.R.Fairfaxidumvirus_new_species.zip","2021.026B.R.Fairfaxidumvirus_new_species.zip")</f>
        <v>2021.026B.R.Fairfaxidumvirus_new_species.zip</v>
      </c>
      <c r="U3835" s="29" t="str">
        <f>HYPERLINK("https://ictv.global/taxonomy/taxondetails?taxnode_id=202313524","ictv.global=202313524")</f>
        <v>ictv.global=202313524</v>
      </c>
    </row>
    <row r="3836" spans="1:21">
      <c r="A3836">
        <v>3835</v>
      </c>
      <c r="B3836" s="30" t="s">
        <v>1587</v>
      </c>
      <c r="D3836" s="30" t="s">
        <v>1588</v>
      </c>
      <c r="F3836" s="30" t="s">
        <v>1591</v>
      </c>
      <c r="H3836" s="30" t="s">
        <v>1592</v>
      </c>
      <c r="N3836" s="30" t="s">
        <v>7271</v>
      </c>
      <c r="P3836" s="30" t="s">
        <v>7272</v>
      </c>
      <c r="Q3836" t="s">
        <v>619</v>
      </c>
      <c r="R3836" t="s">
        <v>917</v>
      </c>
      <c r="S3836">
        <v>38</v>
      </c>
      <c r="T3836" s="29" t="str">
        <f>HYPERLINK("https://ictv.global/ictv/proposals/2022.080B.Caudoviricetes_6ng.zip","2022.080B.Caudoviricetes_6ng.zip")</f>
        <v>2022.080B.Caudoviricetes_6ng.zip</v>
      </c>
      <c r="U3836" s="29" t="str">
        <f>HYPERLINK("https://ictv.global/taxonomy/taxondetails?taxnode_id=202314869","ictv.global=202314869")</f>
        <v>ictv.global=202314869</v>
      </c>
    </row>
    <row r="3837" spans="1:21">
      <c r="A3837">
        <v>3836</v>
      </c>
      <c r="B3837" s="30" t="s">
        <v>1587</v>
      </c>
      <c r="D3837" s="30" t="s">
        <v>1588</v>
      </c>
      <c r="F3837" s="30" t="s">
        <v>1591</v>
      </c>
      <c r="H3837" s="30" t="s">
        <v>1592</v>
      </c>
      <c r="N3837" s="30" t="s">
        <v>1489</v>
      </c>
      <c r="P3837" s="30" t="s">
        <v>7273</v>
      </c>
      <c r="Q3837" t="s">
        <v>619</v>
      </c>
      <c r="R3837" t="s">
        <v>918</v>
      </c>
      <c r="S3837">
        <v>37</v>
      </c>
      <c r="T3837" s="29" t="str">
        <f t="shared" ref="T3837:T3858" si="171">HYPERLINK("https://ictv.global/ictv/proposals/2021.010B.R.Binomial_names.zip","2021.010B.R.Binomial_names.zip")</f>
        <v>2021.010B.R.Binomial_names.zip</v>
      </c>
      <c r="U3837" s="29" t="str">
        <f>HYPERLINK("https://ictv.global/taxonomy/taxondetails?taxnode_id=202306560","ictv.global=202306560")</f>
        <v>ictv.global=202306560</v>
      </c>
    </row>
    <row r="3838" spans="1:21">
      <c r="A3838">
        <v>3837</v>
      </c>
      <c r="B3838" s="30" t="s">
        <v>1587</v>
      </c>
      <c r="D3838" s="30" t="s">
        <v>1588</v>
      </c>
      <c r="F3838" s="30" t="s">
        <v>1591</v>
      </c>
      <c r="H3838" s="30" t="s">
        <v>1592</v>
      </c>
      <c r="N3838" s="30" t="s">
        <v>2430</v>
      </c>
      <c r="P3838" s="30" t="s">
        <v>7274</v>
      </c>
      <c r="Q3838" t="s">
        <v>619</v>
      </c>
      <c r="R3838" t="s">
        <v>918</v>
      </c>
      <c r="S3838">
        <v>37</v>
      </c>
      <c r="T3838" s="29" t="str">
        <f t="shared" si="171"/>
        <v>2021.010B.R.Binomial_names.zip</v>
      </c>
      <c r="U3838" s="29" t="str">
        <f>HYPERLINK("https://ictv.global/taxonomy/taxondetails?taxnode_id=202310174","ictv.global=202310174")</f>
        <v>ictv.global=202310174</v>
      </c>
    </row>
    <row r="3839" spans="1:21">
      <c r="A3839">
        <v>3838</v>
      </c>
      <c r="B3839" s="30" t="s">
        <v>1587</v>
      </c>
      <c r="D3839" s="30" t="s">
        <v>1588</v>
      </c>
      <c r="F3839" s="30" t="s">
        <v>1591</v>
      </c>
      <c r="H3839" s="30" t="s">
        <v>1592</v>
      </c>
      <c r="N3839" s="30" t="s">
        <v>1902</v>
      </c>
      <c r="P3839" s="30" t="s">
        <v>7275</v>
      </c>
      <c r="Q3839" t="s">
        <v>619</v>
      </c>
      <c r="R3839" t="s">
        <v>918</v>
      </c>
      <c r="S3839">
        <v>37</v>
      </c>
      <c r="T3839" s="29" t="str">
        <f t="shared" si="171"/>
        <v>2021.010B.R.Binomial_names.zip</v>
      </c>
      <c r="U3839" s="29" t="str">
        <f>HYPERLINK("https://ictv.global/taxonomy/taxondetails?taxnode_id=202307842","ictv.global=202307842")</f>
        <v>ictv.global=202307842</v>
      </c>
    </row>
    <row r="3840" spans="1:21">
      <c r="A3840">
        <v>3839</v>
      </c>
      <c r="B3840" s="30" t="s">
        <v>1587</v>
      </c>
      <c r="D3840" s="30" t="s">
        <v>1588</v>
      </c>
      <c r="F3840" s="30" t="s">
        <v>1591</v>
      </c>
      <c r="H3840" s="30" t="s">
        <v>1592</v>
      </c>
      <c r="N3840" s="30" t="s">
        <v>1902</v>
      </c>
      <c r="P3840" s="30" t="s">
        <v>7276</v>
      </c>
      <c r="Q3840" t="s">
        <v>619</v>
      </c>
      <c r="R3840" t="s">
        <v>918</v>
      </c>
      <c r="S3840">
        <v>37</v>
      </c>
      <c r="T3840" s="29" t="str">
        <f t="shared" si="171"/>
        <v>2021.010B.R.Binomial_names.zip</v>
      </c>
      <c r="U3840" s="29" t="str">
        <f>HYPERLINK("https://ictv.global/taxonomy/taxondetails?taxnode_id=202307841","ictv.global=202307841")</f>
        <v>ictv.global=202307841</v>
      </c>
    </row>
    <row r="3841" spans="1:21">
      <c r="A3841">
        <v>3840</v>
      </c>
      <c r="B3841" s="30" t="s">
        <v>1587</v>
      </c>
      <c r="D3841" s="30" t="s">
        <v>1588</v>
      </c>
      <c r="F3841" s="30" t="s">
        <v>1591</v>
      </c>
      <c r="H3841" s="30" t="s">
        <v>1592</v>
      </c>
      <c r="N3841" s="30" t="s">
        <v>2431</v>
      </c>
      <c r="P3841" s="30" t="s">
        <v>7277</v>
      </c>
      <c r="Q3841" t="s">
        <v>619</v>
      </c>
      <c r="R3841" t="s">
        <v>918</v>
      </c>
      <c r="S3841">
        <v>37</v>
      </c>
      <c r="T3841" s="29" t="str">
        <f t="shared" si="171"/>
        <v>2021.010B.R.Binomial_names.zip</v>
      </c>
      <c r="U3841" s="29" t="str">
        <f>HYPERLINK("https://ictv.global/taxonomy/taxondetails?taxnode_id=202310004","ictv.global=202310004")</f>
        <v>ictv.global=202310004</v>
      </c>
    </row>
    <row r="3842" spans="1:21">
      <c r="A3842">
        <v>3841</v>
      </c>
      <c r="B3842" s="30" t="s">
        <v>1587</v>
      </c>
      <c r="D3842" s="30" t="s">
        <v>1588</v>
      </c>
      <c r="F3842" s="30" t="s">
        <v>1591</v>
      </c>
      <c r="H3842" s="30" t="s">
        <v>1592</v>
      </c>
      <c r="N3842" s="30" t="s">
        <v>2431</v>
      </c>
      <c r="P3842" s="30" t="s">
        <v>7278</v>
      </c>
      <c r="Q3842" t="s">
        <v>619</v>
      </c>
      <c r="R3842" t="s">
        <v>918</v>
      </c>
      <c r="S3842">
        <v>37</v>
      </c>
      <c r="T3842" s="29" t="str">
        <f t="shared" si="171"/>
        <v>2021.010B.R.Binomial_names.zip</v>
      </c>
      <c r="U3842" s="29" t="str">
        <f>HYPERLINK("https://ictv.global/taxonomy/taxondetails?taxnode_id=202301279","ictv.global=202301279")</f>
        <v>ictv.global=202301279</v>
      </c>
    </row>
    <row r="3843" spans="1:21">
      <c r="A3843">
        <v>3842</v>
      </c>
      <c r="B3843" s="30" t="s">
        <v>1587</v>
      </c>
      <c r="D3843" s="30" t="s">
        <v>1588</v>
      </c>
      <c r="F3843" s="30" t="s">
        <v>1591</v>
      </c>
      <c r="H3843" s="30" t="s">
        <v>1592</v>
      </c>
      <c r="N3843" s="30" t="s">
        <v>2431</v>
      </c>
      <c r="P3843" s="30" t="s">
        <v>7279</v>
      </c>
      <c r="Q3843" t="s">
        <v>619</v>
      </c>
      <c r="R3843" t="s">
        <v>918</v>
      </c>
      <c r="S3843">
        <v>37</v>
      </c>
      <c r="T3843" s="29" t="str">
        <f t="shared" si="171"/>
        <v>2021.010B.R.Binomial_names.zip</v>
      </c>
      <c r="U3843" s="29" t="str">
        <f>HYPERLINK("https://ictv.global/taxonomy/taxondetails?taxnode_id=202310009","ictv.global=202310009")</f>
        <v>ictv.global=202310009</v>
      </c>
    </row>
    <row r="3844" spans="1:21">
      <c r="A3844">
        <v>3843</v>
      </c>
      <c r="B3844" s="30" t="s">
        <v>1587</v>
      </c>
      <c r="D3844" s="30" t="s">
        <v>1588</v>
      </c>
      <c r="F3844" s="30" t="s">
        <v>1591</v>
      </c>
      <c r="H3844" s="30" t="s">
        <v>1592</v>
      </c>
      <c r="N3844" s="30" t="s">
        <v>2431</v>
      </c>
      <c r="P3844" s="30" t="s">
        <v>7280</v>
      </c>
      <c r="Q3844" t="s">
        <v>619</v>
      </c>
      <c r="R3844" t="s">
        <v>918</v>
      </c>
      <c r="S3844">
        <v>37</v>
      </c>
      <c r="T3844" s="29" t="str">
        <f t="shared" si="171"/>
        <v>2021.010B.R.Binomial_names.zip</v>
      </c>
      <c r="U3844" s="29" t="str">
        <f>HYPERLINK("https://ictv.global/taxonomy/taxondetails?taxnode_id=202310012","ictv.global=202310012")</f>
        <v>ictv.global=202310012</v>
      </c>
    </row>
    <row r="3845" spans="1:21">
      <c r="A3845">
        <v>3844</v>
      </c>
      <c r="B3845" s="30" t="s">
        <v>1587</v>
      </c>
      <c r="D3845" s="30" t="s">
        <v>1588</v>
      </c>
      <c r="F3845" s="30" t="s">
        <v>1591</v>
      </c>
      <c r="H3845" s="30" t="s">
        <v>1592</v>
      </c>
      <c r="N3845" s="30" t="s">
        <v>2431</v>
      </c>
      <c r="P3845" s="30" t="s">
        <v>7281</v>
      </c>
      <c r="Q3845" t="s">
        <v>619</v>
      </c>
      <c r="R3845" t="s">
        <v>918</v>
      </c>
      <c r="S3845">
        <v>37</v>
      </c>
      <c r="T3845" s="29" t="str">
        <f t="shared" si="171"/>
        <v>2021.010B.R.Binomial_names.zip</v>
      </c>
      <c r="U3845" s="29" t="str">
        <f>HYPERLINK("https://ictv.global/taxonomy/taxondetails?taxnode_id=202301280","ictv.global=202301280")</f>
        <v>ictv.global=202301280</v>
      </c>
    </row>
    <row r="3846" spans="1:21">
      <c r="A3846">
        <v>3845</v>
      </c>
      <c r="B3846" s="30" t="s">
        <v>1587</v>
      </c>
      <c r="D3846" s="30" t="s">
        <v>1588</v>
      </c>
      <c r="F3846" s="30" t="s">
        <v>1591</v>
      </c>
      <c r="H3846" s="30" t="s">
        <v>1592</v>
      </c>
      <c r="N3846" s="30" t="s">
        <v>2431</v>
      </c>
      <c r="P3846" s="30" t="s">
        <v>7282</v>
      </c>
      <c r="Q3846" t="s">
        <v>619</v>
      </c>
      <c r="R3846" t="s">
        <v>918</v>
      </c>
      <c r="S3846">
        <v>37</v>
      </c>
      <c r="T3846" s="29" t="str">
        <f t="shared" si="171"/>
        <v>2021.010B.R.Binomial_names.zip</v>
      </c>
      <c r="U3846" s="29" t="str">
        <f>HYPERLINK("https://ictv.global/taxonomy/taxondetails?taxnode_id=202310000","ictv.global=202310000")</f>
        <v>ictv.global=202310000</v>
      </c>
    </row>
    <row r="3847" spans="1:21">
      <c r="A3847">
        <v>3846</v>
      </c>
      <c r="B3847" s="30" t="s">
        <v>1587</v>
      </c>
      <c r="D3847" s="30" t="s">
        <v>1588</v>
      </c>
      <c r="F3847" s="30" t="s">
        <v>1591</v>
      </c>
      <c r="H3847" s="30" t="s">
        <v>1592</v>
      </c>
      <c r="N3847" s="30" t="s">
        <v>2431</v>
      </c>
      <c r="P3847" s="30" t="s">
        <v>7283</v>
      </c>
      <c r="Q3847" t="s">
        <v>619</v>
      </c>
      <c r="R3847" t="s">
        <v>918</v>
      </c>
      <c r="S3847">
        <v>37</v>
      </c>
      <c r="T3847" s="29" t="str">
        <f t="shared" si="171"/>
        <v>2021.010B.R.Binomial_names.zip</v>
      </c>
      <c r="U3847" s="29" t="str">
        <f>HYPERLINK("https://ictv.global/taxonomy/taxondetails?taxnode_id=202310007","ictv.global=202310007")</f>
        <v>ictv.global=202310007</v>
      </c>
    </row>
    <row r="3848" spans="1:21">
      <c r="A3848">
        <v>3847</v>
      </c>
      <c r="B3848" s="30" t="s">
        <v>1587</v>
      </c>
      <c r="D3848" s="30" t="s">
        <v>1588</v>
      </c>
      <c r="F3848" s="30" t="s">
        <v>1591</v>
      </c>
      <c r="H3848" s="30" t="s">
        <v>1592</v>
      </c>
      <c r="N3848" s="30" t="s">
        <v>2431</v>
      </c>
      <c r="P3848" s="30" t="s">
        <v>7284</v>
      </c>
      <c r="Q3848" t="s">
        <v>619</v>
      </c>
      <c r="R3848" t="s">
        <v>918</v>
      </c>
      <c r="S3848">
        <v>37</v>
      </c>
      <c r="T3848" s="29" t="str">
        <f t="shared" si="171"/>
        <v>2021.010B.R.Binomial_names.zip</v>
      </c>
      <c r="U3848" s="29" t="str">
        <f>HYPERLINK("https://ictv.global/taxonomy/taxondetails?taxnode_id=202310002","ictv.global=202310002")</f>
        <v>ictv.global=202310002</v>
      </c>
    </row>
    <row r="3849" spans="1:21">
      <c r="A3849">
        <v>3848</v>
      </c>
      <c r="B3849" s="30" t="s">
        <v>1587</v>
      </c>
      <c r="D3849" s="30" t="s">
        <v>1588</v>
      </c>
      <c r="F3849" s="30" t="s">
        <v>1591</v>
      </c>
      <c r="H3849" s="30" t="s">
        <v>1592</v>
      </c>
      <c r="N3849" s="30" t="s">
        <v>2431</v>
      </c>
      <c r="P3849" s="30" t="s">
        <v>7285</v>
      </c>
      <c r="Q3849" t="s">
        <v>619</v>
      </c>
      <c r="R3849" t="s">
        <v>918</v>
      </c>
      <c r="S3849">
        <v>37</v>
      </c>
      <c r="T3849" s="29" t="str">
        <f t="shared" si="171"/>
        <v>2021.010B.R.Binomial_names.zip</v>
      </c>
      <c r="U3849" s="29" t="str">
        <f>HYPERLINK("https://ictv.global/taxonomy/taxondetails?taxnode_id=202310001","ictv.global=202310001")</f>
        <v>ictv.global=202310001</v>
      </c>
    </row>
    <row r="3850" spans="1:21">
      <c r="A3850">
        <v>3849</v>
      </c>
      <c r="B3850" s="30" t="s">
        <v>1587</v>
      </c>
      <c r="D3850" s="30" t="s">
        <v>1588</v>
      </c>
      <c r="F3850" s="30" t="s">
        <v>1591</v>
      </c>
      <c r="H3850" s="30" t="s">
        <v>1592</v>
      </c>
      <c r="N3850" s="30" t="s">
        <v>2431</v>
      </c>
      <c r="P3850" s="30" t="s">
        <v>7286</v>
      </c>
      <c r="Q3850" t="s">
        <v>619</v>
      </c>
      <c r="R3850" t="s">
        <v>918</v>
      </c>
      <c r="S3850">
        <v>37</v>
      </c>
      <c r="T3850" s="29" t="str">
        <f t="shared" si="171"/>
        <v>2021.010B.R.Binomial_names.zip</v>
      </c>
      <c r="U3850" s="29" t="str">
        <f>HYPERLINK("https://ictv.global/taxonomy/taxondetails?taxnode_id=202310008","ictv.global=202310008")</f>
        <v>ictv.global=202310008</v>
      </c>
    </row>
    <row r="3851" spans="1:21">
      <c r="A3851">
        <v>3850</v>
      </c>
      <c r="B3851" s="30" t="s">
        <v>1587</v>
      </c>
      <c r="D3851" s="30" t="s">
        <v>1588</v>
      </c>
      <c r="F3851" s="30" t="s">
        <v>1591</v>
      </c>
      <c r="H3851" s="30" t="s">
        <v>1592</v>
      </c>
      <c r="N3851" s="30" t="s">
        <v>2431</v>
      </c>
      <c r="P3851" s="30" t="s">
        <v>7287</v>
      </c>
      <c r="Q3851" t="s">
        <v>619</v>
      </c>
      <c r="R3851" t="s">
        <v>918</v>
      </c>
      <c r="S3851">
        <v>37</v>
      </c>
      <c r="T3851" s="29" t="str">
        <f t="shared" si="171"/>
        <v>2021.010B.R.Binomial_names.zip</v>
      </c>
      <c r="U3851" s="29" t="str">
        <f>HYPERLINK("https://ictv.global/taxonomy/taxondetails?taxnode_id=202310010","ictv.global=202310010")</f>
        <v>ictv.global=202310010</v>
      </c>
    </row>
    <row r="3852" spans="1:21">
      <c r="A3852">
        <v>3851</v>
      </c>
      <c r="B3852" s="30" t="s">
        <v>1587</v>
      </c>
      <c r="D3852" s="30" t="s">
        <v>1588</v>
      </c>
      <c r="F3852" s="30" t="s">
        <v>1591</v>
      </c>
      <c r="H3852" s="30" t="s">
        <v>1592</v>
      </c>
      <c r="N3852" s="30" t="s">
        <v>2431</v>
      </c>
      <c r="P3852" s="30" t="s">
        <v>7288</v>
      </c>
      <c r="Q3852" t="s">
        <v>619</v>
      </c>
      <c r="R3852" t="s">
        <v>918</v>
      </c>
      <c r="S3852">
        <v>37</v>
      </c>
      <c r="T3852" s="29" t="str">
        <f t="shared" si="171"/>
        <v>2021.010B.R.Binomial_names.zip</v>
      </c>
      <c r="U3852" s="29" t="str">
        <f>HYPERLINK("https://ictv.global/taxonomy/taxondetails?taxnode_id=202310006","ictv.global=202310006")</f>
        <v>ictv.global=202310006</v>
      </c>
    </row>
    <row r="3853" spans="1:21">
      <c r="A3853">
        <v>3852</v>
      </c>
      <c r="B3853" s="30" t="s">
        <v>1587</v>
      </c>
      <c r="D3853" s="30" t="s">
        <v>1588</v>
      </c>
      <c r="F3853" s="30" t="s">
        <v>1591</v>
      </c>
      <c r="H3853" s="30" t="s">
        <v>1592</v>
      </c>
      <c r="N3853" s="30" t="s">
        <v>2431</v>
      </c>
      <c r="P3853" s="30" t="s">
        <v>7289</v>
      </c>
      <c r="Q3853" t="s">
        <v>619</v>
      </c>
      <c r="R3853" t="s">
        <v>918</v>
      </c>
      <c r="S3853">
        <v>37</v>
      </c>
      <c r="T3853" s="29" t="str">
        <f t="shared" si="171"/>
        <v>2021.010B.R.Binomial_names.zip</v>
      </c>
      <c r="U3853" s="29" t="str">
        <f>HYPERLINK("https://ictv.global/taxonomy/taxondetails?taxnode_id=202310003","ictv.global=202310003")</f>
        <v>ictv.global=202310003</v>
      </c>
    </row>
    <row r="3854" spans="1:21">
      <c r="A3854">
        <v>3853</v>
      </c>
      <c r="B3854" s="30" t="s">
        <v>1587</v>
      </c>
      <c r="D3854" s="30" t="s">
        <v>1588</v>
      </c>
      <c r="F3854" s="30" t="s">
        <v>1591</v>
      </c>
      <c r="H3854" s="30" t="s">
        <v>1592</v>
      </c>
      <c r="N3854" s="30" t="s">
        <v>2431</v>
      </c>
      <c r="P3854" s="30" t="s">
        <v>7290</v>
      </c>
      <c r="Q3854" t="s">
        <v>619</v>
      </c>
      <c r="R3854" t="s">
        <v>918</v>
      </c>
      <c r="S3854">
        <v>37</v>
      </c>
      <c r="T3854" s="29" t="str">
        <f t="shared" si="171"/>
        <v>2021.010B.R.Binomial_names.zip</v>
      </c>
      <c r="U3854" s="29" t="str">
        <f>HYPERLINK("https://ictv.global/taxonomy/taxondetails?taxnode_id=202301281","ictv.global=202301281")</f>
        <v>ictv.global=202301281</v>
      </c>
    </row>
    <row r="3855" spans="1:21">
      <c r="A3855">
        <v>3854</v>
      </c>
      <c r="B3855" s="30" t="s">
        <v>1587</v>
      </c>
      <c r="D3855" s="30" t="s">
        <v>1588</v>
      </c>
      <c r="F3855" s="30" t="s">
        <v>1591</v>
      </c>
      <c r="H3855" s="30" t="s">
        <v>1592</v>
      </c>
      <c r="N3855" s="30" t="s">
        <v>2431</v>
      </c>
      <c r="P3855" s="30" t="s">
        <v>7291</v>
      </c>
      <c r="Q3855" t="s">
        <v>619</v>
      </c>
      <c r="R3855" t="s">
        <v>918</v>
      </c>
      <c r="S3855">
        <v>37</v>
      </c>
      <c r="T3855" s="29" t="str">
        <f t="shared" si="171"/>
        <v>2021.010B.R.Binomial_names.zip</v>
      </c>
      <c r="U3855" s="29" t="str">
        <f>HYPERLINK("https://ictv.global/taxonomy/taxondetails?taxnode_id=202301282","ictv.global=202301282")</f>
        <v>ictv.global=202301282</v>
      </c>
    </row>
    <row r="3856" spans="1:21">
      <c r="A3856">
        <v>3855</v>
      </c>
      <c r="B3856" s="30" t="s">
        <v>1587</v>
      </c>
      <c r="D3856" s="30" t="s">
        <v>1588</v>
      </c>
      <c r="F3856" s="30" t="s">
        <v>1591</v>
      </c>
      <c r="H3856" s="30" t="s">
        <v>1592</v>
      </c>
      <c r="N3856" s="30" t="s">
        <v>2431</v>
      </c>
      <c r="P3856" s="30" t="s">
        <v>7292</v>
      </c>
      <c r="Q3856" t="s">
        <v>619</v>
      </c>
      <c r="R3856" t="s">
        <v>918</v>
      </c>
      <c r="S3856">
        <v>37</v>
      </c>
      <c r="T3856" s="29" t="str">
        <f t="shared" si="171"/>
        <v>2021.010B.R.Binomial_names.zip</v>
      </c>
      <c r="U3856" s="29" t="str">
        <f>HYPERLINK("https://ictv.global/taxonomy/taxondetails?taxnode_id=202301283","ictv.global=202301283")</f>
        <v>ictv.global=202301283</v>
      </c>
    </row>
    <row r="3857" spans="1:21">
      <c r="A3857">
        <v>3856</v>
      </c>
      <c r="B3857" s="30" t="s">
        <v>1587</v>
      </c>
      <c r="D3857" s="30" t="s">
        <v>1588</v>
      </c>
      <c r="F3857" s="30" t="s">
        <v>1591</v>
      </c>
      <c r="H3857" s="30" t="s">
        <v>1592</v>
      </c>
      <c r="N3857" s="30" t="s">
        <v>2431</v>
      </c>
      <c r="P3857" s="30" t="s">
        <v>7293</v>
      </c>
      <c r="Q3857" t="s">
        <v>619</v>
      </c>
      <c r="R3857" t="s">
        <v>918</v>
      </c>
      <c r="S3857">
        <v>37</v>
      </c>
      <c r="T3857" s="29" t="str">
        <f t="shared" si="171"/>
        <v>2021.010B.R.Binomial_names.zip</v>
      </c>
      <c r="U3857" s="29" t="str">
        <f>HYPERLINK("https://ictv.global/taxonomy/taxondetails?taxnode_id=202310005","ictv.global=202310005")</f>
        <v>ictv.global=202310005</v>
      </c>
    </row>
    <row r="3858" spans="1:21">
      <c r="A3858">
        <v>3857</v>
      </c>
      <c r="B3858" s="30" t="s">
        <v>1587</v>
      </c>
      <c r="D3858" s="30" t="s">
        <v>1588</v>
      </c>
      <c r="F3858" s="30" t="s">
        <v>1591</v>
      </c>
      <c r="H3858" s="30" t="s">
        <v>1592</v>
      </c>
      <c r="N3858" s="30" t="s">
        <v>2431</v>
      </c>
      <c r="P3858" s="30" t="s">
        <v>7294</v>
      </c>
      <c r="Q3858" t="s">
        <v>619</v>
      </c>
      <c r="R3858" t="s">
        <v>918</v>
      </c>
      <c r="S3858">
        <v>37</v>
      </c>
      <c r="T3858" s="29" t="str">
        <f t="shared" si="171"/>
        <v>2021.010B.R.Binomial_names.zip</v>
      </c>
      <c r="U3858" s="29" t="str">
        <f>HYPERLINK("https://ictv.global/taxonomy/taxondetails?taxnode_id=202310011","ictv.global=202310011")</f>
        <v>ictv.global=202310011</v>
      </c>
    </row>
    <row r="3859" spans="1:21">
      <c r="A3859">
        <v>3858</v>
      </c>
      <c r="B3859" s="30" t="s">
        <v>1587</v>
      </c>
      <c r="D3859" s="30" t="s">
        <v>1588</v>
      </c>
      <c r="F3859" s="30" t="s">
        <v>1591</v>
      </c>
      <c r="H3859" s="30" t="s">
        <v>1592</v>
      </c>
      <c r="N3859" s="30" t="s">
        <v>7295</v>
      </c>
      <c r="P3859" s="30" t="s">
        <v>7296</v>
      </c>
      <c r="Q3859" t="s">
        <v>619</v>
      </c>
      <c r="R3859" t="s">
        <v>917</v>
      </c>
      <c r="S3859">
        <v>38</v>
      </c>
      <c r="T3859" s="29" t="str">
        <f>HYPERLINK("https://ictv.global/ictv/proposals/2022.031B.Ferozepurvirus_ng.zip","2022.031B.Ferozepurvirus_ng.zip")</f>
        <v>2022.031B.Ferozepurvirus_ng.zip</v>
      </c>
      <c r="U3859" s="29" t="str">
        <f>HYPERLINK("https://ictv.global/taxonomy/taxondetails?taxnode_id=202314582","ictv.global=202314582")</f>
        <v>ictv.global=202314582</v>
      </c>
    </row>
    <row r="3860" spans="1:21">
      <c r="A3860">
        <v>3859</v>
      </c>
      <c r="B3860" s="30" t="s">
        <v>1587</v>
      </c>
      <c r="D3860" s="30" t="s">
        <v>1588</v>
      </c>
      <c r="F3860" s="30" t="s">
        <v>1591</v>
      </c>
      <c r="H3860" s="30" t="s">
        <v>1592</v>
      </c>
      <c r="N3860" s="30" t="s">
        <v>7295</v>
      </c>
      <c r="P3860" s="30" t="s">
        <v>7297</v>
      </c>
      <c r="Q3860" t="s">
        <v>619</v>
      </c>
      <c r="R3860" t="s">
        <v>917</v>
      </c>
      <c r="S3860">
        <v>38</v>
      </c>
      <c r="T3860" s="29" t="str">
        <f>HYPERLINK("https://ictv.global/ictv/proposals/2022.031B.Ferozepurvirus_ng.zip","2022.031B.Ferozepurvirus_ng.zip")</f>
        <v>2022.031B.Ferozepurvirus_ng.zip</v>
      </c>
      <c r="U3860" s="29" t="str">
        <f>HYPERLINK("https://ictv.global/taxonomy/taxondetails?taxnode_id=202314581","ictv.global=202314581")</f>
        <v>ictv.global=202314581</v>
      </c>
    </row>
    <row r="3861" spans="1:21">
      <c r="A3861">
        <v>3860</v>
      </c>
      <c r="B3861" s="30" t="s">
        <v>1587</v>
      </c>
      <c r="D3861" s="30" t="s">
        <v>1588</v>
      </c>
      <c r="F3861" s="30" t="s">
        <v>1591</v>
      </c>
      <c r="H3861" s="30" t="s">
        <v>1592</v>
      </c>
      <c r="N3861" s="30" t="s">
        <v>1903</v>
      </c>
      <c r="P3861" s="30" t="s">
        <v>7298</v>
      </c>
      <c r="Q3861" t="s">
        <v>619</v>
      </c>
      <c r="R3861" t="s">
        <v>918</v>
      </c>
      <c r="S3861">
        <v>37</v>
      </c>
      <c r="T3861" s="29" t="str">
        <f>HYPERLINK("https://ictv.global/ictv/proposals/2021.010B.R.Binomial_names.zip","2021.010B.R.Binomial_names.zip")</f>
        <v>2021.010B.R.Binomial_names.zip</v>
      </c>
      <c r="U3861" s="29" t="str">
        <f>HYPERLINK("https://ictv.global/taxonomy/taxondetails?taxnode_id=202307845","ictv.global=202307845")</f>
        <v>ictv.global=202307845</v>
      </c>
    </row>
    <row r="3862" spans="1:21">
      <c r="A3862">
        <v>3861</v>
      </c>
      <c r="B3862" s="30" t="s">
        <v>1587</v>
      </c>
      <c r="D3862" s="30" t="s">
        <v>1588</v>
      </c>
      <c r="F3862" s="30" t="s">
        <v>1591</v>
      </c>
      <c r="H3862" s="30" t="s">
        <v>1592</v>
      </c>
      <c r="N3862" s="30" t="s">
        <v>1903</v>
      </c>
      <c r="P3862" s="30" t="s">
        <v>7299</v>
      </c>
      <c r="Q3862" t="s">
        <v>619</v>
      </c>
      <c r="R3862" t="s">
        <v>918</v>
      </c>
      <c r="S3862">
        <v>37</v>
      </c>
      <c r="T3862" s="29" t="str">
        <f>HYPERLINK("https://ictv.global/ictv/proposals/2021.010B.R.Binomial_names.zip","2021.010B.R.Binomial_names.zip")</f>
        <v>2021.010B.R.Binomial_names.zip</v>
      </c>
      <c r="U3862" s="29" t="str">
        <f>HYPERLINK("https://ictv.global/taxonomy/taxondetails?taxnode_id=202307844","ictv.global=202307844")</f>
        <v>ictv.global=202307844</v>
      </c>
    </row>
    <row r="3863" spans="1:21">
      <c r="A3863">
        <v>3862</v>
      </c>
      <c r="B3863" s="30" t="s">
        <v>1587</v>
      </c>
      <c r="D3863" s="30" t="s">
        <v>1588</v>
      </c>
      <c r="F3863" s="30" t="s">
        <v>1591</v>
      </c>
      <c r="H3863" s="30" t="s">
        <v>1592</v>
      </c>
      <c r="N3863" s="30" t="s">
        <v>1358</v>
      </c>
      <c r="P3863" s="30" t="s">
        <v>7300</v>
      </c>
      <c r="Q3863" t="s">
        <v>619</v>
      </c>
      <c r="R3863" t="s">
        <v>918</v>
      </c>
      <c r="S3863">
        <v>37</v>
      </c>
      <c r="T3863" s="29" t="str">
        <f>HYPERLINK("https://ictv.global/ictv/proposals/2021.010B.R.Binomial_names.zip","2021.010B.R.Binomial_names.zip")</f>
        <v>2021.010B.R.Binomial_names.zip</v>
      </c>
      <c r="U3863" s="29" t="str">
        <f>HYPERLINK("https://ictv.global/taxonomy/taxondetails?taxnode_id=202306949","ictv.global=202306949")</f>
        <v>ictv.global=202306949</v>
      </c>
    </row>
    <row r="3864" spans="1:21">
      <c r="A3864">
        <v>3863</v>
      </c>
      <c r="B3864" s="30" t="s">
        <v>1587</v>
      </c>
      <c r="D3864" s="30" t="s">
        <v>1588</v>
      </c>
      <c r="F3864" s="30" t="s">
        <v>1591</v>
      </c>
      <c r="H3864" s="30" t="s">
        <v>1592</v>
      </c>
      <c r="N3864" s="30" t="s">
        <v>1358</v>
      </c>
      <c r="P3864" s="30" t="s">
        <v>7301</v>
      </c>
      <c r="Q3864" t="s">
        <v>619</v>
      </c>
      <c r="R3864" t="s">
        <v>918</v>
      </c>
      <c r="S3864">
        <v>37</v>
      </c>
      <c r="T3864" s="29" t="str">
        <f>HYPERLINK("https://ictv.global/ictv/proposals/2021.010B.R.Binomial_names.zip","2021.010B.R.Binomial_names.zip")</f>
        <v>2021.010B.R.Binomial_names.zip</v>
      </c>
      <c r="U3864" s="29" t="str">
        <f>HYPERLINK("https://ictv.global/taxonomy/taxondetails?taxnode_id=202306950","ictv.global=202306950")</f>
        <v>ictv.global=202306950</v>
      </c>
    </row>
    <row r="3865" spans="1:21">
      <c r="A3865">
        <v>3864</v>
      </c>
      <c r="B3865" s="30" t="s">
        <v>1587</v>
      </c>
      <c r="D3865" s="30" t="s">
        <v>1588</v>
      </c>
      <c r="F3865" s="30" t="s">
        <v>1591</v>
      </c>
      <c r="H3865" s="30" t="s">
        <v>1592</v>
      </c>
      <c r="N3865" s="30" t="s">
        <v>7302</v>
      </c>
      <c r="P3865" s="30" t="s">
        <v>7303</v>
      </c>
      <c r="Q3865" t="s">
        <v>619</v>
      </c>
      <c r="R3865" t="s">
        <v>917</v>
      </c>
      <c r="S3865">
        <v>37</v>
      </c>
      <c r="T3865" s="29" t="str">
        <f>HYPERLINK("https://ictv.global/ictv/proposals/2021.027B.R.Finchvirus.zip","2021.027B.R.Finchvirus.zip")</f>
        <v>2021.027B.R.Finchvirus.zip</v>
      </c>
      <c r="U3865" s="29" t="str">
        <f>HYPERLINK("https://ictv.global/taxonomy/taxondetails?taxnode_id=202313526","ictv.global=202313526")</f>
        <v>ictv.global=202313526</v>
      </c>
    </row>
    <row r="3866" spans="1:21">
      <c r="A3866">
        <v>3865</v>
      </c>
      <c r="B3866" s="30" t="s">
        <v>1587</v>
      </c>
      <c r="D3866" s="30" t="s">
        <v>1588</v>
      </c>
      <c r="F3866" s="30" t="s">
        <v>1591</v>
      </c>
      <c r="H3866" s="30" t="s">
        <v>1592</v>
      </c>
      <c r="N3866" s="30" t="s">
        <v>12609</v>
      </c>
      <c r="P3866" s="30" t="s">
        <v>12610</v>
      </c>
      <c r="Q3866" t="s">
        <v>619</v>
      </c>
      <c r="R3866" t="s">
        <v>917</v>
      </c>
      <c r="S3866">
        <v>39</v>
      </c>
      <c r="T3866" s="29" t="str">
        <f>HYPERLINK("https://ictv.global/ictv/proposals/2023.003B.Actinobacteriophage_singletons_25ng.zip","2023.003B.Actinobacteriophage_singletons_25ng.zip")</f>
        <v>2023.003B.Actinobacteriophage_singletons_25ng.zip</v>
      </c>
      <c r="U3866" s="29" t="str">
        <f>HYPERLINK("https://ictv.global/taxonomy/taxondetails?taxnode_id=202317755","ictv.global=202317755")</f>
        <v>ictv.global=202317755</v>
      </c>
    </row>
    <row r="3867" spans="1:21">
      <c r="A3867">
        <v>3866</v>
      </c>
      <c r="B3867" s="30" t="s">
        <v>1587</v>
      </c>
      <c r="D3867" s="30" t="s">
        <v>1588</v>
      </c>
      <c r="F3867" s="30" t="s">
        <v>1591</v>
      </c>
      <c r="H3867" s="30" t="s">
        <v>1592</v>
      </c>
      <c r="N3867" s="30" t="s">
        <v>1419</v>
      </c>
      <c r="P3867" s="30" t="s">
        <v>7304</v>
      </c>
      <c r="Q3867" t="s">
        <v>619</v>
      </c>
      <c r="R3867" t="s">
        <v>918</v>
      </c>
      <c r="S3867">
        <v>37</v>
      </c>
      <c r="T3867" s="29" t="str">
        <f>HYPERLINK("https://ictv.global/ictv/proposals/2021.010B.R.Binomial_names.zip","2021.010B.R.Binomial_names.zip")</f>
        <v>2021.010B.R.Binomial_names.zip</v>
      </c>
      <c r="U3867" s="29" t="str">
        <f>HYPERLINK("https://ictv.global/taxonomy/taxondetails?taxnode_id=202306952","ictv.global=202306952")</f>
        <v>ictv.global=202306952</v>
      </c>
    </row>
    <row r="3868" spans="1:21">
      <c r="A3868">
        <v>3867</v>
      </c>
      <c r="B3868" s="30" t="s">
        <v>1587</v>
      </c>
      <c r="D3868" s="30" t="s">
        <v>1588</v>
      </c>
      <c r="F3868" s="30" t="s">
        <v>1591</v>
      </c>
      <c r="H3868" s="30" t="s">
        <v>1592</v>
      </c>
      <c r="N3868" s="30" t="s">
        <v>1419</v>
      </c>
      <c r="P3868" s="30" t="s">
        <v>7305</v>
      </c>
      <c r="Q3868" t="s">
        <v>619</v>
      </c>
      <c r="R3868" t="s">
        <v>918</v>
      </c>
      <c r="S3868">
        <v>37</v>
      </c>
      <c r="T3868" s="29" t="str">
        <f>HYPERLINK("https://ictv.global/ictv/proposals/2021.010B.R.Binomial_names.zip","2021.010B.R.Binomial_names.zip")</f>
        <v>2021.010B.R.Binomial_names.zip</v>
      </c>
      <c r="U3868" s="29" t="str">
        <f>HYPERLINK("https://ictv.global/taxonomy/taxondetails?taxnode_id=202306953","ictv.global=202306953")</f>
        <v>ictv.global=202306953</v>
      </c>
    </row>
    <row r="3869" spans="1:21">
      <c r="A3869">
        <v>3868</v>
      </c>
      <c r="B3869" s="30" t="s">
        <v>1587</v>
      </c>
      <c r="D3869" s="30" t="s">
        <v>1588</v>
      </c>
      <c r="F3869" s="30" t="s">
        <v>1591</v>
      </c>
      <c r="H3869" s="30" t="s">
        <v>1592</v>
      </c>
      <c r="N3869" s="30" t="s">
        <v>2311</v>
      </c>
      <c r="P3869" s="30" t="s">
        <v>7306</v>
      </c>
      <c r="Q3869" t="s">
        <v>619</v>
      </c>
      <c r="R3869" t="s">
        <v>918</v>
      </c>
      <c r="S3869">
        <v>37</v>
      </c>
      <c r="T3869" s="29" t="str">
        <f>HYPERLINK("https://ictv.global/ictv/proposals/2021.010B.R.Binomial_names.zip","2021.010B.R.Binomial_names.zip")</f>
        <v>2021.010B.R.Binomial_names.zip</v>
      </c>
      <c r="U3869" s="29" t="str">
        <f>HYPERLINK("https://ictv.global/taxonomy/taxondetails?taxnode_id=202311660","ictv.global=202311660")</f>
        <v>ictv.global=202311660</v>
      </c>
    </row>
    <row r="3870" spans="1:21">
      <c r="A3870">
        <v>3869</v>
      </c>
      <c r="B3870" s="30" t="s">
        <v>1587</v>
      </c>
      <c r="D3870" s="30" t="s">
        <v>1588</v>
      </c>
      <c r="F3870" s="30" t="s">
        <v>1591</v>
      </c>
      <c r="H3870" s="30" t="s">
        <v>1592</v>
      </c>
      <c r="N3870" s="30" t="s">
        <v>2311</v>
      </c>
      <c r="P3870" s="30" t="s">
        <v>7307</v>
      </c>
      <c r="Q3870" t="s">
        <v>619</v>
      </c>
      <c r="R3870" t="s">
        <v>918</v>
      </c>
      <c r="S3870">
        <v>37</v>
      </c>
      <c r="T3870" s="29" t="str">
        <f>HYPERLINK("https://ictv.global/ictv/proposals/2021.010B.R.Binomial_names.zip","2021.010B.R.Binomial_names.zip")</f>
        <v>2021.010B.R.Binomial_names.zip</v>
      </c>
      <c r="U3870" s="29" t="str">
        <f>HYPERLINK("https://ictv.global/taxonomy/taxondetails?taxnode_id=202311661","ictv.global=202311661")</f>
        <v>ictv.global=202311661</v>
      </c>
    </row>
    <row r="3871" spans="1:21">
      <c r="A3871">
        <v>3870</v>
      </c>
      <c r="B3871" s="30" t="s">
        <v>1587</v>
      </c>
      <c r="D3871" s="30" t="s">
        <v>1588</v>
      </c>
      <c r="F3871" s="30" t="s">
        <v>1591</v>
      </c>
      <c r="H3871" s="30" t="s">
        <v>1592</v>
      </c>
      <c r="N3871" s="30" t="s">
        <v>12611</v>
      </c>
      <c r="P3871" s="30" t="s">
        <v>12612</v>
      </c>
      <c r="Q3871" t="s">
        <v>619</v>
      </c>
      <c r="R3871" t="s">
        <v>917</v>
      </c>
      <c r="S3871">
        <v>39</v>
      </c>
      <c r="T3871" s="29" t="str">
        <f>HYPERLINK("https://ictv.global/ictv/proposals/2023.003B.Actinobacteriophage_singletons_25ng.zip","2023.003B.Actinobacteriophage_singletons_25ng.zip")</f>
        <v>2023.003B.Actinobacteriophage_singletons_25ng.zip</v>
      </c>
      <c r="U3871" s="29" t="str">
        <f>HYPERLINK("https://ictv.global/taxonomy/taxondetails?taxnode_id=202317756","ictv.global=202317756")</f>
        <v>ictv.global=202317756</v>
      </c>
    </row>
    <row r="3872" spans="1:21">
      <c r="A3872">
        <v>3871</v>
      </c>
      <c r="B3872" s="30" t="s">
        <v>1587</v>
      </c>
      <c r="D3872" s="30" t="s">
        <v>1588</v>
      </c>
      <c r="F3872" s="30" t="s">
        <v>1591</v>
      </c>
      <c r="H3872" s="30" t="s">
        <v>1592</v>
      </c>
      <c r="N3872" s="30" t="s">
        <v>7310</v>
      </c>
      <c r="P3872" s="30" t="s">
        <v>7311</v>
      </c>
      <c r="Q3872" t="s">
        <v>619</v>
      </c>
      <c r="R3872" t="s">
        <v>917</v>
      </c>
      <c r="S3872">
        <v>38</v>
      </c>
      <c r="T3872" s="29" t="str">
        <f>HYPERLINK("https://ictv.global/ictv/proposals/2022.092B.Caudoviricetes_3ng_gordonia.zip","2022.092B.Caudoviricetes_3ng_gordonia.zip")</f>
        <v>2022.092B.Caudoviricetes_3ng_gordonia.zip</v>
      </c>
      <c r="U3872" s="29" t="str">
        <f>HYPERLINK("https://ictv.global/taxonomy/taxondetails?taxnode_id=202314970","ictv.global=202314970")</f>
        <v>ictv.global=202314970</v>
      </c>
    </row>
    <row r="3873" spans="1:21">
      <c r="A3873">
        <v>3872</v>
      </c>
      <c r="B3873" s="30" t="s">
        <v>1587</v>
      </c>
      <c r="D3873" s="30" t="s">
        <v>1588</v>
      </c>
      <c r="F3873" s="30" t="s">
        <v>1591</v>
      </c>
      <c r="H3873" s="30" t="s">
        <v>1592</v>
      </c>
      <c r="N3873" s="30" t="s">
        <v>2432</v>
      </c>
      <c r="P3873" s="30" t="s">
        <v>7312</v>
      </c>
      <c r="Q3873" t="s">
        <v>619</v>
      </c>
      <c r="R3873" t="s">
        <v>918</v>
      </c>
      <c r="S3873">
        <v>37</v>
      </c>
      <c r="T3873" s="29" t="str">
        <f>HYPERLINK("https://ictv.global/ictv/proposals/2021.010B.R.Binomial_names.zip","2021.010B.R.Binomial_names.zip")</f>
        <v>2021.010B.R.Binomial_names.zip</v>
      </c>
      <c r="U3873" s="29" t="str">
        <f>HYPERLINK("https://ictv.global/taxonomy/taxondetails?taxnode_id=202309913","ictv.global=202309913")</f>
        <v>ictv.global=202309913</v>
      </c>
    </row>
    <row r="3874" spans="1:21">
      <c r="A3874">
        <v>3873</v>
      </c>
      <c r="B3874" s="30" t="s">
        <v>1587</v>
      </c>
      <c r="D3874" s="30" t="s">
        <v>1588</v>
      </c>
      <c r="F3874" s="30" t="s">
        <v>1591</v>
      </c>
      <c r="H3874" s="30" t="s">
        <v>1592</v>
      </c>
      <c r="N3874" s="30" t="s">
        <v>7313</v>
      </c>
      <c r="P3874" s="30" t="s">
        <v>7314</v>
      </c>
      <c r="Q3874" t="s">
        <v>619</v>
      </c>
      <c r="R3874" t="s">
        <v>917</v>
      </c>
      <c r="S3874">
        <v>37</v>
      </c>
      <c r="T3874" s="29" t="str">
        <f>HYPERLINK("https://ictv.global/ictv/proposals/2021.030B.R.Foxquatrovirus.zip","2021.030B.R.Foxquatrovirus.zip")</f>
        <v>2021.030B.R.Foxquatrovirus.zip</v>
      </c>
      <c r="U3874" s="29" t="str">
        <f>HYPERLINK("https://ictv.global/taxonomy/taxondetails?taxnode_id=202313577","ictv.global=202313577")</f>
        <v>ictv.global=202313577</v>
      </c>
    </row>
    <row r="3875" spans="1:21">
      <c r="A3875">
        <v>3874</v>
      </c>
      <c r="B3875" s="30" t="s">
        <v>1587</v>
      </c>
      <c r="D3875" s="30" t="s">
        <v>1588</v>
      </c>
      <c r="F3875" s="30" t="s">
        <v>1591</v>
      </c>
      <c r="H3875" s="30" t="s">
        <v>1592</v>
      </c>
      <c r="N3875" s="30" t="s">
        <v>7315</v>
      </c>
      <c r="P3875" s="30" t="s">
        <v>7316</v>
      </c>
      <c r="Q3875" t="s">
        <v>619</v>
      </c>
      <c r="R3875" t="s">
        <v>917</v>
      </c>
      <c r="S3875">
        <v>37</v>
      </c>
      <c r="T3875" s="29" t="str">
        <f>HYPERLINK("https://ictv.global/ictv/proposals/2021.031B.R.Foxunavirus.zip","2021.031B.R.Foxunavirus.zip")</f>
        <v>2021.031B.R.Foxunavirus.zip</v>
      </c>
      <c r="U3875" s="29" t="str">
        <f>HYPERLINK("https://ictv.global/taxonomy/taxondetails?taxnode_id=202313579","ictv.global=202313579")</f>
        <v>ictv.global=202313579</v>
      </c>
    </row>
    <row r="3876" spans="1:21">
      <c r="A3876">
        <v>3875</v>
      </c>
      <c r="B3876" s="30" t="s">
        <v>1587</v>
      </c>
      <c r="D3876" s="30" t="s">
        <v>1588</v>
      </c>
      <c r="F3876" s="30" t="s">
        <v>1591</v>
      </c>
      <c r="H3876" s="30" t="s">
        <v>1592</v>
      </c>
      <c r="N3876" s="30" t="s">
        <v>7315</v>
      </c>
      <c r="P3876" s="30" t="s">
        <v>7317</v>
      </c>
      <c r="Q3876" t="s">
        <v>619</v>
      </c>
      <c r="R3876" t="s">
        <v>917</v>
      </c>
      <c r="S3876">
        <v>37</v>
      </c>
      <c r="T3876" s="29" t="str">
        <f>HYPERLINK("https://ictv.global/ictv/proposals/2021.031B.R.Foxunavirus.zip","2021.031B.R.Foxunavirus.zip")</f>
        <v>2021.031B.R.Foxunavirus.zip</v>
      </c>
      <c r="U3876" s="29" t="str">
        <f>HYPERLINK("https://ictv.global/taxonomy/taxondetails?taxnode_id=202313580","ictv.global=202313580")</f>
        <v>ictv.global=202313580</v>
      </c>
    </row>
    <row r="3877" spans="1:21">
      <c r="A3877">
        <v>3876</v>
      </c>
      <c r="B3877" s="30" t="s">
        <v>1587</v>
      </c>
      <c r="D3877" s="30" t="s">
        <v>1588</v>
      </c>
      <c r="F3877" s="30" t="s">
        <v>1591</v>
      </c>
      <c r="H3877" s="30" t="s">
        <v>1592</v>
      </c>
      <c r="N3877" s="30" t="s">
        <v>7315</v>
      </c>
      <c r="P3877" s="30" t="s">
        <v>7318</v>
      </c>
      <c r="Q3877" t="s">
        <v>619</v>
      </c>
      <c r="R3877" t="s">
        <v>917</v>
      </c>
      <c r="S3877">
        <v>37</v>
      </c>
      <c r="T3877" s="29" t="str">
        <f>HYPERLINK("https://ictv.global/ictv/proposals/2021.031B.R.Foxunavirus.zip","2021.031B.R.Foxunavirus.zip")</f>
        <v>2021.031B.R.Foxunavirus.zip</v>
      </c>
      <c r="U3877" s="29" t="str">
        <f>HYPERLINK("https://ictv.global/taxonomy/taxondetails?taxnode_id=202313581","ictv.global=202313581")</f>
        <v>ictv.global=202313581</v>
      </c>
    </row>
    <row r="3878" spans="1:21">
      <c r="A3878">
        <v>3877</v>
      </c>
      <c r="B3878" s="30" t="s">
        <v>1587</v>
      </c>
      <c r="D3878" s="30" t="s">
        <v>1588</v>
      </c>
      <c r="F3878" s="30" t="s">
        <v>1591</v>
      </c>
      <c r="H3878" s="30" t="s">
        <v>1592</v>
      </c>
      <c r="N3878" s="30" t="s">
        <v>7315</v>
      </c>
      <c r="P3878" s="30" t="s">
        <v>7319</v>
      </c>
      <c r="Q3878" t="s">
        <v>619</v>
      </c>
      <c r="R3878" t="s">
        <v>917</v>
      </c>
      <c r="S3878">
        <v>37</v>
      </c>
      <c r="T3878" s="29" t="str">
        <f>HYPERLINK("https://ictv.global/ictv/proposals/2021.031B.R.Foxunavirus.zip","2021.031B.R.Foxunavirus.zip")</f>
        <v>2021.031B.R.Foxunavirus.zip</v>
      </c>
      <c r="U3878" s="29" t="str">
        <f>HYPERLINK("https://ictv.global/taxonomy/taxondetails?taxnode_id=202313582","ictv.global=202313582")</f>
        <v>ictv.global=202313582</v>
      </c>
    </row>
    <row r="3879" spans="1:21">
      <c r="A3879">
        <v>3878</v>
      </c>
      <c r="B3879" s="30" t="s">
        <v>1587</v>
      </c>
      <c r="D3879" s="30" t="s">
        <v>1588</v>
      </c>
      <c r="F3879" s="30" t="s">
        <v>1591</v>
      </c>
      <c r="H3879" s="30" t="s">
        <v>1592</v>
      </c>
      <c r="N3879" s="30" t="s">
        <v>1904</v>
      </c>
      <c r="P3879" s="30" t="s">
        <v>7320</v>
      </c>
      <c r="Q3879" t="s">
        <v>619</v>
      </c>
      <c r="R3879" t="s">
        <v>918</v>
      </c>
      <c r="S3879">
        <v>37</v>
      </c>
      <c r="T3879" s="29" t="str">
        <f t="shared" ref="T3879:T3922" si="172">HYPERLINK("https://ictv.global/ictv/proposals/2021.010B.R.Binomial_names.zip","2021.010B.R.Binomial_names.zip")</f>
        <v>2021.010B.R.Binomial_names.zip</v>
      </c>
      <c r="U3879" s="29" t="str">
        <f>HYPERLINK("https://ictv.global/taxonomy/taxondetails?taxnode_id=202307850","ictv.global=202307850")</f>
        <v>ictv.global=202307850</v>
      </c>
    </row>
    <row r="3880" spans="1:21">
      <c r="A3880">
        <v>3879</v>
      </c>
      <c r="B3880" s="30" t="s">
        <v>1587</v>
      </c>
      <c r="D3880" s="30" t="s">
        <v>1588</v>
      </c>
      <c r="F3880" s="30" t="s">
        <v>1591</v>
      </c>
      <c r="H3880" s="30" t="s">
        <v>1592</v>
      </c>
      <c r="N3880" s="30" t="s">
        <v>2433</v>
      </c>
      <c r="P3880" s="30" t="s">
        <v>7321</v>
      </c>
      <c r="Q3880" t="s">
        <v>619</v>
      </c>
      <c r="R3880" t="s">
        <v>918</v>
      </c>
      <c r="S3880">
        <v>37</v>
      </c>
      <c r="T3880" s="29" t="str">
        <f t="shared" si="172"/>
        <v>2021.010B.R.Binomial_names.zip</v>
      </c>
      <c r="U3880" s="29" t="str">
        <f>HYPERLINK("https://ictv.global/taxonomy/taxondetails?taxnode_id=202310037","ictv.global=202310037")</f>
        <v>ictv.global=202310037</v>
      </c>
    </row>
    <row r="3881" spans="1:21">
      <c r="A3881">
        <v>3880</v>
      </c>
      <c r="B3881" s="30" t="s">
        <v>1587</v>
      </c>
      <c r="D3881" s="30" t="s">
        <v>1588</v>
      </c>
      <c r="F3881" s="30" t="s">
        <v>1591</v>
      </c>
      <c r="H3881" s="30" t="s">
        <v>1592</v>
      </c>
      <c r="N3881" s="30" t="s">
        <v>2433</v>
      </c>
      <c r="P3881" s="30" t="s">
        <v>7322</v>
      </c>
      <c r="Q3881" t="s">
        <v>619</v>
      </c>
      <c r="R3881" t="s">
        <v>918</v>
      </c>
      <c r="S3881">
        <v>37</v>
      </c>
      <c r="T3881" s="29" t="str">
        <f t="shared" si="172"/>
        <v>2021.010B.R.Binomial_names.zip</v>
      </c>
      <c r="U3881" s="29" t="str">
        <f>HYPERLINK("https://ictv.global/taxonomy/taxondetails?taxnode_id=202310036","ictv.global=202310036")</f>
        <v>ictv.global=202310036</v>
      </c>
    </row>
    <row r="3882" spans="1:21">
      <c r="A3882">
        <v>3881</v>
      </c>
      <c r="B3882" s="30" t="s">
        <v>1587</v>
      </c>
      <c r="D3882" s="30" t="s">
        <v>1588</v>
      </c>
      <c r="F3882" s="30" t="s">
        <v>1591</v>
      </c>
      <c r="H3882" s="30" t="s">
        <v>1592</v>
      </c>
      <c r="N3882" s="30" t="s">
        <v>1490</v>
      </c>
      <c r="P3882" s="30" t="s">
        <v>7323</v>
      </c>
      <c r="Q3882" t="s">
        <v>619</v>
      </c>
      <c r="R3882" t="s">
        <v>918</v>
      </c>
      <c r="S3882">
        <v>37</v>
      </c>
      <c r="T3882" s="29" t="str">
        <f t="shared" si="172"/>
        <v>2021.010B.R.Binomial_names.zip</v>
      </c>
      <c r="U3882" s="29" t="str">
        <f>HYPERLINK("https://ictv.global/taxonomy/taxondetails?taxnode_id=202301009","ictv.global=202301009")</f>
        <v>ictv.global=202301009</v>
      </c>
    </row>
    <row r="3883" spans="1:21">
      <c r="A3883">
        <v>3882</v>
      </c>
      <c r="B3883" s="30" t="s">
        <v>1587</v>
      </c>
      <c r="D3883" s="30" t="s">
        <v>1588</v>
      </c>
      <c r="F3883" s="30" t="s">
        <v>1591</v>
      </c>
      <c r="H3883" s="30" t="s">
        <v>1592</v>
      </c>
      <c r="N3883" s="30" t="s">
        <v>1490</v>
      </c>
      <c r="P3883" s="30" t="s">
        <v>7324</v>
      </c>
      <c r="Q3883" t="s">
        <v>619</v>
      </c>
      <c r="R3883" t="s">
        <v>918</v>
      </c>
      <c r="S3883">
        <v>37</v>
      </c>
      <c r="T3883" s="29" t="str">
        <f t="shared" si="172"/>
        <v>2021.010B.R.Binomial_names.zip</v>
      </c>
      <c r="U3883" s="29" t="str">
        <f>HYPERLINK("https://ictv.global/taxonomy/taxondetails?taxnode_id=202301011","ictv.global=202301011")</f>
        <v>ictv.global=202301011</v>
      </c>
    </row>
    <row r="3884" spans="1:21">
      <c r="A3884">
        <v>3883</v>
      </c>
      <c r="B3884" s="30" t="s">
        <v>1587</v>
      </c>
      <c r="D3884" s="30" t="s">
        <v>1588</v>
      </c>
      <c r="F3884" s="30" t="s">
        <v>1591</v>
      </c>
      <c r="H3884" s="30" t="s">
        <v>1592</v>
      </c>
      <c r="N3884" s="30" t="s">
        <v>1490</v>
      </c>
      <c r="P3884" s="30" t="s">
        <v>7325</v>
      </c>
      <c r="Q3884" t="s">
        <v>619</v>
      </c>
      <c r="R3884" t="s">
        <v>918</v>
      </c>
      <c r="S3884">
        <v>37</v>
      </c>
      <c r="T3884" s="29" t="str">
        <f t="shared" si="172"/>
        <v>2021.010B.R.Binomial_names.zip</v>
      </c>
      <c r="U3884" s="29" t="str">
        <f>HYPERLINK("https://ictv.global/taxonomy/taxondetails?taxnode_id=202301015","ictv.global=202301015")</f>
        <v>ictv.global=202301015</v>
      </c>
    </row>
    <row r="3885" spans="1:21">
      <c r="A3885">
        <v>3884</v>
      </c>
      <c r="B3885" s="30" t="s">
        <v>1587</v>
      </c>
      <c r="D3885" s="30" t="s">
        <v>1588</v>
      </c>
      <c r="F3885" s="30" t="s">
        <v>1591</v>
      </c>
      <c r="H3885" s="30" t="s">
        <v>1592</v>
      </c>
      <c r="N3885" s="30" t="s">
        <v>1490</v>
      </c>
      <c r="P3885" s="30" t="s">
        <v>7326</v>
      </c>
      <c r="Q3885" t="s">
        <v>619</v>
      </c>
      <c r="R3885" t="s">
        <v>918</v>
      </c>
      <c r="S3885">
        <v>37</v>
      </c>
      <c r="T3885" s="29" t="str">
        <f t="shared" si="172"/>
        <v>2021.010B.R.Binomial_names.zip</v>
      </c>
      <c r="U3885" s="29" t="str">
        <f>HYPERLINK("https://ictv.global/taxonomy/taxondetails?taxnode_id=202301016","ictv.global=202301016")</f>
        <v>ictv.global=202301016</v>
      </c>
    </row>
    <row r="3886" spans="1:21">
      <c r="A3886">
        <v>3885</v>
      </c>
      <c r="B3886" s="30" t="s">
        <v>1587</v>
      </c>
      <c r="D3886" s="30" t="s">
        <v>1588</v>
      </c>
      <c r="F3886" s="30" t="s">
        <v>1591</v>
      </c>
      <c r="H3886" s="30" t="s">
        <v>1592</v>
      </c>
      <c r="N3886" s="30" t="s">
        <v>1490</v>
      </c>
      <c r="P3886" s="30" t="s">
        <v>7327</v>
      </c>
      <c r="Q3886" t="s">
        <v>619</v>
      </c>
      <c r="R3886" t="s">
        <v>918</v>
      </c>
      <c r="S3886">
        <v>37</v>
      </c>
      <c r="T3886" s="29" t="str">
        <f t="shared" si="172"/>
        <v>2021.010B.R.Binomial_names.zip</v>
      </c>
      <c r="U3886" s="29" t="str">
        <f>HYPERLINK("https://ictv.global/taxonomy/taxondetails?taxnode_id=202301013","ictv.global=202301013")</f>
        <v>ictv.global=202301013</v>
      </c>
    </row>
    <row r="3887" spans="1:21">
      <c r="A3887">
        <v>3886</v>
      </c>
      <c r="B3887" s="30" t="s">
        <v>1587</v>
      </c>
      <c r="D3887" s="30" t="s">
        <v>1588</v>
      </c>
      <c r="F3887" s="30" t="s">
        <v>1591</v>
      </c>
      <c r="H3887" s="30" t="s">
        <v>1592</v>
      </c>
      <c r="N3887" s="30" t="s">
        <v>1490</v>
      </c>
      <c r="P3887" s="30" t="s">
        <v>7328</v>
      </c>
      <c r="Q3887" t="s">
        <v>619</v>
      </c>
      <c r="R3887" t="s">
        <v>918</v>
      </c>
      <c r="S3887">
        <v>37</v>
      </c>
      <c r="T3887" s="29" t="str">
        <f t="shared" si="172"/>
        <v>2021.010B.R.Binomial_names.zip</v>
      </c>
      <c r="U3887" s="29" t="str">
        <f>HYPERLINK("https://ictv.global/taxonomy/taxondetails?taxnode_id=202301017","ictv.global=202301017")</f>
        <v>ictv.global=202301017</v>
      </c>
    </row>
    <row r="3888" spans="1:21">
      <c r="A3888">
        <v>3887</v>
      </c>
      <c r="B3888" s="30" t="s">
        <v>1587</v>
      </c>
      <c r="D3888" s="30" t="s">
        <v>1588</v>
      </c>
      <c r="F3888" s="30" t="s">
        <v>1591</v>
      </c>
      <c r="H3888" s="30" t="s">
        <v>1592</v>
      </c>
      <c r="N3888" s="30" t="s">
        <v>1490</v>
      </c>
      <c r="P3888" s="30" t="s">
        <v>7329</v>
      </c>
      <c r="Q3888" t="s">
        <v>619</v>
      </c>
      <c r="R3888" t="s">
        <v>918</v>
      </c>
      <c r="S3888">
        <v>37</v>
      </c>
      <c r="T3888" s="29" t="str">
        <f t="shared" si="172"/>
        <v>2021.010B.R.Binomial_names.zip</v>
      </c>
      <c r="U3888" s="29" t="str">
        <f>HYPERLINK("https://ictv.global/taxonomy/taxondetails?taxnode_id=202301018","ictv.global=202301018")</f>
        <v>ictv.global=202301018</v>
      </c>
    </row>
    <row r="3889" spans="1:21">
      <c r="A3889">
        <v>3888</v>
      </c>
      <c r="B3889" s="30" t="s">
        <v>1587</v>
      </c>
      <c r="D3889" s="30" t="s">
        <v>1588</v>
      </c>
      <c r="F3889" s="30" t="s">
        <v>1591</v>
      </c>
      <c r="H3889" s="30" t="s">
        <v>1592</v>
      </c>
      <c r="N3889" s="30" t="s">
        <v>1490</v>
      </c>
      <c r="P3889" s="30" t="s">
        <v>7330</v>
      </c>
      <c r="Q3889" t="s">
        <v>619</v>
      </c>
      <c r="R3889" t="s">
        <v>918</v>
      </c>
      <c r="S3889">
        <v>37</v>
      </c>
      <c r="T3889" s="29" t="str">
        <f t="shared" si="172"/>
        <v>2021.010B.R.Binomial_names.zip</v>
      </c>
      <c r="U3889" s="29" t="str">
        <f>HYPERLINK("https://ictv.global/taxonomy/taxondetails?taxnode_id=202301020","ictv.global=202301020")</f>
        <v>ictv.global=202301020</v>
      </c>
    </row>
    <row r="3890" spans="1:21">
      <c r="A3890">
        <v>3889</v>
      </c>
      <c r="B3890" s="30" t="s">
        <v>1587</v>
      </c>
      <c r="D3890" s="30" t="s">
        <v>1588</v>
      </c>
      <c r="F3890" s="30" t="s">
        <v>1591</v>
      </c>
      <c r="H3890" s="30" t="s">
        <v>1592</v>
      </c>
      <c r="N3890" s="30" t="s">
        <v>1490</v>
      </c>
      <c r="P3890" s="30" t="s">
        <v>7331</v>
      </c>
      <c r="Q3890" t="s">
        <v>619</v>
      </c>
      <c r="R3890" t="s">
        <v>918</v>
      </c>
      <c r="S3890">
        <v>37</v>
      </c>
      <c r="T3890" s="29" t="str">
        <f t="shared" si="172"/>
        <v>2021.010B.R.Binomial_names.zip</v>
      </c>
      <c r="U3890" s="29" t="str">
        <f>HYPERLINK("https://ictv.global/taxonomy/taxondetails?taxnode_id=202301022","ictv.global=202301022")</f>
        <v>ictv.global=202301022</v>
      </c>
    </row>
    <row r="3891" spans="1:21">
      <c r="A3891">
        <v>3890</v>
      </c>
      <c r="B3891" s="30" t="s">
        <v>1587</v>
      </c>
      <c r="D3891" s="30" t="s">
        <v>1588</v>
      </c>
      <c r="F3891" s="30" t="s">
        <v>1591</v>
      </c>
      <c r="H3891" s="30" t="s">
        <v>1592</v>
      </c>
      <c r="N3891" s="30" t="s">
        <v>1490</v>
      </c>
      <c r="P3891" s="30" t="s">
        <v>7332</v>
      </c>
      <c r="Q3891" t="s">
        <v>619</v>
      </c>
      <c r="R3891" t="s">
        <v>918</v>
      </c>
      <c r="S3891">
        <v>37</v>
      </c>
      <c r="T3891" s="29" t="str">
        <f t="shared" si="172"/>
        <v>2021.010B.R.Binomial_names.zip</v>
      </c>
      <c r="U3891" s="29" t="str">
        <f>HYPERLINK("https://ictv.global/taxonomy/taxondetails?taxnode_id=202301023","ictv.global=202301023")</f>
        <v>ictv.global=202301023</v>
      </c>
    </row>
    <row r="3892" spans="1:21">
      <c r="A3892">
        <v>3891</v>
      </c>
      <c r="B3892" s="30" t="s">
        <v>1587</v>
      </c>
      <c r="D3892" s="30" t="s">
        <v>1588</v>
      </c>
      <c r="F3892" s="30" t="s">
        <v>1591</v>
      </c>
      <c r="H3892" s="30" t="s">
        <v>1592</v>
      </c>
      <c r="N3892" s="30" t="s">
        <v>1490</v>
      </c>
      <c r="P3892" s="30" t="s">
        <v>7333</v>
      </c>
      <c r="Q3892" t="s">
        <v>619</v>
      </c>
      <c r="R3892" t="s">
        <v>918</v>
      </c>
      <c r="S3892">
        <v>37</v>
      </c>
      <c r="T3892" s="29" t="str">
        <f t="shared" si="172"/>
        <v>2021.010B.R.Binomial_names.zip</v>
      </c>
      <c r="U3892" s="29" t="str">
        <f>HYPERLINK("https://ictv.global/taxonomy/taxondetails?taxnode_id=202301025","ictv.global=202301025")</f>
        <v>ictv.global=202301025</v>
      </c>
    </row>
    <row r="3893" spans="1:21">
      <c r="A3893">
        <v>3892</v>
      </c>
      <c r="B3893" s="30" t="s">
        <v>1587</v>
      </c>
      <c r="D3893" s="30" t="s">
        <v>1588</v>
      </c>
      <c r="F3893" s="30" t="s">
        <v>1591</v>
      </c>
      <c r="H3893" s="30" t="s">
        <v>1592</v>
      </c>
      <c r="N3893" s="30" t="s">
        <v>1490</v>
      </c>
      <c r="P3893" s="30" t="s">
        <v>7334</v>
      </c>
      <c r="Q3893" t="s">
        <v>619</v>
      </c>
      <c r="R3893" t="s">
        <v>918</v>
      </c>
      <c r="S3893">
        <v>37</v>
      </c>
      <c r="T3893" s="29" t="str">
        <f t="shared" si="172"/>
        <v>2021.010B.R.Binomial_names.zip</v>
      </c>
      <c r="U3893" s="29" t="str">
        <f>HYPERLINK("https://ictv.global/taxonomy/taxondetails?taxnode_id=202301026","ictv.global=202301026")</f>
        <v>ictv.global=202301026</v>
      </c>
    </row>
    <row r="3894" spans="1:21">
      <c r="A3894">
        <v>3893</v>
      </c>
      <c r="B3894" s="30" t="s">
        <v>1587</v>
      </c>
      <c r="D3894" s="30" t="s">
        <v>1588</v>
      </c>
      <c r="F3894" s="30" t="s">
        <v>1591</v>
      </c>
      <c r="H3894" s="30" t="s">
        <v>1592</v>
      </c>
      <c r="N3894" s="30" t="s">
        <v>1490</v>
      </c>
      <c r="P3894" s="30" t="s">
        <v>7335</v>
      </c>
      <c r="Q3894" t="s">
        <v>619</v>
      </c>
      <c r="R3894" t="s">
        <v>918</v>
      </c>
      <c r="S3894">
        <v>37</v>
      </c>
      <c r="T3894" s="29" t="str">
        <f t="shared" si="172"/>
        <v>2021.010B.R.Binomial_names.zip</v>
      </c>
      <c r="U3894" s="29" t="str">
        <f>HYPERLINK("https://ictv.global/taxonomy/taxondetails?taxnode_id=202301028","ictv.global=202301028")</f>
        <v>ictv.global=202301028</v>
      </c>
    </row>
    <row r="3895" spans="1:21">
      <c r="A3895">
        <v>3894</v>
      </c>
      <c r="B3895" s="30" t="s">
        <v>1587</v>
      </c>
      <c r="D3895" s="30" t="s">
        <v>1588</v>
      </c>
      <c r="F3895" s="30" t="s">
        <v>1591</v>
      </c>
      <c r="H3895" s="30" t="s">
        <v>1592</v>
      </c>
      <c r="N3895" s="30" t="s">
        <v>1490</v>
      </c>
      <c r="P3895" s="30" t="s">
        <v>7336</v>
      </c>
      <c r="Q3895" t="s">
        <v>619</v>
      </c>
      <c r="R3895" t="s">
        <v>918</v>
      </c>
      <c r="S3895">
        <v>37</v>
      </c>
      <c r="T3895" s="29" t="str">
        <f t="shared" si="172"/>
        <v>2021.010B.R.Binomial_names.zip</v>
      </c>
      <c r="U3895" s="29" t="str">
        <f>HYPERLINK("https://ictv.global/taxonomy/taxondetails?taxnode_id=202301031","ictv.global=202301031")</f>
        <v>ictv.global=202301031</v>
      </c>
    </row>
    <row r="3896" spans="1:21">
      <c r="A3896">
        <v>3895</v>
      </c>
      <c r="B3896" s="30" t="s">
        <v>1587</v>
      </c>
      <c r="D3896" s="30" t="s">
        <v>1588</v>
      </c>
      <c r="F3896" s="30" t="s">
        <v>1591</v>
      </c>
      <c r="H3896" s="30" t="s">
        <v>1592</v>
      </c>
      <c r="N3896" s="30" t="s">
        <v>1490</v>
      </c>
      <c r="P3896" s="30" t="s">
        <v>7337</v>
      </c>
      <c r="Q3896" t="s">
        <v>619</v>
      </c>
      <c r="R3896" t="s">
        <v>918</v>
      </c>
      <c r="S3896">
        <v>37</v>
      </c>
      <c r="T3896" s="29" t="str">
        <f t="shared" si="172"/>
        <v>2021.010B.R.Binomial_names.zip</v>
      </c>
      <c r="U3896" s="29" t="str">
        <f>HYPERLINK("https://ictv.global/taxonomy/taxondetails?taxnode_id=202301032","ictv.global=202301032")</f>
        <v>ictv.global=202301032</v>
      </c>
    </row>
    <row r="3897" spans="1:21">
      <c r="A3897">
        <v>3896</v>
      </c>
      <c r="B3897" s="30" t="s">
        <v>1587</v>
      </c>
      <c r="D3897" s="30" t="s">
        <v>1588</v>
      </c>
      <c r="F3897" s="30" t="s">
        <v>1591</v>
      </c>
      <c r="H3897" s="30" t="s">
        <v>1592</v>
      </c>
      <c r="N3897" s="30" t="s">
        <v>1490</v>
      </c>
      <c r="P3897" s="30" t="s">
        <v>7338</v>
      </c>
      <c r="Q3897" t="s">
        <v>619</v>
      </c>
      <c r="R3897" t="s">
        <v>918</v>
      </c>
      <c r="S3897">
        <v>37</v>
      </c>
      <c r="T3897" s="29" t="str">
        <f t="shared" si="172"/>
        <v>2021.010B.R.Binomial_names.zip</v>
      </c>
      <c r="U3897" s="29" t="str">
        <f>HYPERLINK("https://ictv.global/taxonomy/taxondetails?taxnode_id=202301035","ictv.global=202301035")</f>
        <v>ictv.global=202301035</v>
      </c>
    </row>
    <row r="3898" spans="1:21">
      <c r="A3898">
        <v>3897</v>
      </c>
      <c r="B3898" s="30" t="s">
        <v>1587</v>
      </c>
      <c r="D3898" s="30" t="s">
        <v>1588</v>
      </c>
      <c r="F3898" s="30" t="s">
        <v>1591</v>
      </c>
      <c r="H3898" s="30" t="s">
        <v>1592</v>
      </c>
      <c r="N3898" s="30" t="s">
        <v>1490</v>
      </c>
      <c r="P3898" s="30" t="s">
        <v>7339</v>
      </c>
      <c r="Q3898" t="s">
        <v>619</v>
      </c>
      <c r="R3898" t="s">
        <v>918</v>
      </c>
      <c r="S3898">
        <v>37</v>
      </c>
      <c r="T3898" s="29" t="str">
        <f t="shared" si="172"/>
        <v>2021.010B.R.Binomial_names.zip</v>
      </c>
      <c r="U3898" s="29" t="str">
        <f>HYPERLINK("https://ictv.global/taxonomy/taxondetails?taxnode_id=202301036","ictv.global=202301036")</f>
        <v>ictv.global=202301036</v>
      </c>
    </row>
    <row r="3899" spans="1:21">
      <c r="A3899">
        <v>3898</v>
      </c>
      <c r="B3899" s="30" t="s">
        <v>1587</v>
      </c>
      <c r="D3899" s="30" t="s">
        <v>1588</v>
      </c>
      <c r="F3899" s="30" t="s">
        <v>1591</v>
      </c>
      <c r="H3899" s="30" t="s">
        <v>1592</v>
      </c>
      <c r="N3899" s="30" t="s">
        <v>1490</v>
      </c>
      <c r="P3899" s="30" t="s">
        <v>7340</v>
      </c>
      <c r="Q3899" t="s">
        <v>619</v>
      </c>
      <c r="R3899" t="s">
        <v>918</v>
      </c>
      <c r="S3899">
        <v>37</v>
      </c>
      <c r="T3899" s="29" t="str">
        <f t="shared" si="172"/>
        <v>2021.010B.R.Binomial_names.zip</v>
      </c>
      <c r="U3899" s="29" t="str">
        <f>HYPERLINK("https://ictv.global/taxonomy/taxondetails?taxnode_id=202301037","ictv.global=202301037")</f>
        <v>ictv.global=202301037</v>
      </c>
    </row>
    <row r="3900" spans="1:21">
      <c r="A3900">
        <v>3899</v>
      </c>
      <c r="B3900" s="30" t="s">
        <v>1587</v>
      </c>
      <c r="D3900" s="30" t="s">
        <v>1588</v>
      </c>
      <c r="F3900" s="30" t="s">
        <v>1591</v>
      </c>
      <c r="H3900" s="30" t="s">
        <v>1592</v>
      </c>
      <c r="N3900" s="30" t="s">
        <v>1490</v>
      </c>
      <c r="P3900" s="30" t="s">
        <v>7341</v>
      </c>
      <c r="Q3900" t="s">
        <v>619</v>
      </c>
      <c r="R3900" t="s">
        <v>918</v>
      </c>
      <c r="S3900">
        <v>37</v>
      </c>
      <c r="T3900" s="29" t="str">
        <f t="shared" si="172"/>
        <v>2021.010B.R.Binomial_names.zip</v>
      </c>
      <c r="U3900" s="29" t="str">
        <f>HYPERLINK("https://ictv.global/taxonomy/taxondetails?taxnode_id=202301038","ictv.global=202301038")</f>
        <v>ictv.global=202301038</v>
      </c>
    </row>
    <row r="3901" spans="1:21">
      <c r="A3901">
        <v>3900</v>
      </c>
      <c r="B3901" s="30" t="s">
        <v>1587</v>
      </c>
      <c r="D3901" s="30" t="s">
        <v>1588</v>
      </c>
      <c r="F3901" s="30" t="s">
        <v>1591</v>
      </c>
      <c r="H3901" s="30" t="s">
        <v>1592</v>
      </c>
      <c r="N3901" s="30" t="s">
        <v>1490</v>
      </c>
      <c r="P3901" s="30" t="s">
        <v>7342</v>
      </c>
      <c r="Q3901" t="s">
        <v>619</v>
      </c>
      <c r="R3901" t="s">
        <v>918</v>
      </c>
      <c r="S3901">
        <v>37</v>
      </c>
      <c r="T3901" s="29" t="str">
        <f t="shared" si="172"/>
        <v>2021.010B.R.Binomial_names.zip</v>
      </c>
      <c r="U3901" s="29" t="str">
        <f>HYPERLINK("https://ictv.global/taxonomy/taxondetails?taxnode_id=202301039","ictv.global=202301039")</f>
        <v>ictv.global=202301039</v>
      </c>
    </row>
    <row r="3902" spans="1:21">
      <c r="A3902">
        <v>3901</v>
      </c>
      <c r="B3902" s="30" t="s">
        <v>1587</v>
      </c>
      <c r="D3902" s="30" t="s">
        <v>1588</v>
      </c>
      <c r="F3902" s="30" t="s">
        <v>1591</v>
      </c>
      <c r="H3902" s="30" t="s">
        <v>1592</v>
      </c>
      <c r="N3902" s="30" t="s">
        <v>1490</v>
      </c>
      <c r="P3902" s="30" t="s">
        <v>7343</v>
      </c>
      <c r="Q3902" t="s">
        <v>619</v>
      </c>
      <c r="R3902" t="s">
        <v>918</v>
      </c>
      <c r="S3902">
        <v>37</v>
      </c>
      <c r="T3902" s="29" t="str">
        <f t="shared" si="172"/>
        <v>2021.010B.R.Binomial_names.zip</v>
      </c>
      <c r="U3902" s="29" t="str">
        <f>HYPERLINK("https://ictv.global/taxonomy/taxondetails?taxnode_id=202301041","ictv.global=202301041")</f>
        <v>ictv.global=202301041</v>
      </c>
    </row>
    <row r="3903" spans="1:21">
      <c r="A3903">
        <v>3902</v>
      </c>
      <c r="B3903" s="30" t="s">
        <v>1587</v>
      </c>
      <c r="D3903" s="30" t="s">
        <v>1588</v>
      </c>
      <c r="F3903" s="30" t="s">
        <v>1591</v>
      </c>
      <c r="H3903" s="30" t="s">
        <v>1592</v>
      </c>
      <c r="N3903" s="30" t="s">
        <v>1490</v>
      </c>
      <c r="P3903" s="30" t="s">
        <v>7344</v>
      </c>
      <c r="Q3903" t="s">
        <v>619</v>
      </c>
      <c r="R3903" t="s">
        <v>918</v>
      </c>
      <c r="S3903">
        <v>37</v>
      </c>
      <c r="T3903" s="29" t="str">
        <f t="shared" si="172"/>
        <v>2021.010B.R.Binomial_names.zip</v>
      </c>
      <c r="U3903" s="29" t="str">
        <f>HYPERLINK("https://ictv.global/taxonomy/taxondetails?taxnode_id=202301042","ictv.global=202301042")</f>
        <v>ictv.global=202301042</v>
      </c>
    </row>
    <row r="3904" spans="1:21">
      <c r="A3904">
        <v>3903</v>
      </c>
      <c r="B3904" s="30" t="s">
        <v>1587</v>
      </c>
      <c r="D3904" s="30" t="s">
        <v>1588</v>
      </c>
      <c r="F3904" s="30" t="s">
        <v>1591</v>
      </c>
      <c r="H3904" s="30" t="s">
        <v>1592</v>
      </c>
      <c r="N3904" s="30" t="s">
        <v>1490</v>
      </c>
      <c r="P3904" s="30" t="s">
        <v>7345</v>
      </c>
      <c r="Q3904" t="s">
        <v>619</v>
      </c>
      <c r="R3904" t="s">
        <v>918</v>
      </c>
      <c r="S3904">
        <v>37</v>
      </c>
      <c r="T3904" s="29" t="str">
        <f t="shared" si="172"/>
        <v>2021.010B.R.Binomial_names.zip</v>
      </c>
      <c r="U3904" s="29" t="str">
        <f>HYPERLINK("https://ictv.global/taxonomy/taxondetails?taxnode_id=202301044","ictv.global=202301044")</f>
        <v>ictv.global=202301044</v>
      </c>
    </row>
    <row r="3905" spans="1:21">
      <c r="A3905">
        <v>3904</v>
      </c>
      <c r="B3905" s="30" t="s">
        <v>1587</v>
      </c>
      <c r="D3905" s="30" t="s">
        <v>1588</v>
      </c>
      <c r="F3905" s="30" t="s">
        <v>1591</v>
      </c>
      <c r="H3905" s="30" t="s">
        <v>1592</v>
      </c>
      <c r="N3905" s="30" t="s">
        <v>1490</v>
      </c>
      <c r="P3905" s="30" t="s">
        <v>7346</v>
      </c>
      <c r="Q3905" t="s">
        <v>619</v>
      </c>
      <c r="R3905" t="s">
        <v>918</v>
      </c>
      <c r="S3905">
        <v>37</v>
      </c>
      <c r="T3905" s="29" t="str">
        <f t="shared" si="172"/>
        <v>2021.010B.R.Binomial_names.zip</v>
      </c>
      <c r="U3905" s="29" t="str">
        <f>HYPERLINK("https://ictv.global/taxonomy/taxondetails?taxnode_id=202301045","ictv.global=202301045")</f>
        <v>ictv.global=202301045</v>
      </c>
    </row>
    <row r="3906" spans="1:21">
      <c r="A3906">
        <v>3905</v>
      </c>
      <c r="B3906" s="30" t="s">
        <v>1587</v>
      </c>
      <c r="D3906" s="30" t="s">
        <v>1588</v>
      </c>
      <c r="F3906" s="30" t="s">
        <v>1591</v>
      </c>
      <c r="H3906" s="30" t="s">
        <v>1592</v>
      </c>
      <c r="N3906" s="30" t="s">
        <v>1490</v>
      </c>
      <c r="P3906" s="30" t="s">
        <v>7347</v>
      </c>
      <c r="Q3906" t="s">
        <v>619</v>
      </c>
      <c r="R3906" t="s">
        <v>918</v>
      </c>
      <c r="S3906">
        <v>37</v>
      </c>
      <c r="T3906" s="29" t="str">
        <f t="shared" si="172"/>
        <v>2021.010B.R.Binomial_names.zip</v>
      </c>
      <c r="U3906" s="29" t="str">
        <f>HYPERLINK("https://ictv.global/taxonomy/taxondetails?taxnode_id=202301046","ictv.global=202301046")</f>
        <v>ictv.global=202301046</v>
      </c>
    </row>
    <row r="3907" spans="1:21">
      <c r="A3907">
        <v>3906</v>
      </c>
      <c r="B3907" s="30" t="s">
        <v>1587</v>
      </c>
      <c r="D3907" s="30" t="s">
        <v>1588</v>
      </c>
      <c r="F3907" s="30" t="s">
        <v>1591</v>
      </c>
      <c r="H3907" s="30" t="s">
        <v>1592</v>
      </c>
      <c r="N3907" s="30" t="s">
        <v>1490</v>
      </c>
      <c r="P3907" s="30" t="s">
        <v>7348</v>
      </c>
      <c r="Q3907" t="s">
        <v>619</v>
      </c>
      <c r="R3907" t="s">
        <v>918</v>
      </c>
      <c r="S3907">
        <v>37</v>
      </c>
      <c r="T3907" s="29" t="str">
        <f t="shared" si="172"/>
        <v>2021.010B.R.Binomial_names.zip</v>
      </c>
      <c r="U3907" s="29" t="str">
        <f>HYPERLINK("https://ictv.global/taxonomy/taxondetails?taxnode_id=202301047","ictv.global=202301047")</f>
        <v>ictv.global=202301047</v>
      </c>
    </row>
    <row r="3908" spans="1:21">
      <c r="A3908">
        <v>3907</v>
      </c>
      <c r="B3908" s="30" t="s">
        <v>1587</v>
      </c>
      <c r="D3908" s="30" t="s">
        <v>1588</v>
      </c>
      <c r="F3908" s="30" t="s">
        <v>1591</v>
      </c>
      <c r="H3908" s="30" t="s">
        <v>1592</v>
      </c>
      <c r="N3908" s="30" t="s">
        <v>1490</v>
      </c>
      <c r="P3908" s="30" t="s">
        <v>7349</v>
      </c>
      <c r="Q3908" t="s">
        <v>619</v>
      </c>
      <c r="R3908" t="s">
        <v>918</v>
      </c>
      <c r="S3908">
        <v>37</v>
      </c>
      <c r="T3908" s="29" t="str">
        <f t="shared" si="172"/>
        <v>2021.010B.R.Binomial_names.zip</v>
      </c>
      <c r="U3908" s="29" t="str">
        <f>HYPERLINK("https://ictv.global/taxonomy/taxondetails?taxnode_id=202301049","ictv.global=202301049")</f>
        <v>ictv.global=202301049</v>
      </c>
    </row>
    <row r="3909" spans="1:21">
      <c r="A3909">
        <v>3908</v>
      </c>
      <c r="B3909" s="30" t="s">
        <v>1587</v>
      </c>
      <c r="D3909" s="30" t="s">
        <v>1588</v>
      </c>
      <c r="F3909" s="30" t="s">
        <v>1591</v>
      </c>
      <c r="H3909" s="30" t="s">
        <v>1592</v>
      </c>
      <c r="N3909" s="30" t="s">
        <v>1490</v>
      </c>
      <c r="P3909" s="30" t="s">
        <v>7350</v>
      </c>
      <c r="Q3909" t="s">
        <v>619</v>
      </c>
      <c r="R3909" t="s">
        <v>918</v>
      </c>
      <c r="S3909">
        <v>37</v>
      </c>
      <c r="T3909" s="29" t="str">
        <f t="shared" si="172"/>
        <v>2021.010B.R.Binomial_names.zip</v>
      </c>
      <c r="U3909" s="29" t="str">
        <f>HYPERLINK("https://ictv.global/taxonomy/taxondetails?taxnode_id=202301051","ictv.global=202301051")</f>
        <v>ictv.global=202301051</v>
      </c>
    </row>
    <row r="3910" spans="1:21">
      <c r="A3910">
        <v>3909</v>
      </c>
      <c r="B3910" s="30" t="s">
        <v>1587</v>
      </c>
      <c r="D3910" s="30" t="s">
        <v>1588</v>
      </c>
      <c r="F3910" s="30" t="s">
        <v>1591</v>
      </c>
      <c r="H3910" s="30" t="s">
        <v>1592</v>
      </c>
      <c r="N3910" s="30" t="s">
        <v>1490</v>
      </c>
      <c r="P3910" s="30" t="s">
        <v>7351</v>
      </c>
      <c r="Q3910" t="s">
        <v>619</v>
      </c>
      <c r="R3910" t="s">
        <v>918</v>
      </c>
      <c r="S3910">
        <v>37</v>
      </c>
      <c r="T3910" s="29" t="str">
        <f t="shared" si="172"/>
        <v>2021.010B.R.Binomial_names.zip</v>
      </c>
      <c r="U3910" s="29" t="str">
        <f>HYPERLINK("https://ictv.global/taxonomy/taxondetails?taxnode_id=202301052","ictv.global=202301052")</f>
        <v>ictv.global=202301052</v>
      </c>
    </row>
    <row r="3911" spans="1:21">
      <c r="A3911">
        <v>3910</v>
      </c>
      <c r="B3911" s="30" t="s">
        <v>1587</v>
      </c>
      <c r="D3911" s="30" t="s">
        <v>1588</v>
      </c>
      <c r="F3911" s="30" t="s">
        <v>1591</v>
      </c>
      <c r="H3911" s="30" t="s">
        <v>1592</v>
      </c>
      <c r="N3911" s="30" t="s">
        <v>1490</v>
      </c>
      <c r="P3911" s="30" t="s">
        <v>7352</v>
      </c>
      <c r="Q3911" t="s">
        <v>619</v>
      </c>
      <c r="R3911" t="s">
        <v>918</v>
      </c>
      <c r="S3911">
        <v>37</v>
      </c>
      <c r="T3911" s="29" t="str">
        <f t="shared" si="172"/>
        <v>2021.010B.R.Binomial_names.zip</v>
      </c>
      <c r="U3911" s="29" t="str">
        <f>HYPERLINK("https://ictv.global/taxonomy/taxondetails?taxnode_id=202301053","ictv.global=202301053")</f>
        <v>ictv.global=202301053</v>
      </c>
    </row>
    <row r="3912" spans="1:21">
      <c r="A3912">
        <v>3911</v>
      </c>
      <c r="B3912" s="30" t="s">
        <v>1587</v>
      </c>
      <c r="D3912" s="30" t="s">
        <v>1588</v>
      </c>
      <c r="F3912" s="30" t="s">
        <v>1591</v>
      </c>
      <c r="H3912" s="30" t="s">
        <v>1592</v>
      </c>
      <c r="N3912" s="30" t="s">
        <v>1490</v>
      </c>
      <c r="P3912" s="30" t="s">
        <v>7353</v>
      </c>
      <c r="Q3912" t="s">
        <v>619</v>
      </c>
      <c r="R3912" t="s">
        <v>918</v>
      </c>
      <c r="S3912">
        <v>37</v>
      </c>
      <c r="T3912" s="29" t="str">
        <f t="shared" si="172"/>
        <v>2021.010B.R.Binomial_names.zip</v>
      </c>
      <c r="U3912" s="29" t="str">
        <f>HYPERLINK("https://ictv.global/taxonomy/taxondetails?taxnode_id=202301055","ictv.global=202301055")</f>
        <v>ictv.global=202301055</v>
      </c>
    </row>
    <row r="3913" spans="1:21">
      <c r="A3913">
        <v>3912</v>
      </c>
      <c r="B3913" s="30" t="s">
        <v>1587</v>
      </c>
      <c r="D3913" s="30" t="s">
        <v>1588</v>
      </c>
      <c r="F3913" s="30" t="s">
        <v>1591</v>
      </c>
      <c r="H3913" s="30" t="s">
        <v>1592</v>
      </c>
      <c r="N3913" s="30" t="s">
        <v>1490</v>
      </c>
      <c r="P3913" s="30" t="s">
        <v>7354</v>
      </c>
      <c r="Q3913" t="s">
        <v>619</v>
      </c>
      <c r="R3913" t="s">
        <v>918</v>
      </c>
      <c r="S3913">
        <v>37</v>
      </c>
      <c r="T3913" s="29" t="str">
        <f t="shared" si="172"/>
        <v>2021.010B.R.Binomial_names.zip</v>
      </c>
      <c r="U3913" s="29" t="str">
        <f>HYPERLINK("https://ictv.global/taxonomy/taxondetails?taxnode_id=202301056","ictv.global=202301056")</f>
        <v>ictv.global=202301056</v>
      </c>
    </row>
    <row r="3914" spans="1:21">
      <c r="A3914">
        <v>3913</v>
      </c>
      <c r="B3914" s="30" t="s">
        <v>1587</v>
      </c>
      <c r="D3914" s="30" t="s">
        <v>1588</v>
      </c>
      <c r="F3914" s="30" t="s">
        <v>1591</v>
      </c>
      <c r="H3914" s="30" t="s">
        <v>1592</v>
      </c>
      <c r="N3914" s="30" t="s">
        <v>1490</v>
      </c>
      <c r="P3914" s="30" t="s">
        <v>7355</v>
      </c>
      <c r="Q3914" t="s">
        <v>619</v>
      </c>
      <c r="R3914" t="s">
        <v>918</v>
      </c>
      <c r="S3914">
        <v>37</v>
      </c>
      <c r="T3914" s="29" t="str">
        <f t="shared" si="172"/>
        <v>2021.010B.R.Binomial_names.zip</v>
      </c>
      <c r="U3914" s="29" t="str">
        <f>HYPERLINK("https://ictv.global/taxonomy/taxondetails?taxnode_id=202301057","ictv.global=202301057")</f>
        <v>ictv.global=202301057</v>
      </c>
    </row>
    <row r="3915" spans="1:21">
      <c r="A3915">
        <v>3914</v>
      </c>
      <c r="B3915" s="30" t="s">
        <v>1587</v>
      </c>
      <c r="D3915" s="30" t="s">
        <v>1588</v>
      </c>
      <c r="F3915" s="30" t="s">
        <v>1591</v>
      </c>
      <c r="H3915" s="30" t="s">
        <v>1592</v>
      </c>
      <c r="N3915" s="30" t="s">
        <v>1490</v>
      </c>
      <c r="P3915" s="30" t="s">
        <v>7356</v>
      </c>
      <c r="Q3915" t="s">
        <v>619</v>
      </c>
      <c r="R3915" t="s">
        <v>918</v>
      </c>
      <c r="S3915">
        <v>37</v>
      </c>
      <c r="T3915" s="29" t="str">
        <f t="shared" si="172"/>
        <v>2021.010B.R.Binomial_names.zip</v>
      </c>
      <c r="U3915" s="29" t="str">
        <f>HYPERLINK("https://ictv.global/taxonomy/taxondetails?taxnode_id=202301058","ictv.global=202301058")</f>
        <v>ictv.global=202301058</v>
      </c>
    </row>
    <row r="3916" spans="1:21">
      <c r="A3916">
        <v>3915</v>
      </c>
      <c r="B3916" s="30" t="s">
        <v>1587</v>
      </c>
      <c r="D3916" s="30" t="s">
        <v>1588</v>
      </c>
      <c r="F3916" s="30" t="s">
        <v>1591</v>
      </c>
      <c r="H3916" s="30" t="s">
        <v>1592</v>
      </c>
      <c r="N3916" s="30" t="s">
        <v>1490</v>
      </c>
      <c r="P3916" s="30" t="s">
        <v>7357</v>
      </c>
      <c r="Q3916" t="s">
        <v>619</v>
      </c>
      <c r="R3916" t="s">
        <v>918</v>
      </c>
      <c r="S3916">
        <v>37</v>
      </c>
      <c r="T3916" s="29" t="str">
        <f t="shared" si="172"/>
        <v>2021.010B.R.Binomial_names.zip</v>
      </c>
      <c r="U3916" s="29" t="str">
        <f>HYPERLINK("https://ictv.global/taxonomy/taxondetails?taxnode_id=202301059","ictv.global=202301059")</f>
        <v>ictv.global=202301059</v>
      </c>
    </row>
    <row r="3917" spans="1:21">
      <c r="A3917">
        <v>3916</v>
      </c>
      <c r="B3917" s="30" t="s">
        <v>1587</v>
      </c>
      <c r="D3917" s="30" t="s">
        <v>1588</v>
      </c>
      <c r="F3917" s="30" t="s">
        <v>1591</v>
      </c>
      <c r="H3917" s="30" t="s">
        <v>1592</v>
      </c>
      <c r="N3917" s="30" t="s">
        <v>1490</v>
      </c>
      <c r="P3917" s="30" t="s">
        <v>7358</v>
      </c>
      <c r="Q3917" t="s">
        <v>619</v>
      </c>
      <c r="R3917" t="s">
        <v>918</v>
      </c>
      <c r="S3917">
        <v>37</v>
      </c>
      <c r="T3917" s="29" t="str">
        <f t="shared" si="172"/>
        <v>2021.010B.R.Binomial_names.zip</v>
      </c>
      <c r="U3917" s="29" t="str">
        <f>HYPERLINK("https://ictv.global/taxonomy/taxondetails?taxnode_id=202301063","ictv.global=202301063")</f>
        <v>ictv.global=202301063</v>
      </c>
    </row>
    <row r="3918" spans="1:21">
      <c r="A3918">
        <v>3917</v>
      </c>
      <c r="B3918" s="30" t="s">
        <v>1587</v>
      </c>
      <c r="D3918" s="30" t="s">
        <v>1588</v>
      </c>
      <c r="F3918" s="30" t="s">
        <v>1591</v>
      </c>
      <c r="H3918" s="30" t="s">
        <v>1592</v>
      </c>
      <c r="N3918" s="30" t="s">
        <v>1490</v>
      </c>
      <c r="P3918" s="30" t="s">
        <v>7359</v>
      </c>
      <c r="Q3918" t="s">
        <v>619</v>
      </c>
      <c r="R3918" t="s">
        <v>918</v>
      </c>
      <c r="S3918">
        <v>37</v>
      </c>
      <c r="T3918" s="29" t="str">
        <f t="shared" si="172"/>
        <v>2021.010B.R.Binomial_names.zip</v>
      </c>
      <c r="U3918" s="29" t="str">
        <f>HYPERLINK("https://ictv.global/taxonomy/taxondetails?taxnode_id=202301065","ictv.global=202301065")</f>
        <v>ictv.global=202301065</v>
      </c>
    </row>
    <row r="3919" spans="1:21">
      <c r="A3919">
        <v>3918</v>
      </c>
      <c r="B3919" s="30" t="s">
        <v>1587</v>
      </c>
      <c r="D3919" s="30" t="s">
        <v>1588</v>
      </c>
      <c r="F3919" s="30" t="s">
        <v>1591</v>
      </c>
      <c r="H3919" s="30" t="s">
        <v>1592</v>
      </c>
      <c r="N3919" s="30" t="s">
        <v>1490</v>
      </c>
      <c r="P3919" s="30" t="s">
        <v>7360</v>
      </c>
      <c r="Q3919" t="s">
        <v>619</v>
      </c>
      <c r="R3919" t="s">
        <v>918</v>
      </c>
      <c r="S3919">
        <v>37</v>
      </c>
      <c r="T3919" s="29" t="str">
        <f t="shared" si="172"/>
        <v>2021.010B.R.Binomial_names.zip</v>
      </c>
      <c r="U3919" s="29" t="str">
        <f>HYPERLINK("https://ictv.global/taxonomy/taxondetails?taxnode_id=202301066","ictv.global=202301066")</f>
        <v>ictv.global=202301066</v>
      </c>
    </row>
    <row r="3920" spans="1:21">
      <c r="A3920">
        <v>3919</v>
      </c>
      <c r="B3920" s="30" t="s">
        <v>1587</v>
      </c>
      <c r="D3920" s="30" t="s">
        <v>1588</v>
      </c>
      <c r="F3920" s="30" t="s">
        <v>1591</v>
      </c>
      <c r="H3920" s="30" t="s">
        <v>1592</v>
      </c>
      <c r="N3920" s="30" t="s">
        <v>1490</v>
      </c>
      <c r="P3920" s="30" t="s">
        <v>7361</v>
      </c>
      <c r="Q3920" t="s">
        <v>619</v>
      </c>
      <c r="R3920" t="s">
        <v>918</v>
      </c>
      <c r="S3920">
        <v>37</v>
      </c>
      <c r="T3920" s="29" t="str">
        <f t="shared" si="172"/>
        <v>2021.010B.R.Binomial_names.zip</v>
      </c>
      <c r="U3920" s="29" t="str">
        <f>HYPERLINK("https://ictv.global/taxonomy/taxondetails?taxnode_id=202301067","ictv.global=202301067")</f>
        <v>ictv.global=202301067</v>
      </c>
    </row>
    <row r="3921" spans="1:21">
      <c r="A3921">
        <v>3920</v>
      </c>
      <c r="B3921" s="30" t="s">
        <v>1587</v>
      </c>
      <c r="D3921" s="30" t="s">
        <v>1588</v>
      </c>
      <c r="F3921" s="30" t="s">
        <v>1591</v>
      </c>
      <c r="H3921" s="30" t="s">
        <v>1592</v>
      </c>
      <c r="N3921" s="30" t="s">
        <v>2267</v>
      </c>
      <c r="P3921" s="30" t="s">
        <v>7362</v>
      </c>
      <c r="Q3921" t="s">
        <v>619</v>
      </c>
      <c r="R3921" t="s">
        <v>918</v>
      </c>
      <c r="S3921">
        <v>37</v>
      </c>
      <c r="T3921" s="29" t="str">
        <f t="shared" si="172"/>
        <v>2021.010B.R.Binomial_names.zip</v>
      </c>
      <c r="U3921" s="29" t="str">
        <f>HYPERLINK("https://ictv.global/taxonomy/taxondetails?taxnode_id=202300515","ictv.global=202300515")</f>
        <v>ictv.global=202300515</v>
      </c>
    </row>
    <row r="3922" spans="1:21">
      <c r="A3922">
        <v>3921</v>
      </c>
      <c r="B3922" s="30" t="s">
        <v>1587</v>
      </c>
      <c r="D3922" s="30" t="s">
        <v>1588</v>
      </c>
      <c r="F3922" s="30" t="s">
        <v>1591</v>
      </c>
      <c r="H3922" s="30" t="s">
        <v>1592</v>
      </c>
      <c r="N3922" s="30" t="s">
        <v>2267</v>
      </c>
      <c r="P3922" s="30" t="s">
        <v>7363</v>
      </c>
      <c r="Q3922" t="s">
        <v>619</v>
      </c>
      <c r="R3922" t="s">
        <v>918</v>
      </c>
      <c r="S3922">
        <v>37</v>
      </c>
      <c r="T3922" s="29" t="str">
        <f t="shared" si="172"/>
        <v>2021.010B.R.Binomial_names.zip</v>
      </c>
      <c r="U3922" s="29" t="str">
        <f>HYPERLINK("https://ictv.global/taxonomy/taxondetails?taxnode_id=202310039","ictv.global=202310039")</f>
        <v>ictv.global=202310039</v>
      </c>
    </row>
    <row r="3923" spans="1:21">
      <c r="A3923">
        <v>3922</v>
      </c>
      <c r="B3923" s="30" t="s">
        <v>1587</v>
      </c>
      <c r="D3923" s="30" t="s">
        <v>1588</v>
      </c>
      <c r="F3923" s="30" t="s">
        <v>1591</v>
      </c>
      <c r="H3923" s="30" t="s">
        <v>1592</v>
      </c>
      <c r="N3923" s="30" t="s">
        <v>12613</v>
      </c>
      <c r="P3923" s="30" t="s">
        <v>12614</v>
      </c>
      <c r="Q3923" t="s">
        <v>619</v>
      </c>
      <c r="R3923" t="s">
        <v>917</v>
      </c>
      <c r="S3923">
        <v>39</v>
      </c>
      <c r="T3923" s="29" t="str">
        <f>HYPERLINK("https://ictv.global/ictv/proposals/2023.003B.Actinobacteriophage_singletons_25ng.zip","2023.003B.Actinobacteriophage_singletons_25ng.zip")</f>
        <v>2023.003B.Actinobacteriophage_singletons_25ng.zip</v>
      </c>
      <c r="U3923" s="29" t="str">
        <f>HYPERLINK("https://ictv.global/taxonomy/taxondetails?taxnode_id=202317767","ictv.global=202317767")</f>
        <v>ictv.global=202317767</v>
      </c>
    </row>
    <row r="3924" spans="1:21">
      <c r="A3924">
        <v>3923</v>
      </c>
      <c r="B3924" s="30" t="s">
        <v>1587</v>
      </c>
      <c r="D3924" s="30" t="s">
        <v>1588</v>
      </c>
      <c r="F3924" s="30" t="s">
        <v>1591</v>
      </c>
      <c r="H3924" s="30" t="s">
        <v>1592</v>
      </c>
      <c r="N3924" s="30" t="s">
        <v>865</v>
      </c>
      <c r="P3924" s="30" t="s">
        <v>7364</v>
      </c>
      <c r="Q3924" t="s">
        <v>619</v>
      </c>
      <c r="R3924" t="s">
        <v>918</v>
      </c>
      <c r="S3924">
        <v>37</v>
      </c>
      <c r="T3924" s="29" t="str">
        <f t="shared" ref="T3924:T3935" si="173">HYPERLINK("https://ictv.global/ictv/proposals/2021.010B.R.Binomial_names.zip","2021.010B.R.Binomial_names.zip")</f>
        <v>2021.010B.R.Binomial_names.zip</v>
      </c>
      <c r="U3924" s="29" t="str">
        <f>HYPERLINK("https://ictv.global/taxonomy/taxondetails?taxnode_id=202300972","ictv.global=202300972")</f>
        <v>ictv.global=202300972</v>
      </c>
    </row>
    <row r="3925" spans="1:21">
      <c r="A3925">
        <v>3924</v>
      </c>
      <c r="B3925" s="30" t="s">
        <v>1587</v>
      </c>
      <c r="D3925" s="30" t="s">
        <v>1588</v>
      </c>
      <c r="F3925" s="30" t="s">
        <v>1591</v>
      </c>
      <c r="H3925" s="30" t="s">
        <v>1592</v>
      </c>
      <c r="N3925" s="30" t="s">
        <v>1491</v>
      </c>
      <c r="P3925" s="30" t="s">
        <v>7365</v>
      </c>
      <c r="Q3925" t="s">
        <v>619</v>
      </c>
      <c r="R3925" t="s">
        <v>918</v>
      </c>
      <c r="S3925">
        <v>37</v>
      </c>
      <c r="T3925" s="29" t="str">
        <f t="shared" si="173"/>
        <v>2021.010B.R.Binomial_names.zip</v>
      </c>
      <c r="U3925" s="29" t="str">
        <f>HYPERLINK("https://ictv.global/taxonomy/taxondetails?taxnode_id=202306628","ictv.global=202306628")</f>
        <v>ictv.global=202306628</v>
      </c>
    </row>
    <row r="3926" spans="1:21">
      <c r="A3926">
        <v>3925</v>
      </c>
      <c r="B3926" s="30" t="s">
        <v>1587</v>
      </c>
      <c r="D3926" s="30" t="s">
        <v>1588</v>
      </c>
      <c r="F3926" s="30" t="s">
        <v>1591</v>
      </c>
      <c r="H3926" s="30" t="s">
        <v>1592</v>
      </c>
      <c r="N3926" s="30" t="s">
        <v>1491</v>
      </c>
      <c r="P3926" s="30" t="s">
        <v>7366</v>
      </c>
      <c r="Q3926" t="s">
        <v>619</v>
      </c>
      <c r="R3926" t="s">
        <v>918</v>
      </c>
      <c r="S3926">
        <v>37</v>
      </c>
      <c r="T3926" s="29" t="str">
        <f t="shared" si="173"/>
        <v>2021.010B.R.Binomial_names.zip</v>
      </c>
      <c r="U3926" s="29" t="str">
        <f>HYPERLINK("https://ictv.global/taxonomy/taxondetails?taxnode_id=202306627","ictv.global=202306627")</f>
        <v>ictv.global=202306627</v>
      </c>
    </row>
    <row r="3927" spans="1:21">
      <c r="A3927">
        <v>3926</v>
      </c>
      <c r="B3927" s="30" t="s">
        <v>1587</v>
      </c>
      <c r="D3927" s="30" t="s">
        <v>1588</v>
      </c>
      <c r="F3927" s="30" t="s">
        <v>1591</v>
      </c>
      <c r="H3927" s="30" t="s">
        <v>1592</v>
      </c>
      <c r="N3927" s="30" t="s">
        <v>1492</v>
      </c>
      <c r="P3927" s="30" t="s">
        <v>7367</v>
      </c>
      <c r="Q3927" t="s">
        <v>619</v>
      </c>
      <c r="R3927" t="s">
        <v>918</v>
      </c>
      <c r="S3927">
        <v>37</v>
      </c>
      <c r="T3927" s="29" t="str">
        <f t="shared" si="173"/>
        <v>2021.010B.R.Binomial_names.zip</v>
      </c>
      <c r="U3927" s="29" t="str">
        <f>HYPERLINK("https://ictv.global/taxonomy/taxondetails?taxnode_id=202306444","ictv.global=202306444")</f>
        <v>ictv.global=202306444</v>
      </c>
    </row>
    <row r="3928" spans="1:21">
      <c r="A3928">
        <v>3927</v>
      </c>
      <c r="B3928" s="30" t="s">
        <v>1587</v>
      </c>
      <c r="D3928" s="30" t="s">
        <v>1588</v>
      </c>
      <c r="F3928" s="30" t="s">
        <v>1591</v>
      </c>
      <c r="H3928" s="30" t="s">
        <v>1592</v>
      </c>
      <c r="N3928" s="30" t="s">
        <v>1493</v>
      </c>
      <c r="P3928" s="30" t="s">
        <v>7368</v>
      </c>
      <c r="Q3928" t="s">
        <v>619</v>
      </c>
      <c r="R3928" t="s">
        <v>918</v>
      </c>
      <c r="S3928">
        <v>37</v>
      </c>
      <c r="T3928" s="29" t="str">
        <f t="shared" si="173"/>
        <v>2021.010B.R.Binomial_names.zip</v>
      </c>
      <c r="U3928" s="29" t="str">
        <f>HYPERLINK("https://ictv.global/taxonomy/taxondetails?taxnode_id=202306480","ictv.global=202306480")</f>
        <v>ictv.global=202306480</v>
      </c>
    </row>
    <row r="3929" spans="1:21">
      <c r="A3929">
        <v>3928</v>
      </c>
      <c r="B3929" s="30" t="s">
        <v>1587</v>
      </c>
      <c r="D3929" s="30" t="s">
        <v>1588</v>
      </c>
      <c r="F3929" s="30" t="s">
        <v>1591</v>
      </c>
      <c r="H3929" s="30" t="s">
        <v>1592</v>
      </c>
      <c r="N3929" s="30" t="s">
        <v>2312</v>
      </c>
      <c r="P3929" s="30" t="s">
        <v>7369</v>
      </c>
      <c r="Q3929" t="s">
        <v>619</v>
      </c>
      <c r="R3929" t="s">
        <v>918</v>
      </c>
      <c r="S3929">
        <v>37</v>
      </c>
      <c r="T3929" s="29" t="str">
        <f t="shared" si="173"/>
        <v>2021.010B.R.Binomial_names.zip</v>
      </c>
      <c r="U3929" s="29" t="str">
        <f>HYPERLINK("https://ictv.global/taxonomy/taxondetails?taxnode_id=202311663","ictv.global=202311663")</f>
        <v>ictv.global=202311663</v>
      </c>
    </row>
    <row r="3930" spans="1:21">
      <c r="A3930">
        <v>3929</v>
      </c>
      <c r="B3930" s="30" t="s">
        <v>1587</v>
      </c>
      <c r="D3930" s="30" t="s">
        <v>1588</v>
      </c>
      <c r="F3930" s="30" t="s">
        <v>1591</v>
      </c>
      <c r="H3930" s="30" t="s">
        <v>1592</v>
      </c>
      <c r="N3930" s="30" t="s">
        <v>2312</v>
      </c>
      <c r="P3930" s="30" t="s">
        <v>7370</v>
      </c>
      <c r="Q3930" t="s">
        <v>619</v>
      </c>
      <c r="R3930" t="s">
        <v>918</v>
      </c>
      <c r="S3930">
        <v>37</v>
      </c>
      <c r="T3930" s="29" t="str">
        <f t="shared" si="173"/>
        <v>2021.010B.R.Binomial_names.zip</v>
      </c>
      <c r="U3930" s="29" t="str">
        <f>HYPERLINK("https://ictv.global/taxonomy/taxondetails?taxnode_id=202311664","ictv.global=202311664")</f>
        <v>ictv.global=202311664</v>
      </c>
    </row>
    <row r="3931" spans="1:21">
      <c r="A3931">
        <v>3930</v>
      </c>
      <c r="B3931" s="30" t="s">
        <v>1587</v>
      </c>
      <c r="D3931" s="30" t="s">
        <v>1588</v>
      </c>
      <c r="F3931" s="30" t="s">
        <v>1591</v>
      </c>
      <c r="H3931" s="30" t="s">
        <v>1592</v>
      </c>
      <c r="N3931" s="30" t="s">
        <v>2312</v>
      </c>
      <c r="P3931" s="30" t="s">
        <v>7371</v>
      </c>
      <c r="Q3931" t="s">
        <v>619</v>
      </c>
      <c r="R3931" t="s">
        <v>918</v>
      </c>
      <c r="S3931">
        <v>37</v>
      </c>
      <c r="T3931" s="29" t="str">
        <f t="shared" si="173"/>
        <v>2021.010B.R.Binomial_names.zip</v>
      </c>
      <c r="U3931" s="29" t="str">
        <f>HYPERLINK("https://ictv.global/taxonomy/taxondetails?taxnode_id=202311665","ictv.global=202311665")</f>
        <v>ictv.global=202311665</v>
      </c>
    </row>
    <row r="3932" spans="1:21">
      <c r="A3932">
        <v>3931</v>
      </c>
      <c r="B3932" s="30" t="s">
        <v>1587</v>
      </c>
      <c r="D3932" s="30" t="s">
        <v>1588</v>
      </c>
      <c r="F3932" s="30" t="s">
        <v>1591</v>
      </c>
      <c r="H3932" s="30" t="s">
        <v>1592</v>
      </c>
      <c r="N3932" s="30" t="s">
        <v>1495</v>
      </c>
      <c r="P3932" s="30" t="s">
        <v>7372</v>
      </c>
      <c r="Q3932" t="s">
        <v>619</v>
      </c>
      <c r="R3932" t="s">
        <v>918</v>
      </c>
      <c r="S3932">
        <v>37</v>
      </c>
      <c r="T3932" s="29" t="str">
        <f t="shared" si="173"/>
        <v>2021.010B.R.Binomial_names.zip</v>
      </c>
      <c r="U3932" s="29" t="str">
        <f>HYPERLINK("https://ictv.global/taxonomy/taxondetails?taxnode_id=202306827","ictv.global=202306827")</f>
        <v>ictv.global=202306827</v>
      </c>
    </row>
    <row r="3933" spans="1:21">
      <c r="A3933">
        <v>3932</v>
      </c>
      <c r="B3933" s="30" t="s">
        <v>1587</v>
      </c>
      <c r="D3933" s="30" t="s">
        <v>1588</v>
      </c>
      <c r="F3933" s="30" t="s">
        <v>1591</v>
      </c>
      <c r="H3933" s="30" t="s">
        <v>1592</v>
      </c>
      <c r="N3933" s="30" t="s">
        <v>1495</v>
      </c>
      <c r="P3933" s="30" t="s">
        <v>7373</v>
      </c>
      <c r="Q3933" t="s">
        <v>619</v>
      </c>
      <c r="R3933" t="s">
        <v>918</v>
      </c>
      <c r="S3933">
        <v>37</v>
      </c>
      <c r="T3933" s="29" t="str">
        <f t="shared" si="173"/>
        <v>2021.010B.R.Binomial_names.zip</v>
      </c>
      <c r="U3933" s="29" t="str">
        <f>HYPERLINK("https://ictv.global/taxonomy/taxondetails?taxnode_id=202306826","ictv.global=202306826")</f>
        <v>ictv.global=202306826</v>
      </c>
    </row>
    <row r="3934" spans="1:21">
      <c r="A3934">
        <v>3933</v>
      </c>
      <c r="B3934" s="30" t="s">
        <v>1587</v>
      </c>
      <c r="D3934" s="30" t="s">
        <v>1588</v>
      </c>
      <c r="F3934" s="30" t="s">
        <v>1591</v>
      </c>
      <c r="H3934" s="30" t="s">
        <v>1592</v>
      </c>
      <c r="N3934" s="30" t="s">
        <v>1496</v>
      </c>
      <c r="P3934" s="30" t="s">
        <v>7374</v>
      </c>
      <c r="Q3934" t="s">
        <v>619</v>
      </c>
      <c r="R3934" t="s">
        <v>918</v>
      </c>
      <c r="S3934">
        <v>37</v>
      </c>
      <c r="T3934" s="29" t="str">
        <f t="shared" si="173"/>
        <v>2021.010B.R.Binomial_names.zip</v>
      </c>
      <c r="U3934" s="29" t="str">
        <f>HYPERLINK("https://ictv.global/taxonomy/taxondetails?taxnode_id=202306635","ictv.global=202306635")</f>
        <v>ictv.global=202306635</v>
      </c>
    </row>
    <row r="3935" spans="1:21">
      <c r="A3935">
        <v>3934</v>
      </c>
      <c r="B3935" s="30" t="s">
        <v>1587</v>
      </c>
      <c r="D3935" s="30" t="s">
        <v>1588</v>
      </c>
      <c r="F3935" s="30" t="s">
        <v>1591</v>
      </c>
      <c r="H3935" s="30" t="s">
        <v>1592</v>
      </c>
      <c r="N3935" s="30" t="s">
        <v>866</v>
      </c>
      <c r="P3935" s="30" t="s">
        <v>7375</v>
      </c>
      <c r="Q3935" t="s">
        <v>619</v>
      </c>
      <c r="R3935" t="s">
        <v>918</v>
      </c>
      <c r="S3935">
        <v>37</v>
      </c>
      <c r="T3935" s="29" t="str">
        <f t="shared" si="173"/>
        <v>2021.010B.R.Binomial_names.zip</v>
      </c>
      <c r="U3935" s="29" t="str">
        <f>HYPERLINK("https://ictv.global/taxonomy/taxondetails?taxnode_id=202300974","ictv.global=202300974")</f>
        <v>ictv.global=202300974</v>
      </c>
    </row>
    <row r="3936" spans="1:21">
      <c r="A3936">
        <v>3935</v>
      </c>
      <c r="B3936" s="30" t="s">
        <v>1587</v>
      </c>
      <c r="D3936" s="30" t="s">
        <v>1588</v>
      </c>
      <c r="F3936" s="30" t="s">
        <v>1591</v>
      </c>
      <c r="H3936" s="30" t="s">
        <v>1592</v>
      </c>
      <c r="N3936" s="30" t="s">
        <v>12615</v>
      </c>
      <c r="P3936" s="30" t="s">
        <v>12616</v>
      </c>
      <c r="Q3936" t="s">
        <v>619</v>
      </c>
      <c r="R3936" t="s">
        <v>917</v>
      </c>
      <c r="S3936">
        <v>39</v>
      </c>
      <c r="T3936" s="29" t="str">
        <f>HYPERLINK("https://ictv.global/ictv/proposals/2023.003B.Actinobacteriophage_singletons_25ng.zip","2023.003B.Actinobacteriophage_singletons_25ng.zip")</f>
        <v>2023.003B.Actinobacteriophage_singletons_25ng.zip</v>
      </c>
      <c r="U3936" s="29" t="str">
        <f>HYPERLINK("https://ictv.global/taxonomy/taxondetails?taxnode_id=202317757","ictv.global=202317757")</f>
        <v>ictv.global=202317757</v>
      </c>
    </row>
    <row r="3937" spans="1:21">
      <c r="A3937">
        <v>3936</v>
      </c>
      <c r="B3937" s="30" t="s">
        <v>1587</v>
      </c>
      <c r="D3937" s="30" t="s">
        <v>1588</v>
      </c>
      <c r="F3937" s="30" t="s">
        <v>1591</v>
      </c>
      <c r="H3937" s="30" t="s">
        <v>1592</v>
      </c>
      <c r="N3937" s="30" t="s">
        <v>1905</v>
      </c>
      <c r="P3937" s="30" t="s">
        <v>7376</v>
      </c>
      <c r="Q3937" t="s">
        <v>619</v>
      </c>
      <c r="R3937" t="s">
        <v>918</v>
      </c>
      <c r="S3937">
        <v>37</v>
      </c>
      <c r="T3937" s="29" t="str">
        <f>HYPERLINK("https://ictv.global/ictv/proposals/2021.010B.R.Binomial_names.zip","2021.010B.R.Binomial_names.zip")</f>
        <v>2021.010B.R.Binomial_names.zip</v>
      </c>
      <c r="U3937" s="29" t="str">
        <f>HYPERLINK("https://ictv.global/taxonomy/taxondetails?taxnode_id=202307308","ictv.global=202307308")</f>
        <v>ictv.global=202307308</v>
      </c>
    </row>
    <row r="3938" spans="1:21">
      <c r="A3938">
        <v>3937</v>
      </c>
      <c r="B3938" s="30" t="s">
        <v>1587</v>
      </c>
      <c r="D3938" s="30" t="s">
        <v>1588</v>
      </c>
      <c r="F3938" s="30" t="s">
        <v>1591</v>
      </c>
      <c r="H3938" s="30" t="s">
        <v>1592</v>
      </c>
      <c r="N3938" s="30" t="s">
        <v>7377</v>
      </c>
      <c r="P3938" s="30" t="s">
        <v>7378</v>
      </c>
      <c r="Q3938" t="s">
        <v>619</v>
      </c>
      <c r="R3938" t="s">
        <v>917</v>
      </c>
      <c r="S3938">
        <v>38</v>
      </c>
      <c r="T3938" s="29" t="str">
        <f>HYPERLINK("https://ictv.global/ictv/proposals/2022.092B.Caudoviricetes_3ng_gordonia.zip","2022.092B.Caudoviricetes_3ng_gordonia.zip")</f>
        <v>2022.092B.Caudoviricetes_3ng_gordonia.zip</v>
      </c>
      <c r="U3938" s="29" t="str">
        <f>HYPERLINK("https://ictv.global/taxonomy/taxondetails?taxnode_id=202314972","ictv.global=202314972")</f>
        <v>ictv.global=202314972</v>
      </c>
    </row>
    <row r="3939" spans="1:21">
      <c r="A3939">
        <v>3938</v>
      </c>
      <c r="B3939" s="30" t="s">
        <v>1587</v>
      </c>
      <c r="D3939" s="30" t="s">
        <v>1588</v>
      </c>
      <c r="F3939" s="30" t="s">
        <v>1591</v>
      </c>
      <c r="H3939" s="30" t="s">
        <v>1592</v>
      </c>
      <c r="N3939" s="30" t="s">
        <v>7379</v>
      </c>
      <c r="P3939" s="30" t="s">
        <v>7380</v>
      </c>
      <c r="Q3939" t="s">
        <v>619</v>
      </c>
      <c r="R3939" t="s">
        <v>917</v>
      </c>
      <c r="S3939">
        <v>37</v>
      </c>
      <c r="T3939" s="29" t="str">
        <f t="shared" ref="T3939:T3948" si="174">HYPERLINK("https://ictv.global/ictv/proposals/2021.033B.R.Gladiatorvirus.zip","2021.033B.R.Gladiatorvirus.zip")</f>
        <v>2021.033B.R.Gladiatorvirus.zip</v>
      </c>
      <c r="U3939" s="29" t="str">
        <f>HYPERLINK("https://ictv.global/taxonomy/taxondetails?taxnode_id=202313602","ictv.global=202313602")</f>
        <v>ictv.global=202313602</v>
      </c>
    </row>
    <row r="3940" spans="1:21">
      <c r="A3940">
        <v>3939</v>
      </c>
      <c r="B3940" s="30" t="s">
        <v>1587</v>
      </c>
      <c r="D3940" s="30" t="s">
        <v>1588</v>
      </c>
      <c r="F3940" s="30" t="s">
        <v>1591</v>
      </c>
      <c r="H3940" s="30" t="s">
        <v>1592</v>
      </c>
      <c r="N3940" s="30" t="s">
        <v>7379</v>
      </c>
      <c r="P3940" s="30" t="s">
        <v>7381</v>
      </c>
      <c r="Q3940" t="s">
        <v>619</v>
      </c>
      <c r="R3940" t="s">
        <v>917</v>
      </c>
      <c r="S3940">
        <v>37</v>
      </c>
      <c r="T3940" s="29" t="str">
        <f t="shared" si="174"/>
        <v>2021.033B.R.Gladiatorvirus.zip</v>
      </c>
      <c r="U3940" s="29" t="str">
        <f>HYPERLINK("https://ictv.global/taxonomy/taxondetails?taxnode_id=202312254","ictv.global=202312254")</f>
        <v>ictv.global=202312254</v>
      </c>
    </row>
    <row r="3941" spans="1:21">
      <c r="A3941">
        <v>3940</v>
      </c>
      <c r="B3941" s="30" t="s">
        <v>1587</v>
      </c>
      <c r="D3941" s="30" t="s">
        <v>1588</v>
      </c>
      <c r="F3941" s="30" t="s">
        <v>1591</v>
      </c>
      <c r="H3941" s="30" t="s">
        <v>1592</v>
      </c>
      <c r="N3941" s="30" t="s">
        <v>7379</v>
      </c>
      <c r="P3941" s="30" t="s">
        <v>7382</v>
      </c>
      <c r="Q3941" t="s">
        <v>619</v>
      </c>
      <c r="R3941" t="s">
        <v>918</v>
      </c>
      <c r="S3941">
        <v>37</v>
      </c>
      <c r="T3941" s="29" t="str">
        <f t="shared" si="174"/>
        <v>2021.033B.R.Gladiatorvirus.zip</v>
      </c>
      <c r="U3941" s="29" t="str">
        <f>HYPERLINK("https://ictv.global/taxonomy/taxondetails?taxnode_id=202301024","ictv.global=202301024")</f>
        <v>ictv.global=202301024</v>
      </c>
    </row>
    <row r="3942" spans="1:21">
      <c r="A3942">
        <v>3941</v>
      </c>
      <c r="B3942" s="30" t="s">
        <v>1587</v>
      </c>
      <c r="D3942" s="30" t="s">
        <v>1588</v>
      </c>
      <c r="F3942" s="30" t="s">
        <v>1591</v>
      </c>
      <c r="H3942" s="30" t="s">
        <v>1592</v>
      </c>
      <c r="N3942" s="30" t="s">
        <v>7379</v>
      </c>
      <c r="P3942" s="30" t="s">
        <v>7383</v>
      </c>
      <c r="Q3942" t="s">
        <v>619</v>
      </c>
      <c r="R3942" t="s">
        <v>918</v>
      </c>
      <c r="S3942">
        <v>37</v>
      </c>
      <c r="T3942" s="29" t="str">
        <f t="shared" si="174"/>
        <v>2021.033B.R.Gladiatorvirus.zip</v>
      </c>
      <c r="U3942" s="29" t="str">
        <f>HYPERLINK("https://ictv.global/taxonomy/taxondetails?taxnode_id=202301027","ictv.global=202301027")</f>
        <v>ictv.global=202301027</v>
      </c>
    </row>
    <row r="3943" spans="1:21">
      <c r="A3943">
        <v>3942</v>
      </c>
      <c r="B3943" s="30" t="s">
        <v>1587</v>
      </c>
      <c r="D3943" s="30" t="s">
        <v>1588</v>
      </c>
      <c r="F3943" s="30" t="s">
        <v>1591</v>
      </c>
      <c r="H3943" s="30" t="s">
        <v>1592</v>
      </c>
      <c r="N3943" s="30" t="s">
        <v>7379</v>
      </c>
      <c r="P3943" s="30" t="s">
        <v>7384</v>
      </c>
      <c r="Q3943" t="s">
        <v>619</v>
      </c>
      <c r="R3943" t="s">
        <v>918</v>
      </c>
      <c r="S3943">
        <v>37</v>
      </c>
      <c r="T3943" s="29" t="str">
        <f t="shared" si="174"/>
        <v>2021.033B.R.Gladiatorvirus.zip</v>
      </c>
      <c r="U3943" s="29" t="str">
        <f>HYPERLINK("https://ictv.global/taxonomy/taxondetails?taxnode_id=202301029","ictv.global=202301029")</f>
        <v>ictv.global=202301029</v>
      </c>
    </row>
    <row r="3944" spans="1:21">
      <c r="A3944">
        <v>3943</v>
      </c>
      <c r="B3944" s="30" t="s">
        <v>1587</v>
      </c>
      <c r="D3944" s="30" t="s">
        <v>1588</v>
      </c>
      <c r="F3944" s="30" t="s">
        <v>1591</v>
      </c>
      <c r="H3944" s="30" t="s">
        <v>1592</v>
      </c>
      <c r="N3944" s="30" t="s">
        <v>7379</v>
      </c>
      <c r="P3944" s="30" t="s">
        <v>7385</v>
      </c>
      <c r="Q3944" t="s">
        <v>619</v>
      </c>
      <c r="R3944" t="s">
        <v>918</v>
      </c>
      <c r="S3944">
        <v>37</v>
      </c>
      <c r="T3944" s="29" t="str">
        <f t="shared" si="174"/>
        <v>2021.033B.R.Gladiatorvirus.zip</v>
      </c>
      <c r="U3944" s="29" t="str">
        <f>HYPERLINK("https://ictv.global/taxonomy/taxondetails?taxnode_id=202301033","ictv.global=202301033")</f>
        <v>ictv.global=202301033</v>
      </c>
    </row>
    <row r="3945" spans="1:21">
      <c r="A3945">
        <v>3944</v>
      </c>
      <c r="B3945" s="30" t="s">
        <v>1587</v>
      </c>
      <c r="D3945" s="30" t="s">
        <v>1588</v>
      </c>
      <c r="F3945" s="30" t="s">
        <v>1591</v>
      </c>
      <c r="H3945" s="30" t="s">
        <v>1592</v>
      </c>
      <c r="N3945" s="30" t="s">
        <v>7379</v>
      </c>
      <c r="P3945" s="30" t="s">
        <v>7386</v>
      </c>
      <c r="Q3945" t="s">
        <v>619</v>
      </c>
      <c r="R3945" t="s">
        <v>917</v>
      </c>
      <c r="S3945">
        <v>37</v>
      </c>
      <c r="T3945" s="29" t="str">
        <f t="shared" si="174"/>
        <v>2021.033B.R.Gladiatorvirus.zip</v>
      </c>
      <c r="U3945" s="29" t="str">
        <f>HYPERLINK("https://ictv.global/taxonomy/taxondetails?taxnode_id=202313604","ictv.global=202313604")</f>
        <v>ictv.global=202313604</v>
      </c>
    </row>
    <row r="3946" spans="1:21">
      <c r="A3946">
        <v>3945</v>
      </c>
      <c r="B3946" s="30" t="s">
        <v>1587</v>
      </c>
      <c r="D3946" s="30" t="s">
        <v>1588</v>
      </c>
      <c r="F3946" s="30" t="s">
        <v>1591</v>
      </c>
      <c r="H3946" s="30" t="s">
        <v>1592</v>
      </c>
      <c r="N3946" s="30" t="s">
        <v>7379</v>
      </c>
      <c r="P3946" s="30" t="s">
        <v>7387</v>
      </c>
      <c r="Q3946" t="s">
        <v>619</v>
      </c>
      <c r="R3946" t="s">
        <v>917</v>
      </c>
      <c r="S3946">
        <v>37</v>
      </c>
      <c r="T3946" s="29" t="str">
        <f t="shared" si="174"/>
        <v>2021.033B.R.Gladiatorvirus.zip</v>
      </c>
      <c r="U3946" s="29" t="str">
        <f>HYPERLINK("https://ictv.global/taxonomy/taxondetails?taxnode_id=202312253","ictv.global=202312253")</f>
        <v>ictv.global=202312253</v>
      </c>
    </row>
    <row r="3947" spans="1:21">
      <c r="A3947">
        <v>3946</v>
      </c>
      <c r="B3947" s="30" t="s">
        <v>1587</v>
      </c>
      <c r="D3947" s="30" t="s">
        <v>1588</v>
      </c>
      <c r="F3947" s="30" t="s">
        <v>1591</v>
      </c>
      <c r="H3947" s="30" t="s">
        <v>1592</v>
      </c>
      <c r="N3947" s="30" t="s">
        <v>7379</v>
      </c>
      <c r="P3947" s="30" t="s">
        <v>7388</v>
      </c>
      <c r="Q3947" t="s">
        <v>619</v>
      </c>
      <c r="R3947" t="s">
        <v>917</v>
      </c>
      <c r="S3947">
        <v>37</v>
      </c>
      <c r="T3947" s="29" t="str">
        <f t="shared" si="174"/>
        <v>2021.033B.R.Gladiatorvirus.zip</v>
      </c>
      <c r="U3947" s="29" t="str">
        <f>HYPERLINK("https://ictv.global/taxonomy/taxondetails?taxnode_id=202312252","ictv.global=202312252")</f>
        <v>ictv.global=202312252</v>
      </c>
    </row>
    <row r="3948" spans="1:21">
      <c r="A3948">
        <v>3947</v>
      </c>
      <c r="B3948" s="30" t="s">
        <v>1587</v>
      </c>
      <c r="D3948" s="30" t="s">
        <v>1588</v>
      </c>
      <c r="F3948" s="30" t="s">
        <v>1591</v>
      </c>
      <c r="H3948" s="30" t="s">
        <v>1592</v>
      </c>
      <c r="N3948" s="30" t="s">
        <v>7379</v>
      </c>
      <c r="P3948" s="30" t="s">
        <v>7389</v>
      </c>
      <c r="Q3948" t="s">
        <v>619</v>
      </c>
      <c r="R3948" t="s">
        <v>917</v>
      </c>
      <c r="S3948">
        <v>37</v>
      </c>
      <c r="T3948" s="29" t="str">
        <f t="shared" si="174"/>
        <v>2021.033B.R.Gladiatorvirus.zip</v>
      </c>
      <c r="U3948" s="29" t="str">
        <f>HYPERLINK("https://ictv.global/taxonomy/taxondetails?taxnode_id=202313603","ictv.global=202313603")</f>
        <v>ictv.global=202313603</v>
      </c>
    </row>
    <row r="3949" spans="1:21">
      <c r="A3949">
        <v>3948</v>
      </c>
      <c r="B3949" s="30" t="s">
        <v>1587</v>
      </c>
      <c r="D3949" s="30" t="s">
        <v>1588</v>
      </c>
      <c r="F3949" s="30" t="s">
        <v>1591</v>
      </c>
      <c r="H3949" s="30" t="s">
        <v>1592</v>
      </c>
      <c r="N3949" s="30" t="s">
        <v>2435</v>
      </c>
      <c r="P3949" s="30" t="s">
        <v>7390</v>
      </c>
      <c r="Q3949" t="s">
        <v>619</v>
      </c>
      <c r="R3949" t="s">
        <v>918</v>
      </c>
      <c r="S3949">
        <v>37</v>
      </c>
      <c r="T3949" s="29" t="str">
        <f>HYPERLINK("https://ictv.global/ictv/proposals/2021.010B.R.Binomial_names.zip","2021.010B.R.Binomial_names.zip")</f>
        <v>2021.010B.R.Binomial_names.zip</v>
      </c>
      <c r="U3949" s="29" t="str">
        <f>HYPERLINK("https://ictv.global/taxonomy/taxondetails?taxnode_id=202309350","ictv.global=202309350")</f>
        <v>ictv.global=202309350</v>
      </c>
    </row>
    <row r="3950" spans="1:21">
      <c r="A3950">
        <v>3949</v>
      </c>
      <c r="B3950" s="30" t="s">
        <v>1587</v>
      </c>
      <c r="D3950" s="30" t="s">
        <v>1588</v>
      </c>
      <c r="F3950" s="30" t="s">
        <v>1591</v>
      </c>
      <c r="H3950" s="30" t="s">
        <v>1592</v>
      </c>
      <c r="N3950" s="30" t="s">
        <v>1906</v>
      </c>
      <c r="P3950" s="30" t="s">
        <v>7391</v>
      </c>
      <c r="Q3950" t="s">
        <v>619</v>
      </c>
      <c r="R3950" t="s">
        <v>918</v>
      </c>
      <c r="S3950">
        <v>37</v>
      </c>
      <c r="T3950" s="29" t="str">
        <f>HYPERLINK("https://ictv.global/ictv/proposals/2021.010B.R.Binomial_names.zip","2021.010B.R.Binomial_names.zip")</f>
        <v>2021.010B.R.Binomial_names.zip</v>
      </c>
      <c r="U3950" s="29" t="str">
        <f>HYPERLINK("https://ictv.global/taxonomy/taxondetails?taxnode_id=202307287","ictv.global=202307287")</f>
        <v>ictv.global=202307287</v>
      </c>
    </row>
    <row r="3951" spans="1:21">
      <c r="A3951">
        <v>3950</v>
      </c>
      <c r="B3951" s="30" t="s">
        <v>1587</v>
      </c>
      <c r="D3951" s="30" t="s">
        <v>1588</v>
      </c>
      <c r="F3951" s="30" t="s">
        <v>1591</v>
      </c>
      <c r="H3951" s="30" t="s">
        <v>1592</v>
      </c>
      <c r="N3951" s="30" t="s">
        <v>1906</v>
      </c>
      <c r="P3951" s="30" t="s">
        <v>7392</v>
      </c>
      <c r="Q3951" t="s">
        <v>619</v>
      </c>
      <c r="R3951" t="s">
        <v>917</v>
      </c>
      <c r="S3951">
        <v>38</v>
      </c>
      <c r="T3951" s="29" t="str">
        <f>HYPERLINK("https://ictv.global/ictv/proposals/2022.092B.Caudoviricetes_3ng_gordonia.zip","2022.092B.Caudoviricetes_3ng_gordonia.zip")</f>
        <v>2022.092B.Caudoviricetes_3ng_gordonia.zip</v>
      </c>
      <c r="U3951" s="29" t="str">
        <f>HYPERLINK("https://ictv.global/taxonomy/taxondetails?taxnode_id=202314969","ictv.global=202314969")</f>
        <v>ictv.global=202314969</v>
      </c>
    </row>
    <row r="3952" spans="1:21">
      <c r="A3952">
        <v>3951</v>
      </c>
      <c r="B3952" s="30" t="s">
        <v>1587</v>
      </c>
      <c r="D3952" s="30" t="s">
        <v>1588</v>
      </c>
      <c r="F3952" s="30" t="s">
        <v>1591</v>
      </c>
      <c r="H3952" s="30" t="s">
        <v>1592</v>
      </c>
      <c r="N3952" s="30" t="s">
        <v>1360</v>
      </c>
      <c r="P3952" s="30" t="s">
        <v>7393</v>
      </c>
      <c r="Q3952" t="s">
        <v>619</v>
      </c>
      <c r="R3952" t="s">
        <v>917</v>
      </c>
      <c r="S3952">
        <v>37</v>
      </c>
      <c r="T3952" s="29" t="str">
        <f>HYPERLINK("https://ictv.global/ictv/proposals/2021.034B.R.Gofduovirus_new_species.zip","2021.034B.R.Gofduovirus_new_species.zip")</f>
        <v>2021.034B.R.Gofduovirus_new_species.zip</v>
      </c>
      <c r="U3952" s="29" t="str">
        <f>HYPERLINK("https://ictv.global/taxonomy/taxondetails?taxnode_id=202312255","ictv.global=202312255")</f>
        <v>ictv.global=202312255</v>
      </c>
    </row>
    <row r="3953" spans="1:21">
      <c r="A3953">
        <v>3952</v>
      </c>
      <c r="B3953" s="30" t="s">
        <v>1587</v>
      </c>
      <c r="D3953" s="30" t="s">
        <v>1588</v>
      </c>
      <c r="F3953" s="30" t="s">
        <v>1591</v>
      </c>
      <c r="H3953" s="30" t="s">
        <v>1592</v>
      </c>
      <c r="N3953" s="30" t="s">
        <v>1360</v>
      </c>
      <c r="P3953" s="30" t="s">
        <v>7394</v>
      </c>
      <c r="Q3953" t="s">
        <v>619</v>
      </c>
      <c r="R3953" t="s">
        <v>918</v>
      </c>
      <c r="S3953">
        <v>37</v>
      </c>
      <c r="T3953" s="29" t="str">
        <f>HYPERLINK("https://ictv.global/ictv/proposals/2021.010B.R.Binomial_names.zip","2021.010B.R.Binomial_names.zip")</f>
        <v>2021.010B.R.Binomial_names.zip</v>
      </c>
      <c r="U3953" s="29" t="str">
        <f>HYPERLINK("https://ictv.global/taxonomy/taxondetails?taxnode_id=202306769","ictv.global=202306769")</f>
        <v>ictv.global=202306769</v>
      </c>
    </row>
    <row r="3954" spans="1:21">
      <c r="A3954">
        <v>3953</v>
      </c>
      <c r="B3954" s="30" t="s">
        <v>1587</v>
      </c>
      <c r="D3954" s="30" t="s">
        <v>1588</v>
      </c>
      <c r="F3954" s="30" t="s">
        <v>1591</v>
      </c>
      <c r="H3954" s="30" t="s">
        <v>1592</v>
      </c>
      <c r="N3954" s="30" t="s">
        <v>1907</v>
      </c>
      <c r="P3954" s="30" t="s">
        <v>7395</v>
      </c>
      <c r="Q3954" t="s">
        <v>619</v>
      </c>
      <c r="R3954" t="s">
        <v>918</v>
      </c>
      <c r="S3954">
        <v>37</v>
      </c>
      <c r="T3954" s="29" t="str">
        <f>HYPERLINK("https://ictv.global/ictv/proposals/2021.010B.R.Binomial_names.zip","2021.010B.R.Binomial_names.zip")</f>
        <v>2021.010B.R.Binomial_names.zip</v>
      </c>
      <c r="U3954" s="29" t="str">
        <f>HYPERLINK("https://ictv.global/taxonomy/taxondetails?taxnode_id=202307361","ictv.global=202307361")</f>
        <v>ictv.global=202307361</v>
      </c>
    </row>
    <row r="3955" spans="1:21">
      <c r="A3955">
        <v>3954</v>
      </c>
      <c r="B3955" s="30" t="s">
        <v>1587</v>
      </c>
      <c r="D3955" s="30" t="s">
        <v>1588</v>
      </c>
      <c r="F3955" s="30" t="s">
        <v>1591</v>
      </c>
      <c r="H3955" s="30" t="s">
        <v>1592</v>
      </c>
      <c r="N3955" s="30" t="s">
        <v>867</v>
      </c>
      <c r="P3955" s="30" t="s">
        <v>12617</v>
      </c>
      <c r="Q3955" t="s">
        <v>619</v>
      </c>
      <c r="R3955" t="s">
        <v>917</v>
      </c>
      <c r="S3955">
        <v>39</v>
      </c>
      <c r="T3955" s="29" t="str">
        <f>HYPERLINK("https://ictv.global/ictv/proposals/2023.026B.Gordonvirus_11ns.zip","2023.026B.Gordonvirus_11ns.zip")</f>
        <v>2023.026B.Gordonvirus_11ns.zip</v>
      </c>
      <c r="U3955" s="29" t="str">
        <f>HYPERLINK("https://ictv.global/taxonomy/taxondetails?taxnode_id=202318982","ictv.global=202318982")</f>
        <v>ictv.global=202318982</v>
      </c>
    </row>
    <row r="3956" spans="1:21">
      <c r="A3956">
        <v>3955</v>
      </c>
      <c r="B3956" s="30" t="s">
        <v>1587</v>
      </c>
      <c r="D3956" s="30" t="s">
        <v>1588</v>
      </c>
      <c r="F3956" s="30" t="s">
        <v>1591</v>
      </c>
      <c r="H3956" s="30" t="s">
        <v>1592</v>
      </c>
      <c r="N3956" s="30" t="s">
        <v>867</v>
      </c>
      <c r="P3956" s="30" t="s">
        <v>7396</v>
      </c>
      <c r="Q3956" t="s">
        <v>619</v>
      </c>
      <c r="R3956" t="s">
        <v>918</v>
      </c>
      <c r="S3956">
        <v>37</v>
      </c>
      <c r="T3956" s="29" t="str">
        <f>HYPERLINK("https://ictv.global/ictv/proposals/2021.010B.R.Binomial_names.zip","2021.010B.R.Binomial_names.zip")</f>
        <v>2021.010B.R.Binomial_names.zip</v>
      </c>
      <c r="U3956" s="29" t="str">
        <f>HYPERLINK("https://ictv.global/taxonomy/taxondetails?taxnode_id=202300976","ictv.global=202300976")</f>
        <v>ictv.global=202300976</v>
      </c>
    </row>
    <row r="3957" spans="1:21">
      <c r="A3957">
        <v>3956</v>
      </c>
      <c r="B3957" s="30" t="s">
        <v>1587</v>
      </c>
      <c r="D3957" s="30" t="s">
        <v>1588</v>
      </c>
      <c r="F3957" s="30" t="s">
        <v>1591</v>
      </c>
      <c r="H3957" s="30" t="s">
        <v>1592</v>
      </c>
      <c r="N3957" s="30" t="s">
        <v>867</v>
      </c>
      <c r="P3957" s="30" t="s">
        <v>12618</v>
      </c>
      <c r="Q3957" t="s">
        <v>619</v>
      </c>
      <c r="R3957" t="s">
        <v>917</v>
      </c>
      <c r="S3957">
        <v>39</v>
      </c>
      <c r="T3957" s="29" t="str">
        <f>HYPERLINK("https://ictv.global/ictv/proposals/2023.026B.Gordonvirus_11ns.zip","2023.026B.Gordonvirus_11ns.zip")</f>
        <v>2023.026B.Gordonvirus_11ns.zip</v>
      </c>
      <c r="U3957" s="29" t="str">
        <f>HYPERLINK("https://ictv.global/taxonomy/taxondetails?taxnode_id=202318984","ictv.global=202318984")</f>
        <v>ictv.global=202318984</v>
      </c>
    </row>
    <row r="3958" spans="1:21">
      <c r="A3958">
        <v>3957</v>
      </c>
      <c r="B3958" s="30" t="s">
        <v>1587</v>
      </c>
      <c r="D3958" s="30" t="s">
        <v>1588</v>
      </c>
      <c r="F3958" s="30" t="s">
        <v>1591</v>
      </c>
      <c r="H3958" s="30" t="s">
        <v>1592</v>
      </c>
      <c r="N3958" s="30" t="s">
        <v>867</v>
      </c>
      <c r="P3958" s="30" t="s">
        <v>12619</v>
      </c>
      <c r="Q3958" t="s">
        <v>619</v>
      </c>
      <c r="R3958" t="s">
        <v>917</v>
      </c>
      <c r="S3958">
        <v>39</v>
      </c>
      <c r="T3958" s="29" t="str">
        <f>HYPERLINK("https://ictv.global/ictv/proposals/2023.026B.Gordonvirus_11ns.zip","2023.026B.Gordonvirus_11ns.zip")</f>
        <v>2023.026B.Gordonvirus_11ns.zip</v>
      </c>
      <c r="U3958" s="29" t="str">
        <f>HYPERLINK("https://ictv.global/taxonomy/taxondetails?taxnode_id=202318987","ictv.global=202318987")</f>
        <v>ictv.global=202318987</v>
      </c>
    </row>
    <row r="3959" spans="1:21">
      <c r="A3959">
        <v>3958</v>
      </c>
      <c r="B3959" s="30" t="s">
        <v>1587</v>
      </c>
      <c r="D3959" s="30" t="s">
        <v>1588</v>
      </c>
      <c r="F3959" s="30" t="s">
        <v>1591</v>
      </c>
      <c r="H3959" s="30" t="s">
        <v>1592</v>
      </c>
      <c r="N3959" s="30" t="s">
        <v>867</v>
      </c>
      <c r="P3959" s="30" t="s">
        <v>12620</v>
      </c>
      <c r="Q3959" t="s">
        <v>619</v>
      </c>
      <c r="R3959" t="s">
        <v>917</v>
      </c>
      <c r="S3959">
        <v>39</v>
      </c>
      <c r="T3959" s="29" t="str">
        <f>HYPERLINK("https://ictv.global/ictv/proposals/2023.026B.Gordonvirus_11ns.zip","2023.026B.Gordonvirus_11ns.zip")</f>
        <v>2023.026B.Gordonvirus_11ns.zip</v>
      </c>
      <c r="U3959" s="29" t="str">
        <f>HYPERLINK("https://ictv.global/taxonomy/taxondetails?taxnode_id=202318988","ictv.global=202318988")</f>
        <v>ictv.global=202318988</v>
      </c>
    </row>
    <row r="3960" spans="1:21">
      <c r="A3960">
        <v>3959</v>
      </c>
      <c r="B3960" s="30" t="s">
        <v>1587</v>
      </c>
      <c r="D3960" s="30" t="s">
        <v>1588</v>
      </c>
      <c r="F3960" s="30" t="s">
        <v>1591</v>
      </c>
      <c r="H3960" s="30" t="s">
        <v>1592</v>
      </c>
      <c r="N3960" s="30" t="s">
        <v>867</v>
      </c>
      <c r="P3960" s="30" t="s">
        <v>7397</v>
      </c>
      <c r="Q3960" t="s">
        <v>619</v>
      </c>
      <c r="R3960" t="s">
        <v>918</v>
      </c>
      <c r="S3960">
        <v>37</v>
      </c>
      <c r="T3960" s="29" t="str">
        <f>HYPERLINK("https://ictv.global/ictv/proposals/2021.010B.R.Binomial_names.zip","2021.010B.R.Binomial_names.zip")</f>
        <v>2021.010B.R.Binomial_names.zip</v>
      </c>
      <c r="U3960" s="29" t="str">
        <f>HYPERLINK("https://ictv.global/taxonomy/taxondetails?taxnode_id=202300977","ictv.global=202300977")</f>
        <v>ictv.global=202300977</v>
      </c>
    </row>
    <row r="3961" spans="1:21">
      <c r="A3961">
        <v>3960</v>
      </c>
      <c r="B3961" s="30" t="s">
        <v>1587</v>
      </c>
      <c r="D3961" s="30" t="s">
        <v>1588</v>
      </c>
      <c r="F3961" s="30" t="s">
        <v>1591</v>
      </c>
      <c r="H3961" s="30" t="s">
        <v>1592</v>
      </c>
      <c r="N3961" s="30" t="s">
        <v>867</v>
      </c>
      <c r="P3961" s="30" t="s">
        <v>12621</v>
      </c>
      <c r="Q3961" t="s">
        <v>619</v>
      </c>
      <c r="R3961" t="s">
        <v>917</v>
      </c>
      <c r="S3961">
        <v>39</v>
      </c>
      <c r="T3961" s="29" t="str">
        <f t="shared" ref="T3961:T3967" si="175">HYPERLINK("https://ictv.global/ictv/proposals/2023.026B.Gordonvirus_11ns.zip","2023.026B.Gordonvirus_11ns.zip")</f>
        <v>2023.026B.Gordonvirus_11ns.zip</v>
      </c>
      <c r="U3961" s="29" t="str">
        <f>HYPERLINK("https://ictv.global/taxonomy/taxondetails?taxnode_id=202318981","ictv.global=202318981")</f>
        <v>ictv.global=202318981</v>
      </c>
    </row>
    <row r="3962" spans="1:21">
      <c r="A3962">
        <v>3961</v>
      </c>
      <c r="B3962" s="30" t="s">
        <v>1587</v>
      </c>
      <c r="D3962" s="30" t="s">
        <v>1588</v>
      </c>
      <c r="F3962" s="30" t="s">
        <v>1591</v>
      </c>
      <c r="H3962" s="30" t="s">
        <v>1592</v>
      </c>
      <c r="N3962" s="30" t="s">
        <v>867</v>
      </c>
      <c r="P3962" s="30" t="s">
        <v>12622</v>
      </c>
      <c r="Q3962" t="s">
        <v>619</v>
      </c>
      <c r="R3962" t="s">
        <v>917</v>
      </c>
      <c r="S3962">
        <v>39</v>
      </c>
      <c r="T3962" s="29" t="str">
        <f t="shared" si="175"/>
        <v>2023.026B.Gordonvirus_11ns.zip</v>
      </c>
      <c r="U3962" s="29" t="str">
        <f>HYPERLINK("https://ictv.global/taxonomy/taxondetails?taxnode_id=202318980","ictv.global=202318980")</f>
        <v>ictv.global=202318980</v>
      </c>
    </row>
    <row r="3963" spans="1:21">
      <c r="A3963">
        <v>3962</v>
      </c>
      <c r="B3963" s="30" t="s">
        <v>1587</v>
      </c>
      <c r="D3963" s="30" t="s">
        <v>1588</v>
      </c>
      <c r="F3963" s="30" t="s">
        <v>1591</v>
      </c>
      <c r="H3963" s="30" t="s">
        <v>1592</v>
      </c>
      <c r="N3963" s="30" t="s">
        <v>867</v>
      </c>
      <c r="P3963" s="30" t="s">
        <v>12623</v>
      </c>
      <c r="Q3963" t="s">
        <v>619</v>
      </c>
      <c r="R3963" t="s">
        <v>917</v>
      </c>
      <c r="S3963">
        <v>39</v>
      </c>
      <c r="T3963" s="29" t="str">
        <f t="shared" si="175"/>
        <v>2023.026B.Gordonvirus_11ns.zip</v>
      </c>
      <c r="U3963" s="29" t="str">
        <f>HYPERLINK("https://ictv.global/taxonomy/taxondetails?taxnode_id=202318989","ictv.global=202318989")</f>
        <v>ictv.global=202318989</v>
      </c>
    </row>
    <row r="3964" spans="1:21">
      <c r="A3964">
        <v>3963</v>
      </c>
      <c r="B3964" s="30" t="s">
        <v>1587</v>
      </c>
      <c r="D3964" s="30" t="s">
        <v>1588</v>
      </c>
      <c r="F3964" s="30" t="s">
        <v>1591</v>
      </c>
      <c r="H3964" s="30" t="s">
        <v>1592</v>
      </c>
      <c r="N3964" s="30" t="s">
        <v>867</v>
      </c>
      <c r="P3964" s="30" t="s">
        <v>12624</v>
      </c>
      <c r="Q3964" t="s">
        <v>619</v>
      </c>
      <c r="R3964" t="s">
        <v>917</v>
      </c>
      <c r="S3964">
        <v>39</v>
      </c>
      <c r="T3964" s="29" t="str">
        <f t="shared" si="175"/>
        <v>2023.026B.Gordonvirus_11ns.zip</v>
      </c>
      <c r="U3964" s="29" t="str">
        <f>HYPERLINK("https://ictv.global/taxonomy/taxondetails?taxnode_id=202318983","ictv.global=202318983")</f>
        <v>ictv.global=202318983</v>
      </c>
    </row>
    <row r="3965" spans="1:21">
      <c r="A3965">
        <v>3964</v>
      </c>
      <c r="B3965" s="30" t="s">
        <v>1587</v>
      </c>
      <c r="D3965" s="30" t="s">
        <v>1588</v>
      </c>
      <c r="F3965" s="30" t="s">
        <v>1591</v>
      </c>
      <c r="H3965" s="30" t="s">
        <v>1592</v>
      </c>
      <c r="N3965" s="30" t="s">
        <v>867</v>
      </c>
      <c r="P3965" s="30" t="s">
        <v>12625</v>
      </c>
      <c r="Q3965" t="s">
        <v>619</v>
      </c>
      <c r="R3965" t="s">
        <v>917</v>
      </c>
      <c r="S3965">
        <v>39</v>
      </c>
      <c r="T3965" s="29" t="str">
        <f t="shared" si="175"/>
        <v>2023.026B.Gordonvirus_11ns.zip</v>
      </c>
      <c r="U3965" s="29" t="str">
        <f>HYPERLINK("https://ictv.global/taxonomy/taxondetails?taxnode_id=202318985","ictv.global=202318985")</f>
        <v>ictv.global=202318985</v>
      </c>
    </row>
    <row r="3966" spans="1:21">
      <c r="A3966">
        <v>3965</v>
      </c>
      <c r="B3966" s="30" t="s">
        <v>1587</v>
      </c>
      <c r="D3966" s="30" t="s">
        <v>1588</v>
      </c>
      <c r="F3966" s="30" t="s">
        <v>1591</v>
      </c>
      <c r="H3966" s="30" t="s">
        <v>1592</v>
      </c>
      <c r="N3966" s="30" t="s">
        <v>867</v>
      </c>
      <c r="P3966" s="30" t="s">
        <v>12626</v>
      </c>
      <c r="Q3966" t="s">
        <v>619</v>
      </c>
      <c r="R3966" t="s">
        <v>917</v>
      </c>
      <c r="S3966">
        <v>39</v>
      </c>
      <c r="T3966" s="29" t="str">
        <f t="shared" si="175"/>
        <v>2023.026B.Gordonvirus_11ns.zip</v>
      </c>
      <c r="U3966" s="29" t="str">
        <f>HYPERLINK("https://ictv.global/taxonomy/taxondetails?taxnode_id=202318979","ictv.global=202318979")</f>
        <v>ictv.global=202318979</v>
      </c>
    </row>
    <row r="3967" spans="1:21">
      <c r="A3967">
        <v>3966</v>
      </c>
      <c r="B3967" s="30" t="s">
        <v>1587</v>
      </c>
      <c r="D3967" s="30" t="s">
        <v>1588</v>
      </c>
      <c r="F3967" s="30" t="s">
        <v>1591</v>
      </c>
      <c r="H3967" s="30" t="s">
        <v>1592</v>
      </c>
      <c r="N3967" s="30" t="s">
        <v>867</v>
      </c>
      <c r="P3967" s="30" t="s">
        <v>12627</v>
      </c>
      <c r="Q3967" t="s">
        <v>619</v>
      </c>
      <c r="R3967" t="s">
        <v>917</v>
      </c>
      <c r="S3967">
        <v>39</v>
      </c>
      <c r="T3967" s="29" t="str">
        <f t="shared" si="175"/>
        <v>2023.026B.Gordonvirus_11ns.zip</v>
      </c>
      <c r="U3967" s="29" t="str">
        <f>HYPERLINK("https://ictv.global/taxonomy/taxondetails?taxnode_id=202318986","ictv.global=202318986")</f>
        <v>ictv.global=202318986</v>
      </c>
    </row>
    <row r="3968" spans="1:21">
      <c r="A3968">
        <v>3967</v>
      </c>
      <c r="B3968" s="30" t="s">
        <v>1587</v>
      </c>
      <c r="D3968" s="30" t="s">
        <v>1588</v>
      </c>
      <c r="F3968" s="30" t="s">
        <v>1591</v>
      </c>
      <c r="H3968" s="30" t="s">
        <v>1592</v>
      </c>
      <c r="N3968" s="30" t="s">
        <v>868</v>
      </c>
      <c r="P3968" s="30" t="s">
        <v>7398</v>
      </c>
      <c r="Q3968" t="s">
        <v>619</v>
      </c>
      <c r="R3968" t="s">
        <v>918</v>
      </c>
      <c r="S3968">
        <v>37</v>
      </c>
      <c r="T3968" s="29" t="str">
        <f>HYPERLINK("https://ictv.global/ictv/proposals/2021.010B.R.Binomial_names.zip","2021.010B.R.Binomial_names.zip")</f>
        <v>2021.010B.R.Binomial_names.zip</v>
      </c>
      <c r="U3968" s="29" t="str">
        <f>HYPERLINK("https://ictv.global/taxonomy/taxondetails?taxnode_id=202300979","ictv.global=202300979")</f>
        <v>ictv.global=202300979</v>
      </c>
    </row>
    <row r="3969" spans="1:21">
      <c r="A3969">
        <v>3968</v>
      </c>
      <c r="B3969" s="30" t="s">
        <v>1587</v>
      </c>
      <c r="D3969" s="30" t="s">
        <v>1588</v>
      </c>
      <c r="F3969" s="30" t="s">
        <v>1591</v>
      </c>
      <c r="H3969" s="30" t="s">
        <v>1592</v>
      </c>
      <c r="N3969" s="30" t="s">
        <v>1497</v>
      </c>
      <c r="P3969" s="30" t="s">
        <v>7399</v>
      </c>
      <c r="Q3969" t="s">
        <v>619</v>
      </c>
      <c r="R3969" t="s">
        <v>918</v>
      </c>
      <c r="S3969">
        <v>37</v>
      </c>
      <c r="T3969" s="29" t="str">
        <f>HYPERLINK("https://ictv.global/ictv/proposals/2021.010B.R.Binomial_names.zip","2021.010B.R.Binomial_names.zip")</f>
        <v>2021.010B.R.Binomial_names.zip</v>
      </c>
      <c r="U3969" s="29" t="str">
        <f>HYPERLINK("https://ictv.global/taxonomy/taxondetails?taxnode_id=202306985","ictv.global=202306985")</f>
        <v>ictv.global=202306985</v>
      </c>
    </row>
    <row r="3970" spans="1:21">
      <c r="A3970">
        <v>3969</v>
      </c>
      <c r="B3970" s="30" t="s">
        <v>1587</v>
      </c>
      <c r="D3970" s="30" t="s">
        <v>1588</v>
      </c>
      <c r="F3970" s="30" t="s">
        <v>1591</v>
      </c>
      <c r="H3970" s="30" t="s">
        <v>1592</v>
      </c>
      <c r="N3970" s="30" t="s">
        <v>1498</v>
      </c>
      <c r="P3970" s="30" t="s">
        <v>7400</v>
      </c>
      <c r="Q3970" t="s">
        <v>619</v>
      </c>
      <c r="R3970" t="s">
        <v>918</v>
      </c>
      <c r="S3970">
        <v>37</v>
      </c>
      <c r="T3970" s="29" t="str">
        <f>HYPERLINK("https://ictv.global/ictv/proposals/2021.010B.R.Binomial_names.zip","2021.010B.R.Binomial_names.zip")</f>
        <v>2021.010B.R.Binomial_names.zip</v>
      </c>
      <c r="U3970" s="29" t="str">
        <f>HYPERLINK("https://ictv.global/taxonomy/taxondetails?taxnode_id=202306485","ictv.global=202306485")</f>
        <v>ictv.global=202306485</v>
      </c>
    </row>
    <row r="3971" spans="1:21">
      <c r="A3971">
        <v>3970</v>
      </c>
      <c r="B3971" s="30" t="s">
        <v>1587</v>
      </c>
      <c r="D3971" s="30" t="s">
        <v>1588</v>
      </c>
      <c r="F3971" s="30" t="s">
        <v>1591</v>
      </c>
      <c r="H3971" s="30" t="s">
        <v>1592</v>
      </c>
      <c r="N3971" s="30" t="s">
        <v>7402</v>
      </c>
      <c r="P3971" s="30" t="s">
        <v>7403</v>
      </c>
      <c r="Q3971" t="s">
        <v>619</v>
      </c>
      <c r="R3971" t="s">
        <v>917</v>
      </c>
      <c r="S3971">
        <v>38</v>
      </c>
      <c r="T3971" s="29" t="str">
        <f>HYPERLINK("https://ictv.global/ictv/proposals/2022.032B.Caudoviricetes_5ng.zip","2022.032B.Caudoviricetes_5ng.zip")</f>
        <v>2022.032B.Caudoviricetes_5ng.zip</v>
      </c>
      <c r="U3971" s="29" t="str">
        <f>HYPERLINK("https://ictv.global/taxonomy/taxondetails?taxnode_id=202314589","ictv.global=202314589")</f>
        <v>ictv.global=202314589</v>
      </c>
    </row>
    <row r="3972" spans="1:21">
      <c r="A3972">
        <v>3971</v>
      </c>
      <c r="B3972" s="30" t="s">
        <v>1587</v>
      </c>
      <c r="D3972" s="30" t="s">
        <v>1588</v>
      </c>
      <c r="F3972" s="30" t="s">
        <v>1591</v>
      </c>
      <c r="H3972" s="30" t="s">
        <v>1592</v>
      </c>
      <c r="N3972" s="30" t="s">
        <v>7402</v>
      </c>
      <c r="P3972" s="30" t="s">
        <v>7404</v>
      </c>
      <c r="Q3972" t="s">
        <v>619</v>
      </c>
      <c r="R3972" t="s">
        <v>917</v>
      </c>
      <c r="S3972">
        <v>38</v>
      </c>
      <c r="T3972" s="29" t="str">
        <f>HYPERLINK("https://ictv.global/ictv/proposals/2022.032B.Caudoviricetes_5ng.zip","2022.032B.Caudoviricetes_5ng.zip")</f>
        <v>2022.032B.Caudoviricetes_5ng.zip</v>
      </c>
      <c r="U3972" s="29" t="str">
        <f>HYPERLINK("https://ictv.global/taxonomy/taxondetails?taxnode_id=202314588","ictv.global=202314588")</f>
        <v>ictv.global=202314588</v>
      </c>
    </row>
    <row r="3973" spans="1:21">
      <c r="A3973">
        <v>3972</v>
      </c>
      <c r="B3973" s="30" t="s">
        <v>1587</v>
      </c>
      <c r="D3973" s="30" t="s">
        <v>1588</v>
      </c>
      <c r="F3973" s="30" t="s">
        <v>1591</v>
      </c>
      <c r="H3973" s="30" t="s">
        <v>1592</v>
      </c>
      <c r="N3973" s="30" t="s">
        <v>1499</v>
      </c>
      <c r="P3973" s="30" t="s">
        <v>7405</v>
      </c>
      <c r="Q3973" t="s">
        <v>619</v>
      </c>
      <c r="R3973" t="s">
        <v>918</v>
      </c>
      <c r="S3973">
        <v>37</v>
      </c>
      <c r="T3973" s="29" t="str">
        <f>HYPERLINK("https://ictv.global/ictv/proposals/2021.010B.R.Binomial_names.zip","2021.010B.R.Binomial_names.zip")</f>
        <v>2021.010B.R.Binomial_names.zip</v>
      </c>
      <c r="U3973" s="29" t="str">
        <f>HYPERLINK("https://ictv.global/taxonomy/taxondetails?taxnode_id=202306638","ictv.global=202306638")</f>
        <v>ictv.global=202306638</v>
      </c>
    </row>
    <row r="3974" spans="1:21">
      <c r="A3974">
        <v>3973</v>
      </c>
      <c r="B3974" s="30" t="s">
        <v>1587</v>
      </c>
      <c r="D3974" s="30" t="s">
        <v>1588</v>
      </c>
      <c r="F3974" s="30" t="s">
        <v>1591</v>
      </c>
      <c r="H3974" s="30" t="s">
        <v>1592</v>
      </c>
      <c r="N3974" s="30" t="s">
        <v>1499</v>
      </c>
      <c r="P3974" s="30" t="s">
        <v>7406</v>
      </c>
      <c r="Q3974" t="s">
        <v>619</v>
      </c>
      <c r="R3974" t="s">
        <v>918</v>
      </c>
      <c r="S3974">
        <v>37</v>
      </c>
      <c r="T3974" s="29" t="str">
        <f>HYPERLINK("https://ictv.global/ictv/proposals/2021.010B.R.Binomial_names.zip","2021.010B.R.Binomial_names.zip")</f>
        <v>2021.010B.R.Binomial_names.zip</v>
      </c>
      <c r="U3974" s="29" t="str">
        <f>HYPERLINK("https://ictv.global/taxonomy/taxondetails?taxnode_id=202306639","ictv.global=202306639")</f>
        <v>ictv.global=202306639</v>
      </c>
    </row>
    <row r="3975" spans="1:21">
      <c r="A3975">
        <v>3974</v>
      </c>
      <c r="B3975" s="30" t="s">
        <v>1587</v>
      </c>
      <c r="D3975" s="30" t="s">
        <v>1588</v>
      </c>
      <c r="F3975" s="30" t="s">
        <v>1591</v>
      </c>
      <c r="H3975" s="30" t="s">
        <v>1592</v>
      </c>
      <c r="N3975" s="30" t="s">
        <v>12628</v>
      </c>
      <c r="P3975" s="30" t="s">
        <v>12629</v>
      </c>
      <c r="Q3975" t="s">
        <v>619</v>
      </c>
      <c r="R3975" t="s">
        <v>917</v>
      </c>
      <c r="S3975">
        <v>39</v>
      </c>
      <c r="T3975" s="29" t="str">
        <f>HYPERLINK("https://ictv.global/ictv/proposals/2023.031B.Hafyongvirus_ng.zip","2023.031B.Hafyongvirus_ng.zip")</f>
        <v>2023.031B.Hafyongvirus_ng.zip</v>
      </c>
      <c r="U3975" s="29" t="str">
        <f>HYPERLINK("https://ictv.global/taxonomy/taxondetails?taxnode_id=202319063","ictv.global=202319063")</f>
        <v>ictv.global=202319063</v>
      </c>
    </row>
    <row r="3976" spans="1:21">
      <c r="A3976">
        <v>3975</v>
      </c>
      <c r="B3976" s="30" t="s">
        <v>1587</v>
      </c>
      <c r="D3976" s="30" t="s">
        <v>1588</v>
      </c>
      <c r="F3976" s="30" t="s">
        <v>1591</v>
      </c>
      <c r="H3976" s="30" t="s">
        <v>1592</v>
      </c>
      <c r="N3976" s="30" t="s">
        <v>12630</v>
      </c>
      <c r="P3976" s="30" t="s">
        <v>12631</v>
      </c>
      <c r="Q3976" t="s">
        <v>619</v>
      </c>
      <c r="R3976" t="s">
        <v>917</v>
      </c>
      <c r="S3976">
        <v>39</v>
      </c>
      <c r="T3976" s="29" t="str">
        <f>HYPERLINK("https://ictv.global/ictv/proposals/2023.022B.Caudoviricetes_Pseudomonas_7ng.zip","2023.022B.Caudoviricetes_Pseudomonas_7ng.zip")</f>
        <v>2023.022B.Caudoviricetes_Pseudomonas_7ng.zip</v>
      </c>
      <c r="U3976" s="29" t="str">
        <f>HYPERLINK("https://ictv.global/taxonomy/taxondetails?taxnode_id=202318571","ictv.global=202318571")</f>
        <v>ictv.global=202318571</v>
      </c>
    </row>
    <row r="3977" spans="1:21">
      <c r="A3977">
        <v>3976</v>
      </c>
      <c r="B3977" s="30" t="s">
        <v>1587</v>
      </c>
      <c r="D3977" s="30" t="s">
        <v>1588</v>
      </c>
      <c r="F3977" s="30" t="s">
        <v>1591</v>
      </c>
      <c r="H3977" s="30" t="s">
        <v>1592</v>
      </c>
      <c r="N3977" s="30" t="s">
        <v>2436</v>
      </c>
      <c r="P3977" s="30" t="s">
        <v>7407</v>
      </c>
      <c r="Q3977" t="s">
        <v>619</v>
      </c>
      <c r="R3977" t="s">
        <v>918</v>
      </c>
      <c r="S3977">
        <v>37</v>
      </c>
      <c r="T3977" s="29" t="str">
        <f>HYPERLINK("https://ictv.global/ictv/proposals/2021.010B.R.Binomial_names.zip","2021.010B.R.Binomial_names.zip")</f>
        <v>2021.010B.R.Binomial_names.zip</v>
      </c>
      <c r="U3977" s="29" t="str">
        <f>HYPERLINK("https://ictv.global/taxonomy/taxondetails?taxnode_id=202310078","ictv.global=202310078")</f>
        <v>ictv.global=202310078</v>
      </c>
    </row>
    <row r="3978" spans="1:21">
      <c r="A3978">
        <v>3977</v>
      </c>
      <c r="B3978" s="30" t="s">
        <v>1587</v>
      </c>
      <c r="D3978" s="30" t="s">
        <v>1588</v>
      </c>
      <c r="F3978" s="30" t="s">
        <v>1591</v>
      </c>
      <c r="H3978" s="30" t="s">
        <v>1592</v>
      </c>
      <c r="N3978" s="30" t="s">
        <v>2436</v>
      </c>
      <c r="P3978" s="30" t="s">
        <v>7408</v>
      </c>
      <c r="Q3978" t="s">
        <v>619</v>
      </c>
      <c r="R3978" t="s">
        <v>918</v>
      </c>
      <c r="S3978">
        <v>37</v>
      </c>
      <c r="T3978" s="29" t="str">
        <f>HYPERLINK("https://ictv.global/ictv/proposals/2021.010B.R.Binomial_names.zip","2021.010B.R.Binomial_names.zip")</f>
        <v>2021.010B.R.Binomial_names.zip</v>
      </c>
      <c r="U3978" s="29" t="str">
        <f>HYPERLINK("https://ictv.global/taxonomy/taxondetails?taxnode_id=202310075","ictv.global=202310075")</f>
        <v>ictv.global=202310075</v>
      </c>
    </row>
    <row r="3979" spans="1:21">
      <c r="A3979">
        <v>3978</v>
      </c>
      <c r="B3979" s="30" t="s">
        <v>1587</v>
      </c>
      <c r="D3979" s="30" t="s">
        <v>1588</v>
      </c>
      <c r="F3979" s="30" t="s">
        <v>1591</v>
      </c>
      <c r="H3979" s="30" t="s">
        <v>1592</v>
      </c>
      <c r="N3979" s="30" t="s">
        <v>2436</v>
      </c>
      <c r="P3979" s="30" t="s">
        <v>7409</v>
      </c>
      <c r="Q3979" t="s">
        <v>619</v>
      </c>
      <c r="R3979" t="s">
        <v>918</v>
      </c>
      <c r="S3979">
        <v>37</v>
      </c>
      <c r="T3979" s="29" t="str">
        <f>HYPERLINK("https://ictv.global/ictv/proposals/2021.010B.R.Binomial_names.zip","2021.010B.R.Binomial_names.zip")</f>
        <v>2021.010B.R.Binomial_names.zip</v>
      </c>
      <c r="U3979" s="29" t="str">
        <f>HYPERLINK("https://ictv.global/taxonomy/taxondetails?taxnode_id=202310077","ictv.global=202310077")</f>
        <v>ictv.global=202310077</v>
      </c>
    </row>
    <row r="3980" spans="1:21">
      <c r="A3980">
        <v>3979</v>
      </c>
      <c r="B3980" s="30" t="s">
        <v>1587</v>
      </c>
      <c r="D3980" s="30" t="s">
        <v>1588</v>
      </c>
      <c r="F3980" s="30" t="s">
        <v>1591</v>
      </c>
      <c r="H3980" s="30" t="s">
        <v>1592</v>
      </c>
      <c r="N3980" s="30" t="s">
        <v>2436</v>
      </c>
      <c r="P3980" s="30" t="s">
        <v>7410</v>
      </c>
      <c r="Q3980" t="s">
        <v>619</v>
      </c>
      <c r="R3980" t="s">
        <v>918</v>
      </c>
      <c r="S3980">
        <v>37</v>
      </c>
      <c r="T3980" s="29" t="str">
        <f>HYPERLINK("https://ictv.global/ictv/proposals/2021.010B.R.Binomial_names.zip","2021.010B.R.Binomial_names.zip")</f>
        <v>2021.010B.R.Binomial_names.zip</v>
      </c>
      <c r="U3980" s="29" t="str">
        <f>HYPERLINK("https://ictv.global/taxonomy/taxondetails?taxnode_id=202306895","ictv.global=202306895")</f>
        <v>ictv.global=202306895</v>
      </c>
    </row>
    <row r="3981" spans="1:21">
      <c r="A3981">
        <v>3980</v>
      </c>
      <c r="B3981" s="30" t="s">
        <v>1587</v>
      </c>
      <c r="D3981" s="30" t="s">
        <v>1588</v>
      </c>
      <c r="F3981" s="30" t="s">
        <v>1591</v>
      </c>
      <c r="H3981" s="30" t="s">
        <v>1592</v>
      </c>
      <c r="N3981" s="30" t="s">
        <v>2436</v>
      </c>
      <c r="P3981" s="30" t="s">
        <v>7411</v>
      </c>
      <c r="Q3981" t="s">
        <v>619</v>
      </c>
      <c r="R3981" t="s">
        <v>918</v>
      </c>
      <c r="S3981">
        <v>37</v>
      </c>
      <c r="T3981" s="29" t="str">
        <f>HYPERLINK("https://ictv.global/ictv/proposals/2021.010B.R.Binomial_names.zip","2021.010B.R.Binomial_names.zip")</f>
        <v>2021.010B.R.Binomial_names.zip</v>
      </c>
      <c r="U3981" s="29" t="str">
        <f>HYPERLINK("https://ictv.global/taxonomy/taxondetails?taxnode_id=202310076","ictv.global=202310076")</f>
        <v>ictv.global=202310076</v>
      </c>
    </row>
    <row r="3982" spans="1:21">
      <c r="A3982">
        <v>3981</v>
      </c>
      <c r="B3982" s="30" t="s">
        <v>1587</v>
      </c>
      <c r="D3982" s="30" t="s">
        <v>1588</v>
      </c>
      <c r="F3982" s="30" t="s">
        <v>1591</v>
      </c>
      <c r="H3982" s="30" t="s">
        <v>1592</v>
      </c>
      <c r="N3982" s="30" t="s">
        <v>12632</v>
      </c>
      <c r="P3982" s="30" t="s">
        <v>12633</v>
      </c>
      <c r="Q3982" t="s">
        <v>619</v>
      </c>
      <c r="R3982" t="s">
        <v>917</v>
      </c>
      <c r="S3982">
        <v>39</v>
      </c>
      <c r="T3982" s="29" t="str">
        <f>HYPERLINK("https://ictv.global/ictv/proposals/2023.032B.Halfdanvirus_ng.zip","2023.032B.Halfdanvirus_ng.zip")</f>
        <v>2023.032B.Halfdanvirus_ng.zip</v>
      </c>
      <c r="U3982" s="29" t="str">
        <f>HYPERLINK("https://ictv.global/taxonomy/taxondetails?taxnode_id=202319072","ictv.global=202319072")</f>
        <v>ictv.global=202319072</v>
      </c>
    </row>
    <row r="3983" spans="1:21">
      <c r="A3983">
        <v>3982</v>
      </c>
      <c r="B3983" s="30" t="s">
        <v>1587</v>
      </c>
      <c r="D3983" s="30" t="s">
        <v>1588</v>
      </c>
      <c r="F3983" s="30" t="s">
        <v>1591</v>
      </c>
      <c r="H3983" s="30" t="s">
        <v>1592</v>
      </c>
      <c r="N3983" s="30" t="s">
        <v>638</v>
      </c>
      <c r="P3983" s="30" t="s">
        <v>7412</v>
      </c>
      <c r="Q3983" t="s">
        <v>619</v>
      </c>
      <c r="R3983" t="s">
        <v>918</v>
      </c>
      <c r="S3983">
        <v>37</v>
      </c>
      <c r="T3983" s="29" t="str">
        <f>HYPERLINK("https://ictv.global/ictv/proposals/2021.010B.R.Binomial_names.zip","2021.010B.R.Binomial_names.zip")</f>
        <v>2021.010B.R.Binomial_names.zip</v>
      </c>
      <c r="U3983" s="29" t="str">
        <f>HYPERLINK("https://ictv.global/taxonomy/taxondetails?taxnode_id=202300434","ictv.global=202300434")</f>
        <v>ictv.global=202300434</v>
      </c>
    </row>
    <row r="3984" spans="1:21">
      <c r="A3984">
        <v>3983</v>
      </c>
      <c r="B3984" s="30" t="s">
        <v>1587</v>
      </c>
      <c r="D3984" s="30" t="s">
        <v>1588</v>
      </c>
      <c r="F3984" s="30" t="s">
        <v>1591</v>
      </c>
      <c r="H3984" s="30" t="s">
        <v>1592</v>
      </c>
      <c r="N3984" s="30" t="s">
        <v>638</v>
      </c>
      <c r="P3984" s="30" t="s">
        <v>7413</v>
      </c>
      <c r="Q3984" t="s">
        <v>619</v>
      </c>
      <c r="R3984" t="s">
        <v>918</v>
      </c>
      <c r="S3984">
        <v>37</v>
      </c>
      <c r="T3984" s="29" t="str">
        <f>HYPERLINK("https://ictv.global/ictv/proposals/2021.010B.R.Binomial_names.zip","2021.010B.R.Binomial_names.zip")</f>
        <v>2021.010B.R.Binomial_names.zip</v>
      </c>
      <c r="U3984" s="29" t="str">
        <f>HYPERLINK("https://ictv.global/taxonomy/taxondetails?taxnode_id=202300435","ictv.global=202300435")</f>
        <v>ictv.global=202300435</v>
      </c>
    </row>
    <row r="3985" spans="1:21">
      <c r="A3985">
        <v>3984</v>
      </c>
      <c r="B3985" s="30" t="s">
        <v>1587</v>
      </c>
      <c r="D3985" s="30" t="s">
        <v>1588</v>
      </c>
      <c r="F3985" s="30" t="s">
        <v>1591</v>
      </c>
      <c r="H3985" s="30" t="s">
        <v>1592</v>
      </c>
      <c r="N3985" s="30" t="s">
        <v>7414</v>
      </c>
      <c r="P3985" s="30" t="s">
        <v>7415</v>
      </c>
      <c r="Q3985" t="s">
        <v>619</v>
      </c>
      <c r="R3985" t="s">
        <v>917</v>
      </c>
      <c r="S3985">
        <v>37</v>
      </c>
      <c r="T3985" s="29" t="str">
        <f>HYPERLINK("https://ictv.global/ictv/proposals/2021.036B.R.Harrisonburgvirus.zip","2021.036B.R.Harrisonburgvirus.zip")</f>
        <v>2021.036B.R.Harrisonburgvirus.zip</v>
      </c>
      <c r="U3985" s="29" t="str">
        <f>HYPERLINK("https://ictv.global/taxonomy/taxondetails?taxnode_id=202312344","ictv.global=202312344")</f>
        <v>ictv.global=202312344</v>
      </c>
    </row>
    <row r="3986" spans="1:21">
      <c r="A3986">
        <v>3985</v>
      </c>
      <c r="B3986" s="30" t="s">
        <v>1587</v>
      </c>
      <c r="D3986" s="30" t="s">
        <v>1588</v>
      </c>
      <c r="F3986" s="30" t="s">
        <v>1591</v>
      </c>
      <c r="H3986" s="30" t="s">
        <v>1592</v>
      </c>
      <c r="N3986" s="30" t="s">
        <v>2437</v>
      </c>
      <c r="P3986" s="30" t="s">
        <v>7416</v>
      </c>
      <c r="Q3986" t="s">
        <v>619</v>
      </c>
      <c r="R3986" t="s">
        <v>918</v>
      </c>
      <c r="S3986">
        <v>37</v>
      </c>
      <c r="T3986" s="29" t="str">
        <f t="shared" ref="T3986:T3991" si="176">HYPERLINK("https://ictv.global/ictv/proposals/2021.010B.R.Binomial_names.zip","2021.010B.R.Binomial_names.zip")</f>
        <v>2021.010B.R.Binomial_names.zip</v>
      </c>
      <c r="U3986" s="29" t="str">
        <f>HYPERLINK("https://ictv.global/taxonomy/taxondetails?taxnode_id=202310025","ictv.global=202310025")</f>
        <v>ictv.global=202310025</v>
      </c>
    </row>
    <row r="3987" spans="1:21">
      <c r="A3987">
        <v>3986</v>
      </c>
      <c r="B3987" s="30" t="s">
        <v>1587</v>
      </c>
      <c r="D3987" s="30" t="s">
        <v>1588</v>
      </c>
      <c r="F3987" s="30" t="s">
        <v>1591</v>
      </c>
      <c r="H3987" s="30" t="s">
        <v>1592</v>
      </c>
      <c r="N3987" s="30" t="s">
        <v>1500</v>
      </c>
      <c r="P3987" s="30" t="s">
        <v>7417</v>
      </c>
      <c r="Q3987" t="s">
        <v>619</v>
      </c>
      <c r="R3987" t="s">
        <v>918</v>
      </c>
      <c r="S3987">
        <v>37</v>
      </c>
      <c r="T3987" s="29" t="str">
        <f t="shared" si="176"/>
        <v>2021.010B.R.Binomial_names.zip</v>
      </c>
      <c r="U3987" s="29" t="str">
        <f>HYPERLINK("https://ictv.global/taxonomy/taxondetails?taxnode_id=202306684","ictv.global=202306684")</f>
        <v>ictv.global=202306684</v>
      </c>
    </row>
    <row r="3988" spans="1:21">
      <c r="A3988">
        <v>3987</v>
      </c>
      <c r="B3988" s="30" t="s">
        <v>1587</v>
      </c>
      <c r="D3988" s="30" t="s">
        <v>1588</v>
      </c>
      <c r="F3988" s="30" t="s">
        <v>1591</v>
      </c>
      <c r="H3988" s="30" t="s">
        <v>1592</v>
      </c>
      <c r="N3988" s="30" t="s">
        <v>1819</v>
      </c>
      <c r="P3988" s="30" t="s">
        <v>7418</v>
      </c>
      <c r="Q3988" t="s">
        <v>619</v>
      </c>
      <c r="R3988" t="s">
        <v>918</v>
      </c>
      <c r="S3988">
        <v>37</v>
      </c>
      <c r="T3988" s="29" t="str">
        <f t="shared" si="176"/>
        <v>2021.010B.R.Binomial_names.zip</v>
      </c>
      <c r="U3988" s="29" t="str">
        <f>HYPERLINK("https://ictv.global/taxonomy/taxondetails?taxnode_id=202307908","ictv.global=202307908")</f>
        <v>ictv.global=202307908</v>
      </c>
    </row>
    <row r="3989" spans="1:21">
      <c r="A3989">
        <v>3988</v>
      </c>
      <c r="B3989" s="30" t="s">
        <v>1587</v>
      </c>
      <c r="D3989" s="30" t="s">
        <v>1588</v>
      </c>
      <c r="F3989" s="30" t="s">
        <v>1591</v>
      </c>
      <c r="H3989" s="30" t="s">
        <v>1592</v>
      </c>
      <c r="N3989" s="30" t="s">
        <v>1501</v>
      </c>
      <c r="P3989" s="30" t="s">
        <v>7419</v>
      </c>
      <c r="Q3989" t="s">
        <v>619</v>
      </c>
      <c r="R3989" t="s">
        <v>918</v>
      </c>
      <c r="S3989">
        <v>37</v>
      </c>
      <c r="T3989" s="29" t="str">
        <f t="shared" si="176"/>
        <v>2021.010B.R.Binomial_names.zip</v>
      </c>
      <c r="U3989" s="29" t="str">
        <f>HYPERLINK("https://ictv.global/taxonomy/taxondetails?taxnode_id=202300879","ictv.global=202300879")</f>
        <v>ictv.global=202300879</v>
      </c>
    </row>
    <row r="3990" spans="1:21">
      <c r="A3990">
        <v>3989</v>
      </c>
      <c r="B3990" s="30" t="s">
        <v>1587</v>
      </c>
      <c r="D3990" s="30" t="s">
        <v>1588</v>
      </c>
      <c r="F3990" s="30" t="s">
        <v>1591</v>
      </c>
      <c r="H3990" s="30" t="s">
        <v>1592</v>
      </c>
      <c r="N3990" s="30" t="s">
        <v>1501</v>
      </c>
      <c r="P3990" s="30" t="s">
        <v>7420</v>
      </c>
      <c r="Q3990" t="s">
        <v>619</v>
      </c>
      <c r="R3990" t="s">
        <v>918</v>
      </c>
      <c r="S3990">
        <v>37</v>
      </c>
      <c r="T3990" s="29" t="str">
        <f t="shared" si="176"/>
        <v>2021.010B.R.Binomial_names.zip</v>
      </c>
      <c r="U3990" s="29" t="str">
        <f>HYPERLINK("https://ictv.global/taxonomy/taxondetails?taxnode_id=202300880","ictv.global=202300880")</f>
        <v>ictv.global=202300880</v>
      </c>
    </row>
    <row r="3991" spans="1:21">
      <c r="A3991">
        <v>3990</v>
      </c>
      <c r="B3991" s="30" t="s">
        <v>1587</v>
      </c>
      <c r="D3991" s="30" t="s">
        <v>1588</v>
      </c>
      <c r="F3991" s="30" t="s">
        <v>1591</v>
      </c>
      <c r="H3991" s="30" t="s">
        <v>1592</v>
      </c>
      <c r="N3991" s="30" t="s">
        <v>1501</v>
      </c>
      <c r="P3991" s="30" t="s">
        <v>7421</v>
      </c>
      <c r="Q3991" t="s">
        <v>619</v>
      </c>
      <c r="R3991" t="s">
        <v>918</v>
      </c>
      <c r="S3991">
        <v>37</v>
      </c>
      <c r="T3991" s="29" t="str">
        <f t="shared" si="176"/>
        <v>2021.010B.R.Binomial_names.zip</v>
      </c>
      <c r="U3991" s="29" t="str">
        <f>HYPERLINK("https://ictv.global/taxonomy/taxondetails?taxnode_id=202300881","ictv.global=202300881")</f>
        <v>ictv.global=202300881</v>
      </c>
    </row>
    <row r="3992" spans="1:21">
      <c r="A3992">
        <v>3991</v>
      </c>
      <c r="B3992" s="30" t="s">
        <v>1587</v>
      </c>
      <c r="D3992" s="30" t="s">
        <v>1588</v>
      </c>
      <c r="F3992" s="30" t="s">
        <v>1591</v>
      </c>
      <c r="H3992" s="30" t="s">
        <v>1592</v>
      </c>
      <c r="N3992" s="30" t="s">
        <v>7422</v>
      </c>
      <c r="P3992" s="30" t="s">
        <v>7423</v>
      </c>
      <c r="Q3992" t="s">
        <v>619</v>
      </c>
      <c r="R3992" t="s">
        <v>917</v>
      </c>
      <c r="S3992">
        <v>38</v>
      </c>
      <c r="T3992" s="29" t="str">
        <f>HYPERLINK("https://ictv.global/ictv/proposals/2022.080B.Caudoviricetes_6ng.zip","2022.080B.Caudoviricetes_6ng.zip")</f>
        <v>2022.080B.Caudoviricetes_6ng.zip</v>
      </c>
      <c r="U3992" s="29" t="str">
        <f>HYPERLINK("https://ictv.global/taxonomy/taxondetails?taxnode_id=202314865","ictv.global=202314865")</f>
        <v>ictv.global=202314865</v>
      </c>
    </row>
    <row r="3993" spans="1:21">
      <c r="A3993">
        <v>3992</v>
      </c>
      <c r="B3993" s="30" t="s">
        <v>1587</v>
      </c>
      <c r="D3993" s="30" t="s">
        <v>1588</v>
      </c>
      <c r="F3993" s="30" t="s">
        <v>1591</v>
      </c>
      <c r="H3993" s="30" t="s">
        <v>1592</v>
      </c>
      <c r="N3993" s="30" t="s">
        <v>7424</v>
      </c>
      <c r="P3993" s="30" t="s">
        <v>7425</v>
      </c>
      <c r="Q3993" t="s">
        <v>619</v>
      </c>
      <c r="R3993" t="s">
        <v>917</v>
      </c>
      <c r="S3993">
        <v>38</v>
      </c>
      <c r="T3993" s="29" t="str">
        <f>HYPERLINK("https://ictv.global/ictv/proposals/2022.036B.Hiroshimavirus_ng.zip","2022.036B.Hiroshimavirus_ng.zip")</f>
        <v>2022.036B.Hiroshimavirus_ng.zip</v>
      </c>
      <c r="U3993" s="29" t="str">
        <f>HYPERLINK("https://ictv.global/taxonomy/taxondetails?taxnode_id=202314628","ictv.global=202314628")</f>
        <v>ictv.global=202314628</v>
      </c>
    </row>
    <row r="3994" spans="1:21">
      <c r="A3994">
        <v>3993</v>
      </c>
      <c r="B3994" s="30" t="s">
        <v>1587</v>
      </c>
      <c r="D3994" s="30" t="s">
        <v>1588</v>
      </c>
      <c r="F3994" s="30" t="s">
        <v>1591</v>
      </c>
      <c r="H3994" s="30" t="s">
        <v>1592</v>
      </c>
      <c r="N3994" s="30" t="s">
        <v>1908</v>
      </c>
      <c r="P3994" s="30" t="s">
        <v>7426</v>
      </c>
      <c r="Q3994" t="s">
        <v>619</v>
      </c>
      <c r="R3994" t="s">
        <v>918</v>
      </c>
      <c r="S3994">
        <v>37</v>
      </c>
      <c r="T3994" s="29" t="str">
        <f>HYPERLINK("https://ictv.global/ictv/proposals/2021.010B.R.Binomial_names.zip","2021.010B.R.Binomial_names.zip")</f>
        <v>2021.010B.R.Binomial_names.zip</v>
      </c>
      <c r="U3994" s="29" t="str">
        <f>HYPERLINK("https://ictv.global/taxonomy/taxondetails?taxnode_id=202307853","ictv.global=202307853")</f>
        <v>ictv.global=202307853</v>
      </c>
    </row>
    <row r="3995" spans="1:21">
      <c r="A3995">
        <v>3994</v>
      </c>
      <c r="B3995" s="30" t="s">
        <v>1587</v>
      </c>
      <c r="D3995" s="30" t="s">
        <v>1588</v>
      </c>
      <c r="F3995" s="30" t="s">
        <v>1591</v>
      </c>
      <c r="H3995" s="30" t="s">
        <v>1592</v>
      </c>
      <c r="N3995" s="30" t="s">
        <v>2438</v>
      </c>
      <c r="P3995" s="30" t="s">
        <v>7427</v>
      </c>
      <c r="Q3995" t="s">
        <v>619</v>
      </c>
      <c r="R3995" t="s">
        <v>918</v>
      </c>
      <c r="S3995">
        <v>37</v>
      </c>
      <c r="T3995" s="29" t="str">
        <f>HYPERLINK("https://ictv.global/ictv/proposals/2021.010B.R.Binomial_names.zip","2021.010B.R.Binomial_names.zip")</f>
        <v>2021.010B.R.Binomial_names.zip</v>
      </c>
      <c r="U3995" s="29" t="str">
        <f>HYPERLINK("https://ictv.global/taxonomy/taxondetails?taxnode_id=202310130","ictv.global=202310130")</f>
        <v>ictv.global=202310130</v>
      </c>
    </row>
    <row r="3996" spans="1:21">
      <c r="A3996">
        <v>3995</v>
      </c>
      <c r="B3996" s="30" t="s">
        <v>1587</v>
      </c>
      <c r="D3996" s="30" t="s">
        <v>1588</v>
      </c>
      <c r="F3996" s="30" t="s">
        <v>1591</v>
      </c>
      <c r="H3996" s="30" t="s">
        <v>1592</v>
      </c>
      <c r="N3996" s="30" t="s">
        <v>1421</v>
      </c>
      <c r="P3996" s="30" t="s">
        <v>12634</v>
      </c>
      <c r="Q3996" t="s">
        <v>619</v>
      </c>
      <c r="R3996" t="s">
        <v>917</v>
      </c>
      <c r="S3996">
        <v>39</v>
      </c>
      <c r="T3996" s="29" t="str">
        <f>HYPERLINK("https://ictv.global/ictv/proposals/2023.034B.Hollowayvirus_5ns.zip","2023.034B.Hollowayvirus_5ns.zip")</f>
        <v>2023.034B.Hollowayvirus_5ns.zip</v>
      </c>
      <c r="U3996" s="29" t="str">
        <f>HYPERLINK("https://ictv.global/taxonomy/taxondetails?taxnode_id=202319075","ictv.global=202319075")</f>
        <v>ictv.global=202319075</v>
      </c>
    </row>
    <row r="3997" spans="1:21">
      <c r="A3997">
        <v>3996</v>
      </c>
      <c r="B3997" s="30" t="s">
        <v>1587</v>
      </c>
      <c r="D3997" s="30" t="s">
        <v>1588</v>
      </c>
      <c r="F3997" s="30" t="s">
        <v>1591</v>
      </c>
      <c r="H3997" s="30" t="s">
        <v>1592</v>
      </c>
      <c r="N3997" s="30" t="s">
        <v>1421</v>
      </c>
      <c r="P3997" s="30" t="s">
        <v>12635</v>
      </c>
      <c r="Q3997" t="s">
        <v>619</v>
      </c>
      <c r="R3997" t="s">
        <v>917</v>
      </c>
      <c r="S3997">
        <v>39</v>
      </c>
      <c r="T3997" s="29" t="str">
        <f>HYPERLINK("https://ictv.global/ictv/proposals/2023.034B.Hollowayvirus_5ns.zip","2023.034B.Hollowayvirus_5ns.zip")</f>
        <v>2023.034B.Hollowayvirus_5ns.zip</v>
      </c>
      <c r="U3997" s="29" t="str">
        <f>HYPERLINK("https://ictv.global/taxonomy/taxondetails?taxnode_id=202319078","ictv.global=202319078")</f>
        <v>ictv.global=202319078</v>
      </c>
    </row>
    <row r="3998" spans="1:21">
      <c r="A3998">
        <v>3997</v>
      </c>
      <c r="B3998" s="30" t="s">
        <v>1587</v>
      </c>
      <c r="D3998" s="30" t="s">
        <v>1588</v>
      </c>
      <c r="F3998" s="30" t="s">
        <v>1591</v>
      </c>
      <c r="H3998" s="30" t="s">
        <v>1592</v>
      </c>
      <c r="N3998" s="30" t="s">
        <v>1421</v>
      </c>
      <c r="P3998" s="30" t="s">
        <v>7428</v>
      </c>
      <c r="Q3998" t="s">
        <v>619</v>
      </c>
      <c r="R3998" t="s">
        <v>918</v>
      </c>
      <c r="S3998">
        <v>37</v>
      </c>
      <c r="T3998" s="29" t="str">
        <f>HYPERLINK("https://ictv.global/ictv/proposals/2021.010B.R.Binomial_names.zip","2021.010B.R.Binomial_names.zip")</f>
        <v>2021.010B.R.Binomial_names.zip</v>
      </c>
      <c r="U3998" s="29" t="str">
        <f>HYPERLINK("https://ictv.global/taxonomy/taxondetails?taxnode_id=202300640","ictv.global=202300640")</f>
        <v>ictv.global=202300640</v>
      </c>
    </row>
    <row r="3999" spans="1:21">
      <c r="A3999">
        <v>3998</v>
      </c>
      <c r="B3999" s="30" t="s">
        <v>1587</v>
      </c>
      <c r="D3999" s="30" t="s">
        <v>1588</v>
      </c>
      <c r="F3999" s="30" t="s">
        <v>1591</v>
      </c>
      <c r="H3999" s="30" t="s">
        <v>1592</v>
      </c>
      <c r="N3999" s="30" t="s">
        <v>1421</v>
      </c>
      <c r="P3999" s="30" t="s">
        <v>7429</v>
      </c>
      <c r="Q3999" t="s">
        <v>619</v>
      </c>
      <c r="R3999" t="s">
        <v>918</v>
      </c>
      <c r="S3999">
        <v>37</v>
      </c>
      <c r="T3999" s="29" t="str">
        <f>HYPERLINK("https://ictv.global/ictv/proposals/2021.010B.R.Binomial_names.zip","2021.010B.R.Binomial_names.zip")</f>
        <v>2021.010B.R.Binomial_names.zip</v>
      </c>
      <c r="U3999" s="29" t="str">
        <f>HYPERLINK("https://ictv.global/taxonomy/taxondetails?taxnode_id=202300641","ictv.global=202300641")</f>
        <v>ictv.global=202300641</v>
      </c>
    </row>
    <row r="4000" spans="1:21">
      <c r="A4000">
        <v>3999</v>
      </c>
      <c r="B4000" s="30" t="s">
        <v>1587</v>
      </c>
      <c r="D4000" s="30" t="s">
        <v>1588</v>
      </c>
      <c r="F4000" s="30" t="s">
        <v>1591</v>
      </c>
      <c r="H4000" s="30" t="s">
        <v>1592</v>
      </c>
      <c r="N4000" s="30" t="s">
        <v>1421</v>
      </c>
      <c r="P4000" s="30" t="s">
        <v>12636</v>
      </c>
      <c r="Q4000" t="s">
        <v>619</v>
      </c>
      <c r="R4000" t="s">
        <v>917</v>
      </c>
      <c r="S4000">
        <v>39</v>
      </c>
      <c r="T4000" s="29" t="str">
        <f>HYPERLINK("https://ictv.global/ictv/proposals/2023.034B.Hollowayvirus_5ns.zip","2023.034B.Hollowayvirus_5ns.zip")</f>
        <v>2023.034B.Hollowayvirus_5ns.zip</v>
      </c>
      <c r="U4000" s="29" t="str">
        <f>HYPERLINK("https://ictv.global/taxonomy/taxondetails?taxnode_id=202319077","ictv.global=202319077")</f>
        <v>ictv.global=202319077</v>
      </c>
    </row>
    <row r="4001" spans="1:21">
      <c r="A4001">
        <v>4000</v>
      </c>
      <c r="B4001" s="30" t="s">
        <v>1587</v>
      </c>
      <c r="D4001" s="30" t="s">
        <v>1588</v>
      </c>
      <c r="F4001" s="30" t="s">
        <v>1591</v>
      </c>
      <c r="H4001" s="30" t="s">
        <v>1592</v>
      </c>
      <c r="N4001" s="30" t="s">
        <v>1421</v>
      </c>
      <c r="P4001" s="30" t="s">
        <v>12637</v>
      </c>
      <c r="Q4001" t="s">
        <v>619</v>
      </c>
      <c r="R4001" t="s">
        <v>917</v>
      </c>
      <c r="S4001">
        <v>39</v>
      </c>
      <c r="T4001" s="29" t="str">
        <f>HYPERLINK("https://ictv.global/ictv/proposals/2023.034B.Hollowayvirus_5ns.zip","2023.034B.Hollowayvirus_5ns.zip")</f>
        <v>2023.034B.Hollowayvirus_5ns.zip</v>
      </c>
      <c r="U4001" s="29" t="str">
        <f>HYPERLINK("https://ictv.global/taxonomy/taxondetails?taxnode_id=202319074","ictv.global=202319074")</f>
        <v>ictv.global=202319074</v>
      </c>
    </row>
    <row r="4002" spans="1:21">
      <c r="A4002">
        <v>4001</v>
      </c>
      <c r="B4002" s="30" t="s">
        <v>1587</v>
      </c>
      <c r="D4002" s="30" t="s">
        <v>1588</v>
      </c>
      <c r="F4002" s="30" t="s">
        <v>1591</v>
      </c>
      <c r="H4002" s="30" t="s">
        <v>1592</v>
      </c>
      <c r="N4002" s="30" t="s">
        <v>1421</v>
      </c>
      <c r="P4002" s="30" t="s">
        <v>12638</v>
      </c>
      <c r="Q4002" t="s">
        <v>619</v>
      </c>
      <c r="R4002" t="s">
        <v>917</v>
      </c>
      <c r="S4002">
        <v>39</v>
      </c>
      <c r="T4002" s="29" t="str">
        <f>HYPERLINK("https://ictv.global/ictv/proposals/2023.034B.Hollowayvirus_5ns.zip","2023.034B.Hollowayvirus_5ns.zip")</f>
        <v>2023.034B.Hollowayvirus_5ns.zip</v>
      </c>
      <c r="U4002" s="29" t="str">
        <f>HYPERLINK("https://ictv.global/taxonomy/taxondetails?taxnode_id=202319076","ictv.global=202319076")</f>
        <v>ictv.global=202319076</v>
      </c>
    </row>
    <row r="4003" spans="1:21">
      <c r="A4003">
        <v>4002</v>
      </c>
      <c r="B4003" s="30" t="s">
        <v>1587</v>
      </c>
      <c r="D4003" s="30" t="s">
        <v>1588</v>
      </c>
      <c r="F4003" s="30" t="s">
        <v>1591</v>
      </c>
      <c r="H4003" s="30" t="s">
        <v>1592</v>
      </c>
      <c r="N4003" s="30" t="s">
        <v>1502</v>
      </c>
      <c r="P4003" s="30" t="s">
        <v>7430</v>
      </c>
      <c r="Q4003" t="s">
        <v>619</v>
      </c>
      <c r="R4003" t="s">
        <v>918</v>
      </c>
      <c r="S4003">
        <v>37</v>
      </c>
      <c r="T4003" s="29" t="str">
        <f t="shared" ref="T4003:T4009" si="177">HYPERLINK("https://ictv.global/ictv/proposals/2021.010B.R.Binomial_names.zip","2021.010B.R.Binomial_names.zip")</f>
        <v>2021.010B.R.Binomial_names.zip</v>
      </c>
      <c r="U4003" s="29" t="str">
        <f>HYPERLINK("https://ictv.global/taxonomy/taxondetails?taxnode_id=202306830","ictv.global=202306830")</f>
        <v>ictv.global=202306830</v>
      </c>
    </row>
    <row r="4004" spans="1:21">
      <c r="A4004">
        <v>4003</v>
      </c>
      <c r="B4004" s="30" t="s">
        <v>1587</v>
      </c>
      <c r="D4004" s="30" t="s">
        <v>1588</v>
      </c>
      <c r="F4004" s="30" t="s">
        <v>1591</v>
      </c>
      <c r="H4004" s="30" t="s">
        <v>1592</v>
      </c>
      <c r="N4004" s="30" t="s">
        <v>1502</v>
      </c>
      <c r="P4004" s="30" t="s">
        <v>7431</v>
      </c>
      <c r="Q4004" t="s">
        <v>619</v>
      </c>
      <c r="R4004" t="s">
        <v>918</v>
      </c>
      <c r="S4004">
        <v>37</v>
      </c>
      <c r="T4004" s="29" t="str">
        <f t="shared" si="177"/>
        <v>2021.010B.R.Binomial_names.zip</v>
      </c>
      <c r="U4004" s="29" t="str">
        <f>HYPERLINK("https://ictv.global/taxonomy/taxondetails?taxnode_id=202306829","ictv.global=202306829")</f>
        <v>ictv.global=202306829</v>
      </c>
    </row>
    <row r="4005" spans="1:21">
      <c r="A4005">
        <v>4004</v>
      </c>
      <c r="B4005" s="30" t="s">
        <v>1587</v>
      </c>
      <c r="D4005" s="30" t="s">
        <v>1588</v>
      </c>
      <c r="F4005" s="30" t="s">
        <v>1591</v>
      </c>
      <c r="H4005" s="30" t="s">
        <v>1592</v>
      </c>
      <c r="N4005" s="30" t="s">
        <v>1503</v>
      </c>
      <c r="P4005" s="30" t="s">
        <v>7432</v>
      </c>
      <c r="Q4005" t="s">
        <v>619</v>
      </c>
      <c r="R4005" t="s">
        <v>918</v>
      </c>
      <c r="S4005">
        <v>37</v>
      </c>
      <c r="T4005" s="29" t="str">
        <f t="shared" si="177"/>
        <v>2021.010B.R.Binomial_names.zip</v>
      </c>
      <c r="U4005" s="29" t="str">
        <f>HYPERLINK("https://ictv.global/taxonomy/taxondetails?taxnode_id=202301111","ictv.global=202301111")</f>
        <v>ictv.global=202301111</v>
      </c>
    </row>
    <row r="4006" spans="1:21">
      <c r="A4006">
        <v>4005</v>
      </c>
      <c r="B4006" s="30" t="s">
        <v>1587</v>
      </c>
      <c r="D4006" s="30" t="s">
        <v>1588</v>
      </c>
      <c r="F4006" s="30" t="s">
        <v>1591</v>
      </c>
      <c r="H4006" s="30" t="s">
        <v>1592</v>
      </c>
      <c r="N4006" s="30" t="s">
        <v>1503</v>
      </c>
      <c r="P4006" s="30" t="s">
        <v>7433</v>
      </c>
      <c r="Q4006" t="s">
        <v>619</v>
      </c>
      <c r="R4006" t="s">
        <v>918</v>
      </c>
      <c r="S4006">
        <v>37</v>
      </c>
      <c r="T4006" s="29" t="str">
        <f t="shared" si="177"/>
        <v>2021.010B.R.Binomial_names.zip</v>
      </c>
      <c r="U4006" s="29" t="str">
        <f>HYPERLINK("https://ictv.global/taxonomy/taxondetails?taxnode_id=202301112","ictv.global=202301112")</f>
        <v>ictv.global=202301112</v>
      </c>
    </row>
    <row r="4007" spans="1:21">
      <c r="A4007">
        <v>4006</v>
      </c>
      <c r="B4007" s="30" t="s">
        <v>1587</v>
      </c>
      <c r="D4007" s="30" t="s">
        <v>1588</v>
      </c>
      <c r="F4007" s="30" t="s">
        <v>1591</v>
      </c>
      <c r="H4007" s="30" t="s">
        <v>1592</v>
      </c>
      <c r="N4007" s="30" t="s">
        <v>1503</v>
      </c>
      <c r="P4007" s="30" t="s">
        <v>7434</v>
      </c>
      <c r="Q4007" t="s">
        <v>619</v>
      </c>
      <c r="R4007" t="s">
        <v>918</v>
      </c>
      <c r="S4007">
        <v>37</v>
      </c>
      <c r="T4007" s="29" t="str">
        <f t="shared" si="177"/>
        <v>2021.010B.R.Binomial_names.zip</v>
      </c>
      <c r="U4007" s="29" t="str">
        <f>HYPERLINK("https://ictv.global/taxonomy/taxondetails?taxnode_id=202301113","ictv.global=202301113")</f>
        <v>ictv.global=202301113</v>
      </c>
    </row>
    <row r="4008" spans="1:21">
      <c r="A4008">
        <v>4007</v>
      </c>
      <c r="B4008" s="30" t="s">
        <v>1587</v>
      </c>
      <c r="D4008" s="30" t="s">
        <v>1588</v>
      </c>
      <c r="F4008" s="30" t="s">
        <v>1591</v>
      </c>
      <c r="H4008" s="30" t="s">
        <v>1592</v>
      </c>
      <c r="N4008" s="30" t="s">
        <v>1503</v>
      </c>
      <c r="P4008" s="30" t="s">
        <v>7435</v>
      </c>
      <c r="Q4008" t="s">
        <v>619</v>
      </c>
      <c r="R4008" t="s">
        <v>918</v>
      </c>
      <c r="S4008">
        <v>37</v>
      </c>
      <c r="T4008" s="29" t="str">
        <f t="shared" si="177"/>
        <v>2021.010B.R.Binomial_names.zip</v>
      </c>
      <c r="U4008" s="29" t="str">
        <f>HYPERLINK("https://ictv.global/taxonomy/taxondetails?taxnode_id=202301114","ictv.global=202301114")</f>
        <v>ictv.global=202301114</v>
      </c>
    </row>
    <row r="4009" spans="1:21">
      <c r="A4009">
        <v>4008</v>
      </c>
      <c r="B4009" s="30" t="s">
        <v>1587</v>
      </c>
      <c r="D4009" s="30" t="s">
        <v>1588</v>
      </c>
      <c r="F4009" s="30" t="s">
        <v>1591</v>
      </c>
      <c r="H4009" s="30" t="s">
        <v>1592</v>
      </c>
      <c r="N4009" s="30" t="s">
        <v>1503</v>
      </c>
      <c r="P4009" s="30" t="s">
        <v>7436</v>
      </c>
      <c r="Q4009" t="s">
        <v>619</v>
      </c>
      <c r="R4009" t="s">
        <v>918</v>
      </c>
      <c r="S4009">
        <v>37</v>
      </c>
      <c r="T4009" s="29" t="str">
        <f t="shared" si="177"/>
        <v>2021.010B.R.Binomial_names.zip</v>
      </c>
      <c r="U4009" s="29" t="str">
        <f>HYPERLINK("https://ictv.global/taxonomy/taxondetails?taxnode_id=202301115","ictv.global=202301115")</f>
        <v>ictv.global=202301115</v>
      </c>
    </row>
    <row r="4010" spans="1:21">
      <c r="A4010">
        <v>4009</v>
      </c>
      <c r="B4010" s="30" t="s">
        <v>1587</v>
      </c>
      <c r="D4010" s="30" t="s">
        <v>1588</v>
      </c>
      <c r="F4010" s="30" t="s">
        <v>1591</v>
      </c>
      <c r="H4010" s="30" t="s">
        <v>1592</v>
      </c>
      <c r="N4010" s="30" t="s">
        <v>7437</v>
      </c>
      <c r="P4010" s="30" t="s">
        <v>7438</v>
      </c>
      <c r="Q4010" t="s">
        <v>619</v>
      </c>
      <c r="R4010" t="s">
        <v>917</v>
      </c>
      <c r="S4010">
        <v>38</v>
      </c>
      <c r="T4010" s="29" t="str">
        <f>HYPERLINK("https://ictv.global/ictv/proposals/2022.084B.Caudoviricetes_6ng_33nsp.zip","2022.084B.Caudoviricetes_6ng_33nsp.zip")</f>
        <v>2022.084B.Caudoviricetes_6ng_33nsp.zip</v>
      </c>
      <c r="U4010" s="29" t="str">
        <f>HYPERLINK("https://ictv.global/taxonomy/taxondetails?taxnode_id=202314922","ictv.global=202314922")</f>
        <v>ictv.global=202314922</v>
      </c>
    </row>
    <row r="4011" spans="1:21">
      <c r="A4011">
        <v>4010</v>
      </c>
      <c r="B4011" s="30" t="s">
        <v>1587</v>
      </c>
      <c r="D4011" s="30" t="s">
        <v>1588</v>
      </c>
      <c r="F4011" s="30" t="s">
        <v>1591</v>
      </c>
      <c r="H4011" s="30" t="s">
        <v>1592</v>
      </c>
      <c r="N4011" s="30" t="s">
        <v>7437</v>
      </c>
      <c r="P4011" s="30" t="s">
        <v>7439</v>
      </c>
      <c r="Q4011" t="s">
        <v>619</v>
      </c>
      <c r="R4011" t="s">
        <v>917</v>
      </c>
      <c r="S4011">
        <v>38</v>
      </c>
      <c r="T4011" s="29" t="str">
        <f>HYPERLINK("https://ictv.global/ictv/proposals/2022.084B.Caudoviricetes_6ng_33nsp.zip","2022.084B.Caudoviricetes_6ng_33nsp.zip")</f>
        <v>2022.084B.Caudoviricetes_6ng_33nsp.zip</v>
      </c>
      <c r="U4011" s="29" t="str">
        <f>HYPERLINK("https://ictv.global/taxonomy/taxondetails?taxnode_id=202314923","ictv.global=202314923")</f>
        <v>ictv.global=202314923</v>
      </c>
    </row>
    <row r="4012" spans="1:21">
      <c r="A4012">
        <v>4011</v>
      </c>
      <c r="B4012" s="30" t="s">
        <v>1587</v>
      </c>
      <c r="D4012" s="30" t="s">
        <v>1588</v>
      </c>
      <c r="F4012" s="30" t="s">
        <v>1591</v>
      </c>
      <c r="H4012" s="30" t="s">
        <v>1592</v>
      </c>
      <c r="N4012" s="30" t="s">
        <v>2439</v>
      </c>
      <c r="P4012" s="30" t="s">
        <v>7440</v>
      </c>
      <c r="Q4012" t="s">
        <v>619</v>
      </c>
      <c r="R4012" t="s">
        <v>918</v>
      </c>
      <c r="S4012">
        <v>37</v>
      </c>
      <c r="T4012" s="29" t="str">
        <f>HYPERLINK("https://ictv.global/ictv/proposals/2021.010B.R.Binomial_names.zip","2021.010B.R.Binomial_names.zip")</f>
        <v>2021.010B.R.Binomial_names.zip</v>
      </c>
      <c r="U4012" s="29" t="str">
        <f>HYPERLINK("https://ictv.global/taxonomy/taxondetails?taxnode_id=202310133","ictv.global=202310133")</f>
        <v>ictv.global=202310133</v>
      </c>
    </row>
    <row r="4013" spans="1:21">
      <c r="A4013">
        <v>4012</v>
      </c>
      <c r="B4013" s="30" t="s">
        <v>1587</v>
      </c>
      <c r="D4013" s="30" t="s">
        <v>1588</v>
      </c>
      <c r="F4013" s="30" t="s">
        <v>1591</v>
      </c>
      <c r="H4013" s="30" t="s">
        <v>1592</v>
      </c>
      <c r="N4013" s="30" t="s">
        <v>2439</v>
      </c>
      <c r="P4013" s="30" t="s">
        <v>7441</v>
      </c>
      <c r="Q4013" t="s">
        <v>619</v>
      </c>
      <c r="R4013" t="s">
        <v>918</v>
      </c>
      <c r="S4013">
        <v>37</v>
      </c>
      <c r="T4013" s="29" t="str">
        <f>HYPERLINK("https://ictv.global/ictv/proposals/2021.010B.R.Binomial_names.zip","2021.010B.R.Binomial_names.zip")</f>
        <v>2021.010B.R.Binomial_names.zip</v>
      </c>
      <c r="U4013" s="29" t="str">
        <f>HYPERLINK("https://ictv.global/taxonomy/taxondetails?taxnode_id=202310132","ictv.global=202310132")</f>
        <v>ictv.global=202310132</v>
      </c>
    </row>
    <row r="4014" spans="1:21">
      <c r="A4014">
        <v>4013</v>
      </c>
      <c r="B4014" s="30" t="s">
        <v>1587</v>
      </c>
      <c r="D4014" s="30" t="s">
        <v>1588</v>
      </c>
      <c r="F4014" s="30" t="s">
        <v>1591</v>
      </c>
      <c r="H4014" s="30" t="s">
        <v>1592</v>
      </c>
      <c r="N4014" s="30" t="s">
        <v>12639</v>
      </c>
      <c r="P4014" s="30" t="s">
        <v>12640</v>
      </c>
      <c r="Q4014" t="s">
        <v>619</v>
      </c>
      <c r="R4014" t="s">
        <v>917</v>
      </c>
      <c r="S4014">
        <v>39</v>
      </c>
      <c r="T4014" s="29" t="str">
        <f>HYPERLINK("https://ictv.global/ictv/proposals/2023.022B.Caudoviricetes_Pseudomonas_7ng.zip","2023.022B.Caudoviricetes_Pseudomonas_7ng.zip")</f>
        <v>2023.022B.Caudoviricetes_Pseudomonas_7ng.zip</v>
      </c>
      <c r="U4014" s="29" t="str">
        <f>HYPERLINK("https://ictv.global/taxonomy/taxondetails?taxnode_id=202318573","ictv.global=202318573")</f>
        <v>ictv.global=202318573</v>
      </c>
    </row>
    <row r="4015" spans="1:21">
      <c r="A4015">
        <v>4014</v>
      </c>
      <c r="B4015" s="30" t="s">
        <v>1587</v>
      </c>
      <c r="D4015" s="30" t="s">
        <v>1588</v>
      </c>
      <c r="F4015" s="30" t="s">
        <v>1591</v>
      </c>
      <c r="H4015" s="30" t="s">
        <v>1592</v>
      </c>
      <c r="N4015" s="30" t="s">
        <v>7442</v>
      </c>
      <c r="P4015" s="30" t="s">
        <v>7443</v>
      </c>
      <c r="Q4015" t="s">
        <v>619</v>
      </c>
      <c r="R4015" t="s">
        <v>918</v>
      </c>
      <c r="S4015">
        <v>37</v>
      </c>
      <c r="T4015" s="29" t="str">
        <f>HYPERLINK("https://ictv.global/ictv/proposals/2021.069B.R.Rename_Giessenvirus.zip","2021.069B.R.Rename_Giessenvirus.zip")</f>
        <v>2021.069B.R.Rename_Giessenvirus.zip</v>
      </c>
      <c r="U4015" s="29" t="str">
        <f>HYPERLINK("https://ictv.global/taxonomy/taxondetails?taxnode_id=202307995","ictv.global=202307995")</f>
        <v>ictv.global=202307995</v>
      </c>
    </row>
    <row r="4016" spans="1:21">
      <c r="A4016">
        <v>4015</v>
      </c>
      <c r="B4016" s="30" t="s">
        <v>1587</v>
      </c>
      <c r="D4016" s="30" t="s">
        <v>1588</v>
      </c>
      <c r="F4016" s="30" t="s">
        <v>1591</v>
      </c>
      <c r="H4016" s="30" t="s">
        <v>1592</v>
      </c>
      <c r="N4016" s="30" t="s">
        <v>2440</v>
      </c>
      <c r="P4016" s="30" t="s">
        <v>7444</v>
      </c>
      <c r="Q4016" t="s">
        <v>619</v>
      </c>
      <c r="R4016" t="s">
        <v>918</v>
      </c>
      <c r="S4016">
        <v>37</v>
      </c>
      <c r="T4016" s="29" t="str">
        <f>HYPERLINK("https://ictv.global/ictv/proposals/2021.010B.R.Binomial_names.zip","2021.010B.R.Binomial_names.zip")</f>
        <v>2021.010B.R.Binomial_names.zip</v>
      </c>
      <c r="U4016" s="29" t="str">
        <f>HYPERLINK("https://ictv.global/taxonomy/taxondetails?taxnode_id=202310189","ictv.global=202310189")</f>
        <v>ictv.global=202310189</v>
      </c>
    </row>
    <row r="4017" spans="1:21">
      <c r="A4017">
        <v>4016</v>
      </c>
      <c r="B4017" s="30" t="s">
        <v>1587</v>
      </c>
      <c r="D4017" s="30" t="s">
        <v>1588</v>
      </c>
      <c r="F4017" s="30" t="s">
        <v>1591</v>
      </c>
      <c r="H4017" s="30" t="s">
        <v>1592</v>
      </c>
      <c r="N4017" s="30" t="s">
        <v>12641</v>
      </c>
      <c r="P4017" s="30" t="s">
        <v>12642</v>
      </c>
      <c r="Q4017" t="s">
        <v>619</v>
      </c>
      <c r="R4017" t="s">
        <v>917</v>
      </c>
      <c r="S4017">
        <v>39</v>
      </c>
      <c r="T4017" s="29" t="str">
        <f>HYPERLINK("https://ictv.global/ictv/proposals/2023.003B.Actinobacteriophage_singletons_25ng.zip","2023.003B.Actinobacteriophage_singletons_25ng.zip")</f>
        <v>2023.003B.Actinobacteriophage_singletons_25ng.zip</v>
      </c>
      <c r="U4017" s="29" t="str">
        <f>HYPERLINK("https://ictv.global/taxonomy/taxondetails?taxnode_id=202317758","ictv.global=202317758")</f>
        <v>ictv.global=202317758</v>
      </c>
    </row>
    <row r="4018" spans="1:21">
      <c r="A4018">
        <v>4017</v>
      </c>
      <c r="B4018" s="30" t="s">
        <v>1587</v>
      </c>
      <c r="D4018" s="30" t="s">
        <v>1588</v>
      </c>
      <c r="F4018" s="30" t="s">
        <v>1591</v>
      </c>
      <c r="H4018" s="30" t="s">
        <v>1592</v>
      </c>
      <c r="N4018" s="30" t="s">
        <v>12643</v>
      </c>
      <c r="P4018" s="30" t="s">
        <v>12644</v>
      </c>
      <c r="Q4018" t="s">
        <v>619</v>
      </c>
      <c r="R4018" t="s">
        <v>917</v>
      </c>
      <c r="S4018">
        <v>39</v>
      </c>
      <c r="T4018" s="29" t="str">
        <f>HYPERLINK("https://ictv.global/ictv/proposals/2023.003B.Actinobacteriophage_singletons_25ng.zip","2023.003B.Actinobacteriophage_singletons_25ng.zip")</f>
        <v>2023.003B.Actinobacteriophage_singletons_25ng.zip</v>
      </c>
      <c r="U4018" s="29" t="str">
        <f>HYPERLINK("https://ictv.global/taxonomy/taxondetails?taxnode_id=202317759","ictv.global=202317759")</f>
        <v>ictv.global=202317759</v>
      </c>
    </row>
    <row r="4019" spans="1:21">
      <c r="A4019">
        <v>4018</v>
      </c>
      <c r="B4019" s="30" t="s">
        <v>1587</v>
      </c>
      <c r="D4019" s="30" t="s">
        <v>1588</v>
      </c>
      <c r="F4019" s="30" t="s">
        <v>1591</v>
      </c>
      <c r="H4019" s="30" t="s">
        <v>1592</v>
      </c>
      <c r="N4019" s="30" t="s">
        <v>12645</v>
      </c>
      <c r="P4019" s="30" t="s">
        <v>12646</v>
      </c>
      <c r="Q4019" t="s">
        <v>619</v>
      </c>
      <c r="R4019" t="s">
        <v>917</v>
      </c>
      <c r="S4019">
        <v>39</v>
      </c>
      <c r="T4019" s="29" t="str">
        <f t="shared" ref="T4019:T4026" si="178">HYPERLINK("https://ictv.global/ictv/proposals/2023.035B.Ignaciovirus_ng.zip","2023.035B.Ignaciovirus_ng.zip")</f>
        <v>2023.035B.Ignaciovirus_ng.zip</v>
      </c>
      <c r="U4019" s="29" t="str">
        <f>HYPERLINK("https://ictv.global/taxonomy/taxondetails?taxnode_id=202319081","ictv.global=202319081")</f>
        <v>ictv.global=202319081</v>
      </c>
    </row>
    <row r="4020" spans="1:21">
      <c r="A4020">
        <v>4019</v>
      </c>
      <c r="B4020" s="30" t="s">
        <v>1587</v>
      </c>
      <c r="D4020" s="30" t="s">
        <v>1588</v>
      </c>
      <c r="F4020" s="30" t="s">
        <v>1591</v>
      </c>
      <c r="H4020" s="30" t="s">
        <v>1592</v>
      </c>
      <c r="N4020" s="30" t="s">
        <v>12645</v>
      </c>
      <c r="P4020" s="30" t="s">
        <v>12647</v>
      </c>
      <c r="Q4020" t="s">
        <v>619</v>
      </c>
      <c r="R4020" t="s">
        <v>917</v>
      </c>
      <c r="S4020">
        <v>39</v>
      </c>
      <c r="T4020" s="29" t="str">
        <f t="shared" si="178"/>
        <v>2023.035B.Ignaciovirus_ng.zip</v>
      </c>
      <c r="U4020" s="29" t="str">
        <f>HYPERLINK("https://ictv.global/taxonomy/taxondetails?taxnode_id=202319084","ictv.global=202319084")</f>
        <v>ictv.global=202319084</v>
      </c>
    </row>
    <row r="4021" spans="1:21">
      <c r="A4021">
        <v>4020</v>
      </c>
      <c r="B4021" s="30" t="s">
        <v>1587</v>
      </c>
      <c r="D4021" s="30" t="s">
        <v>1588</v>
      </c>
      <c r="F4021" s="30" t="s">
        <v>1591</v>
      </c>
      <c r="H4021" s="30" t="s">
        <v>1592</v>
      </c>
      <c r="N4021" s="30" t="s">
        <v>12645</v>
      </c>
      <c r="P4021" s="30" t="s">
        <v>12648</v>
      </c>
      <c r="Q4021" t="s">
        <v>619</v>
      </c>
      <c r="R4021" t="s">
        <v>917</v>
      </c>
      <c r="S4021">
        <v>39</v>
      </c>
      <c r="T4021" s="29" t="str">
        <f t="shared" si="178"/>
        <v>2023.035B.Ignaciovirus_ng.zip</v>
      </c>
      <c r="U4021" s="29" t="str">
        <f>HYPERLINK("https://ictv.global/taxonomy/taxondetails?taxnode_id=202319086","ictv.global=202319086")</f>
        <v>ictv.global=202319086</v>
      </c>
    </row>
    <row r="4022" spans="1:21">
      <c r="A4022">
        <v>4021</v>
      </c>
      <c r="B4022" s="30" t="s">
        <v>1587</v>
      </c>
      <c r="D4022" s="30" t="s">
        <v>1588</v>
      </c>
      <c r="F4022" s="30" t="s">
        <v>1591</v>
      </c>
      <c r="H4022" s="30" t="s">
        <v>1592</v>
      </c>
      <c r="N4022" s="30" t="s">
        <v>12645</v>
      </c>
      <c r="P4022" s="30" t="s">
        <v>12649</v>
      </c>
      <c r="Q4022" t="s">
        <v>619</v>
      </c>
      <c r="R4022" t="s">
        <v>917</v>
      </c>
      <c r="S4022">
        <v>39</v>
      </c>
      <c r="T4022" s="29" t="str">
        <f t="shared" si="178"/>
        <v>2023.035B.Ignaciovirus_ng.zip</v>
      </c>
      <c r="U4022" s="29" t="str">
        <f>HYPERLINK("https://ictv.global/taxonomy/taxondetails?taxnode_id=202319080","ictv.global=202319080")</f>
        <v>ictv.global=202319080</v>
      </c>
    </row>
    <row r="4023" spans="1:21">
      <c r="A4023">
        <v>4022</v>
      </c>
      <c r="B4023" s="30" t="s">
        <v>1587</v>
      </c>
      <c r="D4023" s="30" t="s">
        <v>1588</v>
      </c>
      <c r="F4023" s="30" t="s">
        <v>1591</v>
      </c>
      <c r="H4023" s="30" t="s">
        <v>1592</v>
      </c>
      <c r="N4023" s="30" t="s">
        <v>12645</v>
      </c>
      <c r="P4023" s="30" t="s">
        <v>12650</v>
      </c>
      <c r="Q4023" t="s">
        <v>619</v>
      </c>
      <c r="R4023" t="s">
        <v>917</v>
      </c>
      <c r="S4023">
        <v>39</v>
      </c>
      <c r="T4023" s="29" t="str">
        <f t="shared" si="178"/>
        <v>2023.035B.Ignaciovirus_ng.zip</v>
      </c>
      <c r="U4023" s="29" t="str">
        <f>HYPERLINK("https://ictv.global/taxonomy/taxondetails?taxnode_id=202319083","ictv.global=202319083")</f>
        <v>ictv.global=202319083</v>
      </c>
    </row>
    <row r="4024" spans="1:21">
      <c r="A4024">
        <v>4023</v>
      </c>
      <c r="B4024" s="30" t="s">
        <v>1587</v>
      </c>
      <c r="D4024" s="30" t="s">
        <v>1588</v>
      </c>
      <c r="F4024" s="30" t="s">
        <v>1591</v>
      </c>
      <c r="H4024" s="30" t="s">
        <v>1592</v>
      </c>
      <c r="N4024" s="30" t="s">
        <v>12645</v>
      </c>
      <c r="P4024" s="30" t="s">
        <v>12651</v>
      </c>
      <c r="Q4024" t="s">
        <v>619</v>
      </c>
      <c r="R4024" t="s">
        <v>917</v>
      </c>
      <c r="S4024">
        <v>39</v>
      </c>
      <c r="T4024" s="29" t="str">
        <f t="shared" si="178"/>
        <v>2023.035B.Ignaciovirus_ng.zip</v>
      </c>
      <c r="U4024" s="29" t="str">
        <f>HYPERLINK("https://ictv.global/taxonomy/taxondetails?taxnode_id=202319079","ictv.global=202319079")</f>
        <v>ictv.global=202319079</v>
      </c>
    </row>
    <row r="4025" spans="1:21">
      <c r="A4025">
        <v>4024</v>
      </c>
      <c r="B4025" s="30" t="s">
        <v>1587</v>
      </c>
      <c r="D4025" s="30" t="s">
        <v>1588</v>
      </c>
      <c r="F4025" s="30" t="s">
        <v>1591</v>
      </c>
      <c r="H4025" s="30" t="s">
        <v>1592</v>
      </c>
      <c r="N4025" s="30" t="s">
        <v>12645</v>
      </c>
      <c r="P4025" s="30" t="s">
        <v>12652</v>
      </c>
      <c r="Q4025" t="s">
        <v>619</v>
      </c>
      <c r="R4025" t="s">
        <v>917</v>
      </c>
      <c r="S4025">
        <v>39</v>
      </c>
      <c r="T4025" s="29" t="str">
        <f t="shared" si="178"/>
        <v>2023.035B.Ignaciovirus_ng.zip</v>
      </c>
      <c r="U4025" s="29" t="str">
        <f>HYPERLINK("https://ictv.global/taxonomy/taxondetails?taxnode_id=202319085","ictv.global=202319085")</f>
        <v>ictv.global=202319085</v>
      </c>
    </row>
    <row r="4026" spans="1:21">
      <c r="A4026">
        <v>4025</v>
      </c>
      <c r="B4026" s="30" t="s">
        <v>1587</v>
      </c>
      <c r="D4026" s="30" t="s">
        <v>1588</v>
      </c>
      <c r="F4026" s="30" t="s">
        <v>1591</v>
      </c>
      <c r="H4026" s="30" t="s">
        <v>1592</v>
      </c>
      <c r="N4026" s="30" t="s">
        <v>12645</v>
      </c>
      <c r="P4026" s="30" t="s">
        <v>12653</v>
      </c>
      <c r="Q4026" t="s">
        <v>619</v>
      </c>
      <c r="R4026" t="s">
        <v>917</v>
      </c>
      <c r="S4026">
        <v>39</v>
      </c>
      <c r="T4026" s="29" t="str">
        <f t="shared" si="178"/>
        <v>2023.035B.Ignaciovirus_ng.zip</v>
      </c>
      <c r="U4026" s="29" t="str">
        <f>HYPERLINK("https://ictv.global/taxonomy/taxondetails?taxnode_id=202319082","ictv.global=202319082")</f>
        <v>ictv.global=202319082</v>
      </c>
    </row>
    <row r="4027" spans="1:21">
      <c r="A4027">
        <v>4026</v>
      </c>
      <c r="B4027" s="30" t="s">
        <v>1587</v>
      </c>
      <c r="D4027" s="30" t="s">
        <v>1588</v>
      </c>
      <c r="F4027" s="30" t="s">
        <v>1591</v>
      </c>
      <c r="H4027" s="30" t="s">
        <v>1592</v>
      </c>
      <c r="N4027" s="30" t="s">
        <v>1504</v>
      </c>
      <c r="P4027" s="30" t="s">
        <v>7449</v>
      </c>
      <c r="Q4027" t="s">
        <v>619</v>
      </c>
      <c r="R4027" t="s">
        <v>918</v>
      </c>
      <c r="S4027">
        <v>37</v>
      </c>
      <c r="T4027" s="29" t="str">
        <f t="shared" ref="T4027:T4033" si="179">HYPERLINK("https://ictv.global/ictv/proposals/2021.010B.R.Binomial_names.zip","2021.010B.R.Binomial_names.zip")</f>
        <v>2021.010B.R.Binomial_names.zip</v>
      </c>
      <c r="U4027" s="29" t="str">
        <f>HYPERLINK("https://ictv.global/taxonomy/taxondetails?taxnode_id=202306771","ictv.global=202306771")</f>
        <v>ictv.global=202306771</v>
      </c>
    </row>
    <row r="4028" spans="1:21">
      <c r="A4028">
        <v>4027</v>
      </c>
      <c r="B4028" s="30" t="s">
        <v>1587</v>
      </c>
      <c r="D4028" s="30" t="s">
        <v>1588</v>
      </c>
      <c r="F4028" s="30" t="s">
        <v>1591</v>
      </c>
      <c r="H4028" s="30" t="s">
        <v>1592</v>
      </c>
      <c r="N4028" s="30" t="s">
        <v>1504</v>
      </c>
      <c r="P4028" s="30" t="s">
        <v>7450</v>
      </c>
      <c r="Q4028" t="s">
        <v>619</v>
      </c>
      <c r="R4028" t="s">
        <v>918</v>
      </c>
      <c r="S4028">
        <v>37</v>
      </c>
      <c r="T4028" s="29" t="str">
        <f t="shared" si="179"/>
        <v>2021.010B.R.Binomial_names.zip</v>
      </c>
      <c r="U4028" s="29" t="str">
        <f>HYPERLINK("https://ictv.global/taxonomy/taxondetails?taxnode_id=202306772","ictv.global=202306772")</f>
        <v>ictv.global=202306772</v>
      </c>
    </row>
    <row r="4029" spans="1:21">
      <c r="A4029">
        <v>4028</v>
      </c>
      <c r="B4029" s="30" t="s">
        <v>1587</v>
      </c>
      <c r="D4029" s="30" t="s">
        <v>1588</v>
      </c>
      <c r="F4029" s="30" t="s">
        <v>1591</v>
      </c>
      <c r="H4029" s="30" t="s">
        <v>1592</v>
      </c>
      <c r="N4029" s="30" t="s">
        <v>1505</v>
      </c>
      <c r="P4029" s="30" t="s">
        <v>7451</v>
      </c>
      <c r="Q4029" t="s">
        <v>619</v>
      </c>
      <c r="R4029" t="s">
        <v>918</v>
      </c>
      <c r="S4029">
        <v>37</v>
      </c>
      <c r="T4029" s="29" t="str">
        <f t="shared" si="179"/>
        <v>2021.010B.R.Binomial_names.zip</v>
      </c>
      <c r="U4029" s="29" t="str">
        <f>HYPERLINK("https://ictv.global/taxonomy/taxondetails?taxnode_id=202306742","ictv.global=202306742")</f>
        <v>ictv.global=202306742</v>
      </c>
    </row>
    <row r="4030" spans="1:21">
      <c r="A4030">
        <v>4029</v>
      </c>
      <c r="B4030" s="30" t="s">
        <v>1587</v>
      </c>
      <c r="D4030" s="30" t="s">
        <v>1588</v>
      </c>
      <c r="F4030" s="30" t="s">
        <v>1591</v>
      </c>
      <c r="H4030" s="30" t="s">
        <v>1592</v>
      </c>
      <c r="N4030" s="30" t="s">
        <v>1505</v>
      </c>
      <c r="P4030" s="30" t="s">
        <v>7452</v>
      </c>
      <c r="Q4030" t="s">
        <v>619</v>
      </c>
      <c r="R4030" t="s">
        <v>918</v>
      </c>
      <c r="S4030">
        <v>37</v>
      </c>
      <c r="T4030" s="29" t="str">
        <f t="shared" si="179"/>
        <v>2021.010B.R.Binomial_names.zip</v>
      </c>
      <c r="U4030" s="29" t="str">
        <f>HYPERLINK("https://ictv.global/taxonomy/taxondetails?taxnode_id=202306741","ictv.global=202306741")</f>
        <v>ictv.global=202306741</v>
      </c>
    </row>
    <row r="4031" spans="1:21">
      <c r="A4031">
        <v>4030</v>
      </c>
      <c r="B4031" s="30" t="s">
        <v>1587</v>
      </c>
      <c r="D4031" s="30" t="s">
        <v>1588</v>
      </c>
      <c r="F4031" s="30" t="s">
        <v>1591</v>
      </c>
      <c r="H4031" s="30" t="s">
        <v>1592</v>
      </c>
      <c r="N4031" s="30" t="s">
        <v>1505</v>
      </c>
      <c r="P4031" s="30" t="s">
        <v>7453</v>
      </c>
      <c r="Q4031" t="s">
        <v>619</v>
      </c>
      <c r="R4031" t="s">
        <v>918</v>
      </c>
      <c r="S4031">
        <v>37</v>
      </c>
      <c r="T4031" s="29" t="str">
        <f t="shared" si="179"/>
        <v>2021.010B.R.Binomial_names.zip</v>
      </c>
      <c r="U4031" s="29" t="str">
        <f>HYPERLINK("https://ictv.global/taxonomy/taxondetails?taxnode_id=202310134","ictv.global=202310134")</f>
        <v>ictv.global=202310134</v>
      </c>
    </row>
    <row r="4032" spans="1:21">
      <c r="A4032">
        <v>4031</v>
      </c>
      <c r="B4032" s="30" t="s">
        <v>1587</v>
      </c>
      <c r="D4032" s="30" t="s">
        <v>1588</v>
      </c>
      <c r="F4032" s="30" t="s">
        <v>1591</v>
      </c>
      <c r="H4032" s="30" t="s">
        <v>1592</v>
      </c>
      <c r="N4032" s="30" t="s">
        <v>1505</v>
      </c>
      <c r="P4032" s="30" t="s">
        <v>7454</v>
      </c>
      <c r="Q4032" t="s">
        <v>619</v>
      </c>
      <c r="R4032" t="s">
        <v>918</v>
      </c>
      <c r="S4032">
        <v>37</v>
      </c>
      <c r="T4032" s="29" t="str">
        <f t="shared" si="179"/>
        <v>2021.010B.R.Binomial_names.zip</v>
      </c>
      <c r="U4032" s="29" t="str">
        <f>HYPERLINK("https://ictv.global/taxonomy/taxondetails?taxnode_id=202310135","ictv.global=202310135")</f>
        <v>ictv.global=202310135</v>
      </c>
    </row>
    <row r="4033" spans="1:21">
      <c r="A4033">
        <v>4032</v>
      </c>
      <c r="B4033" s="30" t="s">
        <v>1587</v>
      </c>
      <c r="D4033" s="30" t="s">
        <v>1588</v>
      </c>
      <c r="F4033" s="30" t="s">
        <v>1591</v>
      </c>
      <c r="H4033" s="30" t="s">
        <v>1592</v>
      </c>
      <c r="N4033" s="30" t="s">
        <v>1505</v>
      </c>
      <c r="P4033" s="30" t="s">
        <v>7455</v>
      </c>
      <c r="Q4033" t="s">
        <v>619</v>
      </c>
      <c r="R4033" t="s">
        <v>918</v>
      </c>
      <c r="S4033">
        <v>37</v>
      </c>
      <c r="T4033" s="29" t="str">
        <f t="shared" si="179"/>
        <v>2021.010B.R.Binomial_names.zip</v>
      </c>
      <c r="U4033" s="29" t="str">
        <f>HYPERLINK("https://ictv.global/taxonomy/taxondetails?taxnode_id=202310136","ictv.global=202310136")</f>
        <v>ictv.global=202310136</v>
      </c>
    </row>
    <row r="4034" spans="1:21">
      <c r="A4034">
        <v>4033</v>
      </c>
      <c r="B4034" s="30" t="s">
        <v>1587</v>
      </c>
      <c r="D4034" s="30" t="s">
        <v>1588</v>
      </c>
      <c r="F4034" s="30" t="s">
        <v>1591</v>
      </c>
      <c r="H4034" s="30" t="s">
        <v>1592</v>
      </c>
      <c r="N4034" s="30" t="s">
        <v>7456</v>
      </c>
      <c r="P4034" s="30" t="s">
        <v>7457</v>
      </c>
      <c r="Q4034" t="s">
        <v>619</v>
      </c>
      <c r="R4034" t="s">
        <v>917</v>
      </c>
      <c r="S4034">
        <v>37</v>
      </c>
      <c r="T4034" s="29" t="str">
        <f>HYPERLINK("https://ictv.global/ictv/proposals/2021.028B.R.Flavobacterium_phages_new_genera.zip","2021.028B.R.Flavobacterium_phages_new_genera.zip")</f>
        <v>2021.028B.R.Flavobacterium_phages_new_genera.zip</v>
      </c>
      <c r="U4034" s="29" t="str">
        <f>HYPERLINK("https://ictv.global/taxonomy/taxondetails?taxnode_id=202313528","ictv.global=202313528")</f>
        <v>ictv.global=202313528</v>
      </c>
    </row>
    <row r="4035" spans="1:21">
      <c r="A4035">
        <v>4034</v>
      </c>
      <c r="B4035" s="30" t="s">
        <v>1587</v>
      </c>
      <c r="D4035" s="30" t="s">
        <v>1588</v>
      </c>
      <c r="F4035" s="30" t="s">
        <v>1591</v>
      </c>
      <c r="H4035" s="30" t="s">
        <v>1592</v>
      </c>
      <c r="N4035" s="30" t="s">
        <v>7458</v>
      </c>
      <c r="P4035" s="30" t="s">
        <v>7459</v>
      </c>
      <c r="Q4035" t="s">
        <v>619</v>
      </c>
      <c r="R4035" t="s">
        <v>920</v>
      </c>
      <c r="S4035">
        <v>38</v>
      </c>
      <c r="T4035" s="29" t="str">
        <f>HYPERLINK("https://ictv.global/ictv/proposals/2022.030B.Error_correction.zip","2022.030B.Error_correction.zip")</f>
        <v>2022.030B.Error_correction.zip</v>
      </c>
      <c r="U4035" s="29" t="str">
        <f>HYPERLINK("https://ictv.global/taxonomy/taxondetails?taxnode_id=202301102","ictv.global=202301102")</f>
        <v>ictv.global=202301102</v>
      </c>
    </row>
    <row r="4036" spans="1:21">
      <c r="A4036">
        <v>4035</v>
      </c>
      <c r="B4036" s="30" t="s">
        <v>1587</v>
      </c>
      <c r="D4036" s="30" t="s">
        <v>1588</v>
      </c>
      <c r="F4036" s="30" t="s">
        <v>1591</v>
      </c>
      <c r="H4036" s="30" t="s">
        <v>1592</v>
      </c>
      <c r="N4036" s="30" t="s">
        <v>7458</v>
      </c>
      <c r="P4036" s="30" t="s">
        <v>7460</v>
      </c>
      <c r="Q4036" t="s">
        <v>619</v>
      </c>
      <c r="R4036" t="s">
        <v>920</v>
      </c>
      <c r="S4036">
        <v>38</v>
      </c>
      <c r="T4036" s="29" t="str">
        <f>HYPERLINK("https://ictv.global/ictv/proposals/2022.030B.Error_correction.zip","2022.030B.Error_correction.zip")</f>
        <v>2022.030B.Error_correction.zip</v>
      </c>
      <c r="U4036" s="29" t="str">
        <f>HYPERLINK("https://ictv.global/taxonomy/taxondetails?taxnode_id=202301103","ictv.global=202301103")</f>
        <v>ictv.global=202301103</v>
      </c>
    </row>
    <row r="4037" spans="1:21">
      <c r="A4037">
        <v>4036</v>
      </c>
      <c r="B4037" s="30" t="s">
        <v>1587</v>
      </c>
      <c r="D4037" s="30" t="s">
        <v>1588</v>
      </c>
      <c r="F4037" s="30" t="s">
        <v>1591</v>
      </c>
      <c r="H4037" s="30" t="s">
        <v>1592</v>
      </c>
      <c r="N4037" s="30" t="s">
        <v>2441</v>
      </c>
      <c r="P4037" s="30" t="s">
        <v>7461</v>
      </c>
      <c r="Q4037" t="s">
        <v>619</v>
      </c>
      <c r="R4037" t="s">
        <v>918</v>
      </c>
      <c r="S4037">
        <v>37</v>
      </c>
      <c r="T4037" s="29" t="str">
        <f>HYPERLINK("https://ictv.global/ictv/proposals/2021.010B.R.Binomial_names.zip","2021.010B.R.Binomial_names.zip")</f>
        <v>2021.010B.R.Binomial_names.zip</v>
      </c>
      <c r="U4037" s="29" t="str">
        <f>HYPERLINK("https://ictv.global/taxonomy/taxondetails?taxnode_id=202309915","ictv.global=202309915")</f>
        <v>ictv.global=202309915</v>
      </c>
    </row>
    <row r="4038" spans="1:21">
      <c r="A4038">
        <v>4037</v>
      </c>
      <c r="B4038" s="30" t="s">
        <v>1587</v>
      </c>
      <c r="D4038" s="30" t="s">
        <v>1588</v>
      </c>
      <c r="F4038" s="30" t="s">
        <v>1591</v>
      </c>
      <c r="H4038" s="30" t="s">
        <v>1592</v>
      </c>
      <c r="N4038" s="30" t="s">
        <v>1506</v>
      </c>
      <c r="P4038" s="30" t="s">
        <v>7462</v>
      </c>
      <c r="Q4038" t="s">
        <v>619</v>
      </c>
      <c r="R4038" t="s">
        <v>918</v>
      </c>
      <c r="S4038">
        <v>37</v>
      </c>
      <c r="T4038" s="29" t="str">
        <f>HYPERLINK("https://ictv.global/ictv/proposals/2021.010B.R.Binomial_names.zip","2021.010B.R.Binomial_names.zip")</f>
        <v>2021.010B.R.Binomial_names.zip</v>
      </c>
      <c r="U4038" s="29" t="str">
        <f>HYPERLINK("https://ictv.global/taxonomy/taxondetails?taxnode_id=202301105","ictv.global=202301105")</f>
        <v>ictv.global=202301105</v>
      </c>
    </row>
    <row r="4039" spans="1:21">
      <c r="A4039">
        <v>4038</v>
      </c>
      <c r="B4039" s="30" t="s">
        <v>1587</v>
      </c>
      <c r="D4039" s="30" t="s">
        <v>1588</v>
      </c>
      <c r="F4039" s="30" t="s">
        <v>1591</v>
      </c>
      <c r="H4039" s="30" t="s">
        <v>1592</v>
      </c>
      <c r="N4039" s="30" t="s">
        <v>1506</v>
      </c>
      <c r="P4039" s="30" t="s">
        <v>7463</v>
      </c>
      <c r="Q4039" t="s">
        <v>619</v>
      </c>
      <c r="R4039" t="s">
        <v>918</v>
      </c>
      <c r="S4039">
        <v>37</v>
      </c>
      <c r="T4039" s="29" t="str">
        <f>HYPERLINK("https://ictv.global/ictv/proposals/2021.010B.R.Binomial_names.zip","2021.010B.R.Binomial_names.zip")</f>
        <v>2021.010B.R.Binomial_names.zip</v>
      </c>
      <c r="U4039" s="29" t="str">
        <f>HYPERLINK("https://ictv.global/taxonomy/taxondetails?taxnode_id=202301106","ictv.global=202301106")</f>
        <v>ictv.global=202301106</v>
      </c>
    </row>
    <row r="4040" spans="1:21">
      <c r="A4040">
        <v>4039</v>
      </c>
      <c r="B4040" s="30" t="s">
        <v>1587</v>
      </c>
      <c r="D4040" s="30" t="s">
        <v>1588</v>
      </c>
      <c r="F4040" s="30" t="s">
        <v>1591</v>
      </c>
      <c r="H4040" s="30" t="s">
        <v>1592</v>
      </c>
      <c r="N4040" s="30" t="s">
        <v>1362</v>
      </c>
      <c r="P4040" s="30" t="s">
        <v>7464</v>
      </c>
      <c r="Q4040" t="s">
        <v>619</v>
      </c>
      <c r="R4040" t="s">
        <v>918</v>
      </c>
      <c r="S4040">
        <v>37</v>
      </c>
      <c r="T4040" s="29" t="str">
        <f>HYPERLINK("https://ictv.global/ictv/proposals/2021.010B.R.Binomial_names.zip","2021.010B.R.Binomial_names.zip")</f>
        <v>2021.010B.R.Binomial_names.zip</v>
      </c>
      <c r="U4040" s="29" t="str">
        <f>HYPERLINK("https://ictv.global/taxonomy/taxondetails?taxnode_id=202306507","ictv.global=202306507")</f>
        <v>ictv.global=202306507</v>
      </c>
    </row>
    <row r="4041" spans="1:21">
      <c r="A4041">
        <v>4040</v>
      </c>
      <c r="B4041" s="30" t="s">
        <v>1587</v>
      </c>
      <c r="D4041" s="30" t="s">
        <v>1588</v>
      </c>
      <c r="F4041" s="30" t="s">
        <v>1591</v>
      </c>
      <c r="H4041" s="30" t="s">
        <v>1592</v>
      </c>
      <c r="N4041" s="30" t="s">
        <v>1363</v>
      </c>
      <c r="P4041" s="30" t="s">
        <v>7465</v>
      </c>
      <c r="Q4041" t="s">
        <v>619</v>
      </c>
      <c r="R4041" t="s">
        <v>918</v>
      </c>
      <c r="S4041">
        <v>37</v>
      </c>
      <c r="T4041" s="29" t="str">
        <f>HYPERLINK("https://ictv.global/ictv/proposals/2021.010B.R.Binomial_names.zip","2021.010B.R.Binomial_names.zip")</f>
        <v>2021.010B.R.Binomial_names.zip</v>
      </c>
      <c r="U4041" s="29" t="str">
        <f>HYPERLINK("https://ictv.global/taxonomy/taxondetails?taxnode_id=202306832","ictv.global=202306832")</f>
        <v>ictv.global=202306832</v>
      </c>
    </row>
    <row r="4042" spans="1:21">
      <c r="A4042">
        <v>4041</v>
      </c>
      <c r="B4042" s="30" t="s">
        <v>1587</v>
      </c>
      <c r="D4042" s="30" t="s">
        <v>1588</v>
      </c>
      <c r="F4042" s="30" t="s">
        <v>1591</v>
      </c>
      <c r="H4042" s="30" t="s">
        <v>1592</v>
      </c>
      <c r="N4042" s="30" t="s">
        <v>7466</v>
      </c>
      <c r="P4042" s="30" t="s">
        <v>7467</v>
      </c>
      <c r="Q4042" t="s">
        <v>619</v>
      </c>
      <c r="R4042" t="s">
        <v>917</v>
      </c>
      <c r="S4042">
        <v>38</v>
      </c>
      <c r="T4042" s="29" t="str">
        <f>HYPERLINK("https://ictv.global/ictv/proposals/2022.080B.Caudoviricetes_6ng.zip","2022.080B.Caudoviricetes_6ng.zip")</f>
        <v>2022.080B.Caudoviricetes_6ng.zip</v>
      </c>
      <c r="U4042" s="29" t="str">
        <f>HYPERLINK("https://ictv.global/taxonomy/taxondetails?taxnode_id=202314867","ictv.global=202314867")</f>
        <v>ictv.global=202314867</v>
      </c>
    </row>
    <row r="4043" spans="1:21">
      <c r="A4043">
        <v>4042</v>
      </c>
      <c r="B4043" s="30" t="s">
        <v>1587</v>
      </c>
      <c r="D4043" s="30" t="s">
        <v>1588</v>
      </c>
      <c r="F4043" s="30" t="s">
        <v>1591</v>
      </c>
      <c r="H4043" s="30" t="s">
        <v>1592</v>
      </c>
      <c r="N4043" s="30" t="s">
        <v>7468</v>
      </c>
      <c r="P4043" s="30" t="s">
        <v>7469</v>
      </c>
      <c r="Q4043" t="s">
        <v>619</v>
      </c>
      <c r="R4043" t="s">
        <v>917</v>
      </c>
      <c r="S4043">
        <v>38</v>
      </c>
      <c r="T4043" s="29" t="str">
        <f>HYPERLINK("https://ictv.global/ictv/proposals/2022.040B.Ittyvirus_ng.zip","2022.040B.Ittyvirus_ng.zip")</f>
        <v>2022.040B.Ittyvirus_ng.zip</v>
      </c>
      <c r="U4043" s="29" t="str">
        <f>HYPERLINK("https://ictv.global/taxonomy/taxondetails?taxnode_id=202314638","ictv.global=202314638")</f>
        <v>ictv.global=202314638</v>
      </c>
    </row>
    <row r="4044" spans="1:21">
      <c r="A4044">
        <v>4043</v>
      </c>
      <c r="B4044" s="30" t="s">
        <v>1587</v>
      </c>
      <c r="D4044" s="30" t="s">
        <v>1588</v>
      </c>
      <c r="F4044" s="30" t="s">
        <v>1591</v>
      </c>
      <c r="H4044" s="30" t="s">
        <v>1592</v>
      </c>
      <c r="N4044" s="30" t="s">
        <v>1909</v>
      </c>
      <c r="P4044" s="30" t="s">
        <v>7470</v>
      </c>
      <c r="Q4044" t="s">
        <v>619</v>
      </c>
      <c r="R4044" t="s">
        <v>918</v>
      </c>
      <c r="S4044">
        <v>37</v>
      </c>
      <c r="T4044" s="29" t="str">
        <f t="shared" ref="T4044:T4054" si="180">HYPERLINK("https://ictv.global/ictv/proposals/2021.010B.R.Binomial_names.zip","2021.010B.R.Binomial_names.zip")</f>
        <v>2021.010B.R.Binomial_names.zip</v>
      </c>
      <c r="U4044" s="29" t="str">
        <f>HYPERLINK("https://ictv.global/taxonomy/taxondetails?taxnode_id=202307414","ictv.global=202307414")</f>
        <v>ictv.global=202307414</v>
      </c>
    </row>
    <row r="4045" spans="1:21">
      <c r="A4045">
        <v>4044</v>
      </c>
      <c r="B4045" s="30" t="s">
        <v>1587</v>
      </c>
      <c r="D4045" s="30" t="s">
        <v>1588</v>
      </c>
      <c r="F4045" s="30" t="s">
        <v>1591</v>
      </c>
      <c r="H4045" s="30" t="s">
        <v>1592</v>
      </c>
      <c r="N4045" s="30" t="s">
        <v>2442</v>
      </c>
      <c r="P4045" s="30" t="s">
        <v>7471</v>
      </c>
      <c r="Q4045" t="s">
        <v>619</v>
      </c>
      <c r="R4045" t="s">
        <v>918</v>
      </c>
      <c r="S4045">
        <v>37</v>
      </c>
      <c r="T4045" s="29" t="str">
        <f t="shared" si="180"/>
        <v>2021.010B.R.Binomial_names.zip</v>
      </c>
      <c r="U4045" s="29" t="str">
        <f>HYPERLINK("https://ictv.global/taxonomy/taxondetails?taxnode_id=202310138","ictv.global=202310138")</f>
        <v>ictv.global=202310138</v>
      </c>
    </row>
    <row r="4046" spans="1:21">
      <c r="A4046">
        <v>4045</v>
      </c>
      <c r="B4046" s="30" t="s">
        <v>1587</v>
      </c>
      <c r="D4046" s="30" t="s">
        <v>1588</v>
      </c>
      <c r="F4046" s="30" t="s">
        <v>1591</v>
      </c>
      <c r="H4046" s="30" t="s">
        <v>1592</v>
      </c>
      <c r="N4046" s="30" t="s">
        <v>1423</v>
      </c>
      <c r="P4046" s="30" t="s">
        <v>7472</v>
      </c>
      <c r="Q4046" t="s">
        <v>619</v>
      </c>
      <c r="R4046" t="s">
        <v>918</v>
      </c>
      <c r="S4046">
        <v>37</v>
      </c>
      <c r="T4046" s="29" t="str">
        <f t="shared" si="180"/>
        <v>2021.010B.R.Binomial_names.zip</v>
      </c>
      <c r="U4046" s="29" t="str">
        <f>HYPERLINK("https://ictv.global/taxonomy/taxondetails?taxnode_id=202306491","ictv.global=202306491")</f>
        <v>ictv.global=202306491</v>
      </c>
    </row>
    <row r="4047" spans="1:21">
      <c r="A4047">
        <v>4046</v>
      </c>
      <c r="B4047" s="30" t="s">
        <v>1587</v>
      </c>
      <c r="D4047" s="30" t="s">
        <v>1588</v>
      </c>
      <c r="F4047" s="30" t="s">
        <v>1591</v>
      </c>
      <c r="H4047" s="30" t="s">
        <v>1592</v>
      </c>
      <c r="N4047" s="30" t="s">
        <v>1423</v>
      </c>
      <c r="P4047" s="30" t="s">
        <v>7473</v>
      </c>
      <c r="Q4047" t="s">
        <v>619</v>
      </c>
      <c r="R4047" t="s">
        <v>918</v>
      </c>
      <c r="S4047">
        <v>37</v>
      </c>
      <c r="T4047" s="29" t="str">
        <f t="shared" si="180"/>
        <v>2021.010B.R.Binomial_names.zip</v>
      </c>
      <c r="U4047" s="29" t="str">
        <f>HYPERLINK("https://ictv.global/taxonomy/taxondetails?taxnode_id=202306490","ictv.global=202306490")</f>
        <v>ictv.global=202306490</v>
      </c>
    </row>
    <row r="4048" spans="1:21">
      <c r="A4048">
        <v>4047</v>
      </c>
      <c r="B4048" s="30" t="s">
        <v>1587</v>
      </c>
      <c r="D4048" s="30" t="s">
        <v>1588</v>
      </c>
      <c r="F4048" s="30" t="s">
        <v>1591</v>
      </c>
      <c r="H4048" s="30" t="s">
        <v>1592</v>
      </c>
      <c r="N4048" s="30" t="s">
        <v>870</v>
      </c>
      <c r="P4048" s="30" t="s">
        <v>7475</v>
      </c>
      <c r="Q4048" t="s">
        <v>619</v>
      </c>
      <c r="R4048" t="s">
        <v>918</v>
      </c>
      <c r="S4048">
        <v>37</v>
      </c>
      <c r="T4048" s="29" t="str">
        <f t="shared" si="180"/>
        <v>2021.010B.R.Binomial_names.zip</v>
      </c>
      <c r="U4048" s="29" t="str">
        <f>HYPERLINK("https://ictv.global/taxonomy/taxondetails?taxnode_id=202300991","ictv.global=202300991")</f>
        <v>ictv.global=202300991</v>
      </c>
    </row>
    <row r="4049" spans="1:21">
      <c r="A4049">
        <v>4048</v>
      </c>
      <c r="B4049" s="30" t="s">
        <v>1587</v>
      </c>
      <c r="D4049" s="30" t="s">
        <v>1588</v>
      </c>
      <c r="F4049" s="30" t="s">
        <v>1591</v>
      </c>
      <c r="H4049" s="30" t="s">
        <v>1592</v>
      </c>
      <c r="N4049" s="30" t="s">
        <v>849</v>
      </c>
      <c r="P4049" s="30" t="s">
        <v>7476</v>
      </c>
      <c r="Q4049" t="s">
        <v>619</v>
      </c>
      <c r="R4049" t="s">
        <v>918</v>
      </c>
      <c r="S4049">
        <v>37</v>
      </c>
      <c r="T4049" s="29" t="str">
        <f t="shared" si="180"/>
        <v>2021.010B.R.Binomial_names.zip</v>
      </c>
      <c r="U4049" s="29" t="str">
        <f>HYPERLINK("https://ictv.global/taxonomy/taxondetails?taxnode_id=202300437","ictv.global=202300437")</f>
        <v>ictv.global=202300437</v>
      </c>
    </row>
    <row r="4050" spans="1:21">
      <c r="A4050">
        <v>4049</v>
      </c>
      <c r="B4050" s="30" t="s">
        <v>1587</v>
      </c>
      <c r="D4050" s="30" t="s">
        <v>1588</v>
      </c>
      <c r="F4050" s="30" t="s">
        <v>1591</v>
      </c>
      <c r="H4050" s="30" t="s">
        <v>1592</v>
      </c>
      <c r="N4050" s="30" t="s">
        <v>849</v>
      </c>
      <c r="P4050" s="30" t="s">
        <v>7477</v>
      </c>
      <c r="Q4050" t="s">
        <v>619</v>
      </c>
      <c r="R4050" t="s">
        <v>918</v>
      </c>
      <c r="S4050">
        <v>37</v>
      </c>
      <c r="T4050" s="29" t="str">
        <f t="shared" si="180"/>
        <v>2021.010B.R.Binomial_names.zip</v>
      </c>
      <c r="U4050" s="29" t="str">
        <f>HYPERLINK("https://ictv.global/taxonomy/taxondetails?taxnode_id=202300438","ictv.global=202300438")</f>
        <v>ictv.global=202300438</v>
      </c>
    </row>
    <row r="4051" spans="1:21">
      <c r="A4051">
        <v>4050</v>
      </c>
      <c r="B4051" s="30" t="s">
        <v>1587</v>
      </c>
      <c r="D4051" s="30" t="s">
        <v>1588</v>
      </c>
      <c r="F4051" s="30" t="s">
        <v>1591</v>
      </c>
      <c r="H4051" s="30" t="s">
        <v>1592</v>
      </c>
      <c r="N4051" s="30" t="s">
        <v>2443</v>
      </c>
      <c r="P4051" s="30" t="s">
        <v>7478</v>
      </c>
      <c r="Q4051" t="s">
        <v>619</v>
      </c>
      <c r="R4051" t="s">
        <v>918</v>
      </c>
      <c r="S4051">
        <v>37</v>
      </c>
      <c r="T4051" s="29" t="str">
        <f t="shared" si="180"/>
        <v>2021.010B.R.Binomial_names.zip</v>
      </c>
      <c r="U4051" s="29" t="str">
        <f>HYPERLINK("https://ictv.global/taxonomy/taxondetails?taxnode_id=202309348","ictv.global=202309348")</f>
        <v>ictv.global=202309348</v>
      </c>
    </row>
    <row r="4052" spans="1:21">
      <c r="A4052">
        <v>4051</v>
      </c>
      <c r="B4052" s="30" t="s">
        <v>1587</v>
      </c>
      <c r="D4052" s="30" t="s">
        <v>1588</v>
      </c>
      <c r="F4052" s="30" t="s">
        <v>1591</v>
      </c>
      <c r="H4052" s="30" t="s">
        <v>1592</v>
      </c>
      <c r="N4052" s="30" t="s">
        <v>2443</v>
      </c>
      <c r="P4052" s="30" t="s">
        <v>7479</v>
      </c>
      <c r="Q4052" t="s">
        <v>619</v>
      </c>
      <c r="R4052" t="s">
        <v>918</v>
      </c>
      <c r="S4052">
        <v>37</v>
      </c>
      <c r="T4052" s="29" t="str">
        <f t="shared" si="180"/>
        <v>2021.010B.R.Binomial_names.zip</v>
      </c>
      <c r="U4052" s="29" t="str">
        <f>HYPERLINK("https://ictv.global/taxonomy/taxondetails?taxnode_id=202309347","ictv.global=202309347")</f>
        <v>ictv.global=202309347</v>
      </c>
    </row>
    <row r="4053" spans="1:21">
      <c r="A4053">
        <v>4052</v>
      </c>
      <c r="B4053" s="30" t="s">
        <v>1587</v>
      </c>
      <c r="D4053" s="30" t="s">
        <v>1588</v>
      </c>
      <c r="F4053" s="30" t="s">
        <v>1591</v>
      </c>
      <c r="H4053" s="30" t="s">
        <v>1592</v>
      </c>
      <c r="N4053" s="30" t="s">
        <v>2443</v>
      </c>
      <c r="P4053" s="30" t="s">
        <v>7480</v>
      </c>
      <c r="Q4053" t="s">
        <v>619</v>
      </c>
      <c r="R4053" t="s">
        <v>918</v>
      </c>
      <c r="S4053">
        <v>37</v>
      </c>
      <c r="T4053" s="29" t="str">
        <f t="shared" si="180"/>
        <v>2021.010B.R.Binomial_names.zip</v>
      </c>
      <c r="U4053" s="29" t="str">
        <f>HYPERLINK("https://ictv.global/taxonomy/taxondetails?taxnode_id=202309346","ictv.global=202309346")</f>
        <v>ictv.global=202309346</v>
      </c>
    </row>
    <row r="4054" spans="1:21">
      <c r="A4054">
        <v>4053</v>
      </c>
      <c r="B4054" s="30" t="s">
        <v>1587</v>
      </c>
      <c r="D4054" s="30" t="s">
        <v>1588</v>
      </c>
      <c r="F4054" s="30" t="s">
        <v>1591</v>
      </c>
      <c r="H4054" s="30" t="s">
        <v>1592</v>
      </c>
      <c r="N4054" s="30" t="s">
        <v>1910</v>
      </c>
      <c r="P4054" s="30" t="s">
        <v>7481</v>
      </c>
      <c r="Q4054" t="s">
        <v>619</v>
      </c>
      <c r="R4054" t="s">
        <v>918</v>
      </c>
      <c r="S4054">
        <v>37</v>
      </c>
      <c r="T4054" s="29" t="str">
        <f t="shared" si="180"/>
        <v>2021.010B.R.Binomial_names.zip</v>
      </c>
      <c r="U4054" s="29" t="str">
        <f>HYPERLINK("https://ictv.global/taxonomy/taxondetails?taxnode_id=202307421","ictv.global=202307421")</f>
        <v>ictv.global=202307421</v>
      </c>
    </row>
    <row r="4055" spans="1:21">
      <c r="A4055">
        <v>4054</v>
      </c>
      <c r="B4055" s="30" t="s">
        <v>1587</v>
      </c>
      <c r="D4055" s="30" t="s">
        <v>1588</v>
      </c>
      <c r="F4055" s="30" t="s">
        <v>1591</v>
      </c>
      <c r="H4055" s="30" t="s">
        <v>1592</v>
      </c>
      <c r="N4055" s="30" t="s">
        <v>7482</v>
      </c>
      <c r="P4055" s="30" t="s">
        <v>7483</v>
      </c>
      <c r="Q4055" t="s">
        <v>619</v>
      </c>
      <c r="R4055" t="s">
        <v>917</v>
      </c>
      <c r="S4055">
        <v>37</v>
      </c>
      <c r="T4055" s="29" t="str">
        <f t="shared" ref="T4055:T4060" si="181">HYPERLINK("https://ictv.global/ictv/proposals/2021.041B.R.Jujuvirus.zip","2021.041B.R.Jujuvirus.zip")</f>
        <v>2021.041B.R.Jujuvirus.zip</v>
      </c>
      <c r="U4055" s="29" t="str">
        <f>HYPERLINK("https://ictv.global/taxonomy/taxondetails?taxnode_id=202312364","ictv.global=202312364")</f>
        <v>ictv.global=202312364</v>
      </c>
    </row>
    <row r="4056" spans="1:21">
      <c r="A4056">
        <v>4055</v>
      </c>
      <c r="B4056" s="30" t="s">
        <v>1587</v>
      </c>
      <c r="D4056" s="30" t="s">
        <v>1588</v>
      </c>
      <c r="F4056" s="30" t="s">
        <v>1591</v>
      </c>
      <c r="H4056" s="30" t="s">
        <v>1592</v>
      </c>
      <c r="N4056" s="30" t="s">
        <v>7482</v>
      </c>
      <c r="P4056" s="30" t="s">
        <v>7484</v>
      </c>
      <c r="Q4056" t="s">
        <v>619</v>
      </c>
      <c r="R4056" t="s">
        <v>917</v>
      </c>
      <c r="S4056">
        <v>37</v>
      </c>
      <c r="T4056" s="29" t="str">
        <f t="shared" si="181"/>
        <v>2021.041B.R.Jujuvirus.zip</v>
      </c>
      <c r="U4056" s="29" t="str">
        <f>HYPERLINK("https://ictv.global/taxonomy/taxondetails?taxnode_id=202312362","ictv.global=202312362")</f>
        <v>ictv.global=202312362</v>
      </c>
    </row>
    <row r="4057" spans="1:21">
      <c r="A4057">
        <v>4056</v>
      </c>
      <c r="B4057" s="30" t="s">
        <v>1587</v>
      </c>
      <c r="D4057" s="30" t="s">
        <v>1588</v>
      </c>
      <c r="F4057" s="30" t="s">
        <v>1591</v>
      </c>
      <c r="H4057" s="30" t="s">
        <v>1592</v>
      </c>
      <c r="N4057" s="30" t="s">
        <v>7482</v>
      </c>
      <c r="P4057" s="30" t="s">
        <v>7485</v>
      </c>
      <c r="Q4057" t="s">
        <v>619</v>
      </c>
      <c r="R4057" t="s">
        <v>917</v>
      </c>
      <c r="S4057">
        <v>37</v>
      </c>
      <c r="T4057" s="29" t="str">
        <f t="shared" si="181"/>
        <v>2021.041B.R.Jujuvirus.zip</v>
      </c>
      <c r="U4057" s="29" t="str">
        <f>HYPERLINK("https://ictv.global/taxonomy/taxondetails?taxnode_id=202312363","ictv.global=202312363")</f>
        <v>ictv.global=202312363</v>
      </c>
    </row>
    <row r="4058" spans="1:21">
      <c r="A4058">
        <v>4057</v>
      </c>
      <c r="B4058" s="30" t="s">
        <v>1587</v>
      </c>
      <c r="D4058" s="30" t="s">
        <v>1588</v>
      </c>
      <c r="F4058" s="30" t="s">
        <v>1591</v>
      </c>
      <c r="H4058" s="30" t="s">
        <v>1592</v>
      </c>
      <c r="N4058" s="30" t="s">
        <v>7482</v>
      </c>
      <c r="P4058" s="30" t="s">
        <v>7486</v>
      </c>
      <c r="Q4058" t="s">
        <v>619</v>
      </c>
      <c r="R4058" t="s">
        <v>917</v>
      </c>
      <c r="S4058">
        <v>37</v>
      </c>
      <c r="T4058" s="29" t="str">
        <f t="shared" si="181"/>
        <v>2021.041B.R.Jujuvirus.zip</v>
      </c>
      <c r="U4058" s="29" t="str">
        <f>HYPERLINK("https://ictv.global/taxonomy/taxondetails?taxnode_id=202312359","ictv.global=202312359")</f>
        <v>ictv.global=202312359</v>
      </c>
    </row>
    <row r="4059" spans="1:21">
      <c r="A4059">
        <v>4058</v>
      </c>
      <c r="B4059" s="30" t="s">
        <v>1587</v>
      </c>
      <c r="D4059" s="30" t="s">
        <v>1588</v>
      </c>
      <c r="F4059" s="30" t="s">
        <v>1591</v>
      </c>
      <c r="H4059" s="30" t="s">
        <v>1592</v>
      </c>
      <c r="N4059" s="30" t="s">
        <v>7482</v>
      </c>
      <c r="P4059" s="30" t="s">
        <v>7487</v>
      </c>
      <c r="Q4059" t="s">
        <v>619</v>
      </c>
      <c r="R4059" t="s">
        <v>917</v>
      </c>
      <c r="S4059">
        <v>37</v>
      </c>
      <c r="T4059" s="29" t="str">
        <f t="shared" si="181"/>
        <v>2021.041B.R.Jujuvirus.zip</v>
      </c>
      <c r="U4059" s="29" t="str">
        <f>HYPERLINK("https://ictv.global/taxonomy/taxondetails?taxnode_id=202312360","ictv.global=202312360")</f>
        <v>ictv.global=202312360</v>
      </c>
    </row>
    <row r="4060" spans="1:21">
      <c r="A4060">
        <v>4059</v>
      </c>
      <c r="B4060" s="30" t="s">
        <v>1587</v>
      </c>
      <c r="D4060" s="30" t="s">
        <v>1588</v>
      </c>
      <c r="F4060" s="30" t="s">
        <v>1591</v>
      </c>
      <c r="H4060" s="30" t="s">
        <v>1592</v>
      </c>
      <c r="N4060" s="30" t="s">
        <v>7482</v>
      </c>
      <c r="P4060" s="30" t="s">
        <v>7488</v>
      </c>
      <c r="Q4060" t="s">
        <v>619</v>
      </c>
      <c r="R4060" t="s">
        <v>917</v>
      </c>
      <c r="S4060">
        <v>37</v>
      </c>
      <c r="T4060" s="29" t="str">
        <f t="shared" si="181"/>
        <v>2021.041B.R.Jujuvirus.zip</v>
      </c>
      <c r="U4060" s="29" t="str">
        <f>HYPERLINK("https://ictv.global/taxonomy/taxondetails?taxnode_id=202312361","ictv.global=202312361")</f>
        <v>ictv.global=202312361</v>
      </c>
    </row>
    <row r="4061" spans="1:21">
      <c r="A4061">
        <v>4060</v>
      </c>
      <c r="B4061" s="30" t="s">
        <v>1587</v>
      </c>
      <c r="D4061" s="30" t="s">
        <v>1588</v>
      </c>
      <c r="F4061" s="30" t="s">
        <v>1591</v>
      </c>
      <c r="H4061" s="30" t="s">
        <v>1592</v>
      </c>
      <c r="N4061" s="30" t="s">
        <v>2444</v>
      </c>
      <c r="P4061" s="30" t="s">
        <v>7489</v>
      </c>
      <c r="Q4061" t="s">
        <v>619</v>
      </c>
      <c r="R4061" t="s">
        <v>918</v>
      </c>
      <c r="S4061">
        <v>37</v>
      </c>
      <c r="T4061" s="29" t="str">
        <f t="shared" ref="T4061:T4070" si="182">HYPERLINK("https://ictv.global/ictv/proposals/2021.010B.R.Binomial_names.zip","2021.010B.R.Binomial_names.zip")</f>
        <v>2021.010B.R.Binomial_names.zip</v>
      </c>
      <c r="U4061" s="29" t="str">
        <f>HYPERLINK("https://ictv.global/taxonomy/taxondetails?taxnode_id=202310197","ictv.global=202310197")</f>
        <v>ictv.global=202310197</v>
      </c>
    </row>
    <row r="4062" spans="1:21">
      <c r="A4062">
        <v>4061</v>
      </c>
      <c r="B4062" s="30" t="s">
        <v>1587</v>
      </c>
      <c r="D4062" s="30" t="s">
        <v>1588</v>
      </c>
      <c r="F4062" s="30" t="s">
        <v>1591</v>
      </c>
      <c r="H4062" s="30" t="s">
        <v>1592</v>
      </c>
      <c r="N4062" s="30" t="s">
        <v>2444</v>
      </c>
      <c r="P4062" s="30" t="s">
        <v>7490</v>
      </c>
      <c r="Q4062" t="s">
        <v>619</v>
      </c>
      <c r="R4062" t="s">
        <v>918</v>
      </c>
      <c r="S4062">
        <v>37</v>
      </c>
      <c r="T4062" s="29" t="str">
        <f t="shared" si="182"/>
        <v>2021.010B.R.Binomial_names.zip</v>
      </c>
      <c r="U4062" s="29" t="str">
        <f>HYPERLINK("https://ictv.global/taxonomy/taxondetails?taxnode_id=202310199","ictv.global=202310199")</f>
        <v>ictv.global=202310199</v>
      </c>
    </row>
    <row r="4063" spans="1:21">
      <c r="A4063">
        <v>4062</v>
      </c>
      <c r="B4063" s="30" t="s">
        <v>1587</v>
      </c>
      <c r="D4063" s="30" t="s">
        <v>1588</v>
      </c>
      <c r="F4063" s="30" t="s">
        <v>1591</v>
      </c>
      <c r="H4063" s="30" t="s">
        <v>1592</v>
      </c>
      <c r="N4063" s="30" t="s">
        <v>2444</v>
      </c>
      <c r="P4063" s="30" t="s">
        <v>7491</v>
      </c>
      <c r="Q4063" t="s">
        <v>619</v>
      </c>
      <c r="R4063" t="s">
        <v>918</v>
      </c>
      <c r="S4063">
        <v>37</v>
      </c>
      <c r="T4063" s="29" t="str">
        <f t="shared" si="182"/>
        <v>2021.010B.R.Binomial_names.zip</v>
      </c>
      <c r="U4063" s="29" t="str">
        <f>HYPERLINK("https://ictv.global/taxonomy/taxondetails?taxnode_id=202310198","ictv.global=202310198")</f>
        <v>ictv.global=202310198</v>
      </c>
    </row>
    <row r="4064" spans="1:21">
      <c r="A4064">
        <v>4063</v>
      </c>
      <c r="B4064" s="30" t="s">
        <v>1587</v>
      </c>
      <c r="D4064" s="30" t="s">
        <v>1588</v>
      </c>
      <c r="F4064" s="30" t="s">
        <v>1591</v>
      </c>
      <c r="H4064" s="30" t="s">
        <v>1592</v>
      </c>
      <c r="N4064" s="30" t="s">
        <v>1425</v>
      </c>
      <c r="P4064" s="30" t="s">
        <v>7492</v>
      </c>
      <c r="Q4064" t="s">
        <v>619</v>
      </c>
      <c r="R4064" t="s">
        <v>918</v>
      </c>
      <c r="S4064">
        <v>37</v>
      </c>
      <c r="T4064" s="29" t="str">
        <f t="shared" si="182"/>
        <v>2021.010B.R.Binomial_names.zip</v>
      </c>
      <c r="U4064" s="29" t="str">
        <f>HYPERLINK("https://ictv.global/taxonomy/taxondetails?taxnode_id=202300652","ictv.global=202300652")</f>
        <v>ictv.global=202300652</v>
      </c>
    </row>
    <row r="4065" spans="1:21">
      <c r="A4065">
        <v>4064</v>
      </c>
      <c r="B4065" s="30" t="s">
        <v>1587</v>
      </c>
      <c r="D4065" s="30" t="s">
        <v>1588</v>
      </c>
      <c r="F4065" s="30" t="s">
        <v>1591</v>
      </c>
      <c r="H4065" s="30" t="s">
        <v>1592</v>
      </c>
      <c r="N4065" s="30" t="s">
        <v>1508</v>
      </c>
      <c r="P4065" s="30" t="s">
        <v>7493</v>
      </c>
      <c r="Q4065" t="s">
        <v>619</v>
      </c>
      <c r="R4065" t="s">
        <v>918</v>
      </c>
      <c r="S4065">
        <v>37</v>
      </c>
      <c r="T4065" s="29" t="str">
        <f t="shared" si="182"/>
        <v>2021.010B.R.Binomial_names.zip</v>
      </c>
      <c r="U4065" s="29" t="str">
        <f>HYPERLINK("https://ictv.global/taxonomy/taxondetails?taxnode_id=202306840","ictv.global=202306840")</f>
        <v>ictv.global=202306840</v>
      </c>
    </row>
    <row r="4066" spans="1:21">
      <c r="A4066">
        <v>4065</v>
      </c>
      <c r="B4066" s="30" t="s">
        <v>1587</v>
      </c>
      <c r="D4066" s="30" t="s">
        <v>1588</v>
      </c>
      <c r="F4066" s="30" t="s">
        <v>1591</v>
      </c>
      <c r="H4066" s="30" t="s">
        <v>1592</v>
      </c>
      <c r="N4066" s="30" t="s">
        <v>1508</v>
      </c>
      <c r="P4066" s="30" t="s">
        <v>7494</v>
      </c>
      <c r="Q4066" t="s">
        <v>619</v>
      </c>
      <c r="R4066" t="s">
        <v>918</v>
      </c>
      <c r="S4066">
        <v>37</v>
      </c>
      <c r="T4066" s="29" t="str">
        <f t="shared" si="182"/>
        <v>2021.010B.R.Binomial_names.zip</v>
      </c>
      <c r="U4066" s="29" t="str">
        <f>HYPERLINK("https://ictv.global/taxonomy/taxondetails?taxnode_id=202306841","ictv.global=202306841")</f>
        <v>ictv.global=202306841</v>
      </c>
    </row>
    <row r="4067" spans="1:21">
      <c r="A4067">
        <v>4066</v>
      </c>
      <c r="B4067" s="30" t="s">
        <v>1587</v>
      </c>
      <c r="D4067" s="30" t="s">
        <v>1588</v>
      </c>
      <c r="F4067" s="30" t="s">
        <v>1591</v>
      </c>
      <c r="H4067" s="30" t="s">
        <v>1592</v>
      </c>
      <c r="N4067" s="30" t="s">
        <v>2445</v>
      </c>
      <c r="P4067" s="30" t="s">
        <v>7495</v>
      </c>
      <c r="Q4067" t="s">
        <v>619</v>
      </c>
      <c r="R4067" t="s">
        <v>918</v>
      </c>
      <c r="S4067">
        <v>37</v>
      </c>
      <c r="T4067" s="29" t="str">
        <f t="shared" si="182"/>
        <v>2021.010B.R.Binomial_names.zip</v>
      </c>
      <c r="U4067" s="29" t="str">
        <f>HYPERLINK("https://ictv.global/taxonomy/taxondetails?taxnode_id=202310140","ictv.global=202310140")</f>
        <v>ictv.global=202310140</v>
      </c>
    </row>
    <row r="4068" spans="1:21">
      <c r="A4068">
        <v>4067</v>
      </c>
      <c r="B4068" s="30" t="s">
        <v>1587</v>
      </c>
      <c r="D4068" s="30" t="s">
        <v>1588</v>
      </c>
      <c r="F4068" s="30" t="s">
        <v>1591</v>
      </c>
      <c r="H4068" s="30" t="s">
        <v>1592</v>
      </c>
      <c r="N4068" s="30" t="s">
        <v>871</v>
      </c>
      <c r="P4068" s="30" t="s">
        <v>7496</v>
      </c>
      <c r="Q4068" t="s">
        <v>619</v>
      </c>
      <c r="R4068" t="s">
        <v>918</v>
      </c>
      <c r="S4068">
        <v>37</v>
      </c>
      <c r="T4068" s="29" t="str">
        <f t="shared" si="182"/>
        <v>2021.010B.R.Binomial_names.zip</v>
      </c>
      <c r="U4068" s="29" t="str">
        <f>HYPERLINK("https://ictv.global/taxonomy/taxondetails?taxnode_id=202300996","ictv.global=202300996")</f>
        <v>ictv.global=202300996</v>
      </c>
    </row>
    <row r="4069" spans="1:21">
      <c r="A4069">
        <v>4068</v>
      </c>
      <c r="B4069" s="30" t="s">
        <v>1587</v>
      </c>
      <c r="D4069" s="30" t="s">
        <v>1588</v>
      </c>
      <c r="F4069" s="30" t="s">
        <v>1591</v>
      </c>
      <c r="H4069" s="30" t="s">
        <v>1592</v>
      </c>
      <c r="N4069" s="30" t="s">
        <v>871</v>
      </c>
      <c r="P4069" s="30" t="s">
        <v>7497</v>
      </c>
      <c r="Q4069" t="s">
        <v>619</v>
      </c>
      <c r="R4069" t="s">
        <v>918</v>
      </c>
      <c r="S4069">
        <v>37</v>
      </c>
      <c r="T4069" s="29" t="str">
        <f t="shared" si="182"/>
        <v>2021.010B.R.Binomial_names.zip</v>
      </c>
      <c r="U4069" s="29" t="str">
        <f>HYPERLINK("https://ictv.global/taxonomy/taxondetails?taxnode_id=202300997","ictv.global=202300997")</f>
        <v>ictv.global=202300997</v>
      </c>
    </row>
    <row r="4070" spans="1:21">
      <c r="A4070">
        <v>4069</v>
      </c>
      <c r="B4070" s="30" t="s">
        <v>1587</v>
      </c>
      <c r="D4070" s="30" t="s">
        <v>1588</v>
      </c>
      <c r="F4070" s="30" t="s">
        <v>1591</v>
      </c>
      <c r="H4070" s="30" t="s">
        <v>1592</v>
      </c>
      <c r="N4070" s="30" t="s">
        <v>1864</v>
      </c>
      <c r="P4070" s="30" t="s">
        <v>7498</v>
      </c>
      <c r="Q4070" t="s">
        <v>619</v>
      </c>
      <c r="R4070" t="s">
        <v>918</v>
      </c>
      <c r="S4070">
        <v>37</v>
      </c>
      <c r="T4070" s="29" t="str">
        <f t="shared" si="182"/>
        <v>2021.010B.R.Binomial_names.zip</v>
      </c>
      <c r="U4070" s="29" t="str">
        <f>HYPERLINK("https://ictv.global/taxonomy/taxondetails?taxnode_id=202308022","ictv.global=202308022")</f>
        <v>ictv.global=202308022</v>
      </c>
    </row>
    <row r="4071" spans="1:21">
      <c r="A4071">
        <v>4070</v>
      </c>
      <c r="B4071" s="30" t="s">
        <v>1587</v>
      </c>
      <c r="D4071" s="30" t="s">
        <v>1588</v>
      </c>
      <c r="F4071" s="30" t="s">
        <v>1591</v>
      </c>
      <c r="H4071" s="30" t="s">
        <v>1592</v>
      </c>
      <c r="N4071" s="30" t="s">
        <v>7502</v>
      </c>
      <c r="P4071" s="30" t="s">
        <v>7503</v>
      </c>
      <c r="Q4071" t="s">
        <v>619</v>
      </c>
      <c r="R4071" t="s">
        <v>917</v>
      </c>
      <c r="S4071">
        <v>37</v>
      </c>
      <c r="T4071" s="29" t="str">
        <f>HYPERLINK("https://ictv.global/ictv/proposals/2021.042B.R.Kimonavirus.zip","2021.042B.R.Kimonavirus.zip")</f>
        <v>2021.042B.R.Kimonavirus.zip</v>
      </c>
      <c r="U4071" s="29" t="str">
        <f>HYPERLINK("https://ictv.global/taxonomy/taxondetails?taxnode_id=202312366","ictv.global=202312366")</f>
        <v>ictv.global=202312366</v>
      </c>
    </row>
    <row r="4072" spans="1:21">
      <c r="A4072">
        <v>4071</v>
      </c>
      <c r="B4072" s="30" t="s">
        <v>1587</v>
      </c>
      <c r="D4072" s="30" t="s">
        <v>1588</v>
      </c>
      <c r="F4072" s="30" t="s">
        <v>1591</v>
      </c>
      <c r="H4072" s="30" t="s">
        <v>1592</v>
      </c>
      <c r="N4072" s="30" t="s">
        <v>2270</v>
      </c>
      <c r="P4072" s="30" t="s">
        <v>7504</v>
      </c>
      <c r="Q4072" t="s">
        <v>619</v>
      </c>
      <c r="R4072" t="s">
        <v>918</v>
      </c>
      <c r="S4072">
        <v>37</v>
      </c>
      <c r="T4072" s="29" t="str">
        <f t="shared" ref="T4072:T4086" si="183">HYPERLINK("https://ictv.global/ictv/proposals/2021.010B.R.Binomial_names.zip","2021.010B.R.Binomial_names.zip")</f>
        <v>2021.010B.R.Binomial_names.zip</v>
      </c>
      <c r="U4072" s="29" t="str">
        <f>HYPERLINK("https://ictv.global/taxonomy/taxondetails?taxnode_id=202300382","ictv.global=202300382")</f>
        <v>ictv.global=202300382</v>
      </c>
    </row>
    <row r="4073" spans="1:21">
      <c r="A4073">
        <v>4072</v>
      </c>
      <c r="B4073" s="30" t="s">
        <v>1587</v>
      </c>
      <c r="D4073" s="30" t="s">
        <v>1588</v>
      </c>
      <c r="F4073" s="30" t="s">
        <v>1591</v>
      </c>
      <c r="H4073" s="30" t="s">
        <v>1592</v>
      </c>
      <c r="N4073" s="30" t="s">
        <v>2270</v>
      </c>
      <c r="P4073" s="30" t="s">
        <v>7505</v>
      </c>
      <c r="Q4073" t="s">
        <v>619</v>
      </c>
      <c r="R4073" t="s">
        <v>918</v>
      </c>
      <c r="S4073">
        <v>37</v>
      </c>
      <c r="T4073" s="29" t="str">
        <f t="shared" si="183"/>
        <v>2021.010B.R.Binomial_names.zip</v>
      </c>
      <c r="U4073" s="29" t="str">
        <f>HYPERLINK("https://ictv.global/taxonomy/taxondetails?taxnode_id=202306996","ictv.global=202306996")</f>
        <v>ictv.global=202306996</v>
      </c>
    </row>
    <row r="4074" spans="1:21">
      <c r="A4074">
        <v>4073</v>
      </c>
      <c r="B4074" s="30" t="s">
        <v>1587</v>
      </c>
      <c r="D4074" s="30" t="s">
        <v>1588</v>
      </c>
      <c r="F4074" s="30" t="s">
        <v>1591</v>
      </c>
      <c r="H4074" s="30" t="s">
        <v>1592</v>
      </c>
      <c r="N4074" s="30" t="s">
        <v>2270</v>
      </c>
      <c r="P4074" s="30" t="s">
        <v>7506</v>
      </c>
      <c r="Q4074" t="s">
        <v>619</v>
      </c>
      <c r="R4074" t="s">
        <v>918</v>
      </c>
      <c r="S4074">
        <v>37</v>
      </c>
      <c r="T4074" s="29" t="str">
        <f t="shared" si="183"/>
        <v>2021.010B.R.Binomial_names.zip</v>
      </c>
      <c r="U4074" s="29" t="str">
        <f>HYPERLINK("https://ictv.global/taxonomy/taxondetails?taxnode_id=202311644","ictv.global=202311644")</f>
        <v>ictv.global=202311644</v>
      </c>
    </row>
    <row r="4075" spans="1:21">
      <c r="A4075">
        <v>4074</v>
      </c>
      <c r="B4075" s="30" t="s">
        <v>1587</v>
      </c>
      <c r="D4075" s="30" t="s">
        <v>1588</v>
      </c>
      <c r="F4075" s="30" t="s">
        <v>1591</v>
      </c>
      <c r="H4075" s="30" t="s">
        <v>1592</v>
      </c>
      <c r="N4075" s="30" t="s">
        <v>2270</v>
      </c>
      <c r="P4075" s="30" t="s">
        <v>7507</v>
      </c>
      <c r="Q4075" t="s">
        <v>619</v>
      </c>
      <c r="R4075" t="s">
        <v>918</v>
      </c>
      <c r="S4075">
        <v>37</v>
      </c>
      <c r="T4075" s="29" t="str">
        <f t="shared" si="183"/>
        <v>2021.010B.R.Binomial_names.zip</v>
      </c>
      <c r="U4075" s="29" t="str">
        <f>HYPERLINK("https://ictv.global/taxonomy/taxondetails?taxnode_id=202311643","ictv.global=202311643")</f>
        <v>ictv.global=202311643</v>
      </c>
    </row>
    <row r="4076" spans="1:21">
      <c r="A4076">
        <v>4075</v>
      </c>
      <c r="B4076" s="30" t="s">
        <v>1587</v>
      </c>
      <c r="D4076" s="30" t="s">
        <v>1588</v>
      </c>
      <c r="F4076" s="30" t="s">
        <v>1591</v>
      </c>
      <c r="H4076" s="30" t="s">
        <v>1592</v>
      </c>
      <c r="N4076" s="30" t="s">
        <v>2270</v>
      </c>
      <c r="P4076" s="30" t="s">
        <v>7508</v>
      </c>
      <c r="Q4076" t="s">
        <v>619</v>
      </c>
      <c r="R4076" t="s">
        <v>918</v>
      </c>
      <c r="S4076">
        <v>37</v>
      </c>
      <c r="T4076" s="29" t="str">
        <f t="shared" si="183"/>
        <v>2021.010B.R.Binomial_names.zip</v>
      </c>
      <c r="U4076" s="29" t="str">
        <f>HYPERLINK("https://ictv.global/taxonomy/taxondetails?taxnode_id=202311645","ictv.global=202311645")</f>
        <v>ictv.global=202311645</v>
      </c>
    </row>
    <row r="4077" spans="1:21">
      <c r="A4077">
        <v>4076</v>
      </c>
      <c r="B4077" s="30" t="s">
        <v>1587</v>
      </c>
      <c r="D4077" s="30" t="s">
        <v>1588</v>
      </c>
      <c r="F4077" s="30" t="s">
        <v>1591</v>
      </c>
      <c r="H4077" s="30" t="s">
        <v>1592</v>
      </c>
      <c r="N4077" s="30" t="s">
        <v>2270</v>
      </c>
      <c r="P4077" s="30" t="s">
        <v>7509</v>
      </c>
      <c r="Q4077" t="s">
        <v>619</v>
      </c>
      <c r="R4077" t="s">
        <v>918</v>
      </c>
      <c r="S4077">
        <v>37</v>
      </c>
      <c r="T4077" s="29" t="str">
        <f t="shared" si="183"/>
        <v>2021.010B.R.Binomial_names.zip</v>
      </c>
      <c r="U4077" s="29" t="str">
        <f>HYPERLINK("https://ictv.global/taxonomy/taxondetails?taxnode_id=202300383","ictv.global=202300383")</f>
        <v>ictv.global=202300383</v>
      </c>
    </row>
    <row r="4078" spans="1:21">
      <c r="A4078">
        <v>4077</v>
      </c>
      <c r="B4078" s="30" t="s">
        <v>1587</v>
      </c>
      <c r="D4078" s="30" t="s">
        <v>1588</v>
      </c>
      <c r="F4078" s="30" t="s">
        <v>1591</v>
      </c>
      <c r="H4078" s="30" t="s">
        <v>1592</v>
      </c>
      <c r="N4078" s="30" t="s">
        <v>1366</v>
      </c>
      <c r="P4078" s="30" t="s">
        <v>7510</v>
      </c>
      <c r="Q4078" t="s">
        <v>619</v>
      </c>
      <c r="R4078" t="s">
        <v>918</v>
      </c>
      <c r="S4078">
        <v>37</v>
      </c>
      <c r="T4078" s="29" t="str">
        <f t="shared" si="183"/>
        <v>2021.010B.R.Binomial_names.zip</v>
      </c>
      <c r="U4078" s="29" t="str">
        <f>HYPERLINK("https://ictv.global/taxonomy/taxondetails?taxnode_id=202300491","ictv.global=202300491")</f>
        <v>ictv.global=202300491</v>
      </c>
    </row>
    <row r="4079" spans="1:21">
      <c r="A4079">
        <v>4078</v>
      </c>
      <c r="B4079" s="30" t="s">
        <v>1587</v>
      </c>
      <c r="D4079" s="30" t="s">
        <v>1588</v>
      </c>
      <c r="F4079" s="30" t="s">
        <v>1591</v>
      </c>
      <c r="H4079" s="30" t="s">
        <v>1592</v>
      </c>
      <c r="N4079" s="30" t="s">
        <v>1509</v>
      </c>
      <c r="P4079" s="30" t="s">
        <v>7511</v>
      </c>
      <c r="Q4079" t="s">
        <v>619</v>
      </c>
      <c r="R4079" t="s">
        <v>918</v>
      </c>
      <c r="S4079">
        <v>37</v>
      </c>
      <c r="T4079" s="29" t="str">
        <f t="shared" si="183"/>
        <v>2021.010B.R.Binomial_names.zip</v>
      </c>
      <c r="U4079" s="29" t="str">
        <f>HYPERLINK("https://ictv.global/taxonomy/taxondetails?taxnode_id=202301377","ictv.global=202301377")</f>
        <v>ictv.global=202301377</v>
      </c>
    </row>
    <row r="4080" spans="1:21">
      <c r="A4080">
        <v>4079</v>
      </c>
      <c r="B4080" s="30" t="s">
        <v>1587</v>
      </c>
      <c r="D4080" s="30" t="s">
        <v>1588</v>
      </c>
      <c r="F4080" s="30" t="s">
        <v>1591</v>
      </c>
      <c r="H4080" s="30" t="s">
        <v>1592</v>
      </c>
      <c r="N4080" s="30" t="s">
        <v>2452</v>
      </c>
      <c r="P4080" s="30" t="s">
        <v>7512</v>
      </c>
      <c r="Q4080" t="s">
        <v>619</v>
      </c>
      <c r="R4080" t="s">
        <v>918</v>
      </c>
      <c r="S4080">
        <v>37</v>
      </c>
      <c r="T4080" s="29" t="str">
        <f t="shared" si="183"/>
        <v>2021.010B.R.Binomial_names.zip</v>
      </c>
      <c r="U4080" s="29" t="str">
        <f>HYPERLINK("https://ictv.global/taxonomy/taxondetails?taxnode_id=202310151","ictv.global=202310151")</f>
        <v>ictv.global=202310151</v>
      </c>
    </row>
    <row r="4081" spans="1:21">
      <c r="A4081">
        <v>4080</v>
      </c>
      <c r="B4081" s="30" t="s">
        <v>1587</v>
      </c>
      <c r="D4081" s="30" t="s">
        <v>1588</v>
      </c>
      <c r="F4081" s="30" t="s">
        <v>1591</v>
      </c>
      <c r="H4081" s="30" t="s">
        <v>1592</v>
      </c>
      <c r="N4081" s="30" t="s">
        <v>1426</v>
      </c>
      <c r="P4081" s="30" t="s">
        <v>7513</v>
      </c>
      <c r="Q4081" t="s">
        <v>619</v>
      </c>
      <c r="R4081" t="s">
        <v>918</v>
      </c>
      <c r="S4081">
        <v>37</v>
      </c>
      <c r="T4081" s="29" t="str">
        <f t="shared" si="183"/>
        <v>2021.010B.R.Binomial_names.zip</v>
      </c>
      <c r="U4081" s="29" t="str">
        <f>HYPERLINK("https://ictv.global/taxonomy/taxondetails?taxnode_id=202300654","ictv.global=202300654")</f>
        <v>ictv.global=202300654</v>
      </c>
    </row>
    <row r="4082" spans="1:21">
      <c r="A4082">
        <v>4081</v>
      </c>
      <c r="B4082" s="30" t="s">
        <v>1587</v>
      </c>
      <c r="D4082" s="30" t="s">
        <v>1588</v>
      </c>
      <c r="F4082" s="30" t="s">
        <v>1591</v>
      </c>
      <c r="H4082" s="30" t="s">
        <v>1592</v>
      </c>
      <c r="N4082" s="30" t="s">
        <v>1426</v>
      </c>
      <c r="P4082" s="30" t="s">
        <v>7514</v>
      </c>
      <c r="Q4082" t="s">
        <v>619</v>
      </c>
      <c r="R4082" t="s">
        <v>918</v>
      </c>
      <c r="S4082">
        <v>37</v>
      </c>
      <c r="T4082" s="29" t="str">
        <f t="shared" si="183"/>
        <v>2021.010B.R.Binomial_names.zip</v>
      </c>
      <c r="U4082" s="29" t="str">
        <f>HYPERLINK("https://ictv.global/taxonomy/taxondetails?taxnode_id=202300655","ictv.global=202300655")</f>
        <v>ictv.global=202300655</v>
      </c>
    </row>
    <row r="4083" spans="1:21">
      <c r="A4083">
        <v>4082</v>
      </c>
      <c r="B4083" s="30" t="s">
        <v>1587</v>
      </c>
      <c r="D4083" s="30" t="s">
        <v>1588</v>
      </c>
      <c r="F4083" s="30" t="s">
        <v>1591</v>
      </c>
      <c r="H4083" s="30" t="s">
        <v>1592</v>
      </c>
      <c r="N4083" s="30" t="s">
        <v>1510</v>
      </c>
      <c r="P4083" s="30" t="s">
        <v>7515</v>
      </c>
      <c r="Q4083" t="s">
        <v>619</v>
      </c>
      <c r="R4083" t="s">
        <v>918</v>
      </c>
      <c r="S4083">
        <v>37</v>
      </c>
      <c r="T4083" s="29" t="str">
        <f t="shared" si="183"/>
        <v>2021.010B.R.Binomial_names.zip</v>
      </c>
      <c r="U4083" s="29" t="str">
        <f>HYPERLINK("https://ictv.global/taxonomy/taxondetails?taxnode_id=202306745","ictv.global=202306745")</f>
        <v>ictv.global=202306745</v>
      </c>
    </row>
    <row r="4084" spans="1:21">
      <c r="A4084">
        <v>4083</v>
      </c>
      <c r="B4084" s="30" t="s">
        <v>1587</v>
      </c>
      <c r="D4084" s="30" t="s">
        <v>1588</v>
      </c>
      <c r="F4084" s="30" t="s">
        <v>1591</v>
      </c>
      <c r="H4084" s="30" t="s">
        <v>1592</v>
      </c>
      <c r="N4084" s="30" t="s">
        <v>1510</v>
      </c>
      <c r="P4084" s="30" t="s">
        <v>7516</v>
      </c>
      <c r="Q4084" t="s">
        <v>619</v>
      </c>
      <c r="R4084" t="s">
        <v>918</v>
      </c>
      <c r="S4084">
        <v>37</v>
      </c>
      <c r="T4084" s="29" t="str">
        <f t="shared" si="183"/>
        <v>2021.010B.R.Binomial_names.zip</v>
      </c>
      <c r="U4084" s="29" t="str">
        <f>HYPERLINK("https://ictv.global/taxonomy/taxondetails?taxnode_id=202306744","ictv.global=202306744")</f>
        <v>ictv.global=202306744</v>
      </c>
    </row>
    <row r="4085" spans="1:21">
      <c r="A4085">
        <v>4084</v>
      </c>
      <c r="B4085" s="30" t="s">
        <v>1587</v>
      </c>
      <c r="D4085" s="30" t="s">
        <v>1588</v>
      </c>
      <c r="F4085" s="30" t="s">
        <v>1591</v>
      </c>
      <c r="H4085" s="30" t="s">
        <v>1592</v>
      </c>
      <c r="N4085" s="30" t="s">
        <v>2453</v>
      </c>
      <c r="P4085" s="30" t="s">
        <v>7517</v>
      </c>
      <c r="Q4085" t="s">
        <v>619</v>
      </c>
      <c r="R4085" t="s">
        <v>918</v>
      </c>
      <c r="S4085">
        <v>37</v>
      </c>
      <c r="T4085" s="29" t="str">
        <f t="shared" si="183"/>
        <v>2021.010B.R.Binomial_names.zip</v>
      </c>
      <c r="U4085" s="29" t="str">
        <f>HYPERLINK("https://ictv.global/taxonomy/taxondetails?taxnode_id=202300855","ictv.global=202300855")</f>
        <v>ictv.global=202300855</v>
      </c>
    </row>
    <row r="4086" spans="1:21">
      <c r="A4086">
        <v>4085</v>
      </c>
      <c r="B4086" s="30" t="s">
        <v>1587</v>
      </c>
      <c r="D4086" s="30" t="s">
        <v>1588</v>
      </c>
      <c r="F4086" s="30" t="s">
        <v>1591</v>
      </c>
      <c r="H4086" s="30" t="s">
        <v>1592</v>
      </c>
      <c r="N4086" s="30" t="s">
        <v>872</v>
      </c>
      <c r="P4086" s="30" t="s">
        <v>7518</v>
      </c>
      <c r="Q4086" t="s">
        <v>619</v>
      </c>
      <c r="R4086" t="s">
        <v>918</v>
      </c>
      <c r="S4086">
        <v>37</v>
      </c>
      <c r="T4086" s="29" t="str">
        <f t="shared" si="183"/>
        <v>2021.010B.R.Binomial_names.zip</v>
      </c>
      <c r="U4086" s="29" t="str">
        <f>HYPERLINK("https://ictv.global/taxonomy/taxondetails?taxnode_id=202300999","ictv.global=202300999")</f>
        <v>ictv.global=202300999</v>
      </c>
    </row>
    <row r="4087" spans="1:21">
      <c r="A4087">
        <v>4086</v>
      </c>
      <c r="B4087" s="30" t="s">
        <v>1587</v>
      </c>
      <c r="D4087" s="30" t="s">
        <v>1588</v>
      </c>
      <c r="F4087" s="30" t="s">
        <v>1591</v>
      </c>
      <c r="H4087" s="30" t="s">
        <v>1592</v>
      </c>
      <c r="N4087" s="30" t="s">
        <v>872</v>
      </c>
      <c r="P4087" s="30" t="s">
        <v>7519</v>
      </c>
      <c r="Q4087" t="s">
        <v>619</v>
      </c>
      <c r="R4087" t="s">
        <v>917</v>
      </c>
      <c r="S4087">
        <v>37</v>
      </c>
      <c r="T4087" s="29" t="str">
        <f>HYPERLINK("https://ictv.global/ictv/proposals/2021.044B.R.Korravirus_new_species.zip","2021.044B.R.Korravirus_new_species.zip")</f>
        <v>2021.044B.R.Korravirus_new_species.zip</v>
      </c>
      <c r="U4087" s="29" t="str">
        <f>HYPERLINK("https://ictv.global/taxonomy/taxondetails?taxnode_id=202312368","ictv.global=202312368")</f>
        <v>ictv.global=202312368</v>
      </c>
    </row>
    <row r="4088" spans="1:21">
      <c r="A4088">
        <v>4087</v>
      </c>
      <c r="B4088" s="30" t="s">
        <v>1587</v>
      </c>
      <c r="D4088" s="30" t="s">
        <v>1588</v>
      </c>
      <c r="F4088" s="30" t="s">
        <v>1591</v>
      </c>
      <c r="H4088" s="30" t="s">
        <v>1592</v>
      </c>
      <c r="N4088" s="30" t="s">
        <v>872</v>
      </c>
      <c r="P4088" s="30" t="s">
        <v>7520</v>
      </c>
      <c r="Q4088" t="s">
        <v>619</v>
      </c>
      <c r="R4088" t="s">
        <v>918</v>
      </c>
      <c r="S4088">
        <v>37</v>
      </c>
      <c r="T4088" s="29" t="str">
        <f>HYPERLINK("https://ictv.global/ictv/proposals/2021.010B.R.Binomial_names.zip","2021.010B.R.Binomial_names.zip")</f>
        <v>2021.010B.R.Binomial_names.zip</v>
      </c>
      <c r="U4088" s="29" t="str">
        <f>HYPERLINK("https://ictv.global/taxonomy/taxondetails?taxnode_id=202301000","ictv.global=202301000")</f>
        <v>ictv.global=202301000</v>
      </c>
    </row>
    <row r="4089" spans="1:21">
      <c r="A4089">
        <v>4088</v>
      </c>
      <c r="B4089" s="30" t="s">
        <v>1587</v>
      </c>
      <c r="D4089" s="30" t="s">
        <v>1588</v>
      </c>
      <c r="F4089" s="30" t="s">
        <v>1591</v>
      </c>
      <c r="H4089" s="30" t="s">
        <v>1592</v>
      </c>
      <c r="N4089" s="30" t="s">
        <v>872</v>
      </c>
      <c r="P4089" s="30" t="s">
        <v>7521</v>
      </c>
      <c r="Q4089" t="s">
        <v>619</v>
      </c>
      <c r="R4089" t="s">
        <v>917</v>
      </c>
      <c r="S4089">
        <v>37</v>
      </c>
      <c r="T4089" s="29" t="str">
        <f>HYPERLINK("https://ictv.global/ictv/proposals/2021.044B.R.Korravirus_new_species.zip","2021.044B.R.Korravirus_new_species.zip")</f>
        <v>2021.044B.R.Korravirus_new_species.zip</v>
      </c>
      <c r="U4089" s="29" t="str">
        <f>HYPERLINK("https://ictv.global/taxonomy/taxondetails?taxnode_id=202312369","ictv.global=202312369")</f>
        <v>ictv.global=202312369</v>
      </c>
    </row>
    <row r="4090" spans="1:21">
      <c r="A4090">
        <v>4089</v>
      </c>
      <c r="B4090" s="30" t="s">
        <v>1587</v>
      </c>
      <c r="D4090" s="30" t="s">
        <v>1588</v>
      </c>
      <c r="F4090" s="30" t="s">
        <v>1591</v>
      </c>
      <c r="H4090" s="30" t="s">
        <v>1592</v>
      </c>
      <c r="N4090" s="30" t="s">
        <v>872</v>
      </c>
      <c r="P4090" s="30" t="s">
        <v>7522</v>
      </c>
      <c r="Q4090" t="s">
        <v>619</v>
      </c>
      <c r="R4090" t="s">
        <v>918</v>
      </c>
      <c r="S4090">
        <v>37</v>
      </c>
      <c r="T4090" s="29" t="str">
        <f>HYPERLINK("https://ictv.global/ictv/proposals/2021.010B.R.Binomial_names.zip","2021.010B.R.Binomial_names.zip")</f>
        <v>2021.010B.R.Binomial_names.zip</v>
      </c>
      <c r="U4090" s="29" t="str">
        <f>HYPERLINK("https://ictv.global/taxonomy/taxondetails?taxnode_id=202301001","ictv.global=202301001")</f>
        <v>ictv.global=202301001</v>
      </c>
    </row>
    <row r="4091" spans="1:21">
      <c r="A4091">
        <v>4090</v>
      </c>
      <c r="B4091" s="30" t="s">
        <v>1587</v>
      </c>
      <c r="D4091" s="30" t="s">
        <v>1588</v>
      </c>
      <c r="F4091" s="30" t="s">
        <v>1591</v>
      </c>
      <c r="H4091" s="30" t="s">
        <v>1592</v>
      </c>
      <c r="N4091" s="30" t="s">
        <v>872</v>
      </c>
      <c r="P4091" s="30" t="s">
        <v>7523</v>
      </c>
      <c r="Q4091" t="s">
        <v>619</v>
      </c>
      <c r="R4091" t="s">
        <v>917</v>
      </c>
      <c r="S4091">
        <v>37</v>
      </c>
      <c r="T4091" s="29" t="str">
        <f>HYPERLINK("https://ictv.global/ictv/proposals/2021.044B.R.Korravirus_new_species.zip","2021.044B.R.Korravirus_new_species.zip")</f>
        <v>2021.044B.R.Korravirus_new_species.zip</v>
      </c>
      <c r="U4091" s="29" t="str">
        <f>HYPERLINK("https://ictv.global/taxonomy/taxondetails?taxnode_id=202312370","ictv.global=202312370")</f>
        <v>ictv.global=202312370</v>
      </c>
    </row>
    <row r="4092" spans="1:21">
      <c r="A4092">
        <v>4091</v>
      </c>
      <c r="B4092" s="30" t="s">
        <v>1587</v>
      </c>
      <c r="D4092" s="30" t="s">
        <v>1588</v>
      </c>
      <c r="F4092" s="30" t="s">
        <v>1591</v>
      </c>
      <c r="H4092" s="30" t="s">
        <v>1592</v>
      </c>
      <c r="N4092" s="30" t="s">
        <v>872</v>
      </c>
      <c r="P4092" s="30" t="s">
        <v>7524</v>
      </c>
      <c r="Q4092" t="s">
        <v>619</v>
      </c>
      <c r="R4092" t="s">
        <v>917</v>
      </c>
      <c r="S4092">
        <v>37</v>
      </c>
      <c r="T4092" s="29" t="str">
        <f>HYPERLINK("https://ictv.global/ictv/proposals/2021.044B.R.Korravirus_new_species.zip","2021.044B.R.Korravirus_new_species.zip")</f>
        <v>2021.044B.R.Korravirus_new_species.zip</v>
      </c>
      <c r="U4092" s="29" t="str">
        <f>HYPERLINK("https://ictv.global/taxonomy/taxondetails?taxnode_id=202312371","ictv.global=202312371")</f>
        <v>ictv.global=202312371</v>
      </c>
    </row>
    <row r="4093" spans="1:21">
      <c r="A4093">
        <v>4092</v>
      </c>
      <c r="B4093" s="30" t="s">
        <v>1587</v>
      </c>
      <c r="D4093" s="30" t="s">
        <v>1588</v>
      </c>
      <c r="F4093" s="30" t="s">
        <v>1591</v>
      </c>
      <c r="H4093" s="30" t="s">
        <v>1592</v>
      </c>
      <c r="N4093" s="30" t="s">
        <v>872</v>
      </c>
      <c r="P4093" s="30" t="s">
        <v>7525</v>
      </c>
      <c r="Q4093" t="s">
        <v>619</v>
      </c>
      <c r="R4093" t="s">
        <v>918</v>
      </c>
      <c r="S4093">
        <v>37</v>
      </c>
      <c r="T4093" s="29" t="str">
        <f>HYPERLINK("https://ictv.global/ictv/proposals/2021.010B.R.Binomial_names.zip","2021.010B.R.Binomial_names.zip")</f>
        <v>2021.010B.R.Binomial_names.zip</v>
      </c>
      <c r="U4093" s="29" t="str">
        <f>HYPERLINK("https://ictv.global/taxonomy/taxondetails?taxnode_id=202301002","ictv.global=202301002")</f>
        <v>ictv.global=202301002</v>
      </c>
    </row>
    <row r="4094" spans="1:21">
      <c r="A4094">
        <v>4093</v>
      </c>
      <c r="B4094" s="30" t="s">
        <v>1587</v>
      </c>
      <c r="D4094" s="30" t="s">
        <v>1588</v>
      </c>
      <c r="F4094" s="30" t="s">
        <v>1591</v>
      </c>
      <c r="H4094" s="30" t="s">
        <v>1592</v>
      </c>
      <c r="N4094" s="30" t="s">
        <v>872</v>
      </c>
      <c r="P4094" s="30" t="s">
        <v>7526</v>
      </c>
      <c r="Q4094" t="s">
        <v>619</v>
      </c>
      <c r="R4094" t="s">
        <v>917</v>
      </c>
      <c r="S4094">
        <v>37</v>
      </c>
      <c r="T4094" s="29" t="str">
        <f>HYPERLINK("https://ictv.global/ictv/proposals/2021.044B.R.Korravirus_new_species.zip","2021.044B.R.Korravirus_new_species.zip")</f>
        <v>2021.044B.R.Korravirus_new_species.zip</v>
      </c>
      <c r="U4094" s="29" t="str">
        <f>HYPERLINK("https://ictv.global/taxonomy/taxondetails?taxnode_id=202312372","ictv.global=202312372")</f>
        <v>ictv.global=202312372</v>
      </c>
    </row>
    <row r="4095" spans="1:21">
      <c r="A4095">
        <v>4094</v>
      </c>
      <c r="B4095" s="30" t="s">
        <v>1587</v>
      </c>
      <c r="D4095" s="30" t="s">
        <v>1588</v>
      </c>
      <c r="F4095" s="30" t="s">
        <v>1591</v>
      </c>
      <c r="H4095" s="30" t="s">
        <v>1592</v>
      </c>
      <c r="N4095" s="30" t="s">
        <v>872</v>
      </c>
      <c r="P4095" s="30" t="s">
        <v>7527</v>
      </c>
      <c r="Q4095" t="s">
        <v>619</v>
      </c>
      <c r="R4095" t="s">
        <v>918</v>
      </c>
      <c r="S4095">
        <v>37</v>
      </c>
      <c r="T4095" s="29" t="str">
        <f>HYPERLINK("https://ictv.global/ictv/proposals/2021.010B.R.Binomial_names.zip","2021.010B.R.Binomial_names.zip")</f>
        <v>2021.010B.R.Binomial_names.zip</v>
      </c>
      <c r="U4095" s="29" t="str">
        <f>HYPERLINK("https://ictv.global/taxonomy/taxondetails?taxnode_id=202301003","ictv.global=202301003")</f>
        <v>ictv.global=202301003</v>
      </c>
    </row>
    <row r="4096" spans="1:21">
      <c r="A4096">
        <v>4095</v>
      </c>
      <c r="B4096" s="30" t="s">
        <v>1587</v>
      </c>
      <c r="D4096" s="30" t="s">
        <v>1588</v>
      </c>
      <c r="F4096" s="30" t="s">
        <v>1591</v>
      </c>
      <c r="H4096" s="30" t="s">
        <v>1592</v>
      </c>
      <c r="N4096" s="30" t="s">
        <v>872</v>
      </c>
      <c r="P4096" s="30" t="s">
        <v>7528</v>
      </c>
      <c r="Q4096" t="s">
        <v>619</v>
      </c>
      <c r="R4096" t="s">
        <v>917</v>
      </c>
      <c r="S4096">
        <v>37</v>
      </c>
      <c r="T4096" s="29" t="str">
        <f>HYPERLINK("https://ictv.global/ictv/proposals/2021.044B.R.Korravirus_new_species.zip","2021.044B.R.Korravirus_new_species.zip")</f>
        <v>2021.044B.R.Korravirus_new_species.zip</v>
      </c>
      <c r="U4096" s="29" t="str">
        <f>HYPERLINK("https://ictv.global/taxonomy/taxondetails?taxnode_id=202312373","ictv.global=202312373")</f>
        <v>ictv.global=202312373</v>
      </c>
    </row>
    <row r="4097" spans="1:21">
      <c r="A4097">
        <v>4096</v>
      </c>
      <c r="B4097" s="30" t="s">
        <v>1587</v>
      </c>
      <c r="D4097" s="30" t="s">
        <v>1588</v>
      </c>
      <c r="F4097" s="30" t="s">
        <v>1591</v>
      </c>
      <c r="H4097" s="30" t="s">
        <v>1592</v>
      </c>
      <c r="N4097" s="30" t="s">
        <v>872</v>
      </c>
      <c r="P4097" s="30" t="s">
        <v>7529</v>
      </c>
      <c r="Q4097" t="s">
        <v>619</v>
      </c>
      <c r="R4097" t="s">
        <v>918</v>
      </c>
      <c r="S4097">
        <v>37</v>
      </c>
      <c r="T4097" s="29" t="str">
        <f>HYPERLINK("https://ictv.global/ictv/proposals/2021.010B.R.Binomial_names.zip","2021.010B.R.Binomial_names.zip")</f>
        <v>2021.010B.R.Binomial_names.zip</v>
      </c>
      <c r="U4097" s="29" t="str">
        <f>HYPERLINK("https://ictv.global/taxonomy/taxondetails?taxnode_id=202301004","ictv.global=202301004")</f>
        <v>ictv.global=202301004</v>
      </c>
    </row>
    <row r="4098" spans="1:21">
      <c r="A4098">
        <v>4097</v>
      </c>
      <c r="B4098" s="30" t="s">
        <v>1587</v>
      </c>
      <c r="D4098" s="30" t="s">
        <v>1588</v>
      </c>
      <c r="F4098" s="30" t="s">
        <v>1591</v>
      </c>
      <c r="H4098" s="30" t="s">
        <v>1592</v>
      </c>
      <c r="N4098" s="30" t="s">
        <v>872</v>
      </c>
      <c r="P4098" s="30" t="s">
        <v>7530</v>
      </c>
      <c r="Q4098" t="s">
        <v>619</v>
      </c>
      <c r="R4098" t="s">
        <v>917</v>
      </c>
      <c r="S4098">
        <v>37</v>
      </c>
      <c r="T4098" s="29" t="str">
        <f>HYPERLINK("https://ictv.global/ictv/proposals/2021.044B.R.Korravirus_new_species.zip","2021.044B.R.Korravirus_new_species.zip")</f>
        <v>2021.044B.R.Korravirus_new_species.zip</v>
      </c>
      <c r="U4098" s="29" t="str">
        <f>HYPERLINK("https://ictv.global/taxonomy/taxondetails?taxnode_id=202312374","ictv.global=202312374")</f>
        <v>ictv.global=202312374</v>
      </c>
    </row>
    <row r="4099" spans="1:21">
      <c r="A4099">
        <v>4098</v>
      </c>
      <c r="B4099" s="30" t="s">
        <v>1587</v>
      </c>
      <c r="D4099" s="30" t="s">
        <v>1588</v>
      </c>
      <c r="F4099" s="30" t="s">
        <v>1591</v>
      </c>
      <c r="H4099" s="30" t="s">
        <v>1592</v>
      </c>
      <c r="N4099" s="30" t="s">
        <v>872</v>
      </c>
      <c r="P4099" s="30" t="s">
        <v>7531</v>
      </c>
      <c r="Q4099" t="s">
        <v>619</v>
      </c>
      <c r="R4099" t="s">
        <v>917</v>
      </c>
      <c r="S4099">
        <v>37</v>
      </c>
      <c r="T4099" s="29" t="str">
        <f>HYPERLINK("https://ictv.global/ictv/proposals/2021.044B.R.Korravirus_new_species.zip","2021.044B.R.Korravirus_new_species.zip")</f>
        <v>2021.044B.R.Korravirus_new_species.zip</v>
      </c>
      <c r="U4099" s="29" t="str">
        <f>HYPERLINK("https://ictv.global/taxonomy/taxondetails?taxnode_id=202312375","ictv.global=202312375")</f>
        <v>ictv.global=202312375</v>
      </c>
    </row>
    <row r="4100" spans="1:21">
      <c r="A4100">
        <v>4099</v>
      </c>
      <c r="B4100" s="30" t="s">
        <v>1587</v>
      </c>
      <c r="D4100" s="30" t="s">
        <v>1588</v>
      </c>
      <c r="F4100" s="30" t="s">
        <v>1591</v>
      </c>
      <c r="H4100" s="30" t="s">
        <v>1592</v>
      </c>
      <c r="N4100" s="30" t="s">
        <v>872</v>
      </c>
      <c r="P4100" s="30" t="s">
        <v>7532</v>
      </c>
      <c r="Q4100" t="s">
        <v>619</v>
      </c>
      <c r="R4100" t="s">
        <v>917</v>
      </c>
      <c r="S4100">
        <v>37</v>
      </c>
      <c r="T4100" s="29" t="str">
        <f>HYPERLINK("https://ictv.global/ictv/proposals/2021.044B.R.Korravirus_new_species.zip","2021.044B.R.Korravirus_new_species.zip")</f>
        <v>2021.044B.R.Korravirus_new_species.zip</v>
      </c>
      <c r="U4100" s="29" t="str">
        <f>HYPERLINK("https://ictv.global/taxonomy/taxondetails?taxnode_id=202312376","ictv.global=202312376")</f>
        <v>ictv.global=202312376</v>
      </c>
    </row>
    <row r="4101" spans="1:21">
      <c r="A4101">
        <v>4100</v>
      </c>
      <c r="B4101" s="30" t="s">
        <v>1587</v>
      </c>
      <c r="D4101" s="30" t="s">
        <v>1588</v>
      </c>
      <c r="F4101" s="30" t="s">
        <v>1591</v>
      </c>
      <c r="H4101" s="30" t="s">
        <v>1592</v>
      </c>
      <c r="N4101" s="30" t="s">
        <v>872</v>
      </c>
      <c r="P4101" s="30" t="s">
        <v>7533</v>
      </c>
      <c r="Q4101" t="s">
        <v>619</v>
      </c>
      <c r="R4101" t="s">
        <v>917</v>
      </c>
      <c r="S4101">
        <v>37</v>
      </c>
      <c r="T4101" s="29" t="str">
        <f>HYPERLINK("https://ictv.global/ictv/proposals/2021.044B.R.Korravirus_new_species.zip","2021.044B.R.Korravirus_new_species.zip")</f>
        <v>2021.044B.R.Korravirus_new_species.zip</v>
      </c>
      <c r="U4101" s="29" t="str">
        <f>HYPERLINK("https://ictv.global/taxonomy/taxondetails?taxnode_id=202312377","ictv.global=202312377")</f>
        <v>ictv.global=202312377</v>
      </c>
    </row>
    <row r="4102" spans="1:21">
      <c r="A4102">
        <v>4101</v>
      </c>
      <c r="B4102" s="30" t="s">
        <v>1587</v>
      </c>
      <c r="D4102" s="30" t="s">
        <v>1588</v>
      </c>
      <c r="F4102" s="30" t="s">
        <v>1591</v>
      </c>
      <c r="H4102" s="30" t="s">
        <v>1592</v>
      </c>
      <c r="N4102" s="30" t="s">
        <v>872</v>
      </c>
      <c r="P4102" s="30" t="s">
        <v>7534</v>
      </c>
      <c r="Q4102" t="s">
        <v>619</v>
      </c>
      <c r="R4102" t="s">
        <v>918</v>
      </c>
      <c r="S4102">
        <v>37</v>
      </c>
      <c r="T4102" s="29" t="str">
        <f>HYPERLINK("https://ictv.global/ictv/proposals/2021.010B.R.Binomial_names.zip","2021.010B.R.Binomial_names.zip")</f>
        <v>2021.010B.R.Binomial_names.zip</v>
      </c>
      <c r="U4102" s="29" t="str">
        <f>HYPERLINK("https://ictv.global/taxonomy/taxondetails?taxnode_id=202301005","ictv.global=202301005")</f>
        <v>ictv.global=202301005</v>
      </c>
    </row>
    <row r="4103" spans="1:21">
      <c r="A4103">
        <v>4102</v>
      </c>
      <c r="B4103" s="30" t="s">
        <v>1587</v>
      </c>
      <c r="D4103" s="30" t="s">
        <v>1588</v>
      </c>
      <c r="F4103" s="30" t="s">
        <v>1591</v>
      </c>
      <c r="H4103" s="30" t="s">
        <v>1592</v>
      </c>
      <c r="N4103" s="30" t="s">
        <v>872</v>
      </c>
      <c r="P4103" s="30" t="s">
        <v>7535</v>
      </c>
      <c r="Q4103" t="s">
        <v>619</v>
      </c>
      <c r="R4103" t="s">
        <v>918</v>
      </c>
      <c r="S4103">
        <v>37</v>
      </c>
      <c r="T4103" s="29" t="str">
        <f>HYPERLINK("https://ictv.global/ictv/proposals/2021.010B.R.Binomial_names.zip","2021.010B.R.Binomial_names.zip")</f>
        <v>2021.010B.R.Binomial_names.zip</v>
      </c>
      <c r="U4103" s="29" t="str">
        <f>HYPERLINK("https://ictv.global/taxonomy/taxondetails?taxnode_id=202301006","ictv.global=202301006")</f>
        <v>ictv.global=202301006</v>
      </c>
    </row>
    <row r="4104" spans="1:21">
      <c r="A4104">
        <v>4103</v>
      </c>
      <c r="B4104" s="30" t="s">
        <v>1587</v>
      </c>
      <c r="D4104" s="30" t="s">
        <v>1588</v>
      </c>
      <c r="F4104" s="30" t="s">
        <v>1591</v>
      </c>
      <c r="H4104" s="30" t="s">
        <v>1592</v>
      </c>
      <c r="N4104" s="30" t="s">
        <v>872</v>
      </c>
      <c r="P4104" s="30" t="s">
        <v>7536</v>
      </c>
      <c r="Q4104" t="s">
        <v>619</v>
      </c>
      <c r="R4104" t="s">
        <v>917</v>
      </c>
      <c r="S4104">
        <v>37</v>
      </c>
      <c r="T4104" s="29" t="str">
        <f>HYPERLINK("https://ictv.global/ictv/proposals/2021.044B.R.Korravirus_new_species.zip","2021.044B.R.Korravirus_new_species.zip")</f>
        <v>2021.044B.R.Korravirus_new_species.zip</v>
      </c>
      <c r="U4104" s="29" t="str">
        <f>HYPERLINK("https://ictv.global/taxonomy/taxondetails?taxnode_id=202312378","ictv.global=202312378")</f>
        <v>ictv.global=202312378</v>
      </c>
    </row>
    <row r="4105" spans="1:21">
      <c r="A4105">
        <v>4104</v>
      </c>
      <c r="B4105" s="30" t="s">
        <v>1587</v>
      </c>
      <c r="D4105" s="30" t="s">
        <v>1588</v>
      </c>
      <c r="F4105" s="30" t="s">
        <v>1591</v>
      </c>
      <c r="H4105" s="30" t="s">
        <v>1592</v>
      </c>
      <c r="N4105" s="30" t="s">
        <v>872</v>
      </c>
      <c r="P4105" s="30" t="s">
        <v>7537</v>
      </c>
      <c r="Q4105" t="s">
        <v>619</v>
      </c>
      <c r="R4105" t="s">
        <v>917</v>
      </c>
      <c r="S4105">
        <v>37</v>
      </c>
      <c r="T4105" s="29" t="str">
        <f>HYPERLINK("https://ictv.global/ictv/proposals/2021.044B.R.Korravirus_new_species.zip","2021.044B.R.Korravirus_new_species.zip")</f>
        <v>2021.044B.R.Korravirus_new_species.zip</v>
      </c>
      <c r="U4105" s="29" t="str">
        <f>HYPERLINK("https://ictv.global/taxonomy/taxondetails?taxnode_id=202312379","ictv.global=202312379")</f>
        <v>ictv.global=202312379</v>
      </c>
    </row>
    <row r="4106" spans="1:21">
      <c r="A4106">
        <v>4105</v>
      </c>
      <c r="B4106" s="30" t="s">
        <v>1587</v>
      </c>
      <c r="D4106" s="30" t="s">
        <v>1588</v>
      </c>
      <c r="F4106" s="30" t="s">
        <v>1591</v>
      </c>
      <c r="H4106" s="30" t="s">
        <v>1592</v>
      </c>
      <c r="N4106" s="30" t="s">
        <v>872</v>
      </c>
      <c r="P4106" s="30" t="s">
        <v>7538</v>
      </c>
      <c r="Q4106" t="s">
        <v>619</v>
      </c>
      <c r="R4106" t="s">
        <v>917</v>
      </c>
      <c r="S4106">
        <v>37</v>
      </c>
      <c r="T4106" s="29" t="str">
        <f>HYPERLINK("https://ictv.global/ictv/proposals/2021.044B.R.Korravirus_new_species.zip","2021.044B.R.Korravirus_new_species.zip")</f>
        <v>2021.044B.R.Korravirus_new_species.zip</v>
      </c>
      <c r="U4106" s="29" t="str">
        <f>HYPERLINK("https://ictv.global/taxonomy/taxondetails?taxnode_id=202312380","ictv.global=202312380")</f>
        <v>ictv.global=202312380</v>
      </c>
    </row>
    <row r="4107" spans="1:21">
      <c r="A4107">
        <v>4106</v>
      </c>
      <c r="B4107" s="30" t="s">
        <v>1587</v>
      </c>
      <c r="D4107" s="30" t="s">
        <v>1588</v>
      </c>
      <c r="F4107" s="30" t="s">
        <v>1591</v>
      </c>
      <c r="H4107" s="30" t="s">
        <v>1592</v>
      </c>
      <c r="N4107" s="30" t="s">
        <v>872</v>
      </c>
      <c r="P4107" s="30" t="s">
        <v>7539</v>
      </c>
      <c r="Q4107" t="s">
        <v>619</v>
      </c>
      <c r="R4107" t="s">
        <v>918</v>
      </c>
      <c r="S4107">
        <v>37</v>
      </c>
      <c r="T4107" s="29" t="str">
        <f t="shared" ref="T4107:T4117" si="184">HYPERLINK("https://ictv.global/ictv/proposals/2021.010B.R.Binomial_names.zip","2021.010B.R.Binomial_names.zip")</f>
        <v>2021.010B.R.Binomial_names.zip</v>
      </c>
      <c r="U4107" s="29" t="str">
        <f>HYPERLINK("https://ictv.global/taxonomy/taxondetails?taxnode_id=202301007","ictv.global=202301007")</f>
        <v>ictv.global=202301007</v>
      </c>
    </row>
    <row r="4108" spans="1:21">
      <c r="A4108">
        <v>4107</v>
      </c>
      <c r="B4108" s="30" t="s">
        <v>1587</v>
      </c>
      <c r="D4108" s="30" t="s">
        <v>1588</v>
      </c>
      <c r="F4108" s="30" t="s">
        <v>1591</v>
      </c>
      <c r="H4108" s="30" t="s">
        <v>1592</v>
      </c>
      <c r="N4108" s="30" t="s">
        <v>1511</v>
      </c>
      <c r="P4108" s="30" t="s">
        <v>7540</v>
      </c>
      <c r="Q4108" t="s">
        <v>619</v>
      </c>
      <c r="R4108" t="s">
        <v>918</v>
      </c>
      <c r="S4108">
        <v>37</v>
      </c>
      <c r="T4108" s="29" t="str">
        <f t="shared" si="184"/>
        <v>2021.010B.R.Binomial_names.zip</v>
      </c>
      <c r="U4108" s="29" t="str">
        <f>HYPERLINK("https://ictv.global/taxonomy/taxondetails?taxnode_id=202300931","ictv.global=202300931")</f>
        <v>ictv.global=202300931</v>
      </c>
    </row>
    <row r="4109" spans="1:21">
      <c r="A4109">
        <v>4108</v>
      </c>
      <c r="B4109" s="30" t="s">
        <v>1587</v>
      </c>
      <c r="D4109" s="30" t="s">
        <v>1588</v>
      </c>
      <c r="F4109" s="30" t="s">
        <v>1591</v>
      </c>
      <c r="H4109" s="30" t="s">
        <v>1592</v>
      </c>
      <c r="N4109" s="30" t="s">
        <v>1511</v>
      </c>
      <c r="P4109" s="30" t="s">
        <v>7541</v>
      </c>
      <c r="Q4109" t="s">
        <v>619</v>
      </c>
      <c r="R4109" t="s">
        <v>918</v>
      </c>
      <c r="S4109">
        <v>37</v>
      </c>
      <c r="T4109" s="29" t="str">
        <f t="shared" si="184"/>
        <v>2021.010B.R.Binomial_names.zip</v>
      </c>
      <c r="U4109" s="29" t="str">
        <f>HYPERLINK("https://ictv.global/taxonomy/taxondetails?taxnode_id=202300932","ictv.global=202300932")</f>
        <v>ictv.global=202300932</v>
      </c>
    </row>
    <row r="4110" spans="1:21">
      <c r="A4110">
        <v>4109</v>
      </c>
      <c r="B4110" s="30" t="s">
        <v>1587</v>
      </c>
      <c r="D4110" s="30" t="s">
        <v>1588</v>
      </c>
      <c r="F4110" s="30" t="s">
        <v>1591</v>
      </c>
      <c r="H4110" s="30" t="s">
        <v>1592</v>
      </c>
      <c r="N4110" s="30" t="s">
        <v>1511</v>
      </c>
      <c r="P4110" s="30" t="s">
        <v>7542</v>
      </c>
      <c r="Q4110" t="s">
        <v>619</v>
      </c>
      <c r="R4110" t="s">
        <v>918</v>
      </c>
      <c r="S4110">
        <v>37</v>
      </c>
      <c r="T4110" s="29" t="str">
        <f t="shared" si="184"/>
        <v>2021.010B.R.Binomial_names.zip</v>
      </c>
      <c r="U4110" s="29" t="str">
        <f>HYPERLINK("https://ictv.global/taxonomy/taxondetails?taxnode_id=202300933","ictv.global=202300933")</f>
        <v>ictv.global=202300933</v>
      </c>
    </row>
    <row r="4111" spans="1:21">
      <c r="A4111">
        <v>4110</v>
      </c>
      <c r="B4111" s="30" t="s">
        <v>1587</v>
      </c>
      <c r="D4111" s="30" t="s">
        <v>1588</v>
      </c>
      <c r="F4111" s="30" t="s">
        <v>1591</v>
      </c>
      <c r="H4111" s="30" t="s">
        <v>1592</v>
      </c>
      <c r="N4111" s="30" t="s">
        <v>1511</v>
      </c>
      <c r="P4111" s="30" t="s">
        <v>7543</v>
      </c>
      <c r="Q4111" t="s">
        <v>619</v>
      </c>
      <c r="R4111" t="s">
        <v>918</v>
      </c>
      <c r="S4111">
        <v>37</v>
      </c>
      <c r="T4111" s="29" t="str">
        <f t="shared" si="184"/>
        <v>2021.010B.R.Binomial_names.zip</v>
      </c>
      <c r="U4111" s="29" t="str">
        <f>HYPERLINK("https://ictv.global/taxonomy/taxondetails?taxnode_id=202300934","ictv.global=202300934")</f>
        <v>ictv.global=202300934</v>
      </c>
    </row>
    <row r="4112" spans="1:21">
      <c r="A4112">
        <v>4111</v>
      </c>
      <c r="B4112" s="30" t="s">
        <v>1587</v>
      </c>
      <c r="D4112" s="30" t="s">
        <v>1588</v>
      </c>
      <c r="F4112" s="30" t="s">
        <v>1591</v>
      </c>
      <c r="H4112" s="30" t="s">
        <v>1592</v>
      </c>
      <c r="N4112" s="30" t="s">
        <v>1511</v>
      </c>
      <c r="P4112" s="30" t="s">
        <v>7544</v>
      </c>
      <c r="Q4112" t="s">
        <v>619</v>
      </c>
      <c r="R4112" t="s">
        <v>918</v>
      </c>
      <c r="S4112">
        <v>37</v>
      </c>
      <c r="T4112" s="29" t="str">
        <f t="shared" si="184"/>
        <v>2021.010B.R.Binomial_names.zip</v>
      </c>
      <c r="U4112" s="29" t="str">
        <f>HYPERLINK("https://ictv.global/taxonomy/taxondetails?taxnode_id=202300930","ictv.global=202300930")</f>
        <v>ictv.global=202300930</v>
      </c>
    </row>
    <row r="4113" spans="1:21">
      <c r="A4113">
        <v>4112</v>
      </c>
      <c r="B4113" s="30" t="s">
        <v>1587</v>
      </c>
      <c r="D4113" s="30" t="s">
        <v>1588</v>
      </c>
      <c r="F4113" s="30" t="s">
        <v>1591</v>
      </c>
      <c r="H4113" s="30" t="s">
        <v>1592</v>
      </c>
      <c r="N4113" s="30" t="s">
        <v>1511</v>
      </c>
      <c r="P4113" s="30" t="s">
        <v>7545</v>
      </c>
      <c r="Q4113" t="s">
        <v>619</v>
      </c>
      <c r="R4113" t="s">
        <v>918</v>
      </c>
      <c r="S4113">
        <v>37</v>
      </c>
      <c r="T4113" s="29" t="str">
        <f t="shared" si="184"/>
        <v>2021.010B.R.Binomial_names.zip</v>
      </c>
      <c r="U4113" s="29" t="str">
        <f>HYPERLINK("https://ictv.global/taxonomy/taxondetails?taxnode_id=202300935","ictv.global=202300935")</f>
        <v>ictv.global=202300935</v>
      </c>
    </row>
    <row r="4114" spans="1:21">
      <c r="A4114">
        <v>4113</v>
      </c>
      <c r="B4114" s="30" t="s">
        <v>1587</v>
      </c>
      <c r="D4114" s="30" t="s">
        <v>1588</v>
      </c>
      <c r="F4114" s="30" t="s">
        <v>1591</v>
      </c>
      <c r="H4114" s="30" t="s">
        <v>1592</v>
      </c>
      <c r="N4114" s="30" t="s">
        <v>1511</v>
      </c>
      <c r="P4114" s="30" t="s">
        <v>7546</v>
      </c>
      <c r="Q4114" t="s">
        <v>619</v>
      </c>
      <c r="R4114" t="s">
        <v>918</v>
      </c>
      <c r="S4114">
        <v>37</v>
      </c>
      <c r="T4114" s="29" t="str">
        <f t="shared" si="184"/>
        <v>2021.010B.R.Binomial_names.zip</v>
      </c>
      <c r="U4114" s="29" t="str">
        <f>HYPERLINK("https://ictv.global/taxonomy/taxondetails?taxnode_id=202300936","ictv.global=202300936")</f>
        <v>ictv.global=202300936</v>
      </c>
    </row>
    <row r="4115" spans="1:21">
      <c r="A4115">
        <v>4114</v>
      </c>
      <c r="B4115" s="30" t="s">
        <v>1587</v>
      </c>
      <c r="D4115" s="30" t="s">
        <v>1588</v>
      </c>
      <c r="F4115" s="30" t="s">
        <v>1591</v>
      </c>
      <c r="H4115" s="30" t="s">
        <v>1592</v>
      </c>
      <c r="N4115" s="30" t="s">
        <v>1511</v>
      </c>
      <c r="P4115" s="30" t="s">
        <v>7547</v>
      </c>
      <c r="Q4115" t="s">
        <v>619</v>
      </c>
      <c r="R4115" t="s">
        <v>918</v>
      </c>
      <c r="S4115">
        <v>37</v>
      </c>
      <c r="T4115" s="29" t="str">
        <f t="shared" si="184"/>
        <v>2021.010B.R.Binomial_names.zip</v>
      </c>
      <c r="U4115" s="29" t="str">
        <f>HYPERLINK("https://ictv.global/taxonomy/taxondetails?taxnode_id=202300937","ictv.global=202300937")</f>
        <v>ictv.global=202300937</v>
      </c>
    </row>
    <row r="4116" spans="1:21">
      <c r="A4116">
        <v>4115</v>
      </c>
      <c r="B4116" s="30" t="s">
        <v>1587</v>
      </c>
      <c r="D4116" s="30" t="s">
        <v>1588</v>
      </c>
      <c r="F4116" s="30" t="s">
        <v>1591</v>
      </c>
      <c r="H4116" s="30" t="s">
        <v>1592</v>
      </c>
      <c r="N4116" s="30" t="s">
        <v>1511</v>
      </c>
      <c r="P4116" s="30" t="s">
        <v>7548</v>
      </c>
      <c r="Q4116" t="s">
        <v>619</v>
      </c>
      <c r="R4116" t="s">
        <v>918</v>
      </c>
      <c r="S4116">
        <v>37</v>
      </c>
      <c r="T4116" s="29" t="str">
        <f t="shared" si="184"/>
        <v>2021.010B.R.Binomial_names.zip</v>
      </c>
      <c r="U4116" s="29" t="str">
        <f>HYPERLINK("https://ictv.global/taxonomy/taxondetails?taxnode_id=202300938","ictv.global=202300938")</f>
        <v>ictv.global=202300938</v>
      </c>
    </row>
    <row r="4117" spans="1:21">
      <c r="A4117">
        <v>4116</v>
      </c>
      <c r="B4117" s="30" t="s">
        <v>1587</v>
      </c>
      <c r="D4117" s="30" t="s">
        <v>1588</v>
      </c>
      <c r="F4117" s="30" t="s">
        <v>1591</v>
      </c>
      <c r="H4117" s="30" t="s">
        <v>1592</v>
      </c>
      <c r="N4117" s="30" t="s">
        <v>1912</v>
      </c>
      <c r="P4117" s="30" t="s">
        <v>7550</v>
      </c>
      <c r="Q4117" t="s">
        <v>619</v>
      </c>
      <c r="R4117" t="s">
        <v>918</v>
      </c>
      <c r="S4117">
        <v>37</v>
      </c>
      <c r="T4117" s="29" t="str">
        <f t="shared" si="184"/>
        <v>2021.010B.R.Binomial_names.zip</v>
      </c>
      <c r="U4117" s="29" t="str">
        <f>HYPERLINK("https://ictv.global/taxonomy/taxondetails?taxnode_id=202307430","ictv.global=202307430")</f>
        <v>ictv.global=202307430</v>
      </c>
    </row>
    <row r="4118" spans="1:21">
      <c r="A4118">
        <v>4117</v>
      </c>
      <c r="B4118" s="30" t="s">
        <v>1587</v>
      </c>
      <c r="D4118" s="30" t="s">
        <v>1588</v>
      </c>
      <c r="F4118" s="30" t="s">
        <v>1591</v>
      </c>
      <c r="H4118" s="30" t="s">
        <v>1592</v>
      </c>
      <c r="N4118" s="30" t="s">
        <v>12654</v>
      </c>
      <c r="P4118" s="30" t="s">
        <v>12655</v>
      </c>
      <c r="Q4118" t="s">
        <v>619</v>
      </c>
      <c r="R4118" t="s">
        <v>917</v>
      </c>
      <c r="S4118">
        <v>39</v>
      </c>
      <c r="T4118" s="29" t="str">
        <f>HYPERLINK("https://ictv.global/ictv/proposals/2023.003B.Actinobacteriophage_singletons_25ng.zip","2023.003B.Actinobacteriophage_singletons_25ng.zip")</f>
        <v>2023.003B.Actinobacteriophage_singletons_25ng.zip</v>
      </c>
      <c r="U4118" s="29" t="str">
        <f>HYPERLINK("https://ictv.global/taxonomy/taxondetails?taxnode_id=202317760","ictv.global=202317760")</f>
        <v>ictv.global=202317760</v>
      </c>
    </row>
    <row r="4119" spans="1:21">
      <c r="A4119">
        <v>4118</v>
      </c>
      <c r="B4119" s="30" t="s">
        <v>1587</v>
      </c>
      <c r="D4119" s="30" t="s">
        <v>1588</v>
      </c>
      <c r="F4119" s="30" t="s">
        <v>1591</v>
      </c>
      <c r="H4119" s="30" t="s">
        <v>1592</v>
      </c>
      <c r="N4119" s="30" t="s">
        <v>7551</v>
      </c>
      <c r="P4119" s="30" t="s">
        <v>7552</v>
      </c>
      <c r="Q4119" t="s">
        <v>619</v>
      </c>
      <c r="R4119" t="s">
        <v>917</v>
      </c>
      <c r="S4119">
        <v>37</v>
      </c>
      <c r="T4119" s="29" t="str">
        <f t="shared" ref="T4119:T4126" si="185">HYPERLINK("https://ictv.global/ictv/proposals/2021.045B.R.Kroosvirus.zip","2021.045B.R.Kroosvirus.zip")</f>
        <v>2021.045B.R.Kroosvirus.zip</v>
      </c>
      <c r="U4119" s="29" t="str">
        <f>HYPERLINK("https://ictv.global/taxonomy/taxondetails?taxnode_id=202312385","ictv.global=202312385")</f>
        <v>ictv.global=202312385</v>
      </c>
    </row>
    <row r="4120" spans="1:21">
      <c r="A4120">
        <v>4119</v>
      </c>
      <c r="B4120" s="30" t="s">
        <v>1587</v>
      </c>
      <c r="D4120" s="30" t="s">
        <v>1588</v>
      </c>
      <c r="F4120" s="30" t="s">
        <v>1591</v>
      </c>
      <c r="H4120" s="30" t="s">
        <v>1592</v>
      </c>
      <c r="N4120" s="30" t="s">
        <v>7551</v>
      </c>
      <c r="P4120" s="30" t="s">
        <v>7553</v>
      </c>
      <c r="Q4120" t="s">
        <v>619</v>
      </c>
      <c r="R4120" t="s">
        <v>917</v>
      </c>
      <c r="S4120">
        <v>37</v>
      </c>
      <c r="T4120" s="29" t="str">
        <f t="shared" si="185"/>
        <v>2021.045B.R.Kroosvirus.zip</v>
      </c>
      <c r="U4120" s="29" t="str">
        <f>HYPERLINK("https://ictv.global/taxonomy/taxondetails?taxnode_id=202312387","ictv.global=202312387")</f>
        <v>ictv.global=202312387</v>
      </c>
    </row>
    <row r="4121" spans="1:21">
      <c r="A4121">
        <v>4120</v>
      </c>
      <c r="B4121" s="30" t="s">
        <v>1587</v>
      </c>
      <c r="D4121" s="30" t="s">
        <v>1588</v>
      </c>
      <c r="F4121" s="30" t="s">
        <v>1591</v>
      </c>
      <c r="H4121" s="30" t="s">
        <v>1592</v>
      </c>
      <c r="N4121" s="30" t="s">
        <v>7551</v>
      </c>
      <c r="P4121" s="30" t="s">
        <v>7554</v>
      </c>
      <c r="Q4121" t="s">
        <v>619</v>
      </c>
      <c r="R4121" t="s">
        <v>917</v>
      </c>
      <c r="S4121">
        <v>37</v>
      </c>
      <c r="T4121" s="29" t="str">
        <f t="shared" si="185"/>
        <v>2021.045B.R.Kroosvirus.zip</v>
      </c>
      <c r="U4121" s="29" t="str">
        <f>HYPERLINK("https://ictv.global/taxonomy/taxondetails?taxnode_id=202312386","ictv.global=202312386")</f>
        <v>ictv.global=202312386</v>
      </c>
    </row>
    <row r="4122" spans="1:21">
      <c r="A4122">
        <v>4121</v>
      </c>
      <c r="B4122" s="30" t="s">
        <v>1587</v>
      </c>
      <c r="D4122" s="30" t="s">
        <v>1588</v>
      </c>
      <c r="F4122" s="30" t="s">
        <v>1591</v>
      </c>
      <c r="H4122" s="30" t="s">
        <v>1592</v>
      </c>
      <c r="N4122" s="30" t="s">
        <v>7551</v>
      </c>
      <c r="P4122" s="30" t="s">
        <v>7555</v>
      </c>
      <c r="Q4122" t="s">
        <v>619</v>
      </c>
      <c r="R4122" t="s">
        <v>917</v>
      </c>
      <c r="S4122">
        <v>37</v>
      </c>
      <c r="T4122" s="29" t="str">
        <f t="shared" si="185"/>
        <v>2021.045B.R.Kroosvirus.zip</v>
      </c>
      <c r="U4122" s="29" t="str">
        <f>HYPERLINK("https://ictv.global/taxonomy/taxondetails?taxnode_id=202312383","ictv.global=202312383")</f>
        <v>ictv.global=202312383</v>
      </c>
    </row>
    <row r="4123" spans="1:21">
      <c r="A4123">
        <v>4122</v>
      </c>
      <c r="B4123" s="30" t="s">
        <v>1587</v>
      </c>
      <c r="D4123" s="30" t="s">
        <v>1588</v>
      </c>
      <c r="F4123" s="30" t="s">
        <v>1591</v>
      </c>
      <c r="H4123" s="30" t="s">
        <v>1592</v>
      </c>
      <c r="N4123" s="30" t="s">
        <v>7551</v>
      </c>
      <c r="P4123" s="30" t="s">
        <v>7556</v>
      </c>
      <c r="Q4123" t="s">
        <v>619</v>
      </c>
      <c r="R4123" t="s">
        <v>917</v>
      </c>
      <c r="S4123">
        <v>37</v>
      </c>
      <c r="T4123" s="29" t="str">
        <f t="shared" si="185"/>
        <v>2021.045B.R.Kroosvirus.zip</v>
      </c>
      <c r="U4123" s="29" t="str">
        <f>HYPERLINK("https://ictv.global/taxonomy/taxondetails?taxnode_id=202312382","ictv.global=202312382")</f>
        <v>ictv.global=202312382</v>
      </c>
    </row>
    <row r="4124" spans="1:21">
      <c r="A4124">
        <v>4123</v>
      </c>
      <c r="B4124" s="30" t="s">
        <v>1587</v>
      </c>
      <c r="D4124" s="30" t="s">
        <v>1588</v>
      </c>
      <c r="F4124" s="30" t="s">
        <v>1591</v>
      </c>
      <c r="H4124" s="30" t="s">
        <v>1592</v>
      </c>
      <c r="N4124" s="30" t="s">
        <v>7551</v>
      </c>
      <c r="P4124" s="30" t="s">
        <v>7557</v>
      </c>
      <c r="Q4124" t="s">
        <v>619</v>
      </c>
      <c r="R4124" t="s">
        <v>917</v>
      </c>
      <c r="S4124">
        <v>37</v>
      </c>
      <c r="T4124" s="29" t="str">
        <f t="shared" si="185"/>
        <v>2021.045B.R.Kroosvirus.zip</v>
      </c>
      <c r="U4124" s="29" t="str">
        <f>HYPERLINK("https://ictv.global/taxonomy/taxondetails?taxnode_id=202312389","ictv.global=202312389")</f>
        <v>ictv.global=202312389</v>
      </c>
    </row>
    <row r="4125" spans="1:21">
      <c r="A4125">
        <v>4124</v>
      </c>
      <c r="B4125" s="30" t="s">
        <v>1587</v>
      </c>
      <c r="D4125" s="30" t="s">
        <v>1588</v>
      </c>
      <c r="F4125" s="30" t="s">
        <v>1591</v>
      </c>
      <c r="H4125" s="30" t="s">
        <v>1592</v>
      </c>
      <c r="N4125" s="30" t="s">
        <v>7551</v>
      </c>
      <c r="P4125" s="30" t="s">
        <v>7558</v>
      </c>
      <c r="Q4125" t="s">
        <v>619</v>
      </c>
      <c r="R4125" t="s">
        <v>917</v>
      </c>
      <c r="S4125">
        <v>37</v>
      </c>
      <c r="T4125" s="29" t="str">
        <f t="shared" si="185"/>
        <v>2021.045B.R.Kroosvirus.zip</v>
      </c>
      <c r="U4125" s="29" t="str">
        <f>HYPERLINK("https://ictv.global/taxonomy/taxondetails?taxnode_id=202312388","ictv.global=202312388")</f>
        <v>ictv.global=202312388</v>
      </c>
    </row>
    <row r="4126" spans="1:21">
      <c r="A4126">
        <v>4125</v>
      </c>
      <c r="B4126" s="30" t="s">
        <v>1587</v>
      </c>
      <c r="D4126" s="30" t="s">
        <v>1588</v>
      </c>
      <c r="F4126" s="30" t="s">
        <v>1591</v>
      </c>
      <c r="H4126" s="30" t="s">
        <v>1592</v>
      </c>
      <c r="N4126" s="30" t="s">
        <v>7551</v>
      </c>
      <c r="P4126" s="30" t="s">
        <v>7559</v>
      </c>
      <c r="Q4126" t="s">
        <v>619</v>
      </c>
      <c r="R4126" t="s">
        <v>917</v>
      </c>
      <c r="S4126">
        <v>37</v>
      </c>
      <c r="T4126" s="29" t="str">
        <f t="shared" si="185"/>
        <v>2021.045B.R.Kroosvirus.zip</v>
      </c>
      <c r="U4126" s="29" t="str">
        <f>HYPERLINK("https://ictv.global/taxonomy/taxondetails?taxnode_id=202312384","ictv.global=202312384")</f>
        <v>ictv.global=202312384</v>
      </c>
    </row>
    <row r="4127" spans="1:21">
      <c r="A4127">
        <v>4126</v>
      </c>
      <c r="B4127" s="30" t="s">
        <v>1587</v>
      </c>
      <c r="D4127" s="30" t="s">
        <v>1588</v>
      </c>
      <c r="F4127" s="30" t="s">
        <v>1591</v>
      </c>
      <c r="H4127" s="30" t="s">
        <v>1592</v>
      </c>
      <c r="N4127" s="30" t="s">
        <v>1427</v>
      </c>
      <c r="P4127" s="30" t="s">
        <v>7560</v>
      </c>
      <c r="Q4127" t="s">
        <v>619</v>
      </c>
      <c r="R4127" t="s">
        <v>918</v>
      </c>
      <c r="S4127">
        <v>37</v>
      </c>
      <c r="T4127" s="29" t="str">
        <f>HYPERLINK("https://ictv.global/ictv/proposals/2021.010B.R.Binomial_names.zip","2021.010B.R.Binomial_names.zip")</f>
        <v>2021.010B.R.Binomial_names.zip</v>
      </c>
      <c r="U4127" s="29" t="str">
        <f>HYPERLINK("https://ictv.global/taxonomy/taxondetails?taxnode_id=202306843","ictv.global=202306843")</f>
        <v>ictv.global=202306843</v>
      </c>
    </row>
    <row r="4128" spans="1:21">
      <c r="A4128">
        <v>4127</v>
      </c>
      <c r="B4128" s="30" t="s">
        <v>1587</v>
      </c>
      <c r="D4128" s="30" t="s">
        <v>1588</v>
      </c>
      <c r="F4128" s="30" t="s">
        <v>1591</v>
      </c>
      <c r="H4128" s="30" t="s">
        <v>1592</v>
      </c>
      <c r="N4128" s="30" t="s">
        <v>1512</v>
      </c>
      <c r="P4128" s="30" t="s">
        <v>7561</v>
      </c>
      <c r="Q4128" t="s">
        <v>619</v>
      </c>
      <c r="R4128" t="s">
        <v>918</v>
      </c>
      <c r="S4128">
        <v>37</v>
      </c>
      <c r="T4128" s="29" t="str">
        <f>HYPERLINK("https://ictv.global/ictv/proposals/2021.010B.R.Binomial_names.zip","2021.010B.R.Binomial_names.zip")</f>
        <v>2021.010B.R.Binomial_names.zip</v>
      </c>
      <c r="U4128" s="29" t="str">
        <f>HYPERLINK("https://ictv.global/taxonomy/taxondetails?taxnode_id=202306845","ictv.global=202306845")</f>
        <v>ictv.global=202306845</v>
      </c>
    </row>
    <row r="4129" spans="1:21">
      <c r="A4129">
        <v>4128</v>
      </c>
      <c r="B4129" s="30" t="s">
        <v>1587</v>
      </c>
      <c r="D4129" s="30" t="s">
        <v>1588</v>
      </c>
      <c r="F4129" s="30" t="s">
        <v>1591</v>
      </c>
      <c r="H4129" s="30" t="s">
        <v>1592</v>
      </c>
      <c r="N4129" s="30" t="s">
        <v>1512</v>
      </c>
      <c r="P4129" s="30" t="s">
        <v>7562</v>
      </c>
      <c r="Q4129" t="s">
        <v>619</v>
      </c>
      <c r="R4129" t="s">
        <v>918</v>
      </c>
      <c r="S4129">
        <v>37</v>
      </c>
      <c r="T4129" s="29" t="str">
        <f>HYPERLINK("https://ictv.global/ictv/proposals/2021.010B.R.Binomial_names.zip","2021.010B.R.Binomial_names.zip")</f>
        <v>2021.010B.R.Binomial_names.zip</v>
      </c>
      <c r="U4129" s="29" t="str">
        <f>HYPERLINK("https://ictv.global/taxonomy/taxondetails?taxnode_id=202306846","ictv.global=202306846")</f>
        <v>ictv.global=202306846</v>
      </c>
    </row>
    <row r="4130" spans="1:21">
      <c r="A4130">
        <v>4129</v>
      </c>
      <c r="B4130" s="30" t="s">
        <v>1587</v>
      </c>
      <c r="D4130" s="30" t="s">
        <v>1588</v>
      </c>
      <c r="F4130" s="30" t="s">
        <v>1591</v>
      </c>
      <c r="H4130" s="30" t="s">
        <v>1592</v>
      </c>
      <c r="N4130" s="30" t="s">
        <v>2454</v>
      </c>
      <c r="P4130" s="30" t="s">
        <v>7563</v>
      </c>
      <c r="Q4130" t="s">
        <v>619</v>
      </c>
      <c r="R4130" t="s">
        <v>918</v>
      </c>
      <c r="S4130">
        <v>37</v>
      </c>
      <c r="T4130" s="29" t="str">
        <f>HYPERLINK("https://ictv.global/ictv/proposals/2021.010B.R.Binomial_names.zip","2021.010B.R.Binomial_names.zip")</f>
        <v>2021.010B.R.Binomial_names.zip</v>
      </c>
      <c r="U4130" s="29" t="str">
        <f>HYPERLINK("https://ictv.global/taxonomy/taxondetails?taxnode_id=202310155","ictv.global=202310155")</f>
        <v>ictv.global=202310155</v>
      </c>
    </row>
    <row r="4131" spans="1:21">
      <c r="A4131">
        <v>4130</v>
      </c>
      <c r="B4131" s="30" t="s">
        <v>1587</v>
      </c>
      <c r="D4131" s="30" t="s">
        <v>1588</v>
      </c>
      <c r="F4131" s="30" t="s">
        <v>1591</v>
      </c>
      <c r="H4131" s="30" t="s">
        <v>1592</v>
      </c>
      <c r="N4131" s="30" t="s">
        <v>7564</v>
      </c>
      <c r="P4131" s="30" t="s">
        <v>7565</v>
      </c>
      <c r="Q4131" t="s">
        <v>619</v>
      </c>
      <c r="R4131" t="s">
        <v>917</v>
      </c>
      <c r="S4131">
        <v>38</v>
      </c>
      <c r="T4131" s="29" t="str">
        <f>HYPERLINK("https://ictv.global/ictv/proposals/2022.090B.Caudoviricetes_3ng_arthrobacter.zip","2022.090B.Caudoviricetes_3ng_arthrobacter.zip")</f>
        <v>2022.090B.Caudoviricetes_3ng_arthrobacter.zip</v>
      </c>
      <c r="U4131" s="29" t="str">
        <f>HYPERLINK("https://ictv.global/taxonomy/taxondetails?taxnode_id=202314956","ictv.global=202314956")</f>
        <v>ictv.global=202314956</v>
      </c>
    </row>
    <row r="4132" spans="1:21">
      <c r="A4132">
        <v>4131</v>
      </c>
      <c r="B4132" s="30" t="s">
        <v>1587</v>
      </c>
      <c r="D4132" s="30" t="s">
        <v>1588</v>
      </c>
      <c r="F4132" s="30" t="s">
        <v>1591</v>
      </c>
      <c r="H4132" s="30" t="s">
        <v>1592</v>
      </c>
      <c r="N4132" s="30" t="s">
        <v>7564</v>
      </c>
      <c r="P4132" s="30" t="s">
        <v>7566</v>
      </c>
      <c r="Q4132" t="s">
        <v>619</v>
      </c>
      <c r="R4132" t="s">
        <v>917</v>
      </c>
      <c r="S4132">
        <v>38</v>
      </c>
      <c r="T4132" s="29" t="str">
        <f>HYPERLINK("https://ictv.global/ictv/proposals/2022.090B.Caudoviricetes_3ng_arthrobacter.zip","2022.090B.Caudoviricetes_3ng_arthrobacter.zip")</f>
        <v>2022.090B.Caudoviricetes_3ng_arthrobacter.zip</v>
      </c>
      <c r="U4132" s="29" t="str">
        <f>HYPERLINK("https://ictv.global/taxonomy/taxondetails?taxnode_id=202314957","ictv.global=202314957")</f>
        <v>ictv.global=202314957</v>
      </c>
    </row>
    <row r="4133" spans="1:21">
      <c r="A4133">
        <v>4132</v>
      </c>
      <c r="B4133" s="30" t="s">
        <v>1587</v>
      </c>
      <c r="D4133" s="30" t="s">
        <v>1588</v>
      </c>
      <c r="F4133" s="30" t="s">
        <v>1591</v>
      </c>
      <c r="H4133" s="30" t="s">
        <v>1592</v>
      </c>
      <c r="N4133" s="30" t="s">
        <v>2271</v>
      </c>
      <c r="P4133" s="30" t="s">
        <v>7567</v>
      </c>
      <c r="Q4133" t="s">
        <v>619</v>
      </c>
      <c r="R4133" t="s">
        <v>918</v>
      </c>
      <c r="S4133">
        <v>37</v>
      </c>
      <c r="T4133" s="29" t="str">
        <f>HYPERLINK("https://ictv.global/ictv/proposals/2021.010B.R.Binomial_names.zip","2021.010B.R.Binomial_names.zip")</f>
        <v>2021.010B.R.Binomial_names.zip</v>
      </c>
      <c r="U4133" s="29" t="str">
        <f>HYPERLINK("https://ictv.global/taxonomy/taxondetails?taxnode_id=202310157","ictv.global=202310157")</f>
        <v>ictv.global=202310157</v>
      </c>
    </row>
    <row r="4134" spans="1:21">
      <c r="A4134">
        <v>4133</v>
      </c>
      <c r="B4134" s="30" t="s">
        <v>1587</v>
      </c>
      <c r="D4134" s="30" t="s">
        <v>1588</v>
      </c>
      <c r="F4134" s="30" t="s">
        <v>1591</v>
      </c>
      <c r="H4134" s="30" t="s">
        <v>1592</v>
      </c>
      <c r="N4134" s="30" t="s">
        <v>7568</v>
      </c>
      <c r="P4134" s="30" t="s">
        <v>7569</v>
      </c>
      <c r="Q4134" t="s">
        <v>619</v>
      </c>
      <c r="R4134" t="s">
        <v>917</v>
      </c>
      <c r="S4134">
        <v>37</v>
      </c>
      <c r="T4134" s="29" t="str">
        <f>HYPERLINK("https://ictv.global/ictv/proposals/2021.046B.R.Kunmingvirus.zip","2021.046B.R.Kunmingvirus.zip")</f>
        <v>2021.046B.R.Kunmingvirus.zip</v>
      </c>
      <c r="U4134" s="29" t="str">
        <f>HYPERLINK("https://ictv.global/taxonomy/taxondetails?taxnode_id=202312392","ictv.global=202312392")</f>
        <v>ictv.global=202312392</v>
      </c>
    </row>
    <row r="4135" spans="1:21">
      <c r="A4135">
        <v>4134</v>
      </c>
      <c r="B4135" s="30" t="s">
        <v>1587</v>
      </c>
      <c r="D4135" s="30" t="s">
        <v>1588</v>
      </c>
      <c r="F4135" s="30" t="s">
        <v>1591</v>
      </c>
      <c r="H4135" s="30" t="s">
        <v>1592</v>
      </c>
      <c r="N4135" s="30" t="s">
        <v>7568</v>
      </c>
      <c r="P4135" s="30" t="s">
        <v>7570</v>
      </c>
      <c r="Q4135" t="s">
        <v>619</v>
      </c>
      <c r="R4135" t="s">
        <v>917</v>
      </c>
      <c r="S4135">
        <v>37</v>
      </c>
      <c r="T4135" s="29" t="str">
        <f>HYPERLINK("https://ictv.global/ictv/proposals/2021.046B.R.Kunmingvirus.zip","2021.046B.R.Kunmingvirus.zip")</f>
        <v>2021.046B.R.Kunmingvirus.zip</v>
      </c>
      <c r="U4135" s="29" t="str">
        <f>HYPERLINK("https://ictv.global/taxonomy/taxondetails?taxnode_id=202312393","ictv.global=202312393")</f>
        <v>ictv.global=202312393</v>
      </c>
    </row>
    <row r="4136" spans="1:21">
      <c r="A4136">
        <v>4135</v>
      </c>
      <c r="B4136" s="30" t="s">
        <v>1587</v>
      </c>
      <c r="D4136" s="30" t="s">
        <v>1588</v>
      </c>
      <c r="F4136" s="30" t="s">
        <v>1591</v>
      </c>
      <c r="H4136" s="30" t="s">
        <v>1592</v>
      </c>
      <c r="N4136" s="30" t="s">
        <v>2272</v>
      </c>
      <c r="P4136" s="30" t="s">
        <v>7571</v>
      </c>
      <c r="Q4136" t="s">
        <v>619</v>
      </c>
      <c r="R4136" t="s">
        <v>918</v>
      </c>
      <c r="S4136">
        <v>37</v>
      </c>
      <c r="T4136" s="29" t="str">
        <f t="shared" ref="T4136:T4144" si="186">HYPERLINK("https://ictv.global/ictv/proposals/2021.010B.R.Binomial_names.zip","2021.010B.R.Binomial_names.zip")</f>
        <v>2021.010B.R.Binomial_names.zip</v>
      </c>
      <c r="U4136" s="29" t="str">
        <f>HYPERLINK("https://ictv.global/taxonomy/taxondetails?taxnode_id=202310159","ictv.global=202310159")</f>
        <v>ictv.global=202310159</v>
      </c>
    </row>
    <row r="4137" spans="1:21">
      <c r="A4137">
        <v>4136</v>
      </c>
      <c r="B4137" s="30" t="s">
        <v>1587</v>
      </c>
      <c r="D4137" s="30" t="s">
        <v>1588</v>
      </c>
      <c r="F4137" s="30" t="s">
        <v>1591</v>
      </c>
      <c r="H4137" s="30" t="s">
        <v>1592</v>
      </c>
      <c r="N4137" s="30" t="s">
        <v>2456</v>
      </c>
      <c r="P4137" s="30" t="s">
        <v>7572</v>
      </c>
      <c r="Q4137" t="s">
        <v>619</v>
      </c>
      <c r="R4137" t="s">
        <v>918</v>
      </c>
      <c r="S4137">
        <v>37</v>
      </c>
      <c r="T4137" s="29" t="str">
        <f t="shared" si="186"/>
        <v>2021.010B.R.Binomial_names.zip</v>
      </c>
      <c r="U4137" s="29" t="str">
        <f>HYPERLINK("https://ictv.global/taxonomy/taxondetails?taxnode_id=202310172","ictv.global=202310172")</f>
        <v>ictv.global=202310172</v>
      </c>
    </row>
    <row r="4138" spans="1:21">
      <c r="A4138">
        <v>4137</v>
      </c>
      <c r="B4138" s="30" t="s">
        <v>1587</v>
      </c>
      <c r="D4138" s="30" t="s">
        <v>1588</v>
      </c>
      <c r="F4138" s="30" t="s">
        <v>1591</v>
      </c>
      <c r="H4138" s="30" t="s">
        <v>1592</v>
      </c>
      <c r="N4138" s="30" t="s">
        <v>1513</v>
      </c>
      <c r="P4138" s="30" t="s">
        <v>7573</v>
      </c>
      <c r="Q4138" t="s">
        <v>619</v>
      </c>
      <c r="R4138" t="s">
        <v>918</v>
      </c>
      <c r="S4138">
        <v>37</v>
      </c>
      <c r="T4138" s="29" t="str">
        <f t="shared" si="186"/>
        <v>2021.010B.R.Binomial_names.zip</v>
      </c>
      <c r="U4138" s="29" t="str">
        <f>HYPERLINK("https://ictv.global/taxonomy/taxondetails?taxnode_id=202306848","ictv.global=202306848")</f>
        <v>ictv.global=202306848</v>
      </c>
    </row>
    <row r="4139" spans="1:21">
      <c r="A4139">
        <v>4138</v>
      </c>
      <c r="B4139" s="30" t="s">
        <v>1587</v>
      </c>
      <c r="D4139" s="30" t="s">
        <v>1588</v>
      </c>
      <c r="F4139" s="30" t="s">
        <v>1591</v>
      </c>
      <c r="H4139" s="30" t="s">
        <v>1592</v>
      </c>
      <c r="N4139" s="30" t="s">
        <v>2457</v>
      </c>
      <c r="P4139" s="30" t="s">
        <v>7574</v>
      </c>
      <c r="Q4139" t="s">
        <v>619</v>
      </c>
      <c r="R4139" t="s">
        <v>918</v>
      </c>
      <c r="S4139">
        <v>37</v>
      </c>
      <c r="T4139" s="29" t="str">
        <f t="shared" si="186"/>
        <v>2021.010B.R.Binomial_names.zip</v>
      </c>
      <c r="U4139" s="29" t="str">
        <f>HYPERLINK("https://ictv.global/taxonomy/taxondetails?taxnode_id=202310178","ictv.global=202310178")</f>
        <v>ictv.global=202310178</v>
      </c>
    </row>
    <row r="4140" spans="1:21">
      <c r="A4140">
        <v>4139</v>
      </c>
      <c r="B4140" s="30" t="s">
        <v>1587</v>
      </c>
      <c r="D4140" s="30" t="s">
        <v>1588</v>
      </c>
      <c r="F4140" s="30" t="s">
        <v>1591</v>
      </c>
      <c r="H4140" s="30" t="s">
        <v>1592</v>
      </c>
      <c r="N4140" s="30" t="s">
        <v>1821</v>
      </c>
      <c r="P4140" s="30" t="s">
        <v>7575</v>
      </c>
      <c r="Q4140" t="s">
        <v>619</v>
      </c>
      <c r="R4140" t="s">
        <v>918</v>
      </c>
      <c r="S4140">
        <v>37</v>
      </c>
      <c r="T4140" s="29" t="str">
        <f t="shared" si="186"/>
        <v>2021.010B.R.Binomial_names.zip</v>
      </c>
      <c r="U4140" s="29" t="str">
        <f>HYPERLINK("https://ictv.global/taxonomy/taxondetails?taxnode_id=202308044","ictv.global=202308044")</f>
        <v>ictv.global=202308044</v>
      </c>
    </row>
    <row r="4141" spans="1:21">
      <c r="A4141">
        <v>4140</v>
      </c>
      <c r="B4141" s="30" t="s">
        <v>1587</v>
      </c>
      <c r="D4141" s="30" t="s">
        <v>1588</v>
      </c>
      <c r="F4141" s="30" t="s">
        <v>1591</v>
      </c>
      <c r="H4141" s="30" t="s">
        <v>1592</v>
      </c>
      <c r="N4141" s="30" t="s">
        <v>2314</v>
      </c>
      <c r="P4141" s="30" t="s">
        <v>7576</v>
      </c>
      <c r="Q4141" t="s">
        <v>619</v>
      </c>
      <c r="R4141" t="s">
        <v>918</v>
      </c>
      <c r="S4141">
        <v>37</v>
      </c>
      <c r="T4141" s="29" t="str">
        <f t="shared" si="186"/>
        <v>2021.010B.R.Binomial_names.zip</v>
      </c>
      <c r="U4141" s="29" t="str">
        <f>HYPERLINK("https://ictv.global/taxonomy/taxondetails?taxnode_id=202310161","ictv.global=202310161")</f>
        <v>ictv.global=202310161</v>
      </c>
    </row>
    <row r="4142" spans="1:21">
      <c r="A4142">
        <v>4141</v>
      </c>
      <c r="B4142" s="30" t="s">
        <v>1587</v>
      </c>
      <c r="D4142" s="30" t="s">
        <v>1588</v>
      </c>
      <c r="F4142" s="30" t="s">
        <v>1591</v>
      </c>
      <c r="H4142" s="30" t="s">
        <v>1592</v>
      </c>
      <c r="N4142" s="30" t="s">
        <v>2314</v>
      </c>
      <c r="P4142" s="30" t="s">
        <v>7577</v>
      </c>
      <c r="Q4142" t="s">
        <v>619</v>
      </c>
      <c r="R4142" t="s">
        <v>918</v>
      </c>
      <c r="S4142">
        <v>37</v>
      </c>
      <c r="T4142" s="29" t="str">
        <f t="shared" si="186"/>
        <v>2021.010B.R.Binomial_names.zip</v>
      </c>
      <c r="U4142" s="29" t="str">
        <f>HYPERLINK("https://ictv.global/taxonomy/taxondetails?taxnode_id=202310163","ictv.global=202310163")</f>
        <v>ictv.global=202310163</v>
      </c>
    </row>
    <row r="4143" spans="1:21">
      <c r="A4143">
        <v>4142</v>
      </c>
      <c r="B4143" s="30" t="s">
        <v>1587</v>
      </c>
      <c r="D4143" s="30" t="s">
        <v>1588</v>
      </c>
      <c r="F4143" s="30" t="s">
        <v>1591</v>
      </c>
      <c r="H4143" s="30" t="s">
        <v>1592</v>
      </c>
      <c r="N4143" s="30" t="s">
        <v>2314</v>
      </c>
      <c r="P4143" s="30" t="s">
        <v>7578</v>
      </c>
      <c r="Q4143" t="s">
        <v>619</v>
      </c>
      <c r="R4143" t="s">
        <v>918</v>
      </c>
      <c r="S4143">
        <v>37</v>
      </c>
      <c r="T4143" s="29" t="str">
        <f t="shared" si="186"/>
        <v>2021.010B.R.Binomial_names.zip</v>
      </c>
      <c r="U4143" s="29" t="str">
        <f>HYPERLINK("https://ictv.global/taxonomy/taxondetails?taxnode_id=202310164","ictv.global=202310164")</f>
        <v>ictv.global=202310164</v>
      </c>
    </row>
    <row r="4144" spans="1:21">
      <c r="A4144">
        <v>4143</v>
      </c>
      <c r="B4144" s="30" t="s">
        <v>1587</v>
      </c>
      <c r="D4144" s="30" t="s">
        <v>1588</v>
      </c>
      <c r="F4144" s="30" t="s">
        <v>1591</v>
      </c>
      <c r="H4144" s="30" t="s">
        <v>1592</v>
      </c>
      <c r="N4144" s="30" t="s">
        <v>2314</v>
      </c>
      <c r="P4144" s="30" t="s">
        <v>7579</v>
      </c>
      <c r="Q4144" t="s">
        <v>619</v>
      </c>
      <c r="R4144" t="s">
        <v>918</v>
      </c>
      <c r="S4144">
        <v>37</v>
      </c>
      <c r="T4144" s="29" t="str">
        <f t="shared" si="186"/>
        <v>2021.010B.R.Binomial_names.zip</v>
      </c>
      <c r="U4144" s="29" t="str">
        <f>HYPERLINK("https://ictv.global/taxonomy/taxondetails?taxnode_id=202310162","ictv.global=202310162")</f>
        <v>ictv.global=202310162</v>
      </c>
    </row>
    <row r="4145" spans="1:21">
      <c r="A4145">
        <v>4144</v>
      </c>
      <c r="B4145" s="30" t="s">
        <v>1587</v>
      </c>
      <c r="D4145" s="30" t="s">
        <v>1588</v>
      </c>
      <c r="F4145" s="30" t="s">
        <v>1591</v>
      </c>
      <c r="H4145" s="30" t="s">
        <v>1592</v>
      </c>
      <c r="N4145" s="30" t="s">
        <v>689</v>
      </c>
      <c r="P4145" s="30" t="s">
        <v>940</v>
      </c>
      <c r="Q4145" t="s">
        <v>619</v>
      </c>
      <c r="R4145" t="s">
        <v>919</v>
      </c>
      <c r="S4145">
        <v>37</v>
      </c>
      <c r="T4145" s="29" t="str">
        <f>HYPERLINK("https://ictv.global/ictv/proposals/2021.001B.R.abolish_Caudovirales.zip","2021.001B.R.abolish_Caudovirales.zip")</f>
        <v>2021.001B.R.abolish_Caudovirales.zip</v>
      </c>
      <c r="U4145" s="29" t="str">
        <f>HYPERLINK("https://ictv.global/taxonomy/taxondetails?taxnode_id=202305558","ictv.global=202305558")</f>
        <v>ictv.global=202305558</v>
      </c>
    </row>
    <row r="4146" spans="1:21">
      <c r="A4146">
        <v>4145</v>
      </c>
      <c r="B4146" s="30" t="s">
        <v>1587</v>
      </c>
      <c r="D4146" s="30" t="s">
        <v>1588</v>
      </c>
      <c r="F4146" s="30" t="s">
        <v>1591</v>
      </c>
      <c r="H4146" s="30" t="s">
        <v>1592</v>
      </c>
      <c r="N4146" s="30" t="s">
        <v>689</v>
      </c>
      <c r="P4146" s="30" t="s">
        <v>7580</v>
      </c>
      <c r="Q4146" t="s">
        <v>619</v>
      </c>
      <c r="R4146" t="s">
        <v>918</v>
      </c>
      <c r="S4146">
        <v>37</v>
      </c>
      <c r="T4146" s="29" t="str">
        <f t="shared" ref="T4146:T4173" si="187">HYPERLINK("https://ictv.global/ictv/proposals/2021.010B.R.Binomial_names.zip","2021.010B.R.Binomial_names.zip")</f>
        <v>2021.010B.R.Binomial_names.zip</v>
      </c>
      <c r="U4146" s="29" t="str">
        <f>HYPERLINK("https://ictv.global/taxonomy/taxondetails?taxnode_id=202305559","ictv.global=202305559")</f>
        <v>ictv.global=202305559</v>
      </c>
    </row>
    <row r="4147" spans="1:21">
      <c r="A4147">
        <v>4146</v>
      </c>
      <c r="B4147" s="30" t="s">
        <v>1587</v>
      </c>
      <c r="D4147" s="30" t="s">
        <v>1588</v>
      </c>
      <c r="F4147" s="30" t="s">
        <v>1591</v>
      </c>
      <c r="H4147" s="30" t="s">
        <v>1592</v>
      </c>
      <c r="N4147" s="30" t="s">
        <v>689</v>
      </c>
      <c r="P4147" s="30" t="s">
        <v>7581</v>
      </c>
      <c r="Q4147" t="s">
        <v>619</v>
      </c>
      <c r="R4147" t="s">
        <v>918</v>
      </c>
      <c r="S4147">
        <v>37</v>
      </c>
      <c r="T4147" s="29" t="str">
        <f t="shared" si="187"/>
        <v>2021.010B.R.Binomial_names.zip</v>
      </c>
      <c r="U4147" s="29" t="str">
        <f>HYPERLINK("https://ictv.global/taxonomy/taxondetails?taxnode_id=202305560","ictv.global=202305560")</f>
        <v>ictv.global=202305560</v>
      </c>
    </row>
    <row r="4148" spans="1:21">
      <c r="A4148">
        <v>4147</v>
      </c>
      <c r="B4148" s="30" t="s">
        <v>1587</v>
      </c>
      <c r="D4148" s="30" t="s">
        <v>1588</v>
      </c>
      <c r="F4148" s="30" t="s">
        <v>1591</v>
      </c>
      <c r="H4148" s="30" t="s">
        <v>1592</v>
      </c>
      <c r="N4148" s="30" t="s">
        <v>689</v>
      </c>
      <c r="P4148" s="30" t="s">
        <v>7582</v>
      </c>
      <c r="Q4148" t="s">
        <v>619</v>
      </c>
      <c r="R4148" t="s">
        <v>918</v>
      </c>
      <c r="S4148">
        <v>37</v>
      </c>
      <c r="T4148" s="29" t="str">
        <f t="shared" si="187"/>
        <v>2021.010B.R.Binomial_names.zip</v>
      </c>
      <c r="U4148" s="29" t="str">
        <f>HYPERLINK("https://ictv.global/taxonomy/taxondetails?taxnode_id=202301072","ictv.global=202301072")</f>
        <v>ictv.global=202301072</v>
      </c>
    </row>
    <row r="4149" spans="1:21">
      <c r="A4149">
        <v>4148</v>
      </c>
      <c r="B4149" s="30" t="s">
        <v>1587</v>
      </c>
      <c r="D4149" s="30" t="s">
        <v>1588</v>
      </c>
      <c r="F4149" s="30" t="s">
        <v>1591</v>
      </c>
      <c r="H4149" s="30" t="s">
        <v>1592</v>
      </c>
      <c r="N4149" s="30" t="s">
        <v>689</v>
      </c>
      <c r="P4149" s="30" t="s">
        <v>7583</v>
      </c>
      <c r="Q4149" t="s">
        <v>619</v>
      </c>
      <c r="R4149" t="s">
        <v>918</v>
      </c>
      <c r="S4149">
        <v>37</v>
      </c>
      <c r="T4149" s="29" t="str">
        <f t="shared" si="187"/>
        <v>2021.010B.R.Binomial_names.zip</v>
      </c>
      <c r="U4149" s="29" t="str">
        <f>HYPERLINK("https://ictv.global/taxonomy/taxondetails?taxnode_id=202309351","ictv.global=202309351")</f>
        <v>ictv.global=202309351</v>
      </c>
    </row>
    <row r="4150" spans="1:21">
      <c r="A4150">
        <v>4149</v>
      </c>
      <c r="B4150" s="30" t="s">
        <v>1587</v>
      </c>
      <c r="D4150" s="30" t="s">
        <v>1588</v>
      </c>
      <c r="F4150" s="30" t="s">
        <v>1591</v>
      </c>
      <c r="H4150" s="30" t="s">
        <v>1592</v>
      </c>
      <c r="N4150" s="30" t="s">
        <v>2458</v>
      </c>
      <c r="P4150" s="30" t="s">
        <v>7584</v>
      </c>
      <c r="Q4150" t="s">
        <v>619</v>
      </c>
      <c r="R4150" t="s">
        <v>918</v>
      </c>
      <c r="S4150">
        <v>37</v>
      </c>
      <c r="T4150" s="29" t="str">
        <f t="shared" si="187"/>
        <v>2021.010B.R.Binomial_names.zip</v>
      </c>
      <c r="U4150" s="29" t="str">
        <f>HYPERLINK("https://ictv.global/taxonomy/taxondetails?taxnode_id=202310170","ictv.global=202310170")</f>
        <v>ictv.global=202310170</v>
      </c>
    </row>
    <row r="4151" spans="1:21">
      <c r="A4151">
        <v>4150</v>
      </c>
      <c r="B4151" s="30" t="s">
        <v>1587</v>
      </c>
      <c r="D4151" s="30" t="s">
        <v>1588</v>
      </c>
      <c r="F4151" s="30" t="s">
        <v>1591</v>
      </c>
      <c r="H4151" s="30" t="s">
        <v>1592</v>
      </c>
      <c r="N4151" s="30" t="s">
        <v>2458</v>
      </c>
      <c r="P4151" s="30" t="s">
        <v>7585</v>
      </c>
      <c r="Q4151" t="s">
        <v>619</v>
      </c>
      <c r="R4151" t="s">
        <v>918</v>
      </c>
      <c r="S4151">
        <v>37</v>
      </c>
      <c r="T4151" s="29" t="str">
        <f t="shared" si="187"/>
        <v>2021.010B.R.Binomial_names.zip</v>
      </c>
      <c r="U4151" s="29" t="str">
        <f>HYPERLINK("https://ictv.global/taxonomy/taxondetails?taxnode_id=202310166","ictv.global=202310166")</f>
        <v>ictv.global=202310166</v>
      </c>
    </row>
    <row r="4152" spans="1:21">
      <c r="A4152">
        <v>4151</v>
      </c>
      <c r="B4152" s="30" t="s">
        <v>1587</v>
      </c>
      <c r="D4152" s="30" t="s">
        <v>1588</v>
      </c>
      <c r="F4152" s="30" t="s">
        <v>1591</v>
      </c>
      <c r="H4152" s="30" t="s">
        <v>1592</v>
      </c>
      <c r="N4152" s="30" t="s">
        <v>2458</v>
      </c>
      <c r="P4152" s="30" t="s">
        <v>7586</v>
      </c>
      <c r="Q4152" t="s">
        <v>619</v>
      </c>
      <c r="R4152" t="s">
        <v>918</v>
      </c>
      <c r="S4152">
        <v>37</v>
      </c>
      <c r="T4152" s="29" t="str">
        <f t="shared" si="187"/>
        <v>2021.010B.R.Binomial_names.zip</v>
      </c>
      <c r="U4152" s="29" t="str">
        <f>HYPERLINK("https://ictv.global/taxonomy/taxondetails?taxnode_id=202310167","ictv.global=202310167")</f>
        <v>ictv.global=202310167</v>
      </c>
    </row>
    <row r="4153" spans="1:21">
      <c r="A4153">
        <v>4152</v>
      </c>
      <c r="B4153" s="30" t="s">
        <v>1587</v>
      </c>
      <c r="D4153" s="30" t="s">
        <v>1588</v>
      </c>
      <c r="F4153" s="30" t="s">
        <v>1591</v>
      </c>
      <c r="H4153" s="30" t="s">
        <v>1592</v>
      </c>
      <c r="N4153" s="30" t="s">
        <v>2458</v>
      </c>
      <c r="P4153" s="30" t="s">
        <v>7587</v>
      </c>
      <c r="Q4153" t="s">
        <v>619</v>
      </c>
      <c r="R4153" t="s">
        <v>918</v>
      </c>
      <c r="S4153">
        <v>37</v>
      </c>
      <c r="T4153" s="29" t="str">
        <f t="shared" si="187"/>
        <v>2021.010B.R.Binomial_names.zip</v>
      </c>
      <c r="U4153" s="29" t="str">
        <f>HYPERLINK("https://ictv.global/taxonomy/taxondetails?taxnode_id=202310168","ictv.global=202310168")</f>
        <v>ictv.global=202310168</v>
      </c>
    </row>
    <row r="4154" spans="1:21">
      <c r="A4154">
        <v>4153</v>
      </c>
      <c r="B4154" s="30" t="s">
        <v>1587</v>
      </c>
      <c r="D4154" s="30" t="s">
        <v>1588</v>
      </c>
      <c r="F4154" s="30" t="s">
        <v>1591</v>
      </c>
      <c r="H4154" s="30" t="s">
        <v>1592</v>
      </c>
      <c r="N4154" s="30" t="s">
        <v>2458</v>
      </c>
      <c r="P4154" s="30" t="s">
        <v>7588</v>
      </c>
      <c r="Q4154" t="s">
        <v>619</v>
      </c>
      <c r="R4154" t="s">
        <v>918</v>
      </c>
      <c r="S4154">
        <v>37</v>
      </c>
      <c r="T4154" s="29" t="str">
        <f t="shared" si="187"/>
        <v>2021.010B.R.Binomial_names.zip</v>
      </c>
      <c r="U4154" s="29" t="str">
        <f>HYPERLINK("https://ictv.global/taxonomy/taxondetails?taxnode_id=202310169","ictv.global=202310169")</f>
        <v>ictv.global=202310169</v>
      </c>
    </row>
    <row r="4155" spans="1:21">
      <c r="A4155">
        <v>4154</v>
      </c>
      <c r="B4155" s="30" t="s">
        <v>1587</v>
      </c>
      <c r="D4155" s="30" t="s">
        <v>1588</v>
      </c>
      <c r="F4155" s="30" t="s">
        <v>1591</v>
      </c>
      <c r="H4155" s="30" t="s">
        <v>1592</v>
      </c>
      <c r="N4155" s="30" t="s">
        <v>1913</v>
      </c>
      <c r="P4155" s="30" t="s">
        <v>7589</v>
      </c>
      <c r="Q4155" t="s">
        <v>619</v>
      </c>
      <c r="R4155" t="s">
        <v>918</v>
      </c>
      <c r="S4155">
        <v>37</v>
      </c>
      <c r="T4155" s="29" t="str">
        <f t="shared" si="187"/>
        <v>2021.010B.R.Binomial_names.zip</v>
      </c>
      <c r="U4155" s="29" t="str">
        <f>HYPERLINK("https://ictv.global/taxonomy/taxondetails?taxnode_id=202307878","ictv.global=202307878")</f>
        <v>ictv.global=202307878</v>
      </c>
    </row>
    <row r="4156" spans="1:21">
      <c r="A4156">
        <v>4155</v>
      </c>
      <c r="B4156" s="30" t="s">
        <v>1587</v>
      </c>
      <c r="D4156" s="30" t="s">
        <v>1588</v>
      </c>
      <c r="F4156" s="30" t="s">
        <v>1591</v>
      </c>
      <c r="H4156" s="30" t="s">
        <v>1592</v>
      </c>
      <c r="N4156" s="30" t="s">
        <v>2459</v>
      </c>
      <c r="P4156" s="30" t="s">
        <v>7590</v>
      </c>
      <c r="Q4156" t="s">
        <v>619</v>
      </c>
      <c r="R4156" t="s">
        <v>918</v>
      </c>
      <c r="S4156">
        <v>37</v>
      </c>
      <c r="T4156" s="29" t="str">
        <f t="shared" si="187"/>
        <v>2021.010B.R.Binomial_names.zip</v>
      </c>
      <c r="U4156" s="29" t="str">
        <f>HYPERLINK("https://ictv.global/taxonomy/taxondetails?taxnode_id=202310195","ictv.global=202310195")</f>
        <v>ictv.global=202310195</v>
      </c>
    </row>
    <row r="4157" spans="1:21">
      <c r="A4157">
        <v>4156</v>
      </c>
      <c r="B4157" s="30" t="s">
        <v>1587</v>
      </c>
      <c r="D4157" s="30" t="s">
        <v>1588</v>
      </c>
      <c r="F4157" s="30" t="s">
        <v>1591</v>
      </c>
      <c r="H4157" s="30" t="s">
        <v>1592</v>
      </c>
      <c r="N4157" s="30" t="s">
        <v>873</v>
      </c>
      <c r="P4157" s="30" t="s">
        <v>7591</v>
      </c>
      <c r="Q4157" t="s">
        <v>619</v>
      </c>
      <c r="R4157" t="s">
        <v>918</v>
      </c>
      <c r="S4157">
        <v>37</v>
      </c>
      <c r="T4157" s="29" t="str">
        <f t="shared" si="187"/>
        <v>2021.010B.R.Binomial_names.zip</v>
      </c>
      <c r="U4157" s="29" t="str">
        <f>HYPERLINK("https://ictv.global/taxonomy/taxondetails?taxnode_id=202301074","ictv.global=202301074")</f>
        <v>ictv.global=202301074</v>
      </c>
    </row>
    <row r="4158" spans="1:21">
      <c r="A4158">
        <v>4157</v>
      </c>
      <c r="B4158" s="30" t="s">
        <v>1587</v>
      </c>
      <c r="D4158" s="30" t="s">
        <v>1588</v>
      </c>
      <c r="F4158" s="30" t="s">
        <v>1591</v>
      </c>
      <c r="H4158" s="30" t="s">
        <v>1592</v>
      </c>
      <c r="N4158" s="30" t="s">
        <v>873</v>
      </c>
      <c r="P4158" s="30" t="s">
        <v>7592</v>
      </c>
      <c r="Q4158" t="s">
        <v>619</v>
      </c>
      <c r="R4158" t="s">
        <v>918</v>
      </c>
      <c r="S4158">
        <v>37</v>
      </c>
      <c r="T4158" s="29" t="str">
        <f t="shared" si="187"/>
        <v>2021.010B.R.Binomial_names.zip</v>
      </c>
      <c r="U4158" s="29" t="str">
        <f>HYPERLINK("https://ictv.global/taxonomy/taxondetails?taxnode_id=202310201","ictv.global=202310201")</f>
        <v>ictv.global=202310201</v>
      </c>
    </row>
    <row r="4159" spans="1:21">
      <c r="A4159">
        <v>4158</v>
      </c>
      <c r="B4159" s="30" t="s">
        <v>1587</v>
      </c>
      <c r="D4159" s="30" t="s">
        <v>1588</v>
      </c>
      <c r="F4159" s="30" t="s">
        <v>1591</v>
      </c>
      <c r="H4159" s="30" t="s">
        <v>1592</v>
      </c>
      <c r="N4159" s="30" t="s">
        <v>873</v>
      </c>
      <c r="P4159" s="30" t="s">
        <v>7593</v>
      </c>
      <c r="Q4159" t="s">
        <v>619</v>
      </c>
      <c r="R4159" t="s">
        <v>918</v>
      </c>
      <c r="S4159">
        <v>37</v>
      </c>
      <c r="T4159" s="29" t="str">
        <f t="shared" si="187"/>
        <v>2021.010B.R.Binomial_names.zip</v>
      </c>
      <c r="U4159" s="29" t="str">
        <f>HYPERLINK("https://ictv.global/taxonomy/taxondetails?taxnode_id=202310202","ictv.global=202310202")</f>
        <v>ictv.global=202310202</v>
      </c>
    </row>
    <row r="4160" spans="1:21">
      <c r="A4160">
        <v>4159</v>
      </c>
      <c r="B4160" s="30" t="s">
        <v>1587</v>
      </c>
      <c r="D4160" s="30" t="s">
        <v>1588</v>
      </c>
      <c r="F4160" s="30" t="s">
        <v>1591</v>
      </c>
      <c r="H4160" s="30" t="s">
        <v>1592</v>
      </c>
      <c r="N4160" s="30" t="s">
        <v>873</v>
      </c>
      <c r="P4160" s="30" t="s">
        <v>7594</v>
      </c>
      <c r="Q4160" t="s">
        <v>619</v>
      </c>
      <c r="R4160" t="s">
        <v>918</v>
      </c>
      <c r="S4160">
        <v>37</v>
      </c>
      <c r="T4160" s="29" t="str">
        <f t="shared" si="187"/>
        <v>2021.010B.R.Binomial_names.zip</v>
      </c>
      <c r="U4160" s="29" t="str">
        <f>HYPERLINK("https://ictv.global/taxonomy/taxondetails?taxnode_id=202310200","ictv.global=202310200")</f>
        <v>ictv.global=202310200</v>
      </c>
    </row>
    <row r="4161" spans="1:21">
      <c r="A4161">
        <v>4160</v>
      </c>
      <c r="B4161" s="30" t="s">
        <v>1587</v>
      </c>
      <c r="D4161" s="30" t="s">
        <v>1588</v>
      </c>
      <c r="F4161" s="30" t="s">
        <v>1591</v>
      </c>
      <c r="H4161" s="30" t="s">
        <v>1592</v>
      </c>
      <c r="N4161" s="30" t="s">
        <v>2315</v>
      </c>
      <c r="P4161" s="30" t="s">
        <v>7595</v>
      </c>
      <c r="Q4161" t="s">
        <v>619</v>
      </c>
      <c r="R4161" t="s">
        <v>918</v>
      </c>
      <c r="S4161">
        <v>37</v>
      </c>
      <c r="T4161" s="29" t="str">
        <f t="shared" si="187"/>
        <v>2021.010B.R.Binomial_names.zip</v>
      </c>
      <c r="U4161" s="29" t="str">
        <f>HYPERLINK("https://ictv.global/taxonomy/taxondetails?taxnode_id=202310204","ictv.global=202310204")</f>
        <v>ictv.global=202310204</v>
      </c>
    </row>
    <row r="4162" spans="1:21">
      <c r="A4162">
        <v>4161</v>
      </c>
      <c r="B4162" s="30" t="s">
        <v>1587</v>
      </c>
      <c r="D4162" s="30" t="s">
        <v>1588</v>
      </c>
      <c r="F4162" s="30" t="s">
        <v>1591</v>
      </c>
      <c r="H4162" s="30" t="s">
        <v>1592</v>
      </c>
      <c r="N4162" s="30" t="s">
        <v>2315</v>
      </c>
      <c r="P4162" s="30" t="s">
        <v>7596</v>
      </c>
      <c r="Q4162" t="s">
        <v>619</v>
      </c>
      <c r="R4162" t="s">
        <v>918</v>
      </c>
      <c r="S4162">
        <v>37</v>
      </c>
      <c r="T4162" s="29" t="str">
        <f t="shared" si="187"/>
        <v>2021.010B.R.Binomial_names.zip</v>
      </c>
      <c r="U4162" s="29" t="str">
        <f>HYPERLINK("https://ictv.global/taxonomy/taxondetails?taxnode_id=202310205","ictv.global=202310205")</f>
        <v>ictv.global=202310205</v>
      </c>
    </row>
    <row r="4163" spans="1:21">
      <c r="A4163">
        <v>4162</v>
      </c>
      <c r="B4163" s="30" t="s">
        <v>1587</v>
      </c>
      <c r="D4163" s="30" t="s">
        <v>1588</v>
      </c>
      <c r="F4163" s="30" t="s">
        <v>1591</v>
      </c>
      <c r="H4163" s="30" t="s">
        <v>1592</v>
      </c>
      <c r="N4163" s="30" t="s">
        <v>2460</v>
      </c>
      <c r="P4163" s="30" t="s">
        <v>7597</v>
      </c>
      <c r="Q4163" t="s">
        <v>619</v>
      </c>
      <c r="R4163" t="s">
        <v>918</v>
      </c>
      <c r="S4163">
        <v>37</v>
      </c>
      <c r="T4163" s="29" t="str">
        <f t="shared" si="187"/>
        <v>2021.010B.R.Binomial_names.zip</v>
      </c>
      <c r="U4163" s="29" t="str">
        <f>HYPERLINK("https://ictv.global/taxonomy/taxondetails?taxnode_id=202310207","ictv.global=202310207")</f>
        <v>ictv.global=202310207</v>
      </c>
    </row>
    <row r="4164" spans="1:21">
      <c r="A4164">
        <v>4163</v>
      </c>
      <c r="B4164" s="30" t="s">
        <v>1587</v>
      </c>
      <c r="D4164" s="30" t="s">
        <v>1588</v>
      </c>
      <c r="F4164" s="30" t="s">
        <v>1591</v>
      </c>
      <c r="H4164" s="30" t="s">
        <v>1592</v>
      </c>
      <c r="N4164" s="30" t="s">
        <v>1429</v>
      </c>
      <c r="P4164" s="30" t="s">
        <v>7598</v>
      </c>
      <c r="Q4164" t="s">
        <v>619</v>
      </c>
      <c r="R4164" t="s">
        <v>918</v>
      </c>
      <c r="S4164">
        <v>37</v>
      </c>
      <c r="T4164" s="29" t="str">
        <f t="shared" si="187"/>
        <v>2021.010B.R.Binomial_names.zip</v>
      </c>
      <c r="U4164" s="29" t="str">
        <f>HYPERLINK("https://ictv.global/taxonomy/taxondetails?taxnode_id=202305493","ictv.global=202305493")</f>
        <v>ictv.global=202305493</v>
      </c>
    </row>
    <row r="4165" spans="1:21">
      <c r="A4165">
        <v>4164</v>
      </c>
      <c r="B4165" s="30" t="s">
        <v>1587</v>
      </c>
      <c r="D4165" s="30" t="s">
        <v>1588</v>
      </c>
      <c r="F4165" s="30" t="s">
        <v>1591</v>
      </c>
      <c r="H4165" s="30" t="s">
        <v>1592</v>
      </c>
      <c r="N4165" s="30" t="s">
        <v>1429</v>
      </c>
      <c r="P4165" s="30" t="s">
        <v>7599</v>
      </c>
      <c r="Q4165" t="s">
        <v>619</v>
      </c>
      <c r="R4165" t="s">
        <v>918</v>
      </c>
      <c r="S4165">
        <v>37</v>
      </c>
      <c r="T4165" s="29" t="str">
        <f t="shared" si="187"/>
        <v>2021.010B.R.Binomial_names.zip</v>
      </c>
      <c r="U4165" s="29" t="str">
        <f>HYPERLINK("https://ictv.global/taxonomy/taxondetails?taxnode_id=202300677","ictv.global=202300677")</f>
        <v>ictv.global=202300677</v>
      </c>
    </row>
    <row r="4166" spans="1:21">
      <c r="A4166">
        <v>4165</v>
      </c>
      <c r="B4166" s="30" t="s">
        <v>1587</v>
      </c>
      <c r="D4166" s="30" t="s">
        <v>1588</v>
      </c>
      <c r="F4166" s="30" t="s">
        <v>1591</v>
      </c>
      <c r="H4166" s="30" t="s">
        <v>1592</v>
      </c>
      <c r="N4166" s="30" t="s">
        <v>1429</v>
      </c>
      <c r="P4166" s="30" t="s">
        <v>7600</v>
      </c>
      <c r="Q4166" t="s">
        <v>619</v>
      </c>
      <c r="R4166" t="s">
        <v>918</v>
      </c>
      <c r="S4166">
        <v>37</v>
      </c>
      <c r="T4166" s="29" t="str">
        <f t="shared" si="187"/>
        <v>2021.010B.R.Binomial_names.zip</v>
      </c>
      <c r="U4166" s="29" t="str">
        <f>HYPERLINK("https://ictv.global/taxonomy/taxondetails?taxnode_id=202300678","ictv.global=202300678")</f>
        <v>ictv.global=202300678</v>
      </c>
    </row>
    <row r="4167" spans="1:21">
      <c r="A4167">
        <v>4166</v>
      </c>
      <c r="B4167" s="30" t="s">
        <v>1587</v>
      </c>
      <c r="D4167" s="30" t="s">
        <v>1588</v>
      </c>
      <c r="F4167" s="30" t="s">
        <v>1591</v>
      </c>
      <c r="H4167" s="30" t="s">
        <v>1592</v>
      </c>
      <c r="N4167" s="30" t="s">
        <v>1429</v>
      </c>
      <c r="P4167" s="30" t="s">
        <v>7601</v>
      </c>
      <c r="Q4167" t="s">
        <v>619</v>
      </c>
      <c r="R4167" t="s">
        <v>918</v>
      </c>
      <c r="S4167">
        <v>37</v>
      </c>
      <c r="T4167" s="29" t="str">
        <f t="shared" si="187"/>
        <v>2021.010B.R.Binomial_names.zip</v>
      </c>
      <c r="U4167" s="29" t="str">
        <f>HYPERLINK("https://ictv.global/taxonomy/taxondetails?taxnode_id=202307078","ictv.global=202307078")</f>
        <v>ictv.global=202307078</v>
      </c>
    </row>
    <row r="4168" spans="1:21">
      <c r="A4168">
        <v>4167</v>
      </c>
      <c r="B4168" s="30" t="s">
        <v>1587</v>
      </c>
      <c r="D4168" s="30" t="s">
        <v>1588</v>
      </c>
      <c r="F4168" s="30" t="s">
        <v>1591</v>
      </c>
      <c r="H4168" s="30" t="s">
        <v>1592</v>
      </c>
      <c r="N4168" s="30" t="s">
        <v>1429</v>
      </c>
      <c r="P4168" s="30" t="s">
        <v>7602</v>
      </c>
      <c r="Q4168" t="s">
        <v>619</v>
      </c>
      <c r="R4168" t="s">
        <v>918</v>
      </c>
      <c r="S4168">
        <v>37</v>
      </c>
      <c r="T4168" s="29" t="str">
        <f t="shared" si="187"/>
        <v>2021.010B.R.Binomial_names.zip</v>
      </c>
      <c r="U4168" s="29" t="str">
        <f>HYPERLINK("https://ictv.global/taxonomy/taxondetails?taxnode_id=202300680","ictv.global=202300680")</f>
        <v>ictv.global=202300680</v>
      </c>
    </row>
    <row r="4169" spans="1:21">
      <c r="A4169">
        <v>4168</v>
      </c>
      <c r="B4169" s="30" t="s">
        <v>1587</v>
      </c>
      <c r="D4169" s="30" t="s">
        <v>1588</v>
      </c>
      <c r="F4169" s="30" t="s">
        <v>1591</v>
      </c>
      <c r="H4169" s="30" t="s">
        <v>1592</v>
      </c>
      <c r="N4169" s="30" t="s">
        <v>1429</v>
      </c>
      <c r="P4169" s="30" t="s">
        <v>7603</v>
      </c>
      <c r="Q4169" t="s">
        <v>619</v>
      </c>
      <c r="R4169" t="s">
        <v>918</v>
      </c>
      <c r="S4169">
        <v>37</v>
      </c>
      <c r="T4169" s="29" t="str">
        <f t="shared" si="187"/>
        <v>2021.010B.R.Binomial_names.zip</v>
      </c>
      <c r="U4169" s="29" t="str">
        <f>HYPERLINK("https://ictv.global/taxonomy/taxondetails?taxnode_id=202300679","ictv.global=202300679")</f>
        <v>ictv.global=202300679</v>
      </c>
    </row>
    <row r="4170" spans="1:21">
      <c r="A4170">
        <v>4169</v>
      </c>
      <c r="B4170" s="30" t="s">
        <v>1587</v>
      </c>
      <c r="D4170" s="30" t="s">
        <v>1588</v>
      </c>
      <c r="F4170" s="30" t="s">
        <v>1591</v>
      </c>
      <c r="H4170" s="30" t="s">
        <v>1592</v>
      </c>
      <c r="N4170" s="30" t="s">
        <v>2461</v>
      </c>
      <c r="P4170" s="30" t="s">
        <v>7604</v>
      </c>
      <c r="Q4170" t="s">
        <v>619</v>
      </c>
      <c r="R4170" t="s">
        <v>918</v>
      </c>
      <c r="S4170">
        <v>37</v>
      </c>
      <c r="T4170" s="29" t="str">
        <f t="shared" si="187"/>
        <v>2021.010B.R.Binomial_names.zip</v>
      </c>
      <c r="U4170" s="29" t="str">
        <f>HYPERLINK("https://ictv.global/taxonomy/taxondetails?taxnode_id=202310210","ictv.global=202310210")</f>
        <v>ictv.global=202310210</v>
      </c>
    </row>
    <row r="4171" spans="1:21">
      <c r="A4171">
        <v>4170</v>
      </c>
      <c r="B4171" s="30" t="s">
        <v>1587</v>
      </c>
      <c r="D4171" s="30" t="s">
        <v>1588</v>
      </c>
      <c r="F4171" s="30" t="s">
        <v>1591</v>
      </c>
      <c r="H4171" s="30" t="s">
        <v>1592</v>
      </c>
      <c r="N4171" s="30" t="s">
        <v>2461</v>
      </c>
      <c r="P4171" s="30" t="s">
        <v>7605</v>
      </c>
      <c r="Q4171" t="s">
        <v>619</v>
      </c>
      <c r="R4171" t="s">
        <v>918</v>
      </c>
      <c r="S4171">
        <v>37</v>
      </c>
      <c r="T4171" s="29" t="str">
        <f t="shared" si="187"/>
        <v>2021.010B.R.Binomial_names.zip</v>
      </c>
      <c r="U4171" s="29" t="str">
        <f>HYPERLINK("https://ictv.global/taxonomy/taxondetails?taxnode_id=202310211","ictv.global=202310211")</f>
        <v>ictv.global=202310211</v>
      </c>
    </row>
    <row r="4172" spans="1:21">
      <c r="A4172">
        <v>4171</v>
      </c>
      <c r="B4172" s="30" t="s">
        <v>1587</v>
      </c>
      <c r="D4172" s="30" t="s">
        <v>1588</v>
      </c>
      <c r="F4172" s="30" t="s">
        <v>1591</v>
      </c>
      <c r="H4172" s="30" t="s">
        <v>1592</v>
      </c>
      <c r="N4172" s="30" t="s">
        <v>2461</v>
      </c>
      <c r="P4172" s="30" t="s">
        <v>7606</v>
      </c>
      <c r="Q4172" t="s">
        <v>619</v>
      </c>
      <c r="R4172" t="s">
        <v>918</v>
      </c>
      <c r="S4172">
        <v>37</v>
      </c>
      <c r="T4172" s="29" t="str">
        <f t="shared" si="187"/>
        <v>2021.010B.R.Binomial_names.zip</v>
      </c>
      <c r="U4172" s="29" t="str">
        <f>HYPERLINK("https://ictv.global/taxonomy/taxondetails?taxnode_id=202310209","ictv.global=202310209")</f>
        <v>ictv.global=202310209</v>
      </c>
    </row>
    <row r="4173" spans="1:21">
      <c r="A4173">
        <v>4172</v>
      </c>
      <c r="B4173" s="30" t="s">
        <v>1587</v>
      </c>
      <c r="D4173" s="30" t="s">
        <v>1588</v>
      </c>
      <c r="F4173" s="30" t="s">
        <v>1591</v>
      </c>
      <c r="H4173" s="30" t="s">
        <v>1592</v>
      </c>
      <c r="N4173" s="30" t="s">
        <v>1914</v>
      </c>
      <c r="P4173" s="30" t="s">
        <v>7607</v>
      </c>
      <c r="Q4173" t="s">
        <v>619</v>
      </c>
      <c r="R4173" t="s">
        <v>918</v>
      </c>
      <c r="S4173">
        <v>37</v>
      </c>
      <c r="T4173" s="29" t="str">
        <f t="shared" si="187"/>
        <v>2021.010B.R.Binomial_names.zip</v>
      </c>
      <c r="U4173" s="29" t="str">
        <f>HYPERLINK("https://ictv.global/taxonomy/taxondetails?taxnode_id=202307890","ictv.global=202307890")</f>
        <v>ictv.global=202307890</v>
      </c>
    </row>
    <row r="4174" spans="1:21">
      <c r="A4174">
        <v>4173</v>
      </c>
      <c r="B4174" s="30" t="s">
        <v>1587</v>
      </c>
      <c r="D4174" s="30" t="s">
        <v>1588</v>
      </c>
      <c r="F4174" s="30" t="s">
        <v>1591</v>
      </c>
      <c r="H4174" s="30" t="s">
        <v>1592</v>
      </c>
      <c r="N4174" s="30" t="s">
        <v>7608</v>
      </c>
      <c r="P4174" s="30" t="s">
        <v>7609</v>
      </c>
      <c r="Q4174" t="s">
        <v>619</v>
      </c>
      <c r="R4174" t="s">
        <v>917</v>
      </c>
      <c r="S4174">
        <v>37</v>
      </c>
      <c r="T4174" s="29" t="str">
        <f>HYPERLINK("https://ictv.global/ictv/proposals/2021.047B.R.Leonardvirus.zip","2021.047B.R.Leonardvirus.zip")</f>
        <v>2021.047B.R.Leonardvirus.zip</v>
      </c>
      <c r="U4174" s="29" t="str">
        <f>HYPERLINK("https://ictv.global/taxonomy/taxondetails?taxnode_id=202312398","ictv.global=202312398")</f>
        <v>ictv.global=202312398</v>
      </c>
    </row>
    <row r="4175" spans="1:21">
      <c r="A4175">
        <v>4174</v>
      </c>
      <c r="B4175" s="30" t="s">
        <v>1587</v>
      </c>
      <c r="D4175" s="30" t="s">
        <v>1588</v>
      </c>
      <c r="F4175" s="30" t="s">
        <v>1591</v>
      </c>
      <c r="H4175" s="30" t="s">
        <v>1592</v>
      </c>
      <c r="N4175" s="30" t="s">
        <v>7608</v>
      </c>
      <c r="P4175" s="30" t="s">
        <v>7610</v>
      </c>
      <c r="Q4175" t="s">
        <v>619</v>
      </c>
      <c r="R4175" t="s">
        <v>917</v>
      </c>
      <c r="S4175">
        <v>37</v>
      </c>
      <c r="T4175" s="29" t="str">
        <f>HYPERLINK("https://ictv.global/ictv/proposals/2021.047B.R.Leonardvirus.zip","2021.047B.R.Leonardvirus.zip")</f>
        <v>2021.047B.R.Leonardvirus.zip</v>
      </c>
      <c r="U4175" s="29" t="str">
        <f>HYPERLINK("https://ictv.global/taxonomy/taxondetails?taxnode_id=202312396","ictv.global=202312396")</f>
        <v>ictv.global=202312396</v>
      </c>
    </row>
    <row r="4176" spans="1:21">
      <c r="A4176">
        <v>4175</v>
      </c>
      <c r="B4176" s="30" t="s">
        <v>1587</v>
      </c>
      <c r="D4176" s="30" t="s">
        <v>1588</v>
      </c>
      <c r="F4176" s="30" t="s">
        <v>1591</v>
      </c>
      <c r="H4176" s="30" t="s">
        <v>1592</v>
      </c>
      <c r="N4176" s="30" t="s">
        <v>7608</v>
      </c>
      <c r="P4176" s="30" t="s">
        <v>7611</v>
      </c>
      <c r="Q4176" t="s">
        <v>619</v>
      </c>
      <c r="R4176" t="s">
        <v>917</v>
      </c>
      <c r="S4176">
        <v>37</v>
      </c>
      <c r="T4176" s="29" t="str">
        <f>HYPERLINK("https://ictv.global/ictv/proposals/2021.047B.R.Leonardvirus.zip","2021.047B.R.Leonardvirus.zip")</f>
        <v>2021.047B.R.Leonardvirus.zip</v>
      </c>
      <c r="U4176" s="29" t="str">
        <f>HYPERLINK("https://ictv.global/taxonomy/taxondetails?taxnode_id=202312395","ictv.global=202312395")</f>
        <v>ictv.global=202312395</v>
      </c>
    </row>
    <row r="4177" spans="1:21">
      <c r="A4177">
        <v>4176</v>
      </c>
      <c r="B4177" s="30" t="s">
        <v>1587</v>
      </c>
      <c r="D4177" s="30" t="s">
        <v>1588</v>
      </c>
      <c r="F4177" s="30" t="s">
        <v>1591</v>
      </c>
      <c r="H4177" s="30" t="s">
        <v>1592</v>
      </c>
      <c r="N4177" s="30" t="s">
        <v>7608</v>
      </c>
      <c r="P4177" s="30" t="s">
        <v>7612</v>
      </c>
      <c r="Q4177" t="s">
        <v>619</v>
      </c>
      <c r="R4177" t="s">
        <v>917</v>
      </c>
      <c r="S4177">
        <v>37</v>
      </c>
      <c r="T4177" s="29" t="str">
        <f>HYPERLINK("https://ictv.global/ictv/proposals/2021.047B.R.Leonardvirus.zip","2021.047B.R.Leonardvirus.zip")</f>
        <v>2021.047B.R.Leonardvirus.zip</v>
      </c>
      <c r="U4177" s="29" t="str">
        <f>HYPERLINK("https://ictv.global/taxonomy/taxondetails?taxnode_id=202312397","ictv.global=202312397")</f>
        <v>ictv.global=202312397</v>
      </c>
    </row>
    <row r="4178" spans="1:21">
      <c r="A4178">
        <v>4177</v>
      </c>
      <c r="B4178" s="30" t="s">
        <v>1587</v>
      </c>
      <c r="D4178" s="30" t="s">
        <v>1588</v>
      </c>
      <c r="F4178" s="30" t="s">
        <v>1591</v>
      </c>
      <c r="H4178" s="30" t="s">
        <v>1592</v>
      </c>
      <c r="N4178" s="30" t="s">
        <v>1430</v>
      </c>
      <c r="P4178" s="30" t="s">
        <v>7613</v>
      </c>
      <c r="Q4178" t="s">
        <v>619</v>
      </c>
      <c r="R4178" t="s">
        <v>918</v>
      </c>
      <c r="S4178">
        <v>37</v>
      </c>
      <c r="T4178" s="29" t="str">
        <f t="shared" ref="T4178:T4184" si="188">HYPERLINK("https://ictv.global/ictv/proposals/2021.010B.R.Binomial_names.zip","2021.010B.R.Binomial_names.zip")</f>
        <v>2021.010B.R.Binomial_names.zip</v>
      </c>
      <c r="U4178" s="29" t="str">
        <f>HYPERLINK("https://ictv.global/taxonomy/taxondetails?taxnode_id=202300622","ictv.global=202300622")</f>
        <v>ictv.global=202300622</v>
      </c>
    </row>
    <row r="4179" spans="1:21">
      <c r="A4179">
        <v>4178</v>
      </c>
      <c r="B4179" s="30" t="s">
        <v>1587</v>
      </c>
      <c r="D4179" s="30" t="s">
        <v>1588</v>
      </c>
      <c r="F4179" s="30" t="s">
        <v>1591</v>
      </c>
      <c r="H4179" s="30" t="s">
        <v>1592</v>
      </c>
      <c r="N4179" s="30" t="s">
        <v>1430</v>
      </c>
      <c r="P4179" s="30" t="s">
        <v>7614</v>
      </c>
      <c r="Q4179" t="s">
        <v>619</v>
      </c>
      <c r="R4179" t="s">
        <v>918</v>
      </c>
      <c r="S4179">
        <v>37</v>
      </c>
      <c r="T4179" s="29" t="str">
        <f t="shared" si="188"/>
        <v>2021.010B.R.Binomial_names.zip</v>
      </c>
      <c r="U4179" s="29" t="str">
        <f>HYPERLINK("https://ictv.global/taxonomy/taxondetails?taxnode_id=202300623","ictv.global=202300623")</f>
        <v>ictv.global=202300623</v>
      </c>
    </row>
    <row r="4180" spans="1:21">
      <c r="A4180">
        <v>4179</v>
      </c>
      <c r="B4180" s="30" t="s">
        <v>1587</v>
      </c>
      <c r="D4180" s="30" t="s">
        <v>1588</v>
      </c>
      <c r="F4180" s="30" t="s">
        <v>1591</v>
      </c>
      <c r="H4180" s="30" t="s">
        <v>1592</v>
      </c>
      <c r="N4180" s="30" t="s">
        <v>1430</v>
      </c>
      <c r="P4180" s="30" t="s">
        <v>7615</v>
      </c>
      <c r="Q4180" t="s">
        <v>619</v>
      </c>
      <c r="R4180" t="s">
        <v>918</v>
      </c>
      <c r="S4180">
        <v>37</v>
      </c>
      <c r="T4180" s="29" t="str">
        <f t="shared" si="188"/>
        <v>2021.010B.R.Binomial_names.zip</v>
      </c>
      <c r="U4180" s="29" t="str">
        <f>HYPERLINK("https://ictv.global/taxonomy/taxondetails?taxnode_id=202300624","ictv.global=202300624")</f>
        <v>ictv.global=202300624</v>
      </c>
    </row>
    <row r="4181" spans="1:21">
      <c r="A4181">
        <v>4180</v>
      </c>
      <c r="B4181" s="30" t="s">
        <v>1587</v>
      </c>
      <c r="D4181" s="30" t="s">
        <v>1588</v>
      </c>
      <c r="F4181" s="30" t="s">
        <v>1591</v>
      </c>
      <c r="H4181" s="30" t="s">
        <v>1592</v>
      </c>
      <c r="N4181" s="30" t="s">
        <v>1430</v>
      </c>
      <c r="P4181" s="30" t="s">
        <v>7616</v>
      </c>
      <c r="Q4181" t="s">
        <v>619</v>
      </c>
      <c r="R4181" t="s">
        <v>918</v>
      </c>
      <c r="S4181">
        <v>37</v>
      </c>
      <c r="T4181" s="29" t="str">
        <f t="shared" si="188"/>
        <v>2021.010B.R.Binomial_names.zip</v>
      </c>
      <c r="U4181" s="29" t="str">
        <f>HYPERLINK("https://ictv.global/taxonomy/taxondetails?taxnode_id=202300625","ictv.global=202300625")</f>
        <v>ictv.global=202300625</v>
      </c>
    </row>
    <row r="4182" spans="1:21">
      <c r="A4182">
        <v>4181</v>
      </c>
      <c r="B4182" s="30" t="s">
        <v>1587</v>
      </c>
      <c r="D4182" s="30" t="s">
        <v>1588</v>
      </c>
      <c r="F4182" s="30" t="s">
        <v>1591</v>
      </c>
      <c r="H4182" s="30" t="s">
        <v>1592</v>
      </c>
      <c r="N4182" s="30" t="s">
        <v>2273</v>
      </c>
      <c r="P4182" s="30" t="s">
        <v>7617</v>
      </c>
      <c r="Q4182" t="s">
        <v>619</v>
      </c>
      <c r="R4182" t="s">
        <v>918</v>
      </c>
      <c r="S4182">
        <v>37</v>
      </c>
      <c r="T4182" s="29" t="str">
        <f t="shared" si="188"/>
        <v>2021.010B.R.Binomial_names.zip</v>
      </c>
      <c r="U4182" s="29" t="str">
        <f>HYPERLINK("https://ictv.global/taxonomy/taxondetails?taxnode_id=202311528","ictv.global=202311528")</f>
        <v>ictv.global=202311528</v>
      </c>
    </row>
    <row r="4183" spans="1:21">
      <c r="A4183">
        <v>4182</v>
      </c>
      <c r="B4183" s="30" t="s">
        <v>1587</v>
      </c>
      <c r="D4183" s="30" t="s">
        <v>1588</v>
      </c>
      <c r="F4183" s="30" t="s">
        <v>1591</v>
      </c>
      <c r="H4183" s="30" t="s">
        <v>1592</v>
      </c>
      <c r="N4183" s="30" t="s">
        <v>1431</v>
      </c>
      <c r="P4183" s="30" t="s">
        <v>7618</v>
      </c>
      <c r="Q4183" t="s">
        <v>619</v>
      </c>
      <c r="R4183" t="s">
        <v>918</v>
      </c>
      <c r="S4183">
        <v>37</v>
      </c>
      <c r="T4183" s="29" t="str">
        <f t="shared" si="188"/>
        <v>2021.010B.R.Binomial_names.zip</v>
      </c>
      <c r="U4183" s="29" t="str">
        <f>HYPERLINK("https://ictv.global/taxonomy/taxondetails?taxnode_id=202300630","ictv.global=202300630")</f>
        <v>ictv.global=202300630</v>
      </c>
    </row>
    <row r="4184" spans="1:21">
      <c r="A4184">
        <v>4183</v>
      </c>
      <c r="B4184" s="30" t="s">
        <v>1587</v>
      </c>
      <c r="D4184" s="30" t="s">
        <v>1588</v>
      </c>
      <c r="F4184" s="30" t="s">
        <v>1591</v>
      </c>
      <c r="H4184" s="30" t="s">
        <v>1592</v>
      </c>
      <c r="N4184" s="30" t="s">
        <v>1431</v>
      </c>
      <c r="P4184" s="30" t="s">
        <v>7619</v>
      </c>
      <c r="Q4184" t="s">
        <v>619</v>
      </c>
      <c r="R4184" t="s">
        <v>918</v>
      </c>
      <c r="S4184">
        <v>37</v>
      </c>
      <c r="T4184" s="29" t="str">
        <f t="shared" si="188"/>
        <v>2021.010B.R.Binomial_names.zip</v>
      </c>
      <c r="U4184" s="29" t="str">
        <f>HYPERLINK("https://ictv.global/taxonomy/taxondetails?taxnode_id=202300631","ictv.global=202300631")</f>
        <v>ictv.global=202300631</v>
      </c>
    </row>
    <row r="4185" spans="1:21">
      <c r="A4185">
        <v>4184</v>
      </c>
      <c r="B4185" s="30" t="s">
        <v>1587</v>
      </c>
      <c r="D4185" s="30" t="s">
        <v>1588</v>
      </c>
      <c r="F4185" s="30" t="s">
        <v>1591</v>
      </c>
      <c r="H4185" s="30" t="s">
        <v>1592</v>
      </c>
      <c r="N4185" s="30" t="s">
        <v>7620</v>
      </c>
      <c r="P4185" s="30" t="s">
        <v>7621</v>
      </c>
      <c r="Q4185" t="s">
        <v>619</v>
      </c>
      <c r="R4185" t="s">
        <v>917</v>
      </c>
      <c r="S4185">
        <v>37</v>
      </c>
      <c r="T4185" s="29" t="str">
        <f>HYPERLINK("https://ictv.global/ictv/proposals/2021.048B.R.Lilbeanievirus.zip","2021.048B.R.Lilbeanievirus.zip")</f>
        <v>2021.048B.R.Lilbeanievirus.zip</v>
      </c>
      <c r="U4185" s="29" t="str">
        <f>HYPERLINK("https://ictv.global/taxonomy/taxondetails?taxnode_id=202312400","ictv.global=202312400")</f>
        <v>ictv.global=202312400</v>
      </c>
    </row>
    <row r="4186" spans="1:21">
      <c r="A4186">
        <v>4185</v>
      </c>
      <c r="B4186" s="30" t="s">
        <v>1587</v>
      </c>
      <c r="D4186" s="30" t="s">
        <v>1588</v>
      </c>
      <c r="F4186" s="30" t="s">
        <v>1591</v>
      </c>
      <c r="H4186" s="30" t="s">
        <v>1592</v>
      </c>
      <c r="N4186" s="30" t="s">
        <v>2463</v>
      </c>
      <c r="P4186" s="30" t="s">
        <v>7622</v>
      </c>
      <c r="Q4186" t="s">
        <v>619</v>
      </c>
      <c r="R4186" t="s">
        <v>918</v>
      </c>
      <c r="S4186">
        <v>37</v>
      </c>
      <c r="T4186" s="29" t="str">
        <f t="shared" ref="T4186:T4191" si="189">HYPERLINK("https://ictv.global/ictv/proposals/2021.010B.R.Binomial_names.zip","2021.010B.R.Binomial_names.zip")</f>
        <v>2021.010B.R.Binomial_names.zip</v>
      </c>
      <c r="U4186" s="29" t="str">
        <f>HYPERLINK("https://ictv.global/taxonomy/taxondetails?taxnode_id=202310029","ictv.global=202310029")</f>
        <v>ictv.global=202310029</v>
      </c>
    </row>
    <row r="4187" spans="1:21">
      <c r="A4187">
        <v>4186</v>
      </c>
      <c r="B4187" s="30" t="s">
        <v>1587</v>
      </c>
      <c r="D4187" s="30" t="s">
        <v>1588</v>
      </c>
      <c r="F4187" s="30" t="s">
        <v>1591</v>
      </c>
      <c r="H4187" s="30" t="s">
        <v>1592</v>
      </c>
      <c r="N4187" s="30" t="s">
        <v>2463</v>
      </c>
      <c r="P4187" s="30" t="s">
        <v>7623</v>
      </c>
      <c r="Q4187" t="s">
        <v>619</v>
      </c>
      <c r="R4187" t="s">
        <v>918</v>
      </c>
      <c r="S4187">
        <v>37</v>
      </c>
      <c r="T4187" s="29" t="str">
        <f t="shared" si="189"/>
        <v>2021.010B.R.Binomial_names.zip</v>
      </c>
      <c r="U4187" s="29" t="str">
        <f>HYPERLINK("https://ictv.global/taxonomy/taxondetails?taxnode_id=202310027","ictv.global=202310027")</f>
        <v>ictv.global=202310027</v>
      </c>
    </row>
    <row r="4188" spans="1:21">
      <c r="A4188">
        <v>4187</v>
      </c>
      <c r="B4188" s="30" t="s">
        <v>1587</v>
      </c>
      <c r="D4188" s="30" t="s">
        <v>1588</v>
      </c>
      <c r="F4188" s="30" t="s">
        <v>1591</v>
      </c>
      <c r="H4188" s="30" t="s">
        <v>1592</v>
      </c>
      <c r="N4188" s="30" t="s">
        <v>2463</v>
      </c>
      <c r="P4188" s="30" t="s">
        <v>7624</v>
      </c>
      <c r="Q4188" t="s">
        <v>619</v>
      </c>
      <c r="R4188" t="s">
        <v>918</v>
      </c>
      <c r="S4188">
        <v>37</v>
      </c>
      <c r="T4188" s="29" t="str">
        <f t="shared" si="189"/>
        <v>2021.010B.R.Binomial_names.zip</v>
      </c>
      <c r="U4188" s="29" t="str">
        <f>HYPERLINK("https://ictv.global/taxonomy/taxondetails?taxnode_id=202310028","ictv.global=202310028")</f>
        <v>ictv.global=202310028</v>
      </c>
    </row>
    <row r="4189" spans="1:21">
      <c r="A4189">
        <v>4188</v>
      </c>
      <c r="B4189" s="30" t="s">
        <v>1587</v>
      </c>
      <c r="D4189" s="30" t="s">
        <v>1588</v>
      </c>
      <c r="F4189" s="30" t="s">
        <v>1591</v>
      </c>
      <c r="H4189" s="30" t="s">
        <v>1592</v>
      </c>
      <c r="N4189" s="30" t="s">
        <v>2463</v>
      </c>
      <c r="P4189" s="30" t="s">
        <v>7625</v>
      </c>
      <c r="Q4189" t="s">
        <v>619</v>
      </c>
      <c r="R4189" t="s">
        <v>918</v>
      </c>
      <c r="S4189">
        <v>37</v>
      </c>
      <c r="T4189" s="29" t="str">
        <f t="shared" si="189"/>
        <v>2021.010B.R.Binomial_names.zip</v>
      </c>
      <c r="U4189" s="29" t="str">
        <f>HYPERLINK("https://ictv.global/taxonomy/taxondetails?taxnode_id=202310031","ictv.global=202310031")</f>
        <v>ictv.global=202310031</v>
      </c>
    </row>
    <row r="4190" spans="1:21">
      <c r="A4190">
        <v>4189</v>
      </c>
      <c r="B4190" s="30" t="s">
        <v>1587</v>
      </c>
      <c r="D4190" s="30" t="s">
        <v>1588</v>
      </c>
      <c r="F4190" s="30" t="s">
        <v>1591</v>
      </c>
      <c r="H4190" s="30" t="s">
        <v>1592</v>
      </c>
      <c r="N4190" s="30" t="s">
        <v>2463</v>
      </c>
      <c r="P4190" s="30" t="s">
        <v>7626</v>
      </c>
      <c r="Q4190" t="s">
        <v>619</v>
      </c>
      <c r="R4190" t="s">
        <v>918</v>
      </c>
      <c r="S4190">
        <v>37</v>
      </c>
      <c r="T4190" s="29" t="str">
        <f t="shared" si="189"/>
        <v>2021.010B.R.Binomial_names.zip</v>
      </c>
      <c r="U4190" s="29" t="str">
        <f>HYPERLINK("https://ictv.global/taxonomy/taxondetails?taxnode_id=202310032","ictv.global=202310032")</f>
        <v>ictv.global=202310032</v>
      </c>
    </row>
    <row r="4191" spans="1:21">
      <c r="A4191">
        <v>4190</v>
      </c>
      <c r="B4191" s="30" t="s">
        <v>1587</v>
      </c>
      <c r="D4191" s="30" t="s">
        <v>1588</v>
      </c>
      <c r="F4191" s="30" t="s">
        <v>1591</v>
      </c>
      <c r="H4191" s="30" t="s">
        <v>1592</v>
      </c>
      <c r="N4191" s="30" t="s">
        <v>2463</v>
      </c>
      <c r="P4191" s="30" t="s">
        <v>7627</v>
      </c>
      <c r="Q4191" t="s">
        <v>619</v>
      </c>
      <c r="R4191" t="s">
        <v>918</v>
      </c>
      <c r="S4191">
        <v>37</v>
      </c>
      <c r="T4191" s="29" t="str">
        <f t="shared" si="189"/>
        <v>2021.010B.R.Binomial_names.zip</v>
      </c>
      <c r="U4191" s="29" t="str">
        <f>HYPERLINK("https://ictv.global/taxonomy/taxondetails?taxnode_id=202310030","ictv.global=202310030")</f>
        <v>ictv.global=202310030</v>
      </c>
    </row>
    <row r="4192" spans="1:21">
      <c r="A4192">
        <v>4191</v>
      </c>
      <c r="B4192" s="30" t="s">
        <v>1587</v>
      </c>
      <c r="D4192" s="30" t="s">
        <v>1588</v>
      </c>
      <c r="F4192" s="30" t="s">
        <v>1591</v>
      </c>
      <c r="H4192" s="30" t="s">
        <v>1592</v>
      </c>
      <c r="N4192" s="30" t="s">
        <v>12656</v>
      </c>
      <c r="P4192" s="30" t="s">
        <v>12657</v>
      </c>
      <c r="Q4192" t="s">
        <v>619</v>
      </c>
      <c r="R4192" t="s">
        <v>917</v>
      </c>
      <c r="S4192">
        <v>39</v>
      </c>
      <c r="T4192" s="29" t="str">
        <f>HYPERLINK("https://ictv.global/ictv/proposals/2023.003B.Actinobacteriophage_singletons_25ng.zip","2023.003B.Actinobacteriophage_singletons_25ng.zip")</f>
        <v>2023.003B.Actinobacteriophage_singletons_25ng.zip</v>
      </c>
      <c r="U4192" s="29" t="str">
        <f>HYPERLINK("https://ictv.global/taxonomy/taxondetails?taxnode_id=202317761","ictv.global=202317761")</f>
        <v>ictv.global=202317761</v>
      </c>
    </row>
    <row r="4193" spans="1:21">
      <c r="A4193">
        <v>4192</v>
      </c>
      <c r="B4193" s="30" t="s">
        <v>1587</v>
      </c>
      <c r="D4193" s="30" t="s">
        <v>1588</v>
      </c>
      <c r="F4193" s="30" t="s">
        <v>1591</v>
      </c>
      <c r="H4193" s="30" t="s">
        <v>1592</v>
      </c>
      <c r="N4193" s="30" t="s">
        <v>1514</v>
      </c>
      <c r="P4193" s="30" t="s">
        <v>7628</v>
      </c>
      <c r="Q4193" t="s">
        <v>619</v>
      </c>
      <c r="R4193" t="s">
        <v>918</v>
      </c>
      <c r="S4193">
        <v>37</v>
      </c>
      <c r="T4193" s="29" t="str">
        <f>HYPERLINK("https://ictv.global/ictv/proposals/2021.010B.R.Binomial_names.zip","2021.010B.R.Binomial_names.zip")</f>
        <v>2021.010B.R.Binomial_names.zip</v>
      </c>
      <c r="U4193" s="29" t="str">
        <f>HYPERLINK("https://ictv.global/taxonomy/taxondetails?taxnode_id=202306774","ictv.global=202306774")</f>
        <v>ictv.global=202306774</v>
      </c>
    </row>
    <row r="4194" spans="1:21">
      <c r="A4194">
        <v>4193</v>
      </c>
      <c r="B4194" s="30" t="s">
        <v>1587</v>
      </c>
      <c r="D4194" s="30" t="s">
        <v>1588</v>
      </c>
      <c r="F4194" s="30" t="s">
        <v>1591</v>
      </c>
      <c r="H4194" s="30" t="s">
        <v>1592</v>
      </c>
      <c r="N4194" s="30" t="s">
        <v>12658</v>
      </c>
      <c r="P4194" s="30" t="s">
        <v>12659</v>
      </c>
      <c r="Q4194" t="s">
        <v>619</v>
      </c>
      <c r="R4194" t="s">
        <v>917</v>
      </c>
      <c r="S4194">
        <v>39</v>
      </c>
      <c r="T4194" s="29" t="str">
        <f>HYPERLINK("https://ictv.global/ictv/proposals/2023.022B.Caudoviricetes_Pseudomonas_7ng.zip","2023.022B.Caudoviricetes_Pseudomonas_7ng.zip")</f>
        <v>2023.022B.Caudoviricetes_Pseudomonas_7ng.zip</v>
      </c>
      <c r="U4194" s="29" t="str">
        <f>HYPERLINK("https://ictv.global/taxonomy/taxondetails?taxnode_id=202318574","ictv.global=202318574")</f>
        <v>ictv.global=202318574</v>
      </c>
    </row>
    <row r="4195" spans="1:21">
      <c r="A4195">
        <v>4194</v>
      </c>
      <c r="B4195" s="30" t="s">
        <v>1587</v>
      </c>
      <c r="D4195" s="30" t="s">
        <v>1588</v>
      </c>
      <c r="F4195" s="30" t="s">
        <v>1591</v>
      </c>
      <c r="H4195" s="30" t="s">
        <v>1592</v>
      </c>
      <c r="N4195" s="30" t="s">
        <v>1824</v>
      </c>
      <c r="P4195" s="30" t="s">
        <v>7629</v>
      </c>
      <c r="Q4195" t="s">
        <v>619</v>
      </c>
      <c r="R4195" t="s">
        <v>918</v>
      </c>
      <c r="S4195">
        <v>37</v>
      </c>
      <c r="T4195" s="29" t="str">
        <f t="shared" ref="T4195:T4202" si="190">HYPERLINK("https://ictv.global/ictv/proposals/2021.010B.R.Binomial_names.zip","2021.010B.R.Binomial_names.zip")</f>
        <v>2021.010B.R.Binomial_names.zip</v>
      </c>
      <c r="U4195" s="29" t="str">
        <f>HYPERLINK("https://ictv.global/taxonomy/taxondetails?taxnode_id=202307758","ictv.global=202307758")</f>
        <v>ictv.global=202307758</v>
      </c>
    </row>
    <row r="4196" spans="1:21">
      <c r="A4196">
        <v>4195</v>
      </c>
      <c r="B4196" s="30" t="s">
        <v>1587</v>
      </c>
      <c r="D4196" s="30" t="s">
        <v>1588</v>
      </c>
      <c r="F4196" s="30" t="s">
        <v>1591</v>
      </c>
      <c r="H4196" s="30" t="s">
        <v>1592</v>
      </c>
      <c r="N4196" s="30" t="s">
        <v>1515</v>
      </c>
      <c r="P4196" s="30" t="s">
        <v>7630</v>
      </c>
      <c r="Q4196" t="s">
        <v>619</v>
      </c>
      <c r="R4196" t="s">
        <v>918</v>
      </c>
      <c r="S4196">
        <v>37</v>
      </c>
      <c r="T4196" s="29" t="str">
        <f t="shared" si="190"/>
        <v>2021.010B.R.Binomial_names.zip</v>
      </c>
      <c r="U4196" s="29" t="str">
        <f>HYPERLINK("https://ictv.global/taxonomy/taxondetails?taxnode_id=202306916","ictv.global=202306916")</f>
        <v>ictv.global=202306916</v>
      </c>
    </row>
    <row r="4197" spans="1:21">
      <c r="A4197">
        <v>4196</v>
      </c>
      <c r="B4197" s="30" t="s">
        <v>1587</v>
      </c>
      <c r="D4197" s="30" t="s">
        <v>1588</v>
      </c>
      <c r="F4197" s="30" t="s">
        <v>1591</v>
      </c>
      <c r="H4197" s="30" t="s">
        <v>1592</v>
      </c>
      <c r="N4197" s="30" t="s">
        <v>1515</v>
      </c>
      <c r="P4197" s="30" t="s">
        <v>7631</v>
      </c>
      <c r="Q4197" t="s">
        <v>619</v>
      </c>
      <c r="R4197" t="s">
        <v>918</v>
      </c>
      <c r="S4197">
        <v>37</v>
      </c>
      <c r="T4197" s="29" t="str">
        <f t="shared" si="190"/>
        <v>2021.010B.R.Binomial_names.zip</v>
      </c>
      <c r="U4197" s="29" t="str">
        <f>HYPERLINK("https://ictv.global/taxonomy/taxondetails?taxnode_id=202306915","ictv.global=202306915")</f>
        <v>ictv.global=202306915</v>
      </c>
    </row>
    <row r="4198" spans="1:21">
      <c r="A4198">
        <v>4197</v>
      </c>
      <c r="B4198" s="30" t="s">
        <v>1587</v>
      </c>
      <c r="D4198" s="30" t="s">
        <v>1588</v>
      </c>
      <c r="F4198" s="30" t="s">
        <v>1591</v>
      </c>
      <c r="H4198" s="30" t="s">
        <v>1592</v>
      </c>
      <c r="N4198" s="30" t="s">
        <v>1516</v>
      </c>
      <c r="P4198" s="30" t="s">
        <v>7632</v>
      </c>
      <c r="Q4198" t="s">
        <v>619</v>
      </c>
      <c r="R4198" t="s">
        <v>918</v>
      </c>
      <c r="S4198">
        <v>37</v>
      </c>
      <c r="T4198" s="29" t="str">
        <f t="shared" si="190"/>
        <v>2021.010B.R.Binomial_names.zip</v>
      </c>
      <c r="U4198" s="29" t="str">
        <f>HYPERLINK("https://ictv.global/taxonomy/taxondetails?taxnode_id=202301185","ictv.global=202301185")</f>
        <v>ictv.global=202301185</v>
      </c>
    </row>
    <row r="4199" spans="1:21">
      <c r="A4199">
        <v>4198</v>
      </c>
      <c r="B4199" s="30" t="s">
        <v>1587</v>
      </c>
      <c r="D4199" s="30" t="s">
        <v>1588</v>
      </c>
      <c r="F4199" s="30" t="s">
        <v>1591</v>
      </c>
      <c r="H4199" s="30" t="s">
        <v>1592</v>
      </c>
      <c r="N4199" s="30" t="s">
        <v>1516</v>
      </c>
      <c r="P4199" s="30" t="s">
        <v>7633</v>
      </c>
      <c r="Q4199" t="s">
        <v>619</v>
      </c>
      <c r="R4199" t="s">
        <v>918</v>
      </c>
      <c r="S4199">
        <v>37</v>
      </c>
      <c r="T4199" s="29" t="str">
        <f t="shared" si="190"/>
        <v>2021.010B.R.Binomial_names.zip</v>
      </c>
      <c r="U4199" s="29" t="str">
        <f>HYPERLINK("https://ictv.global/taxonomy/taxondetails?taxnode_id=202301186","ictv.global=202301186")</f>
        <v>ictv.global=202301186</v>
      </c>
    </row>
    <row r="4200" spans="1:21">
      <c r="A4200">
        <v>4199</v>
      </c>
      <c r="B4200" s="30" t="s">
        <v>1587</v>
      </c>
      <c r="D4200" s="30" t="s">
        <v>1588</v>
      </c>
      <c r="F4200" s="30" t="s">
        <v>1591</v>
      </c>
      <c r="H4200" s="30" t="s">
        <v>1592</v>
      </c>
      <c r="N4200" s="30" t="s">
        <v>1825</v>
      </c>
      <c r="P4200" s="30" t="s">
        <v>7634</v>
      </c>
      <c r="Q4200" t="s">
        <v>619</v>
      </c>
      <c r="R4200" t="s">
        <v>918</v>
      </c>
      <c r="S4200">
        <v>37</v>
      </c>
      <c r="T4200" s="29" t="str">
        <f t="shared" si="190"/>
        <v>2021.010B.R.Binomial_names.zip</v>
      </c>
      <c r="U4200" s="29" t="str">
        <f>HYPERLINK("https://ictv.global/taxonomy/taxondetails?taxnode_id=202307914","ictv.global=202307914")</f>
        <v>ictv.global=202307914</v>
      </c>
    </row>
    <row r="4201" spans="1:21">
      <c r="A4201">
        <v>4200</v>
      </c>
      <c r="B4201" s="30" t="s">
        <v>1587</v>
      </c>
      <c r="D4201" s="30" t="s">
        <v>1588</v>
      </c>
      <c r="F4201" s="30" t="s">
        <v>1591</v>
      </c>
      <c r="H4201" s="30" t="s">
        <v>1592</v>
      </c>
      <c r="N4201" s="30" t="s">
        <v>1367</v>
      </c>
      <c r="P4201" s="30" t="s">
        <v>7635</v>
      </c>
      <c r="Q4201" t="s">
        <v>619</v>
      </c>
      <c r="R4201" t="s">
        <v>918</v>
      </c>
      <c r="S4201">
        <v>37</v>
      </c>
      <c r="T4201" s="29" t="str">
        <f t="shared" si="190"/>
        <v>2021.010B.R.Binomial_names.zip</v>
      </c>
      <c r="U4201" s="29" t="str">
        <f>HYPERLINK("https://ictv.global/taxonomy/taxondetails?taxnode_id=202300423","ictv.global=202300423")</f>
        <v>ictv.global=202300423</v>
      </c>
    </row>
    <row r="4202" spans="1:21">
      <c r="A4202">
        <v>4201</v>
      </c>
      <c r="B4202" s="30" t="s">
        <v>1587</v>
      </c>
      <c r="D4202" s="30" t="s">
        <v>1588</v>
      </c>
      <c r="F4202" s="30" t="s">
        <v>1591</v>
      </c>
      <c r="H4202" s="30" t="s">
        <v>1592</v>
      </c>
      <c r="N4202" s="30" t="s">
        <v>1367</v>
      </c>
      <c r="P4202" s="30" t="s">
        <v>7636</v>
      </c>
      <c r="Q4202" t="s">
        <v>619</v>
      </c>
      <c r="R4202" t="s">
        <v>918</v>
      </c>
      <c r="S4202">
        <v>37</v>
      </c>
      <c r="T4202" s="29" t="str">
        <f t="shared" si="190"/>
        <v>2021.010B.R.Binomial_names.zip</v>
      </c>
      <c r="U4202" s="29" t="str">
        <f>HYPERLINK("https://ictv.global/taxonomy/taxondetails?taxnode_id=202309889","ictv.global=202309889")</f>
        <v>ictv.global=202309889</v>
      </c>
    </row>
    <row r="4203" spans="1:21">
      <c r="A4203">
        <v>4202</v>
      </c>
      <c r="B4203" s="30" t="s">
        <v>1587</v>
      </c>
      <c r="D4203" s="30" t="s">
        <v>1588</v>
      </c>
      <c r="F4203" s="30" t="s">
        <v>1591</v>
      </c>
      <c r="H4203" s="30" t="s">
        <v>1592</v>
      </c>
      <c r="N4203" s="30" t="s">
        <v>7637</v>
      </c>
      <c r="P4203" s="30" t="s">
        <v>7638</v>
      </c>
      <c r="Q4203" t="s">
        <v>619</v>
      </c>
      <c r="R4203" t="s">
        <v>917</v>
      </c>
      <c r="S4203">
        <v>37</v>
      </c>
      <c r="T4203" s="29" t="str">
        <f>HYPERLINK("https://ictv.global/ictv/proposals/2021.049B.R.Luchadorvirus.zip","2021.049B.R.Luchadorvirus.zip")</f>
        <v>2021.049B.R.Luchadorvirus.zip</v>
      </c>
      <c r="U4203" s="29" t="str">
        <f>HYPERLINK("https://ictv.global/taxonomy/taxondetails?taxnode_id=202312404","ictv.global=202312404")</f>
        <v>ictv.global=202312404</v>
      </c>
    </row>
    <row r="4204" spans="1:21">
      <c r="A4204">
        <v>4203</v>
      </c>
      <c r="B4204" s="30" t="s">
        <v>1587</v>
      </c>
      <c r="D4204" s="30" t="s">
        <v>1588</v>
      </c>
      <c r="F4204" s="30" t="s">
        <v>1591</v>
      </c>
      <c r="H4204" s="30" t="s">
        <v>1592</v>
      </c>
      <c r="N4204" s="30" t="s">
        <v>7637</v>
      </c>
      <c r="P4204" s="30" t="s">
        <v>7639</v>
      </c>
      <c r="Q4204" t="s">
        <v>619</v>
      </c>
      <c r="R4204" t="s">
        <v>917</v>
      </c>
      <c r="S4204">
        <v>37</v>
      </c>
      <c r="T4204" s="29" t="str">
        <f>HYPERLINK("https://ictv.global/ictv/proposals/2021.049B.R.Luchadorvirus.zip","2021.049B.R.Luchadorvirus.zip")</f>
        <v>2021.049B.R.Luchadorvirus.zip</v>
      </c>
      <c r="U4204" s="29" t="str">
        <f>HYPERLINK("https://ictv.global/taxonomy/taxondetails?taxnode_id=202312403","ictv.global=202312403")</f>
        <v>ictv.global=202312403</v>
      </c>
    </row>
    <row r="4205" spans="1:21">
      <c r="A4205">
        <v>4204</v>
      </c>
      <c r="B4205" s="30" t="s">
        <v>1587</v>
      </c>
      <c r="D4205" s="30" t="s">
        <v>1588</v>
      </c>
      <c r="F4205" s="30" t="s">
        <v>1591</v>
      </c>
      <c r="H4205" s="30" t="s">
        <v>1592</v>
      </c>
      <c r="N4205" s="30" t="s">
        <v>7637</v>
      </c>
      <c r="P4205" s="30" t="s">
        <v>7640</v>
      </c>
      <c r="Q4205" t="s">
        <v>619</v>
      </c>
      <c r="R4205" t="s">
        <v>917</v>
      </c>
      <c r="S4205">
        <v>37</v>
      </c>
      <c r="T4205" s="29" t="str">
        <f>HYPERLINK("https://ictv.global/ictv/proposals/2021.049B.R.Luchadorvirus.zip","2021.049B.R.Luchadorvirus.zip")</f>
        <v>2021.049B.R.Luchadorvirus.zip</v>
      </c>
      <c r="U4205" s="29" t="str">
        <f>HYPERLINK("https://ictv.global/taxonomy/taxondetails?taxnode_id=202312402","ictv.global=202312402")</f>
        <v>ictv.global=202312402</v>
      </c>
    </row>
    <row r="4206" spans="1:21">
      <c r="A4206">
        <v>4205</v>
      </c>
      <c r="B4206" s="30" t="s">
        <v>1587</v>
      </c>
      <c r="D4206" s="30" t="s">
        <v>1588</v>
      </c>
      <c r="F4206" s="30" t="s">
        <v>1591</v>
      </c>
      <c r="H4206" s="30" t="s">
        <v>1592</v>
      </c>
      <c r="N4206" s="30" t="s">
        <v>1916</v>
      </c>
      <c r="P4206" s="30" t="s">
        <v>7641</v>
      </c>
      <c r="Q4206" t="s">
        <v>619</v>
      </c>
      <c r="R4206" t="s">
        <v>918</v>
      </c>
      <c r="S4206">
        <v>37</v>
      </c>
      <c r="T4206" s="29" t="str">
        <f>HYPERLINK("https://ictv.global/ictv/proposals/2021.010B.R.Binomial_names.zip","2021.010B.R.Binomial_names.zip")</f>
        <v>2021.010B.R.Binomial_names.zip</v>
      </c>
      <c r="U4206" s="29" t="str">
        <f>HYPERLINK("https://ictv.global/taxonomy/taxondetails?taxnode_id=202307441","ictv.global=202307441")</f>
        <v>ictv.global=202307441</v>
      </c>
    </row>
    <row r="4207" spans="1:21">
      <c r="A4207">
        <v>4206</v>
      </c>
      <c r="B4207" s="30" t="s">
        <v>1587</v>
      </c>
      <c r="D4207" s="30" t="s">
        <v>1588</v>
      </c>
      <c r="F4207" s="30" t="s">
        <v>1591</v>
      </c>
      <c r="H4207" s="30" t="s">
        <v>1592</v>
      </c>
      <c r="N4207" s="30" t="s">
        <v>1917</v>
      </c>
      <c r="P4207" s="30" t="s">
        <v>7642</v>
      </c>
      <c r="Q4207" t="s">
        <v>619</v>
      </c>
      <c r="R4207" t="s">
        <v>918</v>
      </c>
      <c r="S4207">
        <v>37</v>
      </c>
      <c r="T4207" s="29" t="str">
        <f>HYPERLINK("https://ictv.global/ictv/proposals/2021.010B.R.Binomial_names.zip","2021.010B.R.Binomial_names.zip")</f>
        <v>2021.010B.R.Binomial_names.zip</v>
      </c>
      <c r="U4207" s="29" t="str">
        <f>HYPERLINK("https://ictv.global/taxonomy/taxondetails?taxnode_id=202307448","ictv.global=202307448")</f>
        <v>ictv.global=202307448</v>
      </c>
    </row>
    <row r="4208" spans="1:21">
      <c r="A4208">
        <v>4207</v>
      </c>
      <c r="B4208" s="30" t="s">
        <v>1587</v>
      </c>
      <c r="D4208" s="30" t="s">
        <v>1588</v>
      </c>
      <c r="F4208" s="30" t="s">
        <v>1591</v>
      </c>
      <c r="H4208" s="30" t="s">
        <v>1592</v>
      </c>
      <c r="N4208" s="30" t="s">
        <v>7643</v>
      </c>
      <c r="P4208" s="30" t="s">
        <v>7644</v>
      </c>
      <c r="Q4208" t="s">
        <v>619</v>
      </c>
      <c r="R4208" t="s">
        <v>917</v>
      </c>
      <c r="S4208">
        <v>38</v>
      </c>
      <c r="T4208" s="29" t="str">
        <f>HYPERLINK("https://ictv.global/ictv/proposals/2022.044B.Ludhianavirus_ng.zip","2022.044B.Ludhianavirus_ng.zip")</f>
        <v>2022.044B.Ludhianavirus_ng.zip</v>
      </c>
      <c r="U4208" s="29" t="str">
        <f>HYPERLINK("https://ictv.global/taxonomy/taxondetails?taxnode_id=202314660","ictv.global=202314660")</f>
        <v>ictv.global=202314660</v>
      </c>
    </row>
    <row r="4209" spans="1:21">
      <c r="A4209">
        <v>4208</v>
      </c>
      <c r="B4209" s="30" t="s">
        <v>1587</v>
      </c>
      <c r="D4209" s="30" t="s">
        <v>1588</v>
      </c>
      <c r="F4209" s="30" t="s">
        <v>1591</v>
      </c>
      <c r="H4209" s="30" t="s">
        <v>1592</v>
      </c>
      <c r="N4209" s="30" t="s">
        <v>7643</v>
      </c>
      <c r="P4209" s="30" t="s">
        <v>7645</v>
      </c>
      <c r="Q4209" t="s">
        <v>619</v>
      </c>
      <c r="R4209" t="s">
        <v>917</v>
      </c>
      <c r="S4209">
        <v>38</v>
      </c>
      <c r="T4209" s="29" t="str">
        <f>HYPERLINK("https://ictv.global/ictv/proposals/2022.044B.Ludhianavirus_ng.zip","2022.044B.Ludhianavirus_ng.zip")</f>
        <v>2022.044B.Ludhianavirus_ng.zip</v>
      </c>
      <c r="U4209" s="29" t="str">
        <f>HYPERLINK("https://ictv.global/taxonomy/taxondetails?taxnode_id=202314661","ictv.global=202314661")</f>
        <v>ictv.global=202314661</v>
      </c>
    </row>
    <row r="4210" spans="1:21">
      <c r="A4210">
        <v>4209</v>
      </c>
      <c r="B4210" s="30" t="s">
        <v>1587</v>
      </c>
      <c r="D4210" s="30" t="s">
        <v>1588</v>
      </c>
      <c r="F4210" s="30" t="s">
        <v>1591</v>
      </c>
      <c r="H4210" s="30" t="s">
        <v>1592</v>
      </c>
      <c r="N4210" s="30" t="s">
        <v>7643</v>
      </c>
      <c r="P4210" s="30" t="s">
        <v>7646</v>
      </c>
      <c r="Q4210" t="s">
        <v>619</v>
      </c>
      <c r="R4210" t="s">
        <v>917</v>
      </c>
      <c r="S4210">
        <v>38</v>
      </c>
      <c r="T4210" s="29" t="str">
        <f>HYPERLINK("https://ictv.global/ictv/proposals/2022.044B.Ludhianavirus_ng.zip","2022.044B.Ludhianavirus_ng.zip")</f>
        <v>2022.044B.Ludhianavirus_ng.zip</v>
      </c>
      <c r="U4210" s="29" t="str">
        <f>HYPERLINK("https://ictv.global/taxonomy/taxondetails?taxnode_id=202314659","ictv.global=202314659")</f>
        <v>ictv.global=202314659</v>
      </c>
    </row>
    <row r="4211" spans="1:21">
      <c r="A4211">
        <v>4210</v>
      </c>
      <c r="B4211" s="30" t="s">
        <v>1587</v>
      </c>
      <c r="D4211" s="30" t="s">
        <v>1588</v>
      </c>
      <c r="F4211" s="30" t="s">
        <v>1591</v>
      </c>
      <c r="H4211" s="30" t="s">
        <v>1592</v>
      </c>
      <c r="N4211" s="30" t="s">
        <v>1918</v>
      </c>
      <c r="P4211" s="30" t="s">
        <v>7647</v>
      </c>
      <c r="Q4211" t="s">
        <v>619</v>
      </c>
      <c r="R4211" t="s">
        <v>918</v>
      </c>
      <c r="S4211">
        <v>37</v>
      </c>
      <c r="T4211" s="29" t="str">
        <f>HYPERLINK("https://ictv.global/ictv/proposals/2021.010B.R.Binomial_names.zip","2021.010B.R.Binomial_names.zip")</f>
        <v>2021.010B.R.Binomial_names.zip</v>
      </c>
      <c r="U4211" s="29" t="str">
        <f>HYPERLINK("https://ictv.global/taxonomy/taxondetails?taxnode_id=202308054","ictv.global=202308054")</f>
        <v>ictv.global=202308054</v>
      </c>
    </row>
    <row r="4212" spans="1:21">
      <c r="A4212">
        <v>4211</v>
      </c>
      <c r="B4212" s="30" t="s">
        <v>1587</v>
      </c>
      <c r="D4212" s="30" t="s">
        <v>1588</v>
      </c>
      <c r="F4212" s="30" t="s">
        <v>1591</v>
      </c>
      <c r="H4212" s="30" t="s">
        <v>1592</v>
      </c>
      <c r="N4212" s="30" t="s">
        <v>1517</v>
      </c>
      <c r="P4212" s="30" t="s">
        <v>7648</v>
      </c>
      <c r="Q4212" t="s">
        <v>619</v>
      </c>
      <c r="R4212" t="s">
        <v>918</v>
      </c>
      <c r="S4212">
        <v>37</v>
      </c>
      <c r="T4212" s="29" t="str">
        <f>HYPERLINK("https://ictv.global/ictv/proposals/2021.010B.R.Binomial_names.zip","2021.010B.R.Binomial_names.zip")</f>
        <v>2021.010B.R.Binomial_names.zip</v>
      </c>
      <c r="U4212" s="29" t="str">
        <f>HYPERLINK("https://ictv.global/taxonomy/taxondetails?taxnode_id=202301353","ictv.global=202301353")</f>
        <v>ictv.global=202301353</v>
      </c>
    </row>
    <row r="4213" spans="1:21">
      <c r="A4213">
        <v>4212</v>
      </c>
      <c r="B4213" s="30" t="s">
        <v>1587</v>
      </c>
      <c r="D4213" s="30" t="s">
        <v>1588</v>
      </c>
      <c r="F4213" s="30" t="s">
        <v>1591</v>
      </c>
      <c r="H4213" s="30" t="s">
        <v>1592</v>
      </c>
      <c r="N4213" s="30" t="s">
        <v>1517</v>
      </c>
      <c r="P4213" s="30" t="s">
        <v>7649</v>
      </c>
      <c r="Q4213" t="s">
        <v>619</v>
      </c>
      <c r="R4213" t="s">
        <v>918</v>
      </c>
      <c r="S4213">
        <v>37</v>
      </c>
      <c r="T4213" s="29" t="str">
        <f>HYPERLINK("https://ictv.global/ictv/proposals/2021.010B.R.Binomial_names.zip","2021.010B.R.Binomial_names.zip")</f>
        <v>2021.010B.R.Binomial_names.zip</v>
      </c>
      <c r="U4213" s="29" t="str">
        <f>HYPERLINK("https://ictv.global/taxonomy/taxondetails?taxnode_id=202301354","ictv.global=202301354")</f>
        <v>ictv.global=202301354</v>
      </c>
    </row>
    <row r="4214" spans="1:21">
      <c r="A4214">
        <v>4213</v>
      </c>
      <c r="B4214" s="30" t="s">
        <v>1587</v>
      </c>
      <c r="D4214" s="30" t="s">
        <v>1588</v>
      </c>
      <c r="F4214" s="30" t="s">
        <v>1591</v>
      </c>
      <c r="H4214" s="30" t="s">
        <v>1592</v>
      </c>
      <c r="N4214" s="30" t="s">
        <v>7650</v>
      </c>
      <c r="P4214" s="30" t="s">
        <v>7651</v>
      </c>
      <c r="Q4214" t="s">
        <v>619</v>
      </c>
      <c r="R4214" t="s">
        <v>917</v>
      </c>
      <c r="S4214">
        <v>38</v>
      </c>
      <c r="T4214" s="29" t="str">
        <f>HYPERLINK("https://ictv.global/ictv/proposals/2022.045B.Maaswegvirus_ng.zip","2022.045B.Maaswegvirus_ng.zip")</f>
        <v>2022.045B.Maaswegvirus_ng.zip</v>
      </c>
      <c r="U4214" s="29" t="str">
        <f>HYPERLINK("https://ictv.global/taxonomy/taxondetails?taxnode_id=202314663","ictv.global=202314663")</f>
        <v>ictv.global=202314663</v>
      </c>
    </row>
    <row r="4215" spans="1:21">
      <c r="A4215">
        <v>4214</v>
      </c>
      <c r="B4215" s="30" t="s">
        <v>1587</v>
      </c>
      <c r="D4215" s="30" t="s">
        <v>1588</v>
      </c>
      <c r="F4215" s="30" t="s">
        <v>1591</v>
      </c>
      <c r="H4215" s="30" t="s">
        <v>1592</v>
      </c>
      <c r="N4215" s="30" t="s">
        <v>7652</v>
      </c>
      <c r="P4215" s="30" t="s">
        <v>7653</v>
      </c>
      <c r="Q4215" t="s">
        <v>619</v>
      </c>
      <c r="R4215" t="s">
        <v>917</v>
      </c>
      <c r="S4215">
        <v>37</v>
      </c>
      <c r="T4215" s="29" t="str">
        <f>HYPERLINK("https://ictv.global/ictv/proposals/2021.078B.R.Siphoviridae_new_genera.zip","2021.078B.R.Siphoviridae_new_genera.zip")</f>
        <v>2021.078B.R.Siphoviridae_new_genera.zip</v>
      </c>
      <c r="U4215" s="29" t="str">
        <f>HYPERLINK("https://ictv.global/taxonomy/taxondetails?taxnode_id=202313620","ictv.global=202313620")</f>
        <v>ictv.global=202313620</v>
      </c>
    </row>
    <row r="4216" spans="1:21">
      <c r="A4216">
        <v>4215</v>
      </c>
      <c r="B4216" s="30" t="s">
        <v>1587</v>
      </c>
      <c r="D4216" s="30" t="s">
        <v>1588</v>
      </c>
      <c r="F4216" s="30" t="s">
        <v>1591</v>
      </c>
      <c r="H4216" s="30" t="s">
        <v>1592</v>
      </c>
      <c r="N4216" s="30" t="s">
        <v>7652</v>
      </c>
      <c r="P4216" s="30" t="s">
        <v>7654</v>
      </c>
      <c r="Q4216" t="s">
        <v>619</v>
      </c>
      <c r="R4216" t="s">
        <v>917</v>
      </c>
      <c r="S4216">
        <v>37</v>
      </c>
      <c r="T4216" s="29" t="str">
        <f>HYPERLINK("https://ictv.global/ictv/proposals/2021.078B.R.Siphoviridae_new_genera.zip","2021.078B.R.Siphoviridae_new_genera.zip")</f>
        <v>2021.078B.R.Siphoviridae_new_genera.zip</v>
      </c>
      <c r="U4216" s="29" t="str">
        <f>HYPERLINK("https://ictv.global/taxonomy/taxondetails?taxnode_id=202313621","ictv.global=202313621")</f>
        <v>ictv.global=202313621</v>
      </c>
    </row>
    <row r="4217" spans="1:21">
      <c r="A4217">
        <v>4216</v>
      </c>
      <c r="B4217" s="30" t="s">
        <v>1587</v>
      </c>
      <c r="D4217" s="30" t="s">
        <v>1588</v>
      </c>
      <c r="F4217" s="30" t="s">
        <v>1591</v>
      </c>
      <c r="H4217" s="30" t="s">
        <v>1592</v>
      </c>
      <c r="N4217" s="30" t="s">
        <v>1518</v>
      </c>
      <c r="P4217" s="30" t="s">
        <v>7656</v>
      </c>
      <c r="Q4217" t="s">
        <v>619</v>
      </c>
      <c r="R4217" t="s">
        <v>918</v>
      </c>
      <c r="S4217">
        <v>37</v>
      </c>
      <c r="T4217" s="29" t="str">
        <f>HYPERLINK("https://ictv.global/ictv/proposals/2021.010B.R.Binomial_names.zip","2021.010B.R.Binomial_names.zip")</f>
        <v>2021.010B.R.Binomial_names.zip</v>
      </c>
      <c r="U4217" s="29" t="str">
        <f>HYPERLINK("https://ictv.global/taxonomy/taxondetails?taxnode_id=202306987","ictv.global=202306987")</f>
        <v>ictv.global=202306987</v>
      </c>
    </row>
    <row r="4218" spans="1:21">
      <c r="A4218">
        <v>4217</v>
      </c>
      <c r="B4218" s="30" t="s">
        <v>1587</v>
      </c>
      <c r="D4218" s="30" t="s">
        <v>1588</v>
      </c>
      <c r="F4218" s="30" t="s">
        <v>1591</v>
      </c>
      <c r="H4218" s="30" t="s">
        <v>1592</v>
      </c>
      <c r="N4218" s="30" t="s">
        <v>7657</v>
      </c>
      <c r="P4218" s="30" t="s">
        <v>7658</v>
      </c>
      <c r="Q4218" t="s">
        <v>619</v>
      </c>
      <c r="R4218" t="s">
        <v>917</v>
      </c>
      <c r="S4218">
        <v>38</v>
      </c>
      <c r="T4218" s="29" t="str">
        <f>HYPERLINK("https://ictv.global/ictv/proposals/2022.046B.Caudoviricetes_2ng.zip","2022.046B.Caudoviricetes_2ng.zip")</f>
        <v>2022.046B.Caudoviricetes_2ng.zip</v>
      </c>
      <c r="U4218" s="29" t="str">
        <f>HYPERLINK("https://ictv.global/taxonomy/taxondetails?taxnode_id=202314666","ictv.global=202314666")</f>
        <v>ictv.global=202314666</v>
      </c>
    </row>
    <row r="4219" spans="1:21">
      <c r="A4219">
        <v>4218</v>
      </c>
      <c r="B4219" s="30" t="s">
        <v>1587</v>
      </c>
      <c r="D4219" s="30" t="s">
        <v>1588</v>
      </c>
      <c r="F4219" s="30" t="s">
        <v>1591</v>
      </c>
      <c r="H4219" s="30" t="s">
        <v>1592</v>
      </c>
      <c r="N4219" s="30" t="s">
        <v>1919</v>
      </c>
      <c r="P4219" s="30" t="s">
        <v>7659</v>
      </c>
      <c r="Q4219" t="s">
        <v>619</v>
      </c>
      <c r="R4219" t="s">
        <v>918</v>
      </c>
      <c r="S4219">
        <v>37</v>
      </c>
      <c r="T4219" s="29" t="str">
        <f>HYPERLINK("https://ictv.global/ictv/proposals/2021.010B.R.Binomial_names.zip","2021.010B.R.Binomial_names.zip")</f>
        <v>2021.010B.R.Binomial_names.zip</v>
      </c>
      <c r="U4219" s="29" t="str">
        <f>HYPERLINK("https://ictv.global/taxonomy/taxondetails?taxnode_id=202307892","ictv.global=202307892")</f>
        <v>ictv.global=202307892</v>
      </c>
    </row>
    <row r="4220" spans="1:21">
      <c r="A4220">
        <v>4219</v>
      </c>
      <c r="B4220" s="30" t="s">
        <v>1587</v>
      </c>
      <c r="D4220" s="30" t="s">
        <v>1588</v>
      </c>
      <c r="F4220" s="30" t="s">
        <v>1591</v>
      </c>
      <c r="H4220" s="30" t="s">
        <v>1592</v>
      </c>
      <c r="N4220" s="30" t="s">
        <v>12660</v>
      </c>
      <c r="P4220" s="30" t="s">
        <v>12661</v>
      </c>
      <c r="Q4220" t="s">
        <v>619</v>
      </c>
      <c r="R4220" t="s">
        <v>917</v>
      </c>
      <c r="S4220">
        <v>39</v>
      </c>
      <c r="T4220" s="29" t="str">
        <f>HYPERLINK("https://ictv.global/ictv/proposals/2023.003B.Actinobacteriophage_singletons_25ng.zip","2023.003B.Actinobacteriophage_singletons_25ng.zip")</f>
        <v>2023.003B.Actinobacteriophage_singletons_25ng.zip</v>
      </c>
      <c r="U4220" s="29" t="str">
        <f>HYPERLINK("https://ictv.global/taxonomy/taxondetails?taxnode_id=202317762","ictv.global=202317762")</f>
        <v>ictv.global=202317762</v>
      </c>
    </row>
    <row r="4221" spans="1:21">
      <c r="A4221">
        <v>4220</v>
      </c>
      <c r="B4221" s="30" t="s">
        <v>1587</v>
      </c>
      <c r="D4221" s="30" t="s">
        <v>1588</v>
      </c>
      <c r="F4221" s="30" t="s">
        <v>1591</v>
      </c>
      <c r="H4221" s="30" t="s">
        <v>1592</v>
      </c>
      <c r="N4221" s="30" t="s">
        <v>7660</v>
      </c>
      <c r="P4221" s="30" t="s">
        <v>7661</v>
      </c>
      <c r="Q4221" t="s">
        <v>619</v>
      </c>
      <c r="R4221" t="s">
        <v>917</v>
      </c>
      <c r="S4221">
        <v>37</v>
      </c>
      <c r="T4221" s="29" t="str">
        <f>HYPERLINK("https://ictv.global/ictv/proposals/2021.050B.R.Manovirus.zip","2021.050B.R.Manovirus.zip")</f>
        <v>2021.050B.R.Manovirus.zip</v>
      </c>
      <c r="U4221" s="29" t="str">
        <f>HYPERLINK("https://ictv.global/taxonomy/taxondetails?taxnode_id=202312406","ictv.global=202312406")</f>
        <v>ictv.global=202312406</v>
      </c>
    </row>
    <row r="4222" spans="1:21">
      <c r="A4222">
        <v>4221</v>
      </c>
      <c r="B4222" s="30" t="s">
        <v>1587</v>
      </c>
      <c r="D4222" s="30" t="s">
        <v>1588</v>
      </c>
      <c r="F4222" s="30" t="s">
        <v>1591</v>
      </c>
      <c r="H4222" s="30" t="s">
        <v>1592</v>
      </c>
      <c r="N4222" s="30" t="s">
        <v>1519</v>
      </c>
      <c r="P4222" s="30" t="s">
        <v>7662</v>
      </c>
      <c r="Q4222" t="s">
        <v>619</v>
      </c>
      <c r="R4222" t="s">
        <v>918</v>
      </c>
      <c r="S4222">
        <v>37</v>
      </c>
      <c r="T4222" s="29" t="str">
        <f>HYPERLINK("https://ictv.global/ictv/proposals/2021.010B.R.Binomial_names.zip","2021.010B.R.Binomial_names.zip")</f>
        <v>2021.010B.R.Binomial_names.zip</v>
      </c>
      <c r="U4222" s="29" t="str">
        <f>HYPERLINK("https://ictv.global/taxonomy/taxondetails?taxnode_id=202300969","ictv.global=202300969")</f>
        <v>ictv.global=202300969</v>
      </c>
    </row>
    <row r="4223" spans="1:21">
      <c r="A4223">
        <v>4222</v>
      </c>
      <c r="B4223" s="30" t="s">
        <v>1587</v>
      </c>
      <c r="D4223" s="30" t="s">
        <v>1588</v>
      </c>
      <c r="F4223" s="30" t="s">
        <v>1591</v>
      </c>
      <c r="H4223" s="30" t="s">
        <v>1592</v>
      </c>
      <c r="N4223" s="30" t="s">
        <v>1519</v>
      </c>
      <c r="P4223" s="30" t="s">
        <v>7663</v>
      </c>
      <c r="Q4223" t="s">
        <v>619</v>
      </c>
      <c r="R4223" t="s">
        <v>918</v>
      </c>
      <c r="S4223">
        <v>37</v>
      </c>
      <c r="T4223" s="29" t="str">
        <f>HYPERLINK("https://ictv.global/ictv/proposals/2021.010B.R.Binomial_names.zip","2021.010B.R.Binomial_names.zip")</f>
        <v>2021.010B.R.Binomial_names.zip</v>
      </c>
      <c r="U4223" s="29" t="str">
        <f>HYPERLINK("https://ictv.global/taxonomy/taxondetails?taxnode_id=202300970","ictv.global=202300970")</f>
        <v>ictv.global=202300970</v>
      </c>
    </row>
    <row r="4224" spans="1:21">
      <c r="A4224">
        <v>4223</v>
      </c>
      <c r="B4224" s="30" t="s">
        <v>1587</v>
      </c>
      <c r="D4224" s="30" t="s">
        <v>1588</v>
      </c>
      <c r="F4224" s="30" t="s">
        <v>1591</v>
      </c>
      <c r="H4224" s="30" t="s">
        <v>1592</v>
      </c>
      <c r="N4224" s="30" t="s">
        <v>1520</v>
      </c>
      <c r="P4224" s="30" t="s">
        <v>7664</v>
      </c>
      <c r="Q4224" t="s">
        <v>619</v>
      </c>
      <c r="R4224" t="s">
        <v>918</v>
      </c>
      <c r="S4224">
        <v>37</v>
      </c>
      <c r="T4224" s="29" t="str">
        <f>HYPERLINK("https://ictv.global/ictv/proposals/2021.010B.R.Binomial_names.zip","2021.010B.R.Binomial_names.zip")</f>
        <v>2021.010B.R.Binomial_names.zip</v>
      </c>
      <c r="U4224" s="29" t="str">
        <f>HYPERLINK("https://ictv.global/taxonomy/taxondetails?taxnode_id=202301318","ictv.global=202301318")</f>
        <v>ictv.global=202301318</v>
      </c>
    </row>
    <row r="4225" spans="1:21">
      <c r="A4225">
        <v>4224</v>
      </c>
      <c r="B4225" s="30" t="s">
        <v>1587</v>
      </c>
      <c r="D4225" s="30" t="s">
        <v>1588</v>
      </c>
      <c r="F4225" s="30" t="s">
        <v>1591</v>
      </c>
      <c r="H4225" s="30" t="s">
        <v>1592</v>
      </c>
      <c r="N4225" s="30" t="s">
        <v>1520</v>
      </c>
      <c r="P4225" s="30" t="s">
        <v>7665</v>
      </c>
      <c r="Q4225" t="s">
        <v>619</v>
      </c>
      <c r="R4225" t="s">
        <v>918</v>
      </c>
      <c r="S4225">
        <v>37</v>
      </c>
      <c r="T4225" s="29" t="str">
        <f>HYPERLINK("https://ictv.global/ictv/proposals/2021.010B.R.Binomial_names.zip","2021.010B.R.Binomial_names.zip")</f>
        <v>2021.010B.R.Binomial_names.zip</v>
      </c>
      <c r="U4225" s="29" t="str">
        <f>HYPERLINK("https://ictv.global/taxonomy/taxondetails?taxnode_id=202301319","ictv.global=202301319")</f>
        <v>ictv.global=202301319</v>
      </c>
    </row>
    <row r="4226" spans="1:21">
      <c r="A4226">
        <v>4225</v>
      </c>
      <c r="B4226" s="30" t="s">
        <v>1587</v>
      </c>
      <c r="D4226" s="30" t="s">
        <v>1588</v>
      </c>
      <c r="F4226" s="30" t="s">
        <v>1591</v>
      </c>
      <c r="H4226" s="30" t="s">
        <v>1592</v>
      </c>
      <c r="N4226" s="30" t="s">
        <v>7666</v>
      </c>
      <c r="P4226" s="30" t="s">
        <v>7667</v>
      </c>
      <c r="Q4226" t="s">
        <v>619</v>
      </c>
      <c r="R4226" t="s">
        <v>917</v>
      </c>
      <c r="S4226">
        <v>38</v>
      </c>
      <c r="T4226" s="29" t="str">
        <f>HYPERLINK("https://ictv.global/ictv/proposals/2022.047B.Mareflavirus_ng.zip","2022.047B.Mareflavirus_ng.zip")</f>
        <v>2022.047B.Mareflavirus_ng.zip</v>
      </c>
      <c r="U4226" s="29" t="str">
        <f>HYPERLINK("https://ictv.global/taxonomy/taxondetails?taxnode_id=202314669","ictv.global=202314669")</f>
        <v>ictv.global=202314669</v>
      </c>
    </row>
    <row r="4227" spans="1:21">
      <c r="A4227">
        <v>4226</v>
      </c>
      <c r="B4227" s="30" t="s">
        <v>1587</v>
      </c>
      <c r="D4227" s="30" t="s">
        <v>1588</v>
      </c>
      <c r="F4227" s="30" t="s">
        <v>1591</v>
      </c>
      <c r="H4227" s="30" t="s">
        <v>1592</v>
      </c>
      <c r="N4227" s="30" t="s">
        <v>2274</v>
      </c>
      <c r="P4227" s="30" t="s">
        <v>7668</v>
      </c>
      <c r="Q4227" t="s">
        <v>619</v>
      </c>
      <c r="R4227" t="s">
        <v>918</v>
      </c>
      <c r="S4227">
        <v>37</v>
      </c>
      <c r="T4227" s="29" t="str">
        <f t="shared" ref="T4227:T4241" si="191">HYPERLINK("https://ictv.global/ictv/proposals/2021.010B.R.Binomial_names.zip","2021.010B.R.Binomial_names.zip")</f>
        <v>2021.010B.R.Binomial_names.zip</v>
      </c>
      <c r="U4227" s="29" t="str">
        <f>HYPERLINK("https://ictv.global/taxonomy/taxondetails?taxnode_id=202311531","ictv.global=202311531")</f>
        <v>ictv.global=202311531</v>
      </c>
    </row>
    <row r="4228" spans="1:21">
      <c r="A4228">
        <v>4227</v>
      </c>
      <c r="B4228" s="30" t="s">
        <v>1587</v>
      </c>
      <c r="D4228" s="30" t="s">
        <v>1588</v>
      </c>
      <c r="F4228" s="30" t="s">
        <v>1591</v>
      </c>
      <c r="H4228" s="30" t="s">
        <v>1592</v>
      </c>
      <c r="N4228" s="30" t="s">
        <v>2274</v>
      </c>
      <c r="P4228" s="30" t="s">
        <v>7669</v>
      </c>
      <c r="Q4228" t="s">
        <v>619</v>
      </c>
      <c r="R4228" t="s">
        <v>918</v>
      </c>
      <c r="S4228">
        <v>37</v>
      </c>
      <c r="T4228" s="29" t="str">
        <f t="shared" si="191"/>
        <v>2021.010B.R.Binomial_names.zip</v>
      </c>
      <c r="U4228" s="29" t="str">
        <f>HYPERLINK("https://ictv.global/taxonomy/taxondetails?taxnode_id=202311530","ictv.global=202311530")</f>
        <v>ictv.global=202311530</v>
      </c>
    </row>
    <row r="4229" spans="1:21">
      <c r="A4229">
        <v>4228</v>
      </c>
      <c r="B4229" s="30" t="s">
        <v>1587</v>
      </c>
      <c r="D4229" s="30" t="s">
        <v>1588</v>
      </c>
      <c r="F4229" s="30" t="s">
        <v>1591</v>
      </c>
      <c r="H4229" s="30" t="s">
        <v>1592</v>
      </c>
      <c r="N4229" s="30" t="s">
        <v>2464</v>
      </c>
      <c r="P4229" s="30" t="s">
        <v>7670</v>
      </c>
      <c r="Q4229" t="s">
        <v>619</v>
      </c>
      <c r="R4229" t="s">
        <v>918</v>
      </c>
      <c r="S4229">
        <v>37</v>
      </c>
      <c r="T4229" s="29" t="str">
        <f t="shared" si="191"/>
        <v>2021.010B.R.Binomial_names.zip</v>
      </c>
      <c r="U4229" s="29" t="str">
        <f>HYPERLINK("https://ictv.global/taxonomy/taxondetails?taxnode_id=202309335","ictv.global=202309335")</f>
        <v>ictv.global=202309335</v>
      </c>
    </row>
    <row r="4230" spans="1:21">
      <c r="A4230">
        <v>4229</v>
      </c>
      <c r="B4230" s="30" t="s">
        <v>1587</v>
      </c>
      <c r="D4230" s="30" t="s">
        <v>1588</v>
      </c>
      <c r="F4230" s="30" t="s">
        <v>1591</v>
      </c>
      <c r="H4230" s="30" t="s">
        <v>1592</v>
      </c>
      <c r="N4230" s="30" t="s">
        <v>2464</v>
      </c>
      <c r="P4230" s="30" t="s">
        <v>7671</v>
      </c>
      <c r="Q4230" t="s">
        <v>619</v>
      </c>
      <c r="R4230" t="s">
        <v>918</v>
      </c>
      <c r="S4230">
        <v>37</v>
      </c>
      <c r="T4230" s="29" t="str">
        <f t="shared" si="191"/>
        <v>2021.010B.R.Binomial_names.zip</v>
      </c>
      <c r="U4230" s="29" t="str">
        <f>HYPERLINK("https://ictv.global/taxonomy/taxondetails?taxnode_id=202309336","ictv.global=202309336")</f>
        <v>ictv.global=202309336</v>
      </c>
    </row>
    <row r="4231" spans="1:21">
      <c r="A4231">
        <v>4230</v>
      </c>
      <c r="B4231" s="30" t="s">
        <v>1587</v>
      </c>
      <c r="D4231" s="30" t="s">
        <v>1588</v>
      </c>
      <c r="F4231" s="30" t="s">
        <v>1591</v>
      </c>
      <c r="H4231" s="30" t="s">
        <v>1592</v>
      </c>
      <c r="N4231" s="30" t="s">
        <v>850</v>
      </c>
      <c r="P4231" s="30" t="s">
        <v>7672</v>
      </c>
      <c r="Q4231" t="s">
        <v>619</v>
      </c>
      <c r="R4231" t="s">
        <v>918</v>
      </c>
      <c r="S4231">
        <v>37</v>
      </c>
      <c r="T4231" s="29" t="str">
        <f t="shared" si="191"/>
        <v>2021.010B.R.Binomial_names.zip</v>
      </c>
      <c r="U4231" s="29" t="str">
        <f>HYPERLINK("https://ictv.global/taxonomy/taxondetails?taxnode_id=202307002","ictv.global=202307002")</f>
        <v>ictv.global=202307002</v>
      </c>
    </row>
    <row r="4232" spans="1:21">
      <c r="A4232">
        <v>4231</v>
      </c>
      <c r="B4232" s="30" t="s">
        <v>1587</v>
      </c>
      <c r="D4232" s="30" t="s">
        <v>1588</v>
      </c>
      <c r="F4232" s="30" t="s">
        <v>1591</v>
      </c>
      <c r="H4232" s="30" t="s">
        <v>1592</v>
      </c>
      <c r="N4232" s="30" t="s">
        <v>850</v>
      </c>
      <c r="P4232" s="30" t="s">
        <v>7673</v>
      </c>
      <c r="Q4232" t="s">
        <v>619</v>
      </c>
      <c r="R4232" t="s">
        <v>918</v>
      </c>
      <c r="S4232">
        <v>37</v>
      </c>
      <c r="T4232" s="29" t="str">
        <f t="shared" si="191"/>
        <v>2021.010B.R.Binomial_names.zip</v>
      </c>
      <c r="U4232" s="29" t="str">
        <f>HYPERLINK("https://ictv.global/taxonomy/taxondetails?taxnode_id=202307003","ictv.global=202307003")</f>
        <v>ictv.global=202307003</v>
      </c>
    </row>
    <row r="4233" spans="1:21">
      <c r="A4233">
        <v>4232</v>
      </c>
      <c r="B4233" s="30" t="s">
        <v>1587</v>
      </c>
      <c r="D4233" s="30" t="s">
        <v>1588</v>
      </c>
      <c r="F4233" s="30" t="s">
        <v>1591</v>
      </c>
      <c r="H4233" s="30" t="s">
        <v>1592</v>
      </c>
      <c r="N4233" s="30" t="s">
        <v>850</v>
      </c>
      <c r="P4233" s="30" t="s">
        <v>7674</v>
      </c>
      <c r="Q4233" t="s">
        <v>619</v>
      </c>
      <c r="R4233" t="s">
        <v>918</v>
      </c>
      <c r="S4233">
        <v>37</v>
      </c>
      <c r="T4233" s="29" t="str">
        <f t="shared" si="191"/>
        <v>2021.010B.R.Binomial_names.zip</v>
      </c>
      <c r="U4233" s="29" t="str">
        <f>HYPERLINK("https://ictv.global/taxonomy/taxondetails?taxnode_id=202300448","ictv.global=202300448")</f>
        <v>ictv.global=202300448</v>
      </c>
    </row>
    <row r="4234" spans="1:21">
      <c r="A4234">
        <v>4233</v>
      </c>
      <c r="B4234" s="30" t="s">
        <v>1587</v>
      </c>
      <c r="D4234" s="30" t="s">
        <v>1588</v>
      </c>
      <c r="F4234" s="30" t="s">
        <v>1591</v>
      </c>
      <c r="H4234" s="30" t="s">
        <v>1592</v>
      </c>
      <c r="N4234" s="30" t="s">
        <v>850</v>
      </c>
      <c r="P4234" s="30" t="s">
        <v>7675</v>
      </c>
      <c r="Q4234" t="s">
        <v>619</v>
      </c>
      <c r="R4234" t="s">
        <v>918</v>
      </c>
      <c r="S4234">
        <v>37</v>
      </c>
      <c r="T4234" s="29" t="str">
        <f t="shared" si="191"/>
        <v>2021.010B.R.Binomial_names.zip</v>
      </c>
      <c r="U4234" s="29" t="str">
        <f>HYPERLINK("https://ictv.global/taxonomy/taxondetails?taxnode_id=202300449","ictv.global=202300449")</f>
        <v>ictv.global=202300449</v>
      </c>
    </row>
    <row r="4235" spans="1:21">
      <c r="A4235">
        <v>4234</v>
      </c>
      <c r="B4235" s="30" t="s">
        <v>1587</v>
      </c>
      <c r="D4235" s="30" t="s">
        <v>1588</v>
      </c>
      <c r="F4235" s="30" t="s">
        <v>1591</v>
      </c>
      <c r="H4235" s="30" t="s">
        <v>1592</v>
      </c>
      <c r="N4235" s="30" t="s">
        <v>850</v>
      </c>
      <c r="P4235" s="30" t="s">
        <v>7676</v>
      </c>
      <c r="Q4235" t="s">
        <v>619</v>
      </c>
      <c r="R4235" t="s">
        <v>918</v>
      </c>
      <c r="S4235">
        <v>37</v>
      </c>
      <c r="T4235" s="29" t="str">
        <f t="shared" si="191"/>
        <v>2021.010B.R.Binomial_names.zip</v>
      </c>
      <c r="U4235" s="29" t="str">
        <f>HYPERLINK("https://ictv.global/taxonomy/taxondetails?taxnode_id=202300450","ictv.global=202300450")</f>
        <v>ictv.global=202300450</v>
      </c>
    </row>
    <row r="4236" spans="1:21">
      <c r="A4236">
        <v>4235</v>
      </c>
      <c r="B4236" s="30" t="s">
        <v>1587</v>
      </c>
      <c r="D4236" s="30" t="s">
        <v>1588</v>
      </c>
      <c r="F4236" s="30" t="s">
        <v>1591</v>
      </c>
      <c r="H4236" s="30" t="s">
        <v>1592</v>
      </c>
      <c r="N4236" s="30" t="s">
        <v>850</v>
      </c>
      <c r="P4236" s="30" t="s">
        <v>7677</v>
      </c>
      <c r="Q4236" t="s">
        <v>619</v>
      </c>
      <c r="R4236" t="s">
        <v>918</v>
      </c>
      <c r="S4236">
        <v>37</v>
      </c>
      <c r="T4236" s="29" t="str">
        <f t="shared" si="191"/>
        <v>2021.010B.R.Binomial_names.zip</v>
      </c>
      <c r="U4236" s="29" t="str">
        <f>HYPERLINK("https://ictv.global/taxonomy/taxondetails?taxnode_id=202307004","ictv.global=202307004")</f>
        <v>ictv.global=202307004</v>
      </c>
    </row>
    <row r="4237" spans="1:21">
      <c r="A4237">
        <v>4236</v>
      </c>
      <c r="B4237" s="30" t="s">
        <v>1587</v>
      </c>
      <c r="D4237" s="30" t="s">
        <v>1588</v>
      </c>
      <c r="F4237" s="30" t="s">
        <v>1591</v>
      </c>
      <c r="H4237" s="30" t="s">
        <v>1592</v>
      </c>
      <c r="N4237" s="30" t="s">
        <v>850</v>
      </c>
      <c r="P4237" s="30" t="s">
        <v>7678</v>
      </c>
      <c r="Q4237" t="s">
        <v>619</v>
      </c>
      <c r="R4237" t="s">
        <v>918</v>
      </c>
      <c r="S4237">
        <v>37</v>
      </c>
      <c r="T4237" s="29" t="str">
        <f t="shared" si="191"/>
        <v>2021.010B.R.Binomial_names.zip</v>
      </c>
      <c r="U4237" s="29" t="str">
        <f>HYPERLINK("https://ictv.global/taxonomy/taxondetails?taxnode_id=202307005","ictv.global=202307005")</f>
        <v>ictv.global=202307005</v>
      </c>
    </row>
    <row r="4238" spans="1:21">
      <c r="A4238">
        <v>4237</v>
      </c>
      <c r="B4238" s="30" t="s">
        <v>1587</v>
      </c>
      <c r="D4238" s="30" t="s">
        <v>1588</v>
      </c>
      <c r="F4238" s="30" t="s">
        <v>1591</v>
      </c>
      <c r="H4238" s="30" t="s">
        <v>1592</v>
      </c>
      <c r="N4238" s="30" t="s">
        <v>850</v>
      </c>
      <c r="P4238" s="30" t="s">
        <v>7679</v>
      </c>
      <c r="Q4238" t="s">
        <v>619</v>
      </c>
      <c r="R4238" t="s">
        <v>918</v>
      </c>
      <c r="S4238">
        <v>37</v>
      </c>
      <c r="T4238" s="29" t="str">
        <f t="shared" si="191"/>
        <v>2021.010B.R.Binomial_names.zip</v>
      </c>
      <c r="U4238" s="29" t="str">
        <f>HYPERLINK("https://ictv.global/taxonomy/taxondetails?taxnode_id=202311532","ictv.global=202311532")</f>
        <v>ictv.global=202311532</v>
      </c>
    </row>
    <row r="4239" spans="1:21">
      <c r="A4239">
        <v>4238</v>
      </c>
      <c r="B4239" s="30" t="s">
        <v>1587</v>
      </c>
      <c r="D4239" s="30" t="s">
        <v>1588</v>
      </c>
      <c r="F4239" s="30" t="s">
        <v>1591</v>
      </c>
      <c r="H4239" s="30" t="s">
        <v>1592</v>
      </c>
      <c r="N4239" s="30" t="s">
        <v>874</v>
      </c>
      <c r="P4239" s="30" t="s">
        <v>7680</v>
      </c>
      <c r="Q4239" t="s">
        <v>619</v>
      </c>
      <c r="R4239" t="s">
        <v>918</v>
      </c>
      <c r="S4239">
        <v>37</v>
      </c>
      <c r="T4239" s="29" t="str">
        <f t="shared" si="191"/>
        <v>2021.010B.R.Binomial_names.zip</v>
      </c>
      <c r="U4239" s="29" t="str">
        <f>HYPERLINK("https://ictv.global/taxonomy/taxondetails?taxnode_id=202301079","ictv.global=202301079")</f>
        <v>ictv.global=202301079</v>
      </c>
    </row>
    <row r="4240" spans="1:21">
      <c r="A4240">
        <v>4239</v>
      </c>
      <c r="B4240" s="30" t="s">
        <v>1587</v>
      </c>
      <c r="D4240" s="30" t="s">
        <v>1588</v>
      </c>
      <c r="F4240" s="30" t="s">
        <v>1591</v>
      </c>
      <c r="H4240" s="30" t="s">
        <v>1592</v>
      </c>
      <c r="N4240" s="30" t="s">
        <v>874</v>
      </c>
      <c r="P4240" s="30" t="s">
        <v>7681</v>
      </c>
      <c r="Q4240" t="s">
        <v>619</v>
      </c>
      <c r="R4240" t="s">
        <v>918</v>
      </c>
      <c r="S4240">
        <v>37</v>
      </c>
      <c r="T4240" s="29" t="str">
        <f t="shared" si="191"/>
        <v>2021.010B.R.Binomial_names.zip</v>
      </c>
      <c r="U4240" s="29" t="str">
        <f>HYPERLINK("https://ictv.global/taxonomy/taxondetails?taxnode_id=202301080","ictv.global=202301080")</f>
        <v>ictv.global=202301080</v>
      </c>
    </row>
    <row r="4241" spans="1:21">
      <c r="A4241">
        <v>4240</v>
      </c>
      <c r="B4241" s="30" t="s">
        <v>1587</v>
      </c>
      <c r="D4241" s="30" t="s">
        <v>1588</v>
      </c>
      <c r="F4241" s="30" t="s">
        <v>1591</v>
      </c>
      <c r="H4241" s="30" t="s">
        <v>1592</v>
      </c>
      <c r="N4241" s="30" t="s">
        <v>1921</v>
      </c>
      <c r="P4241" s="30" t="s">
        <v>7682</v>
      </c>
      <c r="Q4241" t="s">
        <v>619</v>
      </c>
      <c r="R4241" t="s">
        <v>918</v>
      </c>
      <c r="S4241">
        <v>37</v>
      </c>
      <c r="T4241" s="29" t="str">
        <f t="shared" si="191"/>
        <v>2021.010B.R.Binomial_names.zip</v>
      </c>
      <c r="U4241" s="29" t="str">
        <f>HYPERLINK("https://ictv.global/taxonomy/taxondetails?taxnode_id=202307894","ictv.global=202307894")</f>
        <v>ictv.global=202307894</v>
      </c>
    </row>
    <row r="4242" spans="1:21">
      <c r="A4242">
        <v>4241</v>
      </c>
      <c r="B4242" s="30" t="s">
        <v>1587</v>
      </c>
      <c r="D4242" s="30" t="s">
        <v>1588</v>
      </c>
      <c r="F4242" s="30" t="s">
        <v>1591</v>
      </c>
      <c r="H4242" s="30" t="s">
        <v>1592</v>
      </c>
      <c r="N4242" s="30" t="s">
        <v>12662</v>
      </c>
      <c r="P4242" s="30" t="s">
        <v>12663</v>
      </c>
      <c r="Q4242" t="s">
        <v>619</v>
      </c>
      <c r="R4242" t="s">
        <v>917</v>
      </c>
      <c r="S4242">
        <v>39</v>
      </c>
      <c r="T4242" s="29" t="str">
        <f>HYPERLINK("https://ictv.global/ictv/proposals/2023.003B.Actinobacteriophage_singletons_25ng.zip","2023.003B.Actinobacteriophage_singletons_25ng.zip")</f>
        <v>2023.003B.Actinobacteriophage_singletons_25ng.zip</v>
      </c>
      <c r="U4242" s="29" t="str">
        <f>HYPERLINK("https://ictv.global/taxonomy/taxondetails?taxnode_id=202317775","ictv.global=202317775")</f>
        <v>ictv.global=202317775</v>
      </c>
    </row>
    <row r="4243" spans="1:21">
      <c r="A4243">
        <v>4242</v>
      </c>
      <c r="B4243" s="30" t="s">
        <v>1587</v>
      </c>
      <c r="D4243" s="30" t="s">
        <v>1588</v>
      </c>
      <c r="F4243" s="30" t="s">
        <v>1591</v>
      </c>
      <c r="H4243" s="30" t="s">
        <v>1592</v>
      </c>
      <c r="N4243" s="30" t="s">
        <v>7683</v>
      </c>
      <c r="P4243" s="30" t="s">
        <v>7684</v>
      </c>
      <c r="Q4243" t="s">
        <v>619</v>
      </c>
      <c r="R4243" t="s">
        <v>917</v>
      </c>
      <c r="S4243">
        <v>38</v>
      </c>
      <c r="T4243" s="29" t="str">
        <f>HYPERLINK("https://ictv.global/ictv/proposals/2022.032B.Caudoviricetes_5ng.zip","2022.032B.Caudoviricetes_5ng.zip")</f>
        <v>2022.032B.Caudoviricetes_5ng.zip</v>
      </c>
      <c r="U4243" s="29" t="str">
        <f>HYPERLINK("https://ictv.global/taxonomy/taxondetails?taxnode_id=202314594","ictv.global=202314594")</f>
        <v>ictv.global=202314594</v>
      </c>
    </row>
    <row r="4244" spans="1:21">
      <c r="A4244">
        <v>4243</v>
      </c>
      <c r="B4244" s="30" t="s">
        <v>1587</v>
      </c>
      <c r="D4244" s="30" t="s">
        <v>1588</v>
      </c>
      <c r="F4244" s="30" t="s">
        <v>1591</v>
      </c>
      <c r="H4244" s="30" t="s">
        <v>1592</v>
      </c>
      <c r="N4244" s="30" t="s">
        <v>7685</v>
      </c>
      <c r="P4244" s="30" t="s">
        <v>7686</v>
      </c>
      <c r="Q4244" t="s">
        <v>619</v>
      </c>
      <c r="R4244" t="s">
        <v>917</v>
      </c>
      <c r="S4244">
        <v>38</v>
      </c>
      <c r="T4244" s="29" t="str">
        <f>HYPERLINK("https://ictv.global/ictv/proposals/2022.048B.Meadowvirus_ng.zip","2022.048B.Meadowvirus_ng.zip")</f>
        <v>2022.048B.Meadowvirus_ng.zip</v>
      </c>
      <c r="U4244" s="29" t="str">
        <f>HYPERLINK("https://ictv.global/taxonomy/taxondetails?taxnode_id=202314671","ictv.global=202314671")</f>
        <v>ictv.global=202314671</v>
      </c>
    </row>
    <row r="4245" spans="1:21">
      <c r="A4245">
        <v>4244</v>
      </c>
      <c r="B4245" s="30" t="s">
        <v>1587</v>
      </c>
      <c r="D4245" s="30" t="s">
        <v>1588</v>
      </c>
      <c r="F4245" s="30" t="s">
        <v>1591</v>
      </c>
      <c r="H4245" s="30" t="s">
        <v>1592</v>
      </c>
      <c r="N4245" s="30" t="s">
        <v>12664</v>
      </c>
      <c r="P4245" s="30" t="s">
        <v>12665</v>
      </c>
      <c r="Q4245" t="s">
        <v>619</v>
      </c>
      <c r="R4245" t="s">
        <v>917</v>
      </c>
      <c r="S4245">
        <v>39</v>
      </c>
      <c r="T4245" s="29" t="str">
        <f>HYPERLINK("https://ictv.global/ictv/proposals/2023.022B.Caudoviricetes_Pseudomonas_7ng.zip","2023.022B.Caudoviricetes_Pseudomonas_7ng.zip")</f>
        <v>2023.022B.Caudoviricetes_Pseudomonas_7ng.zip</v>
      </c>
      <c r="U4245" s="29" t="str">
        <f>HYPERLINK("https://ictv.global/taxonomy/taxondetails?taxnode_id=202318566","ictv.global=202318566")</f>
        <v>ictv.global=202318566</v>
      </c>
    </row>
    <row r="4246" spans="1:21">
      <c r="A4246">
        <v>4245</v>
      </c>
      <c r="B4246" s="30" t="s">
        <v>1587</v>
      </c>
      <c r="D4246" s="30" t="s">
        <v>1588</v>
      </c>
      <c r="F4246" s="30" t="s">
        <v>1591</v>
      </c>
      <c r="H4246" s="30" t="s">
        <v>1592</v>
      </c>
      <c r="N4246" s="30" t="s">
        <v>2276</v>
      </c>
      <c r="P4246" s="30" t="s">
        <v>7688</v>
      </c>
      <c r="Q4246" t="s">
        <v>619</v>
      </c>
      <c r="R4246" t="s">
        <v>918</v>
      </c>
      <c r="S4246">
        <v>37</v>
      </c>
      <c r="T4246" s="29" t="str">
        <f>HYPERLINK("https://ictv.global/ictv/proposals/2021.010B.R.Binomial_names.zip","2021.010B.R.Binomial_names.zip")</f>
        <v>2021.010B.R.Binomial_names.zip</v>
      </c>
      <c r="U4246" s="29" t="str">
        <f>HYPERLINK("https://ictv.global/taxonomy/taxondetails?taxnode_id=202311537","ictv.global=202311537")</f>
        <v>ictv.global=202311537</v>
      </c>
    </row>
    <row r="4247" spans="1:21">
      <c r="A4247">
        <v>4246</v>
      </c>
      <c r="B4247" s="30" t="s">
        <v>1587</v>
      </c>
      <c r="D4247" s="30" t="s">
        <v>1588</v>
      </c>
      <c r="F4247" s="30" t="s">
        <v>1591</v>
      </c>
      <c r="H4247" s="30" t="s">
        <v>1592</v>
      </c>
      <c r="N4247" s="30" t="s">
        <v>2276</v>
      </c>
      <c r="P4247" s="30" t="s">
        <v>7689</v>
      </c>
      <c r="Q4247" t="s">
        <v>619</v>
      </c>
      <c r="R4247" t="s">
        <v>918</v>
      </c>
      <c r="S4247">
        <v>37</v>
      </c>
      <c r="T4247" s="29" t="str">
        <f>HYPERLINK("https://ictv.global/ictv/proposals/2021.010B.R.Binomial_names.zip","2021.010B.R.Binomial_names.zip")</f>
        <v>2021.010B.R.Binomial_names.zip</v>
      </c>
      <c r="U4247" s="29" t="str">
        <f>HYPERLINK("https://ictv.global/taxonomy/taxondetails?taxnode_id=202311535","ictv.global=202311535")</f>
        <v>ictv.global=202311535</v>
      </c>
    </row>
    <row r="4248" spans="1:21">
      <c r="A4248">
        <v>4247</v>
      </c>
      <c r="B4248" s="30" t="s">
        <v>1587</v>
      </c>
      <c r="D4248" s="30" t="s">
        <v>1588</v>
      </c>
      <c r="F4248" s="30" t="s">
        <v>1591</v>
      </c>
      <c r="H4248" s="30" t="s">
        <v>1592</v>
      </c>
      <c r="N4248" s="30" t="s">
        <v>2276</v>
      </c>
      <c r="P4248" s="30" t="s">
        <v>7690</v>
      </c>
      <c r="Q4248" t="s">
        <v>619</v>
      </c>
      <c r="R4248" t="s">
        <v>918</v>
      </c>
      <c r="S4248">
        <v>37</v>
      </c>
      <c r="T4248" s="29" t="str">
        <f>HYPERLINK("https://ictv.global/ictv/proposals/2021.010B.R.Binomial_names.zip","2021.010B.R.Binomial_names.zip")</f>
        <v>2021.010B.R.Binomial_names.zip</v>
      </c>
      <c r="U4248" s="29" t="str">
        <f>HYPERLINK("https://ictv.global/taxonomy/taxondetails?taxnode_id=202311536","ictv.global=202311536")</f>
        <v>ictv.global=202311536</v>
      </c>
    </row>
    <row r="4249" spans="1:21">
      <c r="A4249">
        <v>4248</v>
      </c>
      <c r="B4249" s="30" t="s">
        <v>1587</v>
      </c>
      <c r="D4249" s="30" t="s">
        <v>1588</v>
      </c>
      <c r="F4249" s="30" t="s">
        <v>1591</v>
      </c>
      <c r="H4249" s="30" t="s">
        <v>1592</v>
      </c>
      <c r="N4249" s="30" t="s">
        <v>2276</v>
      </c>
      <c r="P4249" s="30" t="s">
        <v>7691</v>
      </c>
      <c r="Q4249" t="s">
        <v>619</v>
      </c>
      <c r="R4249" t="s">
        <v>917</v>
      </c>
      <c r="S4249">
        <v>38</v>
      </c>
      <c r="T4249" s="29" t="str">
        <f>HYPERLINK("https://ictv.global/ictv/proposals/2022.049B.Menderavirus_1nsp.zip","2022.049B.Menderavirus_1nsp.zip")</f>
        <v>2022.049B.Menderavirus_1nsp.zip</v>
      </c>
      <c r="U4249" s="29" t="str">
        <f>HYPERLINK("https://ictv.global/taxonomy/taxondetails?taxnode_id=202314672","ictv.global=202314672")</f>
        <v>ictv.global=202314672</v>
      </c>
    </row>
    <row r="4250" spans="1:21">
      <c r="A4250">
        <v>4249</v>
      </c>
      <c r="B4250" s="30" t="s">
        <v>1587</v>
      </c>
      <c r="D4250" s="30" t="s">
        <v>1588</v>
      </c>
      <c r="F4250" s="30" t="s">
        <v>1591</v>
      </c>
      <c r="H4250" s="30" t="s">
        <v>1592</v>
      </c>
      <c r="N4250" s="30" t="s">
        <v>1368</v>
      </c>
      <c r="P4250" s="30" t="s">
        <v>7695</v>
      </c>
      <c r="Q4250" t="s">
        <v>619</v>
      </c>
      <c r="R4250" t="s">
        <v>918</v>
      </c>
      <c r="S4250">
        <v>37</v>
      </c>
      <c r="T4250" s="29" t="str">
        <f>HYPERLINK("https://ictv.global/ictv/proposals/2021.010B.R.Binomial_names.zip","2021.010B.R.Binomial_names.zip")</f>
        <v>2021.010B.R.Binomial_names.zip</v>
      </c>
      <c r="U4250" s="29" t="str">
        <f>HYPERLINK("https://ictv.global/taxonomy/taxondetails?taxnode_id=202306918","ictv.global=202306918")</f>
        <v>ictv.global=202306918</v>
      </c>
    </row>
    <row r="4251" spans="1:21">
      <c r="A4251">
        <v>4250</v>
      </c>
      <c r="B4251" s="30" t="s">
        <v>1587</v>
      </c>
      <c r="D4251" s="30" t="s">
        <v>1588</v>
      </c>
      <c r="F4251" s="30" t="s">
        <v>1591</v>
      </c>
      <c r="H4251" s="30" t="s">
        <v>1592</v>
      </c>
      <c r="N4251" s="30" t="s">
        <v>7696</v>
      </c>
      <c r="P4251" s="30" t="s">
        <v>7697</v>
      </c>
      <c r="Q4251" t="s">
        <v>619</v>
      </c>
      <c r="R4251" t="s">
        <v>917</v>
      </c>
      <c r="S4251">
        <v>38</v>
      </c>
      <c r="T4251" s="29" t="str">
        <f>HYPERLINK("https://ictv.global/ictv/proposals/2022.050B.Miamivirus_ng.zip","2022.050B.Miamivirus_ng.zip")</f>
        <v>2022.050B.Miamivirus_ng.zip</v>
      </c>
      <c r="U4251" s="29" t="str">
        <f>HYPERLINK("https://ictv.global/taxonomy/taxondetails?taxnode_id=202314674","ictv.global=202314674")</f>
        <v>ictv.global=202314674</v>
      </c>
    </row>
    <row r="4252" spans="1:21">
      <c r="A4252">
        <v>4251</v>
      </c>
      <c r="B4252" s="30" t="s">
        <v>1587</v>
      </c>
      <c r="D4252" s="30" t="s">
        <v>1588</v>
      </c>
      <c r="F4252" s="30" t="s">
        <v>1591</v>
      </c>
      <c r="H4252" s="30" t="s">
        <v>1592</v>
      </c>
      <c r="N4252" s="30" t="s">
        <v>7698</v>
      </c>
      <c r="P4252" s="30" t="s">
        <v>7699</v>
      </c>
      <c r="Q4252" t="s">
        <v>619</v>
      </c>
      <c r="R4252" t="s">
        <v>917</v>
      </c>
      <c r="S4252">
        <v>37</v>
      </c>
      <c r="T4252" s="29" t="str">
        <f>HYPERLINK("https://ictv.global/ictv/proposals/2021.052B.R.Micavirus.zip","2021.052B.R.Micavirus.zip")</f>
        <v>2021.052B.R.Micavirus.zip</v>
      </c>
      <c r="U4252" s="29" t="str">
        <f>HYPERLINK("https://ictv.global/taxonomy/taxondetails?taxnode_id=202312419","ictv.global=202312419")</f>
        <v>ictv.global=202312419</v>
      </c>
    </row>
    <row r="4253" spans="1:21">
      <c r="A4253">
        <v>4252</v>
      </c>
      <c r="B4253" s="30" t="s">
        <v>1587</v>
      </c>
      <c r="D4253" s="30" t="s">
        <v>1588</v>
      </c>
      <c r="F4253" s="30" t="s">
        <v>1591</v>
      </c>
      <c r="H4253" s="30" t="s">
        <v>1592</v>
      </c>
      <c r="N4253" s="30" t="s">
        <v>7700</v>
      </c>
      <c r="P4253" s="30" t="s">
        <v>7701</v>
      </c>
      <c r="Q4253" t="s">
        <v>619</v>
      </c>
      <c r="R4253" t="s">
        <v>918</v>
      </c>
      <c r="S4253">
        <v>37</v>
      </c>
      <c r="T4253" s="29" t="str">
        <f t="shared" ref="T4253:T4259" si="192">HYPERLINK("https://ictv.global/ictv/proposals/2021.053B.R.Microwolfvirus.zip","2021.053B.R.Microwolfvirus.zip")</f>
        <v>2021.053B.R.Microwolfvirus.zip</v>
      </c>
      <c r="U4253" s="29" t="str">
        <f>HYPERLINK("https://ictv.global/taxonomy/taxondetails?taxnode_id=202301019","ictv.global=202301019")</f>
        <v>ictv.global=202301019</v>
      </c>
    </row>
    <row r="4254" spans="1:21">
      <c r="A4254">
        <v>4253</v>
      </c>
      <c r="B4254" s="30" t="s">
        <v>1587</v>
      </c>
      <c r="D4254" s="30" t="s">
        <v>1588</v>
      </c>
      <c r="F4254" s="30" t="s">
        <v>1591</v>
      </c>
      <c r="H4254" s="30" t="s">
        <v>1592</v>
      </c>
      <c r="N4254" s="30" t="s">
        <v>7700</v>
      </c>
      <c r="P4254" s="30" t="s">
        <v>7702</v>
      </c>
      <c r="Q4254" t="s">
        <v>619</v>
      </c>
      <c r="R4254" t="s">
        <v>918</v>
      </c>
      <c r="S4254">
        <v>37</v>
      </c>
      <c r="T4254" s="29" t="str">
        <f t="shared" si="192"/>
        <v>2021.053B.R.Microwolfvirus.zip</v>
      </c>
      <c r="U4254" s="29" t="str">
        <f>HYPERLINK("https://ictv.global/taxonomy/taxondetails?taxnode_id=202301034","ictv.global=202301034")</f>
        <v>ictv.global=202301034</v>
      </c>
    </row>
    <row r="4255" spans="1:21">
      <c r="A4255">
        <v>4254</v>
      </c>
      <c r="B4255" s="30" t="s">
        <v>1587</v>
      </c>
      <c r="D4255" s="30" t="s">
        <v>1588</v>
      </c>
      <c r="F4255" s="30" t="s">
        <v>1591</v>
      </c>
      <c r="H4255" s="30" t="s">
        <v>1592</v>
      </c>
      <c r="N4255" s="30" t="s">
        <v>7700</v>
      </c>
      <c r="P4255" s="30" t="s">
        <v>7703</v>
      </c>
      <c r="Q4255" t="s">
        <v>619</v>
      </c>
      <c r="R4255" t="s">
        <v>918</v>
      </c>
      <c r="S4255">
        <v>37</v>
      </c>
      <c r="T4255" s="29" t="str">
        <f t="shared" si="192"/>
        <v>2021.053B.R.Microwolfvirus.zip</v>
      </c>
      <c r="U4255" s="29" t="str">
        <f>HYPERLINK("https://ictv.global/taxonomy/taxondetails?taxnode_id=202301043","ictv.global=202301043")</f>
        <v>ictv.global=202301043</v>
      </c>
    </row>
    <row r="4256" spans="1:21">
      <c r="A4256">
        <v>4255</v>
      </c>
      <c r="B4256" s="30" t="s">
        <v>1587</v>
      </c>
      <c r="D4256" s="30" t="s">
        <v>1588</v>
      </c>
      <c r="F4256" s="30" t="s">
        <v>1591</v>
      </c>
      <c r="H4256" s="30" t="s">
        <v>1592</v>
      </c>
      <c r="N4256" s="30" t="s">
        <v>7700</v>
      </c>
      <c r="P4256" s="30" t="s">
        <v>7704</v>
      </c>
      <c r="Q4256" t="s">
        <v>619</v>
      </c>
      <c r="R4256" t="s">
        <v>917</v>
      </c>
      <c r="S4256">
        <v>37</v>
      </c>
      <c r="T4256" s="29" t="str">
        <f t="shared" si="192"/>
        <v>2021.053B.R.Microwolfvirus.zip</v>
      </c>
      <c r="U4256" s="29" t="str">
        <f>HYPERLINK("https://ictv.global/taxonomy/taxondetails?taxnode_id=202312421","ictv.global=202312421")</f>
        <v>ictv.global=202312421</v>
      </c>
    </row>
    <row r="4257" spans="1:21">
      <c r="A4257">
        <v>4256</v>
      </c>
      <c r="B4257" s="30" t="s">
        <v>1587</v>
      </c>
      <c r="D4257" s="30" t="s">
        <v>1588</v>
      </c>
      <c r="F4257" s="30" t="s">
        <v>1591</v>
      </c>
      <c r="H4257" s="30" t="s">
        <v>1592</v>
      </c>
      <c r="N4257" s="30" t="s">
        <v>7700</v>
      </c>
      <c r="P4257" s="30" t="s">
        <v>7705</v>
      </c>
      <c r="Q4257" t="s">
        <v>619</v>
      </c>
      <c r="R4257" t="s">
        <v>917</v>
      </c>
      <c r="S4257">
        <v>37</v>
      </c>
      <c r="T4257" s="29" t="str">
        <f t="shared" si="192"/>
        <v>2021.053B.R.Microwolfvirus.zip</v>
      </c>
      <c r="U4257" s="29" t="str">
        <f>HYPERLINK("https://ictv.global/taxonomy/taxondetails?taxnode_id=202312422","ictv.global=202312422")</f>
        <v>ictv.global=202312422</v>
      </c>
    </row>
    <row r="4258" spans="1:21">
      <c r="A4258">
        <v>4257</v>
      </c>
      <c r="B4258" s="30" t="s">
        <v>1587</v>
      </c>
      <c r="D4258" s="30" t="s">
        <v>1588</v>
      </c>
      <c r="F4258" s="30" t="s">
        <v>1591</v>
      </c>
      <c r="H4258" s="30" t="s">
        <v>1592</v>
      </c>
      <c r="N4258" s="30" t="s">
        <v>7700</v>
      </c>
      <c r="P4258" s="30" t="s">
        <v>7706</v>
      </c>
      <c r="Q4258" t="s">
        <v>619</v>
      </c>
      <c r="R4258" t="s">
        <v>918</v>
      </c>
      <c r="S4258">
        <v>37</v>
      </c>
      <c r="T4258" s="29" t="str">
        <f t="shared" si="192"/>
        <v>2021.053B.R.Microwolfvirus.zip</v>
      </c>
      <c r="U4258" s="29" t="str">
        <f>HYPERLINK("https://ictv.global/taxonomy/taxondetails?taxnode_id=202301068","ictv.global=202301068")</f>
        <v>ictv.global=202301068</v>
      </c>
    </row>
    <row r="4259" spans="1:21">
      <c r="A4259">
        <v>4258</v>
      </c>
      <c r="B4259" s="30" t="s">
        <v>1587</v>
      </c>
      <c r="D4259" s="30" t="s">
        <v>1588</v>
      </c>
      <c r="F4259" s="30" t="s">
        <v>1591</v>
      </c>
      <c r="H4259" s="30" t="s">
        <v>1592</v>
      </c>
      <c r="N4259" s="30" t="s">
        <v>7700</v>
      </c>
      <c r="P4259" s="30" t="s">
        <v>7707</v>
      </c>
      <c r="Q4259" t="s">
        <v>619</v>
      </c>
      <c r="R4259" t="s">
        <v>917</v>
      </c>
      <c r="S4259">
        <v>37</v>
      </c>
      <c r="T4259" s="29" t="str">
        <f t="shared" si="192"/>
        <v>2021.053B.R.Microwolfvirus.zip</v>
      </c>
      <c r="U4259" s="29" t="str">
        <f>HYPERLINK("https://ictv.global/taxonomy/taxondetails?taxnode_id=202312423","ictv.global=202312423")</f>
        <v>ictv.global=202312423</v>
      </c>
    </row>
    <row r="4260" spans="1:21">
      <c r="A4260">
        <v>4259</v>
      </c>
      <c r="B4260" s="30" t="s">
        <v>1587</v>
      </c>
      <c r="D4260" s="30" t="s">
        <v>1588</v>
      </c>
      <c r="F4260" s="30" t="s">
        <v>1591</v>
      </c>
      <c r="H4260" s="30" t="s">
        <v>1592</v>
      </c>
      <c r="N4260" s="30" t="s">
        <v>7708</v>
      </c>
      <c r="P4260" s="30" t="s">
        <v>7709</v>
      </c>
      <c r="Q4260" t="s">
        <v>619</v>
      </c>
      <c r="R4260" t="s">
        <v>917</v>
      </c>
      <c r="S4260">
        <v>38</v>
      </c>
      <c r="T4260" s="29" t="str">
        <f>HYPERLINK("https://ictv.global/ictv/proposals/2022.051B.Midgardsormrvirus_ng.zip","2022.051B.Midgardsormrvirus_ng.zip")</f>
        <v>2022.051B.Midgardsormrvirus_ng.zip</v>
      </c>
      <c r="U4260" s="29" t="str">
        <f>HYPERLINK("https://ictv.global/taxonomy/taxondetails?taxnode_id=202314676","ictv.global=202314676")</f>
        <v>ictv.global=202314676</v>
      </c>
    </row>
    <row r="4261" spans="1:21">
      <c r="A4261">
        <v>4260</v>
      </c>
      <c r="B4261" s="30" t="s">
        <v>1587</v>
      </c>
      <c r="D4261" s="30" t="s">
        <v>1588</v>
      </c>
      <c r="F4261" s="30" t="s">
        <v>1591</v>
      </c>
      <c r="H4261" s="30" t="s">
        <v>1592</v>
      </c>
      <c r="N4261" s="30" t="s">
        <v>12666</v>
      </c>
      <c r="P4261" s="30" t="s">
        <v>12667</v>
      </c>
      <c r="Q4261" t="s">
        <v>619</v>
      </c>
      <c r="R4261" t="s">
        <v>917</v>
      </c>
      <c r="S4261">
        <v>39</v>
      </c>
      <c r="T4261" s="29" t="str">
        <f>HYPERLINK("https://ictv.global/ictv/proposals/2023.022B.Caudoviricetes_Pseudomonas_7ng.zip","2023.022B.Caudoviricetes_Pseudomonas_7ng.zip")</f>
        <v>2023.022B.Caudoviricetes_Pseudomonas_7ng.zip</v>
      </c>
      <c r="U4261" s="29" t="str">
        <f>HYPERLINK("https://ictv.global/taxonomy/taxondetails?taxnode_id=202318567","ictv.global=202318567")</f>
        <v>ictv.global=202318567</v>
      </c>
    </row>
    <row r="4262" spans="1:21">
      <c r="A4262">
        <v>4261</v>
      </c>
      <c r="B4262" s="30" t="s">
        <v>1587</v>
      </c>
      <c r="D4262" s="30" t="s">
        <v>1588</v>
      </c>
      <c r="F4262" s="30" t="s">
        <v>1591</v>
      </c>
      <c r="H4262" s="30" t="s">
        <v>1592</v>
      </c>
      <c r="N4262" s="30" t="s">
        <v>1369</v>
      </c>
      <c r="P4262" s="30" t="s">
        <v>7710</v>
      </c>
      <c r="Q4262" t="s">
        <v>619</v>
      </c>
      <c r="R4262" t="s">
        <v>918</v>
      </c>
      <c r="S4262">
        <v>37</v>
      </c>
      <c r="T4262" s="29" t="str">
        <f>HYPERLINK("https://ictv.global/ictv/proposals/2021.010B.R.Binomial_names.zip","2021.010B.R.Binomial_names.zip")</f>
        <v>2021.010B.R.Binomial_names.zip</v>
      </c>
      <c r="U4262" s="29" t="str">
        <f>HYPERLINK("https://ictv.global/taxonomy/taxondetails?taxnode_id=202300496","ictv.global=202300496")</f>
        <v>ictv.global=202300496</v>
      </c>
    </row>
    <row r="4263" spans="1:21">
      <c r="A4263">
        <v>4262</v>
      </c>
      <c r="B4263" s="30" t="s">
        <v>1587</v>
      </c>
      <c r="D4263" s="30" t="s">
        <v>1588</v>
      </c>
      <c r="F4263" s="30" t="s">
        <v>1591</v>
      </c>
      <c r="H4263" s="30" t="s">
        <v>1592</v>
      </c>
      <c r="N4263" s="30" t="s">
        <v>7711</v>
      </c>
      <c r="P4263" s="30" t="s">
        <v>7712</v>
      </c>
      <c r="Q4263" t="s">
        <v>619</v>
      </c>
      <c r="R4263" t="s">
        <v>917</v>
      </c>
      <c r="S4263">
        <v>38</v>
      </c>
      <c r="T4263" s="29" t="str">
        <f>HYPERLINK("https://ictv.global/ictv/proposals/2022.066B.Caudoviricetes_6ng.zip","2022.066B.Caudoviricetes_6ng.zip")</f>
        <v>2022.066B.Caudoviricetes_6ng.zip</v>
      </c>
      <c r="U4263" s="29" t="str">
        <f>HYPERLINK("https://ictv.global/taxonomy/taxondetails?taxnode_id=202314785","ictv.global=202314785")</f>
        <v>ictv.global=202314785</v>
      </c>
    </row>
    <row r="4264" spans="1:21">
      <c r="A4264">
        <v>4263</v>
      </c>
      <c r="B4264" s="30" t="s">
        <v>1587</v>
      </c>
      <c r="D4264" s="30" t="s">
        <v>1588</v>
      </c>
      <c r="F4264" s="30" t="s">
        <v>1591</v>
      </c>
      <c r="H4264" s="30" t="s">
        <v>1592</v>
      </c>
      <c r="N4264" s="30" t="s">
        <v>1370</v>
      </c>
      <c r="P4264" s="30" t="s">
        <v>7713</v>
      </c>
      <c r="Q4264" t="s">
        <v>619</v>
      </c>
      <c r="R4264" t="s">
        <v>918</v>
      </c>
      <c r="S4264">
        <v>37</v>
      </c>
      <c r="T4264" s="29" t="str">
        <f>HYPERLINK("https://ictv.global/ictv/proposals/2021.010B.R.Binomial_names.zip","2021.010B.R.Binomial_names.zip")</f>
        <v>2021.010B.R.Binomial_names.zip</v>
      </c>
      <c r="U4264" s="29" t="str">
        <f>HYPERLINK("https://ictv.global/taxonomy/taxondetails?taxnode_id=202306680","ictv.global=202306680")</f>
        <v>ictv.global=202306680</v>
      </c>
    </row>
    <row r="4265" spans="1:21">
      <c r="A4265">
        <v>4264</v>
      </c>
      <c r="B4265" s="30" t="s">
        <v>1587</v>
      </c>
      <c r="D4265" s="30" t="s">
        <v>1588</v>
      </c>
      <c r="F4265" s="30" t="s">
        <v>1591</v>
      </c>
      <c r="H4265" s="30" t="s">
        <v>1592</v>
      </c>
      <c r="N4265" s="30" t="s">
        <v>1370</v>
      </c>
      <c r="P4265" s="30" t="s">
        <v>7714</v>
      </c>
      <c r="Q4265" t="s">
        <v>619</v>
      </c>
      <c r="R4265" t="s">
        <v>918</v>
      </c>
      <c r="S4265">
        <v>37</v>
      </c>
      <c r="T4265" s="29" t="str">
        <f>HYPERLINK("https://ictv.global/ictv/proposals/2021.010B.R.Binomial_names.zip","2021.010B.R.Binomial_names.zip")</f>
        <v>2021.010B.R.Binomial_names.zip</v>
      </c>
      <c r="U4265" s="29" t="str">
        <f>HYPERLINK("https://ictv.global/taxonomy/taxondetails?taxnode_id=202306679","ictv.global=202306679")</f>
        <v>ictv.global=202306679</v>
      </c>
    </row>
    <row r="4266" spans="1:21">
      <c r="A4266">
        <v>4265</v>
      </c>
      <c r="B4266" s="30" t="s">
        <v>1587</v>
      </c>
      <c r="D4266" s="30" t="s">
        <v>1588</v>
      </c>
      <c r="F4266" s="30" t="s">
        <v>1591</v>
      </c>
      <c r="H4266" s="30" t="s">
        <v>1592</v>
      </c>
      <c r="N4266" s="30" t="s">
        <v>1521</v>
      </c>
      <c r="P4266" s="30" t="s">
        <v>7715</v>
      </c>
      <c r="Q4266" t="s">
        <v>619</v>
      </c>
      <c r="R4266" t="s">
        <v>918</v>
      </c>
      <c r="S4266">
        <v>37</v>
      </c>
      <c r="T4266" s="29" t="str">
        <f>HYPERLINK("https://ictv.global/ictv/proposals/2021.010B.R.Binomial_names.zip","2021.010B.R.Binomial_names.zip")</f>
        <v>2021.010B.R.Binomial_names.zip</v>
      </c>
      <c r="U4266" s="29" t="str">
        <f>HYPERLINK("https://ictv.global/taxonomy/taxondetails?taxnode_id=202306747","ictv.global=202306747")</f>
        <v>ictv.global=202306747</v>
      </c>
    </row>
    <row r="4267" spans="1:21">
      <c r="A4267">
        <v>4266</v>
      </c>
      <c r="B4267" s="30" t="s">
        <v>1587</v>
      </c>
      <c r="D4267" s="30" t="s">
        <v>1588</v>
      </c>
      <c r="F4267" s="30" t="s">
        <v>1591</v>
      </c>
      <c r="H4267" s="30" t="s">
        <v>1592</v>
      </c>
      <c r="N4267" s="30" t="s">
        <v>7718</v>
      </c>
      <c r="P4267" s="30" t="s">
        <v>7719</v>
      </c>
      <c r="Q4267" t="s">
        <v>619</v>
      </c>
      <c r="R4267" t="s">
        <v>917</v>
      </c>
      <c r="S4267">
        <v>38</v>
      </c>
      <c r="T4267" s="29" t="str">
        <f>HYPERLINK("https://ictv.global/ictv/proposals/2022.052B.Mohonavirus_ng.zip","2022.052B.Mohonavirus_ng.zip")</f>
        <v>2022.052B.Mohonavirus_ng.zip</v>
      </c>
      <c r="U4267" s="29" t="str">
        <f>HYPERLINK("https://ictv.global/taxonomy/taxondetails?taxnode_id=202314678","ictv.global=202314678")</f>
        <v>ictv.global=202314678</v>
      </c>
    </row>
    <row r="4268" spans="1:21">
      <c r="A4268">
        <v>4267</v>
      </c>
      <c r="B4268" s="30" t="s">
        <v>1587</v>
      </c>
      <c r="D4268" s="30" t="s">
        <v>1588</v>
      </c>
      <c r="F4268" s="30" t="s">
        <v>1591</v>
      </c>
      <c r="H4268" s="30" t="s">
        <v>1592</v>
      </c>
      <c r="N4268" s="30" t="s">
        <v>7720</v>
      </c>
      <c r="P4268" s="30" t="s">
        <v>7721</v>
      </c>
      <c r="Q4268" t="s">
        <v>619</v>
      </c>
      <c r="R4268" t="s">
        <v>917</v>
      </c>
      <c r="S4268">
        <v>38</v>
      </c>
      <c r="T4268" s="29" t="str">
        <f>HYPERLINK("https://ictv.global/ictv/proposals/2022.053B.Mollymurvirus_ng.zip","2022.053B.Mollymurvirus_ng.zip")</f>
        <v>2022.053B.Mollymurvirus_ng.zip</v>
      </c>
      <c r="U4268" s="29" t="str">
        <f>HYPERLINK("https://ictv.global/taxonomy/taxondetails?taxnode_id=202314680","ictv.global=202314680")</f>
        <v>ictv.global=202314680</v>
      </c>
    </row>
    <row r="4269" spans="1:21">
      <c r="A4269">
        <v>4268</v>
      </c>
      <c r="B4269" s="30" t="s">
        <v>1587</v>
      </c>
      <c r="D4269" s="30" t="s">
        <v>1588</v>
      </c>
      <c r="F4269" s="30" t="s">
        <v>1591</v>
      </c>
      <c r="H4269" s="30" t="s">
        <v>1592</v>
      </c>
      <c r="N4269" s="30" t="s">
        <v>1924</v>
      </c>
      <c r="P4269" s="30" t="s">
        <v>7722</v>
      </c>
      <c r="Q4269" t="s">
        <v>619</v>
      </c>
      <c r="R4269" t="s">
        <v>918</v>
      </c>
      <c r="S4269">
        <v>37</v>
      </c>
      <c r="T4269" s="29" t="str">
        <f t="shared" ref="T4269:T4279" si="193">HYPERLINK("https://ictv.global/ictv/proposals/2021.010B.R.Binomial_names.zip","2021.010B.R.Binomial_names.zip")</f>
        <v>2021.010B.R.Binomial_names.zip</v>
      </c>
      <c r="U4269" s="29" t="str">
        <f>HYPERLINK("https://ictv.global/taxonomy/taxondetails?taxnode_id=202309112","ictv.global=202309112")</f>
        <v>ictv.global=202309112</v>
      </c>
    </row>
    <row r="4270" spans="1:21">
      <c r="A4270">
        <v>4269</v>
      </c>
      <c r="B4270" s="30" t="s">
        <v>1587</v>
      </c>
      <c r="D4270" s="30" t="s">
        <v>1588</v>
      </c>
      <c r="F4270" s="30" t="s">
        <v>1591</v>
      </c>
      <c r="H4270" s="30" t="s">
        <v>1592</v>
      </c>
      <c r="N4270" s="30" t="s">
        <v>1924</v>
      </c>
      <c r="P4270" s="30" t="s">
        <v>7723</v>
      </c>
      <c r="Q4270" t="s">
        <v>619</v>
      </c>
      <c r="R4270" t="s">
        <v>918</v>
      </c>
      <c r="S4270">
        <v>37</v>
      </c>
      <c r="T4270" s="29" t="str">
        <f t="shared" si="193"/>
        <v>2021.010B.R.Binomial_names.zip</v>
      </c>
      <c r="U4270" s="29" t="str">
        <f>HYPERLINK("https://ictv.global/taxonomy/taxondetails?taxnode_id=202309110","ictv.global=202309110")</f>
        <v>ictv.global=202309110</v>
      </c>
    </row>
    <row r="4271" spans="1:21">
      <c r="A4271">
        <v>4270</v>
      </c>
      <c r="B4271" s="30" t="s">
        <v>1587</v>
      </c>
      <c r="D4271" s="30" t="s">
        <v>1588</v>
      </c>
      <c r="F4271" s="30" t="s">
        <v>1591</v>
      </c>
      <c r="H4271" s="30" t="s">
        <v>1592</v>
      </c>
      <c r="N4271" s="30" t="s">
        <v>1924</v>
      </c>
      <c r="P4271" s="30" t="s">
        <v>7724</v>
      </c>
      <c r="Q4271" t="s">
        <v>619</v>
      </c>
      <c r="R4271" t="s">
        <v>918</v>
      </c>
      <c r="S4271">
        <v>37</v>
      </c>
      <c r="T4271" s="29" t="str">
        <f t="shared" si="193"/>
        <v>2021.010B.R.Binomial_names.zip</v>
      </c>
      <c r="U4271" s="29" t="str">
        <f>HYPERLINK("https://ictv.global/taxonomy/taxondetails?taxnode_id=202308659","ictv.global=202308659")</f>
        <v>ictv.global=202308659</v>
      </c>
    </row>
    <row r="4272" spans="1:21">
      <c r="A4272">
        <v>4271</v>
      </c>
      <c r="B4272" s="30" t="s">
        <v>1587</v>
      </c>
      <c r="D4272" s="30" t="s">
        <v>1588</v>
      </c>
      <c r="F4272" s="30" t="s">
        <v>1591</v>
      </c>
      <c r="H4272" s="30" t="s">
        <v>1592</v>
      </c>
      <c r="N4272" s="30" t="s">
        <v>1924</v>
      </c>
      <c r="P4272" s="30" t="s">
        <v>7725</v>
      </c>
      <c r="Q4272" t="s">
        <v>619</v>
      </c>
      <c r="R4272" t="s">
        <v>918</v>
      </c>
      <c r="S4272">
        <v>37</v>
      </c>
      <c r="T4272" s="29" t="str">
        <f t="shared" si="193"/>
        <v>2021.010B.R.Binomial_names.zip</v>
      </c>
      <c r="U4272" s="29" t="str">
        <f>HYPERLINK("https://ictv.global/taxonomy/taxondetails?taxnode_id=202309114","ictv.global=202309114")</f>
        <v>ictv.global=202309114</v>
      </c>
    </row>
    <row r="4273" spans="1:21">
      <c r="A4273">
        <v>4272</v>
      </c>
      <c r="B4273" s="30" t="s">
        <v>1587</v>
      </c>
      <c r="D4273" s="30" t="s">
        <v>1588</v>
      </c>
      <c r="F4273" s="30" t="s">
        <v>1591</v>
      </c>
      <c r="H4273" s="30" t="s">
        <v>1592</v>
      </c>
      <c r="N4273" s="30" t="s">
        <v>1924</v>
      </c>
      <c r="P4273" s="30" t="s">
        <v>7726</v>
      </c>
      <c r="Q4273" t="s">
        <v>619</v>
      </c>
      <c r="R4273" t="s">
        <v>918</v>
      </c>
      <c r="S4273">
        <v>37</v>
      </c>
      <c r="T4273" s="29" t="str">
        <f t="shared" si="193"/>
        <v>2021.010B.R.Binomial_names.zip</v>
      </c>
      <c r="U4273" s="29" t="str">
        <f>HYPERLINK("https://ictv.global/taxonomy/taxondetails?taxnode_id=202308658","ictv.global=202308658")</f>
        <v>ictv.global=202308658</v>
      </c>
    </row>
    <row r="4274" spans="1:21">
      <c r="A4274">
        <v>4273</v>
      </c>
      <c r="B4274" s="30" t="s">
        <v>1587</v>
      </c>
      <c r="D4274" s="30" t="s">
        <v>1588</v>
      </c>
      <c r="F4274" s="30" t="s">
        <v>1591</v>
      </c>
      <c r="H4274" s="30" t="s">
        <v>1592</v>
      </c>
      <c r="N4274" s="30" t="s">
        <v>1924</v>
      </c>
      <c r="P4274" s="30" t="s">
        <v>7727</v>
      </c>
      <c r="Q4274" t="s">
        <v>619</v>
      </c>
      <c r="R4274" t="s">
        <v>918</v>
      </c>
      <c r="S4274">
        <v>37</v>
      </c>
      <c r="T4274" s="29" t="str">
        <f t="shared" si="193"/>
        <v>2021.010B.R.Binomial_names.zip</v>
      </c>
      <c r="U4274" s="29" t="str">
        <f>HYPERLINK("https://ictv.global/taxonomy/taxondetails?taxnode_id=202309109","ictv.global=202309109")</f>
        <v>ictv.global=202309109</v>
      </c>
    </row>
    <row r="4275" spans="1:21">
      <c r="A4275">
        <v>4274</v>
      </c>
      <c r="B4275" s="30" t="s">
        <v>1587</v>
      </c>
      <c r="D4275" s="30" t="s">
        <v>1588</v>
      </c>
      <c r="F4275" s="30" t="s">
        <v>1591</v>
      </c>
      <c r="H4275" s="30" t="s">
        <v>1592</v>
      </c>
      <c r="N4275" s="30" t="s">
        <v>1924</v>
      </c>
      <c r="P4275" s="30" t="s">
        <v>7728</v>
      </c>
      <c r="Q4275" t="s">
        <v>619</v>
      </c>
      <c r="R4275" t="s">
        <v>918</v>
      </c>
      <c r="S4275">
        <v>37</v>
      </c>
      <c r="T4275" s="29" t="str">
        <f t="shared" si="193"/>
        <v>2021.010B.R.Binomial_names.zip</v>
      </c>
      <c r="U4275" s="29" t="str">
        <f>HYPERLINK("https://ictv.global/taxonomy/taxondetails?taxnode_id=202309111","ictv.global=202309111")</f>
        <v>ictv.global=202309111</v>
      </c>
    </row>
    <row r="4276" spans="1:21">
      <c r="A4276">
        <v>4275</v>
      </c>
      <c r="B4276" s="30" t="s">
        <v>1587</v>
      </c>
      <c r="D4276" s="30" t="s">
        <v>1588</v>
      </c>
      <c r="F4276" s="30" t="s">
        <v>1591</v>
      </c>
      <c r="H4276" s="30" t="s">
        <v>1592</v>
      </c>
      <c r="N4276" s="30" t="s">
        <v>1924</v>
      </c>
      <c r="P4276" s="30" t="s">
        <v>7729</v>
      </c>
      <c r="Q4276" t="s">
        <v>619</v>
      </c>
      <c r="R4276" t="s">
        <v>918</v>
      </c>
      <c r="S4276">
        <v>37</v>
      </c>
      <c r="T4276" s="29" t="str">
        <f t="shared" si="193"/>
        <v>2021.010B.R.Binomial_names.zip</v>
      </c>
      <c r="U4276" s="29" t="str">
        <f>HYPERLINK("https://ictv.global/taxonomy/taxondetails?taxnode_id=202301374","ictv.global=202301374")</f>
        <v>ictv.global=202301374</v>
      </c>
    </row>
    <row r="4277" spans="1:21">
      <c r="A4277">
        <v>4276</v>
      </c>
      <c r="B4277" s="30" t="s">
        <v>1587</v>
      </c>
      <c r="D4277" s="30" t="s">
        <v>1588</v>
      </c>
      <c r="F4277" s="30" t="s">
        <v>1591</v>
      </c>
      <c r="H4277" s="30" t="s">
        <v>1592</v>
      </c>
      <c r="N4277" s="30" t="s">
        <v>1924</v>
      </c>
      <c r="P4277" s="30" t="s">
        <v>7730</v>
      </c>
      <c r="Q4277" t="s">
        <v>619</v>
      </c>
      <c r="R4277" t="s">
        <v>918</v>
      </c>
      <c r="S4277">
        <v>37</v>
      </c>
      <c r="T4277" s="29" t="str">
        <f t="shared" si="193"/>
        <v>2021.010B.R.Binomial_names.zip</v>
      </c>
      <c r="U4277" s="29" t="str">
        <f>HYPERLINK("https://ictv.global/taxonomy/taxondetails?taxnode_id=202309113","ictv.global=202309113")</f>
        <v>ictv.global=202309113</v>
      </c>
    </row>
    <row r="4278" spans="1:21">
      <c r="A4278">
        <v>4277</v>
      </c>
      <c r="B4278" s="30" t="s">
        <v>1587</v>
      </c>
      <c r="D4278" s="30" t="s">
        <v>1588</v>
      </c>
      <c r="F4278" s="30" t="s">
        <v>1591</v>
      </c>
      <c r="H4278" s="30" t="s">
        <v>1592</v>
      </c>
      <c r="N4278" s="30" t="s">
        <v>1924</v>
      </c>
      <c r="P4278" s="30" t="s">
        <v>7731</v>
      </c>
      <c r="Q4278" t="s">
        <v>619</v>
      </c>
      <c r="R4278" t="s">
        <v>918</v>
      </c>
      <c r="S4278">
        <v>37</v>
      </c>
      <c r="T4278" s="29" t="str">
        <f t="shared" si="193"/>
        <v>2021.010B.R.Binomial_names.zip</v>
      </c>
      <c r="U4278" s="29" t="str">
        <f>HYPERLINK("https://ictv.global/taxonomy/taxondetails?taxnode_id=202308660","ictv.global=202308660")</f>
        <v>ictv.global=202308660</v>
      </c>
    </row>
    <row r="4279" spans="1:21">
      <c r="A4279">
        <v>4278</v>
      </c>
      <c r="B4279" s="30" t="s">
        <v>1587</v>
      </c>
      <c r="D4279" s="30" t="s">
        <v>1588</v>
      </c>
      <c r="F4279" s="30" t="s">
        <v>1591</v>
      </c>
      <c r="H4279" s="30" t="s">
        <v>1592</v>
      </c>
      <c r="N4279" s="30" t="s">
        <v>2278</v>
      </c>
      <c r="P4279" s="30" t="s">
        <v>7732</v>
      </c>
      <c r="Q4279" t="s">
        <v>619</v>
      </c>
      <c r="R4279" t="s">
        <v>918</v>
      </c>
      <c r="S4279">
        <v>37</v>
      </c>
      <c r="T4279" s="29" t="str">
        <f t="shared" si="193"/>
        <v>2021.010B.R.Binomial_names.zip</v>
      </c>
      <c r="U4279" s="29" t="str">
        <f>HYPERLINK("https://ictv.global/taxonomy/taxondetails?taxnode_id=202311542","ictv.global=202311542")</f>
        <v>ictv.global=202311542</v>
      </c>
    </row>
    <row r="4280" spans="1:21">
      <c r="A4280">
        <v>4279</v>
      </c>
      <c r="B4280" s="30" t="s">
        <v>1587</v>
      </c>
      <c r="D4280" s="30" t="s">
        <v>1588</v>
      </c>
      <c r="F4280" s="30" t="s">
        <v>1591</v>
      </c>
      <c r="H4280" s="30" t="s">
        <v>1592</v>
      </c>
      <c r="N4280" s="30" t="s">
        <v>875</v>
      </c>
      <c r="P4280" s="30" t="s">
        <v>7733</v>
      </c>
      <c r="Q4280" t="s">
        <v>619</v>
      </c>
      <c r="R4280" t="s">
        <v>917</v>
      </c>
      <c r="S4280">
        <v>38</v>
      </c>
      <c r="T4280" s="29" t="str">
        <f>HYPERLINK("https://ictv.global/ictv/proposals/2022.054B.Mudcatvirus_10nsp.zip","2022.054B.Mudcatvirus_10nsp.zip")</f>
        <v>2022.054B.Mudcatvirus_10nsp.zip</v>
      </c>
      <c r="U4280" s="29" t="str">
        <f>HYPERLINK("https://ictv.global/taxonomy/taxondetails?taxnode_id=202314681","ictv.global=202314681")</f>
        <v>ictv.global=202314681</v>
      </c>
    </row>
    <row r="4281" spans="1:21">
      <c r="A4281">
        <v>4280</v>
      </c>
      <c r="B4281" s="30" t="s">
        <v>1587</v>
      </c>
      <c r="D4281" s="30" t="s">
        <v>1588</v>
      </c>
      <c r="F4281" s="30" t="s">
        <v>1591</v>
      </c>
      <c r="H4281" s="30" t="s">
        <v>1592</v>
      </c>
      <c r="N4281" s="30" t="s">
        <v>875</v>
      </c>
      <c r="P4281" s="30" t="s">
        <v>7734</v>
      </c>
      <c r="Q4281" t="s">
        <v>619</v>
      </c>
      <c r="R4281" t="s">
        <v>917</v>
      </c>
      <c r="S4281">
        <v>38</v>
      </c>
      <c r="T4281" s="29" t="str">
        <f>HYPERLINK("https://ictv.global/ictv/proposals/2022.054B.Mudcatvirus_10nsp.zip","2022.054B.Mudcatvirus_10nsp.zip")</f>
        <v>2022.054B.Mudcatvirus_10nsp.zip</v>
      </c>
      <c r="U4281" s="29" t="str">
        <f>HYPERLINK("https://ictv.global/taxonomy/taxondetails?taxnode_id=202314683","ictv.global=202314683")</f>
        <v>ictv.global=202314683</v>
      </c>
    </row>
    <row r="4282" spans="1:21">
      <c r="A4282">
        <v>4281</v>
      </c>
      <c r="B4282" s="30" t="s">
        <v>1587</v>
      </c>
      <c r="D4282" s="30" t="s">
        <v>1588</v>
      </c>
      <c r="F4282" s="30" t="s">
        <v>1591</v>
      </c>
      <c r="H4282" s="30" t="s">
        <v>1592</v>
      </c>
      <c r="N4282" s="30" t="s">
        <v>875</v>
      </c>
      <c r="P4282" s="30" t="s">
        <v>7735</v>
      </c>
      <c r="Q4282" t="s">
        <v>619</v>
      </c>
      <c r="R4282" t="s">
        <v>918</v>
      </c>
      <c r="S4282">
        <v>37</v>
      </c>
      <c r="T4282" s="29" t="str">
        <f>HYPERLINK("https://ictv.global/ictv/proposals/2021.010B.R.Binomial_names.zip","2021.010B.R.Binomial_names.zip")</f>
        <v>2021.010B.R.Binomial_names.zip</v>
      </c>
      <c r="U4282" s="29" t="str">
        <f>HYPERLINK("https://ictv.global/taxonomy/taxondetails?taxnode_id=202301082","ictv.global=202301082")</f>
        <v>ictv.global=202301082</v>
      </c>
    </row>
    <row r="4283" spans="1:21">
      <c r="A4283">
        <v>4282</v>
      </c>
      <c r="B4283" s="30" t="s">
        <v>1587</v>
      </c>
      <c r="D4283" s="30" t="s">
        <v>1588</v>
      </c>
      <c r="F4283" s="30" t="s">
        <v>1591</v>
      </c>
      <c r="H4283" s="30" t="s">
        <v>1592</v>
      </c>
      <c r="N4283" s="30" t="s">
        <v>875</v>
      </c>
      <c r="P4283" s="30" t="s">
        <v>7736</v>
      </c>
      <c r="Q4283" t="s">
        <v>619</v>
      </c>
      <c r="R4283" t="s">
        <v>917</v>
      </c>
      <c r="S4283">
        <v>38</v>
      </c>
      <c r="T4283" s="29" t="str">
        <f t="shared" ref="T4283:T4288" si="194">HYPERLINK("https://ictv.global/ictv/proposals/2022.054B.Mudcatvirus_10nsp.zip","2022.054B.Mudcatvirus_10nsp.zip")</f>
        <v>2022.054B.Mudcatvirus_10nsp.zip</v>
      </c>
      <c r="U4283" s="29" t="str">
        <f>HYPERLINK("https://ictv.global/taxonomy/taxondetails?taxnode_id=202314684","ictv.global=202314684")</f>
        <v>ictv.global=202314684</v>
      </c>
    </row>
    <row r="4284" spans="1:21">
      <c r="A4284">
        <v>4283</v>
      </c>
      <c r="B4284" s="30" t="s">
        <v>1587</v>
      </c>
      <c r="D4284" s="30" t="s">
        <v>1588</v>
      </c>
      <c r="F4284" s="30" t="s">
        <v>1591</v>
      </c>
      <c r="H4284" s="30" t="s">
        <v>1592</v>
      </c>
      <c r="N4284" s="30" t="s">
        <v>875</v>
      </c>
      <c r="P4284" s="30" t="s">
        <v>7737</v>
      </c>
      <c r="Q4284" t="s">
        <v>619</v>
      </c>
      <c r="R4284" t="s">
        <v>917</v>
      </c>
      <c r="S4284">
        <v>38</v>
      </c>
      <c r="T4284" s="29" t="str">
        <f t="shared" si="194"/>
        <v>2022.054B.Mudcatvirus_10nsp.zip</v>
      </c>
      <c r="U4284" s="29" t="str">
        <f>HYPERLINK("https://ictv.global/taxonomy/taxondetails?taxnode_id=202314689","ictv.global=202314689")</f>
        <v>ictv.global=202314689</v>
      </c>
    </row>
    <row r="4285" spans="1:21">
      <c r="A4285">
        <v>4284</v>
      </c>
      <c r="B4285" s="30" t="s">
        <v>1587</v>
      </c>
      <c r="D4285" s="30" t="s">
        <v>1588</v>
      </c>
      <c r="F4285" s="30" t="s">
        <v>1591</v>
      </c>
      <c r="H4285" s="30" t="s">
        <v>1592</v>
      </c>
      <c r="N4285" s="30" t="s">
        <v>875</v>
      </c>
      <c r="P4285" s="30" t="s">
        <v>7738</v>
      </c>
      <c r="Q4285" t="s">
        <v>619</v>
      </c>
      <c r="R4285" t="s">
        <v>917</v>
      </c>
      <c r="S4285">
        <v>38</v>
      </c>
      <c r="T4285" s="29" t="str">
        <f t="shared" si="194"/>
        <v>2022.054B.Mudcatvirus_10nsp.zip</v>
      </c>
      <c r="U4285" s="29" t="str">
        <f>HYPERLINK("https://ictv.global/taxonomy/taxondetails?taxnode_id=202314686","ictv.global=202314686")</f>
        <v>ictv.global=202314686</v>
      </c>
    </row>
    <row r="4286" spans="1:21">
      <c r="A4286">
        <v>4285</v>
      </c>
      <c r="B4286" s="30" t="s">
        <v>1587</v>
      </c>
      <c r="D4286" s="30" t="s">
        <v>1588</v>
      </c>
      <c r="F4286" s="30" t="s">
        <v>1591</v>
      </c>
      <c r="H4286" s="30" t="s">
        <v>1592</v>
      </c>
      <c r="N4286" s="30" t="s">
        <v>875</v>
      </c>
      <c r="P4286" s="30" t="s">
        <v>7739</v>
      </c>
      <c r="Q4286" t="s">
        <v>619</v>
      </c>
      <c r="R4286" t="s">
        <v>917</v>
      </c>
      <c r="S4286">
        <v>38</v>
      </c>
      <c r="T4286" s="29" t="str">
        <f t="shared" si="194"/>
        <v>2022.054B.Mudcatvirus_10nsp.zip</v>
      </c>
      <c r="U4286" s="29" t="str">
        <f>HYPERLINK("https://ictv.global/taxonomy/taxondetails?taxnode_id=202314687","ictv.global=202314687")</f>
        <v>ictv.global=202314687</v>
      </c>
    </row>
    <row r="4287" spans="1:21">
      <c r="A4287">
        <v>4286</v>
      </c>
      <c r="B4287" s="30" t="s">
        <v>1587</v>
      </c>
      <c r="D4287" s="30" t="s">
        <v>1588</v>
      </c>
      <c r="F4287" s="30" t="s">
        <v>1591</v>
      </c>
      <c r="H4287" s="30" t="s">
        <v>1592</v>
      </c>
      <c r="N4287" s="30" t="s">
        <v>875</v>
      </c>
      <c r="P4287" s="30" t="s">
        <v>7740</v>
      </c>
      <c r="Q4287" t="s">
        <v>619</v>
      </c>
      <c r="R4287" t="s">
        <v>917</v>
      </c>
      <c r="S4287">
        <v>38</v>
      </c>
      <c r="T4287" s="29" t="str">
        <f t="shared" si="194"/>
        <v>2022.054B.Mudcatvirus_10nsp.zip</v>
      </c>
      <c r="U4287" s="29" t="str">
        <f>HYPERLINK("https://ictv.global/taxonomy/taxondetails?taxnode_id=202314688","ictv.global=202314688")</f>
        <v>ictv.global=202314688</v>
      </c>
    </row>
    <row r="4288" spans="1:21">
      <c r="A4288">
        <v>4287</v>
      </c>
      <c r="B4288" s="30" t="s">
        <v>1587</v>
      </c>
      <c r="D4288" s="30" t="s">
        <v>1588</v>
      </c>
      <c r="F4288" s="30" t="s">
        <v>1591</v>
      </c>
      <c r="H4288" s="30" t="s">
        <v>1592</v>
      </c>
      <c r="N4288" s="30" t="s">
        <v>875</v>
      </c>
      <c r="P4288" s="30" t="s">
        <v>7741</v>
      </c>
      <c r="Q4288" t="s">
        <v>619</v>
      </c>
      <c r="R4288" t="s">
        <v>917</v>
      </c>
      <c r="S4288">
        <v>38</v>
      </c>
      <c r="T4288" s="29" t="str">
        <f t="shared" si="194"/>
        <v>2022.054B.Mudcatvirus_10nsp.zip</v>
      </c>
      <c r="U4288" s="29" t="str">
        <f>HYPERLINK("https://ictv.global/taxonomy/taxondetails?taxnode_id=202314690","ictv.global=202314690")</f>
        <v>ictv.global=202314690</v>
      </c>
    </row>
    <row r="4289" spans="1:21">
      <c r="A4289">
        <v>4288</v>
      </c>
      <c r="B4289" s="30" t="s">
        <v>1587</v>
      </c>
      <c r="D4289" s="30" t="s">
        <v>1588</v>
      </c>
      <c r="F4289" s="30" t="s">
        <v>1591</v>
      </c>
      <c r="H4289" s="30" t="s">
        <v>1592</v>
      </c>
      <c r="N4289" s="30" t="s">
        <v>875</v>
      </c>
      <c r="P4289" s="30" t="s">
        <v>7742</v>
      </c>
      <c r="Q4289" t="s">
        <v>619</v>
      </c>
      <c r="R4289" t="s">
        <v>918</v>
      </c>
      <c r="S4289">
        <v>37</v>
      </c>
      <c r="T4289" s="29" t="str">
        <f>HYPERLINK("https://ictv.global/ictv/proposals/2021.010B.R.Binomial_names.zip","2021.010B.R.Binomial_names.zip")</f>
        <v>2021.010B.R.Binomial_names.zip</v>
      </c>
      <c r="U4289" s="29" t="str">
        <f>HYPERLINK("https://ictv.global/taxonomy/taxondetails?taxnode_id=202301083","ictv.global=202301083")</f>
        <v>ictv.global=202301083</v>
      </c>
    </row>
    <row r="4290" spans="1:21">
      <c r="A4290">
        <v>4289</v>
      </c>
      <c r="B4290" s="30" t="s">
        <v>1587</v>
      </c>
      <c r="D4290" s="30" t="s">
        <v>1588</v>
      </c>
      <c r="F4290" s="30" t="s">
        <v>1591</v>
      </c>
      <c r="H4290" s="30" t="s">
        <v>1592</v>
      </c>
      <c r="N4290" s="30" t="s">
        <v>875</v>
      </c>
      <c r="P4290" s="30" t="s">
        <v>7743</v>
      </c>
      <c r="Q4290" t="s">
        <v>619</v>
      </c>
      <c r="R4290" t="s">
        <v>917</v>
      </c>
      <c r="S4290">
        <v>38</v>
      </c>
      <c r="T4290" s="29" t="str">
        <f>HYPERLINK("https://ictv.global/ictv/proposals/2022.054B.Mudcatvirus_10nsp.zip","2022.054B.Mudcatvirus_10nsp.zip")</f>
        <v>2022.054B.Mudcatvirus_10nsp.zip</v>
      </c>
      <c r="U4290" s="29" t="str">
        <f>HYPERLINK("https://ictv.global/taxonomy/taxondetails?taxnode_id=202314682","ictv.global=202314682")</f>
        <v>ictv.global=202314682</v>
      </c>
    </row>
    <row r="4291" spans="1:21">
      <c r="A4291">
        <v>4290</v>
      </c>
      <c r="B4291" s="30" t="s">
        <v>1587</v>
      </c>
      <c r="D4291" s="30" t="s">
        <v>1588</v>
      </c>
      <c r="F4291" s="30" t="s">
        <v>1591</v>
      </c>
      <c r="H4291" s="30" t="s">
        <v>1592</v>
      </c>
      <c r="N4291" s="30" t="s">
        <v>875</v>
      </c>
      <c r="P4291" s="30" t="s">
        <v>7744</v>
      </c>
      <c r="Q4291" t="s">
        <v>619</v>
      </c>
      <c r="R4291" t="s">
        <v>917</v>
      </c>
      <c r="S4291">
        <v>38</v>
      </c>
      <c r="T4291" s="29" t="str">
        <f>HYPERLINK("https://ictv.global/ictv/proposals/2022.054B.Mudcatvirus_10nsp.zip","2022.054B.Mudcatvirus_10nsp.zip")</f>
        <v>2022.054B.Mudcatvirus_10nsp.zip</v>
      </c>
      <c r="U4291" s="29" t="str">
        <f>HYPERLINK("https://ictv.global/taxonomy/taxondetails?taxnode_id=202314685","ictv.global=202314685")</f>
        <v>ictv.global=202314685</v>
      </c>
    </row>
    <row r="4292" spans="1:21">
      <c r="A4292">
        <v>4291</v>
      </c>
      <c r="B4292" s="30" t="s">
        <v>1587</v>
      </c>
      <c r="D4292" s="30" t="s">
        <v>1588</v>
      </c>
      <c r="F4292" s="30" t="s">
        <v>1591</v>
      </c>
      <c r="H4292" s="30" t="s">
        <v>1592</v>
      </c>
      <c r="N4292" s="30" t="s">
        <v>2465</v>
      </c>
      <c r="P4292" s="30" t="s">
        <v>7745</v>
      </c>
      <c r="Q4292" t="s">
        <v>619</v>
      </c>
      <c r="R4292" t="s">
        <v>918</v>
      </c>
      <c r="S4292">
        <v>37</v>
      </c>
      <c r="T4292" s="29" t="str">
        <f t="shared" ref="T4292:T4304" si="195">HYPERLINK("https://ictv.global/ictv/proposals/2021.010B.R.Binomial_names.zip","2021.010B.R.Binomial_names.zip")</f>
        <v>2021.010B.R.Binomial_names.zip</v>
      </c>
      <c r="U4292" s="29" t="str">
        <f>HYPERLINK("https://ictv.global/taxonomy/taxondetails?taxnode_id=202311544","ictv.global=202311544")</f>
        <v>ictv.global=202311544</v>
      </c>
    </row>
    <row r="4293" spans="1:21">
      <c r="A4293">
        <v>4292</v>
      </c>
      <c r="B4293" s="30" t="s">
        <v>1587</v>
      </c>
      <c r="D4293" s="30" t="s">
        <v>1588</v>
      </c>
      <c r="F4293" s="30" t="s">
        <v>1591</v>
      </c>
      <c r="H4293" s="30" t="s">
        <v>1592</v>
      </c>
      <c r="N4293" s="30" t="s">
        <v>2279</v>
      </c>
      <c r="P4293" s="30" t="s">
        <v>7746</v>
      </c>
      <c r="Q4293" t="s">
        <v>619</v>
      </c>
      <c r="R4293" t="s">
        <v>918</v>
      </c>
      <c r="S4293">
        <v>37</v>
      </c>
      <c r="T4293" s="29" t="str">
        <f t="shared" si="195"/>
        <v>2021.010B.R.Binomial_names.zip</v>
      </c>
      <c r="U4293" s="29" t="str">
        <f>HYPERLINK("https://ictv.global/taxonomy/taxondetails?taxnode_id=202311546","ictv.global=202311546")</f>
        <v>ictv.global=202311546</v>
      </c>
    </row>
    <row r="4294" spans="1:21">
      <c r="A4294">
        <v>4293</v>
      </c>
      <c r="B4294" s="30" t="s">
        <v>1587</v>
      </c>
      <c r="D4294" s="30" t="s">
        <v>1588</v>
      </c>
      <c r="F4294" s="30" t="s">
        <v>1591</v>
      </c>
      <c r="H4294" s="30" t="s">
        <v>1592</v>
      </c>
      <c r="N4294" s="30" t="s">
        <v>2279</v>
      </c>
      <c r="P4294" s="30" t="s">
        <v>7747</v>
      </c>
      <c r="Q4294" t="s">
        <v>619</v>
      </c>
      <c r="R4294" t="s">
        <v>918</v>
      </c>
      <c r="S4294">
        <v>37</v>
      </c>
      <c r="T4294" s="29" t="str">
        <f t="shared" si="195"/>
        <v>2021.010B.R.Binomial_names.zip</v>
      </c>
      <c r="U4294" s="29" t="str">
        <f>HYPERLINK("https://ictv.global/taxonomy/taxondetails?taxnode_id=202311547","ictv.global=202311547")</f>
        <v>ictv.global=202311547</v>
      </c>
    </row>
    <row r="4295" spans="1:21">
      <c r="A4295">
        <v>4294</v>
      </c>
      <c r="B4295" s="30" t="s">
        <v>1587</v>
      </c>
      <c r="D4295" s="30" t="s">
        <v>1588</v>
      </c>
      <c r="F4295" s="30" t="s">
        <v>1591</v>
      </c>
      <c r="H4295" s="30" t="s">
        <v>1592</v>
      </c>
      <c r="N4295" s="30" t="s">
        <v>2466</v>
      </c>
      <c r="P4295" s="30" t="s">
        <v>7748</v>
      </c>
      <c r="Q4295" t="s">
        <v>619</v>
      </c>
      <c r="R4295" t="s">
        <v>918</v>
      </c>
      <c r="S4295">
        <v>37</v>
      </c>
      <c r="T4295" s="29" t="str">
        <f t="shared" si="195"/>
        <v>2021.010B.R.Binomial_names.zip</v>
      </c>
      <c r="U4295" s="29" t="str">
        <f>HYPERLINK("https://ictv.global/taxonomy/taxondetails?taxnode_id=202310022","ictv.global=202310022")</f>
        <v>ictv.global=202310022</v>
      </c>
    </row>
    <row r="4296" spans="1:21">
      <c r="A4296">
        <v>4295</v>
      </c>
      <c r="B4296" s="30" t="s">
        <v>1587</v>
      </c>
      <c r="D4296" s="30" t="s">
        <v>1588</v>
      </c>
      <c r="F4296" s="30" t="s">
        <v>1591</v>
      </c>
      <c r="H4296" s="30" t="s">
        <v>1592</v>
      </c>
      <c r="N4296" s="30" t="s">
        <v>2466</v>
      </c>
      <c r="P4296" s="30" t="s">
        <v>7749</v>
      </c>
      <c r="Q4296" t="s">
        <v>619</v>
      </c>
      <c r="R4296" t="s">
        <v>918</v>
      </c>
      <c r="S4296">
        <v>37</v>
      </c>
      <c r="T4296" s="29" t="str">
        <f t="shared" si="195"/>
        <v>2021.010B.R.Binomial_names.zip</v>
      </c>
      <c r="U4296" s="29" t="str">
        <f>HYPERLINK("https://ictv.global/taxonomy/taxondetails?taxnode_id=202310019","ictv.global=202310019")</f>
        <v>ictv.global=202310019</v>
      </c>
    </row>
    <row r="4297" spans="1:21">
      <c r="A4297">
        <v>4296</v>
      </c>
      <c r="B4297" s="30" t="s">
        <v>1587</v>
      </c>
      <c r="D4297" s="30" t="s">
        <v>1588</v>
      </c>
      <c r="F4297" s="30" t="s">
        <v>1591</v>
      </c>
      <c r="H4297" s="30" t="s">
        <v>1592</v>
      </c>
      <c r="N4297" s="30" t="s">
        <v>2466</v>
      </c>
      <c r="P4297" s="30" t="s">
        <v>7750</v>
      </c>
      <c r="Q4297" t="s">
        <v>619</v>
      </c>
      <c r="R4297" t="s">
        <v>918</v>
      </c>
      <c r="S4297">
        <v>37</v>
      </c>
      <c r="T4297" s="29" t="str">
        <f t="shared" si="195"/>
        <v>2021.010B.R.Binomial_names.zip</v>
      </c>
      <c r="U4297" s="29" t="str">
        <f>HYPERLINK("https://ictv.global/taxonomy/taxondetails?taxnode_id=202310020","ictv.global=202310020")</f>
        <v>ictv.global=202310020</v>
      </c>
    </row>
    <row r="4298" spans="1:21">
      <c r="A4298">
        <v>4297</v>
      </c>
      <c r="B4298" s="30" t="s">
        <v>1587</v>
      </c>
      <c r="D4298" s="30" t="s">
        <v>1588</v>
      </c>
      <c r="F4298" s="30" t="s">
        <v>1591</v>
      </c>
      <c r="H4298" s="30" t="s">
        <v>1592</v>
      </c>
      <c r="N4298" s="30" t="s">
        <v>2466</v>
      </c>
      <c r="P4298" s="30" t="s">
        <v>7751</v>
      </c>
      <c r="Q4298" t="s">
        <v>619</v>
      </c>
      <c r="R4298" t="s">
        <v>918</v>
      </c>
      <c r="S4298">
        <v>37</v>
      </c>
      <c r="T4298" s="29" t="str">
        <f t="shared" si="195"/>
        <v>2021.010B.R.Binomial_names.zip</v>
      </c>
      <c r="U4298" s="29" t="str">
        <f>HYPERLINK("https://ictv.global/taxonomy/taxondetails?taxnode_id=202310023","ictv.global=202310023")</f>
        <v>ictv.global=202310023</v>
      </c>
    </row>
    <row r="4299" spans="1:21">
      <c r="A4299">
        <v>4298</v>
      </c>
      <c r="B4299" s="30" t="s">
        <v>1587</v>
      </c>
      <c r="D4299" s="30" t="s">
        <v>1588</v>
      </c>
      <c r="F4299" s="30" t="s">
        <v>1591</v>
      </c>
      <c r="H4299" s="30" t="s">
        <v>1592</v>
      </c>
      <c r="N4299" s="30" t="s">
        <v>2466</v>
      </c>
      <c r="P4299" s="30" t="s">
        <v>7752</v>
      </c>
      <c r="Q4299" t="s">
        <v>619</v>
      </c>
      <c r="R4299" t="s">
        <v>918</v>
      </c>
      <c r="S4299">
        <v>37</v>
      </c>
      <c r="T4299" s="29" t="str">
        <f t="shared" si="195"/>
        <v>2021.010B.R.Binomial_names.zip</v>
      </c>
      <c r="U4299" s="29" t="str">
        <f>HYPERLINK("https://ictv.global/taxonomy/taxondetails?taxnode_id=202310021","ictv.global=202310021")</f>
        <v>ictv.global=202310021</v>
      </c>
    </row>
    <row r="4300" spans="1:21">
      <c r="A4300">
        <v>4299</v>
      </c>
      <c r="B4300" s="30" t="s">
        <v>1587</v>
      </c>
      <c r="D4300" s="30" t="s">
        <v>1588</v>
      </c>
      <c r="F4300" s="30" t="s">
        <v>1591</v>
      </c>
      <c r="H4300" s="30" t="s">
        <v>1592</v>
      </c>
      <c r="N4300" s="30" t="s">
        <v>1925</v>
      </c>
      <c r="P4300" s="30" t="s">
        <v>7753</v>
      </c>
      <c r="Q4300" t="s">
        <v>619</v>
      </c>
      <c r="R4300" t="s">
        <v>918</v>
      </c>
      <c r="S4300">
        <v>37</v>
      </c>
      <c r="T4300" s="29" t="str">
        <f t="shared" si="195"/>
        <v>2021.010B.R.Binomial_names.zip</v>
      </c>
      <c r="U4300" s="29" t="str">
        <f>HYPERLINK("https://ictv.global/taxonomy/taxondetails?taxnode_id=202307905","ictv.global=202307905")</f>
        <v>ictv.global=202307905</v>
      </c>
    </row>
    <row r="4301" spans="1:21">
      <c r="A4301">
        <v>4300</v>
      </c>
      <c r="B4301" s="30" t="s">
        <v>1587</v>
      </c>
      <c r="D4301" s="30" t="s">
        <v>1588</v>
      </c>
      <c r="F4301" s="30" t="s">
        <v>1591</v>
      </c>
      <c r="H4301" s="30" t="s">
        <v>1592</v>
      </c>
      <c r="N4301" s="30" t="s">
        <v>1925</v>
      </c>
      <c r="P4301" s="30" t="s">
        <v>7754</v>
      </c>
      <c r="Q4301" t="s">
        <v>619</v>
      </c>
      <c r="R4301" t="s">
        <v>918</v>
      </c>
      <c r="S4301">
        <v>37</v>
      </c>
      <c r="T4301" s="29" t="str">
        <f t="shared" si="195"/>
        <v>2021.010B.R.Binomial_names.zip</v>
      </c>
      <c r="U4301" s="29" t="str">
        <f>HYPERLINK("https://ictv.global/taxonomy/taxondetails?taxnode_id=202307906","ictv.global=202307906")</f>
        <v>ictv.global=202307906</v>
      </c>
    </row>
    <row r="4302" spans="1:21">
      <c r="A4302">
        <v>4301</v>
      </c>
      <c r="B4302" s="30" t="s">
        <v>1587</v>
      </c>
      <c r="D4302" s="30" t="s">
        <v>1588</v>
      </c>
      <c r="F4302" s="30" t="s">
        <v>1591</v>
      </c>
      <c r="H4302" s="30" t="s">
        <v>1592</v>
      </c>
      <c r="N4302" s="30" t="s">
        <v>1827</v>
      </c>
      <c r="P4302" s="30" t="s">
        <v>7755</v>
      </c>
      <c r="Q4302" t="s">
        <v>619</v>
      </c>
      <c r="R4302" t="s">
        <v>918</v>
      </c>
      <c r="S4302">
        <v>37</v>
      </c>
      <c r="T4302" s="29" t="str">
        <f t="shared" si="195"/>
        <v>2021.010B.R.Binomial_names.zip</v>
      </c>
      <c r="U4302" s="29" t="str">
        <f>HYPERLINK("https://ictv.global/taxonomy/taxondetails?taxnode_id=202308042","ictv.global=202308042")</f>
        <v>ictv.global=202308042</v>
      </c>
    </row>
    <row r="4303" spans="1:21">
      <c r="A4303">
        <v>4302</v>
      </c>
      <c r="B4303" s="30" t="s">
        <v>1587</v>
      </c>
      <c r="D4303" s="30" t="s">
        <v>1588</v>
      </c>
      <c r="F4303" s="30" t="s">
        <v>1591</v>
      </c>
      <c r="H4303" s="30" t="s">
        <v>1592</v>
      </c>
      <c r="N4303" s="30" t="s">
        <v>639</v>
      </c>
      <c r="P4303" s="30" t="s">
        <v>7756</v>
      </c>
      <c r="Q4303" t="s">
        <v>619</v>
      </c>
      <c r="R4303" t="s">
        <v>918</v>
      </c>
      <c r="S4303">
        <v>37</v>
      </c>
      <c r="T4303" s="29" t="str">
        <f t="shared" si="195"/>
        <v>2021.010B.R.Binomial_names.zip</v>
      </c>
      <c r="U4303" s="29" t="str">
        <f>HYPERLINK("https://ictv.global/taxonomy/taxondetails?taxnode_id=202300456","ictv.global=202300456")</f>
        <v>ictv.global=202300456</v>
      </c>
    </row>
    <row r="4304" spans="1:21">
      <c r="A4304">
        <v>4303</v>
      </c>
      <c r="B4304" s="30" t="s">
        <v>1587</v>
      </c>
      <c r="D4304" s="30" t="s">
        <v>1588</v>
      </c>
      <c r="F4304" s="30" t="s">
        <v>1591</v>
      </c>
      <c r="H4304" s="30" t="s">
        <v>1592</v>
      </c>
      <c r="N4304" s="30" t="s">
        <v>639</v>
      </c>
      <c r="P4304" s="30" t="s">
        <v>7757</v>
      </c>
      <c r="Q4304" t="s">
        <v>619</v>
      </c>
      <c r="R4304" t="s">
        <v>918</v>
      </c>
      <c r="S4304">
        <v>37</v>
      </c>
      <c r="T4304" s="29" t="str">
        <f t="shared" si="195"/>
        <v>2021.010B.R.Binomial_names.zip</v>
      </c>
      <c r="U4304" s="29" t="str">
        <f>HYPERLINK("https://ictv.global/taxonomy/taxondetails?taxnode_id=202300457","ictv.global=202300457")</f>
        <v>ictv.global=202300457</v>
      </c>
    </row>
    <row r="4305" spans="1:21">
      <c r="A4305">
        <v>4304</v>
      </c>
      <c r="B4305" s="30" t="s">
        <v>1587</v>
      </c>
      <c r="D4305" s="30" t="s">
        <v>1588</v>
      </c>
      <c r="F4305" s="30" t="s">
        <v>1591</v>
      </c>
      <c r="H4305" s="30" t="s">
        <v>1592</v>
      </c>
      <c r="N4305" s="30" t="s">
        <v>7758</v>
      </c>
      <c r="P4305" s="30" t="s">
        <v>7759</v>
      </c>
      <c r="Q4305" t="s">
        <v>619</v>
      </c>
      <c r="R4305" t="s">
        <v>917</v>
      </c>
      <c r="S4305">
        <v>37</v>
      </c>
      <c r="T4305" s="29" t="str">
        <f>HYPERLINK("https://ictv.global/ictv/proposals/2021.054B.R.Mycoabscvirus.zip","2021.054B.R.Mycoabscvirus.zip")</f>
        <v>2021.054B.R.Mycoabscvirus.zip</v>
      </c>
      <c r="U4305" s="29" t="str">
        <f>HYPERLINK("https://ictv.global/taxonomy/taxondetails?taxnode_id=202312425","ictv.global=202312425")</f>
        <v>ictv.global=202312425</v>
      </c>
    </row>
    <row r="4306" spans="1:21">
      <c r="A4306">
        <v>4305</v>
      </c>
      <c r="B4306" s="30" t="s">
        <v>1587</v>
      </c>
      <c r="D4306" s="30" t="s">
        <v>1588</v>
      </c>
      <c r="F4306" s="30" t="s">
        <v>1591</v>
      </c>
      <c r="H4306" s="30" t="s">
        <v>1592</v>
      </c>
      <c r="N4306" s="30" t="s">
        <v>2280</v>
      </c>
      <c r="P4306" s="30" t="s">
        <v>7760</v>
      </c>
      <c r="Q4306" t="s">
        <v>619</v>
      </c>
      <c r="R4306" t="s">
        <v>918</v>
      </c>
      <c r="S4306">
        <v>37</v>
      </c>
      <c r="T4306" s="29" t="str">
        <f>HYPERLINK("https://ictv.global/ictv/proposals/2021.010B.R.Binomial_names.zip","2021.010B.R.Binomial_names.zip")</f>
        <v>2021.010B.R.Binomial_names.zip</v>
      </c>
      <c r="U4306" s="29" t="str">
        <f>HYPERLINK("https://ictv.global/taxonomy/taxondetails?taxnode_id=202311556","ictv.global=202311556")</f>
        <v>ictv.global=202311556</v>
      </c>
    </row>
    <row r="4307" spans="1:21">
      <c r="A4307">
        <v>4306</v>
      </c>
      <c r="B4307" s="30" t="s">
        <v>1587</v>
      </c>
      <c r="D4307" s="30" t="s">
        <v>1588</v>
      </c>
      <c r="F4307" s="30" t="s">
        <v>1591</v>
      </c>
      <c r="H4307" s="30" t="s">
        <v>1592</v>
      </c>
      <c r="N4307" s="30" t="s">
        <v>2281</v>
      </c>
      <c r="P4307" s="30" t="s">
        <v>7761</v>
      </c>
      <c r="Q4307" t="s">
        <v>619</v>
      </c>
      <c r="R4307" t="s">
        <v>918</v>
      </c>
      <c r="S4307">
        <v>37</v>
      </c>
      <c r="T4307" s="29" t="str">
        <f>HYPERLINK("https://ictv.global/ictv/proposals/2021.010B.R.Binomial_names.zip","2021.010B.R.Binomial_names.zip")</f>
        <v>2021.010B.R.Binomial_names.zip</v>
      </c>
      <c r="U4307" s="29" t="str">
        <f>HYPERLINK("https://ictv.global/taxonomy/taxondetails?taxnode_id=202311559","ictv.global=202311559")</f>
        <v>ictv.global=202311559</v>
      </c>
    </row>
    <row r="4308" spans="1:21">
      <c r="A4308">
        <v>4307</v>
      </c>
      <c r="B4308" s="30" t="s">
        <v>1587</v>
      </c>
      <c r="D4308" s="30" t="s">
        <v>1588</v>
      </c>
      <c r="F4308" s="30" t="s">
        <v>1591</v>
      </c>
      <c r="H4308" s="30" t="s">
        <v>1592</v>
      </c>
      <c r="N4308" s="30" t="s">
        <v>2281</v>
      </c>
      <c r="P4308" s="30" t="s">
        <v>7762</v>
      </c>
      <c r="Q4308" t="s">
        <v>619</v>
      </c>
      <c r="R4308" t="s">
        <v>918</v>
      </c>
      <c r="S4308">
        <v>37</v>
      </c>
      <c r="T4308" s="29" t="str">
        <f>HYPERLINK("https://ictv.global/ictv/proposals/2021.010B.R.Binomial_names.zip","2021.010B.R.Binomial_names.zip")</f>
        <v>2021.010B.R.Binomial_names.zip</v>
      </c>
      <c r="U4308" s="29" t="str">
        <f>HYPERLINK("https://ictv.global/taxonomy/taxondetails?taxnode_id=202311558","ictv.global=202311558")</f>
        <v>ictv.global=202311558</v>
      </c>
    </row>
    <row r="4309" spans="1:21">
      <c r="A4309">
        <v>4308</v>
      </c>
      <c r="B4309" s="30" t="s">
        <v>1587</v>
      </c>
      <c r="D4309" s="30" t="s">
        <v>1588</v>
      </c>
      <c r="F4309" s="30" t="s">
        <v>1591</v>
      </c>
      <c r="H4309" s="30" t="s">
        <v>1592</v>
      </c>
      <c r="N4309" s="30" t="s">
        <v>7763</v>
      </c>
      <c r="P4309" s="30" t="s">
        <v>7764</v>
      </c>
      <c r="Q4309" t="s">
        <v>619</v>
      </c>
      <c r="R4309" t="s">
        <v>917</v>
      </c>
      <c r="S4309">
        <v>37</v>
      </c>
      <c r="T4309" s="29" t="str">
        <f>HYPERLINK("https://ictv.global/ictv/proposals/2021.055B.R.Myradeevirus.zip","2021.055B.R.Myradeevirus.zip")</f>
        <v>2021.055B.R.Myradeevirus.zip</v>
      </c>
      <c r="U4309" s="29" t="str">
        <f>HYPERLINK("https://ictv.global/taxonomy/taxondetails?taxnode_id=202312770","ictv.global=202312770")</f>
        <v>ictv.global=202312770</v>
      </c>
    </row>
    <row r="4310" spans="1:21">
      <c r="A4310">
        <v>4309</v>
      </c>
      <c r="B4310" s="30" t="s">
        <v>1587</v>
      </c>
      <c r="D4310" s="30" t="s">
        <v>1588</v>
      </c>
      <c r="F4310" s="30" t="s">
        <v>1591</v>
      </c>
      <c r="H4310" s="30" t="s">
        <v>1592</v>
      </c>
      <c r="N4310" s="30" t="s">
        <v>1434</v>
      </c>
      <c r="P4310" s="30" t="s">
        <v>7765</v>
      </c>
      <c r="Q4310" t="s">
        <v>619</v>
      </c>
      <c r="R4310" t="s">
        <v>918</v>
      </c>
      <c r="S4310">
        <v>37</v>
      </c>
      <c r="T4310" s="29" t="str">
        <f>HYPERLINK("https://ictv.global/ictv/proposals/2021.010B.R.Binomial_names.zip","2021.010B.R.Binomial_names.zip")</f>
        <v>2021.010B.R.Binomial_names.zip</v>
      </c>
      <c r="U4310" s="29" t="str">
        <f>HYPERLINK("https://ictv.global/taxonomy/taxondetails?taxnode_id=202306850","ictv.global=202306850")</f>
        <v>ictv.global=202306850</v>
      </c>
    </row>
    <row r="4311" spans="1:21">
      <c r="A4311">
        <v>4310</v>
      </c>
      <c r="B4311" s="30" t="s">
        <v>1587</v>
      </c>
      <c r="D4311" s="30" t="s">
        <v>1588</v>
      </c>
      <c r="F4311" s="30" t="s">
        <v>1591</v>
      </c>
      <c r="H4311" s="30" t="s">
        <v>1592</v>
      </c>
      <c r="N4311" s="30" t="s">
        <v>1828</v>
      </c>
      <c r="P4311" s="30" t="s">
        <v>7766</v>
      </c>
      <c r="Q4311" t="s">
        <v>619</v>
      </c>
      <c r="R4311" t="s">
        <v>918</v>
      </c>
      <c r="S4311">
        <v>37</v>
      </c>
      <c r="T4311" s="29" t="str">
        <f>HYPERLINK("https://ictv.global/ictv/proposals/2021.010B.R.Binomial_names.zip","2021.010B.R.Binomial_names.zip")</f>
        <v>2021.010B.R.Binomial_names.zip</v>
      </c>
      <c r="U4311" s="29" t="str">
        <f>HYPERLINK("https://ictv.global/taxonomy/taxondetails?taxnode_id=202300402","ictv.global=202300402")</f>
        <v>ictv.global=202300402</v>
      </c>
    </row>
    <row r="4312" spans="1:21">
      <c r="A4312">
        <v>4311</v>
      </c>
      <c r="B4312" s="30" t="s">
        <v>1587</v>
      </c>
      <c r="D4312" s="30" t="s">
        <v>1588</v>
      </c>
      <c r="F4312" s="30" t="s">
        <v>1591</v>
      </c>
      <c r="H4312" s="30" t="s">
        <v>1592</v>
      </c>
      <c r="N4312" s="30" t="s">
        <v>1828</v>
      </c>
      <c r="P4312" s="30" t="s">
        <v>7767</v>
      </c>
      <c r="Q4312" t="s">
        <v>619</v>
      </c>
      <c r="R4312" t="s">
        <v>918</v>
      </c>
      <c r="S4312">
        <v>37</v>
      </c>
      <c r="T4312" s="29" t="str">
        <f>HYPERLINK("https://ictv.global/ictv/proposals/2021.010B.R.Binomial_names.zip","2021.010B.R.Binomial_names.zip")</f>
        <v>2021.010B.R.Binomial_names.zip</v>
      </c>
      <c r="U4312" s="29" t="str">
        <f>HYPERLINK("https://ictv.global/taxonomy/taxondetails?taxnode_id=202300403","ictv.global=202300403")</f>
        <v>ictv.global=202300403</v>
      </c>
    </row>
    <row r="4313" spans="1:21">
      <c r="A4313">
        <v>4312</v>
      </c>
      <c r="B4313" s="30" t="s">
        <v>1587</v>
      </c>
      <c r="D4313" s="30" t="s">
        <v>1588</v>
      </c>
      <c r="F4313" s="30" t="s">
        <v>1591</v>
      </c>
      <c r="H4313" s="30" t="s">
        <v>1592</v>
      </c>
      <c r="N4313" s="30" t="s">
        <v>1828</v>
      </c>
      <c r="P4313" s="30" t="s">
        <v>7768</v>
      </c>
      <c r="Q4313" t="s">
        <v>619</v>
      </c>
      <c r="R4313" t="s">
        <v>918</v>
      </c>
      <c r="S4313">
        <v>37</v>
      </c>
      <c r="T4313" s="29" t="str">
        <f>HYPERLINK("https://ictv.global/ictv/proposals/2021.010B.R.Binomial_names.zip","2021.010B.R.Binomial_names.zip")</f>
        <v>2021.010B.R.Binomial_names.zip</v>
      </c>
      <c r="U4313" s="29" t="str">
        <f>HYPERLINK("https://ictv.global/taxonomy/taxondetails?taxnode_id=202300404","ictv.global=202300404")</f>
        <v>ictv.global=202300404</v>
      </c>
    </row>
    <row r="4314" spans="1:21">
      <c r="A4314">
        <v>4313</v>
      </c>
      <c r="B4314" s="30" t="s">
        <v>1587</v>
      </c>
      <c r="D4314" s="30" t="s">
        <v>1588</v>
      </c>
      <c r="F4314" s="30" t="s">
        <v>1591</v>
      </c>
      <c r="H4314" s="30" t="s">
        <v>1592</v>
      </c>
      <c r="N4314" s="30" t="s">
        <v>1828</v>
      </c>
      <c r="P4314" s="30" t="s">
        <v>7769</v>
      </c>
      <c r="Q4314" t="s">
        <v>619</v>
      </c>
      <c r="R4314" t="s">
        <v>918</v>
      </c>
      <c r="S4314">
        <v>37</v>
      </c>
      <c r="T4314" s="29" t="str">
        <f>HYPERLINK("https://ictv.global/ictv/proposals/2021.010B.R.Binomial_names.zip","2021.010B.R.Binomial_names.zip")</f>
        <v>2021.010B.R.Binomial_names.zip</v>
      </c>
      <c r="U4314" s="29" t="str">
        <f>HYPERLINK("https://ictv.global/taxonomy/taxondetails?taxnode_id=202300405","ictv.global=202300405")</f>
        <v>ictv.global=202300405</v>
      </c>
    </row>
    <row r="4315" spans="1:21">
      <c r="A4315">
        <v>4314</v>
      </c>
      <c r="B4315" s="30" t="s">
        <v>1587</v>
      </c>
      <c r="D4315" s="30" t="s">
        <v>1588</v>
      </c>
      <c r="F4315" s="30" t="s">
        <v>1591</v>
      </c>
      <c r="H4315" s="30" t="s">
        <v>1592</v>
      </c>
      <c r="N4315" s="30" t="s">
        <v>7770</v>
      </c>
      <c r="P4315" s="30" t="s">
        <v>7771</v>
      </c>
      <c r="Q4315" t="s">
        <v>619</v>
      </c>
      <c r="R4315" t="s">
        <v>917</v>
      </c>
      <c r="S4315">
        <v>38</v>
      </c>
      <c r="T4315" s="29" t="str">
        <f>HYPERLINK("https://ictv.global/ictv/proposals/2022.058B.Caudoviricetes_3ng.zip","2022.058B.Caudoviricetes_3ng.zip")</f>
        <v>2022.058B.Caudoviricetes_3ng.zip</v>
      </c>
      <c r="U4315" s="29" t="str">
        <f>HYPERLINK("https://ictv.global/taxonomy/taxondetails?taxnode_id=202314702","ictv.global=202314702")</f>
        <v>ictv.global=202314702</v>
      </c>
    </row>
    <row r="4316" spans="1:21">
      <c r="A4316">
        <v>4315</v>
      </c>
      <c r="B4316" s="30" t="s">
        <v>1587</v>
      </c>
      <c r="D4316" s="30" t="s">
        <v>1588</v>
      </c>
      <c r="F4316" s="30" t="s">
        <v>1591</v>
      </c>
      <c r="H4316" s="30" t="s">
        <v>1592</v>
      </c>
      <c r="N4316" s="30" t="s">
        <v>1524</v>
      </c>
      <c r="P4316" s="30" t="s">
        <v>7772</v>
      </c>
      <c r="Q4316" t="s">
        <v>619</v>
      </c>
      <c r="R4316" t="s">
        <v>918</v>
      </c>
      <c r="S4316">
        <v>37</v>
      </c>
      <c r="T4316" s="29" t="str">
        <f t="shared" ref="T4316:T4329" si="196">HYPERLINK("https://ictv.global/ictv/proposals/2021.010B.R.Binomial_names.zip","2021.010B.R.Binomial_names.zip")</f>
        <v>2021.010B.R.Binomial_names.zip</v>
      </c>
      <c r="U4316" s="29" t="str">
        <f>HYPERLINK("https://ictv.global/taxonomy/taxondetails?taxnode_id=202306879","ictv.global=202306879")</f>
        <v>ictv.global=202306879</v>
      </c>
    </row>
    <row r="4317" spans="1:21">
      <c r="A4317">
        <v>4316</v>
      </c>
      <c r="B4317" s="30" t="s">
        <v>1587</v>
      </c>
      <c r="D4317" s="30" t="s">
        <v>1588</v>
      </c>
      <c r="F4317" s="30" t="s">
        <v>1591</v>
      </c>
      <c r="H4317" s="30" t="s">
        <v>1592</v>
      </c>
      <c r="N4317" s="30" t="s">
        <v>1371</v>
      </c>
      <c r="P4317" s="30" t="s">
        <v>7773</v>
      </c>
      <c r="Q4317" t="s">
        <v>619</v>
      </c>
      <c r="R4317" t="s">
        <v>918</v>
      </c>
      <c r="S4317">
        <v>37</v>
      </c>
      <c r="T4317" s="29" t="str">
        <f t="shared" si="196"/>
        <v>2021.010B.R.Binomial_names.zip</v>
      </c>
      <c r="U4317" s="29" t="str">
        <f>HYPERLINK("https://ictv.global/taxonomy/taxondetails?taxnode_id=202300440","ictv.global=202300440")</f>
        <v>ictv.global=202300440</v>
      </c>
    </row>
    <row r="4318" spans="1:21">
      <c r="A4318">
        <v>4317</v>
      </c>
      <c r="B4318" s="30" t="s">
        <v>1587</v>
      </c>
      <c r="D4318" s="30" t="s">
        <v>1588</v>
      </c>
      <c r="F4318" s="30" t="s">
        <v>1591</v>
      </c>
      <c r="H4318" s="30" t="s">
        <v>1592</v>
      </c>
      <c r="N4318" s="30" t="s">
        <v>1371</v>
      </c>
      <c r="P4318" s="30" t="s">
        <v>7774</v>
      </c>
      <c r="Q4318" t="s">
        <v>619</v>
      </c>
      <c r="R4318" t="s">
        <v>918</v>
      </c>
      <c r="S4318">
        <v>37</v>
      </c>
      <c r="T4318" s="29" t="str">
        <f t="shared" si="196"/>
        <v>2021.010B.R.Binomial_names.zip</v>
      </c>
      <c r="U4318" s="29" t="str">
        <f>HYPERLINK("https://ictv.global/taxonomy/taxondetails?taxnode_id=202307000","ictv.global=202307000")</f>
        <v>ictv.global=202307000</v>
      </c>
    </row>
    <row r="4319" spans="1:21">
      <c r="A4319">
        <v>4318</v>
      </c>
      <c r="B4319" s="30" t="s">
        <v>1587</v>
      </c>
      <c r="D4319" s="30" t="s">
        <v>1588</v>
      </c>
      <c r="F4319" s="30" t="s">
        <v>1591</v>
      </c>
      <c r="H4319" s="30" t="s">
        <v>1592</v>
      </c>
      <c r="N4319" s="30" t="s">
        <v>1371</v>
      </c>
      <c r="P4319" s="30" t="s">
        <v>7775</v>
      </c>
      <c r="Q4319" t="s">
        <v>619</v>
      </c>
      <c r="R4319" t="s">
        <v>918</v>
      </c>
      <c r="S4319">
        <v>37</v>
      </c>
      <c r="T4319" s="29" t="str">
        <f t="shared" si="196"/>
        <v>2021.010B.R.Binomial_names.zip</v>
      </c>
      <c r="U4319" s="29" t="str">
        <f>HYPERLINK("https://ictv.global/taxonomy/taxondetails?taxnode_id=202300441","ictv.global=202300441")</f>
        <v>ictv.global=202300441</v>
      </c>
    </row>
    <row r="4320" spans="1:21">
      <c r="A4320">
        <v>4319</v>
      </c>
      <c r="B4320" s="30" t="s">
        <v>1587</v>
      </c>
      <c r="D4320" s="30" t="s">
        <v>1588</v>
      </c>
      <c r="F4320" s="30" t="s">
        <v>1591</v>
      </c>
      <c r="H4320" s="30" t="s">
        <v>1592</v>
      </c>
      <c r="N4320" s="30" t="s">
        <v>1371</v>
      </c>
      <c r="P4320" s="30" t="s">
        <v>7776</v>
      </c>
      <c r="Q4320" t="s">
        <v>619</v>
      </c>
      <c r="R4320" t="s">
        <v>918</v>
      </c>
      <c r="S4320">
        <v>37</v>
      </c>
      <c r="T4320" s="29" t="str">
        <f t="shared" si="196"/>
        <v>2021.010B.R.Binomial_names.zip</v>
      </c>
      <c r="U4320" s="29" t="str">
        <f>HYPERLINK("https://ictv.global/taxonomy/taxondetails?taxnode_id=202300442","ictv.global=202300442")</f>
        <v>ictv.global=202300442</v>
      </c>
    </row>
    <row r="4321" spans="1:21">
      <c r="A4321">
        <v>4320</v>
      </c>
      <c r="B4321" s="30" t="s">
        <v>1587</v>
      </c>
      <c r="D4321" s="30" t="s">
        <v>1588</v>
      </c>
      <c r="F4321" s="30" t="s">
        <v>1591</v>
      </c>
      <c r="H4321" s="30" t="s">
        <v>1592</v>
      </c>
      <c r="N4321" s="30" t="s">
        <v>1371</v>
      </c>
      <c r="P4321" s="30" t="s">
        <v>7777</v>
      </c>
      <c r="Q4321" t="s">
        <v>619</v>
      </c>
      <c r="R4321" t="s">
        <v>918</v>
      </c>
      <c r="S4321">
        <v>37</v>
      </c>
      <c r="T4321" s="29" t="str">
        <f t="shared" si="196"/>
        <v>2021.010B.R.Binomial_names.zip</v>
      </c>
      <c r="U4321" s="29" t="str">
        <f>HYPERLINK("https://ictv.global/taxonomy/taxondetails?taxnode_id=202307001","ictv.global=202307001")</f>
        <v>ictv.global=202307001</v>
      </c>
    </row>
    <row r="4322" spans="1:21">
      <c r="A4322">
        <v>4321</v>
      </c>
      <c r="B4322" s="30" t="s">
        <v>1587</v>
      </c>
      <c r="D4322" s="30" t="s">
        <v>1588</v>
      </c>
      <c r="F4322" s="30" t="s">
        <v>1591</v>
      </c>
      <c r="H4322" s="30" t="s">
        <v>1592</v>
      </c>
      <c r="N4322" s="30" t="s">
        <v>1926</v>
      </c>
      <c r="P4322" s="30" t="s">
        <v>7778</v>
      </c>
      <c r="Q4322" t="s">
        <v>619</v>
      </c>
      <c r="R4322" t="s">
        <v>918</v>
      </c>
      <c r="S4322">
        <v>37</v>
      </c>
      <c r="T4322" s="29" t="str">
        <f t="shared" si="196"/>
        <v>2021.010B.R.Binomial_names.zip</v>
      </c>
      <c r="U4322" s="29" t="str">
        <f>HYPERLINK("https://ictv.global/taxonomy/taxondetails?taxnode_id=202307931","ictv.global=202307931")</f>
        <v>ictv.global=202307931</v>
      </c>
    </row>
    <row r="4323" spans="1:21">
      <c r="A4323">
        <v>4322</v>
      </c>
      <c r="B4323" s="30" t="s">
        <v>1587</v>
      </c>
      <c r="D4323" s="30" t="s">
        <v>1588</v>
      </c>
      <c r="F4323" s="30" t="s">
        <v>1591</v>
      </c>
      <c r="H4323" s="30" t="s">
        <v>1592</v>
      </c>
      <c r="N4323" s="30" t="s">
        <v>2467</v>
      </c>
      <c r="P4323" s="30" t="s">
        <v>7779</v>
      </c>
      <c r="Q4323" t="s">
        <v>619</v>
      </c>
      <c r="R4323" t="s">
        <v>918</v>
      </c>
      <c r="S4323">
        <v>37</v>
      </c>
      <c r="T4323" s="29" t="str">
        <f t="shared" si="196"/>
        <v>2021.010B.R.Binomial_names.zip</v>
      </c>
      <c r="U4323" s="29" t="str">
        <f>HYPERLINK("https://ictv.global/taxonomy/taxondetails?taxnode_id=202309358","ictv.global=202309358")</f>
        <v>ictv.global=202309358</v>
      </c>
    </row>
    <row r="4324" spans="1:21">
      <c r="A4324">
        <v>4323</v>
      </c>
      <c r="B4324" s="30" t="s">
        <v>1587</v>
      </c>
      <c r="D4324" s="30" t="s">
        <v>1588</v>
      </c>
      <c r="F4324" s="30" t="s">
        <v>1591</v>
      </c>
      <c r="H4324" s="30" t="s">
        <v>1592</v>
      </c>
      <c r="N4324" s="30" t="s">
        <v>2467</v>
      </c>
      <c r="P4324" s="30" t="s">
        <v>7780</v>
      </c>
      <c r="Q4324" t="s">
        <v>619</v>
      </c>
      <c r="R4324" t="s">
        <v>918</v>
      </c>
      <c r="S4324">
        <v>37</v>
      </c>
      <c r="T4324" s="29" t="str">
        <f t="shared" si="196"/>
        <v>2021.010B.R.Binomial_names.zip</v>
      </c>
      <c r="U4324" s="29" t="str">
        <f>HYPERLINK("https://ictv.global/taxonomy/taxondetails?taxnode_id=202309357","ictv.global=202309357")</f>
        <v>ictv.global=202309357</v>
      </c>
    </row>
    <row r="4325" spans="1:21">
      <c r="A4325">
        <v>4324</v>
      </c>
      <c r="B4325" s="30" t="s">
        <v>1587</v>
      </c>
      <c r="D4325" s="30" t="s">
        <v>1588</v>
      </c>
      <c r="F4325" s="30" t="s">
        <v>1591</v>
      </c>
      <c r="H4325" s="30" t="s">
        <v>1592</v>
      </c>
      <c r="N4325" s="30" t="s">
        <v>2468</v>
      </c>
      <c r="P4325" s="30" t="s">
        <v>7781</v>
      </c>
      <c r="Q4325" t="s">
        <v>619</v>
      </c>
      <c r="R4325" t="s">
        <v>918</v>
      </c>
      <c r="S4325">
        <v>37</v>
      </c>
      <c r="T4325" s="29" t="str">
        <f t="shared" si="196"/>
        <v>2021.010B.R.Binomial_names.zip</v>
      </c>
      <c r="U4325" s="29" t="str">
        <f>HYPERLINK("https://ictv.global/taxonomy/taxondetails?taxnode_id=202311561","ictv.global=202311561")</f>
        <v>ictv.global=202311561</v>
      </c>
    </row>
    <row r="4326" spans="1:21">
      <c r="A4326">
        <v>4325</v>
      </c>
      <c r="B4326" s="30" t="s">
        <v>1587</v>
      </c>
      <c r="D4326" s="30" t="s">
        <v>1588</v>
      </c>
      <c r="F4326" s="30" t="s">
        <v>1591</v>
      </c>
      <c r="H4326" s="30" t="s">
        <v>1592</v>
      </c>
      <c r="N4326" s="30" t="s">
        <v>2468</v>
      </c>
      <c r="P4326" s="30" t="s">
        <v>7782</v>
      </c>
      <c r="Q4326" t="s">
        <v>619</v>
      </c>
      <c r="R4326" t="s">
        <v>918</v>
      </c>
      <c r="S4326">
        <v>37</v>
      </c>
      <c r="T4326" s="29" t="str">
        <f t="shared" si="196"/>
        <v>2021.010B.R.Binomial_names.zip</v>
      </c>
      <c r="U4326" s="29" t="str">
        <f>HYPERLINK("https://ictv.global/taxonomy/taxondetails?taxnode_id=202311563","ictv.global=202311563")</f>
        <v>ictv.global=202311563</v>
      </c>
    </row>
    <row r="4327" spans="1:21">
      <c r="A4327">
        <v>4326</v>
      </c>
      <c r="B4327" s="30" t="s">
        <v>1587</v>
      </c>
      <c r="D4327" s="30" t="s">
        <v>1588</v>
      </c>
      <c r="F4327" s="30" t="s">
        <v>1591</v>
      </c>
      <c r="H4327" s="30" t="s">
        <v>1592</v>
      </c>
      <c r="N4327" s="30" t="s">
        <v>2468</v>
      </c>
      <c r="P4327" s="30" t="s">
        <v>7783</v>
      </c>
      <c r="Q4327" t="s">
        <v>619</v>
      </c>
      <c r="R4327" t="s">
        <v>918</v>
      </c>
      <c r="S4327">
        <v>37</v>
      </c>
      <c r="T4327" s="29" t="str">
        <f t="shared" si="196"/>
        <v>2021.010B.R.Binomial_names.zip</v>
      </c>
      <c r="U4327" s="29" t="str">
        <f>HYPERLINK("https://ictv.global/taxonomy/taxondetails?taxnode_id=202311564","ictv.global=202311564")</f>
        <v>ictv.global=202311564</v>
      </c>
    </row>
    <row r="4328" spans="1:21">
      <c r="A4328">
        <v>4327</v>
      </c>
      <c r="B4328" s="30" t="s">
        <v>1587</v>
      </c>
      <c r="D4328" s="30" t="s">
        <v>1588</v>
      </c>
      <c r="F4328" s="30" t="s">
        <v>1591</v>
      </c>
      <c r="H4328" s="30" t="s">
        <v>1592</v>
      </c>
      <c r="N4328" s="30" t="s">
        <v>2468</v>
      </c>
      <c r="P4328" s="30" t="s">
        <v>7784</v>
      </c>
      <c r="Q4328" t="s">
        <v>619</v>
      </c>
      <c r="R4328" t="s">
        <v>918</v>
      </c>
      <c r="S4328">
        <v>37</v>
      </c>
      <c r="T4328" s="29" t="str">
        <f t="shared" si="196"/>
        <v>2021.010B.R.Binomial_names.zip</v>
      </c>
      <c r="U4328" s="29" t="str">
        <f>HYPERLINK("https://ictv.global/taxonomy/taxondetails?taxnode_id=202311562","ictv.global=202311562")</f>
        <v>ictv.global=202311562</v>
      </c>
    </row>
    <row r="4329" spans="1:21">
      <c r="A4329">
        <v>4328</v>
      </c>
      <c r="B4329" s="30" t="s">
        <v>1587</v>
      </c>
      <c r="D4329" s="30" t="s">
        <v>1588</v>
      </c>
      <c r="F4329" s="30" t="s">
        <v>1591</v>
      </c>
      <c r="H4329" s="30" t="s">
        <v>1592</v>
      </c>
      <c r="N4329" s="30" t="s">
        <v>1525</v>
      </c>
      <c r="P4329" s="30" t="s">
        <v>7785</v>
      </c>
      <c r="Q4329" t="s">
        <v>619</v>
      </c>
      <c r="R4329" t="s">
        <v>918</v>
      </c>
      <c r="S4329">
        <v>37</v>
      </c>
      <c r="T4329" s="29" t="str">
        <f t="shared" si="196"/>
        <v>2021.010B.R.Binomial_names.zip</v>
      </c>
      <c r="U4329" s="29" t="str">
        <f>HYPERLINK("https://ictv.global/taxonomy/taxondetails?taxnode_id=202306852","ictv.global=202306852")</f>
        <v>ictv.global=202306852</v>
      </c>
    </row>
    <row r="4330" spans="1:21">
      <c r="A4330">
        <v>4329</v>
      </c>
      <c r="B4330" s="30" t="s">
        <v>1587</v>
      </c>
      <c r="D4330" s="30" t="s">
        <v>1588</v>
      </c>
      <c r="F4330" s="30" t="s">
        <v>1591</v>
      </c>
      <c r="H4330" s="30" t="s">
        <v>1592</v>
      </c>
      <c r="N4330" s="30" t="s">
        <v>7786</v>
      </c>
      <c r="P4330" s="30" t="s">
        <v>7787</v>
      </c>
      <c r="Q4330" t="s">
        <v>619</v>
      </c>
      <c r="R4330" t="s">
        <v>917</v>
      </c>
      <c r="S4330">
        <v>38</v>
      </c>
      <c r="T4330" s="29" t="str">
        <f>HYPERLINK("https://ictv.global/ictv/proposals/2022.056B.Nimduovirus_ng.zip","2022.056B.Nimduovirus_ng.zip")</f>
        <v>2022.056B.Nimduovirus_ng.zip</v>
      </c>
      <c r="U4330" s="29" t="str">
        <f>HYPERLINK("https://ictv.global/taxonomy/taxondetails?taxnode_id=202314694","ictv.global=202314694")</f>
        <v>ictv.global=202314694</v>
      </c>
    </row>
    <row r="4331" spans="1:21">
      <c r="A4331">
        <v>4330</v>
      </c>
      <c r="B4331" s="30" t="s">
        <v>1587</v>
      </c>
      <c r="D4331" s="30" t="s">
        <v>1588</v>
      </c>
      <c r="F4331" s="30" t="s">
        <v>1591</v>
      </c>
      <c r="H4331" s="30" t="s">
        <v>1592</v>
      </c>
      <c r="N4331" s="30" t="s">
        <v>650</v>
      </c>
      <c r="P4331" s="30" t="s">
        <v>7788</v>
      </c>
      <c r="Q4331" t="s">
        <v>619</v>
      </c>
      <c r="R4331" t="s">
        <v>918</v>
      </c>
      <c r="S4331">
        <v>37</v>
      </c>
      <c r="T4331" s="29" t="str">
        <f>HYPERLINK("https://ictv.global/ictv/proposals/2021.010B.R.Binomial_names.zip","2021.010B.R.Binomial_names.zip")</f>
        <v>2021.010B.R.Binomial_names.zip</v>
      </c>
      <c r="U4331" s="29" t="str">
        <f>HYPERLINK("https://ictv.global/taxonomy/taxondetails?taxnode_id=202300674","ictv.global=202300674")</f>
        <v>ictv.global=202300674</v>
      </c>
    </row>
    <row r="4332" spans="1:21">
      <c r="A4332">
        <v>4331</v>
      </c>
      <c r="B4332" s="30" t="s">
        <v>1587</v>
      </c>
      <c r="D4332" s="30" t="s">
        <v>1588</v>
      </c>
      <c r="F4332" s="30" t="s">
        <v>1591</v>
      </c>
      <c r="H4332" s="30" t="s">
        <v>1592</v>
      </c>
      <c r="N4332" s="30" t="s">
        <v>650</v>
      </c>
      <c r="P4332" s="30" t="s">
        <v>7789</v>
      </c>
      <c r="Q4332" t="s">
        <v>619</v>
      </c>
      <c r="R4332" t="s">
        <v>918</v>
      </c>
      <c r="S4332">
        <v>37</v>
      </c>
      <c r="T4332" s="29" t="str">
        <f>HYPERLINK("https://ictv.global/ictv/proposals/2021.010B.R.Binomial_names.zip","2021.010B.R.Binomial_names.zip")</f>
        <v>2021.010B.R.Binomial_names.zip</v>
      </c>
      <c r="U4332" s="29" t="str">
        <f>HYPERLINK("https://ictv.global/taxonomy/taxondetails?taxnode_id=202300675","ictv.global=202300675")</f>
        <v>ictv.global=202300675</v>
      </c>
    </row>
    <row r="4333" spans="1:21">
      <c r="A4333">
        <v>4332</v>
      </c>
      <c r="B4333" s="30" t="s">
        <v>1587</v>
      </c>
      <c r="D4333" s="30" t="s">
        <v>1588</v>
      </c>
      <c r="F4333" s="30" t="s">
        <v>1591</v>
      </c>
      <c r="H4333" s="30" t="s">
        <v>1592</v>
      </c>
      <c r="N4333" s="30" t="s">
        <v>7790</v>
      </c>
      <c r="P4333" s="30" t="s">
        <v>7791</v>
      </c>
      <c r="Q4333" t="s">
        <v>619</v>
      </c>
      <c r="R4333" t="s">
        <v>917</v>
      </c>
      <c r="S4333">
        <v>38</v>
      </c>
      <c r="T4333" s="29" t="str">
        <f>HYPERLINK("https://ictv.global/ictv/proposals/2022.057B.Northamptonvirus_ng.zip","2022.057B.Northamptonvirus_ng.zip")</f>
        <v>2022.057B.Northamptonvirus_ng.zip</v>
      </c>
      <c r="U4333" s="29" t="str">
        <f>HYPERLINK("https://ictv.global/taxonomy/taxondetails?taxnode_id=202314696","ictv.global=202314696")</f>
        <v>ictv.global=202314696</v>
      </c>
    </row>
    <row r="4334" spans="1:21">
      <c r="A4334">
        <v>4333</v>
      </c>
      <c r="B4334" s="30" t="s">
        <v>1587</v>
      </c>
      <c r="D4334" s="30" t="s">
        <v>1588</v>
      </c>
      <c r="F4334" s="30" t="s">
        <v>1591</v>
      </c>
      <c r="H4334" s="30" t="s">
        <v>1592</v>
      </c>
      <c r="N4334" s="30" t="s">
        <v>7790</v>
      </c>
      <c r="P4334" s="30" t="s">
        <v>7792</v>
      </c>
      <c r="Q4334" t="s">
        <v>619</v>
      </c>
      <c r="R4334" t="s">
        <v>917</v>
      </c>
      <c r="S4334">
        <v>38</v>
      </c>
      <c r="T4334" s="29" t="str">
        <f>HYPERLINK("https://ictv.global/ictv/proposals/2022.057B.Northamptonvirus_ng.zip","2022.057B.Northamptonvirus_ng.zip")</f>
        <v>2022.057B.Northamptonvirus_ng.zip</v>
      </c>
      <c r="U4334" s="29" t="str">
        <f>HYPERLINK("https://ictv.global/taxonomy/taxondetails?taxnode_id=202314697","ictv.global=202314697")</f>
        <v>ictv.global=202314697</v>
      </c>
    </row>
    <row r="4335" spans="1:21">
      <c r="A4335">
        <v>4334</v>
      </c>
      <c r="B4335" s="30" t="s">
        <v>1587</v>
      </c>
      <c r="D4335" s="30" t="s">
        <v>1588</v>
      </c>
      <c r="F4335" s="30" t="s">
        <v>1591</v>
      </c>
      <c r="H4335" s="30" t="s">
        <v>1592</v>
      </c>
      <c r="N4335" s="30" t="s">
        <v>1528</v>
      </c>
      <c r="P4335" s="30" t="s">
        <v>7794</v>
      </c>
      <c r="Q4335" t="s">
        <v>619</v>
      </c>
      <c r="R4335" t="s">
        <v>918</v>
      </c>
      <c r="S4335">
        <v>37</v>
      </c>
      <c r="T4335" s="29" t="str">
        <f t="shared" ref="T4335:T4354" si="197">HYPERLINK("https://ictv.global/ictv/proposals/2021.010B.R.Binomial_names.zip","2021.010B.R.Binomial_names.zip")</f>
        <v>2021.010B.R.Binomial_names.zip</v>
      </c>
      <c r="U4335" s="29" t="str">
        <f>HYPERLINK("https://ictv.global/taxonomy/taxondetails?taxnode_id=202306692","ictv.global=202306692")</f>
        <v>ictv.global=202306692</v>
      </c>
    </row>
    <row r="4336" spans="1:21">
      <c r="A4336">
        <v>4335</v>
      </c>
      <c r="B4336" s="30" t="s">
        <v>1587</v>
      </c>
      <c r="D4336" s="30" t="s">
        <v>1588</v>
      </c>
      <c r="F4336" s="30" t="s">
        <v>1591</v>
      </c>
      <c r="H4336" s="30" t="s">
        <v>1592</v>
      </c>
      <c r="N4336" s="30" t="s">
        <v>2282</v>
      </c>
      <c r="P4336" s="30" t="s">
        <v>7795</v>
      </c>
      <c r="Q4336" t="s">
        <v>619</v>
      </c>
      <c r="R4336" t="s">
        <v>918</v>
      </c>
      <c r="S4336">
        <v>37</v>
      </c>
      <c r="T4336" s="29" t="str">
        <f t="shared" si="197"/>
        <v>2021.010B.R.Binomial_names.zip</v>
      </c>
      <c r="U4336" s="29" t="str">
        <f>HYPERLINK("https://ictv.global/taxonomy/taxondetails?taxnode_id=202311566","ictv.global=202311566")</f>
        <v>ictv.global=202311566</v>
      </c>
    </row>
    <row r="4337" spans="1:21">
      <c r="A4337">
        <v>4336</v>
      </c>
      <c r="B4337" s="30" t="s">
        <v>1587</v>
      </c>
      <c r="D4337" s="30" t="s">
        <v>1588</v>
      </c>
      <c r="F4337" s="30" t="s">
        <v>1591</v>
      </c>
      <c r="H4337" s="30" t="s">
        <v>1592</v>
      </c>
      <c r="N4337" s="30" t="s">
        <v>2282</v>
      </c>
      <c r="P4337" s="30" t="s">
        <v>7796</v>
      </c>
      <c r="Q4337" t="s">
        <v>619</v>
      </c>
      <c r="R4337" t="s">
        <v>918</v>
      </c>
      <c r="S4337">
        <v>37</v>
      </c>
      <c r="T4337" s="29" t="str">
        <f t="shared" si="197"/>
        <v>2021.010B.R.Binomial_names.zip</v>
      </c>
      <c r="U4337" s="29" t="str">
        <f>HYPERLINK("https://ictv.global/taxonomy/taxondetails?taxnode_id=202311567","ictv.global=202311567")</f>
        <v>ictv.global=202311567</v>
      </c>
    </row>
    <row r="4338" spans="1:21">
      <c r="A4338">
        <v>4337</v>
      </c>
      <c r="B4338" s="30" t="s">
        <v>1587</v>
      </c>
      <c r="D4338" s="30" t="s">
        <v>1588</v>
      </c>
      <c r="F4338" s="30" t="s">
        <v>1591</v>
      </c>
      <c r="H4338" s="30" t="s">
        <v>1592</v>
      </c>
      <c r="N4338" s="30" t="s">
        <v>1376</v>
      </c>
      <c r="P4338" s="30" t="s">
        <v>7797</v>
      </c>
      <c r="Q4338" t="s">
        <v>619</v>
      </c>
      <c r="R4338" t="s">
        <v>918</v>
      </c>
      <c r="S4338">
        <v>37</v>
      </c>
      <c r="T4338" s="29" t="str">
        <f t="shared" si="197"/>
        <v>2021.010B.R.Binomial_names.zip</v>
      </c>
      <c r="U4338" s="29" t="str">
        <f>HYPERLINK("https://ictv.global/taxonomy/taxondetails?taxnode_id=202300377","ictv.global=202300377")</f>
        <v>ictv.global=202300377</v>
      </c>
    </row>
    <row r="4339" spans="1:21">
      <c r="A4339">
        <v>4338</v>
      </c>
      <c r="B4339" s="30" t="s">
        <v>1587</v>
      </c>
      <c r="D4339" s="30" t="s">
        <v>1588</v>
      </c>
      <c r="F4339" s="30" t="s">
        <v>1591</v>
      </c>
      <c r="H4339" s="30" t="s">
        <v>1592</v>
      </c>
      <c r="N4339" s="30" t="s">
        <v>1376</v>
      </c>
      <c r="P4339" s="30" t="s">
        <v>7798</v>
      </c>
      <c r="Q4339" t="s">
        <v>619</v>
      </c>
      <c r="R4339" t="s">
        <v>918</v>
      </c>
      <c r="S4339">
        <v>37</v>
      </c>
      <c r="T4339" s="29" t="str">
        <f t="shared" si="197"/>
        <v>2021.010B.R.Binomial_names.zip</v>
      </c>
      <c r="U4339" s="29" t="str">
        <f>HYPERLINK("https://ictv.global/taxonomy/taxondetails?taxnode_id=202300378","ictv.global=202300378")</f>
        <v>ictv.global=202300378</v>
      </c>
    </row>
    <row r="4340" spans="1:21">
      <c r="A4340">
        <v>4339</v>
      </c>
      <c r="B4340" s="30" t="s">
        <v>1587</v>
      </c>
      <c r="D4340" s="30" t="s">
        <v>1588</v>
      </c>
      <c r="F4340" s="30" t="s">
        <v>1591</v>
      </c>
      <c r="H4340" s="30" t="s">
        <v>1592</v>
      </c>
      <c r="N4340" s="30" t="s">
        <v>1376</v>
      </c>
      <c r="P4340" s="30" t="s">
        <v>7799</v>
      </c>
      <c r="Q4340" t="s">
        <v>619</v>
      </c>
      <c r="R4340" t="s">
        <v>918</v>
      </c>
      <c r="S4340">
        <v>37</v>
      </c>
      <c r="T4340" s="29" t="str">
        <f t="shared" si="197"/>
        <v>2021.010B.R.Binomial_names.zip</v>
      </c>
      <c r="U4340" s="29" t="str">
        <f>HYPERLINK("https://ictv.global/taxonomy/taxondetails?taxnode_id=202300379","ictv.global=202300379")</f>
        <v>ictv.global=202300379</v>
      </c>
    </row>
    <row r="4341" spans="1:21">
      <c r="A4341">
        <v>4340</v>
      </c>
      <c r="B4341" s="30" t="s">
        <v>1587</v>
      </c>
      <c r="D4341" s="30" t="s">
        <v>1588</v>
      </c>
      <c r="F4341" s="30" t="s">
        <v>1591</v>
      </c>
      <c r="H4341" s="30" t="s">
        <v>1592</v>
      </c>
      <c r="N4341" s="30" t="s">
        <v>1376</v>
      </c>
      <c r="P4341" s="30" t="s">
        <v>7800</v>
      </c>
      <c r="Q4341" t="s">
        <v>619</v>
      </c>
      <c r="R4341" t="s">
        <v>918</v>
      </c>
      <c r="S4341">
        <v>37</v>
      </c>
      <c r="T4341" s="29" t="str">
        <f t="shared" si="197"/>
        <v>2021.010B.R.Binomial_names.zip</v>
      </c>
      <c r="U4341" s="29" t="str">
        <f>HYPERLINK("https://ictv.global/taxonomy/taxondetails?taxnode_id=202306922","ictv.global=202306922")</f>
        <v>ictv.global=202306922</v>
      </c>
    </row>
    <row r="4342" spans="1:21">
      <c r="A4342">
        <v>4341</v>
      </c>
      <c r="B4342" s="30" t="s">
        <v>1587</v>
      </c>
      <c r="D4342" s="30" t="s">
        <v>1588</v>
      </c>
      <c r="F4342" s="30" t="s">
        <v>1591</v>
      </c>
      <c r="H4342" s="30" t="s">
        <v>1592</v>
      </c>
      <c r="N4342" s="30" t="s">
        <v>1376</v>
      </c>
      <c r="P4342" s="30" t="s">
        <v>7801</v>
      </c>
      <c r="Q4342" t="s">
        <v>619</v>
      </c>
      <c r="R4342" t="s">
        <v>918</v>
      </c>
      <c r="S4342">
        <v>37</v>
      </c>
      <c r="T4342" s="29" t="str">
        <f t="shared" si="197"/>
        <v>2021.010B.R.Binomial_names.zip</v>
      </c>
      <c r="U4342" s="29" t="str">
        <f>HYPERLINK("https://ictv.global/taxonomy/taxondetails?taxnode_id=202300380","ictv.global=202300380")</f>
        <v>ictv.global=202300380</v>
      </c>
    </row>
    <row r="4343" spans="1:21">
      <c r="A4343">
        <v>4342</v>
      </c>
      <c r="B4343" s="30" t="s">
        <v>1587</v>
      </c>
      <c r="D4343" s="30" t="s">
        <v>1588</v>
      </c>
      <c r="F4343" s="30" t="s">
        <v>1591</v>
      </c>
      <c r="H4343" s="30" t="s">
        <v>1592</v>
      </c>
      <c r="N4343" s="30" t="s">
        <v>1376</v>
      </c>
      <c r="P4343" s="30" t="s">
        <v>7802</v>
      </c>
      <c r="Q4343" t="s">
        <v>619</v>
      </c>
      <c r="R4343" t="s">
        <v>918</v>
      </c>
      <c r="S4343">
        <v>37</v>
      </c>
      <c r="T4343" s="29" t="str">
        <f t="shared" si="197"/>
        <v>2021.010B.R.Binomial_names.zip</v>
      </c>
      <c r="U4343" s="29" t="str">
        <f>HYPERLINK("https://ictv.global/taxonomy/taxondetails?taxnode_id=202306921","ictv.global=202306921")</f>
        <v>ictv.global=202306921</v>
      </c>
    </row>
    <row r="4344" spans="1:21">
      <c r="A4344">
        <v>4343</v>
      </c>
      <c r="B4344" s="30" t="s">
        <v>1587</v>
      </c>
      <c r="D4344" s="30" t="s">
        <v>1588</v>
      </c>
      <c r="F4344" s="30" t="s">
        <v>1591</v>
      </c>
      <c r="H4344" s="30" t="s">
        <v>1592</v>
      </c>
      <c r="N4344" s="30" t="s">
        <v>1376</v>
      </c>
      <c r="P4344" s="30" t="s">
        <v>7803</v>
      </c>
      <c r="Q4344" t="s">
        <v>619</v>
      </c>
      <c r="R4344" t="s">
        <v>918</v>
      </c>
      <c r="S4344">
        <v>37</v>
      </c>
      <c r="T4344" s="29" t="str">
        <f t="shared" si="197"/>
        <v>2021.010B.R.Binomial_names.zip</v>
      </c>
      <c r="U4344" s="29" t="str">
        <f>HYPERLINK("https://ictv.global/taxonomy/taxondetails?taxnode_id=202306919","ictv.global=202306919")</f>
        <v>ictv.global=202306919</v>
      </c>
    </row>
    <row r="4345" spans="1:21">
      <c r="A4345">
        <v>4344</v>
      </c>
      <c r="B4345" s="30" t="s">
        <v>1587</v>
      </c>
      <c r="D4345" s="30" t="s">
        <v>1588</v>
      </c>
      <c r="F4345" s="30" t="s">
        <v>1591</v>
      </c>
      <c r="H4345" s="30" t="s">
        <v>1592</v>
      </c>
      <c r="N4345" s="30" t="s">
        <v>1376</v>
      </c>
      <c r="P4345" s="30" t="s">
        <v>7804</v>
      </c>
      <c r="Q4345" t="s">
        <v>619</v>
      </c>
      <c r="R4345" t="s">
        <v>918</v>
      </c>
      <c r="S4345">
        <v>37</v>
      </c>
      <c r="T4345" s="29" t="str">
        <f t="shared" si="197"/>
        <v>2021.010B.R.Binomial_names.zip</v>
      </c>
      <c r="U4345" s="29" t="str">
        <f>HYPERLINK("https://ictv.global/taxonomy/taxondetails?taxnode_id=202306920","ictv.global=202306920")</f>
        <v>ictv.global=202306920</v>
      </c>
    </row>
    <row r="4346" spans="1:21">
      <c r="A4346">
        <v>4345</v>
      </c>
      <c r="B4346" s="30" t="s">
        <v>1587</v>
      </c>
      <c r="D4346" s="30" t="s">
        <v>1588</v>
      </c>
      <c r="F4346" s="30" t="s">
        <v>1591</v>
      </c>
      <c r="H4346" s="30" t="s">
        <v>1592</v>
      </c>
      <c r="N4346" s="30" t="s">
        <v>1927</v>
      </c>
      <c r="P4346" s="30" t="s">
        <v>7805</v>
      </c>
      <c r="Q4346" t="s">
        <v>619</v>
      </c>
      <c r="R4346" t="s">
        <v>918</v>
      </c>
      <c r="S4346">
        <v>37</v>
      </c>
      <c r="T4346" s="29" t="str">
        <f t="shared" si="197"/>
        <v>2021.010B.R.Binomial_names.zip</v>
      </c>
      <c r="U4346" s="29" t="str">
        <f>HYPERLINK("https://ictv.global/taxonomy/taxondetails?taxnode_id=202308056","ictv.global=202308056")</f>
        <v>ictv.global=202308056</v>
      </c>
    </row>
    <row r="4347" spans="1:21">
      <c r="A4347">
        <v>4346</v>
      </c>
      <c r="B4347" s="30" t="s">
        <v>1587</v>
      </c>
      <c r="D4347" s="30" t="s">
        <v>1588</v>
      </c>
      <c r="F4347" s="30" t="s">
        <v>1591</v>
      </c>
      <c r="H4347" s="30" t="s">
        <v>1592</v>
      </c>
      <c r="N4347" s="30" t="s">
        <v>694</v>
      </c>
      <c r="P4347" s="30" t="s">
        <v>7806</v>
      </c>
      <c r="Q4347" t="s">
        <v>619</v>
      </c>
      <c r="R4347" t="s">
        <v>918</v>
      </c>
      <c r="S4347">
        <v>37</v>
      </c>
      <c r="T4347" s="29" t="str">
        <f t="shared" si="197"/>
        <v>2021.010B.R.Binomial_names.zip</v>
      </c>
      <c r="U4347" s="29" t="str">
        <f>HYPERLINK("https://ictv.global/taxonomy/taxondetails?taxnode_id=202301095","ictv.global=202301095")</f>
        <v>ictv.global=202301095</v>
      </c>
    </row>
    <row r="4348" spans="1:21">
      <c r="A4348">
        <v>4347</v>
      </c>
      <c r="B4348" s="30" t="s">
        <v>1587</v>
      </c>
      <c r="D4348" s="30" t="s">
        <v>1588</v>
      </c>
      <c r="F4348" s="30" t="s">
        <v>1591</v>
      </c>
      <c r="H4348" s="30" t="s">
        <v>1592</v>
      </c>
      <c r="N4348" s="30" t="s">
        <v>694</v>
      </c>
      <c r="P4348" s="30" t="s">
        <v>7807</v>
      </c>
      <c r="Q4348" t="s">
        <v>619</v>
      </c>
      <c r="R4348" t="s">
        <v>918</v>
      </c>
      <c r="S4348">
        <v>37</v>
      </c>
      <c r="T4348" s="29" t="str">
        <f t="shared" si="197"/>
        <v>2021.010B.R.Binomial_names.zip</v>
      </c>
      <c r="U4348" s="29" t="str">
        <f>HYPERLINK("https://ictv.global/taxonomy/taxondetails?taxnode_id=202301096","ictv.global=202301096")</f>
        <v>ictv.global=202301096</v>
      </c>
    </row>
    <row r="4349" spans="1:21">
      <c r="A4349">
        <v>4348</v>
      </c>
      <c r="B4349" s="30" t="s">
        <v>1587</v>
      </c>
      <c r="D4349" s="30" t="s">
        <v>1588</v>
      </c>
      <c r="F4349" s="30" t="s">
        <v>1591</v>
      </c>
      <c r="H4349" s="30" t="s">
        <v>1592</v>
      </c>
      <c r="N4349" s="30" t="s">
        <v>694</v>
      </c>
      <c r="P4349" s="30" t="s">
        <v>7808</v>
      </c>
      <c r="Q4349" t="s">
        <v>619</v>
      </c>
      <c r="R4349" t="s">
        <v>918</v>
      </c>
      <c r="S4349">
        <v>37</v>
      </c>
      <c r="T4349" s="29" t="str">
        <f t="shared" si="197"/>
        <v>2021.010B.R.Binomial_names.zip</v>
      </c>
      <c r="U4349" s="29" t="str">
        <f>HYPERLINK("https://ictv.global/taxonomy/taxondetails?taxnode_id=202301097","ictv.global=202301097")</f>
        <v>ictv.global=202301097</v>
      </c>
    </row>
    <row r="4350" spans="1:21">
      <c r="A4350">
        <v>4349</v>
      </c>
      <c r="B4350" s="30" t="s">
        <v>1587</v>
      </c>
      <c r="D4350" s="30" t="s">
        <v>1588</v>
      </c>
      <c r="F4350" s="30" t="s">
        <v>1591</v>
      </c>
      <c r="H4350" s="30" t="s">
        <v>1592</v>
      </c>
      <c r="N4350" s="30" t="s">
        <v>694</v>
      </c>
      <c r="P4350" s="30" t="s">
        <v>7809</v>
      </c>
      <c r="Q4350" t="s">
        <v>619</v>
      </c>
      <c r="R4350" t="s">
        <v>918</v>
      </c>
      <c r="S4350">
        <v>37</v>
      </c>
      <c r="T4350" s="29" t="str">
        <f t="shared" si="197"/>
        <v>2021.010B.R.Binomial_names.zip</v>
      </c>
      <c r="U4350" s="29" t="str">
        <f>HYPERLINK("https://ictv.global/taxonomy/taxondetails?taxnode_id=202301098","ictv.global=202301098")</f>
        <v>ictv.global=202301098</v>
      </c>
    </row>
    <row r="4351" spans="1:21">
      <c r="A4351">
        <v>4350</v>
      </c>
      <c r="B4351" s="30" t="s">
        <v>1587</v>
      </c>
      <c r="D4351" s="30" t="s">
        <v>1588</v>
      </c>
      <c r="F4351" s="30" t="s">
        <v>1591</v>
      </c>
      <c r="H4351" s="30" t="s">
        <v>1592</v>
      </c>
      <c r="N4351" s="30" t="s">
        <v>694</v>
      </c>
      <c r="P4351" s="30" t="s">
        <v>7810</v>
      </c>
      <c r="Q4351" t="s">
        <v>619</v>
      </c>
      <c r="R4351" t="s">
        <v>918</v>
      </c>
      <c r="S4351">
        <v>37</v>
      </c>
      <c r="T4351" s="29" t="str">
        <f t="shared" si="197"/>
        <v>2021.010B.R.Binomial_names.zip</v>
      </c>
      <c r="U4351" s="29" t="str">
        <f>HYPERLINK("https://ictv.global/taxonomy/taxondetails?taxnode_id=202301099","ictv.global=202301099")</f>
        <v>ictv.global=202301099</v>
      </c>
    </row>
    <row r="4352" spans="1:21">
      <c r="A4352">
        <v>4351</v>
      </c>
      <c r="B4352" s="30" t="s">
        <v>1587</v>
      </c>
      <c r="D4352" s="30" t="s">
        <v>1588</v>
      </c>
      <c r="F4352" s="30" t="s">
        <v>1591</v>
      </c>
      <c r="H4352" s="30" t="s">
        <v>1592</v>
      </c>
      <c r="N4352" s="30" t="s">
        <v>694</v>
      </c>
      <c r="P4352" s="30" t="s">
        <v>7811</v>
      </c>
      <c r="Q4352" t="s">
        <v>619</v>
      </c>
      <c r="R4352" t="s">
        <v>918</v>
      </c>
      <c r="S4352">
        <v>37</v>
      </c>
      <c r="T4352" s="29" t="str">
        <f t="shared" si="197"/>
        <v>2021.010B.R.Binomial_names.zip</v>
      </c>
      <c r="U4352" s="29" t="str">
        <f>HYPERLINK("https://ictv.global/taxonomy/taxondetails?taxnode_id=202301100","ictv.global=202301100")</f>
        <v>ictv.global=202301100</v>
      </c>
    </row>
    <row r="4353" spans="1:21">
      <c r="A4353">
        <v>4352</v>
      </c>
      <c r="B4353" s="30" t="s">
        <v>1587</v>
      </c>
      <c r="D4353" s="30" t="s">
        <v>1588</v>
      </c>
      <c r="F4353" s="30" t="s">
        <v>1591</v>
      </c>
      <c r="H4353" s="30" t="s">
        <v>1592</v>
      </c>
      <c r="N4353" s="30" t="s">
        <v>1928</v>
      </c>
      <c r="P4353" s="30" t="s">
        <v>7812</v>
      </c>
      <c r="Q4353" t="s">
        <v>619</v>
      </c>
      <c r="R4353" t="s">
        <v>918</v>
      </c>
      <c r="S4353">
        <v>37</v>
      </c>
      <c r="T4353" s="29" t="str">
        <f t="shared" si="197"/>
        <v>2021.010B.R.Binomial_names.zip</v>
      </c>
      <c r="U4353" s="29" t="str">
        <f>HYPERLINK("https://ictv.global/taxonomy/taxondetails?taxnode_id=202307460","ictv.global=202307460")</f>
        <v>ictv.global=202307460</v>
      </c>
    </row>
    <row r="4354" spans="1:21">
      <c r="A4354">
        <v>4353</v>
      </c>
      <c r="B4354" s="30" t="s">
        <v>1587</v>
      </c>
      <c r="D4354" s="30" t="s">
        <v>1588</v>
      </c>
      <c r="F4354" s="30" t="s">
        <v>1591</v>
      </c>
      <c r="H4354" s="30" t="s">
        <v>1592</v>
      </c>
      <c r="N4354" s="30" t="s">
        <v>1928</v>
      </c>
      <c r="P4354" s="30" t="s">
        <v>7813</v>
      </c>
      <c r="Q4354" t="s">
        <v>619</v>
      </c>
      <c r="R4354" t="s">
        <v>918</v>
      </c>
      <c r="S4354">
        <v>37</v>
      </c>
      <c r="T4354" s="29" t="str">
        <f t="shared" si="197"/>
        <v>2021.010B.R.Binomial_names.zip</v>
      </c>
      <c r="U4354" s="29" t="str">
        <f>HYPERLINK("https://ictv.global/taxonomy/taxondetails?taxnode_id=202301311","ictv.global=202301311")</f>
        <v>ictv.global=202301311</v>
      </c>
    </row>
    <row r="4355" spans="1:21">
      <c r="A4355">
        <v>4354</v>
      </c>
      <c r="B4355" s="30" t="s">
        <v>1587</v>
      </c>
      <c r="D4355" s="30" t="s">
        <v>1588</v>
      </c>
      <c r="F4355" s="30" t="s">
        <v>1591</v>
      </c>
      <c r="H4355" s="30" t="s">
        <v>1592</v>
      </c>
      <c r="N4355" s="30" t="s">
        <v>7814</v>
      </c>
      <c r="P4355" s="30" t="s">
        <v>7815</v>
      </c>
      <c r="Q4355" t="s">
        <v>619</v>
      </c>
      <c r="R4355" t="s">
        <v>917</v>
      </c>
      <c r="S4355">
        <v>38</v>
      </c>
      <c r="T4355" s="29" t="str">
        <f>HYPERLINK("https://ictv.global/ictv/proposals/2022.091B.Caudoviricetes_3ng_actinophages.zip","2022.091B.Caudoviricetes_3ng_actinophages.zip")</f>
        <v>2022.091B.Caudoviricetes_3ng_actinophages.zip</v>
      </c>
      <c r="U4355" s="29" t="str">
        <f>HYPERLINK("https://ictv.global/taxonomy/taxondetails?taxnode_id=202314963","ictv.global=202314963")</f>
        <v>ictv.global=202314963</v>
      </c>
    </row>
    <row r="4356" spans="1:21">
      <c r="A4356">
        <v>4355</v>
      </c>
      <c r="B4356" s="30" t="s">
        <v>1587</v>
      </c>
      <c r="D4356" s="30" t="s">
        <v>1588</v>
      </c>
      <c r="F4356" s="30" t="s">
        <v>1591</v>
      </c>
      <c r="H4356" s="30" t="s">
        <v>1592</v>
      </c>
      <c r="N4356" s="30" t="s">
        <v>1529</v>
      </c>
      <c r="P4356" s="30" t="s">
        <v>7816</v>
      </c>
      <c r="Q4356" t="s">
        <v>619</v>
      </c>
      <c r="R4356" t="s">
        <v>918</v>
      </c>
      <c r="S4356">
        <v>37</v>
      </c>
      <c r="T4356" s="29" t="str">
        <f>HYPERLINK("https://ictv.global/ictv/proposals/2021.010B.R.Binomial_names.zip","2021.010B.R.Binomial_names.zip")</f>
        <v>2021.010B.R.Binomial_names.zip</v>
      </c>
      <c r="U4356" s="29" t="str">
        <f>HYPERLINK("https://ictv.global/taxonomy/taxondetails?taxnode_id=202306587","ictv.global=202306587")</f>
        <v>ictv.global=202306587</v>
      </c>
    </row>
    <row r="4357" spans="1:21">
      <c r="A4357">
        <v>4356</v>
      </c>
      <c r="B4357" s="30" t="s">
        <v>1587</v>
      </c>
      <c r="D4357" s="30" t="s">
        <v>1588</v>
      </c>
      <c r="F4357" s="30" t="s">
        <v>1591</v>
      </c>
      <c r="H4357" s="30" t="s">
        <v>1592</v>
      </c>
      <c r="N4357" s="30" t="s">
        <v>12668</v>
      </c>
      <c r="P4357" s="30" t="s">
        <v>12669</v>
      </c>
      <c r="Q4357" t="s">
        <v>619</v>
      </c>
      <c r="R4357" t="s">
        <v>917</v>
      </c>
      <c r="S4357">
        <v>39</v>
      </c>
      <c r="T4357" s="29" t="str">
        <f>HYPERLINK("https://ictv.global/ictv/proposals/2023.003B.Actinobacteriophage_singletons_25ng.zip","2023.003B.Actinobacteriophage_singletons_25ng.zip")</f>
        <v>2023.003B.Actinobacteriophage_singletons_25ng.zip</v>
      </c>
      <c r="U4357" s="29" t="str">
        <f>HYPERLINK("https://ictv.global/taxonomy/taxondetails?taxnode_id=202317763","ictv.global=202317763")</f>
        <v>ictv.global=202317763</v>
      </c>
    </row>
    <row r="4358" spans="1:21">
      <c r="A4358">
        <v>4357</v>
      </c>
      <c r="B4358" s="30" t="s">
        <v>1587</v>
      </c>
      <c r="D4358" s="30" t="s">
        <v>1588</v>
      </c>
      <c r="F4358" s="30" t="s">
        <v>1591</v>
      </c>
      <c r="H4358" s="30" t="s">
        <v>1592</v>
      </c>
      <c r="N4358" s="30" t="s">
        <v>1530</v>
      </c>
      <c r="P4358" s="30" t="s">
        <v>7817</v>
      </c>
      <c r="Q4358" t="s">
        <v>619</v>
      </c>
      <c r="R4358" t="s">
        <v>918</v>
      </c>
      <c r="S4358">
        <v>37</v>
      </c>
      <c r="T4358" s="29" t="str">
        <f>HYPERLINK("https://ictv.global/ictv/proposals/2021.010B.R.Binomial_names.zip","2021.010B.R.Binomial_names.zip")</f>
        <v>2021.010B.R.Binomial_names.zip</v>
      </c>
      <c r="U4358" s="29" t="str">
        <f>HYPERLINK("https://ictv.global/taxonomy/taxondetails?taxnode_id=202301108","ictv.global=202301108")</f>
        <v>ictv.global=202301108</v>
      </c>
    </row>
    <row r="4359" spans="1:21">
      <c r="A4359">
        <v>4358</v>
      </c>
      <c r="B4359" s="30" t="s">
        <v>1587</v>
      </c>
      <c r="D4359" s="30" t="s">
        <v>1588</v>
      </c>
      <c r="F4359" s="30" t="s">
        <v>1591</v>
      </c>
      <c r="H4359" s="30" t="s">
        <v>1592</v>
      </c>
      <c r="N4359" s="30" t="s">
        <v>1530</v>
      </c>
      <c r="P4359" s="30" t="s">
        <v>7818</v>
      </c>
      <c r="Q4359" t="s">
        <v>619</v>
      </c>
      <c r="R4359" t="s">
        <v>918</v>
      </c>
      <c r="S4359">
        <v>37</v>
      </c>
      <c r="T4359" s="29" t="str">
        <f>HYPERLINK("https://ictv.global/ictv/proposals/2021.010B.R.Binomial_names.zip","2021.010B.R.Binomial_names.zip")</f>
        <v>2021.010B.R.Binomial_names.zip</v>
      </c>
      <c r="U4359" s="29" t="str">
        <f>HYPERLINK("https://ictv.global/taxonomy/taxondetails?taxnode_id=202301109","ictv.global=202301109")</f>
        <v>ictv.global=202301109</v>
      </c>
    </row>
    <row r="4360" spans="1:21">
      <c r="A4360">
        <v>4359</v>
      </c>
      <c r="B4360" s="30" t="s">
        <v>1587</v>
      </c>
      <c r="D4360" s="30" t="s">
        <v>1588</v>
      </c>
      <c r="F4360" s="30" t="s">
        <v>1591</v>
      </c>
      <c r="H4360" s="30" t="s">
        <v>1592</v>
      </c>
      <c r="N4360" s="30" t="s">
        <v>12670</v>
      </c>
      <c r="P4360" s="30" t="s">
        <v>12671</v>
      </c>
      <c r="Q4360" t="s">
        <v>619</v>
      </c>
      <c r="R4360" t="s">
        <v>917</v>
      </c>
      <c r="S4360">
        <v>39</v>
      </c>
      <c r="T4360" s="29" t="str">
        <f>HYPERLINK("https://ictv.global/ictv/proposals/2023.068B.Caudoviricetes_Serratia_3ng.zip","2023.068B.Caudoviricetes_Serratia_3ng.zip")</f>
        <v>2023.068B.Caudoviricetes_Serratia_3ng.zip</v>
      </c>
      <c r="U4360" s="29" t="str">
        <f>HYPERLINK("https://ictv.global/taxonomy/taxondetails?taxnode_id=202319385","ictv.global=202319385")</f>
        <v>ictv.global=202319385</v>
      </c>
    </row>
    <row r="4361" spans="1:21">
      <c r="A4361">
        <v>4360</v>
      </c>
      <c r="B4361" s="30" t="s">
        <v>1587</v>
      </c>
      <c r="D4361" s="30" t="s">
        <v>1588</v>
      </c>
      <c r="F4361" s="30" t="s">
        <v>1591</v>
      </c>
      <c r="H4361" s="30" t="s">
        <v>1592</v>
      </c>
      <c r="N4361" s="30" t="s">
        <v>12670</v>
      </c>
      <c r="P4361" s="30" t="s">
        <v>12672</v>
      </c>
      <c r="Q4361" t="s">
        <v>619</v>
      </c>
      <c r="R4361" t="s">
        <v>917</v>
      </c>
      <c r="S4361">
        <v>39</v>
      </c>
      <c r="T4361" s="29" t="str">
        <f>HYPERLINK("https://ictv.global/ictv/proposals/2023.068B.Caudoviricetes_Serratia_3ng.zip","2023.068B.Caudoviricetes_Serratia_3ng.zip")</f>
        <v>2023.068B.Caudoviricetes_Serratia_3ng.zip</v>
      </c>
      <c r="U4361" s="29" t="str">
        <f>HYPERLINK("https://ictv.global/taxonomy/taxondetails?taxnode_id=202319386","ictv.global=202319386")</f>
        <v>ictv.global=202319386</v>
      </c>
    </row>
    <row r="4362" spans="1:21">
      <c r="A4362">
        <v>4361</v>
      </c>
      <c r="B4362" s="30" t="s">
        <v>1587</v>
      </c>
      <c r="D4362" s="30" t="s">
        <v>1588</v>
      </c>
      <c r="F4362" s="30" t="s">
        <v>1591</v>
      </c>
      <c r="H4362" s="30" t="s">
        <v>1592</v>
      </c>
      <c r="N4362" s="30" t="s">
        <v>7820</v>
      </c>
      <c r="P4362" s="30" t="s">
        <v>7821</v>
      </c>
      <c r="Q4362" t="s">
        <v>619</v>
      </c>
      <c r="R4362" t="s">
        <v>917</v>
      </c>
      <c r="S4362">
        <v>38</v>
      </c>
      <c r="T4362" s="29" t="str">
        <f t="shared" ref="T4362:T4373" si="198">HYPERLINK("https://ictv.global/ictv/proposals/2022.060B.Packlarkvirus_ng.zip","2022.060B.Packlarkvirus_ng.zip")</f>
        <v>2022.060B.Packlarkvirus_ng.zip</v>
      </c>
      <c r="U4362" s="29" t="str">
        <f>HYPERLINK("https://ictv.global/taxonomy/taxondetails?taxnode_id=202314714","ictv.global=202314714")</f>
        <v>ictv.global=202314714</v>
      </c>
    </row>
    <row r="4363" spans="1:21">
      <c r="A4363">
        <v>4362</v>
      </c>
      <c r="B4363" s="30" t="s">
        <v>1587</v>
      </c>
      <c r="D4363" s="30" t="s">
        <v>1588</v>
      </c>
      <c r="F4363" s="30" t="s">
        <v>1591</v>
      </c>
      <c r="H4363" s="30" t="s">
        <v>1592</v>
      </c>
      <c r="N4363" s="30" t="s">
        <v>7820</v>
      </c>
      <c r="P4363" s="30" t="s">
        <v>7822</v>
      </c>
      <c r="Q4363" t="s">
        <v>619</v>
      </c>
      <c r="R4363" t="s">
        <v>917</v>
      </c>
      <c r="S4363">
        <v>38</v>
      </c>
      <c r="T4363" s="29" t="str">
        <f t="shared" si="198"/>
        <v>2022.060B.Packlarkvirus_ng.zip</v>
      </c>
      <c r="U4363" s="29" t="str">
        <f>HYPERLINK("https://ictv.global/taxonomy/taxondetails?taxnode_id=202314711","ictv.global=202314711")</f>
        <v>ictv.global=202314711</v>
      </c>
    </row>
    <row r="4364" spans="1:21">
      <c r="A4364">
        <v>4363</v>
      </c>
      <c r="B4364" s="30" t="s">
        <v>1587</v>
      </c>
      <c r="D4364" s="30" t="s">
        <v>1588</v>
      </c>
      <c r="F4364" s="30" t="s">
        <v>1591</v>
      </c>
      <c r="H4364" s="30" t="s">
        <v>1592</v>
      </c>
      <c r="N4364" s="30" t="s">
        <v>7820</v>
      </c>
      <c r="P4364" s="30" t="s">
        <v>7823</v>
      </c>
      <c r="Q4364" t="s">
        <v>619</v>
      </c>
      <c r="R4364" t="s">
        <v>917</v>
      </c>
      <c r="S4364">
        <v>38</v>
      </c>
      <c r="T4364" s="29" t="str">
        <f t="shared" si="198"/>
        <v>2022.060B.Packlarkvirus_ng.zip</v>
      </c>
      <c r="U4364" s="29" t="str">
        <f>HYPERLINK("https://ictv.global/taxonomy/taxondetails?taxnode_id=202314709","ictv.global=202314709")</f>
        <v>ictv.global=202314709</v>
      </c>
    </row>
    <row r="4365" spans="1:21">
      <c r="A4365">
        <v>4364</v>
      </c>
      <c r="B4365" s="30" t="s">
        <v>1587</v>
      </c>
      <c r="D4365" s="30" t="s">
        <v>1588</v>
      </c>
      <c r="F4365" s="30" t="s">
        <v>1591</v>
      </c>
      <c r="H4365" s="30" t="s">
        <v>1592</v>
      </c>
      <c r="N4365" s="30" t="s">
        <v>7820</v>
      </c>
      <c r="P4365" s="30" t="s">
        <v>7824</v>
      </c>
      <c r="Q4365" t="s">
        <v>619</v>
      </c>
      <c r="R4365" t="s">
        <v>917</v>
      </c>
      <c r="S4365">
        <v>38</v>
      </c>
      <c r="T4365" s="29" t="str">
        <f t="shared" si="198"/>
        <v>2022.060B.Packlarkvirus_ng.zip</v>
      </c>
      <c r="U4365" s="29" t="str">
        <f>HYPERLINK("https://ictv.global/taxonomy/taxondetails?taxnode_id=202314710","ictv.global=202314710")</f>
        <v>ictv.global=202314710</v>
      </c>
    </row>
    <row r="4366" spans="1:21">
      <c r="A4366">
        <v>4365</v>
      </c>
      <c r="B4366" s="30" t="s">
        <v>1587</v>
      </c>
      <c r="D4366" s="30" t="s">
        <v>1588</v>
      </c>
      <c r="F4366" s="30" t="s">
        <v>1591</v>
      </c>
      <c r="H4366" s="30" t="s">
        <v>1592</v>
      </c>
      <c r="N4366" s="30" t="s">
        <v>7820</v>
      </c>
      <c r="P4366" s="30" t="s">
        <v>7825</v>
      </c>
      <c r="Q4366" t="s">
        <v>619</v>
      </c>
      <c r="R4366" t="s">
        <v>917</v>
      </c>
      <c r="S4366">
        <v>38</v>
      </c>
      <c r="T4366" s="29" t="str">
        <f t="shared" si="198"/>
        <v>2022.060B.Packlarkvirus_ng.zip</v>
      </c>
      <c r="U4366" s="29" t="str">
        <f>HYPERLINK("https://ictv.global/taxonomy/taxondetails?taxnode_id=202314713","ictv.global=202314713")</f>
        <v>ictv.global=202314713</v>
      </c>
    </row>
    <row r="4367" spans="1:21">
      <c r="A4367">
        <v>4366</v>
      </c>
      <c r="B4367" s="30" t="s">
        <v>1587</v>
      </c>
      <c r="D4367" s="30" t="s">
        <v>1588</v>
      </c>
      <c r="F4367" s="30" t="s">
        <v>1591</v>
      </c>
      <c r="H4367" s="30" t="s">
        <v>1592</v>
      </c>
      <c r="N4367" s="30" t="s">
        <v>7820</v>
      </c>
      <c r="P4367" s="30" t="s">
        <v>7826</v>
      </c>
      <c r="Q4367" t="s">
        <v>619</v>
      </c>
      <c r="R4367" t="s">
        <v>917</v>
      </c>
      <c r="S4367">
        <v>38</v>
      </c>
      <c r="T4367" s="29" t="str">
        <f t="shared" si="198"/>
        <v>2022.060B.Packlarkvirus_ng.zip</v>
      </c>
      <c r="U4367" s="29" t="str">
        <f>HYPERLINK("https://ictv.global/taxonomy/taxondetails?taxnode_id=202314715","ictv.global=202314715")</f>
        <v>ictv.global=202314715</v>
      </c>
    </row>
    <row r="4368" spans="1:21">
      <c r="A4368">
        <v>4367</v>
      </c>
      <c r="B4368" s="30" t="s">
        <v>1587</v>
      </c>
      <c r="D4368" s="30" t="s">
        <v>1588</v>
      </c>
      <c r="F4368" s="30" t="s">
        <v>1591</v>
      </c>
      <c r="H4368" s="30" t="s">
        <v>1592</v>
      </c>
      <c r="N4368" s="30" t="s">
        <v>7820</v>
      </c>
      <c r="P4368" s="30" t="s">
        <v>7827</v>
      </c>
      <c r="Q4368" t="s">
        <v>619</v>
      </c>
      <c r="R4368" t="s">
        <v>917</v>
      </c>
      <c r="S4368">
        <v>38</v>
      </c>
      <c r="T4368" s="29" t="str">
        <f t="shared" si="198"/>
        <v>2022.060B.Packlarkvirus_ng.zip</v>
      </c>
      <c r="U4368" s="29" t="str">
        <f>HYPERLINK("https://ictv.global/taxonomy/taxondetails?taxnode_id=202314707","ictv.global=202314707")</f>
        <v>ictv.global=202314707</v>
      </c>
    </row>
    <row r="4369" spans="1:21">
      <c r="A4369">
        <v>4368</v>
      </c>
      <c r="B4369" s="30" t="s">
        <v>1587</v>
      </c>
      <c r="D4369" s="30" t="s">
        <v>1588</v>
      </c>
      <c r="F4369" s="30" t="s">
        <v>1591</v>
      </c>
      <c r="H4369" s="30" t="s">
        <v>1592</v>
      </c>
      <c r="N4369" s="30" t="s">
        <v>7820</v>
      </c>
      <c r="P4369" s="30" t="s">
        <v>7828</v>
      </c>
      <c r="Q4369" t="s">
        <v>619</v>
      </c>
      <c r="R4369" t="s">
        <v>917</v>
      </c>
      <c r="S4369">
        <v>38</v>
      </c>
      <c r="T4369" s="29" t="str">
        <f t="shared" si="198"/>
        <v>2022.060B.Packlarkvirus_ng.zip</v>
      </c>
      <c r="U4369" s="29" t="str">
        <f>HYPERLINK("https://ictv.global/taxonomy/taxondetails?taxnode_id=202314708","ictv.global=202314708")</f>
        <v>ictv.global=202314708</v>
      </c>
    </row>
    <row r="4370" spans="1:21">
      <c r="A4370">
        <v>4369</v>
      </c>
      <c r="B4370" s="30" t="s">
        <v>1587</v>
      </c>
      <c r="D4370" s="30" t="s">
        <v>1588</v>
      </c>
      <c r="F4370" s="30" t="s">
        <v>1591</v>
      </c>
      <c r="H4370" s="30" t="s">
        <v>1592</v>
      </c>
      <c r="N4370" s="30" t="s">
        <v>7820</v>
      </c>
      <c r="P4370" s="30" t="s">
        <v>7829</v>
      </c>
      <c r="Q4370" t="s">
        <v>619</v>
      </c>
      <c r="R4370" t="s">
        <v>917</v>
      </c>
      <c r="S4370">
        <v>38</v>
      </c>
      <c r="T4370" s="29" t="str">
        <f t="shared" si="198"/>
        <v>2022.060B.Packlarkvirus_ng.zip</v>
      </c>
      <c r="U4370" s="29" t="str">
        <f>HYPERLINK("https://ictv.global/taxonomy/taxondetails?taxnode_id=202314706","ictv.global=202314706")</f>
        <v>ictv.global=202314706</v>
      </c>
    </row>
    <row r="4371" spans="1:21">
      <c r="A4371">
        <v>4370</v>
      </c>
      <c r="B4371" s="30" t="s">
        <v>1587</v>
      </c>
      <c r="D4371" s="30" t="s">
        <v>1588</v>
      </c>
      <c r="F4371" s="30" t="s">
        <v>1591</v>
      </c>
      <c r="H4371" s="30" t="s">
        <v>1592</v>
      </c>
      <c r="N4371" s="30" t="s">
        <v>7820</v>
      </c>
      <c r="P4371" s="30" t="s">
        <v>7830</v>
      </c>
      <c r="Q4371" t="s">
        <v>619</v>
      </c>
      <c r="R4371" t="s">
        <v>917</v>
      </c>
      <c r="S4371">
        <v>38</v>
      </c>
      <c r="T4371" s="29" t="str">
        <f t="shared" si="198"/>
        <v>2022.060B.Packlarkvirus_ng.zip</v>
      </c>
      <c r="U4371" s="29" t="str">
        <f>HYPERLINK("https://ictv.global/taxonomy/taxondetails?taxnode_id=202314716","ictv.global=202314716")</f>
        <v>ictv.global=202314716</v>
      </c>
    </row>
    <row r="4372" spans="1:21">
      <c r="A4372">
        <v>4371</v>
      </c>
      <c r="B4372" s="30" t="s">
        <v>1587</v>
      </c>
      <c r="D4372" s="30" t="s">
        <v>1588</v>
      </c>
      <c r="F4372" s="30" t="s">
        <v>1591</v>
      </c>
      <c r="H4372" s="30" t="s">
        <v>1592</v>
      </c>
      <c r="N4372" s="30" t="s">
        <v>7820</v>
      </c>
      <c r="P4372" s="30" t="s">
        <v>7831</v>
      </c>
      <c r="Q4372" t="s">
        <v>619</v>
      </c>
      <c r="R4372" t="s">
        <v>917</v>
      </c>
      <c r="S4372">
        <v>38</v>
      </c>
      <c r="T4372" s="29" t="str">
        <f t="shared" si="198"/>
        <v>2022.060B.Packlarkvirus_ng.zip</v>
      </c>
      <c r="U4372" s="29" t="str">
        <f>HYPERLINK("https://ictv.global/taxonomy/taxondetails?taxnode_id=202314705","ictv.global=202314705")</f>
        <v>ictv.global=202314705</v>
      </c>
    </row>
    <row r="4373" spans="1:21">
      <c r="A4373">
        <v>4372</v>
      </c>
      <c r="B4373" s="30" t="s">
        <v>1587</v>
      </c>
      <c r="D4373" s="30" t="s">
        <v>1588</v>
      </c>
      <c r="F4373" s="30" t="s">
        <v>1591</v>
      </c>
      <c r="H4373" s="30" t="s">
        <v>1592</v>
      </c>
      <c r="N4373" s="30" t="s">
        <v>7820</v>
      </c>
      <c r="P4373" s="30" t="s">
        <v>7832</v>
      </c>
      <c r="Q4373" t="s">
        <v>619</v>
      </c>
      <c r="R4373" t="s">
        <v>917</v>
      </c>
      <c r="S4373">
        <v>38</v>
      </c>
      <c r="T4373" s="29" t="str">
        <f t="shared" si="198"/>
        <v>2022.060B.Packlarkvirus_ng.zip</v>
      </c>
      <c r="U4373" s="29" t="str">
        <f>HYPERLINK("https://ictv.global/taxonomy/taxondetails?taxnode_id=202314712","ictv.global=202314712")</f>
        <v>ictv.global=202314712</v>
      </c>
    </row>
    <row r="4374" spans="1:21">
      <c r="A4374">
        <v>4373</v>
      </c>
      <c r="B4374" s="30" t="s">
        <v>1587</v>
      </c>
      <c r="D4374" s="30" t="s">
        <v>1588</v>
      </c>
      <c r="F4374" s="30" t="s">
        <v>1591</v>
      </c>
      <c r="H4374" s="30" t="s">
        <v>1592</v>
      </c>
      <c r="N4374" s="30" t="s">
        <v>651</v>
      </c>
      <c r="P4374" s="30" t="s">
        <v>7833</v>
      </c>
      <c r="Q4374" t="s">
        <v>619</v>
      </c>
      <c r="R4374" t="s">
        <v>918</v>
      </c>
      <c r="S4374">
        <v>37</v>
      </c>
      <c r="T4374" s="29" t="str">
        <f t="shared" ref="T4374:T4405" si="199">HYPERLINK("https://ictv.global/ictv/proposals/2021.010B.R.Binomial_names.zip","2021.010B.R.Binomial_names.zip")</f>
        <v>2021.010B.R.Binomial_names.zip</v>
      </c>
      <c r="U4374" s="29" t="str">
        <f>HYPERLINK("https://ictv.global/taxonomy/taxondetails?taxnode_id=202300682","ictv.global=202300682")</f>
        <v>ictv.global=202300682</v>
      </c>
    </row>
    <row r="4375" spans="1:21">
      <c r="A4375">
        <v>4374</v>
      </c>
      <c r="B4375" s="30" t="s">
        <v>1587</v>
      </c>
      <c r="D4375" s="30" t="s">
        <v>1588</v>
      </c>
      <c r="F4375" s="30" t="s">
        <v>1591</v>
      </c>
      <c r="H4375" s="30" t="s">
        <v>1592</v>
      </c>
      <c r="N4375" s="30" t="s">
        <v>651</v>
      </c>
      <c r="P4375" s="30" t="s">
        <v>7834</v>
      </c>
      <c r="Q4375" t="s">
        <v>619</v>
      </c>
      <c r="R4375" t="s">
        <v>918</v>
      </c>
      <c r="S4375">
        <v>37</v>
      </c>
      <c r="T4375" s="29" t="str">
        <f t="shared" si="199"/>
        <v>2021.010B.R.Binomial_names.zip</v>
      </c>
      <c r="U4375" s="29" t="str">
        <f>HYPERLINK("https://ictv.global/taxonomy/taxondetails?taxnode_id=202300683","ictv.global=202300683")</f>
        <v>ictv.global=202300683</v>
      </c>
    </row>
    <row r="4376" spans="1:21">
      <c r="A4376">
        <v>4375</v>
      </c>
      <c r="B4376" s="30" t="s">
        <v>1587</v>
      </c>
      <c r="D4376" s="30" t="s">
        <v>1588</v>
      </c>
      <c r="F4376" s="30" t="s">
        <v>1591</v>
      </c>
      <c r="H4376" s="30" t="s">
        <v>1592</v>
      </c>
      <c r="N4376" s="30" t="s">
        <v>651</v>
      </c>
      <c r="P4376" s="30" t="s">
        <v>7835</v>
      </c>
      <c r="Q4376" t="s">
        <v>619</v>
      </c>
      <c r="R4376" t="s">
        <v>918</v>
      </c>
      <c r="S4376">
        <v>37</v>
      </c>
      <c r="T4376" s="29" t="str">
        <f t="shared" si="199"/>
        <v>2021.010B.R.Binomial_names.zip</v>
      </c>
      <c r="U4376" s="29" t="str">
        <f>HYPERLINK("https://ictv.global/taxonomy/taxondetails?taxnode_id=202300684","ictv.global=202300684")</f>
        <v>ictv.global=202300684</v>
      </c>
    </row>
    <row r="4377" spans="1:21">
      <c r="A4377">
        <v>4376</v>
      </c>
      <c r="B4377" s="30" t="s">
        <v>1587</v>
      </c>
      <c r="D4377" s="30" t="s">
        <v>1588</v>
      </c>
      <c r="F4377" s="30" t="s">
        <v>1591</v>
      </c>
      <c r="H4377" s="30" t="s">
        <v>1592</v>
      </c>
      <c r="N4377" s="30" t="s">
        <v>651</v>
      </c>
      <c r="P4377" s="30" t="s">
        <v>7836</v>
      </c>
      <c r="Q4377" t="s">
        <v>619</v>
      </c>
      <c r="R4377" t="s">
        <v>918</v>
      </c>
      <c r="S4377">
        <v>37</v>
      </c>
      <c r="T4377" s="29" t="str">
        <f t="shared" si="199"/>
        <v>2021.010B.R.Binomial_names.zip</v>
      </c>
      <c r="U4377" s="29" t="str">
        <f>HYPERLINK("https://ictv.global/taxonomy/taxondetails?taxnode_id=202300685","ictv.global=202300685")</f>
        <v>ictv.global=202300685</v>
      </c>
    </row>
    <row r="4378" spans="1:21">
      <c r="A4378">
        <v>4377</v>
      </c>
      <c r="B4378" s="30" t="s">
        <v>1587</v>
      </c>
      <c r="D4378" s="30" t="s">
        <v>1588</v>
      </c>
      <c r="F4378" s="30" t="s">
        <v>1591</v>
      </c>
      <c r="H4378" s="30" t="s">
        <v>1592</v>
      </c>
      <c r="N4378" s="30" t="s">
        <v>651</v>
      </c>
      <c r="P4378" s="30" t="s">
        <v>7837</v>
      </c>
      <c r="Q4378" t="s">
        <v>619</v>
      </c>
      <c r="R4378" t="s">
        <v>918</v>
      </c>
      <c r="S4378">
        <v>37</v>
      </c>
      <c r="T4378" s="29" t="str">
        <f t="shared" si="199"/>
        <v>2021.010B.R.Binomial_names.zip</v>
      </c>
      <c r="U4378" s="29" t="str">
        <f>HYPERLINK("https://ictv.global/taxonomy/taxondetails?taxnode_id=202300686","ictv.global=202300686")</f>
        <v>ictv.global=202300686</v>
      </c>
    </row>
    <row r="4379" spans="1:21">
      <c r="A4379">
        <v>4378</v>
      </c>
      <c r="B4379" s="30" t="s">
        <v>1587</v>
      </c>
      <c r="D4379" s="30" t="s">
        <v>1588</v>
      </c>
      <c r="F4379" s="30" t="s">
        <v>1591</v>
      </c>
      <c r="H4379" s="30" t="s">
        <v>1592</v>
      </c>
      <c r="N4379" s="30" t="s">
        <v>1531</v>
      </c>
      <c r="P4379" s="30" t="s">
        <v>7838</v>
      </c>
      <c r="Q4379" t="s">
        <v>619</v>
      </c>
      <c r="R4379" t="s">
        <v>918</v>
      </c>
      <c r="S4379">
        <v>37</v>
      </c>
      <c r="T4379" s="29" t="str">
        <f t="shared" si="199"/>
        <v>2021.010B.R.Binomial_names.zip</v>
      </c>
      <c r="U4379" s="29" t="str">
        <f>HYPERLINK("https://ictv.global/taxonomy/taxondetails?taxnode_id=202301117","ictv.global=202301117")</f>
        <v>ictv.global=202301117</v>
      </c>
    </row>
    <row r="4380" spans="1:21">
      <c r="A4380">
        <v>4379</v>
      </c>
      <c r="B4380" s="30" t="s">
        <v>1587</v>
      </c>
      <c r="D4380" s="30" t="s">
        <v>1588</v>
      </c>
      <c r="F4380" s="30" t="s">
        <v>1591</v>
      </c>
      <c r="H4380" s="30" t="s">
        <v>1592</v>
      </c>
      <c r="N4380" s="30" t="s">
        <v>1531</v>
      </c>
      <c r="P4380" s="30" t="s">
        <v>7839</v>
      </c>
      <c r="Q4380" t="s">
        <v>619</v>
      </c>
      <c r="R4380" t="s">
        <v>918</v>
      </c>
      <c r="S4380">
        <v>37</v>
      </c>
      <c r="T4380" s="29" t="str">
        <f t="shared" si="199"/>
        <v>2021.010B.R.Binomial_names.zip</v>
      </c>
      <c r="U4380" s="29" t="str">
        <f>HYPERLINK("https://ictv.global/taxonomy/taxondetails?taxnode_id=202301118","ictv.global=202301118")</f>
        <v>ictv.global=202301118</v>
      </c>
    </row>
    <row r="4381" spans="1:21">
      <c r="A4381">
        <v>4380</v>
      </c>
      <c r="B4381" s="30" t="s">
        <v>1587</v>
      </c>
      <c r="D4381" s="30" t="s">
        <v>1588</v>
      </c>
      <c r="F4381" s="30" t="s">
        <v>1591</v>
      </c>
      <c r="H4381" s="30" t="s">
        <v>1592</v>
      </c>
      <c r="N4381" s="30" t="s">
        <v>1531</v>
      </c>
      <c r="P4381" s="30" t="s">
        <v>7840</v>
      </c>
      <c r="Q4381" t="s">
        <v>619</v>
      </c>
      <c r="R4381" t="s">
        <v>918</v>
      </c>
      <c r="S4381">
        <v>37</v>
      </c>
      <c r="T4381" s="29" t="str">
        <f t="shared" si="199"/>
        <v>2021.010B.R.Binomial_names.zip</v>
      </c>
      <c r="U4381" s="29" t="str">
        <f>HYPERLINK("https://ictv.global/taxonomy/taxondetails?taxnode_id=202301119","ictv.global=202301119")</f>
        <v>ictv.global=202301119</v>
      </c>
    </row>
    <row r="4382" spans="1:21">
      <c r="A4382">
        <v>4381</v>
      </c>
      <c r="B4382" s="30" t="s">
        <v>1587</v>
      </c>
      <c r="D4382" s="30" t="s">
        <v>1588</v>
      </c>
      <c r="F4382" s="30" t="s">
        <v>1591</v>
      </c>
      <c r="H4382" s="30" t="s">
        <v>1592</v>
      </c>
      <c r="N4382" s="30" t="s">
        <v>1531</v>
      </c>
      <c r="P4382" s="30" t="s">
        <v>7841</v>
      </c>
      <c r="Q4382" t="s">
        <v>619</v>
      </c>
      <c r="R4382" t="s">
        <v>918</v>
      </c>
      <c r="S4382">
        <v>37</v>
      </c>
      <c r="T4382" s="29" t="str">
        <f t="shared" si="199"/>
        <v>2021.010B.R.Binomial_names.zip</v>
      </c>
      <c r="U4382" s="29" t="str">
        <f>HYPERLINK("https://ictv.global/taxonomy/taxondetails?taxnode_id=202301120","ictv.global=202301120")</f>
        <v>ictv.global=202301120</v>
      </c>
    </row>
    <row r="4383" spans="1:21">
      <c r="A4383">
        <v>4382</v>
      </c>
      <c r="B4383" s="30" t="s">
        <v>1587</v>
      </c>
      <c r="D4383" s="30" t="s">
        <v>1588</v>
      </c>
      <c r="F4383" s="30" t="s">
        <v>1591</v>
      </c>
      <c r="H4383" s="30" t="s">
        <v>1592</v>
      </c>
      <c r="N4383" s="30" t="s">
        <v>1531</v>
      </c>
      <c r="P4383" s="30" t="s">
        <v>7842</v>
      </c>
      <c r="Q4383" t="s">
        <v>619</v>
      </c>
      <c r="R4383" t="s">
        <v>918</v>
      </c>
      <c r="S4383">
        <v>37</v>
      </c>
      <c r="T4383" s="29" t="str">
        <f t="shared" si="199"/>
        <v>2021.010B.R.Binomial_names.zip</v>
      </c>
      <c r="U4383" s="29" t="str">
        <f>HYPERLINK("https://ictv.global/taxonomy/taxondetails?taxnode_id=202301121","ictv.global=202301121")</f>
        <v>ictv.global=202301121</v>
      </c>
    </row>
    <row r="4384" spans="1:21">
      <c r="A4384">
        <v>4383</v>
      </c>
      <c r="B4384" s="30" t="s">
        <v>1587</v>
      </c>
      <c r="D4384" s="30" t="s">
        <v>1588</v>
      </c>
      <c r="F4384" s="30" t="s">
        <v>1591</v>
      </c>
      <c r="H4384" s="30" t="s">
        <v>1592</v>
      </c>
      <c r="N4384" s="30" t="s">
        <v>1531</v>
      </c>
      <c r="P4384" s="30" t="s">
        <v>7843</v>
      </c>
      <c r="Q4384" t="s">
        <v>619</v>
      </c>
      <c r="R4384" t="s">
        <v>918</v>
      </c>
      <c r="S4384">
        <v>37</v>
      </c>
      <c r="T4384" s="29" t="str">
        <f t="shared" si="199"/>
        <v>2021.010B.R.Binomial_names.zip</v>
      </c>
      <c r="U4384" s="29" t="str">
        <f>HYPERLINK("https://ictv.global/taxonomy/taxondetails?taxnode_id=202301122","ictv.global=202301122")</f>
        <v>ictv.global=202301122</v>
      </c>
    </row>
    <row r="4385" spans="1:21">
      <c r="A4385">
        <v>4384</v>
      </c>
      <c r="B4385" s="30" t="s">
        <v>1587</v>
      </c>
      <c r="D4385" s="30" t="s">
        <v>1588</v>
      </c>
      <c r="F4385" s="30" t="s">
        <v>1591</v>
      </c>
      <c r="H4385" s="30" t="s">
        <v>1592</v>
      </c>
      <c r="N4385" s="30" t="s">
        <v>1531</v>
      </c>
      <c r="P4385" s="30" t="s">
        <v>7844</v>
      </c>
      <c r="Q4385" t="s">
        <v>619</v>
      </c>
      <c r="R4385" t="s">
        <v>918</v>
      </c>
      <c r="S4385">
        <v>37</v>
      </c>
      <c r="T4385" s="29" t="str">
        <f t="shared" si="199"/>
        <v>2021.010B.R.Binomial_names.zip</v>
      </c>
      <c r="U4385" s="29" t="str">
        <f>HYPERLINK("https://ictv.global/taxonomy/taxondetails?taxnode_id=202301123","ictv.global=202301123")</f>
        <v>ictv.global=202301123</v>
      </c>
    </row>
    <row r="4386" spans="1:21">
      <c r="A4386">
        <v>4385</v>
      </c>
      <c r="B4386" s="30" t="s">
        <v>1587</v>
      </c>
      <c r="D4386" s="30" t="s">
        <v>1588</v>
      </c>
      <c r="F4386" s="30" t="s">
        <v>1591</v>
      </c>
      <c r="H4386" s="30" t="s">
        <v>1592</v>
      </c>
      <c r="N4386" s="30" t="s">
        <v>1531</v>
      </c>
      <c r="P4386" s="30" t="s">
        <v>7845</v>
      </c>
      <c r="Q4386" t="s">
        <v>619</v>
      </c>
      <c r="R4386" t="s">
        <v>918</v>
      </c>
      <c r="S4386">
        <v>37</v>
      </c>
      <c r="T4386" s="29" t="str">
        <f t="shared" si="199"/>
        <v>2021.010B.R.Binomial_names.zip</v>
      </c>
      <c r="U4386" s="29" t="str">
        <f>HYPERLINK("https://ictv.global/taxonomy/taxondetails?taxnode_id=202301124","ictv.global=202301124")</f>
        <v>ictv.global=202301124</v>
      </c>
    </row>
    <row r="4387" spans="1:21">
      <c r="A4387">
        <v>4386</v>
      </c>
      <c r="B4387" s="30" t="s">
        <v>1587</v>
      </c>
      <c r="D4387" s="30" t="s">
        <v>1588</v>
      </c>
      <c r="F4387" s="30" t="s">
        <v>1591</v>
      </c>
      <c r="H4387" s="30" t="s">
        <v>1592</v>
      </c>
      <c r="N4387" s="30" t="s">
        <v>1531</v>
      </c>
      <c r="P4387" s="30" t="s">
        <v>7846</v>
      </c>
      <c r="Q4387" t="s">
        <v>619</v>
      </c>
      <c r="R4387" t="s">
        <v>918</v>
      </c>
      <c r="S4387">
        <v>37</v>
      </c>
      <c r="T4387" s="29" t="str">
        <f t="shared" si="199"/>
        <v>2021.010B.R.Binomial_names.zip</v>
      </c>
      <c r="U4387" s="29" t="str">
        <f>HYPERLINK("https://ictv.global/taxonomy/taxondetails?taxnode_id=202301129","ictv.global=202301129")</f>
        <v>ictv.global=202301129</v>
      </c>
    </row>
    <row r="4388" spans="1:21">
      <c r="A4388">
        <v>4387</v>
      </c>
      <c r="B4388" s="30" t="s">
        <v>1587</v>
      </c>
      <c r="D4388" s="30" t="s">
        <v>1588</v>
      </c>
      <c r="F4388" s="30" t="s">
        <v>1591</v>
      </c>
      <c r="H4388" s="30" t="s">
        <v>1592</v>
      </c>
      <c r="N4388" s="30" t="s">
        <v>1531</v>
      </c>
      <c r="P4388" s="30" t="s">
        <v>7847</v>
      </c>
      <c r="Q4388" t="s">
        <v>619</v>
      </c>
      <c r="R4388" t="s">
        <v>918</v>
      </c>
      <c r="S4388">
        <v>37</v>
      </c>
      <c r="T4388" s="29" t="str">
        <f t="shared" si="199"/>
        <v>2021.010B.R.Binomial_names.zip</v>
      </c>
      <c r="U4388" s="29" t="str">
        <f>HYPERLINK("https://ictv.global/taxonomy/taxondetails?taxnode_id=202301125","ictv.global=202301125")</f>
        <v>ictv.global=202301125</v>
      </c>
    </row>
    <row r="4389" spans="1:21">
      <c r="A4389">
        <v>4388</v>
      </c>
      <c r="B4389" s="30" t="s">
        <v>1587</v>
      </c>
      <c r="D4389" s="30" t="s">
        <v>1588</v>
      </c>
      <c r="F4389" s="30" t="s">
        <v>1591</v>
      </c>
      <c r="H4389" s="30" t="s">
        <v>1592</v>
      </c>
      <c r="N4389" s="30" t="s">
        <v>1531</v>
      </c>
      <c r="P4389" s="30" t="s">
        <v>7848</v>
      </c>
      <c r="Q4389" t="s">
        <v>619</v>
      </c>
      <c r="R4389" t="s">
        <v>918</v>
      </c>
      <c r="S4389">
        <v>37</v>
      </c>
      <c r="T4389" s="29" t="str">
        <f t="shared" si="199"/>
        <v>2021.010B.R.Binomial_names.zip</v>
      </c>
      <c r="U4389" s="29" t="str">
        <f>HYPERLINK("https://ictv.global/taxonomy/taxondetails?taxnode_id=202301126","ictv.global=202301126")</f>
        <v>ictv.global=202301126</v>
      </c>
    </row>
    <row r="4390" spans="1:21">
      <c r="A4390">
        <v>4389</v>
      </c>
      <c r="B4390" s="30" t="s">
        <v>1587</v>
      </c>
      <c r="D4390" s="30" t="s">
        <v>1588</v>
      </c>
      <c r="F4390" s="30" t="s">
        <v>1591</v>
      </c>
      <c r="H4390" s="30" t="s">
        <v>1592</v>
      </c>
      <c r="N4390" s="30" t="s">
        <v>1531</v>
      </c>
      <c r="P4390" s="30" t="s">
        <v>7849</v>
      </c>
      <c r="Q4390" t="s">
        <v>619</v>
      </c>
      <c r="R4390" t="s">
        <v>918</v>
      </c>
      <c r="S4390">
        <v>37</v>
      </c>
      <c r="T4390" s="29" t="str">
        <f t="shared" si="199"/>
        <v>2021.010B.R.Binomial_names.zip</v>
      </c>
      <c r="U4390" s="29" t="str">
        <f>HYPERLINK("https://ictv.global/taxonomy/taxondetails?taxnode_id=202301127","ictv.global=202301127")</f>
        <v>ictv.global=202301127</v>
      </c>
    </row>
    <row r="4391" spans="1:21">
      <c r="A4391">
        <v>4390</v>
      </c>
      <c r="B4391" s="30" t="s">
        <v>1587</v>
      </c>
      <c r="D4391" s="30" t="s">
        <v>1588</v>
      </c>
      <c r="F4391" s="30" t="s">
        <v>1591</v>
      </c>
      <c r="H4391" s="30" t="s">
        <v>1592</v>
      </c>
      <c r="N4391" s="30" t="s">
        <v>1531</v>
      </c>
      <c r="P4391" s="30" t="s">
        <v>7850</v>
      </c>
      <c r="Q4391" t="s">
        <v>619</v>
      </c>
      <c r="R4391" t="s">
        <v>918</v>
      </c>
      <c r="S4391">
        <v>37</v>
      </c>
      <c r="T4391" s="29" t="str">
        <f t="shared" si="199"/>
        <v>2021.010B.R.Binomial_names.zip</v>
      </c>
      <c r="U4391" s="29" t="str">
        <f>HYPERLINK("https://ictv.global/taxonomy/taxondetails?taxnode_id=202301128","ictv.global=202301128")</f>
        <v>ictv.global=202301128</v>
      </c>
    </row>
    <row r="4392" spans="1:21">
      <c r="A4392">
        <v>4391</v>
      </c>
      <c r="B4392" s="30" t="s">
        <v>1587</v>
      </c>
      <c r="D4392" s="30" t="s">
        <v>1588</v>
      </c>
      <c r="F4392" s="30" t="s">
        <v>1591</v>
      </c>
      <c r="H4392" s="30" t="s">
        <v>1592</v>
      </c>
      <c r="N4392" s="30" t="s">
        <v>1531</v>
      </c>
      <c r="P4392" s="30" t="s">
        <v>7851</v>
      </c>
      <c r="Q4392" t="s">
        <v>619</v>
      </c>
      <c r="R4392" t="s">
        <v>918</v>
      </c>
      <c r="S4392">
        <v>37</v>
      </c>
      <c r="T4392" s="29" t="str">
        <f t="shared" si="199"/>
        <v>2021.010B.R.Binomial_names.zip</v>
      </c>
      <c r="U4392" s="29" t="str">
        <f>HYPERLINK("https://ictv.global/taxonomy/taxondetails?taxnode_id=202301130","ictv.global=202301130")</f>
        <v>ictv.global=202301130</v>
      </c>
    </row>
    <row r="4393" spans="1:21">
      <c r="A4393">
        <v>4392</v>
      </c>
      <c r="B4393" s="30" t="s">
        <v>1587</v>
      </c>
      <c r="D4393" s="30" t="s">
        <v>1588</v>
      </c>
      <c r="F4393" s="30" t="s">
        <v>1591</v>
      </c>
      <c r="H4393" s="30" t="s">
        <v>1592</v>
      </c>
      <c r="N4393" s="30" t="s">
        <v>1531</v>
      </c>
      <c r="P4393" s="30" t="s">
        <v>7852</v>
      </c>
      <c r="Q4393" t="s">
        <v>619</v>
      </c>
      <c r="R4393" t="s">
        <v>918</v>
      </c>
      <c r="S4393">
        <v>37</v>
      </c>
      <c r="T4393" s="29" t="str">
        <f t="shared" si="199"/>
        <v>2021.010B.R.Binomial_names.zip</v>
      </c>
      <c r="U4393" s="29" t="str">
        <f>HYPERLINK("https://ictv.global/taxonomy/taxondetails?taxnode_id=202301131","ictv.global=202301131")</f>
        <v>ictv.global=202301131</v>
      </c>
    </row>
    <row r="4394" spans="1:21">
      <c r="A4394">
        <v>4393</v>
      </c>
      <c r="B4394" s="30" t="s">
        <v>1587</v>
      </c>
      <c r="D4394" s="30" t="s">
        <v>1588</v>
      </c>
      <c r="F4394" s="30" t="s">
        <v>1591</v>
      </c>
      <c r="H4394" s="30" t="s">
        <v>1592</v>
      </c>
      <c r="N4394" s="30" t="s">
        <v>1531</v>
      </c>
      <c r="P4394" s="30" t="s">
        <v>7853</v>
      </c>
      <c r="Q4394" t="s">
        <v>619</v>
      </c>
      <c r="R4394" t="s">
        <v>918</v>
      </c>
      <c r="S4394">
        <v>37</v>
      </c>
      <c r="T4394" s="29" t="str">
        <f t="shared" si="199"/>
        <v>2021.010B.R.Binomial_names.zip</v>
      </c>
      <c r="U4394" s="29" t="str">
        <f>HYPERLINK("https://ictv.global/taxonomy/taxondetails?taxnode_id=202301132","ictv.global=202301132")</f>
        <v>ictv.global=202301132</v>
      </c>
    </row>
    <row r="4395" spans="1:21">
      <c r="A4395">
        <v>4394</v>
      </c>
      <c r="B4395" s="30" t="s">
        <v>1587</v>
      </c>
      <c r="D4395" s="30" t="s">
        <v>1588</v>
      </c>
      <c r="F4395" s="30" t="s">
        <v>1591</v>
      </c>
      <c r="H4395" s="30" t="s">
        <v>1592</v>
      </c>
      <c r="N4395" s="30" t="s">
        <v>1531</v>
      </c>
      <c r="P4395" s="30" t="s">
        <v>7854</v>
      </c>
      <c r="Q4395" t="s">
        <v>619</v>
      </c>
      <c r="R4395" t="s">
        <v>918</v>
      </c>
      <c r="S4395">
        <v>37</v>
      </c>
      <c r="T4395" s="29" t="str">
        <f t="shared" si="199"/>
        <v>2021.010B.R.Binomial_names.zip</v>
      </c>
      <c r="U4395" s="29" t="str">
        <f>HYPERLINK("https://ictv.global/taxonomy/taxondetails?taxnode_id=202301133","ictv.global=202301133")</f>
        <v>ictv.global=202301133</v>
      </c>
    </row>
    <row r="4396" spans="1:21">
      <c r="A4396">
        <v>4395</v>
      </c>
      <c r="B4396" s="30" t="s">
        <v>1587</v>
      </c>
      <c r="D4396" s="30" t="s">
        <v>1588</v>
      </c>
      <c r="F4396" s="30" t="s">
        <v>1591</v>
      </c>
      <c r="H4396" s="30" t="s">
        <v>1592</v>
      </c>
      <c r="N4396" s="30" t="s">
        <v>1531</v>
      </c>
      <c r="P4396" s="30" t="s">
        <v>7855</v>
      </c>
      <c r="Q4396" t="s">
        <v>619</v>
      </c>
      <c r="R4396" t="s">
        <v>918</v>
      </c>
      <c r="S4396">
        <v>37</v>
      </c>
      <c r="T4396" s="29" t="str">
        <f t="shared" si="199"/>
        <v>2021.010B.R.Binomial_names.zip</v>
      </c>
      <c r="U4396" s="29" t="str">
        <f>HYPERLINK("https://ictv.global/taxonomy/taxondetails?taxnode_id=202301134","ictv.global=202301134")</f>
        <v>ictv.global=202301134</v>
      </c>
    </row>
    <row r="4397" spans="1:21">
      <c r="A4397">
        <v>4396</v>
      </c>
      <c r="B4397" s="30" t="s">
        <v>1587</v>
      </c>
      <c r="D4397" s="30" t="s">
        <v>1588</v>
      </c>
      <c r="F4397" s="30" t="s">
        <v>1591</v>
      </c>
      <c r="H4397" s="30" t="s">
        <v>1592</v>
      </c>
      <c r="N4397" s="30" t="s">
        <v>1531</v>
      </c>
      <c r="P4397" s="30" t="s">
        <v>7856</v>
      </c>
      <c r="Q4397" t="s">
        <v>619</v>
      </c>
      <c r="R4397" t="s">
        <v>918</v>
      </c>
      <c r="S4397">
        <v>37</v>
      </c>
      <c r="T4397" s="29" t="str">
        <f t="shared" si="199"/>
        <v>2021.010B.R.Binomial_names.zip</v>
      </c>
      <c r="U4397" s="29" t="str">
        <f>HYPERLINK("https://ictv.global/taxonomy/taxondetails?taxnode_id=202301135","ictv.global=202301135")</f>
        <v>ictv.global=202301135</v>
      </c>
    </row>
    <row r="4398" spans="1:21">
      <c r="A4398">
        <v>4397</v>
      </c>
      <c r="B4398" s="30" t="s">
        <v>1587</v>
      </c>
      <c r="D4398" s="30" t="s">
        <v>1588</v>
      </c>
      <c r="F4398" s="30" t="s">
        <v>1591</v>
      </c>
      <c r="H4398" s="30" t="s">
        <v>1592</v>
      </c>
      <c r="N4398" s="30" t="s">
        <v>1531</v>
      </c>
      <c r="P4398" s="30" t="s">
        <v>7857</v>
      </c>
      <c r="Q4398" t="s">
        <v>619</v>
      </c>
      <c r="R4398" t="s">
        <v>918</v>
      </c>
      <c r="S4398">
        <v>37</v>
      </c>
      <c r="T4398" s="29" t="str">
        <f t="shared" si="199"/>
        <v>2021.010B.R.Binomial_names.zip</v>
      </c>
      <c r="U4398" s="29" t="str">
        <f>HYPERLINK("https://ictv.global/taxonomy/taxondetails?taxnode_id=202301136","ictv.global=202301136")</f>
        <v>ictv.global=202301136</v>
      </c>
    </row>
    <row r="4399" spans="1:21">
      <c r="A4399">
        <v>4398</v>
      </c>
      <c r="B4399" s="30" t="s">
        <v>1587</v>
      </c>
      <c r="D4399" s="30" t="s">
        <v>1588</v>
      </c>
      <c r="F4399" s="30" t="s">
        <v>1591</v>
      </c>
      <c r="H4399" s="30" t="s">
        <v>1592</v>
      </c>
      <c r="N4399" s="30" t="s">
        <v>1531</v>
      </c>
      <c r="P4399" s="30" t="s">
        <v>7858</v>
      </c>
      <c r="Q4399" t="s">
        <v>619</v>
      </c>
      <c r="R4399" t="s">
        <v>918</v>
      </c>
      <c r="S4399">
        <v>37</v>
      </c>
      <c r="T4399" s="29" t="str">
        <f t="shared" si="199"/>
        <v>2021.010B.R.Binomial_names.zip</v>
      </c>
      <c r="U4399" s="29" t="str">
        <f>HYPERLINK("https://ictv.global/taxonomy/taxondetails?taxnode_id=202301137","ictv.global=202301137")</f>
        <v>ictv.global=202301137</v>
      </c>
    </row>
    <row r="4400" spans="1:21">
      <c r="A4400">
        <v>4399</v>
      </c>
      <c r="B4400" s="30" t="s">
        <v>1587</v>
      </c>
      <c r="D4400" s="30" t="s">
        <v>1588</v>
      </c>
      <c r="F4400" s="30" t="s">
        <v>1591</v>
      </c>
      <c r="H4400" s="30" t="s">
        <v>1592</v>
      </c>
      <c r="N4400" s="30" t="s">
        <v>1531</v>
      </c>
      <c r="P4400" s="30" t="s">
        <v>7859</v>
      </c>
      <c r="Q4400" t="s">
        <v>619</v>
      </c>
      <c r="R4400" t="s">
        <v>918</v>
      </c>
      <c r="S4400">
        <v>37</v>
      </c>
      <c r="T4400" s="29" t="str">
        <f t="shared" si="199"/>
        <v>2021.010B.R.Binomial_names.zip</v>
      </c>
      <c r="U4400" s="29" t="str">
        <f>HYPERLINK("https://ictv.global/taxonomy/taxondetails?taxnode_id=202301138","ictv.global=202301138")</f>
        <v>ictv.global=202301138</v>
      </c>
    </row>
    <row r="4401" spans="1:21">
      <c r="A4401">
        <v>4400</v>
      </c>
      <c r="B4401" s="30" t="s">
        <v>1587</v>
      </c>
      <c r="D4401" s="30" t="s">
        <v>1588</v>
      </c>
      <c r="F4401" s="30" t="s">
        <v>1591</v>
      </c>
      <c r="H4401" s="30" t="s">
        <v>1592</v>
      </c>
      <c r="N4401" s="30" t="s">
        <v>1531</v>
      </c>
      <c r="P4401" s="30" t="s">
        <v>7860</v>
      </c>
      <c r="Q4401" t="s">
        <v>619</v>
      </c>
      <c r="R4401" t="s">
        <v>918</v>
      </c>
      <c r="S4401">
        <v>37</v>
      </c>
      <c r="T4401" s="29" t="str">
        <f t="shared" si="199"/>
        <v>2021.010B.R.Binomial_names.zip</v>
      </c>
      <c r="U4401" s="29" t="str">
        <f>HYPERLINK("https://ictv.global/taxonomy/taxondetails?taxnode_id=202301139","ictv.global=202301139")</f>
        <v>ictv.global=202301139</v>
      </c>
    </row>
    <row r="4402" spans="1:21">
      <c r="A4402">
        <v>4401</v>
      </c>
      <c r="B4402" s="30" t="s">
        <v>1587</v>
      </c>
      <c r="D4402" s="30" t="s">
        <v>1588</v>
      </c>
      <c r="F4402" s="30" t="s">
        <v>1591</v>
      </c>
      <c r="H4402" s="30" t="s">
        <v>1592</v>
      </c>
      <c r="N4402" s="30" t="s">
        <v>1531</v>
      </c>
      <c r="P4402" s="30" t="s">
        <v>7861</v>
      </c>
      <c r="Q4402" t="s">
        <v>619</v>
      </c>
      <c r="R4402" t="s">
        <v>918</v>
      </c>
      <c r="S4402">
        <v>37</v>
      </c>
      <c r="T4402" s="29" t="str">
        <f t="shared" si="199"/>
        <v>2021.010B.R.Binomial_names.zip</v>
      </c>
      <c r="U4402" s="29" t="str">
        <f>HYPERLINK("https://ictv.global/taxonomy/taxondetails?taxnode_id=202301140","ictv.global=202301140")</f>
        <v>ictv.global=202301140</v>
      </c>
    </row>
    <row r="4403" spans="1:21">
      <c r="A4403">
        <v>4402</v>
      </c>
      <c r="B4403" s="30" t="s">
        <v>1587</v>
      </c>
      <c r="D4403" s="30" t="s">
        <v>1588</v>
      </c>
      <c r="F4403" s="30" t="s">
        <v>1591</v>
      </c>
      <c r="H4403" s="30" t="s">
        <v>1592</v>
      </c>
      <c r="N4403" s="30" t="s">
        <v>1531</v>
      </c>
      <c r="P4403" s="30" t="s">
        <v>7862</v>
      </c>
      <c r="Q4403" t="s">
        <v>619</v>
      </c>
      <c r="R4403" t="s">
        <v>918</v>
      </c>
      <c r="S4403">
        <v>37</v>
      </c>
      <c r="T4403" s="29" t="str">
        <f t="shared" si="199"/>
        <v>2021.010B.R.Binomial_names.zip</v>
      </c>
      <c r="U4403" s="29" t="str">
        <f>HYPERLINK("https://ictv.global/taxonomy/taxondetails?taxnode_id=202301141","ictv.global=202301141")</f>
        <v>ictv.global=202301141</v>
      </c>
    </row>
    <row r="4404" spans="1:21">
      <c r="A4404">
        <v>4403</v>
      </c>
      <c r="B4404" s="30" t="s">
        <v>1587</v>
      </c>
      <c r="D4404" s="30" t="s">
        <v>1588</v>
      </c>
      <c r="F4404" s="30" t="s">
        <v>1591</v>
      </c>
      <c r="H4404" s="30" t="s">
        <v>1592</v>
      </c>
      <c r="N4404" s="30" t="s">
        <v>1531</v>
      </c>
      <c r="P4404" s="30" t="s">
        <v>7863</v>
      </c>
      <c r="Q4404" t="s">
        <v>619</v>
      </c>
      <c r="R4404" t="s">
        <v>918</v>
      </c>
      <c r="S4404">
        <v>37</v>
      </c>
      <c r="T4404" s="29" t="str">
        <f t="shared" si="199"/>
        <v>2021.010B.R.Binomial_names.zip</v>
      </c>
      <c r="U4404" s="29" t="str">
        <f>HYPERLINK("https://ictv.global/taxonomy/taxondetails?taxnode_id=202301142","ictv.global=202301142")</f>
        <v>ictv.global=202301142</v>
      </c>
    </row>
    <row r="4405" spans="1:21">
      <c r="A4405">
        <v>4404</v>
      </c>
      <c r="B4405" s="30" t="s">
        <v>1587</v>
      </c>
      <c r="D4405" s="30" t="s">
        <v>1588</v>
      </c>
      <c r="F4405" s="30" t="s">
        <v>1591</v>
      </c>
      <c r="H4405" s="30" t="s">
        <v>1592</v>
      </c>
      <c r="N4405" s="30" t="s">
        <v>1531</v>
      </c>
      <c r="P4405" s="30" t="s">
        <v>7864</v>
      </c>
      <c r="Q4405" t="s">
        <v>619</v>
      </c>
      <c r="R4405" t="s">
        <v>918</v>
      </c>
      <c r="S4405">
        <v>37</v>
      </c>
      <c r="T4405" s="29" t="str">
        <f t="shared" si="199"/>
        <v>2021.010B.R.Binomial_names.zip</v>
      </c>
      <c r="U4405" s="29" t="str">
        <f>HYPERLINK("https://ictv.global/taxonomy/taxondetails?taxnode_id=202301143","ictv.global=202301143")</f>
        <v>ictv.global=202301143</v>
      </c>
    </row>
    <row r="4406" spans="1:21">
      <c r="A4406">
        <v>4405</v>
      </c>
      <c r="B4406" s="30" t="s">
        <v>1587</v>
      </c>
      <c r="D4406" s="30" t="s">
        <v>1588</v>
      </c>
      <c r="F4406" s="30" t="s">
        <v>1591</v>
      </c>
      <c r="H4406" s="30" t="s">
        <v>1592</v>
      </c>
      <c r="N4406" s="30" t="s">
        <v>1531</v>
      </c>
      <c r="P4406" s="30" t="s">
        <v>7865</v>
      </c>
      <c r="Q4406" t="s">
        <v>619</v>
      </c>
      <c r="R4406" t="s">
        <v>918</v>
      </c>
      <c r="S4406">
        <v>37</v>
      </c>
      <c r="T4406" s="29" t="str">
        <f t="shared" ref="T4406:T4437" si="200">HYPERLINK("https://ictv.global/ictv/proposals/2021.010B.R.Binomial_names.zip","2021.010B.R.Binomial_names.zip")</f>
        <v>2021.010B.R.Binomial_names.zip</v>
      </c>
      <c r="U4406" s="29" t="str">
        <f>HYPERLINK("https://ictv.global/taxonomy/taxondetails?taxnode_id=202301144","ictv.global=202301144")</f>
        <v>ictv.global=202301144</v>
      </c>
    </row>
    <row r="4407" spans="1:21">
      <c r="A4407">
        <v>4406</v>
      </c>
      <c r="B4407" s="30" t="s">
        <v>1587</v>
      </c>
      <c r="D4407" s="30" t="s">
        <v>1588</v>
      </c>
      <c r="F4407" s="30" t="s">
        <v>1591</v>
      </c>
      <c r="H4407" s="30" t="s">
        <v>1592</v>
      </c>
      <c r="N4407" s="30" t="s">
        <v>1531</v>
      </c>
      <c r="P4407" s="30" t="s">
        <v>7866</v>
      </c>
      <c r="Q4407" t="s">
        <v>619</v>
      </c>
      <c r="R4407" t="s">
        <v>918</v>
      </c>
      <c r="S4407">
        <v>37</v>
      </c>
      <c r="T4407" s="29" t="str">
        <f t="shared" si="200"/>
        <v>2021.010B.R.Binomial_names.zip</v>
      </c>
      <c r="U4407" s="29" t="str">
        <f>HYPERLINK("https://ictv.global/taxonomy/taxondetails?taxnode_id=202301145","ictv.global=202301145")</f>
        <v>ictv.global=202301145</v>
      </c>
    </row>
    <row r="4408" spans="1:21">
      <c r="A4408">
        <v>4407</v>
      </c>
      <c r="B4408" s="30" t="s">
        <v>1587</v>
      </c>
      <c r="D4408" s="30" t="s">
        <v>1588</v>
      </c>
      <c r="F4408" s="30" t="s">
        <v>1591</v>
      </c>
      <c r="H4408" s="30" t="s">
        <v>1592</v>
      </c>
      <c r="N4408" s="30" t="s">
        <v>1531</v>
      </c>
      <c r="P4408" s="30" t="s">
        <v>7867</v>
      </c>
      <c r="Q4408" t="s">
        <v>619</v>
      </c>
      <c r="R4408" t="s">
        <v>918</v>
      </c>
      <c r="S4408">
        <v>37</v>
      </c>
      <c r="T4408" s="29" t="str">
        <f t="shared" si="200"/>
        <v>2021.010B.R.Binomial_names.zip</v>
      </c>
      <c r="U4408" s="29" t="str">
        <f>HYPERLINK("https://ictv.global/taxonomy/taxondetails?taxnode_id=202301146","ictv.global=202301146")</f>
        <v>ictv.global=202301146</v>
      </c>
    </row>
    <row r="4409" spans="1:21">
      <c r="A4409">
        <v>4408</v>
      </c>
      <c r="B4409" s="30" t="s">
        <v>1587</v>
      </c>
      <c r="D4409" s="30" t="s">
        <v>1588</v>
      </c>
      <c r="F4409" s="30" t="s">
        <v>1591</v>
      </c>
      <c r="H4409" s="30" t="s">
        <v>1592</v>
      </c>
      <c r="N4409" s="30" t="s">
        <v>1531</v>
      </c>
      <c r="P4409" s="30" t="s">
        <v>7868</v>
      </c>
      <c r="Q4409" t="s">
        <v>619</v>
      </c>
      <c r="R4409" t="s">
        <v>918</v>
      </c>
      <c r="S4409">
        <v>37</v>
      </c>
      <c r="T4409" s="29" t="str">
        <f t="shared" si="200"/>
        <v>2021.010B.R.Binomial_names.zip</v>
      </c>
      <c r="U4409" s="29" t="str">
        <f>HYPERLINK("https://ictv.global/taxonomy/taxondetails?taxnode_id=202301147","ictv.global=202301147")</f>
        <v>ictv.global=202301147</v>
      </c>
    </row>
    <row r="4410" spans="1:21">
      <c r="A4410">
        <v>4409</v>
      </c>
      <c r="B4410" s="30" t="s">
        <v>1587</v>
      </c>
      <c r="D4410" s="30" t="s">
        <v>1588</v>
      </c>
      <c r="F4410" s="30" t="s">
        <v>1591</v>
      </c>
      <c r="H4410" s="30" t="s">
        <v>1592</v>
      </c>
      <c r="N4410" s="30" t="s">
        <v>1531</v>
      </c>
      <c r="P4410" s="30" t="s">
        <v>7869</v>
      </c>
      <c r="Q4410" t="s">
        <v>619</v>
      </c>
      <c r="R4410" t="s">
        <v>918</v>
      </c>
      <c r="S4410">
        <v>37</v>
      </c>
      <c r="T4410" s="29" t="str">
        <f t="shared" si="200"/>
        <v>2021.010B.R.Binomial_names.zip</v>
      </c>
      <c r="U4410" s="29" t="str">
        <f>HYPERLINK("https://ictv.global/taxonomy/taxondetails?taxnode_id=202301148","ictv.global=202301148")</f>
        <v>ictv.global=202301148</v>
      </c>
    </row>
    <row r="4411" spans="1:21">
      <c r="A4411">
        <v>4410</v>
      </c>
      <c r="B4411" s="30" t="s">
        <v>1587</v>
      </c>
      <c r="D4411" s="30" t="s">
        <v>1588</v>
      </c>
      <c r="F4411" s="30" t="s">
        <v>1591</v>
      </c>
      <c r="H4411" s="30" t="s">
        <v>1592</v>
      </c>
      <c r="N4411" s="30" t="s">
        <v>1531</v>
      </c>
      <c r="P4411" s="30" t="s">
        <v>7870</v>
      </c>
      <c r="Q4411" t="s">
        <v>619</v>
      </c>
      <c r="R4411" t="s">
        <v>918</v>
      </c>
      <c r="S4411">
        <v>37</v>
      </c>
      <c r="T4411" s="29" t="str">
        <f t="shared" si="200"/>
        <v>2021.010B.R.Binomial_names.zip</v>
      </c>
      <c r="U4411" s="29" t="str">
        <f>HYPERLINK("https://ictv.global/taxonomy/taxondetails?taxnode_id=202301149","ictv.global=202301149")</f>
        <v>ictv.global=202301149</v>
      </c>
    </row>
    <row r="4412" spans="1:21">
      <c r="A4412">
        <v>4411</v>
      </c>
      <c r="B4412" s="30" t="s">
        <v>1587</v>
      </c>
      <c r="D4412" s="30" t="s">
        <v>1588</v>
      </c>
      <c r="F4412" s="30" t="s">
        <v>1591</v>
      </c>
      <c r="H4412" s="30" t="s">
        <v>1592</v>
      </c>
      <c r="N4412" s="30" t="s">
        <v>1531</v>
      </c>
      <c r="P4412" s="30" t="s">
        <v>7871</v>
      </c>
      <c r="Q4412" t="s">
        <v>619</v>
      </c>
      <c r="R4412" t="s">
        <v>918</v>
      </c>
      <c r="S4412">
        <v>37</v>
      </c>
      <c r="T4412" s="29" t="str">
        <f t="shared" si="200"/>
        <v>2021.010B.R.Binomial_names.zip</v>
      </c>
      <c r="U4412" s="29" t="str">
        <f>HYPERLINK("https://ictv.global/taxonomy/taxondetails?taxnode_id=202301150","ictv.global=202301150")</f>
        <v>ictv.global=202301150</v>
      </c>
    </row>
    <row r="4413" spans="1:21">
      <c r="A4413">
        <v>4412</v>
      </c>
      <c r="B4413" s="30" t="s">
        <v>1587</v>
      </c>
      <c r="D4413" s="30" t="s">
        <v>1588</v>
      </c>
      <c r="F4413" s="30" t="s">
        <v>1591</v>
      </c>
      <c r="H4413" s="30" t="s">
        <v>1592</v>
      </c>
      <c r="N4413" s="30" t="s">
        <v>1531</v>
      </c>
      <c r="P4413" s="30" t="s">
        <v>7872</v>
      </c>
      <c r="Q4413" t="s">
        <v>619</v>
      </c>
      <c r="R4413" t="s">
        <v>918</v>
      </c>
      <c r="S4413">
        <v>37</v>
      </c>
      <c r="T4413" s="29" t="str">
        <f t="shared" si="200"/>
        <v>2021.010B.R.Binomial_names.zip</v>
      </c>
      <c r="U4413" s="29" t="str">
        <f>HYPERLINK("https://ictv.global/taxonomy/taxondetails?taxnode_id=202301151","ictv.global=202301151")</f>
        <v>ictv.global=202301151</v>
      </c>
    </row>
    <row r="4414" spans="1:21">
      <c r="A4414">
        <v>4413</v>
      </c>
      <c r="B4414" s="30" t="s">
        <v>1587</v>
      </c>
      <c r="D4414" s="30" t="s">
        <v>1588</v>
      </c>
      <c r="F4414" s="30" t="s">
        <v>1591</v>
      </c>
      <c r="H4414" s="30" t="s">
        <v>1592</v>
      </c>
      <c r="N4414" s="30" t="s">
        <v>1531</v>
      </c>
      <c r="P4414" s="30" t="s">
        <v>7873</v>
      </c>
      <c r="Q4414" t="s">
        <v>619</v>
      </c>
      <c r="R4414" t="s">
        <v>918</v>
      </c>
      <c r="S4414">
        <v>37</v>
      </c>
      <c r="T4414" s="29" t="str">
        <f t="shared" si="200"/>
        <v>2021.010B.R.Binomial_names.zip</v>
      </c>
      <c r="U4414" s="29" t="str">
        <f>HYPERLINK("https://ictv.global/taxonomy/taxondetails?taxnode_id=202301152","ictv.global=202301152")</f>
        <v>ictv.global=202301152</v>
      </c>
    </row>
    <row r="4415" spans="1:21">
      <c r="A4415">
        <v>4414</v>
      </c>
      <c r="B4415" s="30" t="s">
        <v>1587</v>
      </c>
      <c r="D4415" s="30" t="s">
        <v>1588</v>
      </c>
      <c r="F4415" s="30" t="s">
        <v>1591</v>
      </c>
      <c r="H4415" s="30" t="s">
        <v>1592</v>
      </c>
      <c r="N4415" s="30" t="s">
        <v>1531</v>
      </c>
      <c r="P4415" s="30" t="s">
        <v>7874</v>
      </c>
      <c r="Q4415" t="s">
        <v>619</v>
      </c>
      <c r="R4415" t="s">
        <v>918</v>
      </c>
      <c r="S4415">
        <v>37</v>
      </c>
      <c r="T4415" s="29" t="str">
        <f t="shared" si="200"/>
        <v>2021.010B.R.Binomial_names.zip</v>
      </c>
      <c r="U4415" s="29" t="str">
        <f>HYPERLINK("https://ictv.global/taxonomy/taxondetails?taxnode_id=202301153","ictv.global=202301153")</f>
        <v>ictv.global=202301153</v>
      </c>
    </row>
    <row r="4416" spans="1:21">
      <c r="A4416">
        <v>4415</v>
      </c>
      <c r="B4416" s="30" t="s">
        <v>1587</v>
      </c>
      <c r="D4416" s="30" t="s">
        <v>1588</v>
      </c>
      <c r="F4416" s="30" t="s">
        <v>1591</v>
      </c>
      <c r="H4416" s="30" t="s">
        <v>1592</v>
      </c>
      <c r="N4416" s="30" t="s">
        <v>1531</v>
      </c>
      <c r="P4416" s="30" t="s">
        <v>7875</v>
      </c>
      <c r="Q4416" t="s">
        <v>619</v>
      </c>
      <c r="R4416" t="s">
        <v>918</v>
      </c>
      <c r="S4416">
        <v>37</v>
      </c>
      <c r="T4416" s="29" t="str">
        <f t="shared" si="200"/>
        <v>2021.010B.R.Binomial_names.zip</v>
      </c>
      <c r="U4416" s="29" t="str">
        <f>HYPERLINK("https://ictv.global/taxonomy/taxondetails?taxnode_id=202301154","ictv.global=202301154")</f>
        <v>ictv.global=202301154</v>
      </c>
    </row>
    <row r="4417" spans="1:21">
      <c r="A4417">
        <v>4416</v>
      </c>
      <c r="B4417" s="30" t="s">
        <v>1587</v>
      </c>
      <c r="D4417" s="30" t="s">
        <v>1588</v>
      </c>
      <c r="F4417" s="30" t="s">
        <v>1591</v>
      </c>
      <c r="H4417" s="30" t="s">
        <v>1592</v>
      </c>
      <c r="N4417" s="30" t="s">
        <v>1531</v>
      </c>
      <c r="P4417" s="30" t="s">
        <v>7876</v>
      </c>
      <c r="Q4417" t="s">
        <v>619</v>
      </c>
      <c r="R4417" t="s">
        <v>918</v>
      </c>
      <c r="S4417">
        <v>37</v>
      </c>
      <c r="T4417" s="29" t="str">
        <f t="shared" si="200"/>
        <v>2021.010B.R.Binomial_names.zip</v>
      </c>
      <c r="U4417" s="29" t="str">
        <f>HYPERLINK("https://ictv.global/taxonomy/taxondetails?taxnode_id=202301155","ictv.global=202301155")</f>
        <v>ictv.global=202301155</v>
      </c>
    </row>
    <row r="4418" spans="1:21">
      <c r="A4418">
        <v>4417</v>
      </c>
      <c r="B4418" s="30" t="s">
        <v>1587</v>
      </c>
      <c r="D4418" s="30" t="s">
        <v>1588</v>
      </c>
      <c r="F4418" s="30" t="s">
        <v>1591</v>
      </c>
      <c r="H4418" s="30" t="s">
        <v>1592</v>
      </c>
      <c r="N4418" s="30" t="s">
        <v>1531</v>
      </c>
      <c r="P4418" s="30" t="s">
        <v>7877</v>
      </c>
      <c r="Q4418" t="s">
        <v>619</v>
      </c>
      <c r="R4418" t="s">
        <v>918</v>
      </c>
      <c r="S4418">
        <v>37</v>
      </c>
      <c r="T4418" s="29" t="str">
        <f t="shared" si="200"/>
        <v>2021.010B.R.Binomial_names.zip</v>
      </c>
      <c r="U4418" s="29" t="str">
        <f>HYPERLINK("https://ictv.global/taxonomy/taxondetails?taxnode_id=202301156","ictv.global=202301156")</f>
        <v>ictv.global=202301156</v>
      </c>
    </row>
    <row r="4419" spans="1:21">
      <c r="A4419">
        <v>4418</v>
      </c>
      <c r="B4419" s="30" t="s">
        <v>1587</v>
      </c>
      <c r="D4419" s="30" t="s">
        <v>1588</v>
      </c>
      <c r="F4419" s="30" t="s">
        <v>1591</v>
      </c>
      <c r="H4419" s="30" t="s">
        <v>1592</v>
      </c>
      <c r="N4419" s="30" t="s">
        <v>1531</v>
      </c>
      <c r="P4419" s="30" t="s">
        <v>7878</v>
      </c>
      <c r="Q4419" t="s">
        <v>619</v>
      </c>
      <c r="R4419" t="s">
        <v>918</v>
      </c>
      <c r="S4419">
        <v>37</v>
      </c>
      <c r="T4419" s="29" t="str">
        <f t="shared" si="200"/>
        <v>2021.010B.R.Binomial_names.zip</v>
      </c>
      <c r="U4419" s="29" t="str">
        <f>HYPERLINK("https://ictv.global/taxonomy/taxondetails?taxnode_id=202301157","ictv.global=202301157")</f>
        <v>ictv.global=202301157</v>
      </c>
    </row>
    <row r="4420" spans="1:21">
      <c r="A4420">
        <v>4419</v>
      </c>
      <c r="B4420" s="30" t="s">
        <v>1587</v>
      </c>
      <c r="D4420" s="30" t="s">
        <v>1588</v>
      </c>
      <c r="F4420" s="30" t="s">
        <v>1591</v>
      </c>
      <c r="H4420" s="30" t="s">
        <v>1592</v>
      </c>
      <c r="N4420" s="30" t="s">
        <v>1531</v>
      </c>
      <c r="P4420" s="30" t="s">
        <v>7879</v>
      </c>
      <c r="Q4420" t="s">
        <v>619</v>
      </c>
      <c r="R4420" t="s">
        <v>918</v>
      </c>
      <c r="S4420">
        <v>37</v>
      </c>
      <c r="T4420" s="29" t="str">
        <f t="shared" si="200"/>
        <v>2021.010B.R.Binomial_names.zip</v>
      </c>
      <c r="U4420" s="29" t="str">
        <f>HYPERLINK("https://ictv.global/taxonomy/taxondetails?taxnode_id=202301158","ictv.global=202301158")</f>
        <v>ictv.global=202301158</v>
      </c>
    </row>
    <row r="4421" spans="1:21">
      <c r="A4421">
        <v>4420</v>
      </c>
      <c r="B4421" s="30" t="s">
        <v>1587</v>
      </c>
      <c r="D4421" s="30" t="s">
        <v>1588</v>
      </c>
      <c r="F4421" s="30" t="s">
        <v>1591</v>
      </c>
      <c r="H4421" s="30" t="s">
        <v>1592</v>
      </c>
      <c r="N4421" s="30" t="s">
        <v>1531</v>
      </c>
      <c r="P4421" s="30" t="s">
        <v>7880</v>
      </c>
      <c r="Q4421" t="s">
        <v>619</v>
      </c>
      <c r="R4421" t="s">
        <v>918</v>
      </c>
      <c r="S4421">
        <v>37</v>
      </c>
      <c r="T4421" s="29" t="str">
        <f t="shared" si="200"/>
        <v>2021.010B.R.Binomial_names.zip</v>
      </c>
      <c r="U4421" s="29" t="str">
        <f>HYPERLINK("https://ictv.global/taxonomy/taxondetails?taxnode_id=202301159","ictv.global=202301159")</f>
        <v>ictv.global=202301159</v>
      </c>
    </row>
    <row r="4422" spans="1:21">
      <c r="A4422">
        <v>4421</v>
      </c>
      <c r="B4422" s="30" t="s">
        <v>1587</v>
      </c>
      <c r="D4422" s="30" t="s">
        <v>1588</v>
      </c>
      <c r="F4422" s="30" t="s">
        <v>1591</v>
      </c>
      <c r="H4422" s="30" t="s">
        <v>1592</v>
      </c>
      <c r="N4422" s="30" t="s">
        <v>1531</v>
      </c>
      <c r="P4422" s="30" t="s">
        <v>7881</v>
      </c>
      <c r="Q4422" t="s">
        <v>619</v>
      </c>
      <c r="R4422" t="s">
        <v>918</v>
      </c>
      <c r="S4422">
        <v>37</v>
      </c>
      <c r="T4422" s="29" t="str">
        <f t="shared" si="200"/>
        <v>2021.010B.R.Binomial_names.zip</v>
      </c>
      <c r="U4422" s="29" t="str">
        <f>HYPERLINK("https://ictv.global/taxonomy/taxondetails?taxnode_id=202301160","ictv.global=202301160")</f>
        <v>ictv.global=202301160</v>
      </c>
    </row>
    <row r="4423" spans="1:21">
      <c r="A4423">
        <v>4422</v>
      </c>
      <c r="B4423" s="30" t="s">
        <v>1587</v>
      </c>
      <c r="D4423" s="30" t="s">
        <v>1588</v>
      </c>
      <c r="F4423" s="30" t="s">
        <v>1591</v>
      </c>
      <c r="H4423" s="30" t="s">
        <v>1592</v>
      </c>
      <c r="N4423" s="30" t="s">
        <v>1531</v>
      </c>
      <c r="P4423" s="30" t="s">
        <v>7882</v>
      </c>
      <c r="Q4423" t="s">
        <v>619</v>
      </c>
      <c r="R4423" t="s">
        <v>918</v>
      </c>
      <c r="S4423">
        <v>37</v>
      </c>
      <c r="T4423" s="29" t="str">
        <f t="shared" si="200"/>
        <v>2021.010B.R.Binomial_names.zip</v>
      </c>
      <c r="U4423" s="29" t="str">
        <f>HYPERLINK("https://ictv.global/taxonomy/taxondetails?taxnode_id=202301161","ictv.global=202301161")</f>
        <v>ictv.global=202301161</v>
      </c>
    </row>
    <row r="4424" spans="1:21">
      <c r="A4424">
        <v>4423</v>
      </c>
      <c r="B4424" s="30" t="s">
        <v>1587</v>
      </c>
      <c r="D4424" s="30" t="s">
        <v>1588</v>
      </c>
      <c r="F4424" s="30" t="s">
        <v>1591</v>
      </c>
      <c r="H4424" s="30" t="s">
        <v>1592</v>
      </c>
      <c r="N4424" s="30" t="s">
        <v>1531</v>
      </c>
      <c r="P4424" s="30" t="s">
        <v>7883</v>
      </c>
      <c r="Q4424" t="s">
        <v>619</v>
      </c>
      <c r="R4424" t="s">
        <v>918</v>
      </c>
      <c r="S4424">
        <v>37</v>
      </c>
      <c r="T4424" s="29" t="str">
        <f t="shared" si="200"/>
        <v>2021.010B.R.Binomial_names.zip</v>
      </c>
      <c r="U4424" s="29" t="str">
        <f>HYPERLINK("https://ictv.global/taxonomy/taxondetails?taxnode_id=202301162","ictv.global=202301162")</f>
        <v>ictv.global=202301162</v>
      </c>
    </row>
    <row r="4425" spans="1:21">
      <c r="A4425">
        <v>4424</v>
      </c>
      <c r="B4425" s="30" t="s">
        <v>1587</v>
      </c>
      <c r="D4425" s="30" t="s">
        <v>1588</v>
      </c>
      <c r="F4425" s="30" t="s">
        <v>1591</v>
      </c>
      <c r="H4425" s="30" t="s">
        <v>1592</v>
      </c>
      <c r="N4425" s="30" t="s">
        <v>1531</v>
      </c>
      <c r="P4425" s="30" t="s">
        <v>7884</v>
      </c>
      <c r="Q4425" t="s">
        <v>619</v>
      </c>
      <c r="R4425" t="s">
        <v>918</v>
      </c>
      <c r="S4425">
        <v>37</v>
      </c>
      <c r="T4425" s="29" t="str">
        <f t="shared" si="200"/>
        <v>2021.010B.R.Binomial_names.zip</v>
      </c>
      <c r="U4425" s="29" t="str">
        <f>HYPERLINK("https://ictv.global/taxonomy/taxondetails?taxnode_id=202301163","ictv.global=202301163")</f>
        <v>ictv.global=202301163</v>
      </c>
    </row>
    <row r="4426" spans="1:21">
      <c r="A4426">
        <v>4425</v>
      </c>
      <c r="B4426" s="30" t="s">
        <v>1587</v>
      </c>
      <c r="D4426" s="30" t="s">
        <v>1588</v>
      </c>
      <c r="F4426" s="30" t="s">
        <v>1591</v>
      </c>
      <c r="H4426" s="30" t="s">
        <v>1592</v>
      </c>
      <c r="N4426" s="30" t="s">
        <v>1531</v>
      </c>
      <c r="P4426" s="30" t="s">
        <v>7885</v>
      </c>
      <c r="Q4426" t="s">
        <v>619</v>
      </c>
      <c r="R4426" t="s">
        <v>918</v>
      </c>
      <c r="S4426">
        <v>37</v>
      </c>
      <c r="T4426" s="29" t="str">
        <f t="shared" si="200"/>
        <v>2021.010B.R.Binomial_names.zip</v>
      </c>
      <c r="U4426" s="29" t="str">
        <f>HYPERLINK("https://ictv.global/taxonomy/taxondetails?taxnode_id=202301164","ictv.global=202301164")</f>
        <v>ictv.global=202301164</v>
      </c>
    </row>
    <row r="4427" spans="1:21">
      <c r="A4427">
        <v>4426</v>
      </c>
      <c r="B4427" s="30" t="s">
        <v>1587</v>
      </c>
      <c r="D4427" s="30" t="s">
        <v>1588</v>
      </c>
      <c r="F4427" s="30" t="s">
        <v>1591</v>
      </c>
      <c r="H4427" s="30" t="s">
        <v>1592</v>
      </c>
      <c r="N4427" s="30" t="s">
        <v>1531</v>
      </c>
      <c r="P4427" s="30" t="s">
        <v>7886</v>
      </c>
      <c r="Q4427" t="s">
        <v>619</v>
      </c>
      <c r="R4427" t="s">
        <v>918</v>
      </c>
      <c r="S4427">
        <v>37</v>
      </c>
      <c r="T4427" s="29" t="str">
        <f t="shared" si="200"/>
        <v>2021.010B.R.Binomial_names.zip</v>
      </c>
      <c r="U4427" s="29" t="str">
        <f>HYPERLINK("https://ictv.global/taxonomy/taxondetails?taxnode_id=202301165","ictv.global=202301165")</f>
        <v>ictv.global=202301165</v>
      </c>
    </row>
    <row r="4428" spans="1:21">
      <c r="A4428">
        <v>4427</v>
      </c>
      <c r="B4428" s="30" t="s">
        <v>1587</v>
      </c>
      <c r="D4428" s="30" t="s">
        <v>1588</v>
      </c>
      <c r="F4428" s="30" t="s">
        <v>1591</v>
      </c>
      <c r="H4428" s="30" t="s">
        <v>1592</v>
      </c>
      <c r="N4428" s="30" t="s">
        <v>1531</v>
      </c>
      <c r="P4428" s="30" t="s">
        <v>7887</v>
      </c>
      <c r="Q4428" t="s">
        <v>619</v>
      </c>
      <c r="R4428" t="s">
        <v>918</v>
      </c>
      <c r="S4428">
        <v>37</v>
      </c>
      <c r="T4428" s="29" t="str">
        <f t="shared" si="200"/>
        <v>2021.010B.R.Binomial_names.zip</v>
      </c>
      <c r="U4428" s="29" t="str">
        <f>HYPERLINK("https://ictv.global/taxonomy/taxondetails?taxnode_id=202301166","ictv.global=202301166")</f>
        <v>ictv.global=202301166</v>
      </c>
    </row>
    <row r="4429" spans="1:21">
      <c r="A4429">
        <v>4428</v>
      </c>
      <c r="B4429" s="30" t="s">
        <v>1587</v>
      </c>
      <c r="D4429" s="30" t="s">
        <v>1588</v>
      </c>
      <c r="F4429" s="30" t="s">
        <v>1591</v>
      </c>
      <c r="H4429" s="30" t="s">
        <v>1592</v>
      </c>
      <c r="N4429" s="30" t="s">
        <v>1531</v>
      </c>
      <c r="P4429" s="30" t="s">
        <v>7888</v>
      </c>
      <c r="Q4429" t="s">
        <v>619</v>
      </c>
      <c r="R4429" t="s">
        <v>918</v>
      </c>
      <c r="S4429">
        <v>37</v>
      </c>
      <c r="T4429" s="29" t="str">
        <f t="shared" si="200"/>
        <v>2021.010B.R.Binomial_names.zip</v>
      </c>
      <c r="U4429" s="29" t="str">
        <f>HYPERLINK("https://ictv.global/taxonomy/taxondetails?taxnode_id=202301167","ictv.global=202301167")</f>
        <v>ictv.global=202301167</v>
      </c>
    </row>
    <row r="4430" spans="1:21">
      <c r="A4430">
        <v>4429</v>
      </c>
      <c r="B4430" s="30" t="s">
        <v>1587</v>
      </c>
      <c r="D4430" s="30" t="s">
        <v>1588</v>
      </c>
      <c r="F4430" s="30" t="s">
        <v>1591</v>
      </c>
      <c r="H4430" s="30" t="s">
        <v>1592</v>
      </c>
      <c r="N4430" s="30" t="s">
        <v>1531</v>
      </c>
      <c r="P4430" s="30" t="s">
        <v>7889</v>
      </c>
      <c r="Q4430" t="s">
        <v>619</v>
      </c>
      <c r="R4430" t="s">
        <v>918</v>
      </c>
      <c r="S4430">
        <v>37</v>
      </c>
      <c r="T4430" s="29" t="str">
        <f t="shared" si="200"/>
        <v>2021.010B.R.Binomial_names.zip</v>
      </c>
      <c r="U4430" s="29" t="str">
        <f>HYPERLINK("https://ictv.global/taxonomy/taxondetails?taxnode_id=202301168","ictv.global=202301168")</f>
        <v>ictv.global=202301168</v>
      </c>
    </row>
    <row r="4431" spans="1:21">
      <c r="A4431">
        <v>4430</v>
      </c>
      <c r="B4431" s="30" t="s">
        <v>1587</v>
      </c>
      <c r="D4431" s="30" t="s">
        <v>1588</v>
      </c>
      <c r="F4431" s="30" t="s">
        <v>1591</v>
      </c>
      <c r="H4431" s="30" t="s">
        <v>1592</v>
      </c>
      <c r="N4431" s="30" t="s">
        <v>1531</v>
      </c>
      <c r="P4431" s="30" t="s">
        <v>7890</v>
      </c>
      <c r="Q4431" t="s">
        <v>619</v>
      </c>
      <c r="R4431" t="s">
        <v>918</v>
      </c>
      <c r="S4431">
        <v>37</v>
      </c>
      <c r="T4431" s="29" t="str">
        <f t="shared" si="200"/>
        <v>2021.010B.R.Binomial_names.zip</v>
      </c>
      <c r="U4431" s="29" t="str">
        <f>HYPERLINK("https://ictv.global/taxonomy/taxondetails?taxnode_id=202301169","ictv.global=202301169")</f>
        <v>ictv.global=202301169</v>
      </c>
    </row>
    <row r="4432" spans="1:21">
      <c r="A4432">
        <v>4431</v>
      </c>
      <c r="B4432" s="30" t="s">
        <v>1587</v>
      </c>
      <c r="D4432" s="30" t="s">
        <v>1588</v>
      </c>
      <c r="F4432" s="30" t="s">
        <v>1591</v>
      </c>
      <c r="H4432" s="30" t="s">
        <v>1592</v>
      </c>
      <c r="N4432" s="30" t="s">
        <v>1531</v>
      </c>
      <c r="P4432" s="30" t="s">
        <v>7891</v>
      </c>
      <c r="Q4432" t="s">
        <v>619</v>
      </c>
      <c r="R4432" t="s">
        <v>918</v>
      </c>
      <c r="S4432">
        <v>37</v>
      </c>
      <c r="T4432" s="29" t="str">
        <f t="shared" si="200"/>
        <v>2021.010B.R.Binomial_names.zip</v>
      </c>
      <c r="U4432" s="29" t="str">
        <f>HYPERLINK("https://ictv.global/taxonomy/taxondetails?taxnode_id=202301170","ictv.global=202301170")</f>
        <v>ictv.global=202301170</v>
      </c>
    </row>
    <row r="4433" spans="1:21">
      <c r="A4433">
        <v>4432</v>
      </c>
      <c r="B4433" s="30" t="s">
        <v>1587</v>
      </c>
      <c r="D4433" s="30" t="s">
        <v>1588</v>
      </c>
      <c r="F4433" s="30" t="s">
        <v>1591</v>
      </c>
      <c r="H4433" s="30" t="s">
        <v>1592</v>
      </c>
      <c r="N4433" s="30" t="s">
        <v>1531</v>
      </c>
      <c r="P4433" s="30" t="s">
        <v>7892</v>
      </c>
      <c r="Q4433" t="s">
        <v>619</v>
      </c>
      <c r="R4433" t="s">
        <v>918</v>
      </c>
      <c r="S4433">
        <v>37</v>
      </c>
      <c r="T4433" s="29" t="str">
        <f t="shared" si="200"/>
        <v>2021.010B.R.Binomial_names.zip</v>
      </c>
      <c r="U4433" s="29" t="str">
        <f>HYPERLINK("https://ictv.global/taxonomy/taxondetails?taxnode_id=202301171","ictv.global=202301171")</f>
        <v>ictv.global=202301171</v>
      </c>
    </row>
    <row r="4434" spans="1:21">
      <c r="A4434">
        <v>4433</v>
      </c>
      <c r="B4434" s="30" t="s">
        <v>1587</v>
      </c>
      <c r="D4434" s="30" t="s">
        <v>1588</v>
      </c>
      <c r="F4434" s="30" t="s">
        <v>1591</v>
      </c>
      <c r="H4434" s="30" t="s">
        <v>1592</v>
      </c>
      <c r="N4434" s="30" t="s">
        <v>1531</v>
      </c>
      <c r="P4434" s="30" t="s">
        <v>7893</v>
      </c>
      <c r="Q4434" t="s">
        <v>619</v>
      </c>
      <c r="R4434" t="s">
        <v>918</v>
      </c>
      <c r="S4434">
        <v>37</v>
      </c>
      <c r="T4434" s="29" t="str">
        <f t="shared" si="200"/>
        <v>2021.010B.R.Binomial_names.zip</v>
      </c>
      <c r="U4434" s="29" t="str">
        <f>HYPERLINK("https://ictv.global/taxonomy/taxondetails?taxnode_id=202301172","ictv.global=202301172")</f>
        <v>ictv.global=202301172</v>
      </c>
    </row>
    <row r="4435" spans="1:21">
      <c r="A4435">
        <v>4434</v>
      </c>
      <c r="B4435" s="30" t="s">
        <v>1587</v>
      </c>
      <c r="D4435" s="30" t="s">
        <v>1588</v>
      </c>
      <c r="F4435" s="30" t="s">
        <v>1591</v>
      </c>
      <c r="H4435" s="30" t="s">
        <v>1592</v>
      </c>
      <c r="N4435" s="30" t="s">
        <v>1531</v>
      </c>
      <c r="P4435" s="30" t="s">
        <v>7894</v>
      </c>
      <c r="Q4435" t="s">
        <v>619</v>
      </c>
      <c r="R4435" t="s">
        <v>918</v>
      </c>
      <c r="S4435">
        <v>37</v>
      </c>
      <c r="T4435" s="29" t="str">
        <f t="shared" si="200"/>
        <v>2021.010B.R.Binomial_names.zip</v>
      </c>
      <c r="U4435" s="29" t="str">
        <f>HYPERLINK("https://ictv.global/taxonomy/taxondetails?taxnode_id=202301173","ictv.global=202301173")</f>
        <v>ictv.global=202301173</v>
      </c>
    </row>
    <row r="4436" spans="1:21">
      <c r="A4436">
        <v>4435</v>
      </c>
      <c r="B4436" s="30" t="s">
        <v>1587</v>
      </c>
      <c r="D4436" s="30" t="s">
        <v>1588</v>
      </c>
      <c r="F4436" s="30" t="s">
        <v>1591</v>
      </c>
      <c r="H4436" s="30" t="s">
        <v>1592</v>
      </c>
      <c r="N4436" s="30" t="s">
        <v>2469</v>
      </c>
      <c r="P4436" s="30" t="s">
        <v>7907</v>
      </c>
      <c r="Q4436" t="s">
        <v>619</v>
      </c>
      <c r="R4436" t="s">
        <v>918</v>
      </c>
      <c r="S4436">
        <v>37</v>
      </c>
      <c r="T4436" s="29" t="str">
        <f t="shared" si="200"/>
        <v>2021.010B.R.Binomial_names.zip</v>
      </c>
      <c r="U4436" s="29" t="str">
        <f>HYPERLINK("https://ictv.global/taxonomy/taxondetails?taxnode_id=202309342","ictv.global=202309342")</f>
        <v>ictv.global=202309342</v>
      </c>
    </row>
    <row r="4437" spans="1:21">
      <c r="A4437">
        <v>4436</v>
      </c>
      <c r="B4437" s="30" t="s">
        <v>1587</v>
      </c>
      <c r="D4437" s="30" t="s">
        <v>1588</v>
      </c>
      <c r="F4437" s="30" t="s">
        <v>1591</v>
      </c>
      <c r="H4437" s="30" t="s">
        <v>1592</v>
      </c>
      <c r="N4437" s="30" t="s">
        <v>2469</v>
      </c>
      <c r="P4437" s="30" t="s">
        <v>7908</v>
      </c>
      <c r="Q4437" t="s">
        <v>619</v>
      </c>
      <c r="R4437" t="s">
        <v>918</v>
      </c>
      <c r="S4437">
        <v>37</v>
      </c>
      <c r="T4437" s="29" t="str">
        <f t="shared" si="200"/>
        <v>2021.010B.R.Binomial_names.zip</v>
      </c>
      <c r="U4437" s="29" t="str">
        <f>HYPERLINK("https://ictv.global/taxonomy/taxondetails?taxnode_id=202309338","ictv.global=202309338")</f>
        <v>ictv.global=202309338</v>
      </c>
    </row>
    <row r="4438" spans="1:21">
      <c r="A4438">
        <v>4437</v>
      </c>
      <c r="B4438" s="30" t="s">
        <v>1587</v>
      </c>
      <c r="D4438" s="30" t="s">
        <v>1588</v>
      </c>
      <c r="F4438" s="30" t="s">
        <v>1591</v>
      </c>
      <c r="H4438" s="30" t="s">
        <v>1592</v>
      </c>
      <c r="N4438" s="30" t="s">
        <v>2469</v>
      </c>
      <c r="P4438" s="30" t="s">
        <v>7909</v>
      </c>
      <c r="Q4438" t="s">
        <v>619</v>
      </c>
      <c r="R4438" t="s">
        <v>918</v>
      </c>
      <c r="S4438">
        <v>37</v>
      </c>
      <c r="T4438" s="29" t="str">
        <f t="shared" ref="T4438:T4444" si="201">HYPERLINK("https://ictv.global/ictv/proposals/2021.010B.R.Binomial_names.zip","2021.010B.R.Binomial_names.zip")</f>
        <v>2021.010B.R.Binomial_names.zip</v>
      </c>
      <c r="U4438" s="29" t="str">
        <f>HYPERLINK("https://ictv.global/taxonomy/taxondetails?taxnode_id=202309341","ictv.global=202309341")</f>
        <v>ictv.global=202309341</v>
      </c>
    </row>
    <row r="4439" spans="1:21">
      <c r="A4439">
        <v>4438</v>
      </c>
      <c r="B4439" s="30" t="s">
        <v>1587</v>
      </c>
      <c r="D4439" s="30" t="s">
        <v>1588</v>
      </c>
      <c r="F4439" s="30" t="s">
        <v>1591</v>
      </c>
      <c r="H4439" s="30" t="s">
        <v>1592</v>
      </c>
      <c r="N4439" s="30" t="s">
        <v>2469</v>
      </c>
      <c r="P4439" s="30" t="s">
        <v>7910</v>
      </c>
      <c r="Q4439" t="s">
        <v>619</v>
      </c>
      <c r="R4439" t="s">
        <v>918</v>
      </c>
      <c r="S4439">
        <v>37</v>
      </c>
      <c r="T4439" s="29" t="str">
        <f t="shared" si="201"/>
        <v>2021.010B.R.Binomial_names.zip</v>
      </c>
      <c r="U4439" s="29" t="str">
        <f>HYPERLINK("https://ictv.global/taxonomy/taxondetails?taxnode_id=202309340","ictv.global=202309340")</f>
        <v>ictv.global=202309340</v>
      </c>
    </row>
    <row r="4440" spans="1:21">
      <c r="A4440">
        <v>4439</v>
      </c>
      <c r="B4440" s="30" t="s">
        <v>1587</v>
      </c>
      <c r="D4440" s="30" t="s">
        <v>1588</v>
      </c>
      <c r="F4440" s="30" t="s">
        <v>1591</v>
      </c>
      <c r="H4440" s="30" t="s">
        <v>1592</v>
      </c>
      <c r="N4440" s="30" t="s">
        <v>2469</v>
      </c>
      <c r="P4440" s="30" t="s">
        <v>7911</v>
      </c>
      <c r="Q4440" t="s">
        <v>619</v>
      </c>
      <c r="R4440" t="s">
        <v>918</v>
      </c>
      <c r="S4440">
        <v>37</v>
      </c>
      <c r="T4440" s="29" t="str">
        <f t="shared" si="201"/>
        <v>2021.010B.R.Binomial_names.zip</v>
      </c>
      <c r="U4440" s="29" t="str">
        <f>HYPERLINK("https://ictv.global/taxonomy/taxondetails?taxnode_id=202309339","ictv.global=202309339")</f>
        <v>ictv.global=202309339</v>
      </c>
    </row>
    <row r="4441" spans="1:21">
      <c r="A4441">
        <v>4440</v>
      </c>
      <c r="B4441" s="30" t="s">
        <v>1587</v>
      </c>
      <c r="D4441" s="30" t="s">
        <v>1588</v>
      </c>
      <c r="F4441" s="30" t="s">
        <v>1591</v>
      </c>
      <c r="H4441" s="30" t="s">
        <v>1592</v>
      </c>
      <c r="N4441" s="30" t="s">
        <v>1533</v>
      </c>
      <c r="P4441" s="30" t="s">
        <v>7912</v>
      </c>
      <c r="Q4441" t="s">
        <v>619</v>
      </c>
      <c r="R4441" t="s">
        <v>918</v>
      </c>
      <c r="S4441">
        <v>37</v>
      </c>
      <c r="T4441" s="29" t="str">
        <f t="shared" si="201"/>
        <v>2021.010B.R.Binomial_names.zip</v>
      </c>
      <c r="U4441" s="29" t="str">
        <f>HYPERLINK("https://ictv.global/taxonomy/taxondetails?taxnode_id=202301253","ictv.global=202301253")</f>
        <v>ictv.global=202301253</v>
      </c>
    </row>
    <row r="4442" spans="1:21">
      <c r="A4442">
        <v>4441</v>
      </c>
      <c r="B4442" s="30" t="s">
        <v>1587</v>
      </c>
      <c r="D4442" s="30" t="s">
        <v>1588</v>
      </c>
      <c r="F4442" s="30" t="s">
        <v>1591</v>
      </c>
      <c r="H4442" s="30" t="s">
        <v>1592</v>
      </c>
      <c r="N4442" s="30" t="s">
        <v>1533</v>
      </c>
      <c r="P4442" s="30" t="s">
        <v>7913</v>
      </c>
      <c r="Q4442" t="s">
        <v>619</v>
      </c>
      <c r="R4442" t="s">
        <v>918</v>
      </c>
      <c r="S4442">
        <v>37</v>
      </c>
      <c r="T4442" s="29" t="str">
        <f t="shared" si="201"/>
        <v>2021.010B.R.Binomial_names.zip</v>
      </c>
      <c r="U4442" s="29" t="str">
        <f>HYPERLINK("https://ictv.global/taxonomy/taxondetails?taxnode_id=202301254","ictv.global=202301254")</f>
        <v>ictv.global=202301254</v>
      </c>
    </row>
    <row r="4443" spans="1:21">
      <c r="A4443">
        <v>4442</v>
      </c>
      <c r="B4443" s="30" t="s">
        <v>1587</v>
      </c>
      <c r="D4443" s="30" t="s">
        <v>1588</v>
      </c>
      <c r="F4443" s="30" t="s">
        <v>1591</v>
      </c>
      <c r="H4443" s="30" t="s">
        <v>1592</v>
      </c>
      <c r="N4443" s="30" t="s">
        <v>2316</v>
      </c>
      <c r="P4443" s="30" t="s">
        <v>7914</v>
      </c>
      <c r="Q4443" t="s">
        <v>619</v>
      </c>
      <c r="R4443" t="s">
        <v>918</v>
      </c>
      <c r="S4443">
        <v>37</v>
      </c>
      <c r="T4443" s="29" t="str">
        <f t="shared" si="201"/>
        <v>2021.010B.R.Binomial_names.zip</v>
      </c>
      <c r="U4443" s="29" t="str">
        <f>HYPERLINK("https://ictv.global/taxonomy/taxondetails?taxnode_id=202311569","ictv.global=202311569")</f>
        <v>ictv.global=202311569</v>
      </c>
    </row>
    <row r="4444" spans="1:21">
      <c r="A4444">
        <v>4443</v>
      </c>
      <c r="B4444" s="30" t="s">
        <v>1587</v>
      </c>
      <c r="D4444" s="30" t="s">
        <v>1588</v>
      </c>
      <c r="F4444" s="30" t="s">
        <v>1591</v>
      </c>
      <c r="H4444" s="30" t="s">
        <v>1592</v>
      </c>
      <c r="N4444" s="30" t="s">
        <v>828</v>
      </c>
      <c r="P4444" s="30" t="s">
        <v>7915</v>
      </c>
      <c r="Q4444" t="s">
        <v>619</v>
      </c>
      <c r="R4444" t="s">
        <v>918</v>
      </c>
      <c r="S4444">
        <v>37</v>
      </c>
      <c r="T4444" s="29" t="str">
        <f t="shared" si="201"/>
        <v>2021.010B.R.Binomial_names.zip</v>
      </c>
      <c r="U4444" s="29" t="str">
        <f>HYPERLINK("https://ictv.global/taxonomy/taxondetails?taxnode_id=202301178","ictv.global=202301178")</f>
        <v>ictv.global=202301178</v>
      </c>
    </row>
    <row r="4445" spans="1:21">
      <c r="A4445">
        <v>4444</v>
      </c>
      <c r="B4445" s="30" t="s">
        <v>1587</v>
      </c>
      <c r="D4445" s="30" t="s">
        <v>1588</v>
      </c>
      <c r="F4445" s="30" t="s">
        <v>1591</v>
      </c>
      <c r="H4445" s="30" t="s">
        <v>1592</v>
      </c>
      <c r="N4445" s="30" t="s">
        <v>7916</v>
      </c>
      <c r="P4445" s="30" t="s">
        <v>7917</v>
      </c>
      <c r="Q4445" t="s">
        <v>619</v>
      </c>
      <c r="R4445" t="s">
        <v>917</v>
      </c>
      <c r="S4445">
        <v>38</v>
      </c>
      <c r="T4445" s="29" t="str">
        <f>HYPERLINK("https://ictv.global/ictv/proposals/2022.061B.Pavtokvirus_ng.zip","2022.061B.Pavtokvirus_ng.zip")</f>
        <v>2022.061B.Pavtokvirus_ng.zip</v>
      </c>
      <c r="U4445" s="29" t="str">
        <f>HYPERLINK("https://ictv.global/taxonomy/taxondetails?taxnode_id=202314718","ictv.global=202314718")</f>
        <v>ictv.global=202314718</v>
      </c>
    </row>
    <row r="4446" spans="1:21">
      <c r="A4446">
        <v>4445</v>
      </c>
      <c r="B4446" s="30" t="s">
        <v>1587</v>
      </c>
      <c r="D4446" s="30" t="s">
        <v>1588</v>
      </c>
      <c r="F4446" s="30" t="s">
        <v>1591</v>
      </c>
      <c r="H4446" s="30" t="s">
        <v>1592</v>
      </c>
      <c r="N4446" s="30" t="s">
        <v>7916</v>
      </c>
      <c r="P4446" s="30" t="s">
        <v>7918</v>
      </c>
      <c r="Q4446" t="s">
        <v>619</v>
      </c>
      <c r="R4446" t="s">
        <v>917</v>
      </c>
      <c r="S4446">
        <v>38</v>
      </c>
      <c r="T4446" s="29" t="str">
        <f>HYPERLINK("https://ictv.global/ictv/proposals/2022.061B.Pavtokvirus_ng.zip","2022.061B.Pavtokvirus_ng.zip")</f>
        <v>2022.061B.Pavtokvirus_ng.zip</v>
      </c>
      <c r="U4446" s="29" t="str">
        <f>HYPERLINK("https://ictv.global/taxonomy/taxondetails?taxnode_id=202314719","ictv.global=202314719")</f>
        <v>ictv.global=202314719</v>
      </c>
    </row>
    <row r="4447" spans="1:21">
      <c r="A4447">
        <v>4446</v>
      </c>
      <c r="B4447" s="30" t="s">
        <v>1587</v>
      </c>
      <c r="D4447" s="30" t="s">
        <v>1588</v>
      </c>
      <c r="F4447" s="30" t="s">
        <v>1591</v>
      </c>
      <c r="H4447" s="30" t="s">
        <v>1592</v>
      </c>
      <c r="N4447" s="30" t="s">
        <v>7919</v>
      </c>
      <c r="P4447" s="30" t="s">
        <v>7920</v>
      </c>
      <c r="Q4447" t="s">
        <v>619</v>
      </c>
      <c r="R4447" t="s">
        <v>917</v>
      </c>
      <c r="S4447">
        <v>38</v>
      </c>
      <c r="T4447" s="29" t="str">
        <f>HYPERLINK("https://ictv.global/ictv/proposals/2022.066B.Caudoviricetes_6ng.zip","2022.066B.Caudoviricetes_6ng.zip")</f>
        <v>2022.066B.Caudoviricetes_6ng.zip</v>
      </c>
      <c r="U4447" s="29" t="str">
        <f>HYPERLINK("https://ictv.global/taxonomy/taxondetails?taxnode_id=202314786","ictv.global=202314786")</f>
        <v>ictv.global=202314786</v>
      </c>
    </row>
    <row r="4448" spans="1:21">
      <c r="A4448">
        <v>4447</v>
      </c>
      <c r="B4448" s="30" t="s">
        <v>1587</v>
      </c>
      <c r="D4448" s="30" t="s">
        <v>1588</v>
      </c>
      <c r="F4448" s="30" t="s">
        <v>1591</v>
      </c>
      <c r="H4448" s="30" t="s">
        <v>1592</v>
      </c>
      <c r="N4448" s="30" t="s">
        <v>643</v>
      </c>
      <c r="P4448" s="30" t="s">
        <v>7921</v>
      </c>
      <c r="Q4448" t="s">
        <v>619</v>
      </c>
      <c r="R4448" t="s">
        <v>918</v>
      </c>
      <c r="S4448">
        <v>37</v>
      </c>
      <c r="T4448" s="29" t="str">
        <f>HYPERLINK("https://ictv.global/ictv/proposals/2021.010B.R.Binomial_names.zip","2021.010B.R.Binomial_names.zip")</f>
        <v>2021.010B.R.Binomial_names.zip</v>
      </c>
      <c r="U4448" s="29" t="str">
        <f>HYPERLINK("https://ictv.global/taxonomy/taxondetails?taxnode_id=202300477","ictv.global=202300477")</f>
        <v>ictv.global=202300477</v>
      </c>
    </row>
    <row r="4449" spans="1:21">
      <c r="A4449">
        <v>4448</v>
      </c>
      <c r="B4449" s="30" t="s">
        <v>1587</v>
      </c>
      <c r="D4449" s="30" t="s">
        <v>1588</v>
      </c>
      <c r="F4449" s="30" t="s">
        <v>1591</v>
      </c>
      <c r="H4449" s="30" t="s">
        <v>1592</v>
      </c>
      <c r="N4449" s="30" t="s">
        <v>643</v>
      </c>
      <c r="P4449" s="30" t="s">
        <v>7922</v>
      </c>
      <c r="Q4449" t="s">
        <v>619</v>
      </c>
      <c r="R4449" t="s">
        <v>917</v>
      </c>
      <c r="S4449">
        <v>37</v>
      </c>
      <c r="T4449" s="29" t="str">
        <f>HYPERLINK("https://ictv.global/ictv/proposals/2021.061B.R.Pbunavirus_new_species.zip","2021.061B.R.Pbunavirus_new_species.zip")</f>
        <v>2021.061B.R.Pbunavirus_new_species.zip</v>
      </c>
      <c r="U4449" s="29" t="str">
        <f>HYPERLINK("https://ictv.global/taxonomy/taxondetails?taxnode_id=202312812","ictv.global=202312812")</f>
        <v>ictv.global=202312812</v>
      </c>
    </row>
    <row r="4450" spans="1:21">
      <c r="A4450">
        <v>4449</v>
      </c>
      <c r="B4450" s="30" t="s">
        <v>1587</v>
      </c>
      <c r="D4450" s="30" t="s">
        <v>1588</v>
      </c>
      <c r="F4450" s="30" t="s">
        <v>1591</v>
      </c>
      <c r="H4450" s="30" t="s">
        <v>1592</v>
      </c>
      <c r="N4450" s="30" t="s">
        <v>643</v>
      </c>
      <c r="P4450" s="30" t="s">
        <v>7923</v>
      </c>
      <c r="Q4450" t="s">
        <v>619</v>
      </c>
      <c r="R4450" t="s">
        <v>918</v>
      </c>
      <c r="S4450">
        <v>37</v>
      </c>
      <c r="T4450" s="29" t="str">
        <f>HYPERLINK("https://ictv.global/ictv/proposals/2021.010B.R.Binomial_names.zip","2021.010B.R.Binomial_names.zip")</f>
        <v>2021.010B.R.Binomial_names.zip</v>
      </c>
      <c r="U4450" s="29" t="str">
        <f>HYPERLINK("https://ictv.global/taxonomy/taxondetails?taxnode_id=202311575","ictv.global=202311575")</f>
        <v>ictv.global=202311575</v>
      </c>
    </row>
    <row r="4451" spans="1:21">
      <c r="A4451">
        <v>4450</v>
      </c>
      <c r="B4451" s="30" t="s">
        <v>1587</v>
      </c>
      <c r="D4451" s="30" t="s">
        <v>1588</v>
      </c>
      <c r="F4451" s="30" t="s">
        <v>1591</v>
      </c>
      <c r="H4451" s="30" t="s">
        <v>1592</v>
      </c>
      <c r="N4451" s="30" t="s">
        <v>643</v>
      </c>
      <c r="P4451" s="30" t="s">
        <v>7924</v>
      </c>
      <c r="Q4451" t="s">
        <v>619</v>
      </c>
      <c r="R4451" t="s">
        <v>917</v>
      </c>
      <c r="S4451">
        <v>37</v>
      </c>
      <c r="T4451" s="29" t="str">
        <f>HYPERLINK("https://ictv.global/ictv/proposals/2021.061B.R.Pbunavirus_new_species.zip","2021.061B.R.Pbunavirus_new_species.zip")</f>
        <v>2021.061B.R.Pbunavirus_new_species.zip</v>
      </c>
      <c r="U4451" s="29" t="str">
        <f>HYPERLINK("https://ictv.global/taxonomy/taxondetails?taxnode_id=202312813","ictv.global=202312813")</f>
        <v>ictv.global=202312813</v>
      </c>
    </row>
    <row r="4452" spans="1:21">
      <c r="A4452">
        <v>4451</v>
      </c>
      <c r="B4452" s="30" t="s">
        <v>1587</v>
      </c>
      <c r="D4452" s="30" t="s">
        <v>1588</v>
      </c>
      <c r="F4452" s="30" t="s">
        <v>1591</v>
      </c>
      <c r="H4452" s="30" t="s">
        <v>1592</v>
      </c>
      <c r="N4452" s="30" t="s">
        <v>643</v>
      </c>
      <c r="P4452" s="30" t="s">
        <v>7925</v>
      </c>
      <c r="Q4452" t="s">
        <v>619</v>
      </c>
      <c r="R4452" t="s">
        <v>917</v>
      </c>
      <c r="S4452">
        <v>37</v>
      </c>
      <c r="T4452" s="29" t="str">
        <f>HYPERLINK("https://ictv.global/ictv/proposals/2021.061B.R.Pbunavirus_new_species.zip","2021.061B.R.Pbunavirus_new_species.zip")</f>
        <v>2021.061B.R.Pbunavirus_new_species.zip</v>
      </c>
      <c r="U4452" s="29" t="str">
        <f>HYPERLINK("https://ictv.global/taxonomy/taxondetails?taxnode_id=202312806","ictv.global=202312806")</f>
        <v>ictv.global=202312806</v>
      </c>
    </row>
    <row r="4453" spans="1:21">
      <c r="A4453">
        <v>4452</v>
      </c>
      <c r="B4453" s="30" t="s">
        <v>1587</v>
      </c>
      <c r="D4453" s="30" t="s">
        <v>1588</v>
      </c>
      <c r="F4453" s="30" t="s">
        <v>1591</v>
      </c>
      <c r="H4453" s="30" t="s">
        <v>1592</v>
      </c>
      <c r="N4453" s="30" t="s">
        <v>643</v>
      </c>
      <c r="P4453" s="30" t="s">
        <v>7926</v>
      </c>
      <c r="Q4453" t="s">
        <v>619</v>
      </c>
      <c r="R4453" t="s">
        <v>918</v>
      </c>
      <c r="S4453">
        <v>37</v>
      </c>
      <c r="T4453" s="29" t="str">
        <f>HYPERLINK("https://ictv.global/ictv/proposals/2021.010B.R.Binomial_names.zip","2021.010B.R.Binomial_names.zip")</f>
        <v>2021.010B.R.Binomial_names.zip</v>
      </c>
      <c r="U4453" s="29" t="str">
        <f>HYPERLINK("https://ictv.global/taxonomy/taxondetails?taxnode_id=202300478","ictv.global=202300478")</f>
        <v>ictv.global=202300478</v>
      </c>
    </row>
    <row r="4454" spans="1:21">
      <c r="A4454">
        <v>4453</v>
      </c>
      <c r="B4454" s="30" t="s">
        <v>1587</v>
      </c>
      <c r="D4454" s="30" t="s">
        <v>1588</v>
      </c>
      <c r="F4454" s="30" t="s">
        <v>1591</v>
      </c>
      <c r="H4454" s="30" t="s">
        <v>1592</v>
      </c>
      <c r="N4454" s="30" t="s">
        <v>643</v>
      </c>
      <c r="P4454" s="30" t="s">
        <v>7927</v>
      </c>
      <c r="Q4454" t="s">
        <v>619</v>
      </c>
      <c r="R4454" t="s">
        <v>918</v>
      </c>
      <c r="S4454">
        <v>37</v>
      </c>
      <c r="T4454" s="29" t="str">
        <f>HYPERLINK("https://ictv.global/ictv/proposals/2021.010B.R.Binomial_names.zip","2021.010B.R.Binomial_names.zip")</f>
        <v>2021.010B.R.Binomial_names.zip</v>
      </c>
      <c r="U4454" s="29" t="str">
        <f>HYPERLINK("https://ictv.global/taxonomy/taxondetails?taxnode_id=202307023","ictv.global=202307023")</f>
        <v>ictv.global=202307023</v>
      </c>
    </row>
    <row r="4455" spans="1:21">
      <c r="A4455">
        <v>4454</v>
      </c>
      <c r="B4455" s="30" t="s">
        <v>1587</v>
      </c>
      <c r="D4455" s="30" t="s">
        <v>1588</v>
      </c>
      <c r="F4455" s="30" t="s">
        <v>1591</v>
      </c>
      <c r="H4455" s="30" t="s">
        <v>1592</v>
      </c>
      <c r="N4455" s="30" t="s">
        <v>643</v>
      </c>
      <c r="P4455" s="30" t="s">
        <v>7928</v>
      </c>
      <c r="Q4455" t="s">
        <v>619</v>
      </c>
      <c r="R4455" t="s">
        <v>918</v>
      </c>
      <c r="S4455">
        <v>37</v>
      </c>
      <c r="T4455" s="29" t="str">
        <f>HYPERLINK("https://ictv.global/ictv/proposals/2021.010B.R.Binomial_names.zip","2021.010B.R.Binomial_names.zip")</f>
        <v>2021.010B.R.Binomial_names.zip</v>
      </c>
      <c r="U4455" s="29" t="str">
        <f>HYPERLINK("https://ictv.global/taxonomy/taxondetails?taxnode_id=202307024","ictv.global=202307024")</f>
        <v>ictv.global=202307024</v>
      </c>
    </row>
    <row r="4456" spans="1:21">
      <c r="A4456">
        <v>4455</v>
      </c>
      <c r="B4456" s="30" t="s">
        <v>1587</v>
      </c>
      <c r="D4456" s="30" t="s">
        <v>1588</v>
      </c>
      <c r="F4456" s="30" t="s">
        <v>1591</v>
      </c>
      <c r="H4456" s="30" t="s">
        <v>1592</v>
      </c>
      <c r="N4456" s="30" t="s">
        <v>643</v>
      </c>
      <c r="P4456" s="30" t="s">
        <v>7929</v>
      </c>
      <c r="Q4456" t="s">
        <v>619</v>
      </c>
      <c r="R4456" t="s">
        <v>918</v>
      </c>
      <c r="S4456">
        <v>37</v>
      </c>
      <c r="T4456" s="29" t="str">
        <f>HYPERLINK("https://ictv.global/ictv/proposals/2021.010B.R.Binomial_names.zip","2021.010B.R.Binomial_names.zip")</f>
        <v>2021.010B.R.Binomial_names.zip</v>
      </c>
      <c r="U4456" s="29" t="str">
        <f>HYPERLINK("https://ictv.global/taxonomy/taxondetails?taxnode_id=202307025","ictv.global=202307025")</f>
        <v>ictv.global=202307025</v>
      </c>
    </row>
    <row r="4457" spans="1:21">
      <c r="A4457">
        <v>4456</v>
      </c>
      <c r="B4457" s="30" t="s">
        <v>1587</v>
      </c>
      <c r="D4457" s="30" t="s">
        <v>1588</v>
      </c>
      <c r="F4457" s="30" t="s">
        <v>1591</v>
      </c>
      <c r="H4457" s="30" t="s">
        <v>1592</v>
      </c>
      <c r="N4457" s="30" t="s">
        <v>643</v>
      </c>
      <c r="P4457" s="30" t="s">
        <v>7930</v>
      </c>
      <c r="Q4457" t="s">
        <v>619</v>
      </c>
      <c r="R4457" t="s">
        <v>917</v>
      </c>
      <c r="S4457">
        <v>37</v>
      </c>
      <c r="T4457" s="29" t="str">
        <f>HYPERLINK("https://ictv.global/ictv/proposals/2021.061B.R.Pbunavirus_new_species.zip","2021.061B.R.Pbunavirus_new_species.zip")</f>
        <v>2021.061B.R.Pbunavirus_new_species.zip</v>
      </c>
      <c r="U4457" s="29" t="str">
        <f>HYPERLINK("https://ictv.global/taxonomy/taxondetails?taxnode_id=202312807","ictv.global=202312807")</f>
        <v>ictv.global=202312807</v>
      </c>
    </row>
    <row r="4458" spans="1:21">
      <c r="A4458">
        <v>4457</v>
      </c>
      <c r="B4458" s="30" t="s">
        <v>1587</v>
      </c>
      <c r="D4458" s="30" t="s">
        <v>1588</v>
      </c>
      <c r="F4458" s="30" t="s">
        <v>1591</v>
      </c>
      <c r="H4458" s="30" t="s">
        <v>1592</v>
      </c>
      <c r="N4458" s="30" t="s">
        <v>643</v>
      </c>
      <c r="P4458" s="30" t="s">
        <v>7931</v>
      </c>
      <c r="Q4458" t="s">
        <v>619</v>
      </c>
      <c r="R4458" t="s">
        <v>917</v>
      </c>
      <c r="S4458">
        <v>37</v>
      </c>
      <c r="T4458" s="29" t="str">
        <f>HYPERLINK("https://ictv.global/ictv/proposals/2021.061B.R.Pbunavirus_new_species.zip","2021.061B.R.Pbunavirus_new_species.zip")</f>
        <v>2021.061B.R.Pbunavirus_new_species.zip</v>
      </c>
      <c r="U4458" s="29" t="str">
        <f>HYPERLINK("https://ictv.global/taxonomy/taxondetails?taxnode_id=202312816","ictv.global=202312816")</f>
        <v>ictv.global=202312816</v>
      </c>
    </row>
    <row r="4459" spans="1:21">
      <c r="A4459">
        <v>4458</v>
      </c>
      <c r="B4459" s="30" t="s">
        <v>1587</v>
      </c>
      <c r="D4459" s="30" t="s">
        <v>1588</v>
      </c>
      <c r="F4459" s="30" t="s">
        <v>1591</v>
      </c>
      <c r="H4459" s="30" t="s">
        <v>1592</v>
      </c>
      <c r="N4459" s="30" t="s">
        <v>643</v>
      </c>
      <c r="P4459" s="30" t="s">
        <v>7932</v>
      </c>
      <c r="Q4459" t="s">
        <v>619</v>
      </c>
      <c r="R4459" t="s">
        <v>918</v>
      </c>
      <c r="S4459">
        <v>37</v>
      </c>
      <c r="T4459" s="29" t="str">
        <f t="shared" ref="T4459:T4467" si="202">HYPERLINK("https://ictv.global/ictv/proposals/2021.010B.R.Binomial_names.zip","2021.010B.R.Binomial_names.zip")</f>
        <v>2021.010B.R.Binomial_names.zip</v>
      </c>
      <c r="U4459" s="29" t="str">
        <f>HYPERLINK("https://ictv.global/taxonomy/taxondetails?taxnode_id=202311572","ictv.global=202311572")</f>
        <v>ictv.global=202311572</v>
      </c>
    </row>
    <row r="4460" spans="1:21">
      <c r="A4460">
        <v>4459</v>
      </c>
      <c r="B4460" s="30" t="s">
        <v>1587</v>
      </c>
      <c r="D4460" s="30" t="s">
        <v>1588</v>
      </c>
      <c r="F4460" s="30" t="s">
        <v>1591</v>
      </c>
      <c r="H4460" s="30" t="s">
        <v>1592</v>
      </c>
      <c r="N4460" s="30" t="s">
        <v>643</v>
      </c>
      <c r="P4460" s="30" t="s">
        <v>7933</v>
      </c>
      <c r="Q4460" t="s">
        <v>619</v>
      </c>
      <c r="R4460" t="s">
        <v>918</v>
      </c>
      <c r="S4460">
        <v>37</v>
      </c>
      <c r="T4460" s="29" t="str">
        <f t="shared" si="202"/>
        <v>2021.010B.R.Binomial_names.zip</v>
      </c>
      <c r="U4460" s="29" t="str">
        <f>HYPERLINK("https://ictv.global/taxonomy/taxondetails?taxnode_id=202300480","ictv.global=202300480")</f>
        <v>ictv.global=202300480</v>
      </c>
    </row>
    <row r="4461" spans="1:21">
      <c r="A4461">
        <v>4460</v>
      </c>
      <c r="B4461" s="30" t="s">
        <v>1587</v>
      </c>
      <c r="D4461" s="30" t="s">
        <v>1588</v>
      </c>
      <c r="F4461" s="30" t="s">
        <v>1591</v>
      </c>
      <c r="H4461" s="30" t="s">
        <v>1592</v>
      </c>
      <c r="N4461" s="30" t="s">
        <v>643</v>
      </c>
      <c r="P4461" s="30" t="s">
        <v>7934</v>
      </c>
      <c r="Q4461" t="s">
        <v>619</v>
      </c>
      <c r="R4461" t="s">
        <v>918</v>
      </c>
      <c r="S4461">
        <v>37</v>
      </c>
      <c r="T4461" s="29" t="str">
        <f t="shared" si="202"/>
        <v>2021.010B.R.Binomial_names.zip</v>
      </c>
      <c r="U4461" s="29" t="str">
        <f>HYPERLINK("https://ictv.global/taxonomy/taxondetails?taxnode_id=202300482","ictv.global=202300482")</f>
        <v>ictv.global=202300482</v>
      </c>
    </row>
    <row r="4462" spans="1:21">
      <c r="A4462">
        <v>4461</v>
      </c>
      <c r="B4462" s="30" t="s">
        <v>1587</v>
      </c>
      <c r="D4462" s="30" t="s">
        <v>1588</v>
      </c>
      <c r="F4462" s="30" t="s">
        <v>1591</v>
      </c>
      <c r="H4462" s="30" t="s">
        <v>1592</v>
      </c>
      <c r="N4462" s="30" t="s">
        <v>643</v>
      </c>
      <c r="P4462" s="30" t="s">
        <v>7935</v>
      </c>
      <c r="Q4462" t="s">
        <v>619</v>
      </c>
      <c r="R4462" t="s">
        <v>918</v>
      </c>
      <c r="S4462">
        <v>37</v>
      </c>
      <c r="T4462" s="29" t="str">
        <f t="shared" si="202"/>
        <v>2021.010B.R.Binomial_names.zip</v>
      </c>
      <c r="U4462" s="29" t="str">
        <f>HYPERLINK("https://ictv.global/taxonomy/taxondetails?taxnode_id=202307021","ictv.global=202307021")</f>
        <v>ictv.global=202307021</v>
      </c>
    </row>
    <row r="4463" spans="1:21">
      <c r="A4463">
        <v>4462</v>
      </c>
      <c r="B4463" s="30" t="s">
        <v>1587</v>
      </c>
      <c r="D4463" s="30" t="s">
        <v>1588</v>
      </c>
      <c r="F4463" s="30" t="s">
        <v>1591</v>
      </c>
      <c r="H4463" s="30" t="s">
        <v>1592</v>
      </c>
      <c r="N4463" s="30" t="s">
        <v>643</v>
      </c>
      <c r="P4463" s="30" t="s">
        <v>7936</v>
      </c>
      <c r="Q4463" t="s">
        <v>619</v>
      </c>
      <c r="R4463" t="s">
        <v>918</v>
      </c>
      <c r="S4463">
        <v>37</v>
      </c>
      <c r="T4463" s="29" t="str">
        <f t="shared" si="202"/>
        <v>2021.010B.R.Binomial_names.zip</v>
      </c>
      <c r="U4463" s="29" t="str">
        <f>HYPERLINK("https://ictv.global/taxonomy/taxondetails?taxnode_id=202300483","ictv.global=202300483")</f>
        <v>ictv.global=202300483</v>
      </c>
    </row>
    <row r="4464" spans="1:21">
      <c r="A4464">
        <v>4463</v>
      </c>
      <c r="B4464" s="30" t="s">
        <v>1587</v>
      </c>
      <c r="D4464" s="30" t="s">
        <v>1588</v>
      </c>
      <c r="F4464" s="30" t="s">
        <v>1591</v>
      </c>
      <c r="H4464" s="30" t="s">
        <v>1592</v>
      </c>
      <c r="N4464" s="30" t="s">
        <v>643</v>
      </c>
      <c r="P4464" s="30" t="s">
        <v>7937</v>
      </c>
      <c r="Q4464" t="s">
        <v>619</v>
      </c>
      <c r="R4464" t="s">
        <v>918</v>
      </c>
      <c r="S4464">
        <v>37</v>
      </c>
      <c r="T4464" s="29" t="str">
        <f t="shared" si="202"/>
        <v>2021.010B.R.Binomial_names.zip</v>
      </c>
      <c r="U4464" s="29" t="str">
        <f>HYPERLINK("https://ictv.global/taxonomy/taxondetails?taxnode_id=202300484","ictv.global=202300484")</f>
        <v>ictv.global=202300484</v>
      </c>
    </row>
    <row r="4465" spans="1:21">
      <c r="A4465">
        <v>4464</v>
      </c>
      <c r="B4465" s="30" t="s">
        <v>1587</v>
      </c>
      <c r="D4465" s="30" t="s">
        <v>1588</v>
      </c>
      <c r="F4465" s="30" t="s">
        <v>1591</v>
      </c>
      <c r="H4465" s="30" t="s">
        <v>1592</v>
      </c>
      <c r="N4465" s="30" t="s">
        <v>643</v>
      </c>
      <c r="P4465" s="30" t="s">
        <v>7938</v>
      </c>
      <c r="Q4465" t="s">
        <v>619</v>
      </c>
      <c r="R4465" t="s">
        <v>918</v>
      </c>
      <c r="S4465">
        <v>37</v>
      </c>
      <c r="T4465" s="29" t="str">
        <f t="shared" si="202"/>
        <v>2021.010B.R.Binomial_names.zip</v>
      </c>
      <c r="U4465" s="29" t="str">
        <f>HYPERLINK("https://ictv.global/taxonomy/taxondetails?taxnode_id=202311577","ictv.global=202311577")</f>
        <v>ictv.global=202311577</v>
      </c>
    </row>
    <row r="4466" spans="1:21">
      <c r="A4466">
        <v>4465</v>
      </c>
      <c r="B4466" s="30" t="s">
        <v>1587</v>
      </c>
      <c r="D4466" s="30" t="s">
        <v>1588</v>
      </c>
      <c r="F4466" s="30" t="s">
        <v>1591</v>
      </c>
      <c r="H4466" s="30" t="s">
        <v>1592</v>
      </c>
      <c r="N4466" s="30" t="s">
        <v>643</v>
      </c>
      <c r="P4466" s="30" t="s">
        <v>7939</v>
      </c>
      <c r="Q4466" t="s">
        <v>619</v>
      </c>
      <c r="R4466" t="s">
        <v>918</v>
      </c>
      <c r="S4466">
        <v>37</v>
      </c>
      <c r="T4466" s="29" t="str">
        <f t="shared" si="202"/>
        <v>2021.010B.R.Binomial_names.zip</v>
      </c>
      <c r="U4466" s="29" t="str">
        <f>HYPERLINK("https://ictv.global/taxonomy/taxondetails?taxnode_id=202311576","ictv.global=202311576")</f>
        <v>ictv.global=202311576</v>
      </c>
    </row>
    <row r="4467" spans="1:21">
      <c r="A4467">
        <v>4466</v>
      </c>
      <c r="B4467" s="30" t="s">
        <v>1587</v>
      </c>
      <c r="D4467" s="30" t="s">
        <v>1588</v>
      </c>
      <c r="F4467" s="30" t="s">
        <v>1591</v>
      </c>
      <c r="H4467" s="30" t="s">
        <v>1592</v>
      </c>
      <c r="N4467" s="30" t="s">
        <v>643</v>
      </c>
      <c r="P4467" s="30" t="s">
        <v>7940</v>
      </c>
      <c r="Q4467" t="s">
        <v>619</v>
      </c>
      <c r="R4467" t="s">
        <v>918</v>
      </c>
      <c r="S4467">
        <v>37</v>
      </c>
      <c r="T4467" s="29" t="str">
        <f t="shared" si="202"/>
        <v>2021.010B.R.Binomial_names.zip</v>
      </c>
      <c r="U4467" s="29" t="str">
        <f>HYPERLINK("https://ictv.global/taxonomy/taxondetails?taxnode_id=202307022","ictv.global=202307022")</f>
        <v>ictv.global=202307022</v>
      </c>
    </row>
    <row r="4468" spans="1:21">
      <c r="A4468">
        <v>4467</v>
      </c>
      <c r="B4468" s="30" t="s">
        <v>1587</v>
      </c>
      <c r="D4468" s="30" t="s">
        <v>1588</v>
      </c>
      <c r="F4468" s="30" t="s">
        <v>1591</v>
      </c>
      <c r="H4468" s="30" t="s">
        <v>1592</v>
      </c>
      <c r="N4468" s="30" t="s">
        <v>643</v>
      </c>
      <c r="P4468" s="30" t="s">
        <v>7941</v>
      </c>
      <c r="Q4468" t="s">
        <v>619</v>
      </c>
      <c r="R4468" t="s">
        <v>917</v>
      </c>
      <c r="S4468">
        <v>37</v>
      </c>
      <c r="T4468" s="29" t="str">
        <f>HYPERLINK("https://ictv.global/ictv/proposals/2021.061B.R.Pbunavirus_new_species.zip","2021.061B.R.Pbunavirus_new_species.zip")</f>
        <v>2021.061B.R.Pbunavirus_new_species.zip</v>
      </c>
      <c r="U4468" s="29" t="str">
        <f>HYPERLINK("https://ictv.global/taxonomy/taxondetails?taxnode_id=202312809","ictv.global=202312809")</f>
        <v>ictv.global=202312809</v>
      </c>
    </row>
    <row r="4469" spans="1:21">
      <c r="A4469">
        <v>4468</v>
      </c>
      <c r="B4469" s="30" t="s">
        <v>1587</v>
      </c>
      <c r="D4469" s="30" t="s">
        <v>1588</v>
      </c>
      <c r="F4469" s="30" t="s">
        <v>1591</v>
      </c>
      <c r="H4469" s="30" t="s">
        <v>1592</v>
      </c>
      <c r="N4469" s="30" t="s">
        <v>643</v>
      </c>
      <c r="P4469" s="30" t="s">
        <v>7942</v>
      </c>
      <c r="Q4469" t="s">
        <v>619</v>
      </c>
      <c r="R4469" t="s">
        <v>918</v>
      </c>
      <c r="S4469">
        <v>37</v>
      </c>
      <c r="T4469" s="29" t="str">
        <f>HYPERLINK("https://ictv.global/ictv/proposals/2021.010B.R.Binomial_names.zip","2021.010B.R.Binomial_names.zip")</f>
        <v>2021.010B.R.Binomial_names.zip</v>
      </c>
      <c r="U4469" s="29" t="str">
        <f>HYPERLINK("https://ictv.global/taxonomy/taxondetails?taxnode_id=202311579","ictv.global=202311579")</f>
        <v>ictv.global=202311579</v>
      </c>
    </row>
    <row r="4470" spans="1:21">
      <c r="A4470">
        <v>4469</v>
      </c>
      <c r="B4470" s="30" t="s">
        <v>1587</v>
      </c>
      <c r="D4470" s="30" t="s">
        <v>1588</v>
      </c>
      <c r="F4470" s="30" t="s">
        <v>1591</v>
      </c>
      <c r="H4470" s="30" t="s">
        <v>1592</v>
      </c>
      <c r="N4470" s="30" t="s">
        <v>643</v>
      </c>
      <c r="P4470" s="30" t="s">
        <v>7943</v>
      </c>
      <c r="Q4470" t="s">
        <v>619</v>
      </c>
      <c r="R4470" t="s">
        <v>917</v>
      </c>
      <c r="S4470">
        <v>37</v>
      </c>
      <c r="T4470" s="29" t="str">
        <f>HYPERLINK("https://ictv.global/ictv/proposals/2021.061B.R.Pbunavirus_new_species.zip","2021.061B.R.Pbunavirus_new_species.zip")</f>
        <v>2021.061B.R.Pbunavirus_new_species.zip</v>
      </c>
      <c r="U4470" s="29" t="str">
        <f>HYPERLINK("https://ictv.global/taxonomy/taxondetails?taxnode_id=202312808","ictv.global=202312808")</f>
        <v>ictv.global=202312808</v>
      </c>
    </row>
    <row r="4471" spans="1:21">
      <c r="A4471">
        <v>4470</v>
      </c>
      <c r="B4471" s="30" t="s">
        <v>1587</v>
      </c>
      <c r="D4471" s="30" t="s">
        <v>1588</v>
      </c>
      <c r="F4471" s="30" t="s">
        <v>1591</v>
      </c>
      <c r="H4471" s="30" t="s">
        <v>1592</v>
      </c>
      <c r="N4471" s="30" t="s">
        <v>643</v>
      </c>
      <c r="P4471" s="30" t="s">
        <v>7944</v>
      </c>
      <c r="Q4471" t="s">
        <v>619</v>
      </c>
      <c r="R4471" t="s">
        <v>918</v>
      </c>
      <c r="S4471">
        <v>37</v>
      </c>
      <c r="T4471" s="29" t="str">
        <f t="shared" ref="T4471:T4478" si="203">HYPERLINK("https://ictv.global/ictv/proposals/2021.010B.R.Binomial_names.zip","2021.010B.R.Binomial_names.zip")</f>
        <v>2021.010B.R.Binomial_names.zip</v>
      </c>
      <c r="U4471" s="29" t="str">
        <f>HYPERLINK("https://ictv.global/taxonomy/taxondetails?taxnode_id=202300485","ictv.global=202300485")</f>
        <v>ictv.global=202300485</v>
      </c>
    </row>
    <row r="4472" spans="1:21">
      <c r="A4472">
        <v>4471</v>
      </c>
      <c r="B4472" s="30" t="s">
        <v>1587</v>
      </c>
      <c r="D4472" s="30" t="s">
        <v>1588</v>
      </c>
      <c r="F4472" s="30" t="s">
        <v>1591</v>
      </c>
      <c r="H4472" s="30" t="s">
        <v>1592</v>
      </c>
      <c r="N4472" s="30" t="s">
        <v>643</v>
      </c>
      <c r="P4472" s="30" t="s">
        <v>7945</v>
      </c>
      <c r="Q4472" t="s">
        <v>619</v>
      </c>
      <c r="R4472" t="s">
        <v>918</v>
      </c>
      <c r="S4472">
        <v>37</v>
      </c>
      <c r="T4472" s="29" t="str">
        <f t="shared" si="203"/>
        <v>2021.010B.R.Binomial_names.zip</v>
      </c>
      <c r="U4472" s="29" t="str">
        <f>HYPERLINK("https://ictv.global/taxonomy/taxondetails?taxnode_id=202307027","ictv.global=202307027")</f>
        <v>ictv.global=202307027</v>
      </c>
    </row>
    <row r="4473" spans="1:21">
      <c r="A4473">
        <v>4472</v>
      </c>
      <c r="B4473" s="30" t="s">
        <v>1587</v>
      </c>
      <c r="D4473" s="30" t="s">
        <v>1588</v>
      </c>
      <c r="F4473" s="30" t="s">
        <v>1591</v>
      </c>
      <c r="H4473" s="30" t="s">
        <v>1592</v>
      </c>
      <c r="N4473" s="30" t="s">
        <v>643</v>
      </c>
      <c r="P4473" s="30" t="s">
        <v>7946</v>
      </c>
      <c r="Q4473" t="s">
        <v>619</v>
      </c>
      <c r="R4473" t="s">
        <v>918</v>
      </c>
      <c r="S4473">
        <v>37</v>
      </c>
      <c r="T4473" s="29" t="str">
        <f t="shared" si="203"/>
        <v>2021.010B.R.Binomial_names.zip</v>
      </c>
      <c r="U4473" s="29" t="str">
        <f>HYPERLINK("https://ictv.global/taxonomy/taxondetails?taxnode_id=202300476","ictv.global=202300476")</f>
        <v>ictv.global=202300476</v>
      </c>
    </row>
    <row r="4474" spans="1:21">
      <c r="A4474">
        <v>4473</v>
      </c>
      <c r="B4474" s="30" t="s">
        <v>1587</v>
      </c>
      <c r="D4474" s="30" t="s">
        <v>1588</v>
      </c>
      <c r="F4474" s="30" t="s">
        <v>1591</v>
      </c>
      <c r="H4474" s="30" t="s">
        <v>1592</v>
      </c>
      <c r="N4474" s="30" t="s">
        <v>643</v>
      </c>
      <c r="P4474" s="30" t="s">
        <v>7947</v>
      </c>
      <c r="Q4474" t="s">
        <v>619</v>
      </c>
      <c r="R4474" t="s">
        <v>918</v>
      </c>
      <c r="S4474">
        <v>37</v>
      </c>
      <c r="T4474" s="29" t="str">
        <f t="shared" si="203"/>
        <v>2021.010B.R.Binomial_names.zip</v>
      </c>
      <c r="U4474" s="29" t="str">
        <f>HYPERLINK("https://ictv.global/taxonomy/taxondetails?taxnode_id=202311580","ictv.global=202311580")</f>
        <v>ictv.global=202311580</v>
      </c>
    </row>
    <row r="4475" spans="1:21">
      <c r="A4475">
        <v>4474</v>
      </c>
      <c r="B4475" s="30" t="s">
        <v>1587</v>
      </c>
      <c r="D4475" s="30" t="s">
        <v>1588</v>
      </c>
      <c r="F4475" s="30" t="s">
        <v>1591</v>
      </c>
      <c r="H4475" s="30" t="s">
        <v>1592</v>
      </c>
      <c r="N4475" s="30" t="s">
        <v>643</v>
      </c>
      <c r="P4475" s="30" t="s">
        <v>7948</v>
      </c>
      <c r="Q4475" t="s">
        <v>619</v>
      </c>
      <c r="R4475" t="s">
        <v>918</v>
      </c>
      <c r="S4475">
        <v>37</v>
      </c>
      <c r="T4475" s="29" t="str">
        <f t="shared" si="203"/>
        <v>2021.010B.R.Binomial_names.zip</v>
      </c>
      <c r="U4475" s="29" t="str">
        <f>HYPERLINK("https://ictv.global/taxonomy/taxondetails?taxnode_id=202311574","ictv.global=202311574")</f>
        <v>ictv.global=202311574</v>
      </c>
    </row>
    <row r="4476" spans="1:21">
      <c r="A4476">
        <v>4475</v>
      </c>
      <c r="B4476" s="30" t="s">
        <v>1587</v>
      </c>
      <c r="D4476" s="30" t="s">
        <v>1588</v>
      </c>
      <c r="F4476" s="30" t="s">
        <v>1591</v>
      </c>
      <c r="H4476" s="30" t="s">
        <v>1592</v>
      </c>
      <c r="N4476" s="30" t="s">
        <v>643</v>
      </c>
      <c r="P4476" s="30" t="s">
        <v>7949</v>
      </c>
      <c r="Q4476" t="s">
        <v>619</v>
      </c>
      <c r="R4476" t="s">
        <v>918</v>
      </c>
      <c r="S4476">
        <v>37</v>
      </c>
      <c r="T4476" s="29" t="str">
        <f t="shared" si="203"/>
        <v>2021.010B.R.Binomial_names.zip</v>
      </c>
      <c r="U4476" s="29" t="str">
        <f>HYPERLINK("https://ictv.global/taxonomy/taxondetails?taxnode_id=202311573","ictv.global=202311573")</f>
        <v>ictv.global=202311573</v>
      </c>
    </row>
    <row r="4477" spans="1:21">
      <c r="A4477">
        <v>4476</v>
      </c>
      <c r="B4477" s="30" t="s">
        <v>1587</v>
      </c>
      <c r="D4477" s="30" t="s">
        <v>1588</v>
      </c>
      <c r="F4477" s="30" t="s">
        <v>1591</v>
      </c>
      <c r="H4477" s="30" t="s">
        <v>1592</v>
      </c>
      <c r="N4477" s="30" t="s">
        <v>643</v>
      </c>
      <c r="P4477" s="30" t="s">
        <v>7950</v>
      </c>
      <c r="Q4477" t="s">
        <v>619</v>
      </c>
      <c r="R4477" t="s">
        <v>918</v>
      </c>
      <c r="S4477">
        <v>37</v>
      </c>
      <c r="T4477" s="29" t="str">
        <f t="shared" si="203"/>
        <v>2021.010B.R.Binomial_names.zip</v>
      </c>
      <c r="U4477" s="29" t="str">
        <f>HYPERLINK("https://ictv.global/taxonomy/taxondetails?taxnode_id=202311578","ictv.global=202311578")</f>
        <v>ictv.global=202311578</v>
      </c>
    </row>
    <row r="4478" spans="1:21">
      <c r="A4478">
        <v>4477</v>
      </c>
      <c r="B4478" s="30" t="s">
        <v>1587</v>
      </c>
      <c r="D4478" s="30" t="s">
        <v>1588</v>
      </c>
      <c r="F4478" s="30" t="s">
        <v>1591</v>
      </c>
      <c r="H4478" s="30" t="s">
        <v>1592</v>
      </c>
      <c r="N4478" s="30" t="s">
        <v>643</v>
      </c>
      <c r="P4478" s="30" t="s">
        <v>7951</v>
      </c>
      <c r="Q4478" t="s">
        <v>619</v>
      </c>
      <c r="R4478" t="s">
        <v>918</v>
      </c>
      <c r="S4478">
        <v>37</v>
      </c>
      <c r="T4478" s="29" t="str">
        <f t="shared" si="203"/>
        <v>2021.010B.R.Binomial_names.zip</v>
      </c>
      <c r="U4478" s="29" t="str">
        <f>HYPERLINK("https://ictv.global/taxonomy/taxondetails?taxnode_id=202300486","ictv.global=202300486")</f>
        <v>ictv.global=202300486</v>
      </c>
    </row>
    <row r="4479" spans="1:21">
      <c r="A4479">
        <v>4478</v>
      </c>
      <c r="B4479" s="30" t="s">
        <v>1587</v>
      </c>
      <c r="D4479" s="30" t="s">
        <v>1588</v>
      </c>
      <c r="F4479" s="30" t="s">
        <v>1591</v>
      </c>
      <c r="H4479" s="30" t="s">
        <v>1592</v>
      </c>
      <c r="N4479" s="30" t="s">
        <v>643</v>
      </c>
      <c r="P4479" s="30" t="s">
        <v>7952</v>
      </c>
      <c r="Q4479" t="s">
        <v>619</v>
      </c>
      <c r="R4479" t="s">
        <v>917</v>
      </c>
      <c r="S4479">
        <v>37</v>
      </c>
      <c r="T4479" s="29" t="str">
        <f>HYPERLINK("https://ictv.global/ictv/proposals/2021.061B.R.Pbunavirus_new_species.zip","2021.061B.R.Pbunavirus_new_species.zip")</f>
        <v>2021.061B.R.Pbunavirus_new_species.zip</v>
      </c>
      <c r="U4479" s="29" t="str">
        <f>HYPERLINK("https://ictv.global/taxonomy/taxondetails?taxnode_id=202312811","ictv.global=202312811")</f>
        <v>ictv.global=202312811</v>
      </c>
    </row>
    <row r="4480" spans="1:21">
      <c r="A4480">
        <v>4479</v>
      </c>
      <c r="B4480" s="30" t="s">
        <v>1587</v>
      </c>
      <c r="D4480" s="30" t="s">
        <v>1588</v>
      </c>
      <c r="F4480" s="30" t="s">
        <v>1591</v>
      </c>
      <c r="H4480" s="30" t="s">
        <v>1592</v>
      </c>
      <c r="N4480" s="30" t="s">
        <v>643</v>
      </c>
      <c r="P4480" s="30" t="s">
        <v>644</v>
      </c>
      <c r="Q4480" t="s">
        <v>619</v>
      </c>
      <c r="R4480" t="s">
        <v>919</v>
      </c>
      <c r="S4480">
        <v>37</v>
      </c>
      <c r="T4480" s="29" t="str">
        <f>HYPERLINK("https://ictv.global/ictv/proposals/2021.001B.R.abolish_Caudovirales.zip","2021.001B.R.abolish_Caudovirales.zip")</f>
        <v>2021.001B.R.abolish_Caudovirales.zip</v>
      </c>
      <c r="U4480" s="29" t="str">
        <f>HYPERLINK("https://ictv.global/taxonomy/taxondetails?taxnode_id=202300479","ictv.global=202300479")</f>
        <v>ictv.global=202300479</v>
      </c>
    </row>
    <row r="4481" spans="1:21">
      <c r="A4481">
        <v>4480</v>
      </c>
      <c r="B4481" s="30" t="s">
        <v>1587</v>
      </c>
      <c r="D4481" s="30" t="s">
        <v>1588</v>
      </c>
      <c r="F4481" s="30" t="s">
        <v>1591</v>
      </c>
      <c r="H4481" s="30" t="s">
        <v>1592</v>
      </c>
      <c r="N4481" s="30" t="s">
        <v>643</v>
      </c>
      <c r="P4481" s="30" t="s">
        <v>645</v>
      </c>
      <c r="Q4481" t="s">
        <v>619</v>
      </c>
      <c r="R4481" t="s">
        <v>919</v>
      </c>
      <c r="S4481">
        <v>37</v>
      </c>
      <c r="T4481" s="29" t="str">
        <f>HYPERLINK("https://ictv.global/ictv/proposals/2021.001B.R.abolish_Caudovirales.zip","2021.001B.R.abolish_Caudovirales.zip")</f>
        <v>2021.001B.R.abolish_Caudovirales.zip</v>
      </c>
      <c r="U4481" s="29" t="str">
        <f>HYPERLINK("https://ictv.global/taxonomy/taxondetails?taxnode_id=202300481","ictv.global=202300481")</f>
        <v>ictv.global=202300481</v>
      </c>
    </row>
    <row r="4482" spans="1:21">
      <c r="A4482">
        <v>4481</v>
      </c>
      <c r="B4482" s="30" t="s">
        <v>1587</v>
      </c>
      <c r="D4482" s="30" t="s">
        <v>1588</v>
      </c>
      <c r="F4482" s="30" t="s">
        <v>1591</v>
      </c>
      <c r="H4482" s="30" t="s">
        <v>1592</v>
      </c>
      <c r="N4482" s="30" t="s">
        <v>643</v>
      </c>
      <c r="P4482" s="30" t="s">
        <v>1378</v>
      </c>
      <c r="Q4482" t="s">
        <v>619</v>
      </c>
      <c r="R4482" t="s">
        <v>919</v>
      </c>
      <c r="S4482">
        <v>37</v>
      </c>
      <c r="T4482" s="29" t="str">
        <f>HYPERLINK("https://ictv.global/ictv/proposals/2021.001B.R.abolish_Caudovirales.zip","2021.001B.R.abolish_Caudovirales.zip")</f>
        <v>2021.001B.R.abolish_Caudovirales.zip</v>
      </c>
      <c r="U4482" s="29" t="str">
        <f>HYPERLINK("https://ictv.global/taxonomy/taxondetails?taxnode_id=202307026","ictv.global=202307026")</f>
        <v>ictv.global=202307026</v>
      </c>
    </row>
    <row r="4483" spans="1:21">
      <c r="A4483">
        <v>4482</v>
      </c>
      <c r="B4483" s="30" t="s">
        <v>1587</v>
      </c>
      <c r="D4483" s="30" t="s">
        <v>1588</v>
      </c>
      <c r="F4483" s="30" t="s">
        <v>1591</v>
      </c>
      <c r="H4483" s="30" t="s">
        <v>1592</v>
      </c>
      <c r="N4483" s="30" t="s">
        <v>2283</v>
      </c>
      <c r="P4483" s="30" t="s">
        <v>7954</v>
      </c>
      <c r="Q4483" t="s">
        <v>619</v>
      </c>
      <c r="R4483" t="s">
        <v>918</v>
      </c>
      <c r="S4483">
        <v>37</v>
      </c>
      <c r="T4483" s="29" t="str">
        <f>HYPERLINK("https://ictv.global/ictv/proposals/2021.010B.R.Binomial_names.zip","2021.010B.R.Binomial_names.zip")</f>
        <v>2021.010B.R.Binomial_names.zip</v>
      </c>
      <c r="U4483" s="29" t="str">
        <f>HYPERLINK("https://ictv.global/taxonomy/taxondetails?taxnode_id=202311617","ictv.global=202311617")</f>
        <v>ictv.global=202311617</v>
      </c>
    </row>
    <row r="4484" spans="1:21">
      <c r="A4484">
        <v>4483</v>
      </c>
      <c r="B4484" s="30" t="s">
        <v>1587</v>
      </c>
      <c r="D4484" s="30" t="s">
        <v>1588</v>
      </c>
      <c r="F4484" s="30" t="s">
        <v>1591</v>
      </c>
      <c r="H4484" s="30" t="s">
        <v>1592</v>
      </c>
      <c r="N4484" s="30" t="s">
        <v>1534</v>
      </c>
      <c r="P4484" s="30" t="s">
        <v>7955</v>
      </c>
      <c r="Q4484" t="s">
        <v>619</v>
      </c>
      <c r="R4484" t="s">
        <v>918</v>
      </c>
      <c r="S4484">
        <v>37</v>
      </c>
      <c r="T4484" s="29" t="str">
        <f>HYPERLINK("https://ictv.global/ictv/proposals/2021.010B.R.Binomial_names.zip","2021.010B.R.Binomial_names.zip")</f>
        <v>2021.010B.R.Binomial_names.zip</v>
      </c>
      <c r="U4484" s="29" t="str">
        <f>HYPERLINK("https://ictv.global/taxonomy/taxondetails?taxnode_id=202301182","ictv.global=202301182")</f>
        <v>ictv.global=202301182</v>
      </c>
    </row>
    <row r="4485" spans="1:21">
      <c r="A4485">
        <v>4484</v>
      </c>
      <c r="B4485" s="30" t="s">
        <v>1587</v>
      </c>
      <c r="D4485" s="30" t="s">
        <v>1588</v>
      </c>
      <c r="F4485" s="30" t="s">
        <v>1591</v>
      </c>
      <c r="H4485" s="30" t="s">
        <v>1592</v>
      </c>
      <c r="N4485" s="30" t="s">
        <v>1534</v>
      </c>
      <c r="P4485" s="30" t="s">
        <v>7956</v>
      </c>
      <c r="Q4485" t="s">
        <v>619</v>
      </c>
      <c r="R4485" t="s">
        <v>918</v>
      </c>
      <c r="S4485">
        <v>37</v>
      </c>
      <c r="T4485" s="29" t="str">
        <f>HYPERLINK("https://ictv.global/ictv/proposals/2021.010B.R.Binomial_names.zip","2021.010B.R.Binomial_names.zip")</f>
        <v>2021.010B.R.Binomial_names.zip</v>
      </c>
      <c r="U4485" s="29" t="str">
        <f>HYPERLINK("https://ictv.global/taxonomy/taxondetails?taxnode_id=202301183","ictv.global=202301183")</f>
        <v>ictv.global=202301183</v>
      </c>
    </row>
    <row r="4486" spans="1:21">
      <c r="A4486">
        <v>4485</v>
      </c>
      <c r="B4486" s="30" t="s">
        <v>1587</v>
      </c>
      <c r="D4486" s="30" t="s">
        <v>1588</v>
      </c>
      <c r="F4486" s="30" t="s">
        <v>1591</v>
      </c>
      <c r="H4486" s="30" t="s">
        <v>1592</v>
      </c>
      <c r="N4486" s="30" t="s">
        <v>1435</v>
      </c>
      <c r="P4486" s="30" t="s">
        <v>7957</v>
      </c>
      <c r="Q4486" t="s">
        <v>619</v>
      </c>
      <c r="R4486" t="s">
        <v>918</v>
      </c>
      <c r="S4486">
        <v>37</v>
      </c>
      <c r="T4486" s="29" t="str">
        <f>HYPERLINK("https://ictv.global/ictv/proposals/2021.010B.R.Binomial_names.zip","2021.010B.R.Binomial_names.zip")</f>
        <v>2021.010B.R.Binomial_names.zip</v>
      </c>
      <c r="U4486" s="29" t="str">
        <f>HYPERLINK("https://ictv.global/taxonomy/taxondetails?taxnode_id=202300695","ictv.global=202300695")</f>
        <v>ictv.global=202300695</v>
      </c>
    </row>
    <row r="4487" spans="1:21">
      <c r="A4487">
        <v>4486</v>
      </c>
      <c r="B4487" s="30" t="s">
        <v>1587</v>
      </c>
      <c r="D4487" s="30" t="s">
        <v>1588</v>
      </c>
      <c r="F4487" s="30" t="s">
        <v>1591</v>
      </c>
      <c r="H4487" s="30" t="s">
        <v>1592</v>
      </c>
      <c r="N4487" s="30" t="s">
        <v>1435</v>
      </c>
      <c r="P4487" s="30" t="s">
        <v>7958</v>
      </c>
      <c r="Q4487" t="s">
        <v>619</v>
      </c>
      <c r="R4487" t="s">
        <v>918</v>
      </c>
      <c r="S4487">
        <v>37</v>
      </c>
      <c r="T4487" s="29" t="str">
        <f>HYPERLINK("https://ictv.global/ictv/proposals/2021.010B.R.Binomial_names.zip","2021.010B.R.Binomial_names.zip")</f>
        <v>2021.010B.R.Binomial_names.zip</v>
      </c>
      <c r="U4487" s="29" t="str">
        <f>HYPERLINK("https://ictv.global/taxonomy/taxondetails?taxnode_id=202300696","ictv.global=202300696")</f>
        <v>ictv.global=202300696</v>
      </c>
    </row>
    <row r="4488" spans="1:21">
      <c r="A4488">
        <v>4487</v>
      </c>
      <c r="B4488" s="30" t="s">
        <v>1587</v>
      </c>
      <c r="D4488" s="30" t="s">
        <v>1588</v>
      </c>
      <c r="F4488" s="30" t="s">
        <v>1591</v>
      </c>
      <c r="H4488" s="30" t="s">
        <v>1592</v>
      </c>
      <c r="N4488" s="30" t="s">
        <v>7959</v>
      </c>
      <c r="P4488" s="30" t="s">
        <v>7960</v>
      </c>
      <c r="Q4488" t="s">
        <v>619</v>
      </c>
      <c r="R4488" t="s">
        <v>917</v>
      </c>
      <c r="S4488">
        <v>38</v>
      </c>
      <c r="T4488" s="29" t="str">
        <f>HYPERLINK("https://ictv.global/ictv/proposals/2022.080B.Caudoviricetes_6ng.zip","2022.080B.Caudoviricetes_6ng.zip")</f>
        <v>2022.080B.Caudoviricetes_6ng.zip</v>
      </c>
      <c r="U4488" s="29" t="str">
        <f>HYPERLINK("https://ictv.global/taxonomy/taxondetails?taxnode_id=202314866","ictv.global=202314866")</f>
        <v>ictv.global=202314866</v>
      </c>
    </row>
    <row r="4489" spans="1:21">
      <c r="A4489">
        <v>4488</v>
      </c>
      <c r="B4489" s="30" t="s">
        <v>1587</v>
      </c>
      <c r="D4489" s="30" t="s">
        <v>1588</v>
      </c>
      <c r="F4489" s="30" t="s">
        <v>1591</v>
      </c>
      <c r="H4489" s="30" t="s">
        <v>1592</v>
      </c>
      <c r="N4489" s="30" t="s">
        <v>7962</v>
      </c>
      <c r="P4489" s="30" t="s">
        <v>7963</v>
      </c>
      <c r="Q4489" t="s">
        <v>619</v>
      </c>
      <c r="R4489" t="s">
        <v>917</v>
      </c>
      <c r="S4489">
        <v>38</v>
      </c>
      <c r="T4489" s="29" t="str">
        <f>HYPERLINK("https://ictv.global/ictv/proposals/2022.066B.Caudoviricetes_6ng.zip","2022.066B.Caudoviricetes_6ng.zip")</f>
        <v>2022.066B.Caudoviricetes_6ng.zip</v>
      </c>
      <c r="U4489" s="29" t="str">
        <f>HYPERLINK("https://ictv.global/taxonomy/taxondetails?taxnode_id=202314783","ictv.global=202314783")</f>
        <v>ictv.global=202314783</v>
      </c>
    </row>
    <row r="4490" spans="1:21">
      <c r="A4490">
        <v>4489</v>
      </c>
      <c r="B4490" s="30" t="s">
        <v>1587</v>
      </c>
      <c r="D4490" s="30" t="s">
        <v>1588</v>
      </c>
      <c r="F4490" s="30" t="s">
        <v>1591</v>
      </c>
      <c r="H4490" s="30" t="s">
        <v>1592</v>
      </c>
      <c r="N4490" s="30" t="s">
        <v>1836</v>
      </c>
      <c r="P4490" s="30" t="s">
        <v>7964</v>
      </c>
      <c r="Q4490" t="s">
        <v>619</v>
      </c>
      <c r="R4490" t="s">
        <v>918</v>
      </c>
      <c r="S4490">
        <v>37</v>
      </c>
      <c r="T4490" s="29" t="str">
        <f>HYPERLINK("https://ictv.global/ictv/proposals/2021.010B.R.Binomial_names.zip","2021.010B.R.Binomial_names.zip")</f>
        <v>2021.010B.R.Binomial_names.zip</v>
      </c>
      <c r="U4490" s="29" t="str">
        <f>HYPERLINK("https://ictv.global/taxonomy/taxondetails?taxnode_id=202308188","ictv.global=202308188")</f>
        <v>ictv.global=202308188</v>
      </c>
    </row>
    <row r="4491" spans="1:21">
      <c r="A4491">
        <v>4490</v>
      </c>
      <c r="B4491" s="30" t="s">
        <v>1587</v>
      </c>
      <c r="D4491" s="30" t="s">
        <v>1588</v>
      </c>
      <c r="F4491" s="30" t="s">
        <v>1591</v>
      </c>
      <c r="H4491" s="30" t="s">
        <v>1592</v>
      </c>
      <c r="N4491" s="30" t="s">
        <v>7965</v>
      </c>
      <c r="P4491" s="30" t="s">
        <v>7966</v>
      </c>
      <c r="Q4491" t="s">
        <v>619</v>
      </c>
      <c r="R4491" t="s">
        <v>917</v>
      </c>
      <c r="S4491">
        <v>37</v>
      </c>
      <c r="T4491" s="29" t="str">
        <f>HYPERLINK("https://ictv.global/ictv/proposals/2021.064B.R.Pharaohvirus_Refugevirus.zip","2021.064B.R.Pharaohvirus_Refugevirus.zip")</f>
        <v>2021.064B.R.Pharaohvirus_Refugevirus.zip</v>
      </c>
      <c r="U4491" s="29" t="str">
        <f>HYPERLINK("https://ictv.global/taxonomy/taxondetails?taxnode_id=202312878","ictv.global=202312878")</f>
        <v>ictv.global=202312878</v>
      </c>
    </row>
    <row r="4492" spans="1:21">
      <c r="A4492">
        <v>4491</v>
      </c>
      <c r="B4492" s="30" t="s">
        <v>1587</v>
      </c>
      <c r="D4492" s="30" t="s">
        <v>1588</v>
      </c>
      <c r="F4492" s="30" t="s">
        <v>1591</v>
      </c>
      <c r="H4492" s="30" t="s">
        <v>1592</v>
      </c>
      <c r="N4492" s="30" t="s">
        <v>7965</v>
      </c>
      <c r="P4492" s="30" t="s">
        <v>7967</v>
      </c>
      <c r="Q4492" t="s">
        <v>619</v>
      </c>
      <c r="R4492" t="s">
        <v>917</v>
      </c>
      <c r="S4492">
        <v>37</v>
      </c>
      <c r="T4492" s="29" t="str">
        <f>HYPERLINK("https://ictv.global/ictv/proposals/2021.064B.R.Pharaohvirus_Refugevirus.zip","2021.064B.R.Pharaohvirus_Refugevirus.zip")</f>
        <v>2021.064B.R.Pharaohvirus_Refugevirus.zip</v>
      </c>
      <c r="U4492" s="29" t="str">
        <f>HYPERLINK("https://ictv.global/taxonomy/taxondetails?taxnode_id=202312879","ictv.global=202312879")</f>
        <v>ictv.global=202312879</v>
      </c>
    </row>
    <row r="4493" spans="1:21">
      <c r="A4493">
        <v>4492</v>
      </c>
      <c r="B4493" s="30" t="s">
        <v>1587</v>
      </c>
      <c r="D4493" s="30" t="s">
        <v>1588</v>
      </c>
      <c r="F4493" s="30" t="s">
        <v>1591</v>
      </c>
      <c r="H4493" s="30" t="s">
        <v>1592</v>
      </c>
      <c r="N4493" s="30" t="s">
        <v>696</v>
      </c>
      <c r="P4493" s="30" t="s">
        <v>7968</v>
      </c>
      <c r="Q4493" t="s">
        <v>619</v>
      </c>
      <c r="R4493" t="s">
        <v>918</v>
      </c>
      <c r="S4493">
        <v>37</v>
      </c>
      <c r="T4493" s="29" t="str">
        <f>HYPERLINK("https://ictv.global/ictv/proposals/2021.010B.R.Binomial_names.zip","2021.010B.R.Binomial_names.zip")</f>
        <v>2021.010B.R.Binomial_names.zip</v>
      </c>
      <c r="U4493" s="29" t="str">
        <f>HYPERLINK("https://ictv.global/taxonomy/taxondetails?taxnode_id=202301227","ictv.global=202301227")</f>
        <v>ictv.global=202301227</v>
      </c>
    </row>
    <row r="4494" spans="1:21">
      <c r="A4494">
        <v>4493</v>
      </c>
      <c r="B4494" s="30" t="s">
        <v>1587</v>
      </c>
      <c r="D4494" s="30" t="s">
        <v>1588</v>
      </c>
      <c r="F4494" s="30" t="s">
        <v>1591</v>
      </c>
      <c r="H4494" s="30" t="s">
        <v>1592</v>
      </c>
      <c r="N4494" s="30" t="s">
        <v>696</v>
      </c>
      <c r="P4494" s="30" t="s">
        <v>7969</v>
      </c>
      <c r="Q4494" t="s">
        <v>619</v>
      </c>
      <c r="R4494" t="s">
        <v>918</v>
      </c>
      <c r="S4494">
        <v>37</v>
      </c>
      <c r="T4494" s="29" t="str">
        <f>HYPERLINK("https://ictv.global/ictv/proposals/2021.010B.R.Binomial_names.zip","2021.010B.R.Binomial_names.zip")</f>
        <v>2021.010B.R.Binomial_names.zip</v>
      </c>
      <c r="U4494" s="29" t="str">
        <f>HYPERLINK("https://ictv.global/taxonomy/taxondetails?taxnode_id=202301228","ictv.global=202301228")</f>
        <v>ictv.global=202301228</v>
      </c>
    </row>
    <row r="4495" spans="1:21">
      <c r="A4495">
        <v>4494</v>
      </c>
      <c r="B4495" s="30" t="s">
        <v>1587</v>
      </c>
      <c r="D4495" s="30" t="s">
        <v>1588</v>
      </c>
      <c r="F4495" s="30" t="s">
        <v>1591</v>
      </c>
      <c r="H4495" s="30" t="s">
        <v>1592</v>
      </c>
      <c r="N4495" s="30" t="s">
        <v>696</v>
      </c>
      <c r="P4495" s="30" t="s">
        <v>7970</v>
      </c>
      <c r="Q4495" t="s">
        <v>619</v>
      </c>
      <c r="R4495" t="s">
        <v>918</v>
      </c>
      <c r="S4495">
        <v>37</v>
      </c>
      <c r="T4495" s="29" t="str">
        <f>HYPERLINK("https://ictv.global/ictv/proposals/2021.010B.R.Binomial_names.zip","2021.010B.R.Binomial_names.zip")</f>
        <v>2021.010B.R.Binomial_names.zip</v>
      </c>
      <c r="U4495" s="29" t="str">
        <f>HYPERLINK("https://ictv.global/taxonomy/taxondetails?taxnode_id=202301229","ictv.global=202301229")</f>
        <v>ictv.global=202301229</v>
      </c>
    </row>
    <row r="4496" spans="1:21">
      <c r="A4496">
        <v>4495</v>
      </c>
      <c r="B4496" s="30" t="s">
        <v>1587</v>
      </c>
      <c r="D4496" s="30" t="s">
        <v>1588</v>
      </c>
      <c r="F4496" s="30" t="s">
        <v>1591</v>
      </c>
      <c r="H4496" s="30" t="s">
        <v>1592</v>
      </c>
      <c r="N4496" s="30" t="s">
        <v>7974</v>
      </c>
      <c r="P4496" s="30" t="s">
        <v>7975</v>
      </c>
      <c r="Q4496" t="s">
        <v>619</v>
      </c>
      <c r="R4496" t="s">
        <v>917</v>
      </c>
      <c r="S4496">
        <v>37</v>
      </c>
      <c r="T4496" s="29" t="str">
        <f>HYPERLINK("https://ictv.global/ictv/proposals/2021.065B.R.Phleivirus.zip","2021.065B.R.Phleivirus.zip")</f>
        <v>2021.065B.R.Phleivirus.zip</v>
      </c>
      <c r="U4496" s="29" t="str">
        <f>HYPERLINK("https://ictv.global/taxonomy/taxondetails?taxnode_id=202312884","ictv.global=202312884")</f>
        <v>ictv.global=202312884</v>
      </c>
    </row>
    <row r="4497" spans="1:21">
      <c r="A4497">
        <v>4496</v>
      </c>
      <c r="B4497" s="30" t="s">
        <v>1587</v>
      </c>
      <c r="D4497" s="30" t="s">
        <v>1588</v>
      </c>
      <c r="F4497" s="30" t="s">
        <v>1591</v>
      </c>
      <c r="H4497" s="30" t="s">
        <v>1592</v>
      </c>
      <c r="N4497" s="30" t="s">
        <v>7976</v>
      </c>
      <c r="P4497" s="30" t="s">
        <v>7977</v>
      </c>
      <c r="Q4497" t="s">
        <v>619</v>
      </c>
      <c r="R4497" t="s">
        <v>917</v>
      </c>
      <c r="S4497">
        <v>37</v>
      </c>
      <c r="T4497" s="29" t="str">
        <f>HYPERLINK("https://ictv.global/ictv/proposals/2021.066B.R.Phrappuccinovirus.zip","2021.066B.R.Phrappuccinovirus.zip")</f>
        <v>2021.066B.R.Phrappuccinovirus.zip</v>
      </c>
      <c r="U4497" s="29" t="str">
        <f>HYPERLINK("https://ictv.global/taxonomy/taxondetails?taxnode_id=202312886","ictv.global=202312886")</f>
        <v>ictv.global=202312886</v>
      </c>
    </row>
    <row r="4498" spans="1:21">
      <c r="A4498">
        <v>4497</v>
      </c>
      <c r="B4498" s="30" t="s">
        <v>1587</v>
      </c>
      <c r="D4498" s="30" t="s">
        <v>1588</v>
      </c>
      <c r="F4498" s="30" t="s">
        <v>1591</v>
      </c>
      <c r="H4498" s="30" t="s">
        <v>1592</v>
      </c>
      <c r="N4498" s="30" t="s">
        <v>1929</v>
      </c>
      <c r="P4498" s="30" t="s">
        <v>7978</v>
      </c>
      <c r="Q4498" t="s">
        <v>619</v>
      </c>
      <c r="R4498" t="s">
        <v>918</v>
      </c>
      <c r="S4498">
        <v>37</v>
      </c>
      <c r="T4498" s="29" t="str">
        <f>HYPERLINK("https://ictv.global/ictv/proposals/2021.010B.R.Binomial_names.zip","2021.010B.R.Binomial_names.zip")</f>
        <v>2021.010B.R.Binomial_names.zip</v>
      </c>
      <c r="U4498" s="29" t="str">
        <f>HYPERLINK("https://ictv.global/taxonomy/taxondetails?taxnode_id=202307512","ictv.global=202307512")</f>
        <v>ictv.global=202307512</v>
      </c>
    </row>
    <row r="4499" spans="1:21">
      <c r="A4499">
        <v>4498</v>
      </c>
      <c r="B4499" s="30" t="s">
        <v>1587</v>
      </c>
      <c r="D4499" s="30" t="s">
        <v>1588</v>
      </c>
      <c r="F4499" s="30" t="s">
        <v>1591</v>
      </c>
      <c r="H4499" s="30" t="s">
        <v>1592</v>
      </c>
      <c r="N4499" s="30" t="s">
        <v>1535</v>
      </c>
      <c r="P4499" s="30" t="s">
        <v>7979</v>
      </c>
      <c r="Q4499" t="s">
        <v>619</v>
      </c>
      <c r="R4499" t="s">
        <v>918</v>
      </c>
      <c r="S4499">
        <v>37</v>
      </c>
      <c r="T4499" s="29" t="str">
        <f>HYPERLINK("https://ictv.global/ictv/proposals/2021.010B.R.Binomial_names.zip","2021.010B.R.Binomial_names.zip")</f>
        <v>2021.010B.R.Binomial_names.zip</v>
      </c>
      <c r="U4499" s="29" t="str">
        <f>HYPERLINK("https://ictv.global/taxonomy/taxondetails?taxnode_id=202306749","ictv.global=202306749")</f>
        <v>ictv.global=202306749</v>
      </c>
    </row>
    <row r="4500" spans="1:21">
      <c r="A4500">
        <v>4499</v>
      </c>
      <c r="B4500" s="30" t="s">
        <v>1587</v>
      </c>
      <c r="D4500" s="30" t="s">
        <v>1588</v>
      </c>
      <c r="F4500" s="30" t="s">
        <v>1591</v>
      </c>
      <c r="H4500" s="30" t="s">
        <v>1592</v>
      </c>
      <c r="N4500" s="30" t="s">
        <v>7980</v>
      </c>
      <c r="P4500" s="30" t="s">
        <v>7981</v>
      </c>
      <c r="Q4500" t="s">
        <v>619</v>
      </c>
      <c r="R4500" t="s">
        <v>917</v>
      </c>
      <c r="S4500">
        <v>38</v>
      </c>
      <c r="T4500" s="29" t="str">
        <f t="shared" ref="T4500:T4506" si="204">HYPERLINK("https://ictv.global/ictv/proposals/2022.063B.Piorkowskivirus_ng.zip","2022.063B.Piorkowskivirus_ng.zip")</f>
        <v>2022.063B.Piorkowskivirus_ng.zip</v>
      </c>
      <c r="U4500" s="29" t="str">
        <f>HYPERLINK("https://ictv.global/taxonomy/taxondetails?taxnode_id=202314751","ictv.global=202314751")</f>
        <v>ictv.global=202314751</v>
      </c>
    </row>
    <row r="4501" spans="1:21">
      <c r="A4501">
        <v>4500</v>
      </c>
      <c r="B4501" s="30" t="s">
        <v>1587</v>
      </c>
      <c r="D4501" s="30" t="s">
        <v>1588</v>
      </c>
      <c r="F4501" s="30" t="s">
        <v>1591</v>
      </c>
      <c r="H4501" s="30" t="s">
        <v>1592</v>
      </c>
      <c r="N4501" s="30" t="s">
        <v>7980</v>
      </c>
      <c r="P4501" s="30" t="s">
        <v>7982</v>
      </c>
      <c r="Q4501" t="s">
        <v>619</v>
      </c>
      <c r="R4501" t="s">
        <v>917</v>
      </c>
      <c r="S4501">
        <v>38</v>
      </c>
      <c r="T4501" s="29" t="str">
        <f t="shared" si="204"/>
        <v>2022.063B.Piorkowskivirus_ng.zip</v>
      </c>
      <c r="U4501" s="29" t="str">
        <f>HYPERLINK("https://ictv.global/taxonomy/taxondetails?taxnode_id=202314750","ictv.global=202314750")</f>
        <v>ictv.global=202314750</v>
      </c>
    </row>
    <row r="4502" spans="1:21">
      <c r="A4502">
        <v>4501</v>
      </c>
      <c r="B4502" s="30" t="s">
        <v>1587</v>
      </c>
      <c r="D4502" s="30" t="s">
        <v>1588</v>
      </c>
      <c r="F4502" s="30" t="s">
        <v>1591</v>
      </c>
      <c r="H4502" s="30" t="s">
        <v>1592</v>
      </c>
      <c r="N4502" s="30" t="s">
        <v>7980</v>
      </c>
      <c r="P4502" s="30" t="s">
        <v>7983</v>
      </c>
      <c r="Q4502" t="s">
        <v>619</v>
      </c>
      <c r="R4502" t="s">
        <v>917</v>
      </c>
      <c r="S4502">
        <v>38</v>
      </c>
      <c r="T4502" s="29" t="str">
        <f t="shared" si="204"/>
        <v>2022.063B.Piorkowskivirus_ng.zip</v>
      </c>
      <c r="U4502" s="29" t="str">
        <f>HYPERLINK("https://ictv.global/taxonomy/taxondetails?taxnode_id=202314746","ictv.global=202314746")</f>
        <v>ictv.global=202314746</v>
      </c>
    </row>
    <row r="4503" spans="1:21">
      <c r="A4503">
        <v>4502</v>
      </c>
      <c r="B4503" s="30" t="s">
        <v>1587</v>
      </c>
      <c r="D4503" s="30" t="s">
        <v>1588</v>
      </c>
      <c r="F4503" s="30" t="s">
        <v>1591</v>
      </c>
      <c r="H4503" s="30" t="s">
        <v>1592</v>
      </c>
      <c r="N4503" s="30" t="s">
        <v>7980</v>
      </c>
      <c r="P4503" s="30" t="s">
        <v>7984</v>
      </c>
      <c r="Q4503" t="s">
        <v>619</v>
      </c>
      <c r="R4503" t="s">
        <v>917</v>
      </c>
      <c r="S4503">
        <v>38</v>
      </c>
      <c r="T4503" s="29" t="str">
        <f t="shared" si="204"/>
        <v>2022.063B.Piorkowskivirus_ng.zip</v>
      </c>
      <c r="U4503" s="29" t="str">
        <f>HYPERLINK("https://ictv.global/taxonomy/taxondetails?taxnode_id=202314747","ictv.global=202314747")</f>
        <v>ictv.global=202314747</v>
      </c>
    </row>
    <row r="4504" spans="1:21">
      <c r="A4504">
        <v>4503</v>
      </c>
      <c r="B4504" s="30" t="s">
        <v>1587</v>
      </c>
      <c r="D4504" s="30" t="s">
        <v>1588</v>
      </c>
      <c r="F4504" s="30" t="s">
        <v>1591</v>
      </c>
      <c r="H4504" s="30" t="s">
        <v>1592</v>
      </c>
      <c r="N4504" s="30" t="s">
        <v>7980</v>
      </c>
      <c r="P4504" s="30" t="s">
        <v>7985</v>
      </c>
      <c r="Q4504" t="s">
        <v>619</v>
      </c>
      <c r="R4504" t="s">
        <v>917</v>
      </c>
      <c r="S4504">
        <v>38</v>
      </c>
      <c r="T4504" s="29" t="str">
        <f t="shared" si="204"/>
        <v>2022.063B.Piorkowskivirus_ng.zip</v>
      </c>
      <c r="U4504" s="29" t="str">
        <f>HYPERLINK("https://ictv.global/taxonomy/taxondetails?taxnode_id=202314752","ictv.global=202314752")</f>
        <v>ictv.global=202314752</v>
      </c>
    </row>
    <row r="4505" spans="1:21">
      <c r="A4505">
        <v>4504</v>
      </c>
      <c r="B4505" s="30" t="s">
        <v>1587</v>
      </c>
      <c r="D4505" s="30" t="s">
        <v>1588</v>
      </c>
      <c r="F4505" s="30" t="s">
        <v>1591</v>
      </c>
      <c r="H4505" s="30" t="s">
        <v>1592</v>
      </c>
      <c r="N4505" s="30" t="s">
        <v>7980</v>
      </c>
      <c r="P4505" s="30" t="s">
        <v>7986</v>
      </c>
      <c r="Q4505" t="s">
        <v>619</v>
      </c>
      <c r="R4505" t="s">
        <v>917</v>
      </c>
      <c r="S4505">
        <v>38</v>
      </c>
      <c r="T4505" s="29" t="str">
        <f t="shared" si="204"/>
        <v>2022.063B.Piorkowskivirus_ng.zip</v>
      </c>
      <c r="U4505" s="29" t="str">
        <f>HYPERLINK("https://ictv.global/taxonomy/taxondetails?taxnode_id=202314749","ictv.global=202314749")</f>
        <v>ictv.global=202314749</v>
      </c>
    </row>
    <row r="4506" spans="1:21">
      <c r="A4506">
        <v>4505</v>
      </c>
      <c r="B4506" s="30" t="s">
        <v>1587</v>
      </c>
      <c r="D4506" s="30" t="s">
        <v>1588</v>
      </c>
      <c r="F4506" s="30" t="s">
        <v>1591</v>
      </c>
      <c r="H4506" s="30" t="s">
        <v>1592</v>
      </c>
      <c r="N4506" s="30" t="s">
        <v>7980</v>
      </c>
      <c r="P4506" s="30" t="s">
        <v>7987</v>
      </c>
      <c r="Q4506" t="s">
        <v>619</v>
      </c>
      <c r="R4506" t="s">
        <v>917</v>
      </c>
      <c r="S4506">
        <v>38</v>
      </c>
      <c r="T4506" s="29" t="str">
        <f t="shared" si="204"/>
        <v>2022.063B.Piorkowskivirus_ng.zip</v>
      </c>
      <c r="U4506" s="29" t="str">
        <f>HYPERLINK("https://ictv.global/taxonomy/taxondetails?taxnode_id=202314748","ictv.global=202314748")</f>
        <v>ictv.global=202314748</v>
      </c>
    </row>
    <row r="4507" spans="1:21">
      <c r="A4507">
        <v>4506</v>
      </c>
      <c r="B4507" s="30" t="s">
        <v>1587</v>
      </c>
      <c r="D4507" s="30" t="s">
        <v>1588</v>
      </c>
      <c r="F4507" s="30" t="s">
        <v>1591</v>
      </c>
      <c r="H4507" s="30" t="s">
        <v>1592</v>
      </c>
      <c r="N4507" s="30" t="s">
        <v>1380</v>
      </c>
      <c r="P4507" s="30" t="s">
        <v>7988</v>
      </c>
      <c r="Q4507" t="s">
        <v>619</v>
      </c>
      <c r="R4507" t="s">
        <v>918</v>
      </c>
      <c r="S4507">
        <v>37</v>
      </c>
      <c r="T4507" s="29" t="str">
        <f t="shared" ref="T4507:T4515" si="205">HYPERLINK("https://ictv.global/ictv/proposals/2021.010B.R.Binomial_names.zip","2021.010B.R.Binomial_names.zip")</f>
        <v>2021.010B.R.Binomial_names.zip</v>
      </c>
      <c r="U4507" s="29" t="str">
        <f>HYPERLINK("https://ictv.global/taxonomy/taxondetails?taxnode_id=202306859","ictv.global=202306859")</f>
        <v>ictv.global=202306859</v>
      </c>
    </row>
    <row r="4508" spans="1:21">
      <c r="A4508">
        <v>4507</v>
      </c>
      <c r="B4508" s="30" t="s">
        <v>1587</v>
      </c>
      <c r="D4508" s="30" t="s">
        <v>1588</v>
      </c>
      <c r="F4508" s="30" t="s">
        <v>1591</v>
      </c>
      <c r="H4508" s="30" t="s">
        <v>1592</v>
      </c>
      <c r="N4508" s="30" t="s">
        <v>2285</v>
      </c>
      <c r="P4508" s="30" t="s">
        <v>7989</v>
      </c>
      <c r="Q4508" t="s">
        <v>619</v>
      </c>
      <c r="R4508" t="s">
        <v>918</v>
      </c>
      <c r="S4508">
        <v>37</v>
      </c>
      <c r="T4508" s="29" t="str">
        <f t="shared" si="205"/>
        <v>2021.010B.R.Binomial_names.zip</v>
      </c>
      <c r="U4508" s="29" t="str">
        <f>HYPERLINK("https://ictv.global/taxonomy/taxondetails?taxnode_id=202311619","ictv.global=202311619")</f>
        <v>ictv.global=202311619</v>
      </c>
    </row>
    <row r="4509" spans="1:21">
      <c r="A4509">
        <v>4508</v>
      </c>
      <c r="B4509" s="30" t="s">
        <v>1587</v>
      </c>
      <c r="D4509" s="30" t="s">
        <v>1588</v>
      </c>
      <c r="F4509" s="30" t="s">
        <v>1591</v>
      </c>
      <c r="H4509" s="30" t="s">
        <v>1592</v>
      </c>
      <c r="N4509" s="30" t="s">
        <v>2285</v>
      </c>
      <c r="P4509" s="30" t="s">
        <v>7990</v>
      </c>
      <c r="Q4509" t="s">
        <v>619</v>
      </c>
      <c r="R4509" t="s">
        <v>918</v>
      </c>
      <c r="S4509">
        <v>37</v>
      </c>
      <c r="T4509" s="29" t="str">
        <f t="shared" si="205"/>
        <v>2021.010B.R.Binomial_names.zip</v>
      </c>
      <c r="U4509" s="29" t="str">
        <f>HYPERLINK("https://ictv.global/taxonomy/taxondetails?taxnode_id=202311621","ictv.global=202311621")</f>
        <v>ictv.global=202311621</v>
      </c>
    </row>
    <row r="4510" spans="1:21">
      <c r="A4510">
        <v>4509</v>
      </c>
      <c r="B4510" s="30" t="s">
        <v>1587</v>
      </c>
      <c r="D4510" s="30" t="s">
        <v>1588</v>
      </c>
      <c r="F4510" s="30" t="s">
        <v>1591</v>
      </c>
      <c r="H4510" s="30" t="s">
        <v>1592</v>
      </c>
      <c r="N4510" s="30" t="s">
        <v>2285</v>
      </c>
      <c r="P4510" s="30" t="s">
        <v>7991</v>
      </c>
      <c r="Q4510" t="s">
        <v>619</v>
      </c>
      <c r="R4510" t="s">
        <v>918</v>
      </c>
      <c r="S4510">
        <v>37</v>
      </c>
      <c r="T4510" s="29" t="str">
        <f t="shared" si="205"/>
        <v>2021.010B.R.Binomial_names.zip</v>
      </c>
      <c r="U4510" s="29" t="str">
        <f>HYPERLINK("https://ictv.global/taxonomy/taxondetails?taxnode_id=202311620","ictv.global=202311620")</f>
        <v>ictv.global=202311620</v>
      </c>
    </row>
    <row r="4511" spans="1:21">
      <c r="A4511">
        <v>4510</v>
      </c>
      <c r="B4511" s="30" t="s">
        <v>1587</v>
      </c>
      <c r="D4511" s="30" t="s">
        <v>1588</v>
      </c>
      <c r="F4511" s="30" t="s">
        <v>1591</v>
      </c>
      <c r="H4511" s="30" t="s">
        <v>1592</v>
      </c>
      <c r="N4511" s="30" t="s">
        <v>2285</v>
      </c>
      <c r="P4511" s="30" t="s">
        <v>7992</v>
      </c>
      <c r="Q4511" t="s">
        <v>619</v>
      </c>
      <c r="R4511" t="s">
        <v>918</v>
      </c>
      <c r="S4511">
        <v>37</v>
      </c>
      <c r="T4511" s="29" t="str">
        <f t="shared" si="205"/>
        <v>2021.010B.R.Binomial_names.zip</v>
      </c>
      <c r="U4511" s="29" t="str">
        <f>HYPERLINK("https://ictv.global/taxonomy/taxondetails?taxnode_id=202311622","ictv.global=202311622")</f>
        <v>ictv.global=202311622</v>
      </c>
    </row>
    <row r="4512" spans="1:21">
      <c r="A4512">
        <v>4511</v>
      </c>
      <c r="B4512" s="30" t="s">
        <v>1587</v>
      </c>
      <c r="D4512" s="30" t="s">
        <v>1588</v>
      </c>
      <c r="F4512" s="30" t="s">
        <v>1591</v>
      </c>
      <c r="H4512" s="30" t="s">
        <v>1592</v>
      </c>
      <c r="N4512" s="30" t="s">
        <v>2470</v>
      </c>
      <c r="P4512" s="30" t="s">
        <v>7993</v>
      </c>
      <c r="Q4512" t="s">
        <v>619</v>
      </c>
      <c r="R4512" t="s">
        <v>918</v>
      </c>
      <c r="S4512">
        <v>37</v>
      </c>
      <c r="T4512" s="29" t="str">
        <f t="shared" si="205"/>
        <v>2021.010B.R.Binomial_names.zip</v>
      </c>
      <c r="U4512" s="29" t="str">
        <f>HYPERLINK("https://ictv.global/taxonomy/taxondetails?taxnode_id=202310187","ictv.global=202310187")</f>
        <v>ictv.global=202310187</v>
      </c>
    </row>
    <row r="4513" spans="1:21">
      <c r="A4513">
        <v>4512</v>
      </c>
      <c r="B4513" s="30" t="s">
        <v>1587</v>
      </c>
      <c r="D4513" s="30" t="s">
        <v>1588</v>
      </c>
      <c r="F4513" s="30" t="s">
        <v>1591</v>
      </c>
      <c r="H4513" s="30" t="s">
        <v>1592</v>
      </c>
      <c r="N4513" s="30" t="s">
        <v>2471</v>
      </c>
      <c r="P4513" s="30" t="s">
        <v>7994</v>
      </c>
      <c r="Q4513" t="s">
        <v>619</v>
      </c>
      <c r="R4513" t="s">
        <v>918</v>
      </c>
      <c r="S4513">
        <v>37</v>
      </c>
      <c r="T4513" s="29" t="str">
        <f t="shared" si="205"/>
        <v>2021.010B.R.Binomial_names.zip</v>
      </c>
      <c r="U4513" s="29" t="str">
        <f>HYPERLINK("https://ictv.global/taxonomy/taxondetails?taxnode_id=202310185","ictv.global=202310185")</f>
        <v>ictv.global=202310185</v>
      </c>
    </row>
    <row r="4514" spans="1:21">
      <c r="A4514">
        <v>4513</v>
      </c>
      <c r="B4514" s="30" t="s">
        <v>1587</v>
      </c>
      <c r="D4514" s="30" t="s">
        <v>1588</v>
      </c>
      <c r="F4514" s="30" t="s">
        <v>1591</v>
      </c>
      <c r="H4514" s="30" t="s">
        <v>1592</v>
      </c>
      <c r="N4514" s="30" t="s">
        <v>2471</v>
      </c>
      <c r="P4514" s="30" t="s">
        <v>7995</v>
      </c>
      <c r="Q4514" t="s">
        <v>619</v>
      </c>
      <c r="R4514" t="s">
        <v>918</v>
      </c>
      <c r="S4514">
        <v>37</v>
      </c>
      <c r="T4514" s="29" t="str">
        <f t="shared" si="205"/>
        <v>2021.010B.R.Binomial_names.zip</v>
      </c>
      <c r="U4514" s="29" t="str">
        <f>HYPERLINK("https://ictv.global/taxonomy/taxondetails?taxnode_id=202310184","ictv.global=202310184")</f>
        <v>ictv.global=202310184</v>
      </c>
    </row>
    <row r="4515" spans="1:21">
      <c r="A4515">
        <v>4514</v>
      </c>
      <c r="B4515" s="30" t="s">
        <v>1587</v>
      </c>
      <c r="D4515" s="30" t="s">
        <v>1588</v>
      </c>
      <c r="F4515" s="30" t="s">
        <v>1591</v>
      </c>
      <c r="H4515" s="30" t="s">
        <v>1592</v>
      </c>
      <c r="N4515" s="30" t="s">
        <v>1381</v>
      </c>
      <c r="P4515" s="30" t="s">
        <v>7996</v>
      </c>
      <c r="Q4515" t="s">
        <v>619</v>
      </c>
      <c r="R4515" t="s">
        <v>918</v>
      </c>
      <c r="S4515">
        <v>37</v>
      </c>
      <c r="T4515" s="29" t="str">
        <f t="shared" si="205"/>
        <v>2021.010B.R.Binomial_names.zip</v>
      </c>
      <c r="U4515" s="29" t="str">
        <f>HYPERLINK("https://ictv.global/taxonomy/taxondetails?taxnode_id=202306720","ictv.global=202306720")</f>
        <v>ictv.global=202306720</v>
      </c>
    </row>
    <row r="4516" spans="1:21">
      <c r="A4516">
        <v>4515</v>
      </c>
      <c r="B4516" s="30" t="s">
        <v>1587</v>
      </c>
      <c r="D4516" s="30" t="s">
        <v>1588</v>
      </c>
      <c r="F4516" s="30" t="s">
        <v>1591</v>
      </c>
      <c r="H4516" s="30" t="s">
        <v>1592</v>
      </c>
      <c r="N4516" s="30" t="s">
        <v>7997</v>
      </c>
      <c r="P4516" s="30" t="s">
        <v>7998</v>
      </c>
      <c r="Q4516" t="s">
        <v>619</v>
      </c>
      <c r="R4516" t="s">
        <v>917</v>
      </c>
      <c r="S4516">
        <v>38</v>
      </c>
      <c r="T4516" s="29" t="str">
        <f t="shared" ref="T4516:T4522" si="206">HYPERLINK("https://ictv.global/ictv/proposals/2022.064B.Ponsvirus_ng.zip","2022.064B.Ponsvirus_ng.zip")</f>
        <v>2022.064B.Ponsvirus_ng.zip</v>
      </c>
      <c r="U4516" s="29" t="str">
        <f>HYPERLINK("https://ictv.global/taxonomy/taxondetails?taxnode_id=202314759","ictv.global=202314759")</f>
        <v>ictv.global=202314759</v>
      </c>
    </row>
    <row r="4517" spans="1:21">
      <c r="A4517">
        <v>4516</v>
      </c>
      <c r="B4517" s="30" t="s">
        <v>1587</v>
      </c>
      <c r="D4517" s="30" t="s">
        <v>1588</v>
      </c>
      <c r="F4517" s="30" t="s">
        <v>1591</v>
      </c>
      <c r="H4517" s="30" t="s">
        <v>1592</v>
      </c>
      <c r="N4517" s="30" t="s">
        <v>7997</v>
      </c>
      <c r="P4517" s="30" t="s">
        <v>7999</v>
      </c>
      <c r="Q4517" t="s">
        <v>619</v>
      </c>
      <c r="R4517" t="s">
        <v>917</v>
      </c>
      <c r="S4517">
        <v>38</v>
      </c>
      <c r="T4517" s="29" t="str">
        <f t="shared" si="206"/>
        <v>2022.064B.Ponsvirus_ng.zip</v>
      </c>
      <c r="U4517" s="29" t="str">
        <f>HYPERLINK("https://ictv.global/taxonomy/taxondetails?taxnode_id=202314756","ictv.global=202314756")</f>
        <v>ictv.global=202314756</v>
      </c>
    </row>
    <row r="4518" spans="1:21">
      <c r="A4518">
        <v>4517</v>
      </c>
      <c r="B4518" s="30" t="s">
        <v>1587</v>
      </c>
      <c r="D4518" s="30" t="s">
        <v>1588</v>
      </c>
      <c r="F4518" s="30" t="s">
        <v>1591</v>
      </c>
      <c r="H4518" s="30" t="s">
        <v>1592</v>
      </c>
      <c r="N4518" s="30" t="s">
        <v>7997</v>
      </c>
      <c r="P4518" s="30" t="s">
        <v>8000</v>
      </c>
      <c r="Q4518" t="s">
        <v>619</v>
      </c>
      <c r="R4518" t="s">
        <v>917</v>
      </c>
      <c r="S4518">
        <v>38</v>
      </c>
      <c r="T4518" s="29" t="str">
        <f t="shared" si="206"/>
        <v>2022.064B.Ponsvirus_ng.zip</v>
      </c>
      <c r="U4518" s="29" t="str">
        <f>HYPERLINK("https://ictv.global/taxonomy/taxondetails?taxnode_id=202314757","ictv.global=202314757")</f>
        <v>ictv.global=202314757</v>
      </c>
    </row>
    <row r="4519" spans="1:21">
      <c r="A4519">
        <v>4518</v>
      </c>
      <c r="B4519" s="30" t="s">
        <v>1587</v>
      </c>
      <c r="D4519" s="30" t="s">
        <v>1588</v>
      </c>
      <c r="F4519" s="30" t="s">
        <v>1591</v>
      </c>
      <c r="H4519" s="30" t="s">
        <v>1592</v>
      </c>
      <c r="N4519" s="30" t="s">
        <v>7997</v>
      </c>
      <c r="P4519" s="30" t="s">
        <v>8001</v>
      </c>
      <c r="Q4519" t="s">
        <v>619</v>
      </c>
      <c r="R4519" t="s">
        <v>917</v>
      </c>
      <c r="S4519">
        <v>38</v>
      </c>
      <c r="T4519" s="29" t="str">
        <f t="shared" si="206"/>
        <v>2022.064B.Ponsvirus_ng.zip</v>
      </c>
      <c r="U4519" s="29" t="str">
        <f>HYPERLINK("https://ictv.global/taxonomy/taxondetails?taxnode_id=202314755","ictv.global=202314755")</f>
        <v>ictv.global=202314755</v>
      </c>
    </row>
    <row r="4520" spans="1:21">
      <c r="A4520">
        <v>4519</v>
      </c>
      <c r="B4520" s="30" t="s">
        <v>1587</v>
      </c>
      <c r="D4520" s="30" t="s">
        <v>1588</v>
      </c>
      <c r="F4520" s="30" t="s">
        <v>1591</v>
      </c>
      <c r="H4520" s="30" t="s">
        <v>1592</v>
      </c>
      <c r="N4520" s="30" t="s">
        <v>7997</v>
      </c>
      <c r="P4520" s="30" t="s">
        <v>8002</v>
      </c>
      <c r="Q4520" t="s">
        <v>619</v>
      </c>
      <c r="R4520" t="s">
        <v>917</v>
      </c>
      <c r="S4520">
        <v>38</v>
      </c>
      <c r="T4520" s="29" t="str">
        <f t="shared" si="206"/>
        <v>2022.064B.Ponsvirus_ng.zip</v>
      </c>
      <c r="U4520" s="29" t="str">
        <f>HYPERLINK("https://ictv.global/taxonomy/taxondetails?taxnode_id=202314754","ictv.global=202314754")</f>
        <v>ictv.global=202314754</v>
      </c>
    </row>
    <row r="4521" spans="1:21">
      <c r="A4521">
        <v>4520</v>
      </c>
      <c r="B4521" s="30" t="s">
        <v>1587</v>
      </c>
      <c r="D4521" s="30" t="s">
        <v>1588</v>
      </c>
      <c r="F4521" s="30" t="s">
        <v>1591</v>
      </c>
      <c r="H4521" s="30" t="s">
        <v>1592</v>
      </c>
      <c r="N4521" s="30" t="s">
        <v>7997</v>
      </c>
      <c r="P4521" s="30" t="s">
        <v>8003</v>
      </c>
      <c r="Q4521" t="s">
        <v>619</v>
      </c>
      <c r="R4521" t="s">
        <v>917</v>
      </c>
      <c r="S4521">
        <v>38</v>
      </c>
      <c r="T4521" s="29" t="str">
        <f t="shared" si="206"/>
        <v>2022.064B.Ponsvirus_ng.zip</v>
      </c>
      <c r="U4521" s="29" t="str">
        <f>HYPERLINK("https://ictv.global/taxonomy/taxondetails?taxnode_id=202314758","ictv.global=202314758")</f>
        <v>ictv.global=202314758</v>
      </c>
    </row>
    <row r="4522" spans="1:21">
      <c r="A4522">
        <v>4521</v>
      </c>
      <c r="B4522" s="30" t="s">
        <v>1587</v>
      </c>
      <c r="D4522" s="30" t="s">
        <v>1588</v>
      </c>
      <c r="F4522" s="30" t="s">
        <v>1591</v>
      </c>
      <c r="H4522" s="30" t="s">
        <v>1592</v>
      </c>
      <c r="N4522" s="30" t="s">
        <v>7997</v>
      </c>
      <c r="P4522" s="30" t="s">
        <v>8004</v>
      </c>
      <c r="Q4522" t="s">
        <v>619</v>
      </c>
      <c r="R4522" t="s">
        <v>917</v>
      </c>
      <c r="S4522">
        <v>38</v>
      </c>
      <c r="T4522" s="29" t="str">
        <f t="shared" si="206"/>
        <v>2022.064B.Ponsvirus_ng.zip</v>
      </c>
      <c r="U4522" s="29" t="str">
        <f>HYPERLINK("https://ictv.global/taxonomy/taxondetails?taxnode_id=202314760","ictv.global=202314760")</f>
        <v>ictv.global=202314760</v>
      </c>
    </row>
    <row r="4523" spans="1:21">
      <c r="A4523">
        <v>4522</v>
      </c>
      <c r="B4523" s="30" t="s">
        <v>1587</v>
      </c>
      <c r="D4523" s="30" t="s">
        <v>1588</v>
      </c>
      <c r="F4523" s="30" t="s">
        <v>1591</v>
      </c>
      <c r="H4523" s="30" t="s">
        <v>1592</v>
      </c>
      <c r="N4523" s="30" t="s">
        <v>1382</v>
      </c>
      <c r="P4523" s="30" t="s">
        <v>8005</v>
      </c>
      <c r="Q4523" t="s">
        <v>619</v>
      </c>
      <c r="R4523" t="s">
        <v>918</v>
      </c>
      <c r="S4523">
        <v>37</v>
      </c>
      <c r="T4523" s="29" t="str">
        <f>HYPERLINK("https://ictv.global/ictv/proposals/2021.010B.R.Binomial_names.zip","2021.010B.R.Binomial_names.zip")</f>
        <v>2021.010B.R.Binomial_names.zip</v>
      </c>
      <c r="U4523" s="29" t="str">
        <f>HYPERLINK("https://ictv.global/taxonomy/taxondetails?taxnode_id=202306778","ictv.global=202306778")</f>
        <v>ictv.global=202306778</v>
      </c>
    </row>
    <row r="4524" spans="1:21">
      <c r="A4524">
        <v>4523</v>
      </c>
      <c r="B4524" s="30" t="s">
        <v>1587</v>
      </c>
      <c r="D4524" s="30" t="s">
        <v>1588</v>
      </c>
      <c r="F4524" s="30" t="s">
        <v>1591</v>
      </c>
      <c r="H4524" s="30" t="s">
        <v>1592</v>
      </c>
      <c r="N4524" s="30" t="s">
        <v>12673</v>
      </c>
      <c r="P4524" s="30" t="s">
        <v>12674</v>
      </c>
      <c r="Q4524" t="s">
        <v>619</v>
      </c>
      <c r="R4524" t="s">
        <v>917</v>
      </c>
      <c r="S4524">
        <v>39</v>
      </c>
      <c r="T4524" s="29" t="str">
        <f>HYPERLINK("https://ictv.global/ictv/proposals/2023.052B.Porunavirus_ng.zip","2023.052B.Porunavirus_ng.zip")</f>
        <v>2023.052B.Porunavirus_ng.zip</v>
      </c>
      <c r="U4524" s="29" t="str">
        <f>HYPERLINK("https://ictv.global/taxonomy/taxondetails?taxnode_id=202319236","ictv.global=202319236")</f>
        <v>ictv.global=202319236</v>
      </c>
    </row>
    <row r="4525" spans="1:21">
      <c r="A4525">
        <v>4524</v>
      </c>
      <c r="B4525" s="30" t="s">
        <v>1587</v>
      </c>
      <c r="D4525" s="30" t="s">
        <v>1588</v>
      </c>
      <c r="F4525" s="30" t="s">
        <v>1591</v>
      </c>
      <c r="H4525" s="30" t="s">
        <v>1592</v>
      </c>
      <c r="N4525" s="30" t="s">
        <v>1536</v>
      </c>
      <c r="P4525" s="30" t="s">
        <v>8006</v>
      </c>
      <c r="Q4525" t="s">
        <v>619</v>
      </c>
      <c r="R4525" t="s">
        <v>918</v>
      </c>
      <c r="S4525">
        <v>37</v>
      </c>
      <c r="T4525" s="29" t="str">
        <f>HYPERLINK("https://ictv.global/ictv/proposals/2021.010B.R.Binomial_names.zip","2021.010B.R.Binomial_names.zip")</f>
        <v>2021.010B.R.Binomial_names.zip</v>
      </c>
      <c r="U4525" s="29" t="str">
        <f>HYPERLINK("https://ictv.global/taxonomy/taxondetails?taxnode_id=202306592","ictv.global=202306592")</f>
        <v>ictv.global=202306592</v>
      </c>
    </row>
    <row r="4526" spans="1:21">
      <c r="A4526">
        <v>4525</v>
      </c>
      <c r="B4526" s="30" t="s">
        <v>1587</v>
      </c>
      <c r="D4526" s="30" t="s">
        <v>1588</v>
      </c>
      <c r="F4526" s="30" t="s">
        <v>1591</v>
      </c>
      <c r="H4526" s="30" t="s">
        <v>1592</v>
      </c>
      <c r="N4526" s="30" t="s">
        <v>8007</v>
      </c>
      <c r="P4526" s="30" t="s">
        <v>8008</v>
      </c>
      <c r="Q4526" t="s">
        <v>619</v>
      </c>
      <c r="R4526" t="s">
        <v>917</v>
      </c>
      <c r="S4526">
        <v>38</v>
      </c>
      <c r="T4526" s="29" t="str">
        <f>HYPERLINK("https://ictv.global/ictv/proposals/2022.084B.Caudoviricetes_6ng_33nsp.zip","2022.084B.Caudoviricetes_6ng_33nsp.zip")</f>
        <v>2022.084B.Caudoviricetes_6ng_33nsp.zip</v>
      </c>
      <c r="U4526" s="29" t="str">
        <f>HYPERLINK("https://ictv.global/taxonomy/taxondetails?taxnode_id=202314910","ictv.global=202314910")</f>
        <v>ictv.global=202314910</v>
      </c>
    </row>
    <row r="4527" spans="1:21">
      <c r="A4527">
        <v>4526</v>
      </c>
      <c r="B4527" s="30" t="s">
        <v>1587</v>
      </c>
      <c r="D4527" s="30" t="s">
        <v>1588</v>
      </c>
      <c r="F4527" s="30" t="s">
        <v>1591</v>
      </c>
      <c r="H4527" s="30" t="s">
        <v>1592</v>
      </c>
      <c r="N4527" s="30" t="s">
        <v>2472</v>
      </c>
      <c r="P4527" s="30" t="s">
        <v>8009</v>
      </c>
      <c r="Q4527" t="s">
        <v>619</v>
      </c>
      <c r="R4527" t="s">
        <v>918</v>
      </c>
      <c r="S4527">
        <v>37</v>
      </c>
      <c r="T4527" s="29" t="str">
        <f>HYPERLINK("https://ictv.global/ictv/proposals/2021.010B.R.Binomial_names.zip","2021.010B.R.Binomial_names.zip")</f>
        <v>2021.010B.R.Binomial_names.zip</v>
      </c>
      <c r="U4527" s="29" t="str">
        <f>HYPERLINK("https://ictv.global/taxonomy/taxondetails?taxnode_id=202300856","ictv.global=202300856")</f>
        <v>ictv.global=202300856</v>
      </c>
    </row>
    <row r="4528" spans="1:21">
      <c r="A4528">
        <v>4527</v>
      </c>
      <c r="B4528" s="30" t="s">
        <v>1587</v>
      </c>
      <c r="D4528" s="30" t="s">
        <v>1588</v>
      </c>
      <c r="F4528" s="30" t="s">
        <v>1591</v>
      </c>
      <c r="H4528" s="30" t="s">
        <v>1592</v>
      </c>
      <c r="N4528" s="30" t="s">
        <v>697</v>
      </c>
      <c r="P4528" s="30" t="s">
        <v>8010</v>
      </c>
      <c r="Q4528" t="s">
        <v>619</v>
      </c>
      <c r="R4528" t="s">
        <v>918</v>
      </c>
      <c r="S4528">
        <v>37</v>
      </c>
      <c r="T4528" s="29" t="str">
        <f>HYPERLINK("https://ictv.global/ictv/proposals/2021.010B.R.Binomial_names.zip","2021.010B.R.Binomial_names.zip")</f>
        <v>2021.010B.R.Binomial_names.zip</v>
      </c>
      <c r="U4528" s="29" t="str">
        <f>HYPERLINK("https://ictv.global/taxonomy/taxondetails?taxnode_id=202301237","ictv.global=202301237")</f>
        <v>ictv.global=202301237</v>
      </c>
    </row>
    <row r="4529" spans="1:21">
      <c r="A4529">
        <v>4528</v>
      </c>
      <c r="B4529" s="30" t="s">
        <v>1587</v>
      </c>
      <c r="D4529" s="30" t="s">
        <v>1588</v>
      </c>
      <c r="F4529" s="30" t="s">
        <v>1591</v>
      </c>
      <c r="H4529" s="30" t="s">
        <v>1592</v>
      </c>
      <c r="N4529" s="30" t="s">
        <v>697</v>
      </c>
      <c r="P4529" s="30" t="s">
        <v>8011</v>
      </c>
      <c r="Q4529" t="s">
        <v>619</v>
      </c>
      <c r="R4529" t="s">
        <v>918</v>
      </c>
      <c r="S4529">
        <v>37</v>
      </c>
      <c r="T4529" s="29" t="str">
        <f>HYPERLINK("https://ictv.global/ictv/proposals/2021.010B.R.Binomial_names.zip","2021.010B.R.Binomial_names.zip")</f>
        <v>2021.010B.R.Binomial_names.zip</v>
      </c>
      <c r="U4529" s="29" t="str">
        <f>HYPERLINK("https://ictv.global/taxonomy/taxondetails?taxnode_id=202301238","ictv.global=202301238")</f>
        <v>ictv.global=202301238</v>
      </c>
    </row>
    <row r="4530" spans="1:21">
      <c r="A4530">
        <v>4529</v>
      </c>
      <c r="B4530" s="30" t="s">
        <v>1587</v>
      </c>
      <c r="D4530" s="30" t="s">
        <v>1588</v>
      </c>
      <c r="F4530" s="30" t="s">
        <v>1591</v>
      </c>
      <c r="H4530" s="30" t="s">
        <v>1592</v>
      </c>
      <c r="N4530" s="30" t="s">
        <v>8012</v>
      </c>
      <c r="P4530" s="30" t="s">
        <v>8013</v>
      </c>
      <c r="Q4530" t="s">
        <v>619</v>
      </c>
      <c r="R4530" t="s">
        <v>917</v>
      </c>
      <c r="S4530">
        <v>37</v>
      </c>
      <c r="T4530" s="29" t="str">
        <f>HYPERLINK("https://ictv.global/ictv/proposals/2021.067B.R.Pukovnikvirus.zip","2021.067B.R.Pukovnikvirus.zip")</f>
        <v>2021.067B.R.Pukovnikvirus.zip</v>
      </c>
      <c r="U4530" s="29" t="str">
        <f>HYPERLINK("https://ictv.global/taxonomy/taxondetails?taxnode_id=202312889","ictv.global=202312889")</f>
        <v>ictv.global=202312889</v>
      </c>
    </row>
    <row r="4531" spans="1:21">
      <c r="A4531">
        <v>4530</v>
      </c>
      <c r="B4531" s="30" t="s">
        <v>1587</v>
      </c>
      <c r="D4531" s="30" t="s">
        <v>1588</v>
      </c>
      <c r="F4531" s="30" t="s">
        <v>1591</v>
      </c>
      <c r="H4531" s="30" t="s">
        <v>1592</v>
      </c>
      <c r="N4531" s="30" t="s">
        <v>8012</v>
      </c>
      <c r="P4531" s="30" t="s">
        <v>8014</v>
      </c>
      <c r="Q4531" t="s">
        <v>619</v>
      </c>
      <c r="R4531" t="s">
        <v>917</v>
      </c>
      <c r="S4531">
        <v>37</v>
      </c>
      <c r="T4531" s="29" t="str">
        <f>HYPERLINK("https://ictv.global/ictv/proposals/2021.067B.R.Pukovnikvirus.zip","2021.067B.R.Pukovnikvirus.zip")</f>
        <v>2021.067B.R.Pukovnikvirus.zip</v>
      </c>
      <c r="U4531" s="29" t="str">
        <f>HYPERLINK("https://ictv.global/taxonomy/taxondetails?taxnode_id=202312888","ictv.global=202312888")</f>
        <v>ictv.global=202312888</v>
      </c>
    </row>
    <row r="4532" spans="1:21">
      <c r="A4532">
        <v>4531</v>
      </c>
      <c r="B4532" s="30" t="s">
        <v>1587</v>
      </c>
      <c r="D4532" s="30" t="s">
        <v>1588</v>
      </c>
      <c r="F4532" s="30" t="s">
        <v>1591</v>
      </c>
      <c r="H4532" s="30" t="s">
        <v>1592</v>
      </c>
      <c r="N4532" s="30" t="s">
        <v>8012</v>
      </c>
      <c r="P4532" s="30" t="s">
        <v>8015</v>
      </c>
      <c r="Q4532" t="s">
        <v>619</v>
      </c>
      <c r="R4532" t="s">
        <v>917</v>
      </c>
      <c r="S4532">
        <v>37</v>
      </c>
      <c r="T4532" s="29" t="str">
        <f>HYPERLINK("https://ictv.global/ictv/proposals/2021.067B.R.Pukovnikvirus.zip","2021.067B.R.Pukovnikvirus.zip")</f>
        <v>2021.067B.R.Pukovnikvirus.zip</v>
      </c>
      <c r="U4532" s="29" t="str">
        <f>HYPERLINK("https://ictv.global/taxonomy/taxondetails?taxnode_id=202312890","ictv.global=202312890")</f>
        <v>ictv.global=202312890</v>
      </c>
    </row>
    <row r="4533" spans="1:21">
      <c r="A4533">
        <v>4532</v>
      </c>
      <c r="B4533" s="30" t="s">
        <v>1587</v>
      </c>
      <c r="D4533" s="30" t="s">
        <v>1588</v>
      </c>
      <c r="F4533" s="30" t="s">
        <v>1591</v>
      </c>
      <c r="H4533" s="30" t="s">
        <v>1592</v>
      </c>
      <c r="N4533" s="30" t="s">
        <v>8012</v>
      </c>
      <c r="P4533" s="30" t="s">
        <v>8016</v>
      </c>
      <c r="Q4533" t="s">
        <v>619</v>
      </c>
      <c r="R4533" t="s">
        <v>918</v>
      </c>
      <c r="S4533">
        <v>37</v>
      </c>
      <c r="T4533" s="29" t="str">
        <f>HYPERLINK("https://ictv.global/ictv/proposals/2021.067B.R.Pukovnikvirus.zip","2021.067B.R.Pukovnikvirus.zip")</f>
        <v>2021.067B.R.Pukovnikvirus.zip</v>
      </c>
      <c r="U4533" s="29" t="str">
        <f>HYPERLINK("https://ictv.global/taxonomy/taxondetails?taxnode_id=202301050","ictv.global=202301050")</f>
        <v>ictv.global=202301050</v>
      </c>
    </row>
    <row r="4534" spans="1:21">
      <c r="A4534">
        <v>4533</v>
      </c>
      <c r="B4534" s="30" t="s">
        <v>1587</v>
      </c>
      <c r="D4534" s="30" t="s">
        <v>1588</v>
      </c>
      <c r="F4534" s="30" t="s">
        <v>1591</v>
      </c>
      <c r="H4534" s="30" t="s">
        <v>1592</v>
      </c>
      <c r="N4534" s="30" t="s">
        <v>1538</v>
      </c>
      <c r="P4534" s="30" t="s">
        <v>8017</v>
      </c>
      <c r="Q4534" t="s">
        <v>619</v>
      </c>
      <c r="R4534" t="s">
        <v>918</v>
      </c>
      <c r="S4534">
        <v>37</v>
      </c>
      <c r="T4534" s="29" t="str">
        <f>HYPERLINK("https://ictv.global/ictv/proposals/2021.010B.R.Binomial_names.zip","2021.010B.R.Binomial_names.zip")</f>
        <v>2021.010B.R.Binomial_names.zip</v>
      </c>
      <c r="U4534" s="29" t="str">
        <f>HYPERLINK("https://ictv.global/taxonomy/taxondetails?taxnode_id=202305561","ictv.global=202305561")</f>
        <v>ictv.global=202305561</v>
      </c>
    </row>
    <row r="4535" spans="1:21">
      <c r="A4535">
        <v>4534</v>
      </c>
      <c r="B4535" s="30" t="s">
        <v>1587</v>
      </c>
      <c r="D4535" s="30" t="s">
        <v>1588</v>
      </c>
      <c r="F4535" s="30" t="s">
        <v>1591</v>
      </c>
      <c r="H4535" s="30" t="s">
        <v>1592</v>
      </c>
      <c r="N4535" s="30" t="s">
        <v>12675</v>
      </c>
      <c r="P4535" s="30" t="s">
        <v>12676</v>
      </c>
      <c r="Q4535" t="s">
        <v>619</v>
      </c>
      <c r="R4535" t="s">
        <v>917</v>
      </c>
      <c r="S4535">
        <v>39</v>
      </c>
      <c r="T4535" s="29" t="str">
        <f>HYPERLINK("https://ictv.global/ictv/proposals/2023.003B.Actinobacteriophage_singletons_25ng.zip","2023.003B.Actinobacteriophage_singletons_25ng.zip")</f>
        <v>2023.003B.Actinobacteriophage_singletons_25ng.zip</v>
      </c>
      <c r="U4535" s="29" t="str">
        <f>HYPERLINK("https://ictv.global/taxonomy/taxondetails?taxnode_id=202317766","ictv.global=202317766")</f>
        <v>ictv.global=202317766</v>
      </c>
    </row>
    <row r="4536" spans="1:21">
      <c r="A4536">
        <v>4535</v>
      </c>
      <c r="B4536" s="30" t="s">
        <v>1587</v>
      </c>
      <c r="D4536" s="30" t="s">
        <v>1588</v>
      </c>
      <c r="F4536" s="30" t="s">
        <v>1591</v>
      </c>
      <c r="H4536" s="30" t="s">
        <v>1592</v>
      </c>
      <c r="N4536" s="30" t="s">
        <v>1383</v>
      </c>
      <c r="P4536" s="30" t="s">
        <v>641</v>
      </c>
      <c r="Q4536" t="s">
        <v>619</v>
      </c>
      <c r="R4536" t="s">
        <v>919</v>
      </c>
      <c r="S4536">
        <v>37</v>
      </c>
      <c r="T4536" s="29" t="str">
        <f>HYPERLINK("https://ictv.global/ictv/proposals/2021.001B.R.abolish_Caudovirales.zip","2021.001B.R.abolish_Caudovirales.zip")</f>
        <v>2021.001B.R.abolish_Caudovirales.zip</v>
      </c>
      <c r="U4536" s="29" t="str">
        <f>HYPERLINK("https://ictv.global/taxonomy/taxondetails?taxnode_id=202300465","ictv.global=202300465")</f>
        <v>ictv.global=202300465</v>
      </c>
    </row>
    <row r="4537" spans="1:21">
      <c r="A4537">
        <v>4536</v>
      </c>
      <c r="B4537" s="30" t="s">
        <v>1587</v>
      </c>
      <c r="D4537" s="30" t="s">
        <v>1588</v>
      </c>
      <c r="F4537" s="30" t="s">
        <v>1591</v>
      </c>
      <c r="H4537" s="30" t="s">
        <v>1592</v>
      </c>
      <c r="N4537" s="30" t="s">
        <v>1383</v>
      </c>
      <c r="P4537" s="30" t="s">
        <v>8018</v>
      </c>
      <c r="Q4537" t="s">
        <v>619</v>
      </c>
      <c r="R4537" t="s">
        <v>918</v>
      </c>
      <c r="S4537">
        <v>37</v>
      </c>
      <c r="T4537" s="29" t="str">
        <f>HYPERLINK("https://ictv.global/ictv/proposals/2021.010B.R.Binomial_names.zip","2021.010B.R.Binomial_names.zip")</f>
        <v>2021.010B.R.Binomial_names.zip</v>
      </c>
      <c r="U4537" s="29" t="str">
        <f>HYPERLINK("https://ictv.global/taxonomy/taxondetails?taxnode_id=202300466","ictv.global=202300466")</f>
        <v>ictv.global=202300466</v>
      </c>
    </row>
    <row r="4538" spans="1:21">
      <c r="A4538">
        <v>4537</v>
      </c>
      <c r="B4538" s="30" t="s">
        <v>1587</v>
      </c>
      <c r="D4538" s="30" t="s">
        <v>1588</v>
      </c>
      <c r="F4538" s="30" t="s">
        <v>1591</v>
      </c>
      <c r="H4538" s="30" t="s">
        <v>1592</v>
      </c>
      <c r="N4538" s="30" t="s">
        <v>1383</v>
      </c>
      <c r="P4538" s="30" t="s">
        <v>8019</v>
      </c>
      <c r="Q4538" t="s">
        <v>619</v>
      </c>
      <c r="R4538" t="s">
        <v>918</v>
      </c>
      <c r="S4538">
        <v>37</v>
      </c>
      <c r="T4538" s="29" t="str">
        <f>HYPERLINK("https://ictv.global/ictv/proposals/2021.010B.R.Binomial_names.zip","2021.010B.R.Binomial_names.zip")</f>
        <v>2021.010B.R.Binomial_names.zip</v>
      </c>
      <c r="U4538" s="29" t="str">
        <f>HYPERLINK("https://ictv.global/taxonomy/taxondetails?taxnode_id=202307014","ictv.global=202307014")</f>
        <v>ictv.global=202307014</v>
      </c>
    </row>
    <row r="4539" spans="1:21">
      <c r="A4539">
        <v>4538</v>
      </c>
      <c r="B4539" s="30" t="s">
        <v>1587</v>
      </c>
      <c r="D4539" s="30" t="s">
        <v>1588</v>
      </c>
      <c r="F4539" s="30" t="s">
        <v>1591</v>
      </c>
      <c r="H4539" s="30" t="s">
        <v>1592</v>
      </c>
      <c r="N4539" s="30" t="s">
        <v>1383</v>
      </c>
      <c r="P4539" s="30" t="s">
        <v>8020</v>
      </c>
      <c r="Q4539" t="s">
        <v>619</v>
      </c>
      <c r="R4539" t="s">
        <v>918</v>
      </c>
      <c r="S4539">
        <v>37</v>
      </c>
      <c r="T4539" s="29" t="str">
        <f>HYPERLINK("https://ictv.global/ictv/proposals/2021.010B.R.Binomial_names.zip","2021.010B.R.Binomial_names.zip")</f>
        <v>2021.010B.R.Binomial_names.zip</v>
      </c>
      <c r="U4539" s="29" t="str">
        <f>HYPERLINK("https://ictv.global/taxonomy/taxondetails?taxnode_id=202307015","ictv.global=202307015")</f>
        <v>ictv.global=202307015</v>
      </c>
    </row>
    <row r="4540" spans="1:21">
      <c r="A4540">
        <v>4539</v>
      </c>
      <c r="B4540" s="30" t="s">
        <v>1587</v>
      </c>
      <c r="D4540" s="30" t="s">
        <v>1588</v>
      </c>
      <c r="F4540" s="30" t="s">
        <v>1591</v>
      </c>
      <c r="H4540" s="30" t="s">
        <v>1592</v>
      </c>
      <c r="N4540" s="30" t="s">
        <v>8021</v>
      </c>
      <c r="P4540" s="30" t="s">
        <v>8022</v>
      </c>
      <c r="Q4540" t="s">
        <v>619</v>
      </c>
      <c r="R4540" t="s">
        <v>917</v>
      </c>
      <c r="S4540">
        <v>37</v>
      </c>
      <c r="T4540" s="29" t="str">
        <f>HYPERLINK("https://ictv.global/ictv/proposals/2021.068B.R.Puppervirus.zip","2021.068B.R.Puppervirus.zip")</f>
        <v>2021.068B.R.Puppervirus.zip</v>
      </c>
      <c r="U4540" s="29" t="str">
        <f>HYPERLINK("https://ictv.global/taxonomy/taxondetails?taxnode_id=202312892","ictv.global=202312892")</f>
        <v>ictv.global=202312892</v>
      </c>
    </row>
    <row r="4541" spans="1:21">
      <c r="A4541">
        <v>4540</v>
      </c>
      <c r="B4541" s="30" t="s">
        <v>1587</v>
      </c>
      <c r="D4541" s="30" t="s">
        <v>1588</v>
      </c>
      <c r="F4541" s="30" t="s">
        <v>1591</v>
      </c>
      <c r="H4541" s="30" t="s">
        <v>1592</v>
      </c>
      <c r="N4541" s="30" t="s">
        <v>8023</v>
      </c>
      <c r="P4541" s="30" t="s">
        <v>8024</v>
      </c>
      <c r="Q4541" t="s">
        <v>619</v>
      </c>
      <c r="R4541" t="s">
        <v>917</v>
      </c>
      <c r="S4541">
        <v>38</v>
      </c>
      <c r="T4541" s="29" t="str">
        <f>HYPERLINK("https://ictv.global/ictv/proposals/2022.067B.Purivirus_ng.zip","2022.067B.Purivirus_ng.zip")</f>
        <v>2022.067B.Purivirus_ng.zip</v>
      </c>
      <c r="U4541" s="29" t="str">
        <f>HYPERLINK("https://ictv.global/taxonomy/taxondetails?taxnode_id=202314788","ictv.global=202314788")</f>
        <v>ictv.global=202314788</v>
      </c>
    </row>
    <row r="4542" spans="1:21">
      <c r="A4542">
        <v>4541</v>
      </c>
      <c r="B4542" s="30" t="s">
        <v>1587</v>
      </c>
      <c r="D4542" s="30" t="s">
        <v>1588</v>
      </c>
      <c r="F4542" s="30" t="s">
        <v>1591</v>
      </c>
      <c r="H4542" s="30" t="s">
        <v>1592</v>
      </c>
      <c r="N4542" s="30" t="s">
        <v>1844</v>
      </c>
      <c r="P4542" s="30" t="s">
        <v>8025</v>
      </c>
      <c r="Q4542" t="s">
        <v>619</v>
      </c>
      <c r="R4542" t="s">
        <v>918</v>
      </c>
      <c r="S4542">
        <v>37</v>
      </c>
      <c r="T4542" s="29" t="str">
        <f>HYPERLINK("https://ictv.global/ictv/proposals/2021.010B.R.Binomial_names.zip","2021.010B.R.Binomial_names.zip")</f>
        <v>2021.010B.R.Binomial_names.zip</v>
      </c>
      <c r="U4542" s="29" t="str">
        <f>HYPERLINK("https://ictv.global/taxonomy/taxondetails?taxnode_id=202307516","ictv.global=202307516")</f>
        <v>ictv.global=202307516</v>
      </c>
    </row>
    <row r="4543" spans="1:21">
      <c r="A4543">
        <v>4542</v>
      </c>
      <c r="B4543" s="30" t="s">
        <v>1587</v>
      </c>
      <c r="D4543" s="30" t="s">
        <v>1588</v>
      </c>
      <c r="F4543" s="30" t="s">
        <v>1591</v>
      </c>
      <c r="H4543" s="30" t="s">
        <v>1592</v>
      </c>
      <c r="N4543" s="30" t="s">
        <v>2473</v>
      </c>
      <c r="P4543" s="30" t="s">
        <v>8026</v>
      </c>
      <c r="Q4543" t="s">
        <v>619</v>
      </c>
      <c r="R4543" t="s">
        <v>918</v>
      </c>
      <c r="S4543">
        <v>37</v>
      </c>
      <c r="T4543" s="29" t="str">
        <f>HYPERLINK("https://ictv.global/ictv/proposals/2021.010B.R.Binomial_names.zip","2021.010B.R.Binomial_names.zip")</f>
        <v>2021.010B.R.Binomial_names.zip</v>
      </c>
      <c r="U4543" s="29" t="str">
        <f>HYPERLINK("https://ictv.global/taxonomy/taxondetails?taxnode_id=202311639","ictv.global=202311639")</f>
        <v>ictv.global=202311639</v>
      </c>
    </row>
    <row r="4544" spans="1:21">
      <c r="A4544">
        <v>4543</v>
      </c>
      <c r="B4544" s="30" t="s">
        <v>1587</v>
      </c>
      <c r="D4544" s="30" t="s">
        <v>1588</v>
      </c>
      <c r="F4544" s="30" t="s">
        <v>1591</v>
      </c>
      <c r="H4544" s="30" t="s">
        <v>1592</v>
      </c>
      <c r="N4544" s="30" t="s">
        <v>8029</v>
      </c>
      <c r="P4544" s="30" t="s">
        <v>8030</v>
      </c>
      <c r="Q4544" t="s">
        <v>619</v>
      </c>
      <c r="R4544" t="s">
        <v>917</v>
      </c>
      <c r="S4544">
        <v>38</v>
      </c>
      <c r="T4544" s="29" t="str">
        <f>HYPERLINK("https://ictv.global/ictv/proposals/2022.069B.Quivirus_ng.zip","2022.069B.Quivirus_ng.zip")</f>
        <v>2022.069B.Quivirus_ng.zip</v>
      </c>
      <c r="U4544" s="29" t="str">
        <f>HYPERLINK("https://ictv.global/taxonomy/taxondetails?taxnode_id=202314793","ictv.global=202314793")</f>
        <v>ictv.global=202314793</v>
      </c>
    </row>
    <row r="4545" spans="1:21">
      <c r="A4545">
        <v>4544</v>
      </c>
      <c r="B4545" s="30" t="s">
        <v>1587</v>
      </c>
      <c r="D4545" s="30" t="s">
        <v>1588</v>
      </c>
      <c r="F4545" s="30" t="s">
        <v>1591</v>
      </c>
      <c r="H4545" s="30" t="s">
        <v>1592</v>
      </c>
      <c r="N4545" s="30" t="s">
        <v>2474</v>
      </c>
      <c r="P4545" s="30" t="s">
        <v>8031</v>
      </c>
      <c r="Q4545" t="s">
        <v>619</v>
      </c>
      <c r="R4545" t="s">
        <v>918</v>
      </c>
      <c r="S4545">
        <v>37</v>
      </c>
      <c r="T4545" s="29" t="str">
        <f t="shared" ref="T4545:T4553" si="207">HYPERLINK("https://ictv.global/ictv/proposals/2021.010B.R.Binomial_names.zip","2021.010B.R.Binomial_names.zip")</f>
        <v>2021.010B.R.Binomial_names.zip</v>
      </c>
      <c r="U4545" s="29" t="str">
        <f>HYPERLINK("https://ictv.global/taxonomy/taxondetails?taxnode_id=202309355","ictv.global=202309355")</f>
        <v>ictv.global=202309355</v>
      </c>
    </row>
    <row r="4546" spans="1:21">
      <c r="A4546">
        <v>4545</v>
      </c>
      <c r="B4546" s="30" t="s">
        <v>1587</v>
      </c>
      <c r="D4546" s="30" t="s">
        <v>1588</v>
      </c>
      <c r="F4546" s="30" t="s">
        <v>1591</v>
      </c>
      <c r="H4546" s="30" t="s">
        <v>1592</v>
      </c>
      <c r="N4546" s="30" t="s">
        <v>2286</v>
      </c>
      <c r="P4546" s="30" t="s">
        <v>8032</v>
      </c>
      <c r="Q4546" t="s">
        <v>619</v>
      </c>
      <c r="R4546" t="s">
        <v>918</v>
      </c>
      <c r="S4546">
        <v>37</v>
      </c>
      <c r="T4546" s="29" t="str">
        <f t="shared" si="207"/>
        <v>2021.010B.R.Binomial_names.zip</v>
      </c>
      <c r="U4546" s="29" t="str">
        <f>HYPERLINK("https://ictv.global/taxonomy/taxondetails?taxnode_id=202311667","ictv.global=202311667")</f>
        <v>ictv.global=202311667</v>
      </c>
    </row>
    <row r="4547" spans="1:21">
      <c r="A4547">
        <v>4546</v>
      </c>
      <c r="B4547" s="30" t="s">
        <v>1587</v>
      </c>
      <c r="D4547" s="30" t="s">
        <v>1588</v>
      </c>
      <c r="F4547" s="30" t="s">
        <v>1591</v>
      </c>
      <c r="H4547" s="30" t="s">
        <v>1592</v>
      </c>
      <c r="N4547" s="30" t="s">
        <v>1931</v>
      </c>
      <c r="P4547" s="30" t="s">
        <v>8033</v>
      </c>
      <c r="Q4547" t="s">
        <v>619</v>
      </c>
      <c r="R4547" t="s">
        <v>918</v>
      </c>
      <c r="S4547">
        <v>37</v>
      </c>
      <c r="T4547" s="29" t="str">
        <f t="shared" si="207"/>
        <v>2021.010B.R.Binomial_names.zip</v>
      </c>
      <c r="U4547" s="29" t="str">
        <f>HYPERLINK("https://ictv.global/taxonomy/taxondetails?taxnode_id=202308018","ictv.global=202308018")</f>
        <v>ictv.global=202308018</v>
      </c>
    </row>
    <row r="4548" spans="1:21">
      <c r="A4548">
        <v>4547</v>
      </c>
      <c r="B4548" s="30" t="s">
        <v>1587</v>
      </c>
      <c r="D4548" s="30" t="s">
        <v>1588</v>
      </c>
      <c r="F4548" s="30" t="s">
        <v>1591</v>
      </c>
      <c r="H4548" s="30" t="s">
        <v>1592</v>
      </c>
      <c r="N4548" s="30" t="s">
        <v>1931</v>
      </c>
      <c r="P4548" s="30" t="s">
        <v>8034</v>
      </c>
      <c r="Q4548" t="s">
        <v>619</v>
      </c>
      <c r="R4548" t="s">
        <v>918</v>
      </c>
      <c r="S4548">
        <v>37</v>
      </c>
      <c r="T4548" s="29" t="str">
        <f t="shared" si="207"/>
        <v>2021.010B.R.Binomial_names.zip</v>
      </c>
      <c r="U4548" s="29" t="str">
        <f>HYPERLINK("https://ictv.global/taxonomy/taxondetails?taxnode_id=202308017","ictv.global=202308017")</f>
        <v>ictv.global=202308017</v>
      </c>
    </row>
    <row r="4549" spans="1:21">
      <c r="A4549">
        <v>4548</v>
      </c>
      <c r="B4549" s="30" t="s">
        <v>1587</v>
      </c>
      <c r="D4549" s="30" t="s">
        <v>1588</v>
      </c>
      <c r="F4549" s="30" t="s">
        <v>1591</v>
      </c>
      <c r="H4549" s="30" t="s">
        <v>1592</v>
      </c>
      <c r="N4549" s="30" t="s">
        <v>1436</v>
      </c>
      <c r="P4549" s="30" t="s">
        <v>8035</v>
      </c>
      <c r="Q4549" t="s">
        <v>619</v>
      </c>
      <c r="R4549" t="s">
        <v>918</v>
      </c>
      <c r="S4549">
        <v>37</v>
      </c>
      <c r="T4549" s="29" t="str">
        <f t="shared" si="207"/>
        <v>2021.010B.R.Binomial_names.zip</v>
      </c>
      <c r="U4549" s="29" t="str">
        <f>HYPERLINK("https://ictv.global/taxonomy/taxondetails?taxnode_id=202300627","ictv.global=202300627")</f>
        <v>ictv.global=202300627</v>
      </c>
    </row>
    <row r="4550" spans="1:21">
      <c r="A4550">
        <v>4549</v>
      </c>
      <c r="B4550" s="30" t="s">
        <v>1587</v>
      </c>
      <c r="D4550" s="30" t="s">
        <v>1588</v>
      </c>
      <c r="F4550" s="30" t="s">
        <v>1591</v>
      </c>
      <c r="H4550" s="30" t="s">
        <v>1592</v>
      </c>
      <c r="N4550" s="30" t="s">
        <v>2475</v>
      </c>
      <c r="P4550" s="30" t="s">
        <v>8036</v>
      </c>
      <c r="Q4550" t="s">
        <v>619</v>
      </c>
      <c r="R4550" t="s">
        <v>918</v>
      </c>
      <c r="S4550">
        <v>37</v>
      </c>
      <c r="T4550" s="29" t="str">
        <f t="shared" si="207"/>
        <v>2021.010B.R.Binomial_names.zip</v>
      </c>
      <c r="U4550" s="29" t="str">
        <f>HYPERLINK("https://ictv.global/taxonomy/taxondetails?taxnode_id=202311670","ictv.global=202311670")</f>
        <v>ictv.global=202311670</v>
      </c>
    </row>
    <row r="4551" spans="1:21">
      <c r="A4551">
        <v>4550</v>
      </c>
      <c r="B4551" s="30" t="s">
        <v>1587</v>
      </c>
      <c r="D4551" s="30" t="s">
        <v>1588</v>
      </c>
      <c r="F4551" s="30" t="s">
        <v>1591</v>
      </c>
      <c r="H4551" s="30" t="s">
        <v>1592</v>
      </c>
      <c r="N4551" s="30" t="s">
        <v>2475</v>
      </c>
      <c r="P4551" s="30" t="s">
        <v>8037</v>
      </c>
      <c r="Q4551" t="s">
        <v>619</v>
      </c>
      <c r="R4551" t="s">
        <v>918</v>
      </c>
      <c r="S4551">
        <v>37</v>
      </c>
      <c r="T4551" s="29" t="str">
        <f t="shared" si="207"/>
        <v>2021.010B.R.Binomial_names.zip</v>
      </c>
      <c r="U4551" s="29" t="str">
        <f>HYPERLINK("https://ictv.global/taxonomy/taxondetails?taxnode_id=202311671","ictv.global=202311671")</f>
        <v>ictv.global=202311671</v>
      </c>
    </row>
    <row r="4552" spans="1:21">
      <c r="A4552">
        <v>4551</v>
      </c>
      <c r="B4552" s="30" t="s">
        <v>1587</v>
      </c>
      <c r="D4552" s="30" t="s">
        <v>1588</v>
      </c>
      <c r="F4552" s="30" t="s">
        <v>1591</v>
      </c>
      <c r="H4552" s="30" t="s">
        <v>1592</v>
      </c>
      <c r="N4552" s="30" t="s">
        <v>2475</v>
      </c>
      <c r="P4552" s="30" t="s">
        <v>8038</v>
      </c>
      <c r="Q4552" t="s">
        <v>619</v>
      </c>
      <c r="R4552" t="s">
        <v>918</v>
      </c>
      <c r="S4552">
        <v>37</v>
      </c>
      <c r="T4552" s="29" t="str">
        <f t="shared" si="207"/>
        <v>2021.010B.R.Binomial_names.zip</v>
      </c>
      <c r="U4552" s="29" t="str">
        <f>HYPERLINK("https://ictv.global/taxonomy/taxondetails?taxnode_id=202311669","ictv.global=202311669")</f>
        <v>ictv.global=202311669</v>
      </c>
    </row>
    <row r="4553" spans="1:21">
      <c r="A4553">
        <v>4552</v>
      </c>
      <c r="B4553" s="30" t="s">
        <v>1587</v>
      </c>
      <c r="D4553" s="30" t="s">
        <v>1588</v>
      </c>
      <c r="F4553" s="30" t="s">
        <v>1591</v>
      </c>
      <c r="H4553" s="30" t="s">
        <v>1592</v>
      </c>
      <c r="N4553" s="30" t="s">
        <v>1539</v>
      </c>
      <c r="P4553" s="30" t="s">
        <v>8039</v>
      </c>
      <c r="Q4553" t="s">
        <v>619</v>
      </c>
      <c r="R4553" t="s">
        <v>918</v>
      </c>
      <c r="S4553">
        <v>37</v>
      </c>
      <c r="T4553" s="29" t="str">
        <f t="shared" si="207"/>
        <v>2021.010B.R.Binomial_names.zip</v>
      </c>
      <c r="U4553" s="29" t="str">
        <f>HYPERLINK("https://ictv.global/taxonomy/taxondetails?taxnode_id=202301085","ictv.global=202301085")</f>
        <v>ictv.global=202301085</v>
      </c>
    </row>
    <row r="4554" spans="1:21">
      <c r="A4554">
        <v>4553</v>
      </c>
      <c r="B4554" s="30" t="s">
        <v>1587</v>
      </c>
      <c r="D4554" s="30" t="s">
        <v>1588</v>
      </c>
      <c r="F4554" s="30" t="s">
        <v>1591</v>
      </c>
      <c r="H4554" s="30" t="s">
        <v>1592</v>
      </c>
      <c r="N4554" s="30" t="s">
        <v>12677</v>
      </c>
      <c r="P4554" s="30" t="s">
        <v>12678</v>
      </c>
      <c r="Q4554" t="s">
        <v>619</v>
      </c>
      <c r="R4554" t="s">
        <v>917</v>
      </c>
      <c r="S4554">
        <v>39</v>
      </c>
      <c r="T4554" s="29" t="str">
        <f>HYPERLINK("https://ictv.global/ictv/proposals/2023.022B.Caudoviricetes_Pseudomonas_7ng.zip","2023.022B.Caudoviricetes_Pseudomonas_7ng.zip")</f>
        <v>2023.022B.Caudoviricetes_Pseudomonas_7ng.zip</v>
      </c>
      <c r="U4554" s="29" t="str">
        <f>HYPERLINK("https://ictv.global/taxonomy/taxondetails?taxnode_id=202318569","ictv.global=202318569")</f>
        <v>ictv.global=202318569</v>
      </c>
    </row>
    <row r="4555" spans="1:21">
      <c r="A4555">
        <v>4554</v>
      </c>
      <c r="B4555" s="30" t="s">
        <v>1587</v>
      </c>
      <c r="D4555" s="30" t="s">
        <v>1588</v>
      </c>
      <c r="F4555" s="30" t="s">
        <v>1591</v>
      </c>
      <c r="H4555" s="30" t="s">
        <v>1592</v>
      </c>
      <c r="N4555" s="30" t="s">
        <v>12677</v>
      </c>
      <c r="P4555" s="30" t="s">
        <v>12679</v>
      </c>
      <c r="Q4555" t="s">
        <v>619</v>
      </c>
      <c r="R4555" t="s">
        <v>917</v>
      </c>
      <c r="S4555">
        <v>39</v>
      </c>
      <c r="T4555" s="29" t="str">
        <f>HYPERLINK("https://ictv.global/ictv/proposals/2023.022B.Caudoviricetes_Pseudomonas_7ng.zip","2023.022B.Caudoviricetes_Pseudomonas_7ng.zip")</f>
        <v>2023.022B.Caudoviricetes_Pseudomonas_7ng.zip</v>
      </c>
      <c r="U4555" s="29" t="str">
        <f>HYPERLINK("https://ictv.global/taxonomy/taxondetails?taxnode_id=202318568","ictv.global=202318568")</f>
        <v>ictv.global=202318568</v>
      </c>
    </row>
    <row r="4556" spans="1:21">
      <c r="A4556">
        <v>4555</v>
      </c>
      <c r="B4556" s="30" t="s">
        <v>1587</v>
      </c>
      <c r="D4556" s="30" t="s">
        <v>1588</v>
      </c>
      <c r="F4556" s="30" t="s">
        <v>1591</v>
      </c>
      <c r="H4556" s="30" t="s">
        <v>1592</v>
      </c>
      <c r="N4556" s="30" t="s">
        <v>12677</v>
      </c>
      <c r="P4556" s="30" t="s">
        <v>12680</v>
      </c>
      <c r="Q4556" t="s">
        <v>619</v>
      </c>
      <c r="R4556" t="s">
        <v>917</v>
      </c>
      <c r="S4556">
        <v>39</v>
      </c>
      <c r="T4556" s="29" t="str">
        <f>HYPERLINK("https://ictv.global/ictv/proposals/2023.022B.Caudoviricetes_Pseudomonas_7ng.zip","2023.022B.Caudoviricetes_Pseudomonas_7ng.zip")</f>
        <v>2023.022B.Caudoviricetes_Pseudomonas_7ng.zip</v>
      </c>
      <c r="U4556" s="29" t="str">
        <f>HYPERLINK("https://ictv.global/taxonomy/taxondetails?taxnode_id=202318570","ictv.global=202318570")</f>
        <v>ictv.global=202318570</v>
      </c>
    </row>
    <row r="4557" spans="1:21">
      <c r="A4557">
        <v>4556</v>
      </c>
      <c r="B4557" s="30" t="s">
        <v>1587</v>
      </c>
      <c r="D4557" s="30" t="s">
        <v>1588</v>
      </c>
      <c r="F4557" s="30" t="s">
        <v>1591</v>
      </c>
      <c r="H4557" s="30" t="s">
        <v>1592</v>
      </c>
      <c r="N4557" s="30" t="s">
        <v>8040</v>
      </c>
      <c r="P4557" s="30" t="s">
        <v>8041</v>
      </c>
      <c r="Q4557" t="s">
        <v>619</v>
      </c>
      <c r="R4557" t="s">
        <v>917</v>
      </c>
      <c r="S4557">
        <v>37</v>
      </c>
      <c r="T4557" s="29" t="str">
        <f>HYPERLINK("https://ictv.global/ictv/proposals/2021.064B.R.Pharaohvirus_Refugevirus.zip","2021.064B.R.Pharaohvirus_Refugevirus.zip")</f>
        <v>2021.064B.R.Pharaohvirus_Refugevirus.zip</v>
      </c>
      <c r="U4557" s="29" t="str">
        <f>HYPERLINK("https://ictv.global/taxonomy/taxondetails?taxnode_id=202312882","ictv.global=202312882")</f>
        <v>ictv.global=202312882</v>
      </c>
    </row>
    <row r="4558" spans="1:21">
      <c r="A4558">
        <v>4557</v>
      </c>
      <c r="B4558" s="30" t="s">
        <v>1587</v>
      </c>
      <c r="D4558" s="30" t="s">
        <v>1588</v>
      </c>
      <c r="F4558" s="30" t="s">
        <v>1591</v>
      </c>
      <c r="H4558" s="30" t="s">
        <v>1592</v>
      </c>
      <c r="N4558" s="30" t="s">
        <v>8040</v>
      </c>
      <c r="P4558" s="30" t="s">
        <v>8042</v>
      </c>
      <c r="Q4558" t="s">
        <v>619</v>
      </c>
      <c r="R4558" t="s">
        <v>917</v>
      </c>
      <c r="S4558">
        <v>37</v>
      </c>
      <c r="T4558" s="29" t="str">
        <f>HYPERLINK("https://ictv.global/ictv/proposals/2021.064B.R.Pharaohvirus_Refugevirus.zip","2021.064B.R.Pharaohvirus_Refugevirus.zip")</f>
        <v>2021.064B.R.Pharaohvirus_Refugevirus.zip</v>
      </c>
      <c r="U4558" s="29" t="str">
        <f>HYPERLINK("https://ictv.global/taxonomy/taxondetails?taxnode_id=202312881","ictv.global=202312881")</f>
        <v>ictv.global=202312881</v>
      </c>
    </row>
    <row r="4559" spans="1:21">
      <c r="A4559">
        <v>4558</v>
      </c>
      <c r="B4559" s="30" t="s">
        <v>1587</v>
      </c>
      <c r="D4559" s="30" t="s">
        <v>1588</v>
      </c>
      <c r="F4559" s="30" t="s">
        <v>1591</v>
      </c>
      <c r="H4559" s="30" t="s">
        <v>1592</v>
      </c>
      <c r="N4559" s="30" t="s">
        <v>1540</v>
      </c>
      <c r="P4559" s="30" t="s">
        <v>8043</v>
      </c>
      <c r="Q4559" t="s">
        <v>619</v>
      </c>
      <c r="R4559" t="s">
        <v>917</v>
      </c>
      <c r="S4559">
        <v>37</v>
      </c>
      <c r="T4559" s="29" t="str">
        <f>HYPERLINK("https://ictv.global/ictv/proposals/2021.070B.R.Rerduovirus_new_species.zip","2021.070B.R.Rerduovirus_new_species.zip")</f>
        <v>2021.070B.R.Rerduovirus_new_species.zip</v>
      </c>
      <c r="U4559" s="29" t="str">
        <f>HYPERLINK("https://ictv.global/taxonomy/taxondetails?taxnode_id=202312894","ictv.global=202312894")</f>
        <v>ictv.global=202312894</v>
      </c>
    </row>
    <row r="4560" spans="1:21">
      <c r="A4560">
        <v>4559</v>
      </c>
      <c r="B4560" s="30" t="s">
        <v>1587</v>
      </c>
      <c r="D4560" s="30" t="s">
        <v>1588</v>
      </c>
      <c r="F4560" s="30" t="s">
        <v>1591</v>
      </c>
      <c r="H4560" s="30" t="s">
        <v>1592</v>
      </c>
      <c r="N4560" s="30" t="s">
        <v>1540</v>
      </c>
      <c r="P4560" s="30" t="s">
        <v>8044</v>
      </c>
      <c r="Q4560" t="s">
        <v>619</v>
      </c>
      <c r="R4560" t="s">
        <v>917</v>
      </c>
      <c r="S4560">
        <v>37</v>
      </c>
      <c r="T4560" s="29" t="str">
        <f>HYPERLINK("https://ictv.global/ictv/proposals/2021.070B.R.Rerduovirus_new_species.zip","2021.070B.R.Rerduovirus_new_species.zip")</f>
        <v>2021.070B.R.Rerduovirus_new_species.zip</v>
      </c>
      <c r="U4560" s="29" t="str">
        <f>HYPERLINK("https://ictv.global/taxonomy/taxondetails?taxnode_id=202312893","ictv.global=202312893")</f>
        <v>ictv.global=202312893</v>
      </c>
    </row>
    <row r="4561" spans="1:21">
      <c r="A4561">
        <v>4560</v>
      </c>
      <c r="B4561" s="30" t="s">
        <v>1587</v>
      </c>
      <c r="D4561" s="30" t="s">
        <v>1588</v>
      </c>
      <c r="F4561" s="30" t="s">
        <v>1591</v>
      </c>
      <c r="H4561" s="30" t="s">
        <v>1592</v>
      </c>
      <c r="N4561" s="30" t="s">
        <v>1540</v>
      </c>
      <c r="P4561" s="30" t="s">
        <v>8045</v>
      </c>
      <c r="Q4561" t="s">
        <v>619</v>
      </c>
      <c r="R4561" t="s">
        <v>918</v>
      </c>
      <c r="S4561">
        <v>37</v>
      </c>
      <c r="T4561" s="29" t="str">
        <f>HYPERLINK("https://ictv.global/ictv/proposals/2021.010B.R.Binomial_names.zip","2021.010B.R.Binomial_names.zip")</f>
        <v>2021.010B.R.Binomial_names.zip</v>
      </c>
      <c r="U4561" s="29" t="str">
        <f>HYPERLINK("https://ictv.global/taxonomy/taxondetails?taxnode_id=202301245","ictv.global=202301245")</f>
        <v>ictv.global=202301245</v>
      </c>
    </row>
    <row r="4562" spans="1:21">
      <c r="A4562">
        <v>4561</v>
      </c>
      <c r="B4562" s="30" t="s">
        <v>1587</v>
      </c>
      <c r="D4562" s="30" t="s">
        <v>1588</v>
      </c>
      <c r="F4562" s="30" t="s">
        <v>1591</v>
      </c>
      <c r="H4562" s="30" t="s">
        <v>1592</v>
      </c>
      <c r="N4562" s="30" t="s">
        <v>1540</v>
      </c>
      <c r="P4562" s="30" t="s">
        <v>8046</v>
      </c>
      <c r="Q4562" t="s">
        <v>619</v>
      </c>
      <c r="R4562" t="s">
        <v>918</v>
      </c>
      <c r="S4562">
        <v>37</v>
      </c>
      <c r="T4562" s="29" t="str">
        <f>HYPERLINK("https://ictv.global/ictv/proposals/2021.010B.R.Binomial_names.zip","2021.010B.R.Binomial_names.zip")</f>
        <v>2021.010B.R.Binomial_names.zip</v>
      </c>
      <c r="U4562" s="29" t="str">
        <f>HYPERLINK("https://ictv.global/taxonomy/taxondetails?taxnode_id=202301363","ictv.global=202301363")</f>
        <v>ictv.global=202301363</v>
      </c>
    </row>
    <row r="4563" spans="1:21">
      <c r="A4563">
        <v>4562</v>
      </c>
      <c r="B4563" s="30" t="s">
        <v>1587</v>
      </c>
      <c r="D4563" s="30" t="s">
        <v>1588</v>
      </c>
      <c r="F4563" s="30" t="s">
        <v>1591</v>
      </c>
      <c r="H4563" s="30" t="s">
        <v>1592</v>
      </c>
      <c r="N4563" s="30" t="s">
        <v>1540</v>
      </c>
      <c r="P4563" s="30" t="s">
        <v>8047</v>
      </c>
      <c r="Q4563" t="s">
        <v>619</v>
      </c>
      <c r="R4563" t="s">
        <v>917</v>
      </c>
      <c r="S4563">
        <v>37</v>
      </c>
      <c r="T4563" s="29" t="str">
        <f>HYPERLINK("https://ictv.global/ictv/proposals/2021.070B.R.Rerduovirus_new_species.zip","2021.070B.R.Rerduovirus_new_species.zip")</f>
        <v>2021.070B.R.Rerduovirus_new_species.zip</v>
      </c>
      <c r="U4563" s="29" t="str">
        <f>HYPERLINK("https://ictv.global/taxonomy/taxondetails?taxnode_id=202312895","ictv.global=202312895")</f>
        <v>ictv.global=202312895</v>
      </c>
    </row>
    <row r="4564" spans="1:21">
      <c r="A4564">
        <v>4563</v>
      </c>
      <c r="B4564" s="30" t="s">
        <v>1587</v>
      </c>
      <c r="D4564" s="30" t="s">
        <v>1588</v>
      </c>
      <c r="F4564" s="30" t="s">
        <v>1591</v>
      </c>
      <c r="H4564" s="30" t="s">
        <v>1592</v>
      </c>
      <c r="N4564" s="30" t="s">
        <v>8048</v>
      </c>
      <c r="P4564" s="30" t="s">
        <v>8049</v>
      </c>
      <c r="Q4564" t="s">
        <v>619</v>
      </c>
      <c r="R4564" t="s">
        <v>917</v>
      </c>
      <c r="S4564">
        <v>38</v>
      </c>
      <c r="T4564" s="29" t="str">
        <f>HYPERLINK("https://ictv.global/ictv/proposals/2022.080B.Caudoviricetes_6ng.zip","2022.080B.Caudoviricetes_6ng.zip")</f>
        <v>2022.080B.Caudoviricetes_6ng.zip</v>
      </c>
      <c r="U4564" s="29" t="str">
        <f>HYPERLINK("https://ictv.global/taxonomy/taxondetails?taxnode_id=202314864","ictv.global=202314864")</f>
        <v>ictv.global=202314864</v>
      </c>
    </row>
    <row r="4565" spans="1:21">
      <c r="A4565">
        <v>4564</v>
      </c>
      <c r="B4565" s="30" t="s">
        <v>1587</v>
      </c>
      <c r="D4565" s="30" t="s">
        <v>1588</v>
      </c>
      <c r="F4565" s="30" t="s">
        <v>1591</v>
      </c>
      <c r="H4565" s="30" t="s">
        <v>1592</v>
      </c>
      <c r="N4565" s="30" t="s">
        <v>8048</v>
      </c>
      <c r="P4565" s="30" t="s">
        <v>8050</v>
      </c>
      <c r="Q4565" t="s">
        <v>619</v>
      </c>
      <c r="R4565" t="s">
        <v>917</v>
      </c>
      <c r="S4565">
        <v>38</v>
      </c>
      <c r="T4565" s="29" t="str">
        <f>HYPERLINK("https://ictv.global/ictv/proposals/2022.080B.Caudoviricetes_6ng.zip","2022.080B.Caudoviricetes_6ng.zip")</f>
        <v>2022.080B.Caudoviricetes_6ng.zip</v>
      </c>
      <c r="U4565" s="29" t="str">
        <f>HYPERLINK("https://ictv.global/taxonomy/taxondetails?taxnode_id=202314863","ictv.global=202314863")</f>
        <v>ictv.global=202314863</v>
      </c>
    </row>
    <row r="4566" spans="1:21">
      <c r="A4566">
        <v>4565</v>
      </c>
      <c r="B4566" s="30" t="s">
        <v>1587</v>
      </c>
      <c r="D4566" s="30" t="s">
        <v>1588</v>
      </c>
      <c r="F4566" s="30" t="s">
        <v>1591</v>
      </c>
      <c r="H4566" s="30" t="s">
        <v>1592</v>
      </c>
      <c r="N4566" s="30" t="s">
        <v>1541</v>
      </c>
      <c r="P4566" s="30" t="s">
        <v>8051</v>
      </c>
      <c r="Q4566" t="s">
        <v>619</v>
      </c>
      <c r="R4566" t="s">
        <v>918</v>
      </c>
      <c r="S4566">
        <v>37</v>
      </c>
      <c r="T4566" s="29" t="str">
        <f>HYPERLINK("https://ictv.global/ictv/proposals/2021.010B.R.Binomial_names.zip","2021.010B.R.Binomial_names.zip")</f>
        <v>2021.010B.R.Binomial_names.zip</v>
      </c>
      <c r="U4566" s="29" t="str">
        <f>HYPERLINK("https://ictv.global/taxonomy/taxondetails?taxnode_id=202306863","ictv.global=202306863")</f>
        <v>ictv.global=202306863</v>
      </c>
    </row>
    <row r="4567" spans="1:21">
      <c r="A4567">
        <v>4566</v>
      </c>
      <c r="B4567" s="30" t="s">
        <v>1587</v>
      </c>
      <c r="D4567" s="30" t="s">
        <v>1588</v>
      </c>
      <c r="F4567" s="30" t="s">
        <v>1591</v>
      </c>
      <c r="H4567" s="30" t="s">
        <v>1592</v>
      </c>
      <c r="N4567" s="30" t="s">
        <v>1542</v>
      </c>
      <c r="P4567" s="30" t="s">
        <v>8052</v>
      </c>
      <c r="Q4567" t="s">
        <v>619</v>
      </c>
      <c r="R4567" t="s">
        <v>918</v>
      </c>
      <c r="S4567">
        <v>37</v>
      </c>
      <c r="T4567" s="29" t="str">
        <f>HYPERLINK("https://ictv.global/ictv/proposals/2021.010B.R.Binomial_names.zip","2021.010B.R.Binomial_names.zip")</f>
        <v>2021.010B.R.Binomial_names.zip</v>
      </c>
      <c r="U4567" s="29" t="str">
        <f>HYPERLINK("https://ictv.global/taxonomy/taxondetails?taxnode_id=202306752","ictv.global=202306752")</f>
        <v>ictv.global=202306752</v>
      </c>
    </row>
    <row r="4568" spans="1:21">
      <c r="A4568">
        <v>4567</v>
      </c>
      <c r="B4568" s="30" t="s">
        <v>1587</v>
      </c>
      <c r="D4568" s="30" t="s">
        <v>1588</v>
      </c>
      <c r="F4568" s="30" t="s">
        <v>1591</v>
      </c>
      <c r="H4568" s="30" t="s">
        <v>1592</v>
      </c>
      <c r="N4568" s="30" t="s">
        <v>1542</v>
      </c>
      <c r="P4568" s="30" t="s">
        <v>8053</v>
      </c>
      <c r="Q4568" t="s">
        <v>619</v>
      </c>
      <c r="R4568" t="s">
        <v>918</v>
      </c>
      <c r="S4568">
        <v>37</v>
      </c>
      <c r="T4568" s="29" t="str">
        <f>HYPERLINK("https://ictv.global/ictv/proposals/2021.010B.R.Binomial_names.zip","2021.010B.R.Binomial_names.zip")</f>
        <v>2021.010B.R.Binomial_names.zip</v>
      </c>
      <c r="U4568" s="29" t="str">
        <f>HYPERLINK("https://ictv.global/taxonomy/taxondetails?taxnode_id=202306751","ictv.global=202306751")</f>
        <v>ictv.global=202306751</v>
      </c>
    </row>
    <row r="4569" spans="1:21">
      <c r="A4569">
        <v>4568</v>
      </c>
      <c r="B4569" s="30" t="s">
        <v>1587</v>
      </c>
      <c r="D4569" s="30" t="s">
        <v>1588</v>
      </c>
      <c r="F4569" s="30" t="s">
        <v>1591</v>
      </c>
      <c r="H4569" s="30" t="s">
        <v>1592</v>
      </c>
      <c r="N4569" s="30" t="s">
        <v>8056</v>
      </c>
      <c r="P4569" s="30" t="s">
        <v>8057</v>
      </c>
      <c r="Q4569" t="s">
        <v>619</v>
      </c>
      <c r="R4569" t="s">
        <v>917</v>
      </c>
      <c r="S4569">
        <v>38</v>
      </c>
      <c r="T4569" s="29" t="str">
        <f>HYPERLINK("https://ictv.global/ictv/proposals/2022.070B.Rivsvirus_ng.zip","2022.070B.Rivsvirus_ng.zip")</f>
        <v>2022.070B.Rivsvirus_ng.zip</v>
      </c>
      <c r="U4569" s="29" t="str">
        <f>HYPERLINK("https://ictv.global/taxonomy/taxondetails?taxnode_id=202314795","ictv.global=202314795")</f>
        <v>ictv.global=202314795</v>
      </c>
    </row>
    <row r="4570" spans="1:21">
      <c r="A4570">
        <v>4569</v>
      </c>
      <c r="B4570" s="30" t="s">
        <v>1587</v>
      </c>
      <c r="D4570" s="30" t="s">
        <v>1588</v>
      </c>
      <c r="F4570" s="30" t="s">
        <v>1591</v>
      </c>
      <c r="H4570" s="30" t="s">
        <v>1592</v>
      </c>
      <c r="N4570" s="30" t="s">
        <v>2476</v>
      </c>
      <c r="P4570" s="30" t="s">
        <v>8058</v>
      </c>
      <c r="Q4570" t="s">
        <v>619</v>
      </c>
      <c r="R4570" t="s">
        <v>918</v>
      </c>
      <c r="S4570">
        <v>37</v>
      </c>
      <c r="T4570" s="29" t="str">
        <f t="shared" ref="T4570:T4579" si="208">HYPERLINK("https://ictv.global/ictv/proposals/2021.010B.R.Binomial_names.zip","2021.010B.R.Binomial_names.zip")</f>
        <v>2021.010B.R.Binomial_names.zip</v>
      </c>
      <c r="U4570" s="29" t="str">
        <f>HYPERLINK("https://ictv.global/taxonomy/taxondetails?taxnode_id=202301210","ictv.global=202301210")</f>
        <v>ictv.global=202301210</v>
      </c>
    </row>
    <row r="4571" spans="1:21">
      <c r="A4571">
        <v>4570</v>
      </c>
      <c r="B4571" s="30" t="s">
        <v>1587</v>
      </c>
      <c r="D4571" s="30" t="s">
        <v>1588</v>
      </c>
      <c r="F4571" s="30" t="s">
        <v>1591</v>
      </c>
      <c r="H4571" s="30" t="s">
        <v>1592</v>
      </c>
      <c r="N4571" s="30" t="s">
        <v>2476</v>
      </c>
      <c r="P4571" s="30" t="s">
        <v>8059</v>
      </c>
      <c r="Q4571" t="s">
        <v>619</v>
      </c>
      <c r="R4571" t="s">
        <v>918</v>
      </c>
      <c r="S4571">
        <v>37</v>
      </c>
      <c r="T4571" s="29" t="str">
        <f t="shared" si="208"/>
        <v>2021.010B.R.Binomial_names.zip</v>
      </c>
      <c r="U4571" s="29" t="str">
        <f>HYPERLINK("https://ictv.global/taxonomy/taxondetails?taxnode_id=202311676","ictv.global=202311676")</f>
        <v>ictv.global=202311676</v>
      </c>
    </row>
    <row r="4572" spans="1:21">
      <c r="A4572">
        <v>4571</v>
      </c>
      <c r="B4572" s="30" t="s">
        <v>1587</v>
      </c>
      <c r="D4572" s="30" t="s">
        <v>1588</v>
      </c>
      <c r="F4572" s="30" t="s">
        <v>1591</v>
      </c>
      <c r="H4572" s="30" t="s">
        <v>1592</v>
      </c>
      <c r="N4572" s="30" t="s">
        <v>2476</v>
      </c>
      <c r="P4572" s="30" t="s">
        <v>8060</v>
      </c>
      <c r="Q4572" t="s">
        <v>619</v>
      </c>
      <c r="R4572" t="s">
        <v>918</v>
      </c>
      <c r="S4572">
        <v>37</v>
      </c>
      <c r="T4572" s="29" t="str">
        <f t="shared" si="208"/>
        <v>2021.010B.R.Binomial_names.zip</v>
      </c>
      <c r="U4572" s="29" t="str">
        <f>HYPERLINK("https://ictv.global/taxonomy/taxondetails?taxnode_id=202311675","ictv.global=202311675")</f>
        <v>ictv.global=202311675</v>
      </c>
    </row>
    <row r="4573" spans="1:21">
      <c r="A4573">
        <v>4572</v>
      </c>
      <c r="B4573" s="30" t="s">
        <v>1587</v>
      </c>
      <c r="D4573" s="30" t="s">
        <v>1588</v>
      </c>
      <c r="F4573" s="30" t="s">
        <v>1591</v>
      </c>
      <c r="H4573" s="30" t="s">
        <v>1592</v>
      </c>
      <c r="N4573" s="30" t="s">
        <v>2476</v>
      </c>
      <c r="P4573" s="30" t="s">
        <v>8061</v>
      </c>
      <c r="Q4573" t="s">
        <v>619</v>
      </c>
      <c r="R4573" t="s">
        <v>918</v>
      </c>
      <c r="S4573">
        <v>37</v>
      </c>
      <c r="T4573" s="29" t="str">
        <f t="shared" si="208"/>
        <v>2021.010B.R.Binomial_names.zip</v>
      </c>
      <c r="U4573" s="29" t="str">
        <f>HYPERLINK("https://ictv.global/taxonomy/taxondetails?taxnode_id=202301212","ictv.global=202301212")</f>
        <v>ictv.global=202301212</v>
      </c>
    </row>
    <row r="4574" spans="1:21">
      <c r="A4574">
        <v>4573</v>
      </c>
      <c r="B4574" s="30" t="s">
        <v>1587</v>
      </c>
      <c r="D4574" s="30" t="s">
        <v>1588</v>
      </c>
      <c r="F4574" s="30" t="s">
        <v>1591</v>
      </c>
      <c r="H4574" s="30" t="s">
        <v>1592</v>
      </c>
      <c r="N4574" s="30" t="s">
        <v>2476</v>
      </c>
      <c r="P4574" s="30" t="s">
        <v>8062</v>
      </c>
      <c r="Q4574" t="s">
        <v>619</v>
      </c>
      <c r="R4574" t="s">
        <v>918</v>
      </c>
      <c r="S4574">
        <v>37</v>
      </c>
      <c r="T4574" s="29" t="str">
        <f t="shared" si="208"/>
        <v>2021.010B.R.Binomial_names.zip</v>
      </c>
      <c r="U4574" s="29" t="str">
        <f>HYPERLINK("https://ictv.global/taxonomy/taxondetails?taxnode_id=202301213","ictv.global=202301213")</f>
        <v>ictv.global=202301213</v>
      </c>
    </row>
    <row r="4575" spans="1:21">
      <c r="A4575">
        <v>4574</v>
      </c>
      <c r="B4575" s="30" t="s">
        <v>1587</v>
      </c>
      <c r="D4575" s="30" t="s">
        <v>1588</v>
      </c>
      <c r="F4575" s="30" t="s">
        <v>1591</v>
      </c>
      <c r="H4575" s="30" t="s">
        <v>1592</v>
      </c>
      <c r="N4575" s="30" t="s">
        <v>2476</v>
      </c>
      <c r="P4575" s="30" t="s">
        <v>8063</v>
      </c>
      <c r="Q4575" t="s">
        <v>619</v>
      </c>
      <c r="R4575" t="s">
        <v>918</v>
      </c>
      <c r="S4575">
        <v>37</v>
      </c>
      <c r="T4575" s="29" t="str">
        <f t="shared" si="208"/>
        <v>2021.010B.R.Binomial_names.zip</v>
      </c>
      <c r="U4575" s="29" t="str">
        <f>HYPERLINK("https://ictv.global/taxonomy/taxondetails?taxnode_id=202301215","ictv.global=202301215")</f>
        <v>ictv.global=202301215</v>
      </c>
    </row>
    <row r="4576" spans="1:21">
      <c r="A4576">
        <v>4575</v>
      </c>
      <c r="B4576" s="30" t="s">
        <v>1587</v>
      </c>
      <c r="D4576" s="30" t="s">
        <v>1588</v>
      </c>
      <c r="F4576" s="30" t="s">
        <v>1591</v>
      </c>
      <c r="H4576" s="30" t="s">
        <v>1592</v>
      </c>
      <c r="N4576" s="30" t="s">
        <v>2477</v>
      </c>
      <c r="P4576" s="30" t="s">
        <v>8064</v>
      </c>
      <c r="Q4576" t="s">
        <v>619</v>
      </c>
      <c r="R4576" t="s">
        <v>918</v>
      </c>
      <c r="S4576">
        <v>37</v>
      </c>
      <c r="T4576" s="29" t="str">
        <f t="shared" si="208"/>
        <v>2021.010B.R.Binomial_names.zip</v>
      </c>
      <c r="U4576" s="29" t="str">
        <f>HYPERLINK("https://ictv.global/taxonomy/taxondetails?taxnode_id=202311678","ictv.global=202311678")</f>
        <v>ictv.global=202311678</v>
      </c>
    </row>
    <row r="4577" spans="1:21">
      <c r="A4577">
        <v>4576</v>
      </c>
      <c r="B4577" s="30" t="s">
        <v>1587</v>
      </c>
      <c r="D4577" s="30" t="s">
        <v>1588</v>
      </c>
      <c r="F4577" s="30" t="s">
        <v>1591</v>
      </c>
      <c r="H4577" s="30" t="s">
        <v>1592</v>
      </c>
      <c r="N4577" s="30" t="s">
        <v>1932</v>
      </c>
      <c r="P4577" s="30" t="s">
        <v>8065</v>
      </c>
      <c r="Q4577" t="s">
        <v>619</v>
      </c>
      <c r="R4577" t="s">
        <v>918</v>
      </c>
      <c r="S4577">
        <v>37</v>
      </c>
      <c r="T4577" s="29" t="str">
        <f t="shared" si="208"/>
        <v>2021.010B.R.Binomial_names.zip</v>
      </c>
      <c r="U4577" s="29" t="str">
        <f>HYPERLINK("https://ictv.global/taxonomy/taxondetails?taxnode_id=202307546","ictv.global=202307546")</f>
        <v>ictv.global=202307546</v>
      </c>
    </row>
    <row r="4578" spans="1:21">
      <c r="A4578">
        <v>4577</v>
      </c>
      <c r="B4578" s="30" t="s">
        <v>1587</v>
      </c>
      <c r="D4578" s="30" t="s">
        <v>1588</v>
      </c>
      <c r="F4578" s="30" t="s">
        <v>1591</v>
      </c>
      <c r="H4578" s="30" t="s">
        <v>1592</v>
      </c>
      <c r="N4578" s="30" t="s">
        <v>1933</v>
      </c>
      <c r="P4578" s="30" t="s">
        <v>8066</v>
      </c>
      <c r="Q4578" t="s">
        <v>619</v>
      </c>
      <c r="R4578" t="s">
        <v>918</v>
      </c>
      <c r="S4578">
        <v>37</v>
      </c>
      <c r="T4578" s="29" t="str">
        <f t="shared" si="208"/>
        <v>2021.010B.R.Binomial_names.zip</v>
      </c>
      <c r="U4578" s="29" t="str">
        <f>HYPERLINK("https://ictv.global/taxonomy/taxondetails?taxnode_id=202307556","ictv.global=202307556")</f>
        <v>ictv.global=202307556</v>
      </c>
    </row>
    <row r="4579" spans="1:21">
      <c r="A4579">
        <v>4578</v>
      </c>
      <c r="B4579" s="30" t="s">
        <v>1587</v>
      </c>
      <c r="D4579" s="30" t="s">
        <v>1588</v>
      </c>
      <c r="F4579" s="30" t="s">
        <v>1591</v>
      </c>
      <c r="H4579" s="30" t="s">
        <v>1592</v>
      </c>
      <c r="N4579" s="30" t="s">
        <v>1933</v>
      </c>
      <c r="P4579" s="30" t="s">
        <v>8067</v>
      </c>
      <c r="Q4579" t="s">
        <v>619</v>
      </c>
      <c r="R4579" t="s">
        <v>918</v>
      </c>
      <c r="S4579">
        <v>37</v>
      </c>
      <c r="T4579" s="29" t="str">
        <f t="shared" si="208"/>
        <v>2021.010B.R.Binomial_names.zip</v>
      </c>
      <c r="U4579" s="29" t="str">
        <f>HYPERLINK("https://ictv.global/taxonomy/taxondetails?taxnode_id=202307555","ictv.global=202307555")</f>
        <v>ictv.global=202307555</v>
      </c>
    </row>
    <row r="4580" spans="1:21">
      <c r="A4580">
        <v>4579</v>
      </c>
      <c r="B4580" s="30" t="s">
        <v>1587</v>
      </c>
      <c r="D4580" s="30" t="s">
        <v>1588</v>
      </c>
      <c r="F4580" s="30" t="s">
        <v>1591</v>
      </c>
      <c r="H4580" s="30" t="s">
        <v>1592</v>
      </c>
      <c r="N4580" s="30" t="s">
        <v>8068</v>
      </c>
      <c r="P4580" s="30" t="s">
        <v>8069</v>
      </c>
      <c r="Q4580" t="s">
        <v>619</v>
      </c>
      <c r="R4580" t="s">
        <v>917</v>
      </c>
      <c r="S4580">
        <v>37</v>
      </c>
      <c r="T4580" s="29" t="str">
        <f>HYPERLINK("https://ictv.global/ictv/proposals/2021.071B.R.Rosariovirus.zip","2021.071B.R.Rosariovirus.zip")</f>
        <v>2021.071B.R.Rosariovirus.zip</v>
      </c>
      <c r="U4580" s="29" t="str">
        <f>HYPERLINK("https://ictv.global/taxonomy/taxondetails?taxnode_id=202312897","ictv.global=202312897")</f>
        <v>ictv.global=202312897</v>
      </c>
    </row>
    <row r="4581" spans="1:21">
      <c r="A4581">
        <v>4580</v>
      </c>
      <c r="B4581" s="30" t="s">
        <v>1587</v>
      </c>
      <c r="D4581" s="30" t="s">
        <v>1588</v>
      </c>
      <c r="F4581" s="30" t="s">
        <v>1591</v>
      </c>
      <c r="H4581" s="30" t="s">
        <v>1592</v>
      </c>
      <c r="N4581" s="30" t="s">
        <v>1845</v>
      </c>
      <c r="P4581" s="30" t="s">
        <v>8070</v>
      </c>
      <c r="Q4581" t="s">
        <v>619</v>
      </c>
      <c r="R4581" t="s">
        <v>918</v>
      </c>
      <c r="S4581">
        <v>37</v>
      </c>
      <c r="T4581" s="29" t="str">
        <f>HYPERLINK("https://ictv.global/ictv/proposals/2021.010B.R.Binomial_names.zip","2021.010B.R.Binomial_names.zip")</f>
        <v>2021.010B.R.Binomial_names.zip</v>
      </c>
      <c r="U4581" s="29" t="str">
        <f>HYPERLINK("https://ictv.global/taxonomy/taxondetails?taxnode_id=202311684","ictv.global=202311684")</f>
        <v>ictv.global=202311684</v>
      </c>
    </row>
    <row r="4582" spans="1:21">
      <c r="A4582">
        <v>4581</v>
      </c>
      <c r="B4582" s="30" t="s">
        <v>1587</v>
      </c>
      <c r="D4582" s="30" t="s">
        <v>1588</v>
      </c>
      <c r="F4582" s="30" t="s">
        <v>1591</v>
      </c>
      <c r="H4582" s="30" t="s">
        <v>1592</v>
      </c>
      <c r="N4582" s="30" t="s">
        <v>1845</v>
      </c>
      <c r="P4582" s="30" t="s">
        <v>8071</v>
      </c>
      <c r="Q4582" t="s">
        <v>619</v>
      </c>
      <c r="R4582" t="s">
        <v>918</v>
      </c>
      <c r="S4582">
        <v>37</v>
      </c>
      <c r="T4582" s="29" t="str">
        <f>HYPERLINK("https://ictv.global/ictv/proposals/2021.010B.R.Binomial_names.zip","2021.010B.R.Binomial_names.zip")</f>
        <v>2021.010B.R.Binomial_names.zip</v>
      </c>
      <c r="U4582" s="29" t="str">
        <f>HYPERLINK("https://ictv.global/taxonomy/taxondetails?taxnode_id=202307916","ictv.global=202307916")</f>
        <v>ictv.global=202307916</v>
      </c>
    </row>
    <row r="4583" spans="1:21">
      <c r="A4583">
        <v>4582</v>
      </c>
      <c r="B4583" s="30" t="s">
        <v>1587</v>
      </c>
      <c r="D4583" s="30" t="s">
        <v>1588</v>
      </c>
      <c r="F4583" s="30" t="s">
        <v>1591</v>
      </c>
      <c r="H4583" s="30" t="s">
        <v>1592</v>
      </c>
      <c r="N4583" s="30" t="s">
        <v>1845</v>
      </c>
      <c r="P4583" s="30" t="s">
        <v>8072</v>
      </c>
      <c r="Q4583" t="s">
        <v>619</v>
      </c>
      <c r="R4583" t="s">
        <v>918</v>
      </c>
      <c r="S4583">
        <v>37</v>
      </c>
      <c r="T4583" s="29" t="str">
        <f>HYPERLINK("https://ictv.global/ictv/proposals/2021.010B.R.Binomial_names.zip","2021.010B.R.Binomial_names.zip")</f>
        <v>2021.010B.R.Binomial_names.zip</v>
      </c>
      <c r="U4583" s="29" t="str">
        <f>HYPERLINK("https://ictv.global/taxonomy/taxondetails?taxnode_id=202311682","ictv.global=202311682")</f>
        <v>ictv.global=202311682</v>
      </c>
    </row>
    <row r="4584" spans="1:21">
      <c r="A4584">
        <v>4583</v>
      </c>
      <c r="B4584" s="30" t="s">
        <v>1587</v>
      </c>
      <c r="D4584" s="30" t="s">
        <v>1588</v>
      </c>
      <c r="F4584" s="30" t="s">
        <v>1591</v>
      </c>
      <c r="H4584" s="30" t="s">
        <v>1592</v>
      </c>
      <c r="N4584" s="30" t="s">
        <v>1845</v>
      </c>
      <c r="P4584" s="30" t="s">
        <v>8073</v>
      </c>
      <c r="Q4584" t="s">
        <v>619</v>
      </c>
      <c r="R4584" t="s">
        <v>918</v>
      </c>
      <c r="S4584">
        <v>37</v>
      </c>
      <c r="T4584" s="29" t="str">
        <f>HYPERLINK("https://ictv.global/ictv/proposals/2021.010B.R.Binomial_names.zip","2021.010B.R.Binomial_names.zip")</f>
        <v>2021.010B.R.Binomial_names.zip</v>
      </c>
      <c r="U4584" s="29" t="str">
        <f>HYPERLINK("https://ictv.global/taxonomy/taxondetails?taxnode_id=202311685","ictv.global=202311685")</f>
        <v>ictv.global=202311685</v>
      </c>
    </row>
    <row r="4585" spans="1:21">
      <c r="A4585">
        <v>4584</v>
      </c>
      <c r="B4585" s="30" t="s">
        <v>1587</v>
      </c>
      <c r="D4585" s="30" t="s">
        <v>1588</v>
      </c>
      <c r="F4585" s="30" t="s">
        <v>1591</v>
      </c>
      <c r="H4585" s="30" t="s">
        <v>1592</v>
      </c>
      <c r="N4585" s="30" t="s">
        <v>1845</v>
      </c>
      <c r="P4585" s="30" t="s">
        <v>8074</v>
      </c>
      <c r="Q4585" t="s">
        <v>619</v>
      </c>
      <c r="R4585" t="s">
        <v>918</v>
      </c>
      <c r="S4585">
        <v>37</v>
      </c>
      <c r="T4585" s="29" t="str">
        <f>HYPERLINK("https://ictv.global/ictv/proposals/2021.010B.R.Binomial_names.zip","2021.010B.R.Binomial_names.zip")</f>
        <v>2021.010B.R.Binomial_names.zip</v>
      </c>
      <c r="U4585" s="29" t="str">
        <f>HYPERLINK("https://ictv.global/taxonomy/taxondetails?taxnode_id=202311683","ictv.global=202311683")</f>
        <v>ictv.global=202311683</v>
      </c>
    </row>
    <row r="4586" spans="1:21">
      <c r="A4586">
        <v>4585</v>
      </c>
      <c r="B4586" s="30" t="s">
        <v>1587</v>
      </c>
      <c r="D4586" s="30" t="s">
        <v>1588</v>
      </c>
      <c r="F4586" s="30" t="s">
        <v>1591</v>
      </c>
      <c r="H4586" s="30" t="s">
        <v>1592</v>
      </c>
      <c r="N4586" s="30" t="s">
        <v>8075</v>
      </c>
      <c r="P4586" s="30" t="s">
        <v>8076</v>
      </c>
      <c r="Q4586" t="s">
        <v>619</v>
      </c>
      <c r="R4586" t="s">
        <v>917</v>
      </c>
      <c r="S4586">
        <v>38</v>
      </c>
      <c r="T4586" s="29" t="str">
        <f>HYPERLINK("https://ictv.global/ictv/proposals/2022.071B.Roslyckyvirus_ng.zip","2022.071B.Roslyckyvirus_ng.zip")</f>
        <v>2022.071B.Roslyckyvirus_ng.zip</v>
      </c>
      <c r="U4586" s="29" t="str">
        <f>HYPERLINK("https://ictv.global/taxonomy/taxondetails?taxnode_id=202314797","ictv.global=202314797")</f>
        <v>ictv.global=202314797</v>
      </c>
    </row>
    <row r="4587" spans="1:21">
      <c r="A4587">
        <v>4586</v>
      </c>
      <c r="B4587" s="30" t="s">
        <v>1587</v>
      </c>
      <c r="D4587" s="30" t="s">
        <v>1588</v>
      </c>
      <c r="F4587" s="30" t="s">
        <v>1591</v>
      </c>
      <c r="H4587" s="30" t="s">
        <v>1592</v>
      </c>
      <c r="N4587" s="30" t="s">
        <v>1543</v>
      </c>
      <c r="P4587" s="30" t="s">
        <v>8077</v>
      </c>
      <c r="Q4587" t="s">
        <v>619</v>
      </c>
      <c r="R4587" t="s">
        <v>918</v>
      </c>
      <c r="S4587">
        <v>37</v>
      </c>
      <c r="T4587" s="29" t="str">
        <f>HYPERLINK("https://ictv.global/ictv/proposals/2021.010B.R.Binomial_names.zip","2021.010B.R.Binomial_names.zip")</f>
        <v>2021.010B.R.Binomial_names.zip</v>
      </c>
      <c r="U4587" s="29" t="str">
        <f>HYPERLINK("https://ictv.global/taxonomy/taxondetails?taxnode_id=202301235","ictv.global=202301235")</f>
        <v>ictv.global=202301235</v>
      </c>
    </row>
    <row r="4588" spans="1:21">
      <c r="A4588">
        <v>4587</v>
      </c>
      <c r="B4588" s="30" t="s">
        <v>1587</v>
      </c>
      <c r="D4588" s="30" t="s">
        <v>1588</v>
      </c>
      <c r="F4588" s="30" t="s">
        <v>1591</v>
      </c>
      <c r="H4588" s="30" t="s">
        <v>1592</v>
      </c>
      <c r="N4588" s="30" t="s">
        <v>12681</v>
      </c>
      <c r="P4588" s="30" t="s">
        <v>12682</v>
      </c>
      <c r="Q4588" t="s">
        <v>619</v>
      </c>
      <c r="R4588" t="s">
        <v>917</v>
      </c>
      <c r="S4588">
        <v>39</v>
      </c>
      <c r="T4588" s="29" t="str">
        <f>HYPERLINK("https://ictv.global/ictv/proposals/2023.056B.Caudoviricetes_Serratia_2ng.zip","2023.056B.Caudoviricetes_Serratia_2ng.zip")</f>
        <v>2023.056B.Caudoviricetes_Serratia_2ng.zip</v>
      </c>
      <c r="U4588" s="29" t="str">
        <f>HYPERLINK("https://ictv.global/taxonomy/taxondetails?taxnode_id=202319252","ictv.global=202319252")</f>
        <v>ictv.global=202319252</v>
      </c>
    </row>
    <row r="4589" spans="1:21">
      <c r="A4589">
        <v>4588</v>
      </c>
      <c r="B4589" s="30" t="s">
        <v>1587</v>
      </c>
      <c r="D4589" s="30" t="s">
        <v>1588</v>
      </c>
      <c r="F4589" s="30" t="s">
        <v>1591</v>
      </c>
      <c r="H4589" s="30" t="s">
        <v>1592</v>
      </c>
      <c r="N4589" s="30" t="s">
        <v>1934</v>
      </c>
      <c r="P4589" s="30" t="s">
        <v>8078</v>
      </c>
      <c r="Q4589" t="s">
        <v>619</v>
      </c>
      <c r="R4589" t="s">
        <v>918</v>
      </c>
      <c r="S4589">
        <v>37</v>
      </c>
      <c r="T4589" s="29" t="str">
        <f t="shared" ref="T4589:T4595" si="209">HYPERLINK("https://ictv.global/ictv/proposals/2021.010B.R.Binomial_names.zip","2021.010B.R.Binomial_names.zip")</f>
        <v>2021.010B.R.Binomial_names.zip</v>
      </c>
      <c r="U4589" s="29" t="str">
        <f>HYPERLINK("https://ictv.global/taxonomy/taxondetails?taxnode_id=202308025","ictv.global=202308025")</f>
        <v>ictv.global=202308025</v>
      </c>
    </row>
    <row r="4590" spans="1:21">
      <c r="A4590">
        <v>4589</v>
      </c>
      <c r="B4590" s="30" t="s">
        <v>1587</v>
      </c>
      <c r="D4590" s="30" t="s">
        <v>1588</v>
      </c>
      <c r="F4590" s="30" t="s">
        <v>1591</v>
      </c>
      <c r="H4590" s="30" t="s">
        <v>1592</v>
      </c>
      <c r="N4590" s="30" t="s">
        <v>1935</v>
      </c>
      <c r="P4590" s="30" t="s">
        <v>8079</v>
      </c>
      <c r="Q4590" t="s">
        <v>619</v>
      </c>
      <c r="R4590" t="s">
        <v>918</v>
      </c>
      <c r="S4590">
        <v>37</v>
      </c>
      <c r="T4590" s="29" t="str">
        <f t="shared" si="209"/>
        <v>2021.010B.R.Binomial_names.zip</v>
      </c>
      <c r="U4590" s="29" t="str">
        <f>HYPERLINK("https://ictv.global/taxonomy/taxondetails?taxnode_id=202309982","ictv.global=202309982")</f>
        <v>ictv.global=202309982</v>
      </c>
    </row>
    <row r="4591" spans="1:21">
      <c r="A4591">
        <v>4590</v>
      </c>
      <c r="B4591" s="30" t="s">
        <v>1587</v>
      </c>
      <c r="D4591" s="30" t="s">
        <v>1588</v>
      </c>
      <c r="F4591" s="30" t="s">
        <v>1591</v>
      </c>
      <c r="H4591" s="30" t="s">
        <v>1592</v>
      </c>
      <c r="N4591" s="30" t="s">
        <v>1935</v>
      </c>
      <c r="P4591" s="30" t="s">
        <v>8080</v>
      </c>
      <c r="Q4591" t="s">
        <v>619</v>
      </c>
      <c r="R4591" t="s">
        <v>918</v>
      </c>
      <c r="S4591">
        <v>37</v>
      </c>
      <c r="T4591" s="29" t="str">
        <f t="shared" si="209"/>
        <v>2021.010B.R.Binomial_names.zip</v>
      </c>
      <c r="U4591" s="29" t="str">
        <f>HYPERLINK("https://ictv.global/taxonomy/taxondetails?taxnode_id=202307568","ictv.global=202307568")</f>
        <v>ictv.global=202307568</v>
      </c>
    </row>
    <row r="4592" spans="1:21">
      <c r="A4592">
        <v>4591</v>
      </c>
      <c r="B4592" s="30" t="s">
        <v>1587</v>
      </c>
      <c r="D4592" s="30" t="s">
        <v>1588</v>
      </c>
      <c r="F4592" s="30" t="s">
        <v>1591</v>
      </c>
      <c r="H4592" s="30" t="s">
        <v>1592</v>
      </c>
      <c r="N4592" s="30" t="s">
        <v>1866</v>
      </c>
      <c r="P4592" s="30" t="s">
        <v>8081</v>
      </c>
      <c r="Q4592" t="s">
        <v>619</v>
      </c>
      <c r="R4592" t="s">
        <v>918</v>
      </c>
      <c r="S4592">
        <v>37</v>
      </c>
      <c r="T4592" s="29" t="str">
        <f t="shared" si="209"/>
        <v>2021.010B.R.Binomial_names.zip</v>
      </c>
      <c r="U4592" s="29" t="str">
        <f>HYPERLINK("https://ictv.global/taxonomy/taxondetails?taxnode_id=202300628","ictv.global=202300628")</f>
        <v>ictv.global=202300628</v>
      </c>
    </row>
    <row r="4593" spans="1:21">
      <c r="A4593">
        <v>4592</v>
      </c>
      <c r="B4593" s="30" t="s">
        <v>1587</v>
      </c>
      <c r="D4593" s="30" t="s">
        <v>1588</v>
      </c>
      <c r="F4593" s="30" t="s">
        <v>1591</v>
      </c>
      <c r="H4593" s="30" t="s">
        <v>1592</v>
      </c>
      <c r="N4593" s="30" t="s">
        <v>1846</v>
      </c>
      <c r="P4593" s="30" t="s">
        <v>8082</v>
      </c>
      <c r="Q4593" t="s">
        <v>619</v>
      </c>
      <c r="R4593" t="s">
        <v>918</v>
      </c>
      <c r="S4593">
        <v>37</v>
      </c>
      <c r="T4593" s="29" t="str">
        <f t="shared" si="209"/>
        <v>2021.010B.R.Binomial_names.zip</v>
      </c>
      <c r="U4593" s="29" t="str">
        <f>HYPERLINK("https://ictv.global/taxonomy/taxondetails?taxnode_id=202307935","ictv.global=202307935")</f>
        <v>ictv.global=202307935</v>
      </c>
    </row>
    <row r="4594" spans="1:21">
      <c r="A4594">
        <v>4593</v>
      </c>
      <c r="B4594" s="30" t="s">
        <v>1587</v>
      </c>
      <c r="D4594" s="30" t="s">
        <v>1588</v>
      </c>
      <c r="F4594" s="30" t="s">
        <v>1591</v>
      </c>
      <c r="H4594" s="30" t="s">
        <v>1592</v>
      </c>
      <c r="N4594" s="30" t="s">
        <v>1846</v>
      </c>
      <c r="P4594" s="30" t="s">
        <v>8083</v>
      </c>
      <c r="Q4594" t="s">
        <v>619</v>
      </c>
      <c r="R4594" t="s">
        <v>918</v>
      </c>
      <c r="S4594">
        <v>37</v>
      </c>
      <c r="T4594" s="29" t="str">
        <f t="shared" si="209"/>
        <v>2021.010B.R.Binomial_names.zip</v>
      </c>
      <c r="U4594" s="29" t="str">
        <f>HYPERLINK("https://ictv.global/taxonomy/taxondetails?taxnode_id=202307934","ictv.global=202307934")</f>
        <v>ictv.global=202307934</v>
      </c>
    </row>
    <row r="4595" spans="1:21">
      <c r="A4595">
        <v>4594</v>
      </c>
      <c r="B4595" s="30" t="s">
        <v>1587</v>
      </c>
      <c r="D4595" s="30" t="s">
        <v>1588</v>
      </c>
      <c r="F4595" s="30" t="s">
        <v>1591</v>
      </c>
      <c r="H4595" s="30" t="s">
        <v>1592</v>
      </c>
      <c r="N4595" s="30" t="s">
        <v>1846</v>
      </c>
      <c r="P4595" s="30" t="s">
        <v>8084</v>
      </c>
      <c r="Q4595" t="s">
        <v>619</v>
      </c>
      <c r="R4595" t="s">
        <v>918</v>
      </c>
      <c r="S4595">
        <v>37</v>
      </c>
      <c r="T4595" s="29" t="str">
        <f t="shared" si="209"/>
        <v>2021.010B.R.Binomial_names.zip</v>
      </c>
      <c r="U4595" s="29" t="str">
        <f>HYPERLINK("https://ictv.global/taxonomy/taxondetails?taxnode_id=202307933","ictv.global=202307933")</f>
        <v>ictv.global=202307933</v>
      </c>
    </row>
    <row r="4596" spans="1:21">
      <c r="A4596">
        <v>4595</v>
      </c>
      <c r="B4596" s="30" t="s">
        <v>1587</v>
      </c>
      <c r="D4596" s="30" t="s">
        <v>1588</v>
      </c>
      <c r="F4596" s="30" t="s">
        <v>1591</v>
      </c>
      <c r="H4596" s="30" t="s">
        <v>1592</v>
      </c>
      <c r="N4596" s="30" t="s">
        <v>8085</v>
      </c>
      <c r="P4596" s="30" t="s">
        <v>8086</v>
      </c>
      <c r="Q4596" t="s">
        <v>619</v>
      </c>
      <c r="R4596" t="s">
        <v>917</v>
      </c>
      <c r="S4596">
        <v>37</v>
      </c>
      <c r="T4596" s="29" t="str">
        <f>HYPERLINK("https://ictv.global/ictv/proposals/2021.074B.R.Sagamiharavirus.zip","2021.074B.R.Sagamiharavirus.zip")</f>
        <v>2021.074B.R.Sagamiharavirus.zip</v>
      </c>
      <c r="U4596" s="29" t="str">
        <f>HYPERLINK("https://ictv.global/taxonomy/taxondetails?taxnode_id=202312913","ictv.global=202312913")</f>
        <v>ictv.global=202312913</v>
      </c>
    </row>
    <row r="4597" spans="1:21">
      <c r="A4597">
        <v>4596</v>
      </c>
      <c r="B4597" s="30" t="s">
        <v>1587</v>
      </c>
      <c r="D4597" s="30" t="s">
        <v>1588</v>
      </c>
      <c r="F4597" s="30" t="s">
        <v>1591</v>
      </c>
      <c r="H4597" s="30" t="s">
        <v>1592</v>
      </c>
      <c r="N4597" s="30" t="s">
        <v>2288</v>
      </c>
      <c r="P4597" s="30" t="s">
        <v>8087</v>
      </c>
      <c r="Q4597" t="s">
        <v>619</v>
      </c>
      <c r="R4597" t="s">
        <v>918</v>
      </c>
      <c r="S4597">
        <v>37</v>
      </c>
      <c r="T4597" s="29" t="str">
        <f>HYPERLINK("https://ictv.global/ictv/proposals/2021.010B.R.Binomial_names.zip","2021.010B.R.Binomial_names.zip")</f>
        <v>2021.010B.R.Binomial_names.zip</v>
      </c>
      <c r="U4597" s="29" t="str">
        <f>HYPERLINK("https://ictv.global/taxonomy/taxondetails?taxnode_id=202311724","ictv.global=202311724")</f>
        <v>ictv.global=202311724</v>
      </c>
    </row>
    <row r="4598" spans="1:21">
      <c r="A4598">
        <v>4597</v>
      </c>
      <c r="B4598" s="30" t="s">
        <v>1587</v>
      </c>
      <c r="D4598" s="30" t="s">
        <v>1588</v>
      </c>
      <c r="F4598" s="30" t="s">
        <v>1591</v>
      </c>
      <c r="H4598" s="30" t="s">
        <v>1592</v>
      </c>
      <c r="N4598" s="30" t="s">
        <v>1848</v>
      </c>
      <c r="P4598" s="30" t="s">
        <v>8088</v>
      </c>
      <c r="Q4598" t="s">
        <v>619</v>
      </c>
      <c r="R4598" t="s">
        <v>918</v>
      </c>
      <c r="S4598">
        <v>37</v>
      </c>
      <c r="T4598" s="29" t="str">
        <f>HYPERLINK("https://ictv.global/ictv/proposals/2021.010B.R.Binomial_names.zip","2021.010B.R.Binomial_names.zip")</f>
        <v>2021.010B.R.Binomial_names.zip</v>
      </c>
      <c r="U4598" s="29" t="str">
        <f>HYPERLINK("https://ictv.global/taxonomy/taxondetails?taxnode_id=202307925","ictv.global=202307925")</f>
        <v>ictv.global=202307925</v>
      </c>
    </row>
    <row r="4599" spans="1:21">
      <c r="A4599">
        <v>4598</v>
      </c>
      <c r="B4599" s="30" t="s">
        <v>1587</v>
      </c>
      <c r="D4599" s="30" t="s">
        <v>1588</v>
      </c>
      <c r="F4599" s="30" t="s">
        <v>1591</v>
      </c>
      <c r="H4599" s="30" t="s">
        <v>1592</v>
      </c>
      <c r="N4599" s="30" t="s">
        <v>1848</v>
      </c>
      <c r="P4599" s="30" t="s">
        <v>8089</v>
      </c>
      <c r="Q4599" t="s">
        <v>619</v>
      </c>
      <c r="R4599" t="s">
        <v>918</v>
      </c>
      <c r="S4599">
        <v>37</v>
      </c>
      <c r="T4599" s="29" t="str">
        <f>HYPERLINK("https://ictv.global/ictv/proposals/2021.010B.R.Binomial_names.zip","2021.010B.R.Binomial_names.zip")</f>
        <v>2021.010B.R.Binomial_names.zip</v>
      </c>
      <c r="U4599" s="29" t="str">
        <f>HYPERLINK("https://ictv.global/taxonomy/taxondetails?taxnode_id=202307926","ictv.global=202307926")</f>
        <v>ictv.global=202307926</v>
      </c>
    </row>
    <row r="4600" spans="1:21">
      <c r="A4600">
        <v>4599</v>
      </c>
      <c r="B4600" s="30" t="s">
        <v>1587</v>
      </c>
      <c r="D4600" s="30" t="s">
        <v>1588</v>
      </c>
      <c r="F4600" s="30" t="s">
        <v>1591</v>
      </c>
      <c r="H4600" s="30" t="s">
        <v>1592</v>
      </c>
      <c r="N4600" s="30" t="s">
        <v>8090</v>
      </c>
      <c r="P4600" s="30" t="s">
        <v>8091</v>
      </c>
      <c r="Q4600" t="s">
        <v>619</v>
      </c>
      <c r="R4600" t="s">
        <v>917</v>
      </c>
      <c r="S4600">
        <v>37</v>
      </c>
      <c r="T4600" s="29" t="str">
        <f>HYPERLINK("https://ictv.global/ictv/proposals/2021.078B.R.Siphoviridae_new_genera.zip","2021.078B.R.Siphoviridae_new_genera.zip")</f>
        <v>2021.078B.R.Siphoviridae_new_genera.zip</v>
      </c>
      <c r="U4600" s="29" t="str">
        <f>HYPERLINK("https://ictv.global/taxonomy/taxondetails?taxnode_id=202313642","ictv.global=202313642")</f>
        <v>ictv.global=202313642</v>
      </c>
    </row>
    <row r="4601" spans="1:21">
      <c r="A4601">
        <v>4600</v>
      </c>
      <c r="B4601" s="30" t="s">
        <v>1587</v>
      </c>
      <c r="D4601" s="30" t="s">
        <v>1588</v>
      </c>
      <c r="F4601" s="30" t="s">
        <v>1591</v>
      </c>
      <c r="H4601" s="30" t="s">
        <v>1592</v>
      </c>
      <c r="N4601" s="30" t="s">
        <v>12683</v>
      </c>
      <c r="P4601" s="30" t="s">
        <v>12684</v>
      </c>
      <c r="Q4601" t="s">
        <v>619</v>
      </c>
      <c r="R4601" t="s">
        <v>917</v>
      </c>
      <c r="S4601">
        <v>39</v>
      </c>
      <c r="T4601" s="29" t="str">
        <f>HYPERLINK("https://ictv.global/ictv/proposals/2023.059B.Samaravirus_ng.zip","2023.059B.Samaravirus_ng.zip")</f>
        <v>2023.059B.Samaravirus_ng.zip</v>
      </c>
      <c r="U4601" s="29" t="str">
        <f>HYPERLINK("https://ictv.global/taxonomy/taxondetails?taxnode_id=202319266","ictv.global=202319266")</f>
        <v>ictv.global=202319266</v>
      </c>
    </row>
    <row r="4602" spans="1:21">
      <c r="A4602">
        <v>4601</v>
      </c>
      <c r="B4602" s="30" t="s">
        <v>1587</v>
      </c>
      <c r="D4602" s="30" t="s">
        <v>1588</v>
      </c>
      <c r="F4602" s="30" t="s">
        <v>1591</v>
      </c>
      <c r="H4602" s="30" t="s">
        <v>1592</v>
      </c>
      <c r="N4602" s="30" t="s">
        <v>1545</v>
      </c>
      <c r="P4602" s="30" t="s">
        <v>8092</v>
      </c>
      <c r="Q4602" t="s">
        <v>619</v>
      </c>
      <c r="R4602" t="s">
        <v>918</v>
      </c>
      <c r="S4602">
        <v>37</v>
      </c>
      <c r="T4602" s="29" t="str">
        <f t="shared" ref="T4602:T4608" si="210">HYPERLINK("https://ictv.global/ictv/proposals/2021.010B.R.Binomial_names.zip","2021.010B.R.Binomial_names.zip")</f>
        <v>2021.010B.R.Binomial_names.zip</v>
      </c>
      <c r="U4602" s="29" t="str">
        <f>HYPERLINK("https://ictv.global/taxonomy/taxondetails?taxnode_id=202306869","ictv.global=202306869")</f>
        <v>ictv.global=202306869</v>
      </c>
    </row>
    <row r="4603" spans="1:21">
      <c r="A4603">
        <v>4602</v>
      </c>
      <c r="B4603" s="30" t="s">
        <v>1587</v>
      </c>
      <c r="D4603" s="30" t="s">
        <v>1588</v>
      </c>
      <c r="F4603" s="30" t="s">
        <v>1591</v>
      </c>
      <c r="H4603" s="30" t="s">
        <v>1592</v>
      </c>
      <c r="N4603" s="30" t="s">
        <v>1936</v>
      </c>
      <c r="P4603" s="30" t="s">
        <v>8093</v>
      </c>
      <c r="Q4603" t="s">
        <v>619</v>
      </c>
      <c r="R4603" t="s">
        <v>918</v>
      </c>
      <c r="S4603">
        <v>37</v>
      </c>
      <c r="T4603" s="29" t="str">
        <f t="shared" si="210"/>
        <v>2021.010B.R.Binomial_names.zip</v>
      </c>
      <c r="U4603" s="29" t="str">
        <f>HYPERLINK("https://ictv.global/taxonomy/taxondetails?taxnode_id=202311962","ictv.global=202311962")</f>
        <v>ictv.global=202311962</v>
      </c>
    </row>
    <row r="4604" spans="1:21">
      <c r="A4604">
        <v>4603</v>
      </c>
      <c r="B4604" s="30" t="s">
        <v>1587</v>
      </c>
      <c r="D4604" s="30" t="s">
        <v>1588</v>
      </c>
      <c r="F4604" s="30" t="s">
        <v>1591</v>
      </c>
      <c r="H4604" s="30" t="s">
        <v>1592</v>
      </c>
      <c r="N4604" s="30" t="s">
        <v>1936</v>
      </c>
      <c r="P4604" s="30" t="s">
        <v>8094</v>
      </c>
      <c r="Q4604" t="s">
        <v>619</v>
      </c>
      <c r="R4604" t="s">
        <v>918</v>
      </c>
      <c r="S4604">
        <v>37</v>
      </c>
      <c r="T4604" s="29" t="str">
        <f t="shared" si="210"/>
        <v>2021.010B.R.Binomial_names.zip</v>
      </c>
      <c r="U4604" s="29" t="str">
        <f>HYPERLINK("https://ictv.global/taxonomy/taxondetails?taxnode_id=202311961","ictv.global=202311961")</f>
        <v>ictv.global=202311961</v>
      </c>
    </row>
    <row r="4605" spans="1:21">
      <c r="A4605">
        <v>4604</v>
      </c>
      <c r="B4605" s="30" t="s">
        <v>1587</v>
      </c>
      <c r="D4605" s="30" t="s">
        <v>1588</v>
      </c>
      <c r="F4605" s="30" t="s">
        <v>1591</v>
      </c>
      <c r="H4605" s="30" t="s">
        <v>1592</v>
      </c>
      <c r="N4605" s="30" t="s">
        <v>1936</v>
      </c>
      <c r="P4605" s="30" t="s">
        <v>8095</v>
      </c>
      <c r="Q4605" t="s">
        <v>619</v>
      </c>
      <c r="R4605" t="s">
        <v>918</v>
      </c>
      <c r="S4605">
        <v>37</v>
      </c>
      <c r="T4605" s="29" t="str">
        <f t="shared" si="210"/>
        <v>2021.010B.R.Binomial_names.zip</v>
      </c>
      <c r="U4605" s="29" t="str">
        <f>HYPERLINK("https://ictv.global/taxonomy/taxondetails?taxnode_id=202307653","ictv.global=202307653")</f>
        <v>ictv.global=202307653</v>
      </c>
    </row>
    <row r="4606" spans="1:21">
      <c r="A4606">
        <v>4605</v>
      </c>
      <c r="B4606" s="30" t="s">
        <v>1587</v>
      </c>
      <c r="D4606" s="30" t="s">
        <v>1588</v>
      </c>
      <c r="F4606" s="30" t="s">
        <v>1591</v>
      </c>
      <c r="H4606" s="30" t="s">
        <v>1592</v>
      </c>
      <c r="N4606" s="30" t="s">
        <v>1936</v>
      </c>
      <c r="P4606" s="30" t="s">
        <v>8096</v>
      </c>
      <c r="Q4606" t="s">
        <v>619</v>
      </c>
      <c r="R4606" t="s">
        <v>918</v>
      </c>
      <c r="S4606">
        <v>37</v>
      </c>
      <c r="T4606" s="29" t="str">
        <f t="shared" si="210"/>
        <v>2021.010B.R.Binomial_names.zip</v>
      </c>
      <c r="U4606" s="29" t="str">
        <f>HYPERLINK("https://ictv.global/taxonomy/taxondetails?taxnode_id=202311960","ictv.global=202311960")</f>
        <v>ictv.global=202311960</v>
      </c>
    </row>
    <row r="4607" spans="1:21">
      <c r="A4607">
        <v>4606</v>
      </c>
      <c r="B4607" s="30" t="s">
        <v>1587</v>
      </c>
      <c r="D4607" s="30" t="s">
        <v>1588</v>
      </c>
      <c r="F4607" s="30" t="s">
        <v>1591</v>
      </c>
      <c r="H4607" s="30" t="s">
        <v>1592</v>
      </c>
      <c r="N4607" s="30" t="s">
        <v>1936</v>
      </c>
      <c r="P4607" s="30" t="s">
        <v>8097</v>
      </c>
      <c r="Q4607" t="s">
        <v>619</v>
      </c>
      <c r="R4607" t="s">
        <v>918</v>
      </c>
      <c r="S4607">
        <v>37</v>
      </c>
      <c r="T4607" s="29" t="str">
        <f t="shared" si="210"/>
        <v>2021.010B.R.Binomial_names.zip</v>
      </c>
      <c r="U4607" s="29" t="str">
        <f>HYPERLINK("https://ictv.global/taxonomy/taxondetails?taxnode_id=202311959","ictv.global=202311959")</f>
        <v>ictv.global=202311959</v>
      </c>
    </row>
    <row r="4608" spans="1:21">
      <c r="A4608">
        <v>4607</v>
      </c>
      <c r="B4608" s="30" t="s">
        <v>1587</v>
      </c>
      <c r="D4608" s="30" t="s">
        <v>1588</v>
      </c>
      <c r="F4608" s="30" t="s">
        <v>1591</v>
      </c>
      <c r="H4608" s="30" t="s">
        <v>1592</v>
      </c>
      <c r="N4608" s="30" t="s">
        <v>2478</v>
      </c>
      <c r="P4608" s="30" t="s">
        <v>8098</v>
      </c>
      <c r="Q4608" t="s">
        <v>619</v>
      </c>
      <c r="R4608" t="s">
        <v>918</v>
      </c>
      <c r="S4608">
        <v>37</v>
      </c>
      <c r="T4608" s="29" t="str">
        <f t="shared" si="210"/>
        <v>2021.010B.R.Binomial_names.zip</v>
      </c>
      <c r="U4608" s="29" t="str">
        <f>HYPERLINK("https://ictv.global/taxonomy/taxondetails?taxnode_id=202311764","ictv.global=202311764")</f>
        <v>ictv.global=202311764</v>
      </c>
    </row>
    <row r="4609" spans="1:21">
      <c r="A4609">
        <v>4608</v>
      </c>
      <c r="B4609" s="30" t="s">
        <v>1587</v>
      </c>
      <c r="D4609" s="30" t="s">
        <v>1588</v>
      </c>
      <c r="F4609" s="30" t="s">
        <v>1591</v>
      </c>
      <c r="H4609" s="30" t="s">
        <v>1592</v>
      </c>
      <c r="N4609" s="30" t="s">
        <v>1937</v>
      </c>
      <c r="P4609" s="30" t="s">
        <v>1938</v>
      </c>
      <c r="Q4609" t="s">
        <v>619</v>
      </c>
      <c r="R4609" t="s">
        <v>919</v>
      </c>
      <c r="S4609">
        <v>37</v>
      </c>
      <c r="T4609" s="29" t="str">
        <f>HYPERLINK("https://ictv.global/ictv/proposals/2021.001B.R.abolish_Caudovirales.zip","2021.001B.R.abolish_Caudovirales.zip")</f>
        <v>2021.001B.R.abolish_Caudovirales.zip</v>
      </c>
      <c r="U4609" s="29" t="str">
        <f>HYPERLINK("https://ictv.global/taxonomy/taxondetails?taxnode_id=202307658","ictv.global=202307658")</f>
        <v>ictv.global=202307658</v>
      </c>
    </row>
    <row r="4610" spans="1:21">
      <c r="A4610">
        <v>4609</v>
      </c>
      <c r="B4610" s="30" t="s">
        <v>1587</v>
      </c>
      <c r="D4610" s="30" t="s">
        <v>1588</v>
      </c>
      <c r="F4610" s="30" t="s">
        <v>1591</v>
      </c>
      <c r="H4610" s="30" t="s">
        <v>1592</v>
      </c>
      <c r="N4610" s="30" t="s">
        <v>8099</v>
      </c>
      <c r="P4610" s="30" t="s">
        <v>8100</v>
      </c>
      <c r="Q4610" t="s">
        <v>619</v>
      </c>
      <c r="R4610" t="s">
        <v>917</v>
      </c>
      <c r="S4610">
        <v>37</v>
      </c>
      <c r="T4610" s="29" t="str">
        <f>HYPERLINK("https://ictv.global/ictv/proposals/2021.075B.R.Santafevirus.zip","2021.075B.R.Santafevirus.zip")</f>
        <v>2021.075B.R.Santafevirus.zip</v>
      </c>
      <c r="U4610" s="29" t="str">
        <f>HYPERLINK("https://ictv.global/taxonomy/taxondetails?taxnode_id=202312915","ictv.global=202312915")</f>
        <v>ictv.global=202312915</v>
      </c>
    </row>
    <row r="4611" spans="1:21">
      <c r="A4611">
        <v>4610</v>
      </c>
      <c r="B4611" s="30" t="s">
        <v>1587</v>
      </c>
      <c r="D4611" s="30" t="s">
        <v>1588</v>
      </c>
      <c r="F4611" s="30" t="s">
        <v>1591</v>
      </c>
      <c r="H4611" s="30" t="s">
        <v>1592</v>
      </c>
      <c r="N4611" s="30" t="s">
        <v>12685</v>
      </c>
      <c r="P4611" s="30" t="s">
        <v>12686</v>
      </c>
      <c r="Q4611" t="s">
        <v>619</v>
      </c>
      <c r="R4611" t="s">
        <v>917</v>
      </c>
      <c r="S4611">
        <v>39</v>
      </c>
      <c r="T4611" s="29" t="str">
        <f>HYPERLINK("https://ictv.global/ictv/proposals/2023.025B.Caudoviricetes_Gordonia_2ng.zip","2023.025B.Caudoviricetes_Gordonia_2ng.zip")</f>
        <v>2023.025B.Caudoviricetes_Gordonia_2ng.zip</v>
      </c>
      <c r="U4611" s="29" t="str">
        <f>HYPERLINK("https://ictv.global/taxonomy/taxondetails?taxnode_id=202318857","ictv.global=202318857")</f>
        <v>ictv.global=202318857</v>
      </c>
    </row>
    <row r="4612" spans="1:21">
      <c r="A4612">
        <v>4611</v>
      </c>
      <c r="B4612" s="30" t="s">
        <v>1587</v>
      </c>
      <c r="D4612" s="30" t="s">
        <v>1588</v>
      </c>
      <c r="F4612" s="30" t="s">
        <v>1591</v>
      </c>
      <c r="H4612" s="30" t="s">
        <v>1592</v>
      </c>
      <c r="N4612" s="30" t="s">
        <v>12685</v>
      </c>
      <c r="P4612" s="30" t="s">
        <v>12687</v>
      </c>
      <c r="Q4612" t="s">
        <v>619</v>
      </c>
      <c r="R4612" t="s">
        <v>917</v>
      </c>
      <c r="S4612">
        <v>39</v>
      </c>
      <c r="T4612" s="29" t="str">
        <f>HYPERLINK("https://ictv.global/ictv/proposals/2023.025B.Caudoviricetes_Gordonia_2ng.zip","2023.025B.Caudoviricetes_Gordonia_2ng.zip")</f>
        <v>2023.025B.Caudoviricetes_Gordonia_2ng.zip</v>
      </c>
      <c r="U4612" s="29" t="str">
        <f>HYPERLINK("https://ictv.global/taxonomy/taxondetails?taxnode_id=202318856","ictv.global=202318856")</f>
        <v>ictv.global=202318856</v>
      </c>
    </row>
    <row r="4613" spans="1:21">
      <c r="A4613">
        <v>4612</v>
      </c>
      <c r="B4613" s="30" t="s">
        <v>1587</v>
      </c>
      <c r="D4613" s="30" t="s">
        <v>1588</v>
      </c>
      <c r="F4613" s="30" t="s">
        <v>1591</v>
      </c>
      <c r="H4613" s="30" t="s">
        <v>1592</v>
      </c>
      <c r="N4613" s="30" t="s">
        <v>12685</v>
      </c>
      <c r="P4613" s="30" t="s">
        <v>12688</v>
      </c>
      <c r="Q4613" t="s">
        <v>619</v>
      </c>
      <c r="R4613" t="s">
        <v>917</v>
      </c>
      <c r="S4613">
        <v>39</v>
      </c>
      <c r="T4613" s="29" t="str">
        <f>HYPERLINK("https://ictv.global/ictv/proposals/2023.025B.Caudoviricetes_Gordonia_2ng.zip","2023.025B.Caudoviricetes_Gordonia_2ng.zip")</f>
        <v>2023.025B.Caudoviricetes_Gordonia_2ng.zip</v>
      </c>
      <c r="U4613" s="29" t="str">
        <f>HYPERLINK("https://ictv.global/taxonomy/taxondetails?taxnode_id=202318854","ictv.global=202318854")</f>
        <v>ictv.global=202318854</v>
      </c>
    </row>
    <row r="4614" spans="1:21">
      <c r="A4614">
        <v>4613</v>
      </c>
      <c r="B4614" s="30" t="s">
        <v>1587</v>
      </c>
      <c r="D4614" s="30" t="s">
        <v>1588</v>
      </c>
      <c r="F4614" s="30" t="s">
        <v>1591</v>
      </c>
      <c r="H4614" s="30" t="s">
        <v>1592</v>
      </c>
      <c r="N4614" s="30" t="s">
        <v>12685</v>
      </c>
      <c r="P4614" s="30" t="s">
        <v>12689</v>
      </c>
      <c r="Q4614" t="s">
        <v>619</v>
      </c>
      <c r="R4614" t="s">
        <v>917</v>
      </c>
      <c r="S4614">
        <v>39</v>
      </c>
      <c r="T4614" s="29" t="str">
        <f>HYPERLINK("https://ictv.global/ictv/proposals/2023.025B.Caudoviricetes_Gordonia_2ng.zip","2023.025B.Caudoviricetes_Gordonia_2ng.zip")</f>
        <v>2023.025B.Caudoviricetes_Gordonia_2ng.zip</v>
      </c>
      <c r="U4614" s="29" t="str">
        <f>HYPERLINK("https://ictv.global/taxonomy/taxondetails?taxnode_id=202318855","ictv.global=202318855")</f>
        <v>ictv.global=202318855</v>
      </c>
    </row>
    <row r="4615" spans="1:21">
      <c r="A4615">
        <v>4614</v>
      </c>
      <c r="B4615" s="30" t="s">
        <v>1587</v>
      </c>
      <c r="D4615" s="30" t="s">
        <v>1588</v>
      </c>
      <c r="F4615" s="30" t="s">
        <v>1591</v>
      </c>
      <c r="H4615" s="30" t="s">
        <v>1592</v>
      </c>
      <c r="N4615" s="30" t="s">
        <v>1548</v>
      </c>
      <c r="P4615" s="30" t="s">
        <v>8101</v>
      </c>
      <c r="Q4615" t="s">
        <v>619</v>
      </c>
      <c r="R4615" t="s">
        <v>918</v>
      </c>
      <c r="S4615">
        <v>37</v>
      </c>
      <c r="T4615" s="29" t="str">
        <f>HYPERLINK("https://ictv.global/ictv/proposals/2021.010B.R.Binomial_names.zip","2021.010B.R.Binomial_names.zip")</f>
        <v>2021.010B.R.Binomial_names.zip</v>
      </c>
      <c r="U4615" s="29" t="str">
        <f>HYPERLINK("https://ictv.global/taxonomy/taxondetails?taxnode_id=202301247","ictv.global=202301247")</f>
        <v>ictv.global=202301247</v>
      </c>
    </row>
    <row r="4616" spans="1:21">
      <c r="A4616">
        <v>4615</v>
      </c>
      <c r="B4616" s="30" t="s">
        <v>1587</v>
      </c>
      <c r="D4616" s="30" t="s">
        <v>1588</v>
      </c>
      <c r="F4616" s="30" t="s">
        <v>1591</v>
      </c>
      <c r="H4616" s="30" t="s">
        <v>1592</v>
      </c>
      <c r="N4616" s="30" t="s">
        <v>1548</v>
      </c>
      <c r="P4616" s="30" t="s">
        <v>8102</v>
      </c>
      <c r="Q4616" t="s">
        <v>619</v>
      </c>
      <c r="R4616" t="s">
        <v>918</v>
      </c>
      <c r="S4616">
        <v>37</v>
      </c>
      <c r="T4616" s="29" t="str">
        <f>HYPERLINK("https://ictv.global/ictv/proposals/2021.010B.R.Binomial_names.zip","2021.010B.R.Binomial_names.zip")</f>
        <v>2021.010B.R.Binomial_names.zip</v>
      </c>
      <c r="U4616" s="29" t="str">
        <f>HYPERLINK("https://ictv.global/taxonomy/taxondetails?taxnode_id=202301248","ictv.global=202301248")</f>
        <v>ictv.global=202301248</v>
      </c>
    </row>
    <row r="4617" spans="1:21">
      <c r="A4617">
        <v>4616</v>
      </c>
      <c r="B4617" s="30" t="s">
        <v>1587</v>
      </c>
      <c r="D4617" s="30" t="s">
        <v>1588</v>
      </c>
      <c r="F4617" s="30" t="s">
        <v>1591</v>
      </c>
      <c r="H4617" s="30" t="s">
        <v>1592</v>
      </c>
      <c r="N4617" s="30" t="s">
        <v>1548</v>
      </c>
      <c r="P4617" s="30" t="s">
        <v>8103</v>
      </c>
      <c r="Q4617" t="s">
        <v>619</v>
      </c>
      <c r="R4617" t="s">
        <v>918</v>
      </c>
      <c r="S4617">
        <v>37</v>
      </c>
      <c r="T4617" s="29" t="str">
        <f>HYPERLINK("https://ictv.global/ictv/proposals/2021.010B.R.Binomial_names.zip","2021.010B.R.Binomial_names.zip")</f>
        <v>2021.010B.R.Binomial_names.zip</v>
      </c>
      <c r="U4617" s="29" t="str">
        <f>HYPERLINK("https://ictv.global/taxonomy/taxondetails?taxnode_id=202301249","ictv.global=202301249")</f>
        <v>ictv.global=202301249</v>
      </c>
    </row>
    <row r="4618" spans="1:21">
      <c r="A4618">
        <v>4617</v>
      </c>
      <c r="B4618" s="30" t="s">
        <v>1587</v>
      </c>
      <c r="D4618" s="30" t="s">
        <v>1588</v>
      </c>
      <c r="F4618" s="30" t="s">
        <v>1591</v>
      </c>
      <c r="H4618" s="30" t="s">
        <v>1592</v>
      </c>
      <c r="N4618" s="30" t="s">
        <v>1548</v>
      </c>
      <c r="P4618" s="30" t="s">
        <v>8104</v>
      </c>
      <c r="Q4618" t="s">
        <v>619</v>
      </c>
      <c r="R4618" t="s">
        <v>918</v>
      </c>
      <c r="S4618">
        <v>37</v>
      </c>
      <c r="T4618" s="29" t="str">
        <f>HYPERLINK("https://ictv.global/ictv/proposals/2021.010B.R.Binomial_names.zip","2021.010B.R.Binomial_names.zip")</f>
        <v>2021.010B.R.Binomial_names.zip</v>
      </c>
      <c r="U4618" s="29" t="str">
        <f>HYPERLINK("https://ictv.global/taxonomy/taxondetails?taxnode_id=202301251","ictv.global=202301251")</f>
        <v>ictv.global=202301251</v>
      </c>
    </row>
    <row r="4619" spans="1:21">
      <c r="A4619">
        <v>4618</v>
      </c>
      <c r="B4619" s="30" t="s">
        <v>1587</v>
      </c>
      <c r="D4619" s="30" t="s">
        <v>1588</v>
      </c>
      <c r="F4619" s="30" t="s">
        <v>1591</v>
      </c>
      <c r="H4619" s="30" t="s">
        <v>1592</v>
      </c>
      <c r="N4619" s="30" t="s">
        <v>1548</v>
      </c>
      <c r="P4619" s="30" t="s">
        <v>12690</v>
      </c>
      <c r="Q4619" t="s">
        <v>619</v>
      </c>
      <c r="R4619" t="s">
        <v>917</v>
      </c>
      <c r="S4619">
        <v>39</v>
      </c>
      <c r="T4619" s="29" t="str">
        <f>HYPERLINK("https://ictv.global/ictv/proposals/2023.060B.Saphexavirus_1ns.zip","2023.060B.Saphexavirus_1ns.zip")</f>
        <v>2023.060B.Saphexavirus_1ns.zip</v>
      </c>
      <c r="U4619" s="29" t="str">
        <f>HYPERLINK("https://ictv.global/taxonomy/taxondetails?taxnode_id=202319267","ictv.global=202319267")</f>
        <v>ictv.global=202319267</v>
      </c>
    </row>
    <row r="4620" spans="1:21">
      <c r="A4620">
        <v>4619</v>
      </c>
      <c r="B4620" s="30" t="s">
        <v>1587</v>
      </c>
      <c r="D4620" s="30" t="s">
        <v>1588</v>
      </c>
      <c r="F4620" s="30" t="s">
        <v>1591</v>
      </c>
      <c r="H4620" s="30" t="s">
        <v>1592</v>
      </c>
      <c r="N4620" s="30" t="s">
        <v>1548</v>
      </c>
      <c r="P4620" s="30" t="s">
        <v>8105</v>
      </c>
      <c r="Q4620" t="s">
        <v>619</v>
      </c>
      <c r="R4620" t="s">
        <v>918</v>
      </c>
      <c r="S4620">
        <v>37</v>
      </c>
      <c r="T4620" s="29" t="str">
        <f>HYPERLINK("https://ictv.global/ictv/proposals/2021.010B.R.Binomial_names.zip","2021.010B.R.Binomial_names.zip")</f>
        <v>2021.010B.R.Binomial_names.zip</v>
      </c>
      <c r="U4620" s="29" t="str">
        <f>HYPERLINK("https://ictv.global/taxonomy/taxondetails?taxnode_id=202301250","ictv.global=202301250")</f>
        <v>ictv.global=202301250</v>
      </c>
    </row>
    <row r="4621" spans="1:21">
      <c r="A4621">
        <v>4620</v>
      </c>
      <c r="B4621" s="30" t="s">
        <v>1587</v>
      </c>
      <c r="D4621" s="30" t="s">
        <v>1588</v>
      </c>
      <c r="F4621" s="30" t="s">
        <v>1591</v>
      </c>
      <c r="H4621" s="30" t="s">
        <v>1592</v>
      </c>
      <c r="N4621" s="30" t="s">
        <v>8106</v>
      </c>
      <c r="P4621" s="30" t="s">
        <v>8107</v>
      </c>
      <c r="Q4621" t="s">
        <v>619</v>
      </c>
      <c r="R4621" t="s">
        <v>917</v>
      </c>
      <c r="S4621">
        <v>38</v>
      </c>
      <c r="T4621" s="29" t="str">
        <f>HYPERLINK("https://ictv.global/ictv/proposals/2022.090B.Caudoviricetes_3ng_arthrobacter.zip","2022.090B.Caudoviricetes_3ng_arthrobacter.zip")</f>
        <v>2022.090B.Caudoviricetes_3ng_arthrobacter.zip</v>
      </c>
      <c r="U4621" s="29" t="str">
        <f>HYPERLINK("https://ictv.global/taxonomy/taxondetails?taxnode_id=202314958","ictv.global=202314958")</f>
        <v>ictv.global=202314958</v>
      </c>
    </row>
    <row r="4622" spans="1:21">
      <c r="A4622">
        <v>4621</v>
      </c>
      <c r="B4622" s="30" t="s">
        <v>1587</v>
      </c>
      <c r="D4622" s="30" t="s">
        <v>1588</v>
      </c>
      <c r="F4622" s="30" t="s">
        <v>1591</v>
      </c>
      <c r="H4622" s="30" t="s">
        <v>1592</v>
      </c>
      <c r="N4622" s="30" t="s">
        <v>2289</v>
      </c>
      <c r="P4622" s="30" t="s">
        <v>8108</v>
      </c>
      <c r="Q4622" t="s">
        <v>619</v>
      </c>
      <c r="R4622" t="s">
        <v>918</v>
      </c>
      <c r="S4622">
        <v>37</v>
      </c>
      <c r="T4622" s="29" t="str">
        <f>HYPERLINK("https://ictv.global/ictv/proposals/2021.010B.R.Binomial_names.zip","2021.010B.R.Binomial_names.zip")</f>
        <v>2021.010B.R.Binomial_names.zip</v>
      </c>
      <c r="U4622" s="29" t="str">
        <f>HYPERLINK("https://ictv.global/taxonomy/taxondetails?taxnode_id=202311766","ictv.global=202311766")</f>
        <v>ictv.global=202311766</v>
      </c>
    </row>
    <row r="4623" spans="1:21">
      <c r="A4623">
        <v>4622</v>
      </c>
      <c r="B4623" s="30" t="s">
        <v>1587</v>
      </c>
      <c r="D4623" s="30" t="s">
        <v>1588</v>
      </c>
      <c r="F4623" s="30" t="s">
        <v>1591</v>
      </c>
      <c r="H4623" s="30" t="s">
        <v>1592</v>
      </c>
      <c r="N4623" s="30" t="s">
        <v>2289</v>
      </c>
      <c r="P4623" s="30" t="s">
        <v>8109</v>
      </c>
      <c r="Q4623" t="s">
        <v>619</v>
      </c>
      <c r="R4623" t="s">
        <v>918</v>
      </c>
      <c r="S4623">
        <v>37</v>
      </c>
      <c r="T4623" s="29" t="str">
        <f>HYPERLINK("https://ictv.global/ictv/proposals/2021.010B.R.Binomial_names.zip","2021.010B.R.Binomial_names.zip")</f>
        <v>2021.010B.R.Binomial_names.zip</v>
      </c>
      <c r="U4623" s="29" t="str">
        <f>HYPERLINK("https://ictv.global/taxonomy/taxondetails?taxnode_id=202311767","ictv.global=202311767")</f>
        <v>ictv.global=202311767</v>
      </c>
    </row>
    <row r="4624" spans="1:21">
      <c r="A4624">
        <v>4623</v>
      </c>
      <c r="B4624" s="30" t="s">
        <v>1587</v>
      </c>
      <c r="D4624" s="30" t="s">
        <v>1588</v>
      </c>
      <c r="F4624" s="30" t="s">
        <v>1591</v>
      </c>
      <c r="H4624" s="30" t="s">
        <v>1592</v>
      </c>
      <c r="N4624" s="30" t="s">
        <v>8110</v>
      </c>
      <c r="P4624" s="30" t="s">
        <v>8111</v>
      </c>
      <c r="Q4624" t="s">
        <v>619</v>
      </c>
      <c r="R4624" t="s">
        <v>917</v>
      </c>
      <c r="S4624">
        <v>38</v>
      </c>
      <c r="T4624" s="29" t="str">
        <f>HYPERLINK("https://ictv.global/ictv/proposals/2022.081B.Caudoviricetes_6ng_streptomyces.zip","2022.081B.Caudoviricetes_6ng_streptomyces.zip")</f>
        <v>2022.081B.Caudoviricetes_6ng_streptomyces.zip</v>
      </c>
      <c r="U4624" s="29" t="str">
        <f>HYPERLINK("https://ictv.global/taxonomy/taxondetails?taxnode_id=202314876","ictv.global=202314876")</f>
        <v>ictv.global=202314876</v>
      </c>
    </row>
    <row r="4625" spans="1:21">
      <c r="A4625">
        <v>4624</v>
      </c>
      <c r="B4625" s="30" t="s">
        <v>1587</v>
      </c>
      <c r="D4625" s="30" t="s">
        <v>1588</v>
      </c>
      <c r="F4625" s="30" t="s">
        <v>1591</v>
      </c>
      <c r="H4625" s="30" t="s">
        <v>1592</v>
      </c>
      <c r="N4625" s="30" t="s">
        <v>1939</v>
      </c>
      <c r="P4625" s="30" t="s">
        <v>8112</v>
      </c>
      <c r="Q4625" t="s">
        <v>619</v>
      </c>
      <c r="R4625" t="s">
        <v>918</v>
      </c>
      <c r="S4625">
        <v>37</v>
      </c>
      <c r="T4625" s="29" t="str">
        <f>HYPERLINK("https://ictv.global/ictv/proposals/2021.010B.R.Binomial_names.zip","2021.010B.R.Binomial_names.zip")</f>
        <v>2021.010B.R.Binomial_names.zip</v>
      </c>
      <c r="U4625" s="29" t="str">
        <f>HYPERLINK("https://ictv.global/taxonomy/taxondetails?taxnode_id=202308027","ictv.global=202308027")</f>
        <v>ictv.global=202308027</v>
      </c>
    </row>
    <row r="4626" spans="1:21">
      <c r="A4626">
        <v>4625</v>
      </c>
      <c r="B4626" s="30" t="s">
        <v>1587</v>
      </c>
      <c r="D4626" s="30" t="s">
        <v>1588</v>
      </c>
      <c r="F4626" s="30" t="s">
        <v>1591</v>
      </c>
      <c r="H4626" s="30" t="s">
        <v>1592</v>
      </c>
      <c r="N4626" s="30" t="s">
        <v>1849</v>
      </c>
      <c r="P4626" s="30" t="s">
        <v>8113</v>
      </c>
      <c r="Q4626" t="s">
        <v>619</v>
      </c>
      <c r="R4626" t="s">
        <v>918</v>
      </c>
      <c r="S4626">
        <v>37</v>
      </c>
      <c r="T4626" s="29" t="str">
        <f>HYPERLINK("https://ictv.global/ictv/proposals/2021.010B.R.Binomial_names.zip","2021.010B.R.Binomial_names.zip")</f>
        <v>2021.010B.R.Binomial_names.zip</v>
      </c>
      <c r="U4626" s="29" t="str">
        <f>HYPERLINK("https://ictv.global/taxonomy/taxondetails?taxnode_id=202307923","ictv.global=202307923")</f>
        <v>ictv.global=202307923</v>
      </c>
    </row>
    <row r="4627" spans="1:21">
      <c r="A4627">
        <v>4626</v>
      </c>
      <c r="B4627" s="30" t="s">
        <v>1587</v>
      </c>
      <c r="D4627" s="30" t="s">
        <v>1588</v>
      </c>
      <c r="F4627" s="30" t="s">
        <v>1591</v>
      </c>
      <c r="H4627" s="30" t="s">
        <v>1592</v>
      </c>
      <c r="N4627" s="30" t="s">
        <v>1549</v>
      </c>
      <c r="P4627" s="30" t="s">
        <v>8114</v>
      </c>
      <c r="Q4627" t="s">
        <v>619</v>
      </c>
      <c r="R4627" t="s">
        <v>918</v>
      </c>
      <c r="S4627">
        <v>37</v>
      </c>
      <c r="T4627" s="29" t="str">
        <f>HYPERLINK("https://ictv.global/ictv/proposals/2021.010B.R.Binomial_names.zip","2021.010B.R.Binomial_names.zip")</f>
        <v>2021.010B.R.Binomial_names.zip</v>
      </c>
      <c r="U4627" s="29" t="str">
        <f>HYPERLINK("https://ictv.global/taxonomy/taxondetails?taxnode_id=202306834","ictv.global=202306834")</f>
        <v>ictv.global=202306834</v>
      </c>
    </row>
    <row r="4628" spans="1:21">
      <c r="A4628">
        <v>4627</v>
      </c>
      <c r="B4628" s="30" t="s">
        <v>1587</v>
      </c>
      <c r="D4628" s="30" t="s">
        <v>1588</v>
      </c>
      <c r="F4628" s="30" t="s">
        <v>1591</v>
      </c>
      <c r="H4628" s="30" t="s">
        <v>1592</v>
      </c>
      <c r="N4628" s="30" t="s">
        <v>1550</v>
      </c>
      <c r="P4628" s="30" t="s">
        <v>8115</v>
      </c>
      <c r="Q4628" t="s">
        <v>619</v>
      </c>
      <c r="R4628" t="s">
        <v>918</v>
      </c>
      <c r="S4628">
        <v>37</v>
      </c>
      <c r="T4628" s="29" t="str">
        <f>HYPERLINK("https://ictv.global/ictv/proposals/2021.010B.R.Binomial_names.zip","2021.010B.R.Binomial_names.zip")</f>
        <v>2021.010B.R.Binomial_names.zip</v>
      </c>
      <c r="U4628" s="29" t="str">
        <f>HYPERLINK("https://ictv.global/taxonomy/taxondetails?taxnode_id=202305563","ictv.global=202305563")</f>
        <v>ictv.global=202305563</v>
      </c>
    </row>
    <row r="4629" spans="1:21">
      <c r="A4629">
        <v>4628</v>
      </c>
      <c r="B4629" s="30" t="s">
        <v>1587</v>
      </c>
      <c r="D4629" s="30" t="s">
        <v>1588</v>
      </c>
      <c r="F4629" s="30" t="s">
        <v>1591</v>
      </c>
      <c r="H4629" s="30" t="s">
        <v>1592</v>
      </c>
      <c r="N4629" s="30" t="s">
        <v>2479</v>
      </c>
      <c r="P4629" s="30" t="s">
        <v>8116</v>
      </c>
      <c r="Q4629" t="s">
        <v>619</v>
      </c>
      <c r="R4629" t="s">
        <v>918</v>
      </c>
      <c r="S4629">
        <v>37</v>
      </c>
      <c r="T4629" s="29" t="str">
        <f>HYPERLINK("https://ictv.global/ictv/proposals/2021.010B.R.Binomial_names.zip","2021.010B.R.Binomial_names.zip")</f>
        <v>2021.010B.R.Binomial_names.zip</v>
      </c>
      <c r="U4629" s="29" t="str">
        <f>HYPERLINK("https://ictv.global/taxonomy/taxondetails?taxnode_id=202309333","ictv.global=202309333")</f>
        <v>ictv.global=202309333</v>
      </c>
    </row>
    <row r="4630" spans="1:21">
      <c r="A4630">
        <v>4629</v>
      </c>
      <c r="B4630" s="30" t="s">
        <v>1587</v>
      </c>
      <c r="D4630" s="30" t="s">
        <v>1588</v>
      </c>
      <c r="F4630" s="30" t="s">
        <v>1591</v>
      </c>
      <c r="H4630" s="30" t="s">
        <v>1592</v>
      </c>
      <c r="N4630" s="30" t="s">
        <v>8117</v>
      </c>
      <c r="P4630" s="30" t="s">
        <v>8118</v>
      </c>
      <c r="Q4630" t="s">
        <v>619</v>
      </c>
      <c r="R4630" t="s">
        <v>917</v>
      </c>
      <c r="S4630">
        <v>38</v>
      </c>
      <c r="T4630" s="29" t="str">
        <f>HYPERLINK("https://ictv.global/ictv/proposals/2022.072B.Scappvirus_ng.zip","2022.072B.Scappvirus_ng.zip")</f>
        <v>2022.072B.Scappvirus_ng.zip</v>
      </c>
      <c r="U4630" s="29" t="str">
        <f>HYPERLINK("https://ictv.global/taxonomy/taxondetails?taxnode_id=202314799","ictv.global=202314799")</f>
        <v>ictv.global=202314799</v>
      </c>
    </row>
    <row r="4631" spans="1:21">
      <c r="A4631">
        <v>4630</v>
      </c>
      <c r="B4631" s="30" t="s">
        <v>1587</v>
      </c>
      <c r="D4631" s="30" t="s">
        <v>1588</v>
      </c>
      <c r="F4631" s="30" t="s">
        <v>1591</v>
      </c>
      <c r="H4631" s="30" t="s">
        <v>1592</v>
      </c>
      <c r="N4631" s="30" t="s">
        <v>1551</v>
      </c>
      <c r="P4631" s="30" t="s">
        <v>8119</v>
      </c>
      <c r="Q4631" t="s">
        <v>619</v>
      </c>
      <c r="R4631" t="s">
        <v>918</v>
      </c>
      <c r="S4631">
        <v>37</v>
      </c>
      <c r="T4631" s="29" t="str">
        <f t="shared" ref="T4631:T4637" si="211">HYPERLINK("https://ictv.global/ictv/proposals/2021.010B.R.Binomial_names.zip","2021.010B.R.Binomial_names.zip")</f>
        <v>2021.010B.R.Binomial_names.zip</v>
      </c>
      <c r="U4631" s="29" t="str">
        <f>HYPERLINK("https://ictv.global/taxonomy/taxondetails?taxnode_id=202306754","ictv.global=202306754")</f>
        <v>ictv.global=202306754</v>
      </c>
    </row>
    <row r="4632" spans="1:21">
      <c r="A4632">
        <v>4631</v>
      </c>
      <c r="B4632" s="30" t="s">
        <v>1587</v>
      </c>
      <c r="D4632" s="30" t="s">
        <v>1588</v>
      </c>
      <c r="F4632" s="30" t="s">
        <v>1591</v>
      </c>
      <c r="H4632" s="30" t="s">
        <v>1592</v>
      </c>
      <c r="N4632" s="30" t="s">
        <v>1437</v>
      </c>
      <c r="P4632" s="30" t="s">
        <v>8120</v>
      </c>
      <c r="Q4632" t="s">
        <v>619</v>
      </c>
      <c r="R4632" t="s">
        <v>918</v>
      </c>
      <c r="S4632">
        <v>37</v>
      </c>
      <c r="T4632" s="29" t="str">
        <f t="shared" si="211"/>
        <v>2021.010B.R.Binomial_names.zip</v>
      </c>
      <c r="U4632" s="29" t="str">
        <f>HYPERLINK("https://ictv.global/taxonomy/taxondetails?taxnode_id=202300699","ictv.global=202300699")</f>
        <v>ictv.global=202300699</v>
      </c>
    </row>
    <row r="4633" spans="1:21">
      <c r="A4633">
        <v>4632</v>
      </c>
      <c r="B4633" s="30" t="s">
        <v>1587</v>
      </c>
      <c r="D4633" s="30" t="s">
        <v>1588</v>
      </c>
      <c r="F4633" s="30" t="s">
        <v>1591</v>
      </c>
      <c r="H4633" s="30" t="s">
        <v>1592</v>
      </c>
      <c r="N4633" s="30" t="s">
        <v>1437</v>
      </c>
      <c r="P4633" s="30" t="s">
        <v>8121</v>
      </c>
      <c r="Q4633" t="s">
        <v>619</v>
      </c>
      <c r="R4633" t="s">
        <v>918</v>
      </c>
      <c r="S4633">
        <v>37</v>
      </c>
      <c r="T4633" s="29" t="str">
        <f t="shared" si="211"/>
        <v>2021.010B.R.Binomial_names.zip</v>
      </c>
      <c r="U4633" s="29" t="str">
        <f>HYPERLINK("https://ictv.global/taxonomy/taxondetails?taxnode_id=202300700","ictv.global=202300700")</f>
        <v>ictv.global=202300700</v>
      </c>
    </row>
    <row r="4634" spans="1:21">
      <c r="A4634">
        <v>4633</v>
      </c>
      <c r="B4634" s="30" t="s">
        <v>1587</v>
      </c>
      <c r="D4634" s="30" t="s">
        <v>1588</v>
      </c>
      <c r="F4634" s="30" t="s">
        <v>1591</v>
      </c>
      <c r="H4634" s="30" t="s">
        <v>1592</v>
      </c>
      <c r="N4634" s="30" t="s">
        <v>1437</v>
      </c>
      <c r="P4634" s="30" t="s">
        <v>8122</v>
      </c>
      <c r="Q4634" t="s">
        <v>619</v>
      </c>
      <c r="R4634" t="s">
        <v>918</v>
      </c>
      <c r="S4634">
        <v>37</v>
      </c>
      <c r="T4634" s="29" t="str">
        <f t="shared" si="211"/>
        <v>2021.010B.R.Binomial_names.zip</v>
      </c>
      <c r="U4634" s="29" t="str">
        <f>HYPERLINK("https://ictv.global/taxonomy/taxondetails?taxnode_id=202300698","ictv.global=202300698")</f>
        <v>ictv.global=202300698</v>
      </c>
    </row>
    <row r="4635" spans="1:21">
      <c r="A4635">
        <v>4634</v>
      </c>
      <c r="B4635" s="30" t="s">
        <v>1587</v>
      </c>
      <c r="D4635" s="30" t="s">
        <v>1588</v>
      </c>
      <c r="F4635" s="30" t="s">
        <v>1591</v>
      </c>
      <c r="H4635" s="30" t="s">
        <v>1592</v>
      </c>
      <c r="N4635" s="30" t="s">
        <v>1850</v>
      </c>
      <c r="P4635" s="30" t="s">
        <v>8123</v>
      </c>
      <c r="Q4635" t="s">
        <v>619</v>
      </c>
      <c r="R4635" t="s">
        <v>918</v>
      </c>
      <c r="S4635">
        <v>37</v>
      </c>
      <c r="T4635" s="29" t="str">
        <f t="shared" si="211"/>
        <v>2021.010B.R.Binomial_names.zip</v>
      </c>
      <c r="U4635" s="29" t="str">
        <f>HYPERLINK("https://ictv.global/taxonomy/taxondetails?taxnode_id=202308029","ictv.global=202308029")</f>
        <v>ictv.global=202308029</v>
      </c>
    </row>
    <row r="4636" spans="1:21">
      <c r="A4636">
        <v>4635</v>
      </c>
      <c r="B4636" s="30" t="s">
        <v>1587</v>
      </c>
      <c r="D4636" s="30" t="s">
        <v>1588</v>
      </c>
      <c r="F4636" s="30" t="s">
        <v>1591</v>
      </c>
      <c r="H4636" s="30" t="s">
        <v>1592</v>
      </c>
      <c r="N4636" s="30" t="s">
        <v>1940</v>
      </c>
      <c r="P4636" s="30" t="s">
        <v>8124</v>
      </c>
      <c r="Q4636" t="s">
        <v>619</v>
      </c>
      <c r="R4636" t="s">
        <v>918</v>
      </c>
      <c r="S4636">
        <v>37</v>
      </c>
      <c r="T4636" s="29" t="str">
        <f t="shared" si="211"/>
        <v>2021.010B.R.Binomial_names.zip</v>
      </c>
      <c r="U4636" s="29" t="str">
        <f>HYPERLINK("https://ictv.global/taxonomy/taxondetails?taxnode_id=202308031","ictv.global=202308031")</f>
        <v>ictv.global=202308031</v>
      </c>
    </row>
    <row r="4637" spans="1:21">
      <c r="A4637">
        <v>4636</v>
      </c>
      <c r="B4637" s="30" t="s">
        <v>1587</v>
      </c>
      <c r="D4637" s="30" t="s">
        <v>1588</v>
      </c>
      <c r="F4637" s="30" t="s">
        <v>1591</v>
      </c>
      <c r="H4637" s="30" t="s">
        <v>1592</v>
      </c>
      <c r="N4637" s="30" t="s">
        <v>1941</v>
      </c>
      <c r="P4637" s="30" t="s">
        <v>8125</v>
      </c>
      <c r="Q4637" t="s">
        <v>619</v>
      </c>
      <c r="R4637" t="s">
        <v>918</v>
      </c>
      <c r="S4637">
        <v>37</v>
      </c>
      <c r="T4637" s="29" t="str">
        <f t="shared" si="211"/>
        <v>2021.010B.R.Binomial_names.zip</v>
      </c>
      <c r="U4637" s="29" t="str">
        <f>HYPERLINK("https://ictv.global/taxonomy/taxondetails?taxnode_id=202307665","ictv.global=202307665")</f>
        <v>ictv.global=202307665</v>
      </c>
    </row>
    <row r="4638" spans="1:21">
      <c r="A4638">
        <v>4637</v>
      </c>
      <c r="B4638" s="30" t="s">
        <v>1587</v>
      </c>
      <c r="D4638" s="30" t="s">
        <v>1588</v>
      </c>
      <c r="F4638" s="30" t="s">
        <v>1591</v>
      </c>
      <c r="H4638" s="30" t="s">
        <v>1592</v>
      </c>
      <c r="N4638" s="30" t="s">
        <v>8126</v>
      </c>
      <c r="P4638" s="30" t="s">
        <v>8127</v>
      </c>
      <c r="Q4638" t="s">
        <v>619</v>
      </c>
      <c r="R4638" t="s">
        <v>917</v>
      </c>
      <c r="S4638">
        <v>38</v>
      </c>
      <c r="T4638" s="29" t="str">
        <f>HYPERLINK("https://ictv.global/ictv/proposals/2022.089B.Caudoviricetes_3ng_vibrio.zip","2022.089B.Caudoviricetes_3ng_vibrio.zip")</f>
        <v>2022.089B.Caudoviricetes_3ng_vibrio.zip</v>
      </c>
      <c r="U4638" s="29" t="str">
        <f>HYPERLINK("https://ictv.global/taxonomy/taxondetails?taxnode_id=202314950","ictv.global=202314950")</f>
        <v>ictv.global=202314950</v>
      </c>
    </row>
    <row r="4639" spans="1:21">
      <c r="A4639">
        <v>4638</v>
      </c>
      <c r="B4639" s="30" t="s">
        <v>1587</v>
      </c>
      <c r="D4639" s="30" t="s">
        <v>1588</v>
      </c>
      <c r="F4639" s="30" t="s">
        <v>1591</v>
      </c>
      <c r="H4639" s="30" t="s">
        <v>1592</v>
      </c>
      <c r="N4639" s="30" t="s">
        <v>11673</v>
      </c>
      <c r="P4639" s="30" t="s">
        <v>11674</v>
      </c>
      <c r="Q4639" t="s">
        <v>619</v>
      </c>
      <c r="R4639" t="s">
        <v>917</v>
      </c>
      <c r="S4639">
        <v>38</v>
      </c>
      <c r="T4639" s="29" t="str">
        <f>HYPERLINK("https://ictv.global/ictv/proposals/2022.080B.Caudoviricetes_6ng.zip","2022.080B.Caudoviricetes_6ng.zip")</f>
        <v>2022.080B.Caudoviricetes_6ng.zip</v>
      </c>
      <c r="U4639" s="29" t="str">
        <f>HYPERLINK("https://ictv.global/taxonomy/taxondetails?taxnode_id=202314868","ictv.global=202314868")</f>
        <v>ictv.global=202314868</v>
      </c>
    </row>
    <row r="4640" spans="1:21">
      <c r="A4640">
        <v>4639</v>
      </c>
      <c r="B4640" s="30" t="s">
        <v>1587</v>
      </c>
      <c r="D4640" s="30" t="s">
        <v>1588</v>
      </c>
      <c r="F4640" s="30" t="s">
        <v>1591</v>
      </c>
      <c r="H4640" s="30" t="s">
        <v>1592</v>
      </c>
      <c r="N4640" s="30" t="s">
        <v>8128</v>
      </c>
      <c r="P4640" s="30" t="s">
        <v>8129</v>
      </c>
      <c r="Q4640" t="s">
        <v>619</v>
      </c>
      <c r="R4640" t="s">
        <v>917</v>
      </c>
      <c r="S4640">
        <v>38</v>
      </c>
      <c r="T4640" s="29" t="str">
        <f>HYPERLINK("https://ictv.global/ictv/proposals/2022.074B.Segzyvirus_1nsp.zip","2022.074B.Segzyvirus_1nsp.zip")</f>
        <v>2022.074B.Segzyvirus_1nsp.zip</v>
      </c>
      <c r="U4640" s="29" t="str">
        <f>HYPERLINK("https://ictv.global/taxonomy/taxondetails?taxnode_id=202314840","ictv.global=202314840")</f>
        <v>ictv.global=202314840</v>
      </c>
    </row>
    <row r="4641" spans="1:21">
      <c r="A4641">
        <v>4640</v>
      </c>
      <c r="B4641" s="30" t="s">
        <v>1587</v>
      </c>
      <c r="D4641" s="30" t="s">
        <v>1588</v>
      </c>
      <c r="F4641" s="30" t="s">
        <v>1591</v>
      </c>
      <c r="H4641" s="30" t="s">
        <v>1592</v>
      </c>
      <c r="N4641" s="30" t="s">
        <v>8128</v>
      </c>
      <c r="P4641" s="30" t="s">
        <v>8130</v>
      </c>
      <c r="Q4641" t="s">
        <v>619</v>
      </c>
      <c r="R4641" t="s">
        <v>917</v>
      </c>
      <c r="S4641">
        <v>37</v>
      </c>
      <c r="T4641" s="29" t="str">
        <f>HYPERLINK("https://ictv.global/ictv/proposals/2021.078B.R.Siphoviridae_new_genera.zip","2021.078B.R.Siphoviridae_new_genera.zip")</f>
        <v>2021.078B.R.Siphoviridae_new_genera.zip</v>
      </c>
      <c r="U4641" s="29" t="str">
        <f>HYPERLINK("https://ictv.global/taxonomy/taxondetails?taxnode_id=202313644","ictv.global=202313644")</f>
        <v>ictv.global=202313644</v>
      </c>
    </row>
    <row r="4642" spans="1:21">
      <c r="A4642">
        <v>4641</v>
      </c>
      <c r="B4642" s="30" t="s">
        <v>1587</v>
      </c>
      <c r="D4642" s="30" t="s">
        <v>1588</v>
      </c>
      <c r="F4642" s="30" t="s">
        <v>1591</v>
      </c>
      <c r="H4642" s="30" t="s">
        <v>1592</v>
      </c>
      <c r="N4642" s="30" t="s">
        <v>2318</v>
      </c>
      <c r="P4642" s="30" t="s">
        <v>8131</v>
      </c>
      <c r="Q4642" t="s">
        <v>619</v>
      </c>
      <c r="R4642" t="s">
        <v>918</v>
      </c>
      <c r="S4642">
        <v>37</v>
      </c>
      <c r="T4642" s="29" t="str">
        <f>HYPERLINK("https://ictv.global/ictv/proposals/2021.010B.R.Binomial_names.zip","2021.010B.R.Binomial_names.zip")</f>
        <v>2021.010B.R.Binomial_names.zip</v>
      </c>
      <c r="U4642" s="29" t="str">
        <f>HYPERLINK("https://ictv.global/taxonomy/taxondetails?taxnode_id=202300702","ictv.global=202300702")</f>
        <v>ictv.global=202300702</v>
      </c>
    </row>
    <row r="4643" spans="1:21">
      <c r="A4643">
        <v>4642</v>
      </c>
      <c r="B4643" s="30" t="s">
        <v>1587</v>
      </c>
      <c r="D4643" s="30" t="s">
        <v>1588</v>
      </c>
      <c r="F4643" s="30" t="s">
        <v>1591</v>
      </c>
      <c r="H4643" s="30" t="s">
        <v>1592</v>
      </c>
      <c r="N4643" s="30" t="s">
        <v>2318</v>
      </c>
      <c r="P4643" s="30" t="s">
        <v>8132</v>
      </c>
      <c r="Q4643" t="s">
        <v>619</v>
      </c>
      <c r="R4643" t="s">
        <v>918</v>
      </c>
      <c r="S4643">
        <v>37</v>
      </c>
      <c r="T4643" s="29" t="str">
        <f>HYPERLINK("https://ictv.global/ictv/proposals/2021.010B.R.Binomial_names.zip","2021.010B.R.Binomial_names.zip")</f>
        <v>2021.010B.R.Binomial_names.zip</v>
      </c>
      <c r="U4643" s="29" t="str">
        <f>HYPERLINK("https://ictv.global/taxonomy/taxondetails?taxnode_id=202311844","ictv.global=202311844")</f>
        <v>ictv.global=202311844</v>
      </c>
    </row>
    <row r="4644" spans="1:21">
      <c r="A4644">
        <v>4643</v>
      </c>
      <c r="B4644" s="30" t="s">
        <v>1587</v>
      </c>
      <c r="D4644" s="30" t="s">
        <v>1588</v>
      </c>
      <c r="F4644" s="30" t="s">
        <v>1591</v>
      </c>
      <c r="H4644" s="30" t="s">
        <v>1592</v>
      </c>
      <c r="N4644" s="30" t="s">
        <v>2480</v>
      </c>
      <c r="P4644" s="30" t="s">
        <v>8133</v>
      </c>
      <c r="Q4644" t="s">
        <v>619</v>
      </c>
      <c r="R4644" t="s">
        <v>918</v>
      </c>
      <c r="S4644">
        <v>37</v>
      </c>
      <c r="T4644" s="29" t="str">
        <f>HYPERLINK("https://ictv.global/ictv/proposals/2021.010B.R.Binomial_names.zip","2021.010B.R.Binomial_names.zip")</f>
        <v>2021.010B.R.Binomial_names.zip</v>
      </c>
      <c r="U4644" s="29" t="str">
        <f>HYPERLINK("https://ictv.global/taxonomy/taxondetails?taxnode_id=202310213","ictv.global=202310213")</f>
        <v>ictv.global=202310213</v>
      </c>
    </row>
    <row r="4645" spans="1:21">
      <c r="A4645">
        <v>4644</v>
      </c>
      <c r="B4645" s="30" t="s">
        <v>1587</v>
      </c>
      <c r="D4645" s="30" t="s">
        <v>1588</v>
      </c>
      <c r="F4645" s="30" t="s">
        <v>1591</v>
      </c>
      <c r="H4645" s="30" t="s">
        <v>1592</v>
      </c>
      <c r="N4645" s="30" t="s">
        <v>12691</v>
      </c>
      <c r="P4645" s="30" t="s">
        <v>12692</v>
      </c>
      <c r="Q4645" t="s">
        <v>619</v>
      </c>
      <c r="R4645" t="s">
        <v>917</v>
      </c>
      <c r="S4645">
        <v>39</v>
      </c>
      <c r="T4645" s="29" t="str">
        <f>HYPERLINK("https://ictv.global/ictv/proposals/2023.068B.Caudoviricetes_Serratia_3ng.zip","2023.068B.Caudoviricetes_Serratia_3ng.zip")</f>
        <v>2023.068B.Caudoviricetes_Serratia_3ng.zip</v>
      </c>
      <c r="U4645" s="29" t="str">
        <f>HYPERLINK("https://ictv.global/taxonomy/taxondetails?taxnode_id=202319384","ictv.global=202319384")</f>
        <v>ictv.global=202319384</v>
      </c>
    </row>
    <row r="4646" spans="1:21">
      <c r="A4646">
        <v>4645</v>
      </c>
      <c r="B4646" s="30" t="s">
        <v>1587</v>
      </c>
      <c r="D4646" s="30" t="s">
        <v>1588</v>
      </c>
      <c r="F4646" s="30" t="s">
        <v>1591</v>
      </c>
      <c r="H4646" s="30" t="s">
        <v>1592</v>
      </c>
      <c r="N4646" s="30" t="s">
        <v>12691</v>
      </c>
      <c r="P4646" s="30" t="s">
        <v>12693</v>
      </c>
      <c r="Q4646" t="s">
        <v>619</v>
      </c>
      <c r="R4646" t="s">
        <v>917</v>
      </c>
      <c r="S4646">
        <v>39</v>
      </c>
      <c r="T4646" s="29" t="str">
        <f>HYPERLINK("https://ictv.global/ictv/proposals/2023.068B.Caudoviricetes_Serratia_3ng.zip","2023.068B.Caudoviricetes_Serratia_3ng.zip")</f>
        <v>2023.068B.Caudoviricetes_Serratia_3ng.zip</v>
      </c>
      <c r="U4646" s="29" t="str">
        <f>HYPERLINK("https://ictv.global/taxonomy/taxondetails?taxnode_id=202319382","ictv.global=202319382")</f>
        <v>ictv.global=202319382</v>
      </c>
    </row>
    <row r="4647" spans="1:21">
      <c r="A4647">
        <v>4646</v>
      </c>
      <c r="B4647" s="30" t="s">
        <v>1587</v>
      </c>
      <c r="D4647" s="30" t="s">
        <v>1588</v>
      </c>
      <c r="F4647" s="30" t="s">
        <v>1591</v>
      </c>
      <c r="H4647" s="30" t="s">
        <v>1592</v>
      </c>
      <c r="N4647" s="30" t="s">
        <v>12691</v>
      </c>
      <c r="P4647" s="30" t="s">
        <v>12694</v>
      </c>
      <c r="Q4647" t="s">
        <v>619</v>
      </c>
      <c r="R4647" t="s">
        <v>917</v>
      </c>
      <c r="S4647">
        <v>39</v>
      </c>
      <c r="T4647" s="29" t="str">
        <f>HYPERLINK("https://ictv.global/ictv/proposals/2023.068B.Caudoviricetes_Serratia_3ng.zip","2023.068B.Caudoviricetes_Serratia_3ng.zip")</f>
        <v>2023.068B.Caudoviricetes_Serratia_3ng.zip</v>
      </c>
      <c r="U4647" s="29" t="str">
        <f>HYPERLINK("https://ictv.global/taxonomy/taxondetails?taxnode_id=202319383","ictv.global=202319383")</f>
        <v>ictv.global=202319383</v>
      </c>
    </row>
    <row r="4648" spans="1:21">
      <c r="A4648">
        <v>4647</v>
      </c>
      <c r="B4648" s="30" t="s">
        <v>1587</v>
      </c>
      <c r="D4648" s="30" t="s">
        <v>1588</v>
      </c>
      <c r="F4648" s="30" t="s">
        <v>1591</v>
      </c>
      <c r="H4648" s="30" t="s">
        <v>1592</v>
      </c>
      <c r="N4648" s="30" t="s">
        <v>12695</v>
      </c>
      <c r="P4648" s="30" t="s">
        <v>12696</v>
      </c>
      <c r="Q4648" t="s">
        <v>619</v>
      </c>
      <c r="R4648" t="s">
        <v>917</v>
      </c>
      <c r="S4648">
        <v>39</v>
      </c>
      <c r="T4648" s="29" t="str">
        <f>HYPERLINK("https://ictv.global/ictv/proposals/2023.068B.Caudoviricetes_Serratia_3ng.zip","2023.068B.Caudoviricetes_Serratia_3ng.zip")</f>
        <v>2023.068B.Caudoviricetes_Serratia_3ng.zip</v>
      </c>
      <c r="U4648" s="29" t="str">
        <f>HYPERLINK("https://ictv.global/taxonomy/taxondetails?taxnode_id=202319381","ictv.global=202319381")</f>
        <v>ictv.global=202319381</v>
      </c>
    </row>
    <row r="4649" spans="1:21">
      <c r="A4649">
        <v>4648</v>
      </c>
      <c r="B4649" s="30" t="s">
        <v>1587</v>
      </c>
      <c r="D4649" s="30" t="s">
        <v>1588</v>
      </c>
      <c r="F4649" s="30" t="s">
        <v>1591</v>
      </c>
      <c r="H4649" s="30" t="s">
        <v>1592</v>
      </c>
      <c r="N4649" s="30" t="s">
        <v>8138</v>
      </c>
      <c r="P4649" s="30" t="s">
        <v>8139</v>
      </c>
      <c r="Q4649" t="s">
        <v>619</v>
      </c>
      <c r="R4649" t="s">
        <v>917</v>
      </c>
      <c r="S4649">
        <v>38</v>
      </c>
      <c r="T4649" s="29" t="str">
        <f>HYPERLINK("https://ictv.global/ictv/proposals/2022.066B.Caudoviricetes_6ng.zip","2022.066B.Caudoviricetes_6ng.zip")</f>
        <v>2022.066B.Caudoviricetes_6ng.zip</v>
      </c>
      <c r="U4649" s="29" t="str">
        <f>HYPERLINK("https://ictv.global/taxonomy/taxondetails?taxnode_id=202314784","ictv.global=202314784")</f>
        <v>ictv.global=202314784</v>
      </c>
    </row>
    <row r="4650" spans="1:21">
      <c r="A4650">
        <v>4649</v>
      </c>
      <c r="B4650" s="30" t="s">
        <v>1587</v>
      </c>
      <c r="D4650" s="30" t="s">
        <v>1588</v>
      </c>
      <c r="F4650" s="30" t="s">
        <v>1591</v>
      </c>
      <c r="H4650" s="30" t="s">
        <v>1592</v>
      </c>
      <c r="N4650" s="30" t="s">
        <v>1942</v>
      </c>
      <c r="P4650" s="30" t="s">
        <v>8140</v>
      </c>
      <c r="Q4650" t="s">
        <v>619</v>
      </c>
      <c r="R4650" t="s">
        <v>918</v>
      </c>
      <c r="S4650">
        <v>37</v>
      </c>
      <c r="T4650" s="29" t="str">
        <f>HYPERLINK("https://ictv.global/ictv/proposals/2021.010B.R.Binomial_names.zip","2021.010B.R.Binomial_names.zip")</f>
        <v>2021.010B.R.Binomial_names.zip</v>
      </c>
      <c r="U4650" s="29" t="str">
        <f>HYPERLINK("https://ictv.global/taxonomy/taxondetails?taxnode_id=202308035","ictv.global=202308035")</f>
        <v>ictv.global=202308035</v>
      </c>
    </row>
    <row r="4651" spans="1:21">
      <c r="A4651">
        <v>4650</v>
      </c>
      <c r="B4651" s="30" t="s">
        <v>1587</v>
      </c>
      <c r="D4651" s="30" t="s">
        <v>1588</v>
      </c>
      <c r="F4651" s="30" t="s">
        <v>1591</v>
      </c>
      <c r="H4651" s="30" t="s">
        <v>1592</v>
      </c>
      <c r="N4651" s="30" t="s">
        <v>701</v>
      </c>
      <c r="P4651" s="30" t="s">
        <v>8141</v>
      </c>
      <c r="Q4651" t="s">
        <v>619</v>
      </c>
      <c r="R4651" t="s">
        <v>918</v>
      </c>
      <c r="S4651">
        <v>37</v>
      </c>
      <c r="T4651" s="29" t="str">
        <f>HYPERLINK("https://ictv.global/ictv/proposals/2021.010B.R.Binomial_names.zip","2021.010B.R.Binomial_names.zip")</f>
        <v>2021.010B.R.Binomial_names.zip</v>
      </c>
      <c r="U4651" s="29" t="str">
        <f>HYPERLINK("https://ictv.global/taxonomy/taxondetails?taxnode_id=202301264","ictv.global=202301264")</f>
        <v>ictv.global=202301264</v>
      </c>
    </row>
    <row r="4652" spans="1:21">
      <c r="A4652">
        <v>4651</v>
      </c>
      <c r="B4652" s="30" t="s">
        <v>1587</v>
      </c>
      <c r="D4652" s="30" t="s">
        <v>1588</v>
      </c>
      <c r="F4652" s="30" t="s">
        <v>1591</v>
      </c>
      <c r="H4652" s="30" t="s">
        <v>1592</v>
      </c>
      <c r="N4652" s="30" t="s">
        <v>701</v>
      </c>
      <c r="P4652" s="30" t="s">
        <v>8142</v>
      </c>
      <c r="Q4652" t="s">
        <v>619</v>
      </c>
      <c r="R4652" t="s">
        <v>918</v>
      </c>
      <c r="S4652">
        <v>37</v>
      </c>
      <c r="T4652" s="29" t="str">
        <f>HYPERLINK("https://ictv.global/ictv/proposals/2021.010B.R.Binomial_names.zip","2021.010B.R.Binomial_names.zip")</f>
        <v>2021.010B.R.Binomial_names.zip</v>
      </c>
      <c r="U4652" s="29" t="str">
        <f>HYPERLINK("https://ictv.global/taxonomy/taxondetails?taxnode_id=202301265","ictv.global=202301265")</f>
        <v>ictv.global=202301265</v>
      </c>
    </row>
    <row r="4653" spans="1:21">
      <c r="A4653">
        <v>4652</v>
      </c>
      <c r="B4653" s="30" t="s">
        <v>1587</v>
      </c>
      <c r="D4653" s="30" t="s">
        <v>1588</v>
      </c>
      <c r="F4653" s="30" t="s">
        <v>1591</v>
      </c>
      <c r="H4653" s="30" t="s">
        <v>1592</v>
      </c>
      <c r="N4653" s="30" t="s">
        <v>8143</v>
      </c>
      <c r="P4653" s="30" t="s">
        <v>8144</v>
      </c>
      <c r="Q4653" t="s">
        <v>619</v>
      </c>
      <c r="R4653" t="s">
        <v>917</v>
      </c>
      <c r="S4653">
        <v>38</v>
      </c>
      <c r="T4653" s="29" t="str">
        <f>HYPERLINK("https://ictv.global/ictv/proposals/2022.081B.Caudoviricetes_6ng_streptomyces.zip","2022.081B.Caudoviricetes_6ng_streptomyces.zip")</f>
        <v>2022.081B.Caudoviricetes_6ng_streptomyces.zip</v>
      </c>
      <c r="U4653" s="29" t="str">
        <f>HYPERLINK("https://ictv.global/taxonomy/taxondetails?taxnode_id=202314881","ictv.global=202314881")</f>
        <v>ictv.global=202314881</v>
      </c>
    </row>
    <row r="4654" spans="1:21">
      <c r="A4654">
        <v>4653</v>
      </c>
      <c r="B4654" s="30" t="s">
        <v>1587</v>
      </c>
      <c r="D4654" s="30" t="s">
        <v>1588</v>
      </c>
      <c r="F4654" s="30" t="s">
        <v>1591</v>
      </c>
      <c r="H4654" s="30" t="s">
        <v>1592</v>
      </c>
      <c r="N4654" s="30" t="s">
        <v>2290</v>
      </c>
      <c r="P4654" s="30" t="s">
        <v>8145</v>
      </c>
      <c r="Q4654" t="s">
        <v>619</v>
      </c>
      <c r="R4654" t="s">
        <v>918</v>
      </c>
      <c r="S4654">
        <v>37</v>
      </c>
      <c r="T4654" s="29" t="str">
        <f>HYPERLINK("https://ictv.global/ictv/proposals/2021.010B.R.Binomial_names.zip","2021.010B.R.Binomial_names.zip")</f>
        <v>2021.010B.R.Binomial_names.zip</v>
      </c>
      <c r="U4654" s="29" t="str">
        <f>HYPERLINK("https://ictv.global/taxonomy/taxondetails?taxnode_id=202311856","ictv.global=202311856")</f>
        <v>ictv.global=202311856</v>
      </c>
    </row>
    <row r="4655" spans="1:21">
      <c r="A4655">
        <v>4654</v>
      </c>
      <c r="B4655" s="30" t="s">
        <v>1587</v>
      </c>
      <c r="D4655" s="30" t="s">
        <v>1588</v>
      </c>
      <c r="F4655" s="30" t="s">
        <v>1591</v>
      </c>
      <c r="H4655" s="30" t="s">
        <v>1592</v>
      </c>
      <c r="N4655" s="30" t="s">
        <v>8146</v>
      </c>
      <c r="P4655" s="30" t="s">
        <v>8147</v>
      </c>
      <c r="Q4655" t="s">
        <v>619</v>
      </c>
      <c r="R4655" t="s">
        <v>917</v>
      </c>
      <c r="S4655">
        <v>37</v>
      </c>
      <c r="T4655" s="29" t="str">
        <f>HYPERLINK("https://ictv.global/ictv/proposals/2021.077B.R.Sheenvirus.zip","2021.077B.R.Sheenvirus.zip")</f>
        <v>2021.077B.R.Sheenvirus.zip</v>
      </c>
      <c r="U4655" s="29" t="str">
        <f>HYPERLINK("https://ictv.global/taxonomy/taxondetails?taxnode_id=202313614","ictv.global=202313614")</f>
        <v>ictv.global=202313614</v>
      </c>
    </row>
    <row r="4656" spans="1:21">
      <c r="A4656">
        <v>4655</v>
      </c>
      <c r="B4656" s="30" t="s">
        <v>1587</v>
      </c>
      <c r="D4656" s="30" t="s">
        <v>1588</v>
      </c>
      <c r="F4656" s="30" t="s">
        <v>1591</v>
      </c>
      <c r="H4656" s="30" t="s">
        <v>1592</v>
      </c>
      <c r="N4656" s="30" t="s">
        <v>2291</v>
      </c>
      <c r="P4656" s="30" t="s">
        <v>8148</v>
      </c>
      <c r="Q4656" t="s">
        <v>619</v>
      </c>
      <c r="R4656" t="s">
        <v>918</v>
      </c>
      <c r="S4656">
        <v>37</v>
      </c>
      <c r="T4656" s="29" t="str">
        <f t="shared" ref="T4656:T4662" si="212">HYPERLINK("https://ictv.global/ictv/proposals/2021.010B.R.Binomial_names.zip","2021.010B.R.Binomial_names.zip")</f>
        <v>2021.010B.R.Binomial_names.zip</v>
      </c>
      <c r="U4656" s="29" t="str">
        <f>HYPERLINK("https://ictv.global/taxonomy/taxondetails?taxnode_id=202309896","ictv.global=202309896")</f>
        <v>ictv.global=202309896</v>
      </c>
    </row>
    <row r="4657" spans="1:21">
      <c r="A4657">
        <v>4656</v>
      </c>
      <c r="B4657" s="30" t="s">
        <v>1587</v>
      </c>
      <c r="D4657" s="30" t="s">
        <v>1588</v>
      </c>
      <c r="F4657" s="30" t="s">
        <v>1591</v>
      </c>
      <c r="H4657" s="30" t="s">
        <v>1592</v>
      </c>
      <c r="N4657" s="30" t="s">
        <v>2291</v>
      </c>
      <c r="P4657" s="30" t="s">
        <v>8149</v>
      </c>
      <c r="Q4657" t="s">
        <v>619</v>
      </c>
      <c r="R4657" t="s">
        <v>918</v>
      </c>
      <c r="S4657">
        <v>37</v>
      </c>
      <c r="T4657" s="29" t="str">
        <f t="shared" si="212"/>
        <v>2021.010B.R.Binomial_names.zip</v>
      </c>
      <c r="U4657" s="29" t="str">
        <f>HYPERLINK("https://ictv.global/taxonomy/taxondetails?taxnode_id=202309893","ictv.global=202309893")</f>
        <v>ictv.global=202309893</v>
      </c>
    </row>
    <row r="4658" spans="1:21">
      <c r="A4658">
        <v>4657</v>
      </c>
      <c r="B4658" s="30" t="s">
        <v>1587</v>
      </c>
      <c r="D4658" s="30" t="s">
        <v>1588</v>
      </c>
      <c r="F4658" s="30" t="s">
        <v>1591</v>
      </c>
      <c r="H4658" s="30" t="s">
        <v>1592</v>
      </c>
      <c r="N4658" s="30" t="s">
        <v>2291</v>
      </c>
      <c r="P4658" s="30" t="s">
        <v>8150</v>
      </c>
      <c r="Q4658" t="s">
        <v>619</v>
      </c>
      <c r="R4658" t="s">
        <v>918</v>
      </c>
      <c r="S4658">
        <v>37</v>
      </c>
      <c r="T4658" s="29" t="str">
        <f t="shared" si="212"/>
        <v>2021.010B.R.Binomial_names.zip</v>
      </c>
      <c r="U4658" s="29" t="str">
        <f>HYPERLINK("https://ictv.global/taxonomy/taxondetails?taxnode_id=202309895","ictv.global=202309895")</f>
        <v>ictv.global=202309895</v>
      </c>
    </row>
    <row r="4659" spans="1:21">
      <c r="A4659">
        <v>4658</v>
      </c>
      <c r="B4659" s="30" t="s">
        <v>1587</v>
      </c>
      <c r="D4659" s="30" t="s">
        <v>1588</v>
      </c>
      <c r="F4659" s="30" t="s">
        <v>1591</v>
      </c>
      <c r="H4659" s="30" t="s">
        <v>1592</v>
      </c>
      <c r="N4659" s="30" t="s">
        <v>2291</v>
      </c>
      <c r="P4659" s="30" t="s">
        <v>8151</v>
      </c>
      <c r="Q4659" t="s">
        <v>619</v>
      </c>
      <c r="R4659" t="s">
        <v>918</v>
      </c>
      <c r="S4659">
        <v>37</v>
      </c>
      <c r="T4659" s="29" t="str">
        <f t="shared" si="212"/>
        <v>2021.010B.R.Binomial_names.zip</v>
      </c>
      <c r="U4659" s="29" t="str">
        <f>HYPERLINK("https://ictv.global/taxonomy/taxondetails?taxnode_id=202309892","ictv.global=202309892")</f>
        <v>ictv.global=202309892</v>
      </c>
    </row>
    <row r="4660" spans="1:21">
      <c r="A4660">
        <v>4659</v>
      </c>
      <c r="B4660" s="30" t="s">
        <v>1587</v>
      </c>
      <c r="D4660" s="30" t="s">
        <v>1588</v>
      </c>
      <c r="F4660" s="30" t="s">
        <v>1591</v>
      </c>
      <c r="H4660" s="30" t="s">
        <v>1592</v>
      </c>
      <c r="N4660" s="30" t="s">
        <v>2291</v>
      </c>
      <c r="P4660" s="30" t="s">
        <v>8152</v>
      </c>
      <c r="Q4660" t="s">
        <v>619</v>
      </c>
      <c r="R4660" t="s">
        <v>918</v>
      </c>
      <c r="S4660">
        <v>37</v>
      </c>
      <c r="T4660" s="29" t="str">
        <f t="shared" si="212"/>
        <v>2021.010B.R.Binomial_names.zip</v>
      </c>
      <c r="U4660" s="29" t="str">
        <f>HYPERLINK("https://ictv.global/taxonomy/taxondetails?taxnode_id=202309894","ictv.global=202309894")</f>
        <v>ictv.global=202309894</v>
      </c>
    </row>
    <row r="4661" spans="1:21">
      <c r="A4661">
        <v>4660</v>
      </c>
      <c r="B4661" s="30" t="s">
        <v>1587</v>
      </c>
      <c r="D4661" s="30" t="s">
        <v>1588</v>
      </c>
      <c r="F4661" s="30" t="s">
        <v>1591</v>
      </c>
      <c r="H4661" s="30" t="s">
        <v>1592</v>
      </c>
      <c r="N4661" s="30" t="s">
        <v>2291</v>
      </c>
      <c r="P4661" s="30" t="s">
        <v>8153</v>
      </c>
      <c r="Q4661" t="s">
        <v>619</v>
      </c>
      <c r="R4661" t="s">
        <v>918</v>
      </c>
      <c r="S4661">
        <v>37</v>
      </c>
      <c r="T4661" s="29" t="str">
        <f t="shared" si="212"/>
        <v>2021.010B.R.Binomial_names.zip</v>
      </c>
      <c r="U4661" s="29" t="str">
        <f>HYPERLINK("https://ictv.global/taxonomy/taxondetails?taxnode_id=202309891","ictv.global=202309891")</f>
        <v>ictv.global=202309891</v>
      </c>
    </row>
    <row r="4662" spans="1:21">
      <c r="A4662">
        <v>4661</v>
      </c>
      <c r="B4662" s="30" t="s">
        <v>1587</v>
      </c>
      <c r="D4662" s="30" t="s">
        <v>1588</v>
      </c>
      <c r="F4662" s="30" t="s">
        <v>1591</v>
      </c>
      <c r="H4662" s="30" t="s">
        <v>1592</v>
      </c>
      <c r="N4662" s="30" t="s">
        <v>2292</v>
      </c>
      <c r="P4662" s="30" t="s">
        <v>8154</v>
      </c>
      <c r="Q4662" t="s">
        <v>619</v>
      </c>
      <c r="R4662" t="s">
        <v>918</v>
      </c>
      <c r="S4662">
        <v>37</v>
      </c>
      <c r="T4662" s="29" t="str">
        <f t="shared" si="212"/>
        <v>2021.010B.R.Binomial_names.zip</v>
      </c>
      <c r="U4662" s="29" t="str">
        <f>HYPERLINK("https://ictv.global/taxonomy/taxondetails?taxnode_id=202311858","ictv.global=202311858")</f>
        <v>ictv.global=202311858</v>
      </c>
    </row>
    <row r="4663" spans="1:21">
      <c r="A4663">
        <v>4662</v>
      </c>
      <c r="B4663" s="30" t="s">
        <v>1587</v>
      </c>
      <c r="D4663" s="30" t="s">
        <v>1588</v>
      </c>
      <c r="F4663" s="30" t="s">
        <v>1591</v>
      </c>
      <c r="H4663" s="30" t="s">
        <v>1592</v>
      </c>
      <c r="N4663" s="30" t="s">
        <v>12697</v>
      </c>
      <c r="P4663" s="30" t="s">
        <v>12698</v>
      </c>
      <c r="Q4663" t="s">
        <v>619</v>
      </c>
      <c r="R4663" t="s">
        <v>917</v>
      </c>
      <c r="S4663">
        <v>39</v>
      </c>
      <c r="T4663" s="29" t="str">
        <f>HYPERLINK("https://ictv.global/ictv/proposals/2023.003B.Actinobacteriophage_singletons_25ng.zip","2023.003B.Actinobacteriophage_singletons_25ng.zip")</f>
        <v>2023.003B.Actinobacteriophage_singletons_25ng.zip</v>
      </c>
      <c r="U4663" s="29" t="str">
        <f>HYPERLINK("https://ictv.global/taxonomy/taxondetails?taxnode_id=202317769","ictv.global=202317769")</f>
        <v>ictv.global=202317769</v>
      </c>
    </row>
    <row r="4664" spans="1:21">
      <c r="A4664">
        <v>4663</v>
      </c>
      <c r="B4664" s="30" t="s">
        <v>1587</v>
      </c>
      <c r="D4664" s="30" t="s">
        <v>1588</v>
      </c>
      <c r="F4664" s="30" t="s">
        <v>1591</v>
      </c>
      <c r="H4664" s="30" t="s">
        <v>1592</v>
      </c>
      <c r="N4664" s="30" t="s">
        <v>8155</v>
      </c>
      <c r="P4664" s="30" t="s">
        <v>8156</v>
      </c>
      <c r="Q4664" t="s">
        <v>619</v>
      </c>
      <c r="R4664" t="s">
        <v>917</v>
      </c>
      <c r="S4664">
        <v>38</v>
      </c>
      <c r="T4664" s="29" t="str">
        <f>HYPERLINK("https://ictv.global/ictv/proposals/2022.090B.Caudoviricetes_3ng_arthrobacter.zip","2022.090B.Caudoviricetes_3ng_arthrobacter.zip")</f>
        <v>2022.090B.Caudoviricetes_3ng_arthrobacter.zip</v>
      </c>
      <c r="U4664" s="29" t="str">
        <f>HYPERLINK("https://ictv.global/taxonomy/taxondetails?taxnode_id=202314959","ictv.global=202314959")</f>
        <v>ictv.global=202314959</v>
      </c>
    </row>
    <row r="4665" spans="1:21">
      <c r="A4665">
        <v>4664</v>
      </c>
      <c r="B4665" s="30" t="s">
        <v>1587</v>
      </c>
      <c r="D4665" s="30" t="s">
        <v>1588</v>
      </c>
      <c r="F4665" s="30" t="s">
        <v>1591</v>
      </c>
      <c r="H4665" s="30" t="s">
        <v>1592</v>
      </c>
      <c r="N4665" s="30" t="s">
        <v>8157</v>
      </c>
      <c r="P4665" s="30" t="s">
        <v>8158</v>
      </c>
      <c r="Q4665" t="s">
        <v>619</v>
      </c>
      <c r="R4665" t="s">
        <v>917</v>
      </c>
      <c r="S4665">
        <v>37</v>
      </c>
      <c r="T4665" s="29" t="str">
        <f>HYPERLINK("https://ictv.global/ictv/proposals/2021.078B.R.Siphoviridae_new_genera.zip","2021.078B.R.Siphoviridae_new_genera.zip")</f>
        <v>2021.078B.R.Siphoviridae_new_genera.zip</v>
      </c>
      <c r="U4665" s="29" t="str">
        <f>HYPERLINK("https://ictv.global/taxonomy/taxondetails?taxnode_id=202313637","ictv.global=202313637")</f>
        <v>ictv.global=202313637</v>
      </c>
    </row>
    <row r="4666" spans="1:21">
      <c r="A4666">
        <v>4665</v>
      </c>
      <c r="B4666" s="30" t="s">
        <v>1587</v>
      </c>
      <c r="D4666" s="30" t="s">
        <v>1588</v>
      </c>
      <c r="F4666" s="30" t="s">
        <v>1591</v>
      </c>
      <c r="H4666" s="30" t="s">
        <v>1592</v>
      </c>
      <c r="N4666" s="30" t="s">
        <v>8159</v>
      </c>
      <c r="P4666" s="30" t="s">
        <v>8160</v>
      </c>
      <c r="Q4666" t="s">
        <v>619</v>
      </c>
      <c r="R4666" t="s">
        <v>917</v>
      </c>
      <c r="S4666">
        <v>38</v>
      </c>
      <c r="T4666" s="29" t="str">
        <f>HYPERLINK("https://ictv.global/ictv/proposals/2022.078B.Siatvirus_ng.zip","2022.078B.Siatvirus_ng.zip")</f>
        <v>2022.078B.Siatvirus_ng.zip</v>
      </c>
      <c r="U4666" s="29" t="str">
        <f>HYPERLINK("https://ictv.global/taxonomy/taxondetails?taxnode_id=202314854","ictv.global=202314854")</f>
        <v>ictv.global=202314854</v>
      </c>
    </row>
    <row r="4667" spans="1:21">
      <c r="A4667">
        <v>4666</v>
      </c>
      <c r="B4667" s="30" t="s">
        <v>1587</v>
      </c>
      <c r="D4667" s="30" t="s">
        <v>1588</v>
      </c>
      <c r="F4667" s="30" t="s">
        <v>1591</v>
      </c>
      <c r="H4667" s="30" t="s">
        <v>1592</v>
      </c>
      <c r="N4667" s="30" t="s">
        <v>8161</v>
      </c>
      <c r="P4667" s="30" t="s">
        <v>8162</v>
      </c>
      <c r="Q4667" t="s">
        <v>619</v>
      </c>
      <c r="R4667" t="s">
        <v>917</v>
      </c>
      <c r="S4667">
        <v>38</v>
      </c>
      <c r="T4667" s="29" t="str">
        <f>HYPERLINK("https://ictv.global/ictv/proposals/2022.084B.Caudoviricetes_6ng_33nsp.zip","2022.084B.Caudoviricetes_6ng_33nsp.zip")</f>
        <v>2022.084B.Caudoviricetes_6ng_33nsp.zip</v>
      </c>
      <c r="U4667" s="29" t="str">
        <f>HYPERLINK("https://ictv.global/taxonomy/taxondetails?taxnode_id=202314924","ictv.global=202314924")</f>
        <v>ictv.global=202314924</v>
      </c>
    </row>
    <row r="4668" spans="1:21">
      <c r="A4668">
        <v>4667</v>
      </c>
      <c r="B4668" s="30" t="s">
        <v>1587</v>
      </c>
      <c r="D4668" s="30" t="s">
        <v>1588</v>
      </c>
      <c r="F4668" s="30" t="s">
        <v>1591</v>
      </c>
      <c r="H4668" s="30" t="s">
        <v>1592</v>
      </c>
      <c r="N4668" s="30" t="s">
        <v>8163</v>
      </c>
      <c r="P4668" s="30" t="s">
        <v>8164</v>
      </c>
      <c r="Q4668" t="s">
        <v>619</v>
      </c>
      <c r="R4668" t="s">
        <v>917</v>
      </c>
      <c r="S4668">
        <v>38</v>
      </c>
      <c r="T4668" s="29" t="str">
        <f>HYPERLINK("https://ictv.global/ictv/proposals/2022.081B.Caudoviricetes_6ng_streptomyces.zip","2022.081B.Caudoviricetes_6ng_streptomyces.zip")</f>
        <v>2022.081B.Caudoviricetes_6ng_streptomyces.zip</v>
      </c>
      <c r="U4668" s="29" t="str">
        <f>HYPERLINK("https://ictv.global/taxonomy/taxondetails?taxnode_id=202314882","ictv.global=202314882")</f>
        <v>ictv.global=202314882</v>
      </c>
    </row>
    <row r="4669" spans="1:21">
      <c r="A4669">
        <v>4668</v>
      </c>
      <c r="B4669" s="30" t="s">
        <v>1587</v>
      </c>
      <c r="D4669" s="30" t="s">
        <v>1588</v>
      </c>
      <c r="F4669" s="30" t="s">
        <v>1591</v>
      </c>
      <c r="H4669" s="30" t="s">
        <v>1592</v>
      </c>
      <c r="N4669" s="30" t="s">
        <v>8165</v>
      </c>
      <c r="P4669" s="30" t="s">
        <v>8166</v>
      </c>
      <c r="Q4669" t="s">
        <v>619</v>
      </c>
      <c r="R4669" t="s">
        <v>917</v>
      </c>
      <c r="S4669">
        <v>38</v>
      </c>
      <c r="T4669" s="29" t="str">
        <f>HYPERLINK("https://ictv.global/ictv/proposals/2022.079B.Silentrexvirus_ng.zip","2022.079B.Silentrexvirus_ng.zip")</f>
        <v>2022.079B.Silentrexvirus_ng.zip</v>
      </c>
      <c r="U4669" s="29" t="str">
        <f>HYPERLINK("https://ictv.global/taxonomy/taxondetails?taxnode_id=202314856","ictv.global=202314856")</f>
        <v>ictv.global=202314856</v>
      </c>
    </row>
    <row r="4670" spans="1:21">
      <c r="A4670">
        <v>4669</v>
      </c>
      <c r="B4670" s="30" t="s">
        <v>1587</v>
      </c>
      <c r="D4670" s="30" t="s">
        <v>1588</v>
      </c>
      <c r="F4670" s="30" t="s">
        <v>1591</v>
      </c>
      <c r="H4670" s="30" t="s">
        <v>1592</v>
      </c>
      <c r="N4670" s="30" t="s">
        <v>8167</v>
      </c>
      <c r="P4670" s="30" t="s">
        <v>8168</v>
      </c>
      <c r="Q4670" t="s">
        <v>619</v>
      </c>
      <c r="R4670" t="s">
        <v>917</v>
      </c>
      <c r="S4670">
        <v>38</v>
      </c>
      <c r="T4670" s="29" t="str">
        <f>HYPERLINK("https://ictv.global/ictv/proposals/2022.092B.Caudoviricetes_3ng_gordonia.zip","2022.092B.Caudoviricetes_3ng_gordonia.zip")</f>
        <v>2022.092B.Caudoviricetes_3ng_gordonia.zip</v>
      </c>
      <c r="U4670" s="29" t="str">
        <f>HYPERLINK("https://ictv.global/taxonomy/taxondetails?taxnode_id=202314971","ictv.global=202314971")</f>
        <v>ictv.global=202314971</v>
      </c>
    </row>
    <row r="4671" spans="1:21">
      <c r="A4671">
        <v>4670</v>
      </c>
      <c r="B4671" s="30" t="s">
        <v>1587</v>
      </c>
      <c r="D4671" s="30" t="s">
        <v>1588</v>
      </c>
      <c r="F4671" s="30" t="s">
        <v>1591</v>
      </c>
      <c r="H4671" s="30" t="s">
        <v>1592</v>
      </c>
      <c r="N4671" s="30" t="s">
        <v>1868</v>
      </c>
      <c r="P4671" s="30" t="s">
        <v>8169</v>
      </c>
      <c r="Q4671" t="s">
        <v>619</v>
      </c>
      <c r="R4671" t="s">
        <v>918</v>
      </c>
      <c r="S4671">
        <v>37</v>
      </c>
      <c r="T4671" s="29" t="str">
        <f>HYPERLINK("https://ictv.global/ictv/proposals/2021.010B.R.Binomial_names.zip","2021.010B.R.Binomial_names.zip")</f>
        <v>2021.010B.R.Binomial_names.zip</v>
      </c>
      <c r="U4671" s="29" t="str">
        <f>HYPERLINK("https://ictv.global/taxonomy/taxondetails?taxnode_id=202307993","ictv.global=202307993")</f>
        <v>ictv.global=202307993</v>
      </c>
    </row>
    <row r="4672" spans="1:21">
      <c r="A4672">
        <v>4671</v>
      </c>
      <c r="B4672" s="30" t="s">
        <v>1587</v>
      </c>
      <c r="D4672" s="30" t="s">
        <v>1588</v>
      </c>
      <c r="F4672" s="30" t="s">
        <v>1591</v>
      </c>
      <c r="H4672" s="30" t="s">
        <v>1592</v>
      </c>
      <c r="N4672" s="30" t="s">
        <v>8170</v>
      </c>
      <c r="P4672" s="30" t="s">
        <v>8171</v>
      </c>
      <c r="Q4672" t="s">
        <v>619</v>
      </c>
      <c r="R4672" t="s">
        <v>917</v>
      </c>
      <c r="S4672">
        <v>37</v>
      </c>
      <c r="T4672" s="29" t="str">
        <f t="shared" ref="T4672:T4678" si="213">HYPERLINK("https://ictv.global/ictv/proposals/2021.078B.R.Siphoviridae_new_genera.zip","2021.078B.R.Siphoviridae_new_genera.zip")</f>
        <v>2021.078B.R.Siphoviridae_new_genera.zip</v>
      </c>
      <c r="U4672" s="29" t="str">
        <f>HYPERLINK("https://ictv.global/taxonomy/taxondetails?taxnode_id=202313629","ictv.global=202313629")</f>
        <v>ictv.global=202313629</v>
      </c>
    </row>
    <row r="4673" spans="1:21">
      <c r="A4673">
        <v>4672</v>
      </c>
      <c r="B4673" s="30" t="s">
        <v>1587</v>
      </c>
      <c r="D4673" s="30" t="s">
        <v>1588</v>
      </c>
      <c r="F4673" s="30" t="s">
        <v>1591</v>
      </c>
      <c r="H4673" s="30" t="s">
        <v>1592</v>
      </c>
      <c r="N4673" s="30" t="s">
        <v>8170</v>
      </c>
      <c r="P4673" s="30" t="s">
        <v>8172</v>
      </c>
      <c r="Q4673" t="s">
        <v>619</v>
      </c>
      <c r="R4673" t="s">
        <v>917</v>
      </c>
      <c r="S4673">
        <v>37</v>
      </c>
      <c r="T4673" s="29" t="str">
        <f t="shared" si="213"/>
        <v>2021.078B.R.Siphoviridae_new_genera.zip</v>
      </c>
      <c r="U4673" s="29" t="str">
        <f>HYPERLINK("https://ictv.global/taxonomy/taxondetails?taxnode_id=202313624","ictv.global=202313624")</f>
        <v>ictv.global=202313624</v>
      </c>
    </row>
    <row r="4674" spans="1:21">
      <c r="A4674">
        <v>4673</v>
      </c>
      <c r="B4674" s="30" t="s">
        <v>1587</v>
      </c>
      <c r="D4674" s="30" t="s">
        <v>1588</v>
      </c>
      <c r="F4674" s="30" t="s">
        <v>1591</v>
      </c>
      <c r="H4674" s="30" t="s">
        <v>1592</v>
      </c>
      <c r="N4674" s="30" t="s">
        <v>8170</v>
      </c>
      <c r="P4674" s="30" t="s">
        <v>8173</v>
      </c>
      <c r="Q4674" t="s">
        <v>619</v>
      </c>
      <c r="R4674" t="s">
        <v>917</v>
      </c>
      <c r="S4674">
        <v>37</v>
      </c>
      <c r="T4674" s="29" t="str">
        <f t="shared" si="213"/>
        <v>2021.078B.R.Siphoviridae_new_genera.zip</v>
      </c>
      <c r="U4674" s="29" t="str">
        <f>HYPERLINK("https://ictv.global/taxonomy/taxondetails?taxnode_id=202313628","ictv.global=202313628")</f>
        <v>ictv.global=202313628</v>
      </c>
    </row>
    <row r="4675" spans="1:21">
      <c r="A4675">
        <v>4674</v>
      </c>
      <c r="B4675" s="30" t="s">
        <v>1587</v>
      </c>
      <c r="D4675" s="30" t="s">
        <v>1588</v>
      </c>
      <c r="F4675" s="30" t="s">
        <v>1591</v>
      </c>
      <c r="H4675" s="30" t="s">
        <v>1592</v>
      </c>
      <c r="N4675" s="30" t="s">
        <v>8170</v>
      </c>
      <c r="P4675" s="30" t="s">
        <v>8174</v>
      </c>
      <c r="Q4675" t="s">
        <v>619</v>
      </c>
      <c r="R4675" t="s">
        <v>917</v>
      </c>
      <c r="S4675">
        <v>37</v>
      </c>
      <c r="T4675" s="29" t="str">
        <f t="shared" si="213"/>
        <v>2021.078B.R.Siphoviridae_new_genera.zip</v>
      </c>
      <c r="U4675" s="29" t="str">
        <f>HYPERLINK("https://ictv.global/taxonomy/taxondetails?taxnode_id=202313626","ictv.global=202313626")</f>
        <v>ictv.global=202313626</v>
      </c>
    </row>
    <row r="4676" spans="1:21">
      <c r="A4676">
        <v>4675</v>
      </c>
      <c r="B4676" s="30" t="s">
        <v>1587</v>
      </c>
      <c r="D4676" s="30" t="s">
        <v>1588</v>
      </c>
      <c r="F4676" s="30" t="s">
        <v>1591</v>
      </c>
      <c r="H4676" s="30" t="s">
        <v>1592</v>
      </c>
      <c r="N4676" s="30" t="s">
        <v>8170</v>
      </c>
      <c r="P4676" s="30" t="s">
        <v>8175</v>
      </c>
      <c r="Q4676" t="s">
        <v>619</v>
      </c>
      <c r="R4676" t="s">
        <v>917</v>
      </c>
      <c r="S4676">
        <v>37</v>
      </c>
      <c r="T4676" s="29" t="str">
        <f t="shared" si="213"/>
        <v>2021.078B.R.Siphoviridae_new_genera.zip</v>
      </c>
      <c r="U4676" s="29" t="str">
        <f>HYPERLINK("https://ictv.global/taxonomy/taxondetails?taxnode_id=202313625","ictv.global=202313625")</f>
        <v>ictv.global=202313625</v>
      </c>
    </row>
    <row r="4677" spans="1:21">
      <c r="A4677">
        <v>4676</v>
      </c>
      <c r="B4677" s="30" t="s">
        <v>1587</v>
      </c>
      <c r="D4677" s="30" t="s">
        <v>1588</v>
      </c>
      <c r="F4677" s="30" t="s">
        <v>1591</v>
      </c>
      <c r="H4677" s="30" t="s">
        <v>1592</v>
      </c>
      <c r="N4677" s="30" t="s">
        <v>8170</v>
      </c>
      <c r="P4677" s="30" t="s">
        <v>8176</v>
      </c>
      <c r="Q4677" t="s">
        <v>619</v>
      </c>
      <c r="R4677" t="s">
        <v>917</v>
      </c>
      <c r="S4677">
        <v>37</v>
      </c>
      <c r="T4677" s="29" t="str">
        <f t="shared" si="213"/>
        <v>2021.078B.R.Siphoviridae_new_genera.zip</v>
      </c>
      <c r="U4677" s="29" t="str">
        <f>HYPERLINK("https://ictv.global/taxonomy/taxondetails?taxnode_id=202313623","ictv.global=202313623")</f>
        <v>ictv.global=202313623</v>
      </c>
    </row>
    <row r="4678" spans="1:21">
      <c r="A4678">
        <v>4677</v>
      </c>
      <c r="B4678" s="30" t="s">
        <v>1587</v>
      </c>
      <c r="D4678" s="30" t="s">
        <v>1588</v>
      </c>
      <c r="F4678" s="30" t="s">
        <v>1591</v>
      </c>
      <c r="H4678" s="30" t="s">
        <v>1592</v>
      </c>
      <c r="N4678" s="30" t="s">
        <v>8170</v>
      </c>
      <c r="P4678" s="30" t="s">
        <v>8177</v>
      </c>
      <c r="Q4678" t="s">
        <v>619</v>
      </c>
      <c r="R4678" t="s">
        <v>917</v>
      </c>
      <c r="S4678">
        <v>37</v>
      </c>
      <c r="T4678" s="29" t="str">
        <f t="shared" si="213"/>
        <v>2021.078B.R.Siphoviridae_new_genera.zip</v>
      </c>
      <c r="U4678" s="29" t="str">
        <f>HYPERLINK("https://ictv.global/taxonomy/taxondetails?taxnode_id=202313627","ictv.global=202313627")</f>
        <v>ictv.global=202313627</v>
      </c>
    </row>
    <row r="4679" spans="1:21">
      <c r="A4679">
        <v>4678</v>
      </c>
      <c r="B4679" s="30" t="s">
        <v>1587</v>
      </c>
      <c r="D4679" s="30" t="s">
        <v>1588</v>
      </c>
      <c r="F4679" s="30" t="s">
        <v>1591</v>
      </c>
      <c r="H4679" s="30" t="s">
        <v>1592</v>
      </c>
      <c r="N4679" s="30" t="s">
        <v>8178</v>
      </c>
      <c r="P4679" s="30" t="s">
        <v>8179</v>
      </c>
      <c r="Q4679" t="s">
        <v>619</v>
      </c>
      <c r="R4679" t="s">
        <v>917</v>
      </c>
      <c r="S4679">
        <v>37</v>
      </c>
      <c r="T4679" s="29" t="str">
        <f>HYPERLINK("https://ictv.global/ictv/proposals/2021.079B.R.Skogvirus.zip","2021.079B.R.Skogvirus.zip")</f>
        <v>2021.079B.R.Skogvirus.zip</v>
      </c>
      <c r="U4679" s="29" t="str">
        <f>HYPERLINK("https://ictv.global/taxonomy/taxondetails?taxnode_id=202313646","ictv.global=202313646")</f>
        <v>ictv.global=202313646</v>
      </c>
    </row>
    <row r="4680" spans="1:21">
      <c r="A4680">
        <v>4679</v>
      </c>
      <c r="B4680" s="30" t="s">
        <v>1587</v>
      </c>
      <c r="D4680" s="30" t="s">
        <v>1588</v>
      </c>
      <c r="F4680" s="30" t="s">
        <v>1591</v>
      </c>
      <c r="H4680" s="30" t="s">
        <v>1592</v>
      </c>
      <c r="N4680" s="30" t="s">
        <v>8180</v>
      </c>
      <c r="P4680" s="30" t="s">
        <v>8181</v>
      </c>
      <c r="Q4680" t="s">
        <v>619</v>
      </c>
      <c r="R4680" t="s">
        <v>917</v>
      </c>
      <c r="S4680">
        <v>38</v>
      </c>
      <c r="T4680" s="29" t="str">
        <f>HYPERLINK("https://ictv.global/ictv/proposals/2022.082B.Skulduggeryvirus_ng.zip","2022.082B.Skulduggeryvirus_ng.zip")</f>
        <v>2022.082B.Skulduggeryvirus_ng.zip</v>
      </c>
      <c r="U4680" s="29" t="str">
        <f>HYPERLINK("https://ictv.global/taxonomy/taxondetails?taxnode_id=202314884","ictv.global=202314884")</f>
        <v>ictv.global=202314884</v>
      </c>
    </row>
    <row r="4681" spans="1:21">
      <c r="A4681">
        <v>4680</v>
      </c>
      <c r="B4681" s="30" t="s">
        <v>1587</v>
      </c>
      <c r="D4681" s="30" t="s">
        <v>1588</v>
      </c>
      <c r="F4681" s="30" t="s">
        <v>1591</v>
      </c>
      <c r="H4681" s="30" t="s">
        <v>1592</v>
      </c>
      <c r="N4681" s="30" t="s">
        <v>1553</v>
      </c>
      <c r="P4681" s="30" t="s">
        <v>8182</v>
      </c>
      <c r="Q4681" t="s">
        <v>619</v>
      </c>
      <c r="R4681" t="s">
        <v>918</v>
      </c>
      <c r="S4681">
        <v>37</v>
      </c>
      <c r="T4681" s="29" t="str">
        <f t="shared" ref="T4681:T4712" si="214">HYPERLINK("https://ictv.global/ictv/proposals/2021.010B.R.Binomial_names.zip","2021.010B.R.Binomial_names.zip")</f>
        <v>2021.010B.R.Binomial_names.zip</v>
      </c>
      <c r="U4681" s="29" t="str">
        <f>HYPERLINK("https://ictv.global/taxonomy/taxondetails?taxnode_id=202311879","ictv.global=202311879")</f>
        <v>ictv.global=202311879</v>
      </c>
    </row>
    <row r="4682" spans="1:21">
      <c r="A4682">
        <v>4681</v>
      </c>
      <c r="B4682" s="30" t="s">
        <v>1587</v>
      </c>
      <c r="D4682" s="30" t="s">
        <v>1588</v>
      </c>
      <c r="F4682" s="30" t="s">
        <v>1591</v>
      </c>
      <c r="H4682" s="30" t="s">
        <v>1592</v>
      </c>
      <c r="N4682" s="30" t="s">
        <v>1553</v>
      </c>
      <c r="P4682" s="30" t="s">
        <v>8183</v>
      </c>
      <c r="Q4682" t="s">
        <v>619</v>
      </c>
      <c r="R4682" t="s">
        <v>918</v>
      </c>
      <c r="S4682">
        <v>37</v>
      </c>
      <c r="T4682" s="29" t="str">
        <f t="shared" si="214"/>
        <v>2021.010B.R.Binomial_names.zip</v>
      </c>
      <c r="U4682" s="29" t="str">
        <f>HYPERLINK("https://ictv.global/taxonomy/taxondetails?taxnode_id=202301287","ictv.global=202301287")</f>
        <v>ictv.global=202301287</v>
      </c>
    </row>
    <row r="4683" spans="1:21">
      <c r="A4683">
        <v>4682</v>
      </c>
      <c r="B4683" s="30" t="s">
        <v>1587</v>
      </c>
      <c r="D4683" s="30" t="s">
        <v>1588</v>
      </c>
      <c r="F4683" s="30" t="s">
        <v>1591</v>
      </c>
      <c r="H4683" s="30" t="s">
        <v>1592</v>
      </c>
      <c r="N4683" s="30" t="s">
        <v>1553</v>
      </c>
      <c r="P4683" s="30" t="s">
        <v>8184</v>
      </c>
      <c r="Q4683" t="s">
        <v>619</v>
      </c>
      <c r="R4683" t="s">
        <v>918</v>
      </c>
      <c r="S4683">
        <v>37</v>
      </c>
      <c r="T4683" s="29" t="str">
        <f t="shared" si="214"/>
        <v>2021.010B.R.Binomial_names.zip</v>
      </c>
      <c r="U4683" s="29" t="str">
        <f>HYPERLINK("https://ictv.global/taxonomy/taxondetails?taxnode_id=202301288","ictv.global=202301288")</f>
        <v>ictv.global=202301288</v>
      </c>
    </row>
    <row r="4684" spans="1:21">
      <c r="A4684">
        <v>4683</v>
      </c>
      <c r="B4684" s="30" t="s">
        <v>1587</v>
      </c>
      <c r="D4684" s="30" t="s">
        <v>1588</v>
      </c>
      <c r="F4684" s="30" t="s">
        <v>1591</v>
      </c>
      <c r="H4684" s="30" t="s">
        <v>1592</v>
      </c>
      <c r="N4684" s="30" t="s">
        <v>1553</v>
      </c>
      <c r="P4684" s="30" t="s">
        <v>8185</v>
      </c>
      <c r="Q4684" t="s">
        <v>619</v>
      </c>
      <c r="R4684" t="s">
        <v>918</v>
      </c>
      <c r="S4684">
        <v>37</v>
      </c>
      <c r="T4684" s="29" t="str">
        <f t="shared" si="214"/>
        <v>2021.010B.R.Binomial_names.zip</v>
      </c>
      <c r="U4684" s="29" t="str">
        <f>HYPERLINK("https://ictv.global/taxonomy/taxondetails?taxnode_id=202301289","ictv.global=202301289")</f>
        <v>ictv.global=202301289</v>
      </c>
    </row>
    <row r="4685" spans="1:21">
      <c r="A4685">
        <v>4684</v>
      </c>
      <c r="B4685" s="30" t="s">
        <v>1587</v>
      </c>
      <c r="D4685" s="30" t="s">
        <v>1588</v>
      </c>
      <c r="F4685" s="30" t="s">
        <v>1591</v>
      </c>
      <c r="H4685" s="30" t="s">
        <v>1592</v>
      </c>
      <c r="N4685" s="30" t="s">
        <v>1553</v>
      </c>
      <c r="P4685" s="30" t="s">
        <v>8186</v>
      </c>
      <c r="Q4685" t="s">
        <v>619</v>
      </c>
      <c r="R4685" t="s">
        <v>918</v>
      </c>
      <c r="S4685">
        <v>37</v>
      </c>
      <c r="T4685" s="29" t="str">
        <f t="shared" si="214"/>
        <v>2021.010B.R.Binomial_names.zip</v>
      </c>
      <c r="U4685" s="29" t="str">
        <f>HYPERLINK("https://ictv.global/taxonomy/taxondetails?taxnode_id=202301290","ictv.global=202301290")</f>
        <v>ictv.global=202301290</v>
      </c>
    </row>
    <row r="4686" spans="1:21">
      <c r="A4686">
        <v>4685</v>
      </c>
      <c r="B4686" s="30" t="s">
        <v>1587</v>
      </c>
      <c r="D4686" s="30" t="s">
        <v>1588</v>
      </c>
      <c r="F4686" s="30" t="s">
        <v>1591</v>
      </c>
      <c r="H4686" s="30" t="s">
        <v>1592</v>
      </c>
      <c r="N4686" s="30" t="s">
        <v>1553</v>
      </c>
      <c r="P4686" s="30" t="s">
        <v>8187</v>
      </c>
      <c r="Q4686" t="s">
        <v>619</v>
      </c>
      <c r="R4686" t="s">
        <v>918</v>
      </c>
      <c r="S4686">
        <v>37</v>
      </c>
      <c r="T4686" s="29" t="str">
        <f t="shared" si="214"/>
        <v>2021.010B.R.Binomial_names.zip</v>
      </c>
      <c r="U4686" s="29" t="str">
        <f>HYPERLINK("https://ictv.global/taxonomy/taxondetails?taxnode_id=202301291","ictv.global=202301291")</f>
        <v>ictv.global=202301291</v>
      </c>
    </row>
    <row r="4687" spans="1:21">
      <c r="A4687">
        <v>4686</v>
      </c>
      <c r="B4687" s="30" t="s">
        <v>1587</v>
      </c>
      <c r="D4687" s="30" t="s">
        <v>1588</v>
      </c>
      <c r="F4687" s="30" t="s">
        <v>1591</v>
      </c>
      <c r="H4687" s="30" t="s">
        <v>1592</v>
      </c>
      <c r="N4687" s="30" t="s">
        <v>1553</v>
      </c>
      <c r="P4687" s="30" t="s">
        <v>8188</v>
      </c>
      <c r="Q4687" t="s">
        <v>619</v>
      </c>
      <c r="R4687" t="s">
        <v>918</v>
      </c>
      <c r="S4687">
        <v>37</v>
      </c>
      <c r="T4687" s="29" t="str">
        <f t="shared" si="214"/>
        <v>2021.010B.R.Binomial_names.zip</v>
      </c>
      <c r="U4687" s="29" t="str">
        <f>HYPERLINK("https://ictv.global/taxonomy/taxondetails?taxnode_id=202311880","ictv.global=202311880")</f>
        <v>ictv.global=202311880</v>
      </c>
    </row>
    <row r="4688" spans="1:21">
      <c r="A4688">
        <v>4687</v>
      </c>
      <c r="B4688" s="30" t="s">
        <v>1587</v>
      </c>
      <c r="D4688" s="30" t="s">
        <v>1588</v>
      </c>
      <c r="F4688" s="30" t="s">
        <v>1591</v>
      </c>
      <c r="H4688" s="30" t="s">
        <v>1592</v>
      </c>
      <c r="N4688" s="30" t="s">
        <v>1553</v>
      </c>
      <c r="P4688" s="30" t="s">
        <v>8189</v>
      </c>
      <c r="Q4688" t="s">
        <v>619</v>
      </c>
      <c r="R4688" t="s">
        <v>918</v>
      </c>
      <c r="S4688">
        <v>37</v>
      </c>
      <c r="T4688" s="29" t="str">
        <f t="shared" si="214"/>
        <v>2021.010B.R.Binomial_names.zip</v>
      </c>
      <c r="U4688" s="29" t="str">
        <f>HYPERLINK("https://ictv.global/taxonomy/taxondetails?taxnode_id=202301292","ictv.global=202301292")</f>
        <v>ictv.global=202301292</v>
      </c>
    </row>
    <row r="4689" spans="1:21">
      <c r="A4689">
        <v>4688</v>
      </c>
      <c r="B4689" s="30" t="s">
        <v>1587</v>
      </c>
      <c r="D4689" s="30" t="s">
        <v>1588</v>
      </c>
      <c r="F4689" s="30" t="s">
        <v>1591</v>
      </c>
      <c r="H4689" s="30" t="s">
        <v>1592</v>
      </c>
      <c r="N4689" s="30" t="s">
        <v>1553</v>
      </c>
      <c r="P4689" s="30" t="s">
        <v>8190</v>
      </c>
      <c r="Q4689" t="s">
        <v>619</v>
      </c>
      <c r="R4689" t="s">
        <v>918</v>
      </c>
      <c r="S4689">
        <v>37</v>
      </c>
      <c r="T4689" s="29" t="str">
        <f t="shared" si="214"/>
        <v>2021.010B.R.Binomial_names.zip</v>
      </c>
      <c r="U4689" s="29" t="str">
        <f>HYPERLINK("https://ictv.global/taxonomy/taxondetails?taxnode_id=202311942","ictv.global=202311942")</f>
        <v>ictv.global=202311942</v>
      </c>
    </row>
    <row r="4690" spans="1:21">
      <c r="A4690">
        <v>4689</v>
      </c>
      <c r="B4690" s="30" t="s">
        <v>1587</v>
      </c>
      <c r="D4690" s="30" t="s">
        <v>1588</v>
      </c>
      <c r="F4690" s="30" t="s">
        <v>1591</v>
      </c>
      <c r="H4690" s="30" t="s">
        <v>1592</v>
      </c>
      <c r="N4690" s="30" t="s">
        <v>1553</v>
      </c>
      <c r="P4690" s="30" t="s">
        <v>8191</v>
      </c>
      <c r="Q4690" t="s">
        <v>619</v>
      </c>
      <c r="R4690" t="s">
        <v>918</v>
      </c>
      <c r="S4690">
        <v>37</v>
      </c>
      <c r="T4690" s="29" t="str">
        <f t="shared" si="214"/>
        <v>2021.010B.R.Binomial_names.zip</v>
      </c>
      <c r="U4690" s="29" t="str">
        <f>HYPERLINK("https://ictv.global/taxonomy/taxondetails?taxnode_id=202311926","ictv.global=202311926")</f>
        <v>ictv.global=202311926</v>
      </c>
    </row>
    <row r="4691" spans="1:21">
      <c r="A4691">
        <v>4690</v>
      </c>
      <c r="B4691" s="30" t="s">
        <v>1587</v>
      </c>
      <c r="D4691" s="30" t="s">
        <v>1588</v>
      </c>
      <c r="F4691" s="30" t="s">
        <v>1591</v>
      </c>
      <c r="H4691" s="30" t="s">
        <v>1592</v>
      </c>
      <c r="N4691" s="30" t="s">
        <v>1553</v>
      </c>
      <c r="P4691" s="30" t="s">
        <v>8192</v>
      </c>
      <c r="Q4691" t="s">
        <v>619</v>
      </c>
      <c r="R4691" t="s">
        <v>918</v>
      </c>
      <c r="S4691">
        <v>37</v>
      </c>
      <c r="T4691" s="29" t="str">
        <f t="shared" si="214"/>
        <v>2021.010B.R.Binomial_names.zip</v>
      </c>
      <c r="U4691" s="29" t="str">
        <f>HYPERLINK("https://ictv.global/taxonomy/taxondetails?taxnode_id=202301293","ictv.global=202301293")</f>
        <v>ictv.global=202301293</v>
      </c>
    </row>
    <row r="4692" spans="1:21">
      <c r="A4692">
        <v>4691</v>
      </c>
      <c r="B4692" s="30" t="s">
        <v>1587</v>
      </c>
      <c r="D4692" s="30" t="s">
        <v>1588</v>
      </c>
      <c r="F4692" s="30" t="s">
        <v>1591</v>
      </c>
      <c r="H4692" s="30" t="s">
        <v>1592</v>
      </c>
      <c r="N4692" s="30" t="s">
        <v>1553</v>
      </c>
      <c r="P4692" s="30" t="s">
        <v>8193</v>
      </c>
      <c r="Q4692" t="s">
        <v>619</v>
      </c>
      <c r="R4692" t="s">
        <v>918</v>
      </c>
      <c r="S4692">
        <v>37</v>
      </c>
      <c r="T4692" s="29" t="str">
        <f t="shared" si="214"/>
        <v>2021.010B.R.Binomial_names.zip</v>
      </c>
      <c r="U4692" s="29" t="str">
        <f>HYPERLINK("https://ictv.global/taxonomy/taxondetails?taxnode_id=202311876","ictv.global=202311876")</f>
        <v>ictv.global=202311876</v>
      </c>
    </row>
    <row r="4693" spans="1:21">
      <c r="A4693">
        <v>4692</v>
      </c>
      <c r="B4693" s="30" t="s">
        <v>1587</v>
      </c>
      <c r="D4693" s="30" t="s">
        <v>1588</v>
      </c>
      <c r="F4693" s="30" t="s">
        <v>1591</v>
      </c>
      <c r="H4693" s="30" t="s">
        <v>1592</v>
      </c>
      <c r="N4693" s="30" t="s">
        <v>1553</v>
      </c>
      <c r="P4693" s="30" t="s">
        <v>8194</v>
      </c>
      <c r="Q4693" t="s">
        <v>619</v>
      </c>
      <c r="R4693" t="s">
        <v>918</v>
      </c>
      <c r="S4693">
        <v>37</v>
      </c>
      <c r="T4693" s="29" t="str">
        <f t="shared" si="214"/>
        <v>2021.010B.R.Binomial_names.zip</v>
      </c>
      <c r="U4693" s="29" t="str">
        <f>HYPERLINK("https://ictv.global/taxonomy/taxondetails?taxnode_id=202301294","ictv.global=202301294")</f>
        <v>ictv.global=202301294</v>
      </c>
    </row>
    <row r="4694" spans="1:21">
      <c r="A4694">
        <v>4693</v>
      </c>
      <c r="B4694" s="30" t="s">
        <v>1587</v>
      </c>
      <c r="D4694" s="30" t="s">
        <v>1588</v>
      </c>
      <c r="F4694" s="30" t="s">
        <v>1591</v>
      </c>
      <c r="H4694" s="30" t="s">
        <v>1592</v>
      </c>
      <c r="N4694" s="30" t="s">
        <v>1553</v>
      </c>
      <c r="P4694" s="30" t="s">
        <v>8195</v>
      </c>
      <c r="Q4694" t="s">
        <v>619</v>
      </c>
      <c r="R4694" t="s">
        <v>918</v>
      </c>
      <c r="S4694">
        <v>37</v>
      </c>
      <c r="T4694" s="29" t="str">
        <f t="shared" si="214"/>
        <v>2021.010B.R.Binomial_names.zip</v>
      </c>
      <c r="U4694" s="29" t="str">
        <f>HYPERLINK("https://ictv.global/taxonomy/taxondetails?taxnode_id=202301295","ictv.global=202301295")</f>
        <v>ictv.global=202301295</v>
      </c>
    </row>
    <row r="4695" spans="1:21">
      <c r="A4695">
        <v>4694</v>
      </c>
      <c r="B4695" s="30" t="s">
        <v>1587</v>
      </c>
      <c r="D4695" s="30" t="s">
        <v>1588</v>
      </c>
      <c r="F4695" s="30" t="s">
        <v>1591</v>
      </c>
      <c r="H4695" s="30" t="s">
        <v>1592</v>
      </c>
      <c r="N4695" s="30" t="s">
        <v>1553</v>
      </c>
      <c r="P4695" s="30" t="s">
        <v>8196</v>
      </c>
      <c r="Q4695" t="s">
        <v>619</v>
      </c>
      <c r="R4695" t="s">
        <v>918</v>
      </c>
      <c r="S4695">
        <v>37</v>
      </c>
      <c r="T4695" s="29" t="str">
        <f t="shared" si="214"/>
        <v>2021.010B.R.Binomial_names.zip</v>
      </c>
      <c r="U4695" s="29" t="str">
        <f>HYPERLINK("https://ictv.global/taxonomy/taxondetails?taxnode_id=202301296","ictv.global=202301296")</f>
        <v>ictv.global=202301296</v>
      </c>
    </row>
    <row r="4696" spans="1:21">
      <c r="A4696">
        <v>4695</v>
      </c>
      <c r="B4696" s="30" t="s">
        <v>1587</v>
      </c>
      <c r="D4696" s="30" t="s">
        <v>1588</v>
      </c>
      <c r="F4696" s="30" t="s">
        <v>1591</v>
      </c>
      <c r="H4696" s="30" t="s">
        <v>1592</v>
      </c>
      <c r="N4696" s="30" t="s">
        <v>1553</v>
      </c>
      <c r="P4696" s="30" t="s">
        <v>8197</v>
      </c>
      <c r="Q4696" t="s">
        <v>619</v>
      </c>
      <c r="R4696" t="s">
        <v>918</v>
      </c>
      <c r="S4696">
        <v>37</v>
      </c>
      <c r="T4696" s="29" t="str">
        <f t="shared" si="214"/>
        <v>2021.010B.R.Binomial_names.zip</v>
      </c>
      <c r="U4696" s="29" t="str">
        <f>HYPERLINK("https://ictv.global/taxonomy/taxondetails?taxnode_id=202311936","ictv.global=202311936")</f>
        <v>ictv.global=202311936</v>
      </c>
    </row>
    <row r="4697" spans="1:21">
      <c r="A4697">
        <v>4696</v>
      </c>
      <c r="B4697" s="30" t="s">
        <v>1587</v>
      </c>
      <c r="D4697" s="30" t="s">
        <v>1588</v>
      </c>
      <c r="F4697" s="30" t="s">
        <v>1591</v>
      </c>
      <c r="H4697" s="30" t="s">
        <v>1592</v>
      </c>
      <c r="N4697" s="30" t="s">
        <v>1553</v>
      </c>
      <c r="P4697" s="30" t="s">
        <v>8198</v>
      </c>
      <c r="Q4697" t="s">
        <v>619</v>
      </c>
      <c r="R4697" t="s">
        <v>918</v>
      </c>
      <c r="S4697">
        <v>37</v>
      </c>
      <c r="T4697" s="29" t="str">
        <f t="shared" si="214"/>
        <v>2021.010B.R.Binomial_names.zip</v>
      </c>
      <c r="U4697" s="29" t="str">
        <f>HYPERLINK("https://ictv.global/taxonomy/taxondetails?taxnode_id=202311933","ictv.global=202311933")</f>
        <v>ictv.global=202311933</v>
      </c>
    </row>
    <row r="4698" spans="1:21">
      <c r="A4698">
        <v>4697</v>
      </c>
      <c r="B4698" s="30" t="s">
        <v>1587</v>
      </c>
      <c r="D4698" s="30" t="s">
        <v>1588</v>
      </c>
      <c r="F4698" s="30" t="s">
        <v>1591</v>
      </c>
      <c r="H4698" s="30" t="s">
        <v>1592</v>
      </c>
      <c r="N4698" s="30" t="s">
        <v>1553</v>
      </c>
      <c r="P4698" s="30" t="s">
        <v>8199</v>
      </c>
      <c r="Q4698" t="s">
        <v>619</v>
      </c>
      <c r="R4698" t="s">
        <v>918</v>
      </c>
      <c r="S4698">
        <v>37</v>
      </c>
      <c r="T4698" s="29" t="str">
        <f t="shared" si="214"/>
        <v>2021.010B.R.Binomial_names.zip</v>
      </c>
      <c r="U4698" s="29" t="str">
        <f>HYPERLINK("https://ictv.global/taxonomy/taxondetails?taxnode_id=202311934","ictv.global=202311934")</f>
        <v>ictv.global=202311934</v>
      </c>
    </row>
    <row r="4699" spans="1:21">
      <c r="A4699">
        <v>4698</v>
      </c>
      <c r="B4699" s="30" t="s">
        <v>1587</v>
      </c>
      <c r="D4699" s="30" t="s">
        <v>1588</v>
      </c>
      <c r="F4699" s="30" t="s">
        <v>1591</v>
      </c>
      <c r="H4699" s="30" t="s">
        <v>1592</v>
      </c>
      <c r="N4699" s="30" t="s">
        <v>1553</v>
      </c>
      <c r="P4699" s="30" t="s">
        <v>8200</v>
      </c>
      <c r="Q4699" t="s">
        <v>619</v>
      </c>
      <c r="R4699" t="s">
        <v>918</v>
      </c>
      <c r="S4699">
        <v>37</v>
      </c>
      <c r="T4699" s="29" t="str">
        <f t="shared" si="214"/>
        <v>2021.010B.R.Binomial_names.zip</v>
      </c>
      <c r="U4699" s="29" t="str">
        <f>HYPERLINK("https://ictv.global/taxonomy/taxondetails?taxnode_id=202311935","ictv.global=202311935")</f>
        <v>ictv.global=202311935</v>
      </c>
    </row>
    <row r="4700" spans="1:21">
      <c r="A4700">
        <v>4699</v>
      </c>
      <c r="B4700" s="30" t="s">
        <v>1587</v>
      </c>
      <c r="D4700" s="30" t="s">
        <v>1588</v>
      </c>
      <c r="F4700" s="30" t="s">
        <v>1591</v>
      </c>
      <c r="H4700" s="30" t="s">
        <v>1592</v>
      </c>
      <c r="N4700" s="30" t="s">
        <v>1553</v>
      </c>
      <c r="P4700" s="30" t="s">
        <v>8201</v>
      </c>
      <c r="Q4700" t="s">
        <v>619</v>
      </c>
      <c r="R4700" t="s">
        <v>918</v>
      </c>
      <c r="S4700">
        <v>37</v>
      </c>
      <c r="T4700" s="29" t="str">
        <f t="shared" si="214"/>
        <v>2021.010B.R.Binomial_names.zip</v>
      </c>
      <c r="U4700" s="29" t="str">
        <f>HYPERLINK("https://ictv.global/taxonomy/taxondetails?taxnode_id=202311937","ictv.global=202311937")</f>
        <v>ictv.global=202311937</v>
      </c>
    </row>
    <row r="4701" spans="1:21">
      <c r="A4701">
        <v>4700</v>
      </c>
      <c r="B4701" s="30" t="s">
        <v>1587</v>
      </c>
      <c r="D4701" s="30" t="s">
        <v>1588</v>
      </c>
      <c r="F4701" s="30" t="s">
        <v>1591</v>
      </c>
      <c r="H4701" s="30" t="s">
        <v>1592</v>
      </c>
      <c r="N4701" s="30" t="s">
        <v>1553</v>
      </c>
      <c r="P4701" s="30" t="s">
        <v>8202</v>
      </c>
      <c r="Q4701" t="s">
        <v>619</v>
      </c>
      <c r="R4701" t="s">
        <v>918</v>
      </c>
      <c r="S4701">
        <v>37</v>
      </c>
      <c r="T4701" s="29" t="str">
        <f t="shared" si="214"/>
        <v>2021.010B.R.Binomial_names.zip</v>
      </c>
      <c r="U4701" s="29" t="str">
        <f>HYPERLINK("https://ictv.global/taxonomy/taxondetails?taxnode_id=202311938","ictv.global=202311938")</f>
        <v>ictv.global=202311938</v>
      </c>
    </row>
    <row r="4702" spans="1:21">
      <c r="A4702">
        <v>4701</v>
      </c>
      <c r="B4702" s="30" t="s">
        <v>1587</v>
      </c>
      <c r="D4702" s="30" t="s">
        <v>1588</v>
      </c>
      <c r="F4702" s="30" t="s">
        <v>1591</v>
      </c>
      <c r="H4702" s="30" t="s">
        <v>1592</v>
      </c>
      <c r="N4702" s="30" t="s">
        <v>1553</v>
      </c>
      <c r="P4702" s="30" t="s">
        <v>8203</v>
      </c>
      <c r="Q4702" t="s">
        <v>619</v>
      </c>
      <c r="R4702" t="s">
        <v>918</v>
      </c>
      <c r="S4702">
        <v>37</v>
      </c>
      <c r="T4702" s="29" t="str">
        <f t="shared" si="214"/>
        <v>2021.010B.R.Binomial_names.zip</v>
      </c>
      <c r="U4702" s="29" t="str">
        <f>HYPERLINK("https://ictv.global/taxonomy/taxondetails?taxnode_id=202311939","ictv.global=202311939")</f>
        <v>ictv.global=202311939</v>
      </c>
    </row>
    <row r="4703" spans="1:21">
      <c r="A4703">
        <v>4702</v>
      </c>
      <c r="B4703" s="30" t="s">
        <v>1587</v>
      </c>
      <c r="D4703" s="30" t="s">
        <v>1588</v>
      </c>
      <c r="F4703" s="30" t="s">
        <v>1591</v>
      </c>
      <c r="H4703" s="30" t="s">
        <v>1592</v>
      </c>
      <c r="N4703" s="30" t="s">
        <v>1553</v>
      </c>
      <c r="P4703" s="30" t="s">
        <v>8204</v>
      </c>
      <c r="Q4703" t="s">
        <v>619</v>
      </c>
      <c r="R4703" t="s">
        <v>918</v>
      </c>
      <c r="S4703">
        <v>37</v>
      </c>
      <c r="T4703" s="29" t="str">
        <f t="shared" si="214"/>
        <v>2021.010B.R.Binomial_names.zip</v>
      </c>
      <c r="U4703" s="29" t="str">
        <f>HYPERLINK("https://ictv.global/taxonomy/taxondetails?taxnode_id=202311940","ictv.global=202311940")</f>
        <v>ictv.global=202311940</v>
      </c>
    </row>
    <row r="4704" spans="1:21">
      <c r="A4704">
        <v>4703</v>
      </c>
      <c r="B4704" s="30" t="s">
        <v>1587</v>
      </c>
      <c r="D4704" s="30" t="s">
        <v>1588</v>
      </c>
      <c r="F4704" s="30" t="s">
        <v>1591</v>
      </c>
      <c r="H4704" s="30" t="s">
        <v>1592</v>
      </c>
      <c r="N4704" s="30" t="s">
        <v>1553</v>
      </c>
      <c r="P4704" s="30" t="s">
        <v>8205</v>
      </c>
      <c r="Q4704" t="s">
        <v>619</v>
      </c>
      <c r="R4704" t="s">
        <v>918</v>
      </c>
      <c r="S4704">
        <v>37</v>
      </c>
      <c r="T4704" s="29" t="str">
        <f t="shared" si="214"/>
        <v>2021.010B.R.Binomial_names.zip</v>
      </c>
      <c r="U4704" s="29" t="str">
        <f>HYPERLINK("https://ictv.global/taxonomy/taxondetails?taxnode_id=202311941","ictv.global=202311941")</f>
        <v>ictv.global=202311941</v>
      </c>
    </row>
    <row r="4705" spans="1:21">
      <c r="A4705">
        <v>4704</v>
      </c>
      <c r="B4705" s="30" t="s">
        <v>1587</v>
      </c>
      <c r="D4705" s="30" t="s">
        <v>1588</v>
      </c>
      <c r="F4705" s="30" t="s">
        <v>1591</v>
      </c>
      <c r="H4705" s="30" t="s">
        <v>1592</v>
      </c>
      <c r="N4705" s="30" t="s">
        <v>1553</v>
      </c>
      <c r="P4705" s="30" t="s">
        <v>8206</v>
      </c>
      <c r="Q4705" t="s">
        <v>619</v>
      </c>
      <c r="R4705" t="s">
        <v>918</v>
      </c>
      <c r="S4705">
        <v>37</v>
      </c>
      <c r="T4705" s="29" t="str">
        <f t="shared" si="214"/>
        <v>2021.010B.R.Binomial_names.zip</v>
      </c>
      <c r="U4705" s="29" t="str">
        <f>HYPERLINK("https://ictv.global/taxonomy/taxondetails?taxnode_id=202311891","ictv.global=202311891")</f>
        <v>ictv.global=202311891</v>
      </c>
    </row>
    <row r="4706" spans="1:21">
      <c r="A4706">
        <v>4705</v>
      </c>
      <c r="B4706" s="30" t="s">
        <v>1587</v>
      </c>
      <c r="D4706" s="30" t="s">
        <v>1588</v>
      </c>
      <c r="F4706" s="30" t="s">
        <v>1591</v>
      </c>
      <c r="H4706" s="30" t="s">
        <v>1592</v>
      </c>
      <c r="N4706" s="30" t="s">
        <v>1553</v>
      </c>
      <c r="P4706" s="30" t="s">
        <v>8207</v>
      </c>
      <c r="Q4706" t="s">
        <v>619</v>
      </c>
      <c r="R4706" t="s">
        <v>918</v>
      </c>
      <c r="S4706">
        <v>37</v>
      </c>
      <c r="T4706" s="29" t="str">
        <f t="shared" si="214"/>
        <v>2021.010B.R.Binomial_names.zip</v>
      </c>
      <c r="U4706" s="29" t="str">
        <f>HYPERLINK("https://ictv.global/taxonomy/taxondetails?taxnode_id=202311883","ictv.global=202311883")</f>
        <v>ictv.global=202311883</v>
      </c>
    </row>
    <row r="4707" spans="1:21">
      <c r="A4707">
        <v>4706</v>
      </c>
      <c r="B4707" s="30" t="s">
        <v>1587</v>
      </c>
      <c r="D4707" s="30" t="s">
        <v>1588</v>
      </c>
      <c r="F4707" s="30" t="s">
        <v>1591</v>
      </c>
      <c r="H4707" s="30" t="s">
        <v>1592</v>
      </c>
      <c r="N4707" s="30" t="s">
        <v>1553</v>
      </c>
      <c r="P4707" s="30" t="s">
        <v>8208</v>
      </c>
      <c r="Q4707" t="s">
        <v>619</v>
      </c>
      <c r="R4707" t="s">
        <v>918</v>
      </c>
      <c r="S4707">
        <v>37</v>
      </c>
      <c r="T4707" s="29" t="str">
        <f t="shared" si="214"/>
        <v>2021.010B.R.Binomial_names.zip</v>
      </c>
      <c r="U4707" s="29" t="str">
        <f>HYPERLINK("https://ictv.global/taxonomy/taxondetails?taxnode_id=202311869","ictv.global=202311869")</f>
        <v>ictv.global=202311869</v>
      </c>
    </row>
    <row r="4708" spans="1:21">
      <c r="A4708">
        <v>4707</v>
      </c>
      <c r="B4708" s="30" t="s">
        <v>1587</v>
      </c>
      <c r="D4708" s="30" t="s">
        <v>1588</v>
      </c>
      <c r="F4708" s="30" t="s">
        <v>1591</v>
      </c>
      <c r="H4708" s="30" t="s">
        <v>1592</v>
      </c>
      <c r="N4708" s="30" t="s">
        <v>1553</v>
      </c>
      <c r="P4708" s="30" t="s">
        <v>8209</v>
      </c>
      <c r="Q4708" t="s">
        <v>619</v>
      </c>
      <c r="R4708" t="s">
        <v>918</v>
      </c>
      <c r="S4708">
        <v>37</v>
      </c>
      <c r="T4708" s="29" t="str">
        <f t="shared" si="214"/>
        <v>2021.010B.R.Binomial_names.zip</v>
      </c>
      <c r="U4708" s="29" t="str">
        <f>HYPERLINK("https://ictv.global/taxonomy/taxondetails?taxnode_id=202311896","ictv.global=202311896")</f>
        <v>ictv.global=202311896</v>
      </c>
    </row>
    <row r="4709" spans="1:21">
      <c r="A4709">
        <v>4708</v>
      </c>
      <c r="B4709" s="30" t="s">
        <v>1587</v>
      </c>
      <c r="D4709" s="30" t="s">
        <v>1588</v>
      </c>
      <c r="F4709" s="30" t="s">
        <v>1591</v>
      </c>
      <c r="H4709" s="30" t="s">
        <v>1592</v>
      </c>
      <c r="N4709" s="30" t="s">
        <v>1553</v>
      </c>
      <c r="P4709" s="30" t="s">
        <v>8210</v>
      </c>
      <c r="Q4709" t="s">
        <v>619</v>
      </c>
      <c r="R4709" t="s">
        <v>918</v>
      </c>
      <c r="S4709">
        <v>37</v>
      </c>
      <c r="T4709" s="29" t="str">
        <f t="shared" si="214"/>
        <v>2021.010B.R.Binomial_names.zip</v>
      </c>
      <c r="U4709" s="29" t="str">
        <f>HYPERLINK("https://ictv.global/taxonomy/taxondetails?taxnode_id=202311889","ictv.global=202311889")</f>
        <v>ictv.global=202311889</v>
      </c>
    </row>
    <row r="4710" spans="1:21">
      <c r="A4710">
        <v>4709</v>
      </c>
      <c r="B4710" s="30" t="s">
        <v>1587</v>
      </c>
      <c r="D4710" s="30" t="s">
        <v>1588</v>
      </c>
      <c r="F4710" s="30" t="s">
        <v>1591</v>
      </c>
      <c r="H4710" s="30" t="s">
        <v>1592</v>
      </c>
      <c r="N4710" s="30" t="s">
        <v>1553</v>
      </c>
      <c r="P4710" s="30" t="s">
        <v>8211</v>
      </c>
      <c r="Q4710" t="s">
        <v>619</v>
      </c>
      <c r="R4710" t="s">
        <v>918</v>
      </c>
      <c r="S4710">
        <v>37</v>
      </c>
      <c r="T4710" s="29" t="str">
        <f t="shared" si="214"/>
        <v>2021.010B.R.Binomial_names.zip</v>
      </c>
      <c r="U4710" s="29" t="str">
        <f>HYPERLINK("https://ictv.global/taxonomy/taxondetails?taxnode_id=202311870","ictv.global=202311870")</f>
        <v>ictv.global=202311870</v>
      </c>
    </row>
    <row r="4711" spans="1:21">
      <c r="A4711">
        <v>4710</v>
      </c>
      <c r="B4711" s="30" t="s">
        <v>1587</v>
      </c>
      <c r="D4711" s="30" t="s">
        <v>1588</v>
      </c>
      <c r="F4711" s="30" t="s">
        <v>1591</v>
      </c>
      <c r="H4711" s="30" t="s">
        <v>1592</v>
      </c>
      <c r="N4711" s="30" t="s">
        <v>1553</v>
      </c>
      <c r="P4711" s="30" t="s">
        <v>8212</v>
      </c>
      <c r="Q4711" t="s">
        <v>619</v>
      </c>
      <c r="R4711" t="s">
        <v>918</v>
      </c>
      <c r="S4711">
        <v>37</v>
      </c>
      <c r="T4711" s="29" t="str">
        <f t="shared" si="214"/>
        <v>2021.010B.R.Binomial_names.zip</v>
      </c>
      <c r="U4711" s="29" t="str">
        <f>HYPERLINK("https://ictv.global/taxonomy/taxondetails?taxnode_id=202311871","ictv.global=202311871")</f>
        <v>ictv.global=202311871</v>
      </c>
    </row>
    <row r="4712" spans="1:21">
      <c r="A4712">
        <v>4711</v>
      </c>
      <c r="B4712" s="30" t="s">
        <v>1587</v>
      </c>
      <c r="D4712" s="30" t="s">
        <v>1588</v>
      </c>
      <c r="F4712" s="30" t="s">
        <v>1591</v>
      </c>
      <c r="H4712" s="30" t="s">
        <v>1592</v>
      </c>
      <c r="N4712" s="30" t="s">
        <v>1553</v>
      </c>
      <c r="P4712" s="30" t="s">
        <v>8213</v>
      </c>
      <c r="Q4712" t="s">
        <v>619</v>
      </c>
      <c r="R4712" t="s">
        <v>918</v>
      </c>
      <c r="S4712">
        <v>37</v>
      </c>
      <c r="T4712" s="29" t="str">
        <f t="shared" si="214"/>
        <v>2021.010B.R.Binomial_names.zip</v>
      </c>
      <c r="U4712" s="29" t="str">
        <f>HYPERLINK("https://ictv.global/taxonomy/taxondetails?taxnode_id=202311886","ictv.global=202311886")</f>
        <v>ictv.global=202311886</v>
      </c>
    </row>
    <row r="4713" spans="1:21">
      <c r="A4713">
        <v>4712</v>
      </c>
      <c r="B4713" s="30" t="s">
        <v>1587</v>
      </c>
      <c r="D4713" s="30" t="s">
        <v>1588</v>
      </c>
      <c r="F4713" s="30" t="s">
        <v>1591</v>
      </c>
      <c r="H4713" s="30" t="s">
        <v>1592</v>
      </c>
      <c r="N4713" s="30" t="s">
        <v>1553</v>
      </c>
      <c r="P4713" s="30" t="s">
        <v>8214</v>
      </c>
      <c r="Q4713" t="s">
        <v>619</v>
      </c>
      <c r="R4713" t="s">
        <v>918</v>
      </c>
      <c r="S4713">
        <v>37</v>
      </c>
      <c r="T4713" s="29" t="str">
        <f t="shared" ref="T4713:T4744" si="215">HYPERLINK("https://ictv.global/ictv/proposals/2021.010B.R.Binomial_names.zip","2021.010B.R.Binomial_names.zip")</f>
        <v>2021.010B.R.Binomial_names.zip</v>
      </c>
      <c r="U4713" s="29" t="str">
        <f>HYPERLINK("https://ictv.global/taxonomy/taxondetails?taxnode_id=202311884","ictv.global=202311884")</f>
        <v>ictv.global=202311884</v>
      </c>
    </row>
    <row r="4714" spans="1:21">
      <c r="A4714">
        <v>4713</v>
      </c>
      <c r="B4714" s="30" t="s">
        <v>1587</v>
      </c>
      <c r="D4714" s="30" t="s">
        <v>1588</v>
      </c>
      <c r="F4714" s="30" t="s">
        <v>1591</v>
      </c>
      <c r="H4714" s="30" t="s">
        <v>1592</v>
      </c>
      <c r="N4714" s="30" t="s">
        <v>1553</v>
      </c>
      <c r="P4714" s="30" t="s">
        <v>8215</v>
      </c>
      <c r="Q4714" t="s">
        <v>619</v>
      </c>
      <c r="R4714" t="s">
        <v>918</v>
      </c>
      <c r="S4714">
        <v>37</v>
      </c>
      <c r="T4714" s="29" t="str">
        <f t="shared" si="215"/>
        <v>2021.010B.R.Binomial_names.zip</v>
      </c>
      <c r="U4714" s="29" t="str">
        <f>HYPERLINK("https://ictv.global/taxonomy/taxondetails?taxnode_id=202311893","ictv.global=202311893")</f>
        <v>ictv.global=202311893</v>
      </c>
    </row>
    <row r="4715" spans="1:21">
      <c r="A4715">
        <v>4714</v>
      </c>
      <c r="B4715" s="30" t="s">
        <v>1587</v>
      </c>
      <c r="D4715" s="30" t="s">
        <v>1588</v>
      </c>
      <c r="F4715" s="30" t="s">
        <v>1591</v>
      </c>
      <c r="H4715" s="30" t="s">
        <v>1592</v>
      </c>
      <c r="N4715" s="30" t="s">
        <v>1553</v>
      </c>
      <c r="P4715" s="30" t="s">
        <v>8216</v>
      </c>
      <c r="Q4715" t="s">
        <v>619</v>
      </c>
      <c r="R4715" t="s">
        <v>918</v>
      </c>
      <c r="S4715">
        <v>37</v>
      </c>
      <c r="T4715" s="29" t="str">
        <f t="shared" si="215"/>
        <v>2021.010B.R.Binomial_names.zip</v>
      </c>
      <c r="U4715" s="29" t="str">
        <f>HYPERLINK("https://ictv.global/taxonomy/taxondetails?taxnode_id=202311923","ictv.global=202311923")</f>
        <v>ictv.global=202311923</v>
      </c>
    </row>
    <row r="4716" spans="1:21">
      <c r="A4716">
        <v>4715</v>
      </c>
      <c r="B4716" s="30" t="s">
        <v>1587</v>
      </c>
      <c r="D4716" s="30" t="s">
        <v>1588</v>
      </c>
      <c r="F4716" s="30" t="s">
        <v>1591</v>
      </c>
      <c r="H4716" s="30" t="s">
        <v>1592</v>
      </c>
      <c r="N4716" s="30" t="s">
        <v>1553</v>
      </c>
      <c r="P4716" s="30" t="s">
        <v>8217</v>
      </c>
      <c r="Q4716" t="s">
        <v>619</v>
      </c>
      <c r="R4716" t="s">
        <v>918</v>
      </c>
      <c r="S4716">
        <v>37</v>
      </c>
      <c r="T4716" s="29" t="str">
        <f t="shared" si="215"/>
        <v>2021.010B.R.Binomial_names.zip</v>
      </c>
      <c r="U4716" s="29" t="str">
        <f>HYPERLINK("https://ictv.global/taxonomy/taxondetails?taxnode_id=202311924","ictv.global=202311924")</f>
        <v>ictv.global=202311924</v>
      </c>
    </row>
    <row r="4717" spans="1:21">
      <c r="A4717">
        <v>4716</v>
      </c>
      <c r="B4717" s="30" t="s">
        <v>1587</v>
      </c>
      <c r="D4717" s="30" t="s">
        <v>1588</v>
      </c>
      <c r="F4717" s="30" t="s">
        <v>1591</v>
      </c>
      <c r="H4717" s="30" t="s">
        <v>1592</v>
      </c>
      <c r="N4717" s="30" t="s">
        <v>1553</v>
      </c>
      <c r="P4717" s="30" t="s">
        <v>8218</v>
      </c>
      <c r="Q4717" t="s">
        <v>619</v>
      </c>
      <c r="R4717" t="s">
        <v>918</v>
      </c>
      <c r="S4717">
        <v>37</v>
      </c>
      <c r="T4717" s="29" t="str">
        <f t="shared" si="215"/>
        <v>2021.010B.R.Binomial_names.zip</v>
      </c>
      <c r="U4717" s="29" t="str">
        <f>HYPERLINK("https://ictv.global/taxonomy/taxondetails?taxnode_id=202311918","ictv.global=202311918")</f>
        <v>ictv.global=202311918</v>
      </c>
    </row>
    <row r="4718" spans="1:21">
      <c r="A4718">
        <v>4717</v>
      </c>
      <c r="B4718" s="30" t="s">
        <v>1587</v>
      </c>
      <c r="D4718" s="30" t="s">
        <v>1588</v>
      </c>
      <c r="F4718" s="30" t="s">
        <v>1591</v>
      </c>
      <c r="H4718" s="30" t="s">
        <v>1592</v>
      </c>
      <c r="N4718" s="30" t="s">
        <v>1553</v>
      </c>
      <c r="P4718" s="30" t="s">
        <v>8219</v>
      </c>
      <c r="Q4718" t="s">
        <v>619</v>
      </c>
      <c r="R4718" t="s">
        <v>918</v>
      </c>
      <c r="S4718">
        <v>37</v>
      </c>
      <c r="T4718" s="29" t="str">
        <f t="shared" si="215"/>
        <v>2021.010B.R.Binomial_names.zip</v>
      </c>
      <c r="U4718" s="29" t="str">
        <f>HYPERLINK("https://ictv.global/taxonomy/taxondetails?taxnode_id=202311919","ictv.global=202311919")</f>
        <v>ictv.global=202311919</v>
      </c>
    </row>
    <row r="4719" spans="1:21">
      <c r="A4719">
        <v>4718</v>
      </c>
      <c r="B4719" s="30" t="s">
        <v>1587</v>
      </c>
      <c r="D4719" s="30" t="s">
        <v>1588</v>
      </c>
      <c r="F4719" s="30" t="s">
        <v>1591</v>
      </c>
      <c r="H4719" s="30" t="s">
        <v>1592</v>
      </c>
      <c r="N4719" s="30" t="s">
        <v>1553</v>
      </c>
      <c r="P4719" s="30" t="s">
        <v>8220</v>
      </c>
      <c r="Q4719" t="s">
        <v>619</v>
      </c>
      <c r="R4719" t="s">
        <v>918</v>
      </c>
      <c r="S4719">
        <v>37</v>
      </c>
      <c r="T4719" s="29" t="str">
        <f t="shared" si="215"/>
        <v>2021.010B.R.Binomial_names.zip</v>
      </c>
      <c r="U4719" s="29" t="str">
        <f>HYPERLINK("https://ictv.global/taxonomy/taxondetails?taxnode_id=202311920","ictv.global=202311920")</f>
        <v>ictv.global=202311920</v>
      </c>
    </row>
    <row r="4720" spans="1:21">
      <c r="A4720">
        <v>4719</v>
      </c>
      <c r="B4720" s="30" t="s">
        <v>1587</v>
      </c>
      <c r="D4720" s="30" t="s">
        <v>1588</v>
      </c>
      <c r="F4720" s="30" t="s">
        <v>1591</v>
      </c>
      <c r="H4720" s="30" t="s">
        <v>1592</v>
      </c>
      <c r="N4720" s="30" t="s">
        <v>1553</v>
      </c>
      <c r="P4720" s="30" t="s">
        <v>8221</v>
      </c>
      <c r="Q4720" t="s">
        <v>619</v>
      </c>
      <c r="R4720" t="s">
        <v>918</v>
      </c>
      <c r="S4720">
        <v>37</v>
      </c>
      <c r="T4720" s="29" t="str">
        <f t="shared" si="215"/>
        <v>2021.010B.R.Binomial_names.zip</v>
      </c>
      <c r="U4720" s="29" t="str">
        <f>HYPERLINK("https://ictv.global/taxonomy/taxondetails?taxnode_id=202311921","ictv.global=202311921")</f>
        <v>ictv.global=202311921</v>
      </c>
    </row>
    <row r="4721" spans="1:21">
      <c r="A4721">
        <v>4720</v>
      </c>
      <c r="B4721" s="30" t="s">
        <v>1587</v>
      </c>
      <c r="D4721" s="30" t="s">
        <v>1588</v>
      </c>
      <c r="F4721" s="30" t="s">
        <v>1591</v>
      </c>
      <c r="H4721" s="30" t="s">
        <v>1592</v>
      </c>
      <c r="N4721" s="30" t="s">
        <v>1553</v>
      </c>
      <c r="P4721" s="30" t="s">
        <v>8222</v>
      </c>
      <c r="Q4721" t="s">
        <v>619</v>
      </c>
      <c r="R4721" t="s">
        <v>918</v>
      </c>
      <c r="S4721">
        <v>37</v>
      </c>
      <c r="T4721" s="29" t="str">
        <f t="shared" si="215"/>
        <v>2021.010B.R.Binomial_names.zip</v>
      </c>
      <c r="U4721" s="29" t="str">
        <f>HYPERLINK("https://ictv.global/taxonomy/taxondetails?taxnode_id=202311943","ictv.global=202311943")</f>
        <v>ictv.global=202311943</v>
      </c>
    </row>
    <row r="4722" spans="1:21">
      <c r="A4722">
        <v>4721</v>
      </c>
      <c r="B4722" s="30" t="s">
        <v>1587</v>
      </c>
      <c r="D4722" s="30" t="s">
        <v>1588</v>
      </c>
      <c r="F4722" s="30" t="s">
        <v>1591</v>
      </c>
      <c r="H4722" s="30" t="s">
        <v>1592</v>
      </c>
      <c r="N4722" s="30" t="s">
        <v>1553</v>
      </c>
      <c r="P4722" s="30" t="s">
        <v>8223</v>
      </c>
      <c r="Q4722" t="s">
        <v>619</v>
      </c>
      <c r="R4722" t="s">
        <v>918</v>
      </c>
      <c r="S4722">
        <v>37</v>
      </c>
      <c r="T4722" s="29" t="str">
        <f t="shared" si="215"/>
        <v>2021.010B.R.Binomial_names.zip</v>
      </c>
      <c r="U4722" s="29" t="str">
        <f>HYPERLINK("https://ictv.global/taxonomy/taxondetails?taxnode_id=202311922","ictv.global=202311922")</f>
        <v>ictv.global=202311922</v>
      </c>
    </row>
    <row r="4723" spans="1:21">
      <c r="A4723">
        <v>4722</v>
      </c>
      <c r="B4723" s="30" t="s">
        <v>1587</v>
      </c>
      <c r="D4723" s="30" t="s">
        <v>1588</v>
      </c>
      <c r="F4723" s="30" t="s">
        <v>1591</v>
      </c>
      <c r="H4723" s="30" t="s">
        <v>1592</v>
      </c>
      <c r="N4723" s="30" t="s">
        <v>1553</v>
      </c>
      <c r="P4723" s="30" t="s">
        <v>8224</v>
      </c>
      <c r="Q4723" t="s">
        <v>619</v>
      </c>
      <c r="R4723" t="s">
        <v>918</v>
      </c>
      <c r="S4723">
        <v>37</v>
      </c>
      <c r="T4723" s="29" t="str">
        <f t="shared" si="215"/>
        <v>2021.010B.R.Binomial_names.zip</v>
      </c>
      <c r="U4723" s="29" t="str">
        <f>HYPERLINK("https://ictv.global/taxonomy/taxondetails?taxnode_id=202311925","ictv.global=202311925")</f>
        <v>ictv.global=202311925</v>
      </c>
    </row>
    <row r="4724" spans="1:21">
      <c r="A4724">
        <v>4723</v>
      </c>
      <c r="B4724" s="30" t="s">
        <v>1587</v>
      </c>
      <c r="D4724" s="30" t="s">
        <v>1588</v>
      </c>
      <c r="F4724" s="30" t="s">
        <v>1591</v>
      </c>
      <c r="H4724" s="30" t="s">
        <v>1592</v>
      </c>
      <c r="N4724" s="30" t="s">
        <v>1553</v>
      </c>
      <c r="P4724" s="30" t="s">
        <v>8225</v>
      </c>
      <c r="Q4724" t="s">
        <v>619</v>
      </c>
      <c r="R4724" t="s">
        <v>918</v>
      </c>
      <c r="S4724">
        <v>37</v>
      </c>
      <c r="T4724" s="29" t="str">
        <f t="shared" si="215"/>
        <v>2021.010B.R.Binomial_names.zip</v>
      </c>
      <c r="U4724" s="29" t="str">
        <f>HYPERLINK("https://ictv.global/taxonomy/taxondetails?taxnode_id=202311892","ictv.global=202311892")</f>
        <v>ictv.global=202311892</v>
      </c>
    </row>
    <row r="4725" spans="1:21">
      <c r="A4725">
        <v>4724</v>
      </c>
      <c r="B4725" s="30" t="s">
        <v>1587</v>
      </c>
      <c r="D4725" s="30" t="s">
        <v>1588</v>
      </c>
      <c r="F4725" s="30" t="s">
        <v>1591</v>
      </c>
      <c r="H4725" s="30" t="s">
        <v>1592</v>
      </c>
      <c r="N4725" s="30" t="s">
        <v>1553</v>
      </c>
      <c r="P4725" s="30" t="s">
        <v>8226</v>
      </c>
      <c r="Q4725" t="s">
        <v>619</v>
      </c>
      <c r="R4725" t="s">
        <v>918</v>
      </c>
      <c r="S4725">
        <v>37</v>
      </c>
      <c r="T4725" s="29" t="str">
        <f t="shared" si="215"/>
        <v>2021.010B.R.Binomial_names.zip</v>
      </c>
      <c r="U4725" s="29" t="str">
        <f>HYPERLINK("https://ictv.global/taxonomy/taxondetails?taxnode_id=202311927","ictv.global=202311927")</f>
        <v>ictv.global=202311927</v>
      </c>
    </row>
    <row r="4726" spans="1:21">
      <c r="A4726">
        <v>4725</v>
      </c>
      <c r="B4726" s="30" t="s">
        <v>1587</v>
      </c>
      <c r="D4726" s="30" t="s">
        <v>1588</v>
      </c>
      <c r="F4726" s="30" t="s">
        <v>1591</v>
      </c>
      <c r="H4726" s="30" t="s">
        <v>1592</v>
      </c>
      <c r="N4726" s="30" t="s">
        <v>1553</v>
      </c>
      <c r="P4726" s="30" t="s">
        <v>8227</v>
      </c>
      <c r="Q4726" t="s">
        <v>619</v>
      </c>
      <c r="R4726" t="s">
        <v>918</v>
      </c>
      <c r="S4726">
        <v>37</v>
      </c>
      <c r="T4726" s="29" t="str">
        <f t="shared" si="215"/>
        <v>2021.010B.R.Binomial_names.zip</v>
      </c>
      <c r="U4726" s="29" t="str">
        <f>HYPERLINK("https://ictv.global/taxonomy/taxondetails?taxnode_id=202311929","ictv.global=202311929")</f>
        <v>ictv.global=202311929</v>
      </c>
    </row>
    <row r="4727" spans="1:21">
      <c r="A4727">
        <v>4726</v>
      </c>
      <c r="B4727" s="30" t="s">
        <v>1587</v>
      </c>
      <c r="D4727" s="30" t="s">
        <v>1588</v>
      </c>
      <c r="F4727" s="30" t="s">
        <v>1591</v>
      </c>
      <c r="H4727" s="30" t="s">
        <v>1592</v>
      </c>
      <c r="N4727" s="30" t="s">
        <v>1553</v>
      </c>
      <c r="P4727" s="30" t="s">
        <v>8228</v>
      </c>
      <c r="Q4727" t="s">
        <v>619</v>
      </c>
      <c r="R4727" t="s">
        <v>918</v>
      </c>
      <c r="S4727">
        <v>37</v>
      </c>
      <c r="T4727" s="29" t="str">
        <f t="shared" si="215"/>
        <v>2021.010B.R.Binomial_names.zip</v>
      </c>
      <c r="U4727" s="29" t="str">
        <f>HYPERLINK("https://ictv.global/taxonomy/taxondetails?taxnode_id=202301300","ictv.global=202301300")</f>
        <v>ictv.global=202301300</v>
      </c>
    </row>
    <row r="4728" spans="1:21">
      <c r="A4728">
        <v>4727</v>
      </c>
      <c r="B4728" s="30" t="s">
        <v>1587</v>
      </c>
      <c r="D4728" s="30" t="s">
        <v>1588</v>
      </c>
      <c r="F4728" s="30" t="s">
        <v>1591</v>
      </c>
      <c r="H4728" s="30" t="s">
        <v>1592</v>
      </c>
      <c r="N4728" s="30" t="s">
        <v>1553</v>
      </c>
      <c r="P4728" s="30" t="s">
        <v>8229</v>
      </c>
      <c r="Q4728" t="s">
        <v>619</v>
      </c>
      <c r="R4728" t="s">
        <v>918</v>
      </c>
      <c r="S4728">
        <v>37</v>
      </c>
      <c r="T4728" s="29" t="str">
        <f t="shared" si="215"/>
        <v>2021.010B.R.Binomial_names.zip</v>
      </c>
      <c r="U4728" s="29" t="str">
        <f>HYPERLINK("https://ictv.global/taxonomy/taxondetails?taxnode_id=202311872","ictv.global=202311872")</f>
        <v>ictv.global=202311872</v>
      </c>
    </row>
    <row r="4729" spans="1:21">
      <c r="A4729">
        <v>4728</v>
      </c>
      <c r="B4729" s="30" t="s">
        <v>1587</v>
      </c>
      <c r="D4729" s="30" t="s">
        <v>1588</v>
      </c>
      <c r="F4729" s="30" t="s">
        <v>1591</v>
      </c>
      <c r="H4729" s="30" t="s">
        <v>1592</v>
      </c>
      <c r="N4729" s="30" t="s">
        <v>1553</v>
      </c>
      <c r="P4729" s="30" t="s">
        <v>8230</v>
      </c>
      <c r="Q4729" t="s">
        <v>619</v>
      </c>
      <c r="R4729" t="s">
        <v>918</v>
      </c>
      <c r="S4729">
        <v>37</v>
      </c>
      <c r="T4729" s="29" t="str">
        <f t="shared" si="215"/>
        <v>2021.010B.R.Binomial_names.zip</v>
      </c>
      <c r="U4729" s="29" t="str">
        <f>HYPERLINK("https://ictv.global/taxonomy/taxondetails?taxnode_id=202311873","ictv.global=202311873")</f>
        <v>ictv.global=202311873</v>
      </c>
    </row>
    <row r="4730" spans="1:21">
      <c r="A4730">
        <v>4729</v>
      </c>
      <c r="B4730" s="30" t="s">
        <v>1587</v>
      </c>
      <c r="D4730" s="30" t="s">
        <v>1588</v>
      </c>
      <c r="F4730" s="30" t="s">
        <v>1591</v>
      </c>
      <c r="H4730" s="30" t="s">
        <v>1592</v>
      </c>
      <c r="N4730" s="30" t="s">
        <v>1553</v>
      </c>
      <c r="P4730" s="30" t="s">
        <v>8231</v>
      </c>
      <c r="Q4730" t="s">
        <v>619</v>
      </c>
      <c r="R4730" t="s">
        <v>918</v>
      </c>
      <c r="S4730">
        <v>37</v>
      </c>
      <c r="T4730" s="29" t="str">
        <f t="shared" si="215"/>
        <v>2021.010B.R.Binomial_names.zip</v>
      </c>
      <c r="U4730" s="29" t="str">
        <f>HYPERLINK("https://ictv.global/taxonomy/taxondetails?taxnode_id=202311931","ictv.global=202311931")</f>
        <v>ictv.global=202311931</v>
      </c>
    </row>
    <row r="4731" spans="1:21">
      <c r="A4731">
        <v>4730</v>
      </c>
      <c r="B4731" s="30" t="s">
        <v>1587</v>
      </c>
      <c r="D4731" s="30" t="s">
        <v>1588</v>
      </c>
      <c r="F4731" s="30" t="s">
        <v>1591</v>
      </c>
      <c r="H4731" s="30" t="s">
        <v>1592</v>
      </c>
      <c r="N4731" s="30" t="s">
        <v>1553</v>
      </c>
      <c r="P4731" s="30" t="s">
        <v>8232</v>
      </c>
      <c r="Q4731" t="s">
        <v>619</v>
      </c>
      <c r="R4731" t="s">
        <v>918</v>
      </c>
      <c r="S4731">
        <v>37</v>
      </c>
      <c r="T4731" s="29" t="str">
        <f t="shared" si="215"/>
        <v>2021.010B.R.Binomial_names.zip</v>
      </c>
      <c r="U4731" s="29" t="str">
        <f>HYPERLINK("https://ictv.global/taxonomy/taxondetails?taxnode_id=202311874","ictv.global=202311874")</f>
        <v>ictv.global=202311874</v>
      </c>
    </row>
    <row r="4732" spans="1:21">
      <c r="A4732">
        <v>4731</v>
      </c>
      <c r="B4732" s="30" t="s">
        <v>1587</v>
      </c>
      <c r="D4732" s="30" t="s">
        <v>1588</v>
      </c>
      <c r="F4732" s="30" t="s">
        <v>1591</v>
      </c>
      <c r="H4732" s="30" t="s">
        <v>1592</v>
      </c>
      <c r="N4732" s="30" t="s">
        <v>1553</v>
      </c>
      <c r="P4732" s="30" t="s">
        <v>8233</v>
      </c>
      <c r="Q4732" t="s">
        <v>619</v>
      </c>
      <c r="R4732" t="s">
        <v>918</v>
      </c>
      <c r="S4732">
        <v>37</v>
      </c>
      <c r="T4732" s="29" t="str">
        <f t="shared" si="215"/>
        <v>2021.010B.R.Binomial_names.zip</v>
      </c>
      <c r="U4732" s="29" t="str">
        <f>HYPERLINK("https://ictv.global/taxonomy/taxondetails?taxnode_id=202311930","ictv.global=202311930")</f>
        <v>ictv.global=202311930</v>
      </c>
    </row>
    <row r="4733" spans="1:21">
      <c r="A4733">
        <v>4732</v>
      </c>
      <c r="B4733" s="30" t="s">
        <v>1587</v>
      </c>
      <c r="D4733" s="30" t="s">
        <v>1588</v>
      </c>
      <c r="F4733" s="30" t="s">
        <v>1591</v>
      </c>
      <c r="H4733" s="30" t="s">
        <v>1592</v>
      </c>
      <c r="N4733" s="30" t="s">
        <v>1553</v>
      </c>
      <c r="P4733" s="30" t="s">
        <v>8234</v>
      </c>
      <c r="Q4733" t="s">
        <v>619</v>
      </c>
      <c r="R4733" t="s">
        <v>918</v>
      </c>
      <c r="S4733">
        <v>37</v>
      </c>
      <c r="T4733" s="29" t="str">
        <f t="shared" si="215"/>
        <v>2021.010B.R.Binomial_names.zip</v>
      </c>
      <c r="U4733" s="29" t="str">
        <f>HYPERLINK("https://ictv.global/taxonomy/taxondetails?taxnode_id=202311932","ictv.global=202311932")</f>
        <v>ictv.global=202311932</v>
      </c>
    </row>
    <row r="4734" spans="1:21">
      <c r="A4734">
        <v>4733</v>
      </c>
      <c r="B4734" s="30" t="s">
        <v>1587</v>
      </c>
      <c r="D4734" s="30" t="s">
        <v>1588</v>
      </c>
      <c r="F4734" s="30" t="s">
        <v>1591</v>
      </c>
      <c r="H4734" s="30" t="s">
        <v>1592</v>
      </c>
      <c r="N4734" s="30" t="s">
        <v>1553</v>
      </c>
      <c r="P4734" s="30" t="s">
        <v>8235</v>
      </c>
      <c r="Q4734" t="s">
        <v>619</v>
      </c>
      <c r="R4734" t="s">
        <v>918</v>
      </c>
      <c r="S4734">
        <v>37</v>
      </c>
      <c r="T4734" s="29" t="str">
        <f t="shared" si="215"/>
        <v>2021.010B.R.Binomial_names.zip</v>
      </c>
      <c r="U4734" s="29" t="str">
        <f>HYPERLINK("https://ictv.global/taxonomy/taxondetails?taxnode_id=202311898","ictv.global=202311898")</f>
        <v>ictv.global=202311898</v>
      </c>
    </row>
    <row r="4735" spans="1:21">
      <c r="A4735">
        <v>4734</v>
      </c>
      <c r="B4735" s="30" t="s">
        <v>1587</v>
      </c>
      <c r="D4735" s="30" t="s">
        <v>1588</v>
      </c>
      <c r="F4735" s="30" t="s">
        <v>1591</v>
      </c>
      <c r="H4735" s="30" t="s">
        <v>1592</v>
      </c>
      <c r="N4735" s="30" t="s">
        <v>1553</v>
      </c>
      <c r="P4735" s="30" t="s">
        <v>8236</v>
      </c>
      <c r="Q4735" t="s">
        <v>619</v>
      </c>
      <c r="R4735" t="s">
        <v>918</v>
      </c>
      <c r="S4735">
        <v>37</v>
      </c>
      <c r="T4735" s="29" t="str">
        <f t="shared" si="215"/>
        <v>2021.010B.R.Binomial_names.zip</v>
      </c>
      <c r="U4735" s="29" t="str">
        <f>HYPERLINK("https://ictv.global/taxonomy/taxondetails?taxnode_id=202311894","ictv.global=202311894")</f>
        <v>ictv.global=202311894</v>
      </c>
    </row>
    <row r="4736" spans="1:21">
      <c r="A4736">
        <v>4735</v>
      </c>
      <c r="B4736" s="30" t="s">
        <v>1587</v>
      </c>
      <c r="D4736" s="30" t="s">
        <v>1588</v>
      </c>
      <c r="F4736" s="30" t="s">
        <v>1591</v>
      </c>
      <c r="H4736" s="30" t="s">
        <v>1592</v>
      </c>
      <c r="N4736" s="30" t="s">
        <v>1553</v>
      </c>
      <c r="P4736" s="30" t="s">
        <v>8237</v>
      </c>
      <c r="Q4736" t="s">
        <v>619</v>
      </c>
      <c r="R4736" t="s">
        <v>918</v>
      </c>
      <c r="S4736">
        <v>37</v>
      </c>
      <c r="T4736" s="29" t="str">
        <f t="shared" si="215"/>
        <v>2021.010B.R.Binomial_names.zip</v>
      </c>
      <c r="U4736" s="29" t="str">
        <f>HYPERLINK("https://ictv.global/taxonomy/taxondetails?taxnode_id=202301301","ictv.global=202301301")</f>
        <v>ictv.global=202301301</v>
      </c>
    </row>
    <row r="4737" spans="1:21">
      <c r="A4737">
        <v>4736</v>
      </c>
      <c r="B4737" s="30" t="s">
        <v>1587</v>
      </c>
      <c r="D4737" s="30" t="s">
        <v>1588</v>
      </c>
      <c r="F4737" s="30" t="s">
        <v>1591</v>
      </c>
      <c r="H4737" s="30" t="s">
        <v>1592</v>
      </c>
      <c r="N4737" s="30" t="s">
        <v>1553</v>
      </c>
      <c r="P4737" s="30" t="s">
        <v>8238</v>
      </c>
      <c r="Q4737" t="s">
        <v>619</v>
      </c>
      <c r="R4737" t="s">
        <v>918</v>
      </c>
      <c r="S4737">
        <v>37</v>
      </c>
      <c r="T4737" s="29" t="str">
        <f t="shared" si="215"/>
        <v>2021.010B.R.Binomial_names.zip</v>
      </c>
      <c r="U4737" s="29" t="str">
        <f>HYPERLINK("https://ictv.global/taxonomy/taxondetails?taxnode_id=202301302","ictv.global=202301302")</f>
        <v>ictv.global=202301302</v>
      </c>
    </row>
    <row r="4738" spans="1:21">
      <c r="A4738">
        <v>4737</v>
      </c>
      <c r="B4738" s="30" t="s">
        <v>1587</v>
      </c>
      <c r="D4738" s="30" t="s">
        <v>1588</v>
      </c>
      <c r="F4738" s="30" t="s">
        <v>1591</v>
      </c>
      <c r="H4738" s="30" t="s">
        <v>1592</v>
      </c>
      <c r="N4738" s="30" t="s">
        <v>1553</v>
      </c>
      <c r="P4738" s="30" t="s">
        <v>8239</v>
      </c>
      <c r="Q4738" t="s">
        <v>619</v>
      </c>
      <c r="R4738" t="s">
        <v>918</v>
      </c>
      <c r="S4738">
        <v>37</v>
      </c>
      <c r="T4738" s="29" t="str">
        <f t="shared" si="215"/>
        <v>2021.010B.R.Binomial_names.zip</v>
      </c>
      <c r="U4738" s="29" t="str">
        <f>HYPERLINK("https://ictv.global/taxonomy/taxondetails?taxnode_id=202311875","ictv.global=202311875")</f>
        <v>ictv.global=202311875</v>
      </c>
    </row>
    <row r="4739" spans="1:21">
      <c r="A4739">
        <v>4738</v>
      </c>
      <c r="B4739" s="30" t="s">
        <v>1587</v>
      </c>
      <c r="D4739" s="30" t="s">
        <v>1588</v>
      </c>
      <c r="F4739" s="30" t="s">
        <v>1591</v>
      </c>
      <c r="H4739" s="30" t="s">
        <v>1592</v>
      </c>
      <c r="N4739" s="30" t="s">
        <v>1553</v>
      </c>
      <c r="P4739" s="30" t="s">
        <v>8240</v>
      </c>
      <c r="Q4739" t="s">
        <v>619</v>
      </c>
      <c r="R4739" t="s">
        <v>918</v>
      </c>
      <c r="S4739">
        <v>37</v>
      </c>
      <c r="T4739" s="29" t="str">
        <f t="shared" si="215"/>
        <v>2021.010B.R.Binomial_names.zip</v>
      </c>
      <c r="U4739" s="29" t="str">
        <f>HYPERLINK("https://ictv.global/taxonomy/taxondetails?taxnode_id=202311877","ictv.global=202311877")</f>
        <v>ictv.global=202311877</v>
      </c>
    </row>
    <row r="4740" spans="1:21">
      <c r="A4740">
        <v>4739</v>
      </c>
      <c r="B4740" s="30" t="s">
        <v>1587</v>
      </c>
      <c r="D4740" s="30" t="s">
        <v>1588</v>
      </c>
      <c r="F4740" s="30" t="s">
        <v>1591</v>
      </c>
      <c r="H4740" s="30" t="s">
        <v>1592</v>
      </c>
      <c r="N4740" s="30" t="s">
        <v>1553</v>
      </c>
      <c r="P4740" s="30" t="s">
        <v>8241</v>
      </c>
      <c r="Q4740" t="s">
        <v>619</v>
      </c>
      <c r="R4740" t="s">
        <v>918</v>
      </c>
      <c r="S4740">
        <v>37</v>
      </c>
      <c r="T4740" s="29" t="str">
        <f t="shared" si="215"/>
        <v>2021.010B.R.Binomial_names.zip</v>
      </c>
      <c r="U4740" s="29" t="str">
        <f>HYPERLINK("https://ictv.global/taxonomy/taxondetails?taxnode_id=202311887","ictv.global=202311887")</f>
        <v>ictv.global=202311887</v>
      </c>
    </row>
    <row r="4741" spans="1:21">
      <c r="A4741">
        <v>4740</v>
      </c>
      <c r="B4741" s="30" t="s">
        <v>1587</v>
      </c>
      <c r="D4741" s="30" t="s">
        <v>1588</v>
      </c>
      <c r="F4741" s="30" t="s">
        <v>1591</v>
      </c>
      <c r="H4741" s="30" t="s">
        <v>1592</v>
      </c>
      <c r="N4741" s="30" t="s">
        <v>1553</v>
      </c>
      <c r="P4741" s="30" t="s">
        <v>8242</v>
      </c>
      <c r="Q4741" t="s">
        <v>619</v>
      </c>
      <c r="R4741" t="s">
        <v>918</v>
      </c>
      <c r="S4741">
        <v>37</v>
      </c>
      <c r="T4741" s="29" t="str">
        <f t="shared" si="215"/>
        <v>2021.010B.R.Binomial_names.zip</v>
      </c>
      <c r="U4741" s="29" t="str">
        <f>HYPERLINK("https://ictv.global/taxonomy/taxondetails?taxnode_id=202311946","ictv.global=202311946")</f>
        <v>ictv.global=202311946</v>
      </c>
    </row>
    <row r="4742" spans="1:21">
      <c r="A4742">
        <v>4741</v>
      </c>
      <c r="B4742" s="30" t="s">
        <v>1587</v>
      </c>
      <c r="D4742" s="30" t="s">
        <v>1588</v>
      </c>
      <c r="F4742" s="30" t="s">
        <v>1591</v>
      </c>
      <c r="H4742" s="30" t="s">
        <v>1592</v>
      </c>
      <c r="N4742" s="30" t="s">
        <v>1553</v>
      </c>
      <c r="P4742" s="30" t="s">
        <v>8243</v>
      </c>
      <c r="Q4742" t="s">
        <v>619</v>
      </c>
      <c r="R4742" t="s">
        <v>918</v>
      </c>
      <c r="S4742">
        <v>37</v>
      </c>
      <c r="T4742" s="29" t="str">
        <f t="shared" si="215"/>
        <v>2021.010B.R.Binomial_names.zip</v>
      </c>
      <c r="U4742" s="29" t="str">
        <f>HYPERLINK("https://ictv.global/taxonomy/taxondetails?taxnode_id=202311885","ictv.global=202311885")</f>
        <v>ictv.global=202311885</v>
      </c>
    </row>
    <row r="4743" spans="1:21">
      <c r="A4743">
        <v>4742</v>
      </c>
      <c r="B4743" s="30" t="s">
        <v>1587</v>
      </c>
      <c r="D4743" s="30" t="s">
        <v>1588</v>
      </c>
      <c r="F4743" s="30" t="s">
        <v>1591</v>
      </c>
      <c r="H4743" s="30" t="s">
        <v>1592</v>
      </c>
      <c r="N4743" s="30" t="s">
        <v>1553</v>
      </c>
      <c r="P4743" s="30" t="s">
        <v>8244</v>
      </c>
      <c r="Q4743" t="s">
        <v>619</v>
      </c>
      <c r="R4743" t="s">
        <v>918</v>
      </c>
      <c r="S4743">
        <v>37</v>
      </c>
      <c r="T4743" s="29" t="str">
        <f t="shared" si="215"/>
        <v>2021.010B.R.Binomial_names.zip</v>
      </c>
      <c r="U4743" s="29" t="str">
        <f>HYPERLINK("https://ictv.global/taxonomy/taxondetails?taxnode_id=202311878","ictv.global=202311878")</f>
        <v>ictv.global=202311878</v>
      </c>
    </row>
    <row r="4744" spans="1:21">
      <c r="A4744">
        <v>4743</v>
      </c>
      <c r="B4744" s="30" t="s">
        <v>1587</v>
      </c>
      <c r="D4744" s="30" t="s">
        <v>1588</v>
      </c>
      <c r="F4744" s="30" t="s">
        <v>1591</v>
      </c>
      <c r="H4744" s="30" t="s">
        <v>1592</v>
      </c>
      <c r="N4744" s="30" t="s">
        <v>1553</v>
      </c>
      <c r="P4744" s="30" t="s">
        <v>8245</v>
      </c>
      <c r="Q4744" t="s">
        <v>619</v>
      </c>
      <c r="R4744" t="s">
        <v>918</v>
      </c>
      <c r="S4744">
        <v>37</v>
      </c>
      <c r="T4744" s="29" t="str">
        <f t="shared" si="215"/>
        <v>2021.010B.R.Binomial_names.zip</v>
      </c>
      <c r="U4744" s="29" t="str">
        <f>HYPERLINK("https://ictv.global/taxonomy/taxondetails?taxnode_id=202311890","ictv.global=202311890")</f>
        <v>ictv.global=202311890</v>
      </c>
    </row>
    <row r="4745" spans="1:21">
      <c r="A4745">
        <v>4744</v>
      </c>
      <c r="B4745" s="30" t="s">
        <v>1587</v>
      </c>
      <c r="D4745" s="30" t="s">
        <v>1588</v>
      </c>
      <c r="F4745" s="30" t="s">
        <v>1591</v>
      </c>
      <c r="H4745" s="30" t="s">
        <v>1592</v>
      </c>
      <c r="N4745" s="30" t="s">
        <v>1553</v>
      </c>
      <c r="P4745" s="30" t="s">
        <v>8246</v>
      </c>
      <c r="Q4745" t="s">
        <v>619</v>
      </c>
      <c r="R4745" t="s">
        <v>918</v>
      </c>
      <c r="S4745">
        <v>37</v>
      </c>
      <c r="T4745" s="29" t="str">
        <f t="shared" ref="T4745:T4776" si="216">HYPERLINK("https://ictv.global/ictv/proposals/2021.010B.R.Binomial_names.zip","2021.010B.R.Binomial_names.zip")</f>
        <v>2021.010B.R.Binomial_names.zip</v>
      </c>
      <c r="U4745" s="29" t="str">
        <f>HYPERLINK("https://ictv.global/taxonomy/taxondetails?taxnode_id=202311881","ictv.global=202311881")</f>
        <v>ictv.global=202311881</v>
      </c>
    </row>
    <row r="4746" spans="1:21">
      <c r="A4746">
        <v>4745</v>
      </c>
      <c r="B4746" s="30" t="s">
        <v>1587</v>
      </c>
      <c r="D4746" s="30" t="s">
        <v>1588</v>
      </c>
      <c r="F4746" s="30" t="s">
        <v>1591</v>
      </c>
      <c r="H4746" s="30" t="s">
        <v>1592</v>
      </c>
      <c r="N4746" s="30" t="s">
        <v>1553</v>
      </c>
      <c r="P4746" s="30" t="s">
        <v>8247</v>
      </c>
      <c r="Q4746" t="s">
        <v>619</v>
      </c>
      <c r="R4746" t="s">
        <v>918</v>
      </c>
      <c r="S4746">
        <v>37</v>
      </c>
      <c r="T4746" s="29" t="str">
        <f t="shared" si="216"/>
        <v>2021.010B.R.Binomial_names.zip</v>
      </c>
      <c r="U4746" s="29" t="str">
        <f>HYPERLINK("https://ictv.global/taxonomy/taxondetails?taxnode_id=202311867","ictv.global=202311867")</f>
        <v>ictv.global=202311867</v>
      </c>
    </row>
    <row r="4747" spans="1:21">
      <c r="A4747">
        <v>4746</v>
      </c>
      <c r="B4747" s="30" t="s">
        <v>1587</v>
      </c>
      <c r="D4747" s="30" t="s">
        <v>1588</v>
      </c>
      <c r="F4747" s="30" t="s">
        <v>1591</v>
      </c>
      <c r="H4747" s="30" t="s">
        <v>1592</v>
      </c>
      <c r="N4747" s="30" t="s">
        <v>1553</v>
      </c>
      <c r="P4747" s="30" t="s">
        <v>8248</v>
      </c>
      <c r="Q4747" t="s">
        <v>619</v>
      </c>
      <c r="R4747" t="s">
        <v>918</v>
      </c>
      <c r="S4747">
        <v>37</v>
      </c>
      <c r="T4747" s="29" t="str">
        <f t="shared" si="216"/>
        <v>2021.010B.R.Binomial_names.zip</v>
      </c>
      <c r="U4747" s="29" t="str">
        <f>HYPERLINK("https://ictv.global/taxonomy/taxondetails?taxnode_id=202311882","ictv.global=202311882")</f>
        <v>ictv.global=202311882</v>
      </c>
    </row>
    <row r="4748" spans="1:21">
      <c r="A4748">
        <v>4747</v>
      </c>
      <c r="B4748" s="30" t="s">
        <v>1587</v>
      </c>
      <c r="D4748" s="30" t="s">
        <v>1588</v>
      </c>
      <c r="F4748" s="30" t="s">
        <v>1591</v>
      </c>
      <c r="H4748" s="30" t="s">
        <v>1592</v>
      </c>
      <c r="N4748" s="30" t="s">
        <v>1553</v>
      </c>
      <c r="P4748" s="30" t="s">
        <v>8249</v>
      </c>
      <c r="Q4748" t="s">
        <v>619</v>
      </c>
      <c r="R4748" t="s">
        <v>918</v>
      </c>
      <c r="S4748">
        <v>37</v>
      </c>
      <c r="T4748" s="29" t="str">
        <f t="shared" si="216"/>
        <v>2021.010B.R.Binomial_names.zip</v>
      </c>
      <c r="U4748" s="29" t="str">
        <f>HYPERLINK("https://ictv.global/taxonomy/taxondetails?taxnode_id=202301286","ictv.global=202301286")</f>
        <v>ictv.global=202301286</v>
      </c>
    </row>
    <row r="4749" spans="1:21">
      <c r="A4749">
        <v>4748</v>
      </c>
      <c r="B4749" s="30" t="s">
        <v>1587</v>
      </c>
      <c r="D4749" s="30" t="s">
        <v>1588</v>
      </c>
      <c r="F4749" s="30" t="s">
        <v>1591</v>
      </c>
      <c r="H4749" s="30" t="s">
        <v>1592</v>
      </c>
      <c r="N4749" s="30" t="s">
        <v>1553</v>
      </c>
      <c r="P4749" s="30" t="s">
        <v>8250</v>
      </c>
      <c r="Q4749" t="s">
        <v>619</v>
      </c>
      <c r="R4749" t="s">
        <v>918</v>
      </c>
      <c r="S4749">
        <v>37</v>
      </c>
      <c r="T4749" s="29" t="str">
        <f t="shared" si="216"/>
        <v>2021.010B.R.Binomial_names.zip</v>
      </c>
      <c r="U4749" s="29" t="str">
        <f>HYPERLINK("https://ictv.global/taxonomy/taxondetails?taxnode_id=202311868","ictv.global=202311868")</f>
        <v>ictv.global=202311868</v>
      </c>
    </row>
    <row r="4750" spans="1:21">
      <c r="A4750">
        <v>4749</v>
      </c>
      <c r="B4750" s="30" t="s">
        <v>1587</v>
      </c>
      <c r="D4750" s="30" t="s">
        <v>1588</v>
      </c>
      <c r="F4750" s="30" t="s">
        <v>1591</v>
      </c>
      <c r="H4750" s="30" t="s">
        <v>1592</v>
      </c>
      <c r="N4750" s="30" t="s">
        <v>1553</v>
      </c>
      <c r="P4750" s="30" t="s">
        <v>8251</v>
      </c>
      <c r="Q4750" t="s">
        <v>619</v>
      </c>
      <c r="R4750" t="s">
        <v>918</v>
      </c>
      <c r="S4750">
        <v>37</v>
      </c>
      <c r="T4750" s="29" t="str">
        <f t="shared" si="216"/>
        <v>2021.010B.R.Binomial_names.zip</v>
      </c>
      <c r="U4750" s="29" t="str">
        <f>HYPERLINK("https://ictv.global/taxonomy/taxondetails?taxnode_id=202311899","ictv.global=202311899")</f>
        <v>ictv.global=202311899</v>
      </c>
    </row>
    <row r="4751" spans="1:21">
      <c r="A4751">
        <v>4750</v>
      </c>
      <c r="B4751" s="30" t="s">
        <v>1587</v>
      </c>
      <c r="D4751" s="30" t="s">
        <v>1588</v>
      </c>
      <c r="F4751" s="30" t="s">
        <v>1591</v>
      </c>
      <c r="H4751" s="30" t="s">
        <v>1592</v>
      </c>
      <c r="N4751" s="30" t="s">
        <v>1553</v>
      </c>
      <c r="P4751" s="30" t="s">
        <v>8252</v>
      </c>
      <c r="Q4751" t="s">
        <v>619</v>
      </c>
      <c r="R4751" t="s">
        <v>918</v>
      </c>
      <c r="S4751">
        <v>37</v>
      </c>
      <c r="T4751" s="29" t="str">
        <f t="shared" si="216"/>
        <v>2021.010B.R.Binomial_names.zip</v>
      </c>
      <c r="U4751" s="29" t="str">
        <f>HYPERLINK("https://ictv.global/taxonomy/taxondetails?taxnode_id=202311900","ictv.global=202311900")</f>
        <v>ictv.global=202311900</v>
      </c>
    </row>
    <row r="4752" spans="1:21">
      <c r="A4752">
        <v>4751</v>
      </c>
      <c r="B4752" s="30" t="s">
        <v>1587</v>
      </c>
      <c r="D4752" s="30" t="s">
        <v>1588</v>
      </c>
      <c r="F4752" s="30" t="s">
        <v>1591</v>
      </c>
      <c r="H4752" s="30" t="s">
        <v>1592</v>
      </c>
      <c r="N4752" s="30" t="s">
        <v>1553</v>
      </c>
      <c r="P4752" s="30" t="s">
        <v>8253</v>
      </c>
      <c r="Q4752" t="s">
        <v>619</v>
      </c>
      <c r="R4752" t="s">
        <v>918</v>
      </c>
      <c r="S4752">
        <v>37</v>
      </c>
      <c r="T4752" s="29" t="str">
        <f t="shared" si="216"/>
        <v>2021.010B.R.Binomial_names.zip</v>
      </c>
      <c r="U4752" s="29" t="str">
        <f>HYPERLINK("https://ictv.global/taxonomy/taxondetails?taxnode_id=202311895","ictv.global=202311895")</f>
        <v>ictv.global=202311895</v>
      </c>
    </row>
    <row r="4753" spans="1:21">
      <c r="A4753">
        <v>4752</v>
      </c>
      <c r="B4753" s="30" t="s">
        <v>1587</v>
      </c>
      <c r="D4753" s="30" t="s">
        <v>1588</v>
      </c>
      <c r="F4753" s="30" t="s">
        <v>1591</v>
      </c>
      <c r="H4753" s="30" t="s">
        <v>1592</v>
      </c>
      <c r="N4753" s="30" t="s">
        <v>1553</v>
      </c>
      <c r="P4753" s="30" t="s">
        <v>8254</v>
      </c>
      <c r="Q4753" t="s">
        <v>619</v>
      </c>
      <c r="R4753" t="s">
        <v>918</v>
      </c>
      <c r="S4753">
        <v>37</v>
      </c>
      <c r="T4753" s="29" t="str">
        <f t="shared" si="216"/>
        <v>2021.010B.R.Binomial_names.zip</v>
      </c>
      <c r="U4753" s="29" t="str">
        <f>HYPERLINK("https://ictv.global/taxonomy/taxondetails?taxnode_id=202311945","ictv.global=202311945")</f>
        <v>ictv.global=202311945</v>
      </c>
    </row>
    <row r="4754" spans="1:21">
      <c r="A4754">
        <v>4753</v>
      </c>
      <c r="B4754" s="30" t="s">
        <v>1587</v>
      </c>
      <c r="D4754" s="30" t="s">
        <v>1588</v>
      </c>
      <c r="F4754" s="30" t="s">
        <v>1591</v>
      </c>
      <c r="H4754" s="30" t="s">
        <v>1592</v>
      </c>
      <c r="N4754" s="30" t="s">
        <v>1553</v>
      </c>
      <c r="P4754" s="30" t="s">
        <v>8255</v>
      </c>
      <c r="Q4754" t="s">
        <v>619</v>
      </c>
      <c r="R4754" t="s">
        <v>918</v>
      </c>
      <c r="S4754">
        <v>37</v>
      </c>
      <c r="T4754" s="29" t="str">
        <f t="shared" si="216"/>
        <v>2021.010B.R.Binomial_names.zip</v>
      </c>
      <c r="U4754" s="29" t="str">
        <f>HYPERLINK("https://ictv.global/taxonomy/taxondetails?taxnode_id=202311944","ictv.global=202311944")</f>
        <v>ictv.global=202311944</v>
      </c>
    </row>
    <row r="4755" spans="1:21">
      <c r="A4755">
        <v>4754</v>
      </c>
      <c r="B4755" s="30" t="s">
        <v>1587</v>
      </c>
      <c r="D4755" s="30" t="s">
        <v>1588</v>
      </c>
      <c r="F4755" s="30" t="s">
        <v>1591</v>
      </c>
      <c r="H4755" s="30" t="s">
        <v>1592</v>
      </c>
      <c r="N4755" s="30" t="s">
        <v>1553</v>
      </c>
      <c r="P4755" s="30" t="s">
        <v>8256</v>
      </c>
      <c r="Q4755" t="s">
        <v>619</v>
      </c>
      <c r="R4755" t="s">
        <v>918</v>
      </c>
      <c r="S4755">
        <v>37</v>
      </c>
      <c r="T4755" s="29" t="str">
        <f t="shared" si="216"/>
        <v>2021.010B.R.Binomial_names.zip</v>
      </c>
      <c r="U4755" s="29" t="str">
        <f>HYPERLINK("https://ictv.global/taxonomy/taxondetails?taxnode_id=202311901","ictv.global=202311901")</f>
        <v>ictv.global=202311901</v>
      </c>
    </row>
    <row r="4756" spans="1:21">
      <c r="A4756">
        <v>4755</v>
      </c>
      <c r="B4756" s="30" t="s">
        <v>1587</v>
      </c>
      <c r="D4756" s="30" t="s">
        <v>1588</v>
      </c>
      <c r="F4756" s="30" t="s">
        <v>1591</v>
      </c>
      <c r="H4756" s="30" t="s">
        <v>1592</v>
      </c>
      <c r="N4756" s="30" t="s">
        <v>1553</v>
      </c>
      <c r="P4756" s="30" t="s">
        <v>8257</v>
      </c>
      <c r="Q4756" t="s">
        <v>619</v>
      </c>
      <c r="R4756" t="s">
        <v>918</v>
      </c>
      <c r="S4756">
        <v>37</v>
      </c>
      <c r="T4756" s="29" t="str">
        <f t="shared" si="216"/>
        <v>2021.010B.R.Binomial_names.zip</v>
      </c>
      <c r="U4756" s="29" t="str">
        <f>HYPERLINK("https://ictv.global/taxonomy/taxondetails?taxnode_id=202311902","ictv.global=202311902")</f>
        <v>ictv.global=202311902</v>
      </c>
    </row>
    <row r="4757" spans="1:21">
      <c r="A4757">
        <v>4756</v>
      </c>
      <c r="B4757" s="30" t="s">
        <v>1587</v>
      </c>
      <c r="D4757" s="30" t="s">
        <v>1588</v>
      </c>
      <c r="F4757" s="30" t="s">
        <v>1591</v>
      </c>
      <c r="H4757" s="30" t="s">
        <v>1592</v>
      </c>
      <c r="N4757" s="30" t="s">
        <v>1553</v>
      </c>
      <c r="P4757" s="30" t="s">
        <v>8258</v>
      </c>
      <c r="Q4757" t="s">
        <v>619</v>
      </c>
      <c r="R4757" t="s">
        <v>918</v>
      </c>
      <c r="S4757">
        <v>37</v>
      </c>
      <c r="T4757" s="29" t="str">
        <f t="shared" si="216"/>
        <v>2021.010B.R.Binomial_names.zip</v>
      </c>
      <c r="U4757" s="29" t="str">
        <f>HYPERLINK("https://ictv.global/taxonomy/taxondetails?taxnode_id=202311903","ictv.global=202311903")</f>
        <v>ictv.global=202311903</v>
      </c>
    </row>
    <row r="4758" spans="1:21">
      <c r="A4758">
        <v>4757</v>
      </c>
      <c r="B4758" s="30" t="s">
        <v>1587</v>
      </c>
      <c r="D4758" s="30" t="s">
        <v>1588</v>
      </c>
      <c r="F4758" s="30" t="s">
        <v>1591</v>
      </c>
      <c r="H4758" s="30" t="s">
        <v>1592</v>
      </c>
      <c r="N4758" s="30" t="s">
        <v>1553</v>
      </c>
      <c r="P4758" s="30" t="s">
        <v>8259</v>
      </c>
      <c r="Q4758" t="s">
        <v>619</v>
      </c>
      <c r="R4758" t="s">
        <v>918</v>
      </c>
      <c r="S4758">
        <v>37</v>
      </c>
      <c r="T4758" s="29" t="str">
        <f t="shared" si="216"/>
        <v>2021.010B.R.Binomial_names.zip</v>
      </c>
      <c r="U4758" s="29" t="str">
        <f>HYPERLINK("https://ictv.global/taxonomy/taxondetails?taxnode_id=202311904","ictv.global=202311904")</f>
        <v>ictv.global=202311904</v>
      </c>
    </row>
    <row r="4759" spans="1:21">
      <c r="A4759">
        <v>4758</v>
      </c>
      <c r="B4759" s="30" t="s">
        <v>1587</v>
      </c>
      <c r="D4759" s="30" t="s">
        <v>1588</v>
      </c>
      <c r="F4759" s="30" t="s">
        <v>1591</v>
      </c>
      <c r="H4759" s="30" t="s">
        <v>1592</v>
      </c>
      <c r="N4759" s="30" t="s">
        <v>1553</v>
      </c>
      <c r="P4759" s="30" t="s">
        <v>8260</v>
      </c>
      <c r="Q4759" t="s">
        <v>619</v>
      </c>
      <c r="R4759" t="s">
        <v>918</v>
      </c>
      <c r="S4759">
        <v>37</v>
      </c>
      <c r="T4759" s="29" t="str">
        <f t="shared" si="216"/>
        <v>2021.010B.R.Binomial_names.zip</v>
      </c>
      <c r="U4759" s="29" t="str">
        <f>HYPERLINK("https://ictv.global/taxonomy/taxondetails?taxnode_id=202311897","ictv.global=202311897")</f>
        <v>ictv.global=202311897</v>
      </c>
    </row>
    <row r="4760" spans="1:21">
      <c r="A4760">
        <v>4759</v>
      </c>
      <c r="B4760" s="30" t="s">
        <v>1587</v>
      </c>
      <c r="D4760" s="30" t="s">
        <v>1588</v>
      </c>
      <c r="F4760" s="30" t="s">
        <v>1591</v>
      </c>
      <c r="H4760" s="30" t="s">
        <v>1592</v>
      </c>
      <c r="N4760" s="30" t="s">
        <v>1553</v>
      </c>
      <c r="P4760" s="30" t="s">
        <v>8261</v>
      </c>
      <c r="Q4760" t="s">
        <v>619</v>
      </c>
      <c r="R4760" t="s">
        <v>918</v>
      </c>
      <c r="S4760">
        <v>37</v>
      </c>
      <c r="T4760" s="29" t="str">
        <f t="shared" si="216"/>
        <v>2021.010B.R.Binomial_names.zip</v>
      </c>
      <c r="U4760" s="29" t="str">
        <f>HYPERLINK("https://ictv.global/taxonomy/taxondetails?taxnode_id=202311905","ictv.global=202311905")</f>
        <v>ictv.global=202311905</v>
      </c>
    </row>
    <row r="4761" spans="1:21">
      <c r="A4761">
        <v>4760</v>
      </c>
      <c r="B4761" s="30" t="s">
        <v>1587</v>
      </c>
      <c r="D4761" s="30" t="s">
        <v>1588</v>
      </c>
      <c r="F4761" s="30" t="s">
        <v>1591</v>
      </c>
      <c r="H4761" s="30" t="s">
        <v>1592</v>
      </c>
      <c r="N4761" s="30" t="s">
        <v>1553</v>
      </c>
      <c r="P4761" s="30" t="s">
        <v>8262</v>
      </c>
      <c r="Q4761" t="s">
        <v>619</v>
      </c>
      <c r="R4761" t="s">
        <v>918</v>
      </c>
      <c r="S4761">
        <v>37</v>
      </c>
      <c r="T4761" s="29" t="str">
        <f t="shared" si="216"/>
        <v>2021.010B.R.Binomial_names.zip</v>
      </c>
      <c r="U4761" s="29" t="str">
        <f>HYPERLINK("https://ictv.global/taxonomy/taxondetails?taxnode_id=202311906","ictv.global=202311906")</f>
        <v>ictv.global=202311906</v>
      </c>
    </row>
    <row r="4762" spans="1:21">
      <c r="A4762">
        <v>4761</v>
      </c>
      <c r="B4762" s="30" t="s">
        <v>1587</v>
      </c>
      <c r="D4762" s="30" t="s">
        <v>1588</v>
      </c>
      <c r="F4762" s="30" t="s">
        <v>1591</v>
      </c>
      <c r="H4762" s="30" t="s">
        <v>1592</v>
      </c>
      <c r="N4762" s="30" t="s">
        <v>1553</v>
      </c>
      <c r="P4762" s="30" t="s">
        <v>8263</v>
      </c>
      <c r="Q4762" t="s">
        <v>619</v>
      </c>
      <c r="R4762" t="s">
        <v>918</v>
      </c>
      <c r="S4762">
        <v>37</v>
      </c>
      <c r="T4762" s="29" t="str">
        <f t="shared" si="216"/>
        <v>2021.010B.R.Binomial_names.zip</v>
      </c>
      <c r="U4762" s="29" t="str">
        <f>HYPERLINK("https://ictv.global/taxonomy/taxondetails?taxnode_id=202311907","ictv.global=202311907")</f>
        <v>ictv.global=202311907</v>
      </c>
    </row>
    <row r="4763" spans="1:21">
      <c r="A4763">
        <v>4762</v>
      </c>
      <c r="B4763" s="30" t="s">
        <v>1587</v>
      </c>
      <c r="D4763" s="30" t="s">
        <v>1588</v>
      </c>
      <c r="F4763" s="30" t="s">
        <v>1591</v>
      </c>
      <c r="H4763" s="30" t="s">
        <v>1592</v>
      </c>
      <c r="N4763" s="30" t="s">
        <v>1553</v>
      </c>
      <c r="P4763" s="30" t="s">
        <v>8264</v>
      </c>
      <c r="Q4763" t="s">
        <v>619</v>
      </c>
      <c r="R4763" t="s">
        <v>918</v>
      </c>
      <c r="S4763">
        <v>37</v>
      </c>
      <c r="T4763" s="29" t="str">
        <f t="shared" si="216"/>
        <v>2021.010B.R.Binomial_names.zip</v>
      </c>
      <c r="U4763" s="29" t="str">
        <f>HYPERLINK("https://ictv.global/taxonomy/taxondetails?taxnode_id=202311908","ictv.global=202311908")</f>
        <v>ictv.global=202311908</v>
      </c>
    </row>
    <row r="4764" spans="1:21">
      <c r="A4764">
        <v>4763</v>
      </c>
      <c r="B4764" s="30" t="s">
        <v>1587</v>
      </c>
      <c r="D4764" s="30" t="s">
        <v>1588</v>
      </c>
      <c r="F4764" s="30" t="s">
        <v>1591</v>
      </c>
      <c r="H4764" s="30" t="s">
        <v>1592</v>
      </c>
      <c r="N4764" s="30" t="s">
        <v>1553</v>
      </c>
      <c r="P4764" s="30" t="s">
        <v>8265</v>
      </c>
      <c r="Q4764" t="s">
        <v>619</v>
      </c>
      <c r="R4764" t="s">
        <v>918</v>
      </c>
      <c r="S4764">
        <v>37</v>
      </c>
      <c r="T4764" s="29" t="str">
        <f t="shared" si="216"/>
        <v>2021.010B.R.Binomial_names.zip</v>
      </c>
      <c r="U4764" s="29" t="str">
        <f>HYPERLINK("https://ictv.global/taxonomy/taxondetails?taxnode_id=202311909","ictv.global=202311909")</f>
        <v>ictv.global=202311909</v>
      </c>
    </row>
    <row r="4765" spans="1:21">
      <c r="A4765">
        <v>4764</v>
      </c>
      <c r="B4765" s="30" t="s">
        <v>1587</v>
      </c>
      <c r="D4765" s="30" t="s">
        <v>1588</v>
      </c>
      <c r="F4765" s="30" t="s">
        <v>1591</v>
      </c>
      <c r="H4765" s="30" t="s">
        <v>1592</v>
      </c>
      <c r="N4765" s="30" t="s">
        <v>1553</v>
      </c>
      <c r="P4765" s="30" t="s">
        <v>8266</v>
      </c>
      <c r="Q4765" t="s">
        <v>619</v>
      </c>
      <c r="R4765" t="s">
        <v>918</v>
      </c>
      <c r="S4765">
        <v>37</v>
      </c>
      <c r="T4765" s="29" t="str">
        <f t="shared" si="216"/>
        <v>2021.010B.R.Binomial_names.zip</v>
      </c>
      <c r="U4765" s="29" t="str">
        <f>HYPERLINK("https://ictv.global/taxonomy/taxondetails?taxnode_id=202311910","ictv.global=202311910")</f>
        <v>ictv.global=202311910</v>
      </c>
    </row>
    <row r="4766" spans="1:21">
      <c r="A4766">
        <v>4765</v>
      </c>
      <c r="B4766" s="30" t="s">
        <v>1587</v>
      </c>
      <c r="D4766" s="30" t="s">
        <v>1588</v>
      </c>
      <c r="F4766" s="30" t="s">
        <v>1591</v>
      </c>
      <c r="H4766" s="30" t="s">
        <v>1592</v>
      </c>
      <c r="N4766" s="30" t="s">
        <v>1553</v>
      </c>
      <c r="P4766" s="30" t="s">
        <v>8267</v>
      </c>
      <c r="Q4766" t="s">
        <v>619</v>
      </c>
      <c r="R4766" t="s">
        <v>918</v>
      </c>
      <c r="S4766">
        <v>37</v>
      </c>
      <c r="T4766" s="29" t="str">
        <f t="shared" si="216"/>
        <v>2021.010B.R.Binomial_names.zip</v>
      </c>
      <c r="U4766" s="29" t="str">
        <f>HYPERLINK("https://ictv.global/taxonomy/taxondetails?taxnode_id=202311911","ictv.global=202311911")</f>
        <v>ictv.global=202311911</v>
      </c>
    </row>
    <row r="4767" spans="1:21">
      <c r="A4767">
        <v>4766</v>
      </c>
      <c r="B4767" s="30" t="s">
        <v>1587</v>
      </c>
      <c r="D4767" s="30" t="s">
        <v>1588</v>
      </c>
      <c r="F4767" s="30" t="s">
        <v>1591</v>
      </c>
      <c r="H4767" s="30" t="s">
        <v>1592</v>
      </c>
      <c r="N4767" s="30" t="s">
        <v>1553</v>
      </c>
      <c r="P4767" s="30" t="s">
        <v>8268</v>
      </c>
      <c r="Q4767" t="s">
        <v>619</v>
      </c>
      <c r="R4767" t="s">
        <v>918</v>
      </c>
      <c r="S4767">
        <v>37</v>
      </c>
      <c r="T4767" s="29" t="str">
        <f t="shared" si="216"/>
        <v>2021.010B.R.Binomial_names.zip</v>
      </c>
      <c r="U4767" s="29" t="str">
        <f>HYPERLINK("https://ictv.global/taxonomy/taxondetails?taxnode_id=202311912","ictv.global=202311912")</f>
        <v>ictv.global=202311912</v>
      </c>
    </row>
    <row r="4768" spans="1:21">
      <c r="A4768">
        <v>4767</v>
      </c>
      <c r="B4768" s="30" t="s">
        <v>1587</v>
      </c>
      <c r="D4768" s="30" t="s">
        <v>1588</v>
      </c>
      <c r="F4768" s="30" t="s">
        <v>1591</v>
      </c>
      <c r="H4768" s="30" t="s">
        <v>1592</v>
      </c>
      <c r="N4768" s="30" t="s">
        <v>1553</v>
      </c>
      <c r="P4768" s="30" t="s">
        <v>8269</v>
      </c>
      <c r="Q4768" t="s">
        <v>619</v>
      </c>
      <c r="R4768" t="s">
        <v>918</v>
      </c>
      <c r="S4768">
        <v>37</v>
      </c>
      <c r="T4768" s="29" t="str">
        <f t="shared" si="216"/>
        <v>2021.010B.R.Binomial_names.zip</v>
      </c>
      <c r="U4768" s="29" t="str">
        <f>HYPERLINK("https://ictv.global/taxonomy/taxondetails?taxnode_id=202311913","ictv.global=202311913")</f>
        <v>ictv.global=202311913</v>
      </c>
    </row>
    <row r="4769" spans="1:21">
      <c r="A4769">
        <v>4768</v>
      </c>
      <c r="B4769" s="30" t="s">
        <v>1587</v>
      </c>
      <c r="D4769" s="30" t="s">
        <v>1588</v>
      </c>
      <c r="F4769" s="30" t="s">
        <v>1591</v>
      </c>
      <c r="H4769" s="30" t="s">
        <v>1592</v>
      </c>
      <c r="N4769" s="30" t="s">
        <v>1553</v>
      </c>
      <c r="P4769" s="30" t="s">
        <v>8270</v>
      </c>
      <c r="Q4769" t="s">
        <v>619</v>
      </c>
      <c r="R4769" t="s">
        <v>918</v>
      </c>
      <c r="S4769">
        <v>37</v>
      </c>
      <c r="T4769" s="29" t="str">
        <f t="shared" si="216"/>
        <v>2021.010B.R.Binomial_names.zip</v>
      </c>
      <c r="U4769" s="29" t="str">
        <f>HYPERLINK("https://ictv.global/taxonomy/taxondetails?taxnode_id=202311914","ictv.global=202311914")</f>
        <v>ictv.global=202311914</v>
      </c>
    </row>
    <row r="4770" spans="1:21">
      <c r="A4770">
        <v>4769</v>
      </c>
      <c r="B4770" s="30" t="s">
        <v>1587</v>
      </c>
      <c r="D4770" s="30" t="s">
        <v>1588</v>
      </c>
      <c r="F4770" s="30" t="s">
        <v>1591</v>
      </c>
      <c r="H4770" s="30" t="s">
        <v>1592</v>
      </c>
      <c r="N4770" s="30" t="s">
        <v>1553</v>
      </c>
      <c r="P4770" s="30" t="s">
        <v>8271</v>
      </c>
      <c r="Q4770" t="s">
        <v>619</v>
      </c>
      <c r="R4770" t="s">
        <v>918</v>
      </c>
      <c r="S4770">
        <v>37</v>
      </c>
      <c r="T4770" s="29" t="str">
        <f t="shared" si="216"/>
        <v>2021.010B.R.Binomial_names.zip</v>
      </c>
      <c r="U4770" s="29" t="str">
        <f>HYPERLINK("https://ictv.global/taxonomy/taxondetails?taxnode_id=202311928","ictv.global=202311928")</f>
        <v>ictv.global=202311928</v>
      </c>
    </row>
    <row r="4771" spans="1:21">
      <c r="A4771">
        <v>4770</v>
      </c>
      <c r="B4771" s="30" t="s">
        <v>1587</v>
      </c>
      <c r="D4771" s="30" t="s">
        <v>1588</v>
      </c>
      <c r="F4771" s="30" t="s">
        <v>1591</v>
      </c>
      <c r="H4771" s="30" t="s">
        <v>1592</v>
      </c>
      <c r="N4771" s="30" t="s">
        <v>1553</v>
      </c>
      <c r="P4771" s="30" t="s">
        <v>8272</v>
      </c>
      <c r="Q4771" t="s">
        <v>619</v>
      </c>
      <c r="R4771" t="s">
        <v>918</v>
      </c>
      <c r="S4771">
        <v>37</v>
      </c>
      <c r="T4771" s="29" t="str">
        <f t="shared" si="216"/>
        <v>2021.010B.R.Binomial_names.zip</v>
      </c>
      <c r="U4771" s="29" t="str">
        <f>HYPERLINK("https://ictv.global/taxonomy/taxondetails?taxnode_id=202311888","ictv.global=202311888")</f>
        <v>ictv.global=202311888</v>
      </c>
    </row>
    <row r="4772" spans="1:21">
      <c r="A4772">
        <v>4771</v>
      </c>
      <c r="B4772" s="30" t="s">
        <v>1587</v>
      </c>
      <c r="D4772" s="30" t="s">
        <v>1588</v>
      </c>
      <c r="F4772" s="30" t="s">
        <v>1591</v>
      </c>
      <c r="H4772" s="30" t="s">
        <v>1592</v>
      </c>
      <c r="N4772" s="30" t="s">
        <v>1553</v>
      </c>
      <c r="P4772" s="30" t="s">
        <v>8273</v>
      </c>
      <c r="Q4772" t="s">
        <v>619</v>
      </c>
      <c r="R4772" t="s">
        <v>918</v>
      </c>
      <c r="S4772">
        <v>37</v>
      </c>
      <c r="T4772" s="29" t="str">
        <f t="shared" si="216"/>
        <v>2021.010B.R.Binomial_names.zip</v>
      </c>
      <c r="U4772" s="29" t="str">
        <f>HYPERLINK("https://ictv.global/taxonomy/taxondetails?taxnode_id=202311915","ictv.global=202311915")</f>
        <v>ictv.global=202311915</v>
      </c>
    </row>
    <row r="4773" spans="1:21">
      <c r="A4773">
        <v>4772</v>
      </c>
      <c r="B4773" s="30" t="s">
        <v>1587</v>
      </c>
      <c r="D4773" s="30" t="s">
        <v>1588</v>
      </c>
      <c r="F4773" s="30" t="s">
        <v>1591</v>
      </c>
      <c r="H4773" s="30" t="s">
        <v>1592</v>
      </c>
      <c r="N4773" s="30" t="s">
        <v>1553</v>
      </c>
      <c r="P4773" s="30" t="s">
        <v>8274</v>
      </c>
      <c r="Q4773" t="s">
        <v>619</v>
      </c>
      <c r="R4773" t="s">
        <v>918</v>
      </c>
      <c r="S4773">
        <v>37</v>
      </c>
      <c r="T4773" s="29" t="str">
        <f t="shared" si="216"/>
        <v>2021.010B.R.Binomial_names.zip</v>
      </c>
      <c r="U4773" s="29" t="str">
        <f>HYPERLINK("https://ictv.global/taxonomy/taxondetails?taxnode_id=202311916","ictv.global=202311916")</f>
        <v>ictv.global=202311916</v>
      </c>
    </row>
    <row r="4774" spans="1:21">
      <c r="A4774">
        <v>4773</v>
      </c>
      <c r="B4774" s="30" t="s">
        <v>1587</v>
      </c>
      <c r="D4774" s="30" t="s">
        <v>1588</v>
      </c>
      <c r="F4774" s="30" t="s">
        <v>1591</v>
      </c>
      <c r="H4774" s="30" t="s">
        <v>1592</v>
      </c>
      <c r="N4774" s="30" t="s">
        <v>1553</v>
      </c>
      <c r="P4774" s="30" t="s">
        <v>8275</v>
      </c>
      <c r="Q4774" t="s">
        <v>619</v>
      </c>
      <c r="R4774" t="s">
        <v>918</v>
      </c>
      <c r="S4774">
        <v>37</v>
      </c>
      <c r="T4774" s="29" t="str">
        <f t="shared" si="216"/>
        <v>2021.010B.R.Binomial_names.zip</v>
      </c>
      <c r="U4774" s="29" t="str">
        <f>HYPERLINK("https://ictv.global/taxonomy/taxondetails?taxnode_id=202311917","ictv.global=202311917")</f>
        <v>ictv.global=202311917</v>
      </c>
    </row>
    <row r="4775" spans="1:21">
      <c r="A4775">
        <v>4774</v>
      </c>
      <c r="B4775" s="30" t="s">
        <v>1587</v>
      </c>
      <c r="D4775" s="30" t="s">
        <v>1588</v>
      </c>
      <c r="F4775" s="30" t="s">
        <v>1591</v>
      </c>
      <c r="H4775" s="30" t="s">
        <v>1592</v>
      </c>
      <c r="N4775" s="30" t="s">
        <v>702</v>
      </c>
      <c r="P4775" s="30" t="s">
        <v>8276</v>
      </c>
      <c r="Q4775" t="s">
        <v>619</v>
      </c>
      <c r="R4775" t="s">
        <v>918</v>
      </c>
      <c r="S4775">
        <v>37</v>
      </c>
      <c r="T4775" s="29" t="str">
        <f t="shared" si="216"/>
        <v>2021.010B.R.Binomial_names.zip</v>
      </c>
      <c r="U4775" s="29" t="str">
        <f>HYPERLINK("https://ictv.global/taxonomy/taxondetails?taxnode_id=202301304","ictv.global=202301304")</f>
        <v>ictv.global=202301304</v>
      </c>
    </row>
    <row r="4776" spans="1:21">
      <c r="A4776">
        <v>4775</v>
      </c>
      <c r="B4776" s="30" t="s">
        <v>1587</v>
      </c>
      <c r="D4776" s="30" t="s">
        <v>1588</v>
      </c>
      <c r="F4776" s="30" t="s">
        <v>1591</v>
      </c>
      <c r="H4776" s="30" t="s">
        <v>1592</v>
      </c>
      <c r="N4776" s="30" t="s">
        <v>702</v>
      </c>
      <c r="P4776" s="30" t="s">
        <v>8277</v>
      </c>
      <c r="Q4776" t="s">
        <v>619</v>
      </c>
      <c r="R4776" t="s">
        <v>918</v>
      </c>
      <c r="S4776">
        <v>37</v>
      </c>
      <c r="T4776" s="29" t="str">
        <f t="shared" si="216"/>
        <v>2021.010B.R.Binomial_names.zip</v>
      </c>
      <c r="U4776" s="29" t="str">
        <f>HYPERLINK("https://ictv.global/taxonomy/taxondetails?taxnode_id=202301305","ictv.global=202301305")</f>
        <v>ictv.global=202301305</v>
      </c>
    </row>
    <row r="4777" spans="1:21">
      <c r="A4777">
        <v>4776</v>
      </c>
      <c r="B4777" s="30" t="s">
        <v>1587</v>
      </c>
      <c r="D4777" s="30" t="s">
        <v>1588</v>
      </c>
      <c r="F4777" s="30" t="s">
        <v>1591</v>
      </c>
      <c r="H4777" s="30" t="s">
        <v>1592</v>
      </c>
      <c r="N4777" s="30" t="s">
        <v>702</v>
      </c>
      <c r="P4777" s="30" t="s">
        <v>8278</v>
      </c>
      <c r="Q4777" t="s">
        <v>619</v>
      </c>
      <c r="R4777" t="s">
        <v>918</v>
      </c>
      <c r="S4777">
        <v>37</v>
      </c>
      <c r="T4777" s="29" t="str">
        <f t="shared" ref="T4777:T4782" si="217">HYPERLINK("https://ictv.global/ictv/proposals/2021.010B.R.Binomial_names.zip","2021.010B.R.Binomial_names.zip")</f>
        <v>2021.010B.R.Binomial_names.zip</v>
      </c>
      <c r="U4777" s="29" t="str">
        <f>HYPERLINK("https://ictv.global/taxonomy/taxondetails?taxnode_id=202301306","ictv.global=202301306")</f>
        <v>ictv.global=202301306</v>
      </c>
    </row>
    <row r="4778" spans="1:21">
      <c r="A4778">
        <v>4777</v>
      </c>
      <c r="B4778" s="30" t="s">
        <v>1587</v>
      </c>
      <c r="D4778" s="30" t="s">
        <v>1588</v>
      </c>
      <c r="F4778" s="30" t="s">
        <v>1591</v>
      </c>
      <c r="H4778" s="30" t="s">
        <v>1592</v>
      </c>
      <c r="N4778" s="30" t="s">
        <v>702</v>
      </c>
      <c r="P4778" s="30" t="s">
        <v>8279</v>
      </c>
      <c r="Q4778" t="s">
        <v>619</v>
      </c>
      <c r="R4778" t="s">
        <v>918</v>
      </c>
      <c r="S4778">
        <v>37</v>
      </c>
      <c r="T4778" s="29" t="str">
        <f t="shared" si="217"/>
        <v>2021.010B.R.Binomial_names.zip</v>
      </c>
      <c r="U4778" s="29" t="str">
        <f>HYPERLINK("https://ictv.global/taxonomy/taxondetails?taxnode_id=202301307","ictv.global=202301307")</f>
        <v>ictv.global=202301307</v>
      </c>
    </row>
    <row r="4779" spans="1:21">
      <c r="A4779">
        <v>4778</v>
      </c>
      <c r="B4779" s="30" t="s">
        <v>1587</v>
      </c>
      <c r="D4779" s="30" t="s">
        <v>1588</v>
      </c>
      <c r="F4779" s="30" t="s">
        <v>1591</v>
      </c>
      <c r="H4779" s="30" t="s">
        <v>1592</v>
      </c>
      <c r="N4779" s="30" t="s">
        <v>2481</v>
      </c>
      <c r="P4779" s="30" t="s">
        <v>8280</v>
      </c>
      <c r="Q4779" t="s">
        <v>619</v>
      </c>
      <c r="R4779" t="s">
        <v>918</v>
      </c>
      <c r="S4779">
        <v>37</v>
      </c>
      <c r="T4779" s="29" t="str">
        <f t="shared" si="217"/>
        <v>2021.010B.R.Binomial_names.zip</v>
      </c>
      <c r="U4779" s="29" t="str">
        <f>HYPERLINK("https://ictv.global/taxonomy/taxondetails?taxnode_id=202311948","ictv.global=202311948")</f>
        <v>ictv.global=202311948</v>
      </c>
    </row>
    <row r="4780" spans="1:21">
      <c r="A4780">
        <v>4779</v>
      </c>
      <c r="B4780" s="30" t="s">
        <v>1587</v>
      </c>
      <c r="D4780" s="30" t="s">
        <v>1588</v>
      </c>
      <c r="F4780" s="30" t="s">
        <v>1591</v>
      </c>
      <c r="H4780" s="30" t="s">
        <v>1592</v>
      </c>
      <c r="N4780" s="30" t="s">
        <v>876</v>
      </c>
      <c r="P4780" s="30" t="s">
        <v>8281</v>
      </c>
      <c r="Q4780" t="s">
        <v>619</v>
      </c>
      <c r="R4780" t="s">
        <v>918</v>
      </c>
      <c r="S4780">
        <v>37</v>
      </c>
      <c r="T4780" s="29" t="str">
        <f t="shared" si="217"/>
        <v>2021.010B.R.Binomial_names.zip</v>
      </c>
      <c r="U4780" s="29" t="str">
        <f>HYPERLINK("https://ictv.global/taxonomy/taxondetails?taxnode_id=202301309","ictv.global=202301309")</f>
        <v>ictv.global=202301309</v>
      </c>
    </row>
    <row r="4781" spans="1:21">
      <c r="A4781">
        <v>4780</v>
      </c>
      <c r="B4781" s="30" t="s">
        <v>1587</v>
      </c>
      <c r="D4781" s="30" t="s">
        <v>1588</v>
      </c>
      <c r="F4781" s="30" t="s">
        <v>1591</v>
      </c>
      <c r="H4781" s="30" t="s">
        <v>1592</v>
      </c>
      <c r="N4781" s="30" t="s">
        <v>876</v>
      </c>
      <c r="P4781" s="30" t="s">
        <v>8282</v>
      </c>
      <c r="Q4781" t="s">
        <v>619</v>
      </c>
      <c r="R4781" t="s">
        <v>918</v>
      </c>
      <c r="S4781">
        <v>37</v>
      </c>
      <c r="T4781" s="29" t="str">
        <f t="shared" si="217"/>
        <v>2021.010B.R.Binomial_names.zip</v>
      </c>
      <c r="U4781" s="29" t="str">
        <f>HYPERLINK("https://ictv.global/taxonomy/taxondetails?taxnode_id=202301310","ictv.global=202301310")</f>
        <v>ictv.global=202301310</v>
      </c>
    </row>
    <row r="4782" spans="1:21">
      <c r="A4782">
        <v>4781</v>
      </c>
      <c r="B4782" s="30" t="s">
        <v>1587</v>
      </c>
      <c r="D4782" s="30" t="s">
        <v>1588</v>
      </c>
      <c r="F4782" s="30" t="s">
        <v>1591</v>
      </c>
      <c r="H4782" s="30" t="s">
        <v>1592</v>
      </c>
      <c r="N4782" s="30" t="s">
        <v>876</v>
      </c>
      <c r="P4782" s="30" t="s">
        <v>8283</v>
      </c>
      <c r="Q4782" t="s">
        <v>619</v>
      </c>
      <c r="R4782" t="s">
        <v>918</v>
      </c>
      <c r="S4782">
        <v>37</v>
      </c>
      <c r="T4782" s="29" t="str">
        <f t="shared" si="217"/>
        <v>2021.010B.R.Binomial_names.zip</v>
      </c>
      <c r="U4782" s="29" t="str">
        <f>HYPERLINK("https://ictv.global/taxonomy/taxondetails?taxnode_id=202301312","ictv.global=202301312")</f>
        <v>ictv.global=202301312</v>
      </c>
    </row>
    <row r="4783" spans="1:21">
      <c r="A4783">
        <v>4782</v>
      </c>
      <c r="B4783" s="30" t="s">
        <v>1587</v>
      </c>
      <c r="D4783" s="30" t="s">
        <v>1588</v>
      </c>
      <c r="F4783" s="30" t="s">
        <v>1591</v>
      </c>
      <c r="H4783" s="30" t="s">
        <v>1592</v>
      </c>
      <c r="N4783" s="30" t="s">
        <v>8284</v>
      </c>
      <c r="P4783" s="30" t="s">
        <v>8285</v>
      </c>
      <c r="Q4783" t="s">
        <v>619</v>
      </c>
      <c r="R4783" t="s">
        <v>917</v>
      </c>
      <c r="S4783">
        <v>38</v>
      </c>
      <c r="T4783" s="29" t="str">
        <f>HYPERLINK("https://ictv.global/ictv/proposals/2022.083B.Snuvirus_ng.zip","2022.083B.Snuvirus_ng.zip")</f>
        <v>2022.083B.Snuvirus_ng.zip</v>
      </c>
      <c r="U4783" s="29" t="str">
        <f>HYPERLINK("https://ictv.global/taxonomy/taxondetails?taxnode_id=202314886","ictv.global=202314886")</f>
        <v>ictv.global=202314886</v>
      </c>
    </row>
    <row r="4784" spans="1:21">
      <c r="A4784">
        <v>4783</v>
      </c>
      <c r="B4784" s="30" t="s">
        <v>1587</v>
      </c>
      <c r="D4784" s="30" t="s">
        <v>1588</v>
      </c>
      <c r="F4784" s="30" t="s">
        <v>1591</v>
      </c>
      <c r="H4784" s="30" t="s">
        <v>1592</v>
      </c>
      <c r="N4784" s="30" t="s">
        <v>1943</v>
      </c>
      <c r="P4784" s="30" t="s">
        <v>8286</v>
      </c>
      <c r="Q4784" t="s">
        <v>619</v>
      </c>
      <c r="R4784" t="s">
        <v>918</v>
      </c>
      <c r="S4784">
        <v>37</v>
      </c>
      <c r="T4784" s="29" t="str">
        <f t="shared" ref="T4784:T4794" si="218">HYPERLINK("https://ictv.global/ictv/proposals/2021.010B.R.Binomial_names.zip","2021.010B.R.Binomial_names.zip")</f>
        <v>2021.010B.R.Binomial_names.zip</v>
      </c>
      <c r="U4784" s="29" t="str">
        <f>HYPERLINK("https://ictv.global/taxonomy/taxondetails?taxnode_id=202307699","ictv.global=202307699")</f>
        <v>ictv.global=202307699</v>
      </c>
    </row>
    <row r="4785" spans="1:21">
      <c r="A4785">
        <v>4784</v>
      </c>
      <c r="B4785" s="30" t="s">
        <v>1587</v>
      </c>
      <c r="D4785" s="30" t="s">
        <v>1588</v>
      </c>
      <c r="F4785" s="30" t="s">
        <v>1591</v>
      </c>
      <c r="H4785" s="30" t="s">
        <v>1592</v>
      </c>
      <c r="N4785" s="30" t="s">
        <v>1869</v>
      </c>
      <c r="P4785" s="30" t="s">
        <v>8287</v>
      </c>
      <c r="Q4785" t="s">
        <v>619</v>
      </c>
      <c r="R4785" t="s">
        <v>918</v>
      </c>
      <c r="S4785">
        <v>37</v>
      </c>
      <c r="T4785" s="29" t="str">
        <f t="shared" si="218"/>
        <v>2021.010B.R.Binomial_names.zip</v>
      </c>
      <c r="U4785" s="29" t="str">
        <f>HYPERLINK("https://ictv.global/taxonomy/taxondetails?taxnode_id=202307998","ictv.global=202307998")</f>
        <v>ictv.global=202307998</v>
      </c>
    </row>
    <row r="4786" spans="1:21">
      <c r="A4786">
        <v>4785</v>
      </c>
      <c r="B4786" s="30" t="s">
        <v>1587</v>
      </c>
      <c r="D4786" s="30" t="s">
        <v>1588</v>
      </c>
      <c r="F4786" s="30" t="s">
        <v>1591</v>
      </c>
      <c r="H4786" s="30" t="s">
        <v>1592</v>
      </c>
      <c r="N4786" s="30" t="s">
        <v>1869</v>
      </c>
      <c r="P4786" s="30" t="s">
        <v>8288</v>
      </c>
      <c r="Q4786" t="s">
        <v>619</v>
      </c>
      <c r="R4786" t="s">
        <v>918</v>
      </c>
      <c r="S4786">
        <v>37</v>
      </c>
      <c r="T4786" s="29" t="str">
        <f t="shared" si="218"/>
        <v>2021.010B.R.Binomial_names.zip</v>
      </c>
      <c r="U4786" s="29" t="str">
        <f>HYPERLINK("https://ictv.global/taxonomy/taxondetails?taxnode_id=202307997","ictv.global=202307997")</f>
        <v>ictv.global=202307997</v>
      </c>
    </row>
    <row r="4787" spans="1:21">
      <c r="A4787">
        <v>4786</v>
      </c>
      <c r="B4787" s="30" t="s">
        <v>1587</v>
      </c>
      <c r="D4787" s="30" t="s">
        <v>1588</v>
      </c>
      <c r="F4787" s="30" t="s">
        <v>1591</v>
      </c>
      <c r="H4787" s="30" t="s">
        <v>1592</v>
      </c>
      <c r="N4787" s="30" t="s">
        <v>877</v>
      </c>
      <c r="P4787" s="30" t="s">
        <v>8289</v>
      </c>
      <c r="Q4787" t="s">
        <v>619</v>
      </c>
      <c r="R4787" t="s">
        <v>918</v>
      </c>
      <c r="S4787">
        <v>37</v>
      </c>
      <c r="T4787" s="29" t="str">
        <f t="shared" si="218"/>
        <v>2021.010B.R.Binomial_names.zip</v>
      </c>
      <c r="U4787" s="29" t="str">
        <f>HYPERLINK("https://ictv.global/taxonomy/taxondetails?taxnode_id=202301314","ictv.global=202301314")</f>
        <v>ictv.global=202301314</v>
      </c>
    </row>
    <row r="4788" spans="1:21">
      <c r="A4788">
        <v>4787</v>
      </c>
      <c r="B4788" s="30" t="s">
        <v>1587</v>
      </c>
      <c r="D4788" s="30" t="s">
        <v>1588</v>
      </c>
      <c r="F4788" s="30" t="s">
        <v>1591</v>
      </c>
      <c r="H4788" s="30" t="s">
        <v>1592</v>
      </c>
      <c r="N4788" s="30" t="s">
        <v>877</v>
      </c>
      <c r="P4788" s="30" t="s">
        <v>8290</v>
      </c>
      <c r="Q4788" t="s">
        <v>619</v>
      </c>
      <c r="R4788" t="s">
        <v>918</v>
      </c>
      <c r="S4788">
        <v>37</v>
      </c>
      <c r="T4788" s="29" t="str">
        <f t="shared" si="218"/>
        <v>2021.010B.R.Binomial_names.zip</v>
      </c>
      <c r="U4788" s="29" t="str">
        <f>HYPERLINK("https://ictv.global/taxonomy/taxondetails?taxnode_id=202306886","ictv.global=202306886")</f>
        <v>ictv.global=202306886</v>
      </c>
    </row>
    <row r="4789" spans="1:21">
      <c r="A4789">
        <v>4788</v>
      </c>
      <c r="B4789" s="30" t="s">
        <v>1587</v>
      </c>
      <c r="D4789" s="30" t="s">
        <v>1588</v>
      </c>
      <c r="F4789" s="30" t="s">
        <v>1591</v>
      </c>
      <c r="H4789" s="30" t="s">
        <v>1592</v>
      </c>
      <c r="N4789" s="30" t="s">
        <v>877</v>
      </c>
      <c r="P4789" s="30" t="s">
        <v>8291</v>
      </c>
      <c r="Q4789" t="s">
        <v>619</v>
      </c>
      <c r="R4789" t="s">
        <v>918</v>
      </c>
      <c r="S4789">
        <v>37</v>
      </c>
      <c r="T4789" s="29" t="str">
        <f t="shared" si="218"/>
        <v>2021.010B.R.Binomial_names.zip</v>
      </c>
      <c r="U4789" s="29" t="str">
        <f>HYPERLINK("https://ictv.global/taxonomy/taxondetails?taxnode_id=202306885","ictv.global=202306885")</f>
        <v>ictv.global=202306885</v>
      </c>
    </row>
    <row r="4790" spans="1:21">
      <c r="A4790">
        <v>4789</v>
      </c>
      <c r="B4790" s="30" t="s">
        <v>1587</v>
      </c>
      <c r="D4790" s="30" t="s">
        <v>1588</v>
      </c>
      <c r="F4790" s="30" t="s">
        <v>1591</v>
      </c>
      <c r="H4790" s="30" t="s">
        <v>1592</v>
      </c>
      <c r="N4790" s="30" t="s">
        <v>1554</v>
      </c>
      <c r="P4790" s="30" t="s">
        <v>8292</v>
      </c>
      <c r="Q4790" t="s">
        <v>619</v>
      </c>
      <c r="R4790" t="s">
        <v>918</v>
      </c>
      <c r="S4790">
        <v>37</v>
      </c>
      <c r="T4790" s="29" t="str">
        <f t="shared" si="218"/>
        <v>2021.010B.R.Binomial_names.zip</v>
      </c>
      <c r="U4790" s="29" t="str">
        <f>HYPERLINK("https://ictv.global/taxonomy/taxondetails?taxnode_id=202306991","ictv.global=202306991")</f>
        <v>ictv.global=202306991</v>
      </c>
    </row>
    <row r="4791" spans="1:21">
      <c r="A4791">
        <v>4790</v>
      </c>
      <c r="B4791" s="30" t="s">
        <v>1587</v>
      </c>
      <c r="D4791" s="30" t="s">
        <v>1588</v>
      </c>
      <c r="F4791" s="30" t="s">
        <v>1591</v>
      </c>
      <c r="H4791" s="30" t="s">
        <v>1592</v>
      </c>
      <c r="N4791" s="30" t="s">
        <v>2482</v>
      </c>
      <c r="P4791" s="30" t="s">
        <v>8293</v>
      </c>
      <c r="Q4791" t="s">
        <v>619</v>
      </c>
      <c r="R4791" t="s">
        <v>918</v>
      </c>
      <c r="S4791">
        <v>37</v>
      </c>
      <c r="T4791" s="29" t="str">
        <f t="shared" si="218"/>
        <v>2021.010B.R.Binomial_names.zip</v>
      </c>
      <c r="U4791" s="29" t="str">
        <f>HYPERLINK("https://ictv.global/taxonomy/taxondetails?taxnode_id=202311950","ictv.global=202311950")</f>
        <v>ictv.global=202311950</v>
      </c>
    </row>
    <row r="4792" spans="1:21">
      <c r="A4792">
        <v>4791</v>
      </c>
      <c r="B4792" s="30" t="s">
        <v>1587</v>
      </c>
      <c r="D4792" s="30" t="s">
        <v>1588</v>
      </c>
      <c r="F4792" s="30" t="s">
        <v>1591</v>
      </c>
      <c r="H4792" s="30" t="s">
        <v>1592</v>
      </c>
      <c r="N4792" s="30" t="s">
        <v>2482</v>
      </c>
      <c r="P4792" s="30" t="s">
        <v>8294</v>
      </c>
      <c r="Q4792" t="s">
        <v>619</v>
      </c>
      <c r="R4792" t="s">
        <v>918</v>
      </c>
      <c r="S4792">
        <v>37</v>
      </c>
      <c r="T4792" s="29" t="str">
        <f t="shared" si="218"/>
        <v>2021.010B.R.Binomial_names.zip</v>
      </c>
      <c r="U4792" s="29" t="str">
        <f>HYPERLINK("https://ictv.global/taxonomy/taxondetails?taxnode_id=202311951","ictv.global=202311951")</f>
        <v>ictv.global=202311951</v>
      </c>
    </row>
    <row r="4793" spans="1:21">
      <c r="A4793">
        <v>4792</v>
      </c>
      <c r="B4793" s="30" t="s">
        <v>1587</v>
      </c>
      <c r="D4793" s="30" t="s">
        <v>1588</v>
      </c>
      <c r="F4793" s="30" t="s">
        <v>1591</v>
      </c>
      <c r="H4793" s="30" t="s">
        <v>1592</v>
      </c>
      <c r="N4793" s="30" t="s">
        <v>2482</v>
      </c>
      <c r="P4793" s="30" t="s">
        <v>8295</v>
      </c>
      <c r="Q4793" t="s">
        <v>619</v>
      </c>
      <c r="R4793" t="s">
        <v>918</v>
      </c>
      <c r="S4793">
        <v>37</v>
      </c>
      <c r="T4793" s="29" t="str">
        <f t="shared" si="218"/>
        <v>2021.010B.R.Binomial_names.zip</v>
      </c>
      <c r="U4793" s="29" t="str">
        <f>HYPERLINK("https://ictv.global/taxonomy/taxondetails?taxnode_id=202311952","ictv.global=202311952")</f>
        <v>ictv.global=202311952</v>
      </c>
    </row>
    <row r="4794" spans="1:21">
      <c r="A4794">
        <v>4793</v>
      </c>
      <c r="B4794" s="30" t="s">
        <v>1587</v>
      </c>
      <c r="D4794" s="30" t="s">
        <v>1588</v>
      </c>
      <c r="F4794" s="30" t="s">
        <v>1591</v>
      </c>
      <c r="H4794" s="30" t="s">
        <v>1592</v>
      </c>
      <c r="N4794" s="30" t="s">
        <v>2483</v>
      </c>
      <c r="P4794" s="30" t="s">
        <v>8296</v>
      </c>
      <c r="Q4794" t="s">
        <v>619</v>
      </c>
      <c r="R4794" t="s">
        <v>918</v>
      </c>
      <c r="S4794">
        <v>37</v>
      </c>
      <c r="T4794" s="29" t="str">
        <f t="shared" si="218"/>
        <v>2021.010B.R.Binomial_names.zip</v>
      </c>
      <c r="U4794" s="29" t="str">
        <f>HYPERLINK("https://ictv.global/taxonomy/taxondetails?taxnode_id=202311954","ictv.global=202311954")</f>
        <v>ictv.global=202311954</v>
      </c>
    </row>
    <row r="4795" spans="1:21">
      <c r="A4795">
        <v>4794</v>
      </c>
      <c r="B4795" s="30" t="s">
        <v>1587</v>
      </c>
      <c r="D4795" s="30" t="s">
        <v>1588</v>
      </c>
      <c r="F4795" s="30" t="s">
        <v>1591</v>
      </c>
      <c r="H4795" s="30" t="s">
        <v>1592</v>
      </c>
      <c r="N4795" s="30" t="s">
        <v>12699</v>
      </c>
      <c r="P4795" s="30" t="s">
        <v>12700</v>
      </c>
      <c r="Q4795" t="s">
        <v>619</v>
      </c>
      <c r="R4795" t="s">
        <v>917</v>
      </c>
      <c r="S4795">
        <v>39</v>
      </c>
      <c r="T4795" s="29" t="str">
        <f>HYPERLINK("https://ictv.global/ictv/proposals/2023.003B.Actinobacteriophage_singletons_25ng.zip","2023.003B.Actinobacteriophage_singletons_25ng.zip")</f>
        <v>2023.003B.Actinobacteriophage_singletons_25ng.zip</v>
      </c>
      <c r="U4795" s="29" t="str">
        <f>HYPERLINK("https://ictv.global/taxonomy/taxondetails?taxnode_id=202317770","ictv.global=202317770")</f>
        <v>ictv.global=202317770</v>
      </c>
    </row>
    <row r="4796" spans="1:21">
      <c r="A4796">
        <v>4795</v>
      </c>
      <c r="B4796" s="30" t="s">
        <v>1587</v>
      </c>
      <c r="D4796" s="30" t="s">
        <v>1588</v>
      </c>
      <c r="F4796" s="30" t="s">
        <v>1591</v>
      </c>
      <c r="H4796" s="30" t="s">
        <v>1592</v>
      </c>
      <c r="N4796" s="30" t="s">
        <v>703</v>
      </c>
      <c r="P4796" s="30" t="s">
        <v>8297</v>
      </c>
      <c r="Q4796" t="s">
        <v>619</v>
      </c>
      <c r="R4796" t="s">
        <v>918</v>
      </c>
      <c r="S4796">
        <v>37</v>
      </c>
      <c r="T4796" s="29" t="str">
        <f t="shared" ref="T4796:T4804" si="219">HYPERLINK("https://ictv.global/ictv/proposals/2021.010B.R.Binomial_names.zip","2021.010B.R.Binomial_names.zip")</f>
        <v>2021.010B.R.Binomial_names.zip</v>
      </c>
      <c r="U4796" s="29" t="str">
        <f>HYPERLINK("https://ictv.global/taxonomy/taxondetails?taxnode_id=202301316","ictv.global=202301316")</f>
        <v>ictv.global=202301316</v>
      </c>
    </row>
    <row r="4797" spans="1:21">
      <c r="A4797">
        <v>4796</v>
      </c>
      <c r="B4797" s="30" t="s">
        <v>1587</v>
      </c>
      <c r="D4797" s="30" t="s">
        <v>1588</v>
      </c>
      <c r="F4797" s="30" t="s">
        <v>1591</v>
      </c>
      <c r="H4797" s="30" t="s">
        <v>1592</v>
      </c>
      <c r="N4797" s="30" t="s">
        <v>2484</v>
      </c>
      <c r="P4797" s="30" t="s">
        <v>8298</v>
      </c>
      <c r="Q4797" t="s">
        <v>619</v>
      </c>
      <c r="R4797" t="s">
        <v>918</v>
      </c>
      <c r="S4797">
        <v>37</v>
      </c>
      <c r="T4797" s="29" t="str">
        <f t="shared" si="219"/>
        <v>2021.010B.R.Binomial_names.zip</v>
      </c>
      <c r="U4797" s="29" t="str">
        <f>HYPERLINK("https://ictv.global/taxonomy/taxondetails?taxnode_id=202311956","ictv.global=202311956")</f>
        <v>ictv.global=202311956</v>
      </c>
    </row>
    <row r="4798" spans="1:21">
      <c r="A4798">
        <v>4797</v>
      </c>
      <c r="B4798" s="30" t="s">
        <v>1587</v>
      </c>
      <c r="D4798" s="30" t="s">
        <v>1588</v>
      </c>
      <c r="F4798" s="30" t="s">
        <v>1591</v>
      </c>
      <c r="H4798" s="30" t="s">
        <v>1592</v>
      </c>
      <c r="N4798" s="30" t="s">
        <v>1944</v>
      </c>
      <c r="P4798" s="30" t="s">
        <v>8299</v>
      </c>
      <c r="Q4798" t="s">
        <v>619</v>
      </c>
      <c r="R4798" t="s">
        <v>918</v>
      </c>
      <c r="S4798">
        <v>37</v>
      </c>
      <c r="T4798" s="29" t="str">
        <f t="shared" si="219"/>
        <v>2021.010B.R.Binomial_names.zip</v>
      </c>
      <c r="U4798" s="29" t="str">
        <f>HYPERLINK("https://ictv.global/taxonomy/taxondetails?taxnode_id=202307703","ictv.global=202307703")</f>
        <v>ictv.global=202307703</v>
      </c>
    </row>
    <row r="4799" spans="1:21">
      <c r="A4799">
        <v>4798</v>
      </c>
      <c r="B4799" s="30" t="s">
        <v>1587</v>
      </c>
      <c r="D4799" s="30" t="s">
        <v>1588</v>
      </c>
      <c r="F4799" s="30" t="s">
        <v>1591</v>
      </c>
      <c r="H4799" s="30" t="s">
        <v>1592</v>
      </c>
      <c r="N4799" s="30" t="s">
        <v>1944</v>
      </c>
      <c r="P4799" s="30" t="s">
        <v>8300</v>
      </c>
      <c r="Q4799" t="s">
        <v>619</v>
      </c>
      <c r="R4799" t="s">
        <v>918</v>
      </c>
      <c r="S4799">
        <v>37</v>
      </c>
      <c r="T4799" s="29" t="str">
        <f t="shared" si="219"/>
        <v>2021.010B.R.Binomial_names.zip</v>
      </c>
      <c r="U4799" s="29" t="str">
        <f>HYPERLINK("https://ictv.global/taxonomy/taxondetails?taxnode_id=202307702","ictv.global=202307702")</f>
        <v>ictv.global=202307702</v>
      </c>
    </row>
    <row r="4800" spans="1:21">
      <c r="A4800">
        <v>4799</v>
      </c>
      <c r="B4800" s="30" t="s">
        <v>1587</v>
      </c>
      <c r="D4800" s="30" t="s">
        <v>1588</v>
      </c>
      <c r="F4800" s="30" t="s">
        <v>1591</v>
      </c>
      <c r="H4800" s="30" t="s">
        <v>1592</v>
      </c>
      <c r="N4800" s="30" t="s">
        <v>1555</v>
      </c>
      <c r="P4800" s="30" t="s">
        <v>8301</v>
      </c>
      <c r="Q4800" t="s">
        <v>619</v>
      </c>
      <c r="R4800" t="s">
        <v>918</v>
      </c>
      <c r="S4800">
        <v>37</v>
      </c>
      <c r="T4800" s="29" t="str">
        <f t="shared" si="219"/>
        <v>2021.010B.R.Binomial_names.zip</v>
      </c>
      <c r="U4800" s="29" t="str">
        <f>HYPERLINK("https://ictv.global/taxonomy/taxondetails?taxnode_id=202300965","ictv.global=202300965")</f>
        <v>ictv.global=202300965</v>
      </c>
    </row>
    <row r="4801" spans="1:21">
      <c r="A4801">
        <v>4800</v>
      </c>
      <c r="B4801" s="30" t="s">
        <v>1587</v>
      </c>
      <c r="D4801" s="30" t="s">
        <v>1588</v>
      </c>
      <c r="F4801" s="30" t="s">
        <v>1591</v>
      </c>
      <c r="H4801" s="30" t="s">
        <v>1592</v>
      </c>
      <c r="N4801" s="30" t="s">
        <v>1555</v>
      </c>
      <c r="P4801" s="30" t="s">
        <v>8302</v>
      </c>
      <c r="Q4801" t="s">
        <v>619</v>
      </c>
      <c r="R4801" t="s">
        <v>918</v>
      </c>
      <c r="S4801">
        <v>37</v>
      </c>
      <c r="T4801" s="29" t="str">
        <f t="shared" si="219"/>
        <v>2021.010B.R.Binomial_names.zip</v>
      </c>
      <c r="U4801" s="29" t="str">
        <f>HYPERLINK("https://ictv.global/taxonomy/taxondetails?taxnode_id=202300963","ictv.global=202300963")</f>
        <v>ictv.global=202300963</v>
      </c>
    </row>
    <row r="4802" spans="1:21">
      <c r="A4802">
        <v>4801</v>
      </c>
      <c r="B4802" s="30" t="s">
        <v>1587</v>
      </c>
      <c r="D4802" s="30" t="s">
        <v>1588</v>
      </c>
      <c r="F4802" s="30" t="s">
        <v>1591</v>
      </c>
      <c r="H4802" s="30" t="s">
        <v>1592</v>
      </c>
      <c r="N4802" s="30" t="s">
        <v>1555</v>
      </c>
      <c r="P4802" s="30" t="s">
        <v>8303</v>
      </c>
      <c r="Q4802" t="s">
        <v>619</v>
      </c>
      <c r="R4802" t="s">
        <v>918</v>
      </c>
      <c r="S4802">
        <v>37</v>
      </c>
      <c r="T4802" s="29" t="str">
        <f t="shared" si="219"/>
        <v>2021.010B.R.Binomial_names.zip</v>
      </c>
      <c r="U4802" s="29" t="str">
        <f>HYPERLINK("https://ictv.global/taxonomy/taxondetails?taxnode_id=202300964","ictv.global=202300964")</f>
        <v>ictv.global=202300964</v>
      </c>
    </row>
    <row r="4803" spans="1:21">
      <c r="A4803">
        <v>4802</v>
      </c>
      <c r="B4803" s="30" t="s">
        <v>1587</v>
      </c>
      <c r="D4803" s="30" t="s">
        <v>1588</v>
      </c>
      <c r="F4803" s="30" t="s">
        <v>1591</v>
      </c>
      <c r="H4803" s="30" t="s">
        <v>1592</v>
      </c>
      <c r="N4803" s="30" t="s">
        <v>1556</v>
      </c>
      <c r="P4803" s="30" t="s">
        <v>8304</v>
      </c>
      <c r="Q4803" t="s">
        <v>619</v>
      </c>
      <c r="R4803" t="s">
        <v>918</v>
      </c>
      <c r="S4803">
        <v>37</v>
      </c>
      <c r="T4803" s="29" t="str">
        <f t="shared" si="219"/>
        <v>2021.010B.R.Binomial_names.zip</v>
      </c>
      <c r="U4803" s="29" t="str">
        <f>HYPERLINK("https://ictv.global/taxonomy/taxondetails?taxnode_id=202300994","ictv.global=202300994")</f>
        <v>ictv.global=202300994</v>
      </c>
    </row>
    <row r="4804" spans="1:21">
      <c r="A4804">
        <v>4803</v>
      </c>
      <c r="B4804" s="30" t="s">
        <v>1587</v>
      </c>
      <c r="D4804" s="30" t="s">
        <v>1588</v>
      </c>
      <c r="F4804" s="30" t="s">
        <v>1591</v>
      </c>
      <c r="H4804" s="30" t="s">
        <v>1592</v>
      </c>
      <c r="N4804" s="30" t="s">
        <v>1556</v>
      </c>
      <c r="P4804" s="30" t="s">
        <v>8305</v>
      </c>
      <c r="Q4804" t="s">
        <v>619</v>
      </c>
      <c r="R4804" t="s">
        <v>918</v>
      </c>
      <c r="S4804">
        <v>37</v>
      </c>
      <c r="T4804" s="29" t="str">
        <f t="shared" si="219"/>
        <v>2021.010B.R.Binomial_names.zip</v>
      </c>
      <c r="U4804" s="29" t="str">
        <f>HYPERLINK("https://ictv.global/taxonomy/taxondetails?taxnode_id=202300993","ictv.global=202300993")</f>
        <v>ictv.global=202300993</v>
      </c>
    </row>
    <row r="4805" spans="1:21">
      <c r="A4805">
        <v>4804</v>
      </c>
      <c r="B4805" s="30" t="s">
        <v>1587</v>
      </c>
      <c r="D4805" s="30" t="s">
        <v>1588</v>
      </c>
      <c r="F4805" s="30" t="s">
        <v>1591</v>
      </c>
      <c r="H4805" s="30" t="s">
        <v>1592</v>
      </c>
      <c r="N4805" s="30" t="s">
        <v>8306</v>
      </c>
      <c r="P4805" s="30" t="s">
        <v>8307</v>
      </c>
      <c r="Q4805" t="s">
        <v>619</v>
      </c>
      <c r="R4805" t="s">
        <v>917</v>
      </c>
      <c r="S4805">
        <v>38</v>
      </c>
      <c r="T4805" s="29" t="str">
        <f>HYPERLINK("https://ictv.global/ictv/proposals/2022.086B.Stonewallvirus_ng.zip","2022.086B.Stonewallvirus_ng.zip")</f>
        <v>2022.086B.Stonewallvirus_ng.zip</v>
      </c>
      <c r="U4805" s="29" t="str">
        <f>HYPERLINK("https://ictv.global/taxonomy/taxondetails?taxnode_id=202314938","ictv.global=202314938")</f>
        <v>ictv.global=202314938</v>
      </c>
    </row>
    <row r="4806" spans="1:21">
      <c r="A4806">
        <v>4805</v>
      </c>
      <c r="B4806" s="30" t="s">
        <v>1587</v>
      </c>
      <c r="D4806" s="30" t="s">
        <v>1588</v>
      </c>
      <c r="F4806" s="30" t="s">
        <v>1591</v>
      </c>
      <c r="H4806" s="30" t="s">
        <v>1592</v>
      </c>
      <c r="N4806" s="30" t="s">
        <v>8308</v>
      </c>
      <c r="P4806" s="30" t="s">
        <v>8309</v>
      </c>
      <c r="Q4806" t="s">
        <v>619</v>
      </c>
      <c r="R4806" t="s">
        <v>917</v>
      </c>
      <c r="S4806">
        <v>37</v>
      </c>
      <c r="T4806" s="29" t="str">
        <f>HYPERLINK("https://ictv.global/ictv/proposals/2021.081B.R.Stormageddonvirus.zip","2021.081B.R.Stormageddonvirus.zip")</f>
        <v>2021.081B.R.Stormageddonvirus.zip</v>
      </c>
      <c r="U4806" s="29" t="str">
        <f>HYPERLINK("https://ictv.global/taxonomy/taxondetails?taxnode_id=202313664","ictv.global=202313664")</f>
        <v>ictv.global=202313664</v>
      </c>
    </row>
    <row r="4807" spans="1:21">
      <c r="A4807">
        <v>4806</v>
      </c>
      <c r="B4807" s="30" t="s">
        <v>1587</v>
      </c>
      <c r="D4807" s="30" t="s">
        <v>1588</v>
      </c>
      <c r="F4807" s="30" t="s">
        <v>1591</v>
      </c>
      <c r="H4807" s="30" t="s">
        <v>1592</v>
      </c>
      <c r="N4807" s="30" t="s">
        <v>12701</v>
      </c>
      <c r="P4807" s="30" t="s">
        <v>12702</v>
      </c>
      <c r="Q4807" t="s">
        <v>619</v>
      </c>
      <c r="R4807" t="s">
        <v>917</v>
      </c>
      <c r="S4807">
        <v>39</v>
      </c>
      <c r="T4807" s="29" t="str">
        <f>HYPERLINK("https://ictv.global/ictv/proposals/2023.003B.Actinobacteriophage_singletons_25ng.zip","2023.003B.Actinobacteriophage_singletons_25ng.zip")</f>
        <v>2023.003B.Actinobacteriophage_singletons_25ng.zip</v>
      </c>
      <c r="U4807" s="29" t="str">
        <f>HYPERLINK("https://ictv.global/taxonomy/taxondetails?taxnode_id=202317771","ictv.global=202317771")</f>
        <v>ictv.global=202317771</v>
      </c>
    </row>
    <row r="4808" spans="1:21">
      <c r="A4808">
        <v>4807</v>
      </c>
      <c r="B4808" s="30" t="s">
        <v>1587</v>
      </c>
      <c r="D4808" s="30" t="s">
        <v>1588</v>
      </c>
      <c r="F4808" s="30" t="s">
        <v>1591</v>
      </c>
      <c r="H4808" s="30" t="s">
        <v>1592</v>
      </c>
      <c r="N4808" s="30" t="s">
        <v>2487</v>
      </c>
      <c r="P4808" s="30" t="s">
        <v>8310</v>
      </c>
      <c r="Q4808" t="s">
        <v>619</v>
      </c>
      <c r="R4808" t="s">
        <v>918</v>
      </c>
      <c r="S4808">
        <v>37</v>
      </c>
      <c r="T4808" s="29" t="str">
        <f>HYPERLINK("https://ictv.global/ictv/proposals/2021.010B.R.Binomial_names.zip","2021.010B.R.Binomial_names.zip")</f>
        <v>2021.010B.R.Binomial_names.zip</v>
      </c>
      <c r="U4808" s="29" t="str">
        <f>HYPERLINK("https://ictv.global/taxonomy/taxondetails?taxnode_id=202310176","ictv.global=202310176")</f>
        <v>ictv.global=202310176</v>
      </c>
    </row>
    <row r="4809" spans="1:21">
      <c r="A4809">
        <v>4808</v>
      </c>
      <c r="B4809" s="30" t="s">
        <v>1587</v>
      </c>
      <c r="D4809" s="30" t="s">
        <v>1588</v>
      </c>
      <c r="F4809" s="30" t="s">
        <v>1591</v>
      </c>
      <c r="H4809" s="30" t="s">
        <v>1592</v>
      </c>
      <c r="N4809" s="30" t="s">
        <v>926</v>
      </c>
      <c r="P4809" s="30" t="s">
        <v>8311</v>
      </c>
      <c r="Q4809" t="s">
        <v>619</v>
      </c>
      <c r="R4809" t="s">
        <v>918</v>
      </c>
      <c r="S4809">
        <v>37</v>
      </c>
      <c r="T4809" s="29" t="str">
        <f>HYPERLINK("https://ictv.global/ictv/proposals/2021.010B.R.Binomial_names.zip","2021.010B.R.Binomial_names.zip")</f>
        <v>2021.010B.R.Binomial_names.zip</v>
      </c>
      <c r="U4809" s="29" t="str">
        <f>HYPERLINK("https://ictv.global/taxonomy/taxondetails?taxnode_id=202305486","ictv.global=202305486")</f>
        <v>ictv.global=202305486</v>
      </c>
    </row>
    <row r="4810" spans="1:21">
      <c r="A4810">
        <v>4809</v>
      </c>
      <c r="B4810" s="30" t="s">
        <v>1587</v>
      </c>
      <c r="D4810" s="30" t="s">
        <v>1588</v>
      </c>
      <c r="F4810" s="30" t="s">
        <v>1591</v>
      </c>
      <c r="H4810" s="30" t="s">
        <v>1592</v>
      </c>
      <c r="N4810" s="30" t="s">
        <v>926</v>
      </c>
      <c r="P4810" s="30" t="s">
        <v>8312</v>
      </c>
      <c r="Q4810" t="s">
        <v>619</v>
      </c>
      <c r="R4810" t="s">
        <v>918</v>
      </c>
      <c r="S4810">
        <v>37</v>
      </c>
      <c r="T4810" s="29" t="str">
        <f>HYPERLINK("https://ictv.global/ictv/proposals/2021.010B.R.Binomial_names.zip","2021.010B.R.Binomial_names.zip")</f>
        <v>2021.010B.R.Binomial_names.zip</v>
      </c>
      <c r="U4810" s="29" t="str">
        <f>HYPERLINK("https://ictv.global/taxonomy/taxondetails?taxnode_id=202305485","ictv.global=202305485")</f>
        <v>ictv.global=202305485</v>
      </c>
    </row>
    <row r="4811" spans="1:21">
      <c r="A4811">
        <v>4810</v>
      </c>
      <c r="B4811" s="30" t="s">
        <v>1587</v>
      </c>
      <c r="D4811" s="30" t="s">
        <v>1588</v>
      </c>
      <c r="F4811" s="30" t="s">
        <v>1591</v>
      </c>
      <c r="H4811" s="30" t="s">
        <v>1592</v>
      </c>
      <c r="N4811" s="30" t="s">
        <v>8313</v>
      </c>
      <c r="P4811" s="30" t="s">
        <v>8314</v>
      </c>
      <c r="Q4811" t="s">
        <v>619</v>
      </c>
      <c r="R4811" t="s">
        <v>917</v>
      </c>
      <c r="S4811">
        <v>37</v>
      </c>
      <c r="T4811" s="29" t="str">
        <f>HYPERLINK("https://ictv.global/ictv/proposals/2021.078B.R.Siphoviridae_new_genera.zip","2021.078B.R.Siphoviridae_new_genera.zip")</f>
        <v>2021.078B.R.Siphoviridae_new_genera.zip</v>
      </c>
      <c r="U4811" s="29" t="str">
        <f>HYPERLINK("https://ictv.global/taxonomy/taxondetails?taxnode_id=202313635","ictv.global=202313635")</f>
        <v>ictv.global=202313635</v>
      </c>
    </row>
    <row r="4812" spans="1:21">
      <c r="A4812">
        <v>4811</v>
      </c>
      <c r="B4812" s="30" t="s">
        <v>1587</v>
      </c>
      <c r="D4812" s="30" t="s">
        <v>1588</v>
      </c>
      <c r="F4812" s="30" t="s">
        <v>1591</v>
      </c>
      <c r="H4812" s="30" t="s">
        <v>1592</v>
      </c>
      <c r="N4812" s="30" t="s">
        <v>8315</v>
      </c>
      <c r="P4812" s="30" t="s">
        <v>8316</v>
      </c>
      <c r="Q4812" t="s">
        <v>619</v>
      </c>
      <c r="R4812" t="s">
        <v>917</v>
      </c>
      <c r="S4812">
        <v>38</v>
      </c>
      <c r="T4812" s="29" t="str">
        <f>HYPERLINK("https://ictv.global/ictv/proposals/2022.088B.Syrbvirus_ng.zip","2022.088B.Syrbvirus_ng.zip")</f>
        <v>2022.088B.Syrbvirus_ng.zip</v>
      </c>
      <c r="U4812" s="29" t="str">
        <f>HYPERLINK("https://ictv.global/taxonomy/taxondetails?taxnode_id=202314946","ictv.global=202314946")</f>
        <v>ictv.global=202314946</v>
      </c>
    </row>
    <row r="4813" spans="1:21">
      <c r="A4813">
        <v>4812</v>
      </c>
      <c r="B4813" s="30" t="s">
        <v>1587</v>
      </c>
      <c r="D4813" s="30" t="s">
        <v>1588</v>
      </c>
      <c r="F4813" s="30" t="s">
        <v>1591</v>
      </c>
      <c r="H4813" s="30" t="s">
        <v>1592</v>
      </c>
      <c r="N4813" s="30" t="s">
        <v>1438</v>
      </c>
      <c r="P4813" s="30" t="s">
        <v>8317</v>
      </c>
      <c r="Q4813" t="s">
        <v>619</v>
      </c>
      <c r="R4813" t="s">
        <v>918</v>
      </c>
      <c r="S4813">
        <v>37</v>
      </c>
      <c r="T4813" s="29" t="str">
        <f>HYPERLINK("https://ictv.global/ictv/proposals/2021.010B.R.Binomial_names.zip","2021.010B.R.Binomial_names.zip")</f>
        <v>2021.010B.R.Binomial_names.zip</v>
      </c>
      <c r="U4813" s="29" t="str">
        <f>HYPERLINK("https://ictv.global/taxonomy/taxondetails?taxnode_id=202306888","ictv.global=202306888")</f>
        <v>ictv.global=202306888</v>
      </c>
    </row>
    <row r="4814" spans="1:21">
      <c r="A4814">
        <v>4813</v>
      </c>
      <c r="B4814" s="30" t="s">
        <v>1587</v>
      </c>
      <c r="D4814" s="30" t="s">
        <v>1588</v>
      </c>
      <c r="F4814" s="30" t="s">
        <v>1591</v>
      </c>
      <c r="H4814" s="30" t="s">
        <v>1592</v>
      </c>
      <c r="N4814" s="30" t="s">
        <v>2488</v>
      </c>
      <c r="P4814" s="30" t="s">
        <v>8319</v>
      </c>
      <c r="Q4814" t="s">
        <v>619</v>
      </c>
      <c r="R4814" t="s">
        <v>918</v>
      </c>
      <c r="S4814">
        <v>37</v>
      </c>
      <c r="T4814" s="29" t="str">
        <f>HYPERLINK("https://ictv.global/ictv/proposals/2021.010B.R.Binomial_names.zip","2021.010B.R.Binomial_names.zip")</f>
        <v>2021.010B.R.Binomial_names.zip</v>
      </c>
      <c r="U4814" s="29" t="str">
        <f>HYPERLINK("https://ictv.global/taxonomy/taxondetails?taxnode_id=202311965","ictv.global=202311965")</f>
        <v>ictv.global=202311965</v>
      </c>
    </row>
    <row r="4815" spans="1:21">
      <c r="A4815">
        <v>4814</v>
      </c>
      <c r="B4815" s="30" t="s">
        <v>1587</v>
      </c>
      <c r="D4815" s="30" t="s">
        <v>1588</v>
      </c>
      <c r="F4815" s="30" t="s">
        <v>1591</v>
      </c>
      <c r="H4815" s="30" t="s">
        <v>1592</v>
      </c>
      <c r="N4815" s="30" t="s">
        <v>878</v>
      </c>
      <c r="P4815" s="30" t="s">
        <v>8320</v>
      </c>
      <c r="Q4815" t="s">
        <v>619</v>
      </c>
      <c r="R4815" t="s">
        <v>918</v>
      </c>
      <c r="S4815">
        <v>37</v>
      </c>
      <c r="T4815" s="29" t="str">
        <f>HYPERLINK("https://ictv.global/ictv/proposals/2021.010B.R.Binomial_names.zip","2021.010B.R.Binomial_names.zip")</f>
        <v>2021.010B.R.Binomial_names.zip</v>
      </c>
      <c r="U4815" s="29" t="str">
        <f>HYPERLINK("https://ictv.global/taxonomy/taxondetails?taxnode_id=202301334","ictv.global=202301334")</f>
        <v>ictv.global=202301334</v>
      </c>
    </row>
    <row r="4816" spans="1:21">
      <c r="A4816">
        <v>4815</v>
      </c>
      <c r="B4816" s="30" t="s">
        <v>1587</v>
      </c>
      <c r="D4816" s="30" t="s">
        <v>1588</v>
      </c>
      <c r="F4816" s="30" t="s">
        <v>1591</v>
      </c>
      <c r="H4816" s="30" t="s">
        <v>1592</v>
      </c>
      <c r="N4816" s="30" t="s">
        <v>2489</v>
      </c>
      <c r="P4816" s="30" t="s">
        <v>8321</v>
      </c>
      <c r="Q4816" t="s">
        <v>619</v>
      </c>
      <c r="R4816" t="s">
        <v>918</v>
      </c>
      <c r="S4816">
        <v>37</v>
      </c>
      <c r="T4816" s="29" t="str">
        <f>HYPERLINK("https://ictv.global/ictv/proposals/2021.010B.R.Binomial_names.zip","2021.010B.R.Binomial_names.zip")</f>
        <v>2021.010B.R.Binomial_names.zip</v>
      </c>
      <c r="U4816" s="29" t="str">
        <f>HYPERLINK("https://ictv.global/taxonomy/taxondetails?taxnode_id=202310017","ictv.global=202310017")</f>
        <v>ictv.global=202310017</v>
      </c>
    </row>
    <row r="4817" spans="1:21">
      <c r="A4817">
        <v>4816</v>
      </c>
      <c r="B4817" s="30" t="s">
        <v>1587</v>
      </c>
      <c r="D4817" s="30" t="s">
        <v>1588</v>
      </c>
      <c r="F4817" s="30" t="s">
        <v>1591</v>
      </c>
      <c r="H4817" s="30" t="s">
        <v>1592</v>
      </c>
      <c r="N4817" s="30" t="s">
        <v>1852</v>
      </c>
      <c r="P4817" s="30" t="s">
        <v>8322</v>
      </c>
      <c r="Q4817" t="s">
        <v>619</v>
      </c>
      <c r="R4817" t="s">
        <v>918</v>
      </c>
      <c r="S4817">
        <v>37</v>
      </c>
      <c r="T4817" s="29" t="str">
        <f>HYPERLINK("https://ictv.global/ictv/proposals/2021.010B.R.Binomial_names.zip","2021.010B.R.Binomial_names.zip")</f>
        <v>2021.010B.R.Binomial_names.zip</v>
      </c>
      <c r="U4817" s="29" t="str">
        <f>HYPERLINK("https://ictv.global/taxonomy/taxondetails?taxnode_id=202308046","ictv.global=202308046")</f>
        <v>ictv.global=202308046</v>
      </c>
    </row>
    <row r="4818" spans="1:21">
      <c r="A4818">
        <v>4817</v>
      </c>
      <c r="B4818" s="30" t="s">
        <v>1587</v>
      </c>
      <c r="D4818" s="30" t="s">
        <v>1588</v>
      </c>
      <c r="F4818" s="30" t="s">
        <v>1591</v>
      </c>
      <c r="H4818" s="30" t="s">
        <v>1592</v>
      </c>
      <c r="N4818" s="30" t="s">
        <v>8323</v>
      </c>
      <c r="P4818" s="30" t="s">
        <v>8324</v>
      </c>
      <c r="Q4818" t="s">
        <v>619</v>
      </c>
      <c r="R4818" t="s">
        <v>917</v>
      </c>
      <c r="S4818">
        <v>38</v>
      </c>
      <c r="T4818" s="29" t="str">
        <f>HYPERLINK("https://ictv.global/ictv/proposals/2022.066B.Caudoviricetes_6ng.zip","2022.066B.Caudoviricetes_6ng.zip")</f>
        <v>2022.066B.Caudoviricetes_6ng.zip</v>
      </c>
      <c r="U4818" s="29" t="str">
        <f>HYPERLINK("https://ictv.global/taxonomy/taxondetails?taxnode_id=202314782","ictv.global=202314782")</f>
        <v>ictv.global=202314782</v>
      </c>
    </row>
    <row r="4819" spans="1:21">
      <c r="A4819">
        <v>4818</v>
      </c>
      <c r="B4819" s="30" t="s">
        <v>1587</v>
      </c>
      <c r="D4819" s="30" t="s">
        <v>1588</v>
      </c>
      <c r="F4819" s="30" t="s">
        <v>1591</v>
      </c>
      <c r="H4819" s="30" t="s">
        <v>1592</v>
      </c>
      <c r="N4819" s="30" t="s">
        <v>1945</v>
      </c>
      <c r="P4819" s="30" t="s">
        <v>8325</v>
      </c>
      <c r="Q4819" t="s">
        <v>619</v>
      </c>
      <c r="R4819" t="s">
        <v>918</v>
      </c>
      <c r="S4819">
        <v>37</v>
      </c>
      <c r="T4819" s="29" t="str">
        <f t="shared" ref="T4819:T4825" si="220">HYPERLINK("https://ictv.global/ictv/proposals/2021.010B.R.Binomial_names.zip","2021.010B.R.Binomial_names.zip")</f>
        <v>2021.010B.R.Binomial_names.zip</v>
      </c>
      <c r="U4819" s="29" t="str">
        <f>HYPERLINK("https://ictv.global/taxonomy/taxondetails?taxnode_id=202307706","ictv.global=202307706")</f>
        <v>ictv.global=202307706</v>
      </c>
    </row>
    <row r="4820" spans="1:21">
      <c r="A4820">
        <v>4819</v>
      </c>
      <c r="B4820" s="30" t="s">
        <v>1587</v>
      </c>
      <c r="D4820" s="30" t="s">
        <v>1588</v>
      </c>
      <c r="F4820" s="30" t="s">
        <v>1591</v>
      </c>
      <c r="H4820" s="30" t="s">
        <v>1592</v>
      </c>
      <c r="N4820" s="30" t="s">
        <v>1945</v>
      </c>
      <c r="P4820" s="30" t="s">
        <v>8326</v>
      </c>
      <c r="Q4820" t="s">
        <v>619</v>
      </c>
      <c r="R4820" t="s">
        <v>918</v>
      </c>
      <c r="S4820">
        <v>37</v>
      </c>
      <c r="T4820" s="29" t="str">
        <f t="shared" si="220"/>
        <v>2021.010B.R.Binomial_names.zip</v>
      </c>
      <c r="U4820" s="29" t="str">
        <f>HYPERLINK("https://ictv.global/taxonomy/taxondetails?taxnode_id=202307705","ictv.global=202307705")</f>
        <v>ictv.global=202307705</v>
      </c>
    </row>
    <row r="4821" spans="1:21">
      <c r="A4821">
        <v>4820</v>
      </c>
      <c r="B4821" s="30" t="s">
        <v>1587</v>
      </c>
      <c r="D4821" s="30" t="s">
        <v>1588</v>
      </c>
      <c r="F4821" s="30" t="s">
        <v>1591</v>
      </c>
      <c r="H4821" s="30" t="s">
        <v>1592</v>
      </c>
      <c r="N4821" s="30" t="s">
        <v>2490</v>
      </c>
      <c r="P4821" s="30" t="s">
        <v>8327</v>
      </c>
      <c r="Q4821" t="s">
        <v>619</v>
      </c>
      <c r="R4821" t="s">
        <v>918</v>
      </c>
      <c r="S4821">
        <v>37</v>
      </c>
      <c r="T4821" s="29" t="str">
        <f t="shared" si="220"/>
        <v>2021.010B.R.Binomial_names.zip</v>
      </c>
      <c r="U4821" s="29" t="str">
        <f>HYPERLINK("https://ictv.global/taxonomy/taxondetails?taxnode_id=202312022","ictv.global=202312022")</f>
        <v>ictv.global=202312022</v>
      </c>
    </row>
    <row r="4822" spans="1:21">
      <c r="A4822">
        <v>4821</v>
      </c>
      <c r="B4822" s="30" t="s">
        <v>1587</v>
      </c>
      <c r="D4822" s="30" t="s">
        <v>1588</v>
      </c>
      <c r="F4822" s="30" t="s">
        <v>1591</v>
      </c>
      <c r="H4822" s="30" t="s">
        <v>1592</v>
      </c>
      <c r="N4822" s="30" t="s">
        <v>2490</v>
      </c>
      <c r="P4822" s="30" t="s">
        <v>8328</v>
      </c>
      <c r="Q4822" t="s">
        <v>619</v>
      </c>
      <c r="R4822" t="s">
        <v>918</v>
      </c>
      <c r="S4822">
        <v>37</v>
      </c>
      <c r="T4822" s="29" t="str">
        <f t="shared" si="220"/>
        <v>2021.010B.R.Binomial_names.zip</v>
      </c>
      <c r="U4822" s="29" t="str">
        <f>HYPERLINK("https://ictv.global/taxonomy/taxondetails?taxnode_id=202312021","ictv.global=202312021")</f>
        <v>ictv.global=202312021</v>
      </c>
    </row>
    <row r="4823" spans="1:21">
      <c r="A4823">
        <v>4822</v>
      </c>
      <c r="B4823" s="30" t="s">
        <v>1587</v>
      </c>
      <c r="D4823" s="30" t="s">
        <v>1588</v>
      </c>
      <c r="F4823" s="30" t="s">
        <v>1591</v>
      </c>
      <c r="H4823" s="30" t="s">
        <v>1592</v>
      </c>
      <c r="N4823" s="30" t="s">
        <v>2490</v>
      </c>
      <c r="P4823" s="30" t="s">
        <v>8329</v>
      </c>
      <c r="Q4823" t="s">
        <v>619</v>
      </c>
      <c r="R4823" t="s">
        <v>918</v>
      </c>
      <c r="S4823">
        <v>37</v>
      </c>
      <c r="T4823" s="29" t="str">
        <f t="shared" si="220"/>
        <v>2021.010B.R.Binomial_names.zip</v>
      </c>
      <c r="U4823" s="29" t="str">
        <f>HYPERLINK("https://ictv.global/taxonomy/taxondetails?taxnode_id=202312023","ictv.global=202312023")</f>
        <v>ictv.global=202312023</v>
      </c>
    </row>
    <row r="4824" spans="1:21">
      <c r="A4824">
        <v>4823</v>
      </c>
      <c r="B4824" s="30" t="s">
        <v>1587</v>
      </c>
      <c r="D4824" s="30" t="s">
        <v>1588</v>
      </c>
      <c r="F4824" s="30" t="s">
        <v>1591</v>
      </c>
      <c r="H4824" s="30" t="s">
        <v>1592</v>
      </c>
      <c r="N4824" s="30" t="s">
        <v>2490</v>
      </c>
      <c r="P4824" s="30" t="s">
        <v>8330</v>
      </c>
      <c r="Q4824" t="s">
        <v>619</v>
      </c>
      <c r="R4824" t="s">
        <v>918</v>
      </c>
      <c r="S4824">
        <v>37</v>
      </c>
      <c r="T4824" s="29" t="str">
        <f t="shared" si="220"/>
        <v>2021.010B.R.Binomial_names.zip</v>
      </c>
      <c r="U4824" s="29" t="str">
        <f>HYPERLINK("https://ictv.global/taxonomy/taxondetails?taxnode_id=202312024","ictv.global=202312024")</f>
        <v>ictv.global=202312024</v>
      </c>
    </row>
    <row r="4825" spans="1:21">
      <c r="A4825">
        <v>4824</v>
      </c>
      <c r="B4825" s="30" t="s">
        <v>1587</v>
      </c>
      <c r="D4825" s="30" t="s">
        <v>1588</v>
      </c>
      <c r="F4825" s="30" t="s">
        <v>1591</v>
      </c>
      <c r="H4825" s="30" t="s">
        <v>1592</v>
      </c>
      <c r="N4825" s="30" t="s">
        <v>2490</v>
      </c>
      <c r="P4825" s="30" t="s">
        <v>8331</v>
      </c>
      <c r="Q4825" t="s">
        <v>619</v>
      </c>
      <c r="R4825" t="s">
        <v>918</v>
      </c>
      <c r="S4825">
        <v>37</v>
      </c>
      <c r="T4825" s="29" t="str">
        <f t="shared" si="220"/>
        <v>2021.010B.R.Binomial_names.zip</v>
      </c>
      <c r="U4825" s="29" t="str">
        <f>HYPERLINK("https://ictv.global/taxonomy/taxondetails?taxnode_id=202312020","ictv.global=202312020")</f>
        <v>ictv.global=202312020</v>
      </c>
    </row>
    <row r="4826" spans="1:21">
      <c r="A4826">
        <v>4825</v>
      </c>
      <c r="B4826" s="30" t="s">
        <v>1587</v>
      </c>
      <c r="D4826" s="30" t="s">
        <v>1588</v>
      </c>
      <c r="F4826" s="30" t="s">
        <v>1591</v>
      </c>
      <c r="H4826" s="30" t="s">
        <v>1592</v>
      </c>
      <c r="N4826" s="30" t="s">
        <v>12703</v>
      </c>
      <c r="P4826" s="30" t="s">
        <v>12704</v>
      </c>
      <c r="Q4826" t="s">
        <v>619</v>
      </c>
      <c r="R4826" t="s">
        <v>917</v>
      </c>
      <c r="S4826">
        <v>39</v>
      </c>
      <c r="T4826" s="29" t="str">
        <f>HYPERLINK("https://ictv.global/ictv/proposals/2023.008B.Athenavirus_Theosmithvirus_2ng.zip","2023.008B.Athenavirus_Theosmithvirus_2ng.zip")</f>
        <v>2023.008B.Athenavirus_Theosmithvirus_2ng.zip</v>
      </c>
      <c r="U4826" s="29" t="str">
        <f>HYPERLINK("https://ictv.global/taxonomy/taxondetails?taxnode_id=202317872","ictv.global=202317872")</f>
        <v>ictv.global=202317872</v>
      </c>
    </row>
    <row r="4827" spans="1:21">
      <c r="A4827">
        <v>4826</v>
      </c>
      <c r="B4827" s="30" t="s">
        <v>1587</v>
      </c>
      <c r="D4827" s="30" t="s">
        <v>1588</v>
      </c>
      <c r="F4827" s="30" t="s">
        <v>1591</v>
      </c>
      <c r="H4827" s="30" t="s">
        <v>1592</v>
      </c>
      <c r="N4827" s="30" t="s">
        <v>12705</v>
      </c>
      <c r="P4827" s="30" t="s">
        <v>12706</v>
      </c>
      <c r="Q4827" t="s">
        <v>619</v>
      </c>
      <c r="R4827" t="s">
        <v>917</v>
      </c>
      <c r="S4827">
        <v>39</v>
      </c>
      <c r="T4827" s="29" t="str">
        <f>HYPERLINK("https://ictv.global/ictv/proposals/2023.049B.Caudoviricetes_Enterococcus_6ng.zip","2023.049B.Caudoviricetes_Enterococcus_6ng.zip")</f>
        <v>2023.049B.Caudoviricetes_Enterococcus_6ng.zip</v>
      </c>
      <c r="U4827" s="29" t="str">
        <f>HYPERLINK("https://ictv.global/taxonomy/taxondetails?taxnode_id=202319215","ictv.global=202319215")</f>
        <v>ictv.global=202319215</v>
      </c>
    </row>
    <row r="4828" spans="1:21">
      <c r="A4828">
        <v>4827</v>
      </c>
      <c r="B4828" s="30" t="s">
        <v>1587</v>
      </c>
      <c r="D4828" s="30" t="s">
        <v>1588</v>
      </c>
      <c r="F4828" s="30" t="s">
        <v>1591</v>
      </c>
      <c r="H4828" s="30" t="s">
        <v>1592</v>
      </c>
      <c r="N4828" s="30" t="s">
        <v>1391</v>
      </c>
      <c r="P4828" s="30" t="s">
        <v>8332</v>
      </c>
      <c r="Q4828" t="s">
        <v>619</v>
      </c>
      <c r="R4828" t="s">
        <v>918</v>
      </c>
      <c r="S4828">
        <v>37</v>
      </c>
      <c r="T4828" s="29" t="str">
        <f>HYPERLINK("https://ictv.global/ictv/proposals/2021.010B.R.Binomial_names.zip","2021.010B.R.Binomial_names.zip")</f>
        <v>2021.010B.R.Binomial_names.zip</v>
      </c>
      <c r="U4828" s="29" t="str">
        <f>HYPERLINK("https://ictv.global/taxonomy/taxondetails?taxnode_id=202306890","ictv.global=202306890")</f>
        <v>ictv.global=202306890</v>
      </c>
    </row>
    <row r="4829" spans="1:21">
      <c r="A4829">
        <v>4828</v>
      </c>
      <c r="B4829" s="30" t="s">
        <v>1587</v>
      </c>
      <c r="D4829" s="30" t="s">
        <v>1588</v>
      </c>
      <c r="F4829" s="30" t="s">
        <v>1591</v>
      </c>
      <c r="H4829" s="30" t="s">
        <v>1592</v>
      </c>
      <c r="N4829" s="30" t="s">
        <v>8333</v>
      </c>
      <c r="P4829" s="30" t="s">
        <v>8334</v>
      </c>
      <c r="Q4829" t="s">
        <v>619</v>
      </c>
      <c r="R4829" t="s">
        <v>917</v>
      </c>
      <c r="S4829">
        <v>38</v>
      </c>
      <c r="T4829" s="29" t="str">
        <f>HYPERLINK("https://ictv.global/ictv/proposals/2022.089B.Caudoviricetes_3ng_vibrio.zip","2022.089B.Caudoviricetes_3ng_vibrio.zip")</f>
        <v>2022.089B.Caudoviricetes_3ng_vibrio.zip</v>
      </c>
      <c r="U4829" s="29" t="str">
        <f>HYPERLINK("https://ictv.global/taxonomy/taxondetails?taxnode_id=202314952","ictv.global=202314952")</f>
        <v>ictv.global=202314952</v>
      </c>
    </row>
    <row r="4830" spans="1:21">
      <c r="A4830">
        <v>4829</v>
      </c>
      <c r="B4830" s="30" t="s">
        <v>1587</v>
      </c>
      <c r="D4830" s="30" t="s">
        <v>1588</v>
      </c>
      <c r="F4830" s="30" t="s">
        <v>1591</v>
      </c>
      <c r="H4830" s="30" t="s">
        <v>1592</v>
      </c>
      <c r="N4830" s="30" t="s">
        <v>1946</v>
      </c>
      <c r="P4830" s="30" t="s">
        <v>8335</v>
      </c>
      <c r="Q4830" t="s">
        <v>619</v>
      </c>
      <c r="R4830" t="s">
        <v>918</v>
      </c>
      <c r="S4830">
        <v>37</v>
      </c>
      <c r="T4830" s="29" t="str">
        <f>HYPERLINK("https://ictv.global/ictv/proposals/2021.010B.R.Binomial_names.zip","2021.010B.R.Binomial_names.zip")</f>
        <v>2021.010B.R.Binomial_names.zip</v>
      </c>
      <c r="U4830" s="29" t="str">
        <f>HYPERLINK("https://ictv.global/taxonomy/taxondetails?taxnode_id=202301187","ictv.global=202301187")</f>
        <v>ictv.global=202301187</v>
      </c>
    </row>
    <row r="4831" spans="1:21">
      <c r="A4831">
        <v>4830</v>
      </c>
      <c r="B4831" s="30" t="s">
        <v>1587</v>
      </c>
      <c r="D4831" s="30" t="s">
        <v>1588</v>
      </c>
      <c r="F4831" s="30" t="s">
        <v>1591</v>
      </c>
      <c r="H4831" s="30" t="s">
        <v>1592</v>
      </c>
      <c r="N4831" s="30" t="s">
        <v>1393</v>
      </c>
      <c r="P4831" s="30" t="s">
        <v>8336</v>
      </c>
      <c r="Q4831" t="s">
        <v>619</v>
      </c>
      <c r="R4831" t="s">
        <v>918</v>
      </c>
      <c r="S4831">
        <v>37</v>
      </c>
      <c r="T4831" s="29" t="str">
        <f>HYPERLINK("https://ictv.global/ictv/proposals/2021.010B.R.Binomial_names.zip","2021.010B.R.Binomial_names.zip")</f>
        <v>2021.010B.R.Binomial_names.zip</v>
      </c>
      <c r="U4831" s="29" t="str">
        <f>HYPERLINK("https://ictv.global/taxonomy/taxondetails?taxnode_id=202306787","ictv.global=202306787")</f>
        <v>ictv.global=202306787</v>
      </c>
    </row>
    <row r="4832" spans="1:21">
      <c r="A4832">
        <v>4831</v>
      </c>
      <c r="B4832" s="30" t="s">
        <v>1587</v>
      </c>
      <c r="D4832" s="30" t="s">
        <v>1588</v>
      </c>
      <c r="F4832" s="30" t="s">
        <v>1591</v>
      </c>
      <c r="H4832" s="30" t="s">
        <v>1592</v>
      </c>
      <c r="N4832" s="30" t="s">
        <v>8337</v>
      </c>
      <c r="P4832" s="30" t="s">
        <v>8338</v>
      </c>
      <c r="Q4832" t="s">
        <v>619</v>
      </c>
      <c r="R4832" t="s">
        <v>917</v>
      </c>
      <c r="S4832">
        <v>37</v>
      </c>
      <c r="T4832" s="29" t="str">
        <f>HYPERLINK("https://ictv.global/ictv/proposals/2021.083B.R.Timshelvirus.zip","2021.083B.R.Timshelvirus.zip")</f>
        <v>2021.083B.R.Timshelvirus.zip</v>
      </c>
      <c r="U4832" s="29" t="str">
        <f>HYPERLINK("https://ictv.global/taxonomy/taxondetails?taxnode_id=202312612","ictv.global=202312612")</f>
        <v>ictv.global=202312612</v>
      </c>
    </row>
    <row r="4833" spans="1:21">
      <c r="A4833">
        <v>4832</v>
      </c>
      <c r="B4833" s="30" t="s">
        <v>1587</v>
      </c>
      <c r="D4833" s="30" t="s">
        <v>1588</v>
      </c>
      <c r="F4833" s="30" t="s">
        <v>1591</v>
      </c>
      <c r="H4833" s="30" t="s">
        <v>1592</v>
      </c>
      <c r="N4833" s="30" t="s">
        <v>8337</v>
      </c>
      <c r="P4833" s="30" t="s">
        <v>8339</v>
      </c>
      <c r="Q4833" t="s">
        <v>619</v>
      </c>
      <c r="R4833" t="s">
        <v>917</v>
      </c>
      <c r="S4833">
        <v>37</v>
      </c>
      <c r="T4833" s="29" t="str">
        <f>HYPERLINK("https://ictv.global/ictv/proposals/2021.083B.R.Timshelvirus.zip","2021.083B.R.Timshelvirus.zip")</f>
        <v>2021.083B.R.Timshelvirus.zip</v>
      </c>
      <c r="U4833" s="29" t="str">
        <f>HYPERLINK("https://ictv.global/taxonomy/taxondetails?taxnode_id=202312611","ictv.global=202312611")</f>
        <v>ictv.global=202312611</v>
      </c>
    </row>
    <row r="4834" spans="1:21">
      <c r="A4834">
        <v>4833</v>
      </c>
      <c r="B4834" s="30" t="s">
        <v>1587</v>
      </c>
      <c r="D4834" s="30" t="s">
        <v>1588</v>
      </c>
      <c r="F4834" s="30" t="s">
        <v>1591</v>
      </c>
      <c r="H4834" s="30" t="s">
        <v>1592</v>
      </c>
      <c r="N4834" s="30" t="s">
        <v>8337</v>
      </c>
      <c r="P4834" s="30" t="s">
        <v>8340</v>
      </c>
      <c r="Q4834" t="s">
        <v>619</v>
      </c>
      <c r="R4834" t="s">
        <v>917</v>
      </c>
      <c r="S4834">
        <v>37</v>
      </c>
      <c r="T4834" s="29" t="str">
        <f>HYPERLINK("https://ictv.global/ictv/proposals/2021.083B.R.Timshelvirus.zip","2021.083B.R.Timshelvirus.zip")</f>
        <v>2021.083B.R.Timshelvirus.zip</v>
      </c>
      <c r="U4834" s="29" t="str">
        <f>HYPERLINK("https://ictv.global/taxonomy/taxondetails?taxnode_id=202312610","ictv.global=202312610")</f>
        <v>ictv.global=202312610</v>
      </c>
    </row>
    <row r="4835" spans="1:21">
      <c r="A4835">
        <v>4834</v>
      </c>
      <c r="B4835" s="30" t="s">
        <v>1587</v>
      </c>
      <c r="D4835" s="30" t="s">
        <v>1588</v>
      </c>
      <c r="F4835" s="30" t="s">
        <v>1591</v>
      </c>
      <c r="H4835" s="30" t="s">
        <v>1592</v>
      </c>
      <c r="N4835" s="30" t="s">
        <v>8337</v>
      </c>
      <c r="P4835" s="30" t="s">
        <v>8341</v>
      </c>
      <c r="Q4835" t="s">
        <v>619</v>
      </c>
      <c r="R4835" t="s">
        <v>918</v>
      </c>
      <c r="S4835">
        <v>37</v>
      </c>
      <c r="T4835" s="29" t="str">
        <f>HYPERLINK("https://ictv.global/ictv/proposals/2021.083B.R.Timshelvirus.zip","2021.083B.R.Timshelvirus.zip")</f>
        <v>2021.083B.R.Timshelvirus.zip</v>
      </c>
      <c r="U4835" s="29" t="str">
        <f>HYPERLINK("https://ictv.global/taxonomy/taxondetails?taxnode_id=202301062","ictv.global=202301062")</f>
        <v>ictv.global=202301062</v>
      </c>
    </row>
    <row r="4836" spans="1:21">
      <c r="A4836">
        <v>4835</v>
      </c>
      <c r="B4836" s="30" t="s">
        <v>1587</v>
      </c>
      <c r="D4836" s="30" t="s">
        <v>1588</v>
      </c>
      <c r="F4836" s="30" t="s">
        <v>1591</v>
      </c>
      <c r="H4836" s="30" t="s">
        <v>1592</v>
      </c>
      <c r="N4836" s="30" t="s">
        <v>1560</v>
      </c>
      <c r="P4836" s="30" t="s">
        <v>8342</v>
      </c>
      <c r="Q4836" t="s">
        <v>619</v>
      </c>
      <c r="R4836" t="s">
        <v>918</v>
      </c>
      <c r="S4836">
        <v>37</v>
      </c>
      <c r="T4836" s="29" t="str">
        <f t="shared" ref="T4836:T4863" si="221">HYPERLINK("https://ictv.global/ictv/proposals/2021.010B.R.Binomial_names.zip","2021.010B.R.Binomial_names.zip")</f>
        <v>2021.010B.R.Binomial_names.zip</v>
      </c>
      <c r="U4836" s="29" t="str">
        <f>HYPERLINK("https://ictv.global/taxonomy/taxondetails?taxnode_id=202301336","ictv.global=202301336")</f>
        <v>ictv.global=202301336</v>
      </c>
    </row>
    <row r="4837" spans="1:21">
      <c r="A4837">
        <v>4836</v>
      </c>
      <c r="B4837" s="30" t="s">
        <v>1587</v>
      </c>
      <c r="D4837" s="30" t="s">
        <v>1588</v>
      </c>
      <c r="F4837" s="30" t="s">
        <v>1591</v>
      </c>
      <c r="H4837" s="30" t="s">
        <v>1592</v>
      </c>
      <c r="N4837" s="30" t="s">
        <v>1560</v>
      </c>
      <c r="P4837" s="30" t="s">
        <v>8343</v>
      </c>
      <c r="Q4837" t="s">
        <v>619</v>
      </c>
      <c r="R4837" t="s">
        <v>918</v>
      </c>
      <c r="S4837">
        <v>37</v>
      </c>
      <c r="T4837" s="29" t="str">
        <f t="shared" si="221"/>
        <v>2021.010B.R.Binomial_names.zip</v>
      </c>
      <c r="U4837" s="29" t="str">
        <f>HYPERLINK("https://ictv.global/taxonomy/taxondetails?taxnode_id=202301337","ictv.global=202301337")</f>
        <v>ictv.global=202301337</v>
      </c>
    </row>
    <row r="4838" spans="1:21">
      <c r="A4838">
        <v>4837</v>
      </c>
      <c r="B4838" s="30" t="s">
        <v>1587</v>
      </c>
      <c r="D4838" s="30" t="s">
        <v>1588</v>
      </c>
      <c r="F4838" s="30" t="s">
        <v>1591</v>
      </c>
      <c r="H4838" s="30" t="s">
        <v>1592</v>
      </c>
      <c r="N4838" s="30" t="s">
        <v>879</v>
      </c>
      <c r="P4838" s="30" t="s">
        <v>8344</v>
      </c>
      <c r="Q4838" t="s">
        <v>619</v>
      </c>
      <c r="R4838" t="s">
        <v>918</v>
      </c>
      <c r="S4838">
        <v>37</v>
      </c>
      <c r="T4838" s="29" t="str">
        <f t="shared" si="221"/>
        <v>2021.010B.R.Binomial_names.zip</v>
      </c>
      <c r="U4838" s="29" t="str">
        <f>HYPERLINK("https://ictv.global/taxonomy/taxondetails?taxnode_id=202301340","ictv.global=202301340")</f>
        <v>ictv.global=202301340</v>
      </c>
    </row>
    <row r="4839" spans="1:21">
      <c r="A4839">
        <v>4838</v>
      </c>
      <c r="B4839" s="30" t="s">
        <v>1587</v>
      </c>
      <c r="D4839" s="30" t="s">
        <v>1588</v>
      </c>
      <c r="F4839" s="30" t="s">
        <v>1591</v>
      </c>
      <c r="H4839" s="30" t="s">
        <v>1592</v>
      </c>
      <c r="N4839" s="30" t="s">
        <v>879</v>
      </c>
      <c r="P4839" s="30" t="s">
        <v>8345</v>
      </c>
      <c r="Q4839" t="s">
        <v>619</v>
      </c>
      <c r="R4839" t="s">
        <v>918</v>
      </c>
      <c r="S4839">
        <v>37</v>
      </c>
      <c r="T4839" s="29" t="str">
        <f t="shared" si="221"/>
        <v>2021.010B.R.Binomial_names.zip</v>
      </c>
      <c r="U4839" s="29" t="str">
        <f>HYPERLINK("https://ictv.global/taxonomy/taxondetails?taxnode_id=202301341","ictv.global=202301341")</f>
        <v>ictv.global=202301341</v>
      </c>
    </row>
    <row r="4840" spans="1:21">
      <c r="A4840">
        <v>4839</v>
      </c>
      <c r="B4840" s="30" t="s">
        <v>1587</v>
      </c>
      <c r="D4840" s="30" t="s">
        <v>1588</v>
      </c>
      <c r="F4840" s="30" t="s">
        <v>1591</v>
      </c>
      <c r="H4840" s="30" t="s">
        <v>1592</v>
      </c>
      <c r="N4840" s="30" t="s">
        <v>1856</v>
      </c>
      <c r="P4840" s="30" t="s">
        <v>8346</v>
      </c>
      <c r="Q4840" t="s">
        <v>619</v>
      </c>
      <c r="R4840" t="s">
        <v>918</v>
      </c>
      <c r="S4840">
        <v>37</v>
      </c>
      <c r="T4840" s="29" t="str">
        <f t="shared" si="221"/>
        <v>2021.010B.R.Binomial_names.zip</v>
      </c>
      <c r="U4840" s="29" t="str">
        <f>HYPERLINK("https://ictv.global/taxonomy/taxondetails?taxnode_id=202308050","ictv.global=202308050")</f>
        <v>ictv.global=202308050</v>
      </c>
    </row>
    <row r="4841" spans="1:21">
      <c r="A4841">
        <v>4840</v>
      </c>
      <c r="B4841" s="30" t="s">
        <v>1587</v>
      </c>
      <c r="D4841" s="30" t="s">
        <v>1588</v>
      </c>
      <c r="F4841" s="30" t="s">
        <v>1591</v>
      </c>
      <c r="H4841" s="30" t="s">
        <v>1592</v>
      </c>
      <c r="N4841" s="30" t="s">
        <v>705</v>
      </c>
      <c r="P4841" s="30" t="s">
        <v>8347</v>
      </c>
      <c r="Q4841" t="s">
        <v>619</v>
      </c>
      <c r="R4841" t="s">
        <v>918</v>
      </c>
      <c r="S4841">
        <v>37</v>
      </c>
      <c r="T4841" s="29" t="str">
        <f t="shared" si="221"/>
        <v>2021.010B.R.Binomial_names.zip</v>
      </c>
      <c r="U4841" s="29" t="str">
        <f>HYPERLINK("https://ictv.global/taxonomy/taxondetails?taxnode_id=202312050","ictv.global=202312050")</f>
        <v>ictv.global=202312050</v>
      </c>
    </row>
    <row r="4842" spans="1:21">
      <c r="A4842">
        <v>4841</v>
      </c>
      <c r="B4842" s="30" t="s">
        <v>1587</v>
      </c>
      <c r="D4842" s="30" t="s">
        <v>1588</v>
      </c>
      <c r="F4842" s="30" t="s">
        <v>1591</v>
      </c>
      <c r="H4842" s="30" t="s">
        <v>1592</v>
      </c>
      <c r="N4842" s="30" t="s">
        <v>705</v>
      </c>
      <c r="P4842" s="30" t="s">
        <v>8348</v>
      </c>
      <c r="Q4842" t="s">
        <v>619</v>
      </c>
      <c r="R4842" t="s">
        <v>918</v>
      </c>
      <c r="S4842">
        <v>37</v>
      </c>
      <c r="T4842" s="29" t="str">
        <f t="shared" si="221"/>
        <v>2021.010B.R.Binomial_names.zip</v>
      </c>
      <c r="U4842" s="29" t="str">
        <f>HYPERLINK("https://ictv.global/taxonomy/taxondetails?taxnode_id=202301359","ictv.global=202301359")</f>
        <v>ictv.global=202301359</v>
      </c>
    </row>
    <row r="4843" spans="1:21">
      <c r="A4843">
        <v>4842</v>
      </c>
      <c r="B4843" s="30" t="s">
        <v>1587</v>
      </c>
      <c r="D4843" s="30" t="s">
        <v>1588</v>
      </c>
      <c r="F4843" s="30" t="s">
        <v>1591</v>
      </c>
      <c r="H4843" s="30" t="s">
        <v>1592</v>
      </c>
      <c r="N4843" s="30" t="s">
        <v>705</v>
      </c>
      <c r="P4843" s="30" t="s">
        <v>8349</v>
      </c>
      <c r="Q4843" t="s">
        <v>619</v>
      </c>
      <c r="R4843" t="s">
        <v>918</v>
      </c>
      <c r="S4843">
        <v>37</v>
      </c>
      <c r="T4843" s="29" t="str">
        <f t="shared" si="221"/>
        <v>2021.010B.R.Binomial_names.zip</v>
      </c>
      <c r="U4843" s="29" t="str">
        <f>HYPERLINK("https://ictv.global/taxonomy/taxondetails?taxnode_id=202312040","ictv.global=202312040")</f>
        <v>ictv.global=202312040</v>
      </c>
    </row>
    <row r="4844" spans="1:21">
      <c r="A4844">
        <v>4843</v>
      </c>
      <c r="B4844" s="30" t="s">
        <v>1587</v>
      </c>
      <c r="D4844" s="30" t="s">
        <v>1588</v>
      </c>
      <c r="F4844" s="30" t="s">
        <v>1591</v>
      </c>
      <c r="H4844" s="30" t="s">
        <v>1592</v>
      </c>
      <c r="N4844" s="30" t="s">
        <v>705</v>
      </c>
      <c r="P4844" s="30" t="s">
        <v>8350</v>
      </c>
      <c r="Q4844" t="s">
        <v>619</v>
      </c>
      <c r="R4844" t="s">
        <v>918</v>
      </c>
      <c r="S4844">
        <v>37</v>
      </c>
      <c r="T4844" s="29" t="str">
        <f t="shared" si="221"/>
        <v>2021.010B.R.Binomial_names.zip</v>
      </c>
      <c r="U4844" s="29" t="str">
        <f>HYPERLINK("https://ictv.global/taxonomy/taxondetails?taxnode_id=202312044","ictv.global=202312044")</f>
        <v>ictv.global=202312044</v>
      </c>
    </row>
    <row r="4845" spans="1:21">
      <c r="A4845">
        <v>4844</v>
      </c>
      <c r="B4845" s="30" t="s">
        <v>1587</v>
      </c>
      <c r="D4845" s="30" t="s">
        <v>1588</v>
      </c>
      <c r="F4845" s="30" t="s">
        <v>1591</v>
      </c>
      <c r="H4845" s="30" t="s">
        <v>1592</v>
      </c>
      <c r="N4845" s="30" t="s">
        <v>705</v>
      </c>
      <c r="P4845" s="30" t="s">
        <v>8351</v>
      </c>
      <c r="Q4845" t="s">
        <v>619</v>
      </c>
      <c r="R4845" t="s">
        <v>918</v>
      </c>
      <c r="S4845">
        <v>37</v>
      </c>
      <c r="T4845" s="29" t="str">
        <f t="shared" si="221"/>
        <v>2021.010B.R.Binomial_names.zip</v>
      </c>
      <c r="U4845" s="29" t="str">
        <f>HYPERLINK("https://ictv.global/taxonomy/taxondetails?taxnode_id=202312037","ictv.global=202312037")</f>
        <v>ictv.global=202312037</v>
      </c>
    </row>
    <row r="4846" spans="1:21">
      <c r="A4846">
        <v>4845</v>
      </c>
      <c r="B4846" s="30" t="s">
        <v>1587</v>
      </c>
      <c r="D4846" s="30" t="s">
        <v>1588</v>
      </c>
      <c r="F4846" s="30" t="s">
        <v>1591</v>
      </c>
      <c r="H4846" s="30" t="s">
        <v>1592</v>
      </c>
      <c r="N4846" s="30" t="s">
        <v>705</v>
      </c>
      <c r="P4846" s="30" t="s">
        <v>8352</v>
      </c>
      <c r="Q4846" t="s">
        <v>619</v>
      </c>
      <c r="R4846" t="s">
        <v>918</v>
      </c>
      <c r="S4846">
        <v>37</v>
      </c>
      <c r="T4846" s="29" t="str">
        <f t="shared" si="221"/>
        <v>2021.010B.R.Binomial_names.zip</v>
      </c>
      <c r="U4846" s="29" t="str">
        <f>HYPERLINK("https://ictv.global/taxonomy/taxondetails?taxnode_id=202312047","ictv.global=202312047")</f>
        <v>ictv.global=202312047</v>
      </c>
    </row>
    <row r="4847" spans="1:21">
      <c r="A4847">
        <v>4846</v>
      </c>
      <c r="B4847" s="30" t="s">
        <v>1587</v>
      </c>
      <c r="D4847" s="30" t="s">
        <v>1588</v>
      </c>
      <c r="F4847" s="30" t="s">
        <v>1591</v>
      </c>
      <c r="H4847" s="30" t="s">
        <v>1592</v>
      </c>
      <c r="N4847" s="30" t="s">
        <v>705</v>
      </c>
      <c r="P4847" s="30" t="s">
        <v>8353</v>
      </c>
      <c r="Q4847" t="s">
        <v>619</v>
      </c>
      <c r="R4847" t="s">
        <v>918</v>
      </c>
      <c r="S4847">
        <v>37</v>
      </c>
      <c r="T4847" s="29" t="str">
        <f t="shared" si="221"/>
        <v>2021.010B.R.Binomial_names.zip</v>
      </c>
      <c r="U4847" s="29" t="str">
        <f>HYPERLINK("https://ictv.global/taxonomy/taxondetails?taxnode_id=202312046","ictv.global=202312046")</f>
        <v>ictv.global=202312046</v>
      </c>
    </row>
    <row r="4848" spans="1:21">
      <c r="A4848">
        <v>4847</v>
      </c>
      <c r="B4848" s="30" t="s">
        <v>1587</v>
      </c>
      <c r="D4848" s="30" t="s">
        <v>1588</v>
      </c>
      <c r="F4848" s="30" t="s">
        <v>1591</v>
      </c>
      <c r="H4848" s="30" t="s">
        <v>1592</v>
      </c>
      <c r="N4848" s="30" t="s">
        <v>705</v>
      </c>
      <c r="P4848" s="30" t="s">
        <v>8354</v>
      </c>
      <c r="Q4848" t="s">
        <v>619</v>
      </c>
      <c r="R4848" t="s">
        <v>918</v>
      </c>
      <c r="S4848">
        <v>37</v>
      </c>
      <c r="T4848" s="29" t="str">
        <f t="shared" si="221"/>
        <v>2021.010B.R.Binomial_names.zip</v>
      </c>
      <c r="U4848" s="29" t="str">
        <f>HYPERLINK("https://ictv.global/taxonomy/taxondetails?taxnode_id=202312038","ictv.global=202312038")</f>
        <v>ictv.global=202312038</v>
      </c>
    </row>
    <row r="4849" spans="1:21">
      <c r="A4849">
        <v>4848</v>
      </c>
      <c r="B4849" s="30" t="s">
        <v>1587</v>
      </c>
      <c r="D4849" s="30" t="s">
        <v>1588</v>
      </c>
      <c r="F4849" s="30" t="s">
        <v>1591</v>
      </c>
      <c r="H4849" s="30" t="s">
        <v>1592</v>
      </c>
      <c r="N4849" s="30" t="s">
        <v>705</v>
      </c>
      <c r="P4849" s="30" t="s">
        <v>8355</v>
      </c>
      <c r="Q4849" t="s">
        <v>619</v>
      </c>
      <c r="R4849" t="s">
        <v>918</v>
      </c>
      <c r="S4849">
        <v>37</v>
      </c>
      <c r="T4849" s="29" t="str">
        <f t="shared" si="221"/>
        <v>2021.010B.R.Binomial_names.zip</v>
      </c>
      <c r="U4849" s="29" t="str">
        <f>HYPERLINK("https://ictv.global/taxonomy/taxondetails?taxnode_id=202301361","ictv.global=202301361")</f>
        <v>ictv.global=202301361</v>
      </c>
    </row>
    <row r="4850" spans="1:21">
      <c r="A4850">
        <v>4849</v>
      </c>
      <c r="B4850" s="30" t="s">
        <v>1587</v>
      </c>
      <c r="D4850" s="30" t="s">
        <v>1588</v>
      </c>
      <c r="F4850" s="30" t="s">
        <v>1591</v>
      </c>
      <c r="H4850" s="30" t="s">
        <v>1592</v>
      </c>
      <c r="N4850" s="30" t="s">
        <v>705</v>
      </c>
      <c r="P4850" s="30" t="s">
        <v>8356</v>
      </c>
      <c r="Q4850" t="s">
        <v>619</v>
      </c>
      <c r="R4850" t="s">
        <v>918</v>
      </c>
      <c r="S4850">
        <v>37</v>
      </c>
      <c r="T4850" s="29" t="str">
        <f t="shared" si="221"/>
        <v>2021.010B.R.Binomial_names.zip</v>
      </c>
      <c r="U4850" s="29" t="str">
        <f>HYPERLINK("https://ictv.global/taxonomy/taxondetails?taxnode_id=202312041","ictv.global=202312041")</f>
        <v>ictv.global=202312041</v>
      </c>
    </row>
    <row r="4851" spans="1:21">
      <c r="A4851">
        <v>4850</v>
      </c>
      <c r="B4851" s="30" t="s">
        <v>1587</v>
      </c>
      <c r="D4851" s="30" t="s">
        <v>1588</v>
      </c>
      <c r="F4851" s="30" t="s">
        <v>1591</v>
      </c>
      <c r="H4851" s="30" t="s">
        <v>1592</v>
      </c>
      <c r="N4851" s="30" t="s">
        <v>705</v>
      </c>
      <c r="P4851" s="30" t="s">
        <v>8357</v>
      </c>
      <c r="Q4851" t="s">
        <v>619</v>
      </c>
      <c r="R4851" t="s">
        <v>918</v>
      </c>
      <c r="S4851">
        <v>37</v>
      </c>
      <c r="T4851" s="29" t="str">
        <f t="shared" si="221"/>
        <v>2021.010B.R.Binomial_names.zip</v>
      </c>
      <c r="U4851" s="29" t="str">
        <f>HYPERLINK("https://ictv.global/taxonomy/taxondetails?taxnode_id=202312051","ictv.global=202312051")</f>
        <v>ictv.global=202312051</v>
      </c>
    </row>
    <row r="4852" spans="1:21">
      <c r="A4852">
        <v>4851</v>
      </c>
      <c r="B4852" s="30" t="s">
        <v>1587</v>
      </c>
      <c r="D4852" s="30" t="s">
        <v>1588</v>
      </c>
      <c r="F4852" s="30" t="s">
        <v>1591</v>
      </c>
      <c r="H4852" s="30" t="s">
        <v>1592</v>
      </c>
      <c r="N4852" s="30" t="s">
        <v>705</v>
      </c>
      <c r="P4852" s="30" t="s">
        <v>8358</v>
      </c>
      <c r="Q4852" t="s">
        <v>619</v>
      </c>
      <c r="R4852" t="s">
        <v>918</v>
      </c>
      <c r="S4852">
        <v>37</v>
      </c>
      <c r="T4852" s="29" t="str">
        <f t="shared" si="221"/>
        <v>2021.010B.R.Binomial_names.zip</v>
      </c>
      <c r="U4852" s="29" t="str">
        <f>HYPERLINK("https://ictv.global/taxonomy/taxondetails?taxnode_id=202312045","ictv.global=202312045")</f>
        <v>ictv.global=202312045</v>
      </c>
    </row>
    <row r="4853" spans="1:21">
      <c r="A4853">
        <v>4852</v>
      </c>
      <c r="B4853" s="30" t="s">
        <v>1587</v>
      </c>
      <c r="D4853" s="30" t="s">
        <v>1588</v>
      </c>
      <c r="F4853" s="30" t="s">
        <v>1591</v>
      </c>
      <c r="H4853" s="30" t="s">
        <v>1592</v>
      </c>
      <c r="N4853" s="30" t="s">
        <v>705</v>
      </c>
      <c r="P4853" s="30" t="s">
        <v>8359</v>
      </c>
      <c r="Q4853" t="s">
        <v>619</v>
      </c>
      <c r="R4853" t="s">
        <v>918</v>
      </c>
      <c r="S4853">
        <v>37</v>
      </c>
      <c r="T4853" s="29" t="str">
        <f t="shared" si="221"/>
        <v>2021.010B.R.Binomial_names.zip</v>
      </c>
      <c r="U4853" s="29" t="str">
        <f>HYPERLINK("https://ictv.global/taxonomy/taxondetails?taxnode_id=202312042","ictv.global=202312042")</f>
        <v>ictv.global=202312042</v>
      </c>
    </row>
    <row r="4854" spans="1:21">
      <c r="A4854">
        <v>4853</v>
      </c>
      <c r="B4854" s="30" t="s">
        <v>1587</v>
      </c>
      <c r="D4854" s="30" t="s">
        <v>1588</v>
      </c>
      <c r="F4854" s="30" t="s">
        <v>1591</v>
      </c>
      <c r="H4854" s="30" t="s">
        <v>1592</v>
      </c>
      <c r="N4854" s="30" t="s">
        <v>705</v>
      </c>
      <c r="P4854" s="30" t="s">
        <v>8360</v>
      </c>
      <c r="Q4854" t="s">
        <v>619</v>
      </c>
      <c r="R4854" t="s">
        <v>918</v>
      </c>
      <c r="S4854">
        <v>37</v>
      </c>
      <c r="T4854" s="29" t="str">
        <f t="shared" si="221"/>
        <v>2021.010B.R.Binomial_names.zip</v>
      </c>
      <c r="U4854" s="29" t="str">
        <f>HYPERLINK("https://ictv.global/taxonomy/taxondetails?taxnode_id=202312039","ictv.global=202312039")</f>
        <v>ictv.global=202312039</v>
      </c>
    </row>
    <row r="4855" spans="1:21">
      <c r="A4855">
        <v>4854</v>
      </c>
      <c r="B4855" s="30" t="s">
        <v>1587</v>
      </c>
      <c r="D4855" s="30" t="s">
        <v>1588</v>
      </c>
      <c r="F4855" s="30" t="s">
        <v>1591</v>
      </c>
      <c r="H4855" s="30" t="s">
        <v>1592</v>
      </c>
      <c r="N4855" s="30" t="s">
        <v>705</v>
      </c>
      <c r="P4855" s="30" t="s">
        <v>8361</v>
      </c>
      <c r="Q4855" t="s">
        <v>619</v>
      </c>
      <c r="R4855" t="s">
        <v>918</v>
      </c>
      <c r="S4855">
        <v>37</v>
      </c>
      <c r="T4855" s="29" t="str">
        <f t="shared" si="221"/>
        <v>2021.010B.R.Binomial_names.zip</v>
      </c>
      <c r="U4855" s="29" t="str">
        <f>HYPERLINK("https://ictv.global/taxonomy/taxondetails?taxnode_id=202312035","ictv.global=202312035")</f>
        <v>ictv.global=202312035</v>
      </c>
    </row>
    <row r="4856" spans="1:21">
      <c r="A4856">
        <v>4855</v>
      </c>
      <c r="B4856" s="30" t="s">
        <v>1587</v>
      </c>
      <c r="D4856" s="30" t="s">
        <v>1588</v>
      </c>
      <c r="F4856" s="30" t="s">
        <v>1591</v>
      </c>
      <c r="H4856" s="30" t="s">
        <v>1592</v>
      </c>
      <c r="N4856" s="30" t="s">
        <v>705</v>
      </c>
      <c r="P4856" s="30" t="s">
        <v>8362</v>
      </c>
      <c r="Q4856" t="s">
        <v>619</v>
      </c>
      <c r="R4856" t="s">
        <v>918</v>
      </c>
      <c r="S4856">
        <v>37</v>
      </c>
      <c r="T4856" s="29" t="str">
        <f t="shared" si="221"/>
        <v>2021.010B.R.Binomial_names.zip</v>
      </c>
      <c r="U4856" s="29" t="str">
        <f>HYPERLINK("https://ictv.global/taxonomy/taxondetails?taxnode_id=202312049","ictv.global=202312049")</f>
        <v>ictv.global=202312049</v>
      </c>
    </row>
    <row r="4857" spans="1:21">
      <c r="A4857">
        <v>4856</v>
      </c>
      <c r="B4857" s="30" t="s">
        <v>1587</v>
      </c>
      <c r="D4857" s="30" t="s">
        <v>1588</v>
      </c>
      <c r="F4857" s="30" t="s">
        <v>1591</v>
      </c>
      <c r="H4857" s="30" t="s">
        <v>1592</v>
      </c>
      <c r="N4857" s="30" t="s">
        <v>705</v>
      </c>
      <c r="P4857" s="30" t="s">
        <v>8363</v>
      </c>
      <c r="Q4857" t="s">
        <v>619</v>
      </c>
      <c r="R4857" t="s">
        <v>918</v>
      </c>
      <c r="S4857">
        <v>37</v>
      </c>
      <c r="T4857" s="29" t="str">
        <f t="shared" si="221"/>
        <v>2021.010B.R.Binomial_names.zip</v>
      </c>
      <c r="U4857" s="29" t="str">
        <f>HYPERLINK("https://ictv.global/taxonomy/taxondetails?taxnode_id=202312036","ictv.global=202312036")</f>
        <v>ictv.global=202312036</v>
      </c>
    </row>
    <row r="4858" spans="1:21">
      <c r="A4858">
        <v>4857</v>
      </c>
      <c r="B4858" s="30" t="s">
        <v>1587</v>
      </c>
      <c r="D4858" s="30" t="s">
        <v>1588</v>
      </c>
      <c r="F4858" s="30" t="s">
        <v>1591</v>
      </c>
      <c r="H4858" s="30" t="s">
        <v>1592</v>
      </c>
      <c r="N4858" s="30" t="s">
        <v>705</v>
      </c>
      <c r="P4858" s="30" t="s">
        <v>8364</v>
      </c>
      <c r="Q4858" t="s">
        <v>619</v>
      </c>
      <c r="R4858" t="s">
        <v>918</v>
      </c>
      <c r="S4858">
        <v>37</v>
      </c>
      <c r="T4858" s="29" t="str">
        <f t="shared" si="221"/>
        <v>2021.010B.R.Binomial_names.zip</v>
      </c>
      <c r="U4858" s="29" t="str">
        <f>HYPERLINK("https://ictv.global/taxonomy/taxondetails?taxnode_id=202301360","ictv.global=202301360")</f>
        <v>ictv.global=202301360</v>
      </c>
    </row>
    <row r="4859" spans="1:21">
      <c r="A4859">
        <v>4858</v>
      </c>
      <c r="B4859" s="30" t="s">
        <v>1587</v>
      </c>
      <c r="D4859" s="30" t="s">
        <v>1588</v>
      </c>
      <c r="F4859" s="30" t="s">
        <v>1591</v>
      </c>
      <c r="H4859" s="30" t="s">
        <v>1592</v>
      </c>
      <c r="N4859" s="30" t="s">
        <v>705</v>
      </c>
      <c r="P4859" s="30" t="s">
        <v>8365</v>
      </c>
      <c r="Q4859" t="s">
        <v>619</v>
      </c>
      <c r="R4859" t="s">
        <v>918</v>
      </c>
      <c r="S4859">
        <v>37</v>
      </c>
      <c r="T4859" s="29" t="str">
        <f t="shared" si="221"/>
        <v>2021.010B.R.Binomial_names.zip</v>
      </c>
      <c r="U4859" s="29" t="str">
        <f>HYPERLINK("https://ictv.global/taxonomy/taxondetails?taxnode_id=202301356","ictv.global=202301356")</f>
        <v>ictv.global=202301356</v>
      </c>
    </row>
    <row r="4860" spans="1:21">
      <c r="A4860">
        <v>4859</v>
      </c>
      <c r="B4860" s="30" t="s">
        <v>1587</v>
      </c>
      <c r="D4860" s="30" t="s">
        <v>1588</v>
      </c>
      <c r="F4860" s="30" t="s">
        <v>1591</v>
      </c>
      <c r="H4860" s="30" t="s">
        <v>1592</v>
      </c>
      <c r="N4860" s="30" t="s">
        <v>705</v>
      </c>
      <c r="P4860" s="30" t="s">
        <v>8366</v>
      </c>
      <c r="Q4860" t="s">
        <v>619</v>
      </c>
      <c r="R4860" t="s">
        <v>918</v>
      </c>
      <c r="S4860">
        <v>37</v>
      </c>
      <c r="T4860" s="29" t="str">
        <f t="shared" si="221"/>
        <v>2021.010B.R.Binomial_names.zip</v>
      </c>
      <c r="U4860" s="29" t="str">
        <f>HYPERLINK("https://ictv.global/taxonomy/taxondetails?taxnode_id=202312048","ictv.global=202312048")</f>
        <v>ictv.global=202312048</v>
      </c>
    </row>
    <row r="4861" spans="1:21">
      <c r="A4861">
        <v>4860</v>
      </c>
      <c r="B4861" s="30" t="s">
        <v>1587</v>
      </c>
      <c r="D4861" s="30" t="s">
        <v>1588</v>
      </c>
      <c r="F4861" s="30" t="s">
        <v>1591</v>
      </c>
      <c r="H4861" s="30" t="s">
        <v>1592</v>
      </c>
      <c r="N4861" s="30" t="s">
        <v>705</v>
      </c>
      <c r="P4861" s="30" t="s">
        <v>8367</v>
      </c>
      <c r="Q4861" t="s">
        <v>619</v>
      </c>
      <c r="R4861" t="s">
        <v>918</v>
      </c>
      <c r="S4861">
        <v>37</v>
      </c>
      <c r="T4861" s="29" t="str">
        <f t="shared" si="221"/>
        <v>2021.010B.R.Binomial_names.zip</v>
      </c>
      <c r="U4861" s="29" t="str">
        <f>HYPERLINK("https://ictv.global/taxonomy/taxondetails?taxnode_id=202312043","ictv.global=202312043")</f>
        <v>ictv.global=202312043</v>
      </c>
    </row>
    <row r="4862" spans="1:21">
      <c r="A4862">
        <v>4861</v>
      </c>
      <c r="B4862" s="30" t="s">
        <v>1587</v>
      </c>
      <c r="D4862" s="30" t="s">
        <v>1588</v>
      </c>
      <c r="F4862" s="30" t="s">
        <v>1591</v>
      </c>
      <c r="H4862" s="30" t="s">
        <v>1592</v>
      </c>
      <c r="N4862" s="30" t="s">
        <v>705</v>
      </c>
      <c r="P4862" s="30" t="s">
        <v>8368</v>
      </c>
      <c r="Q4862" t="s">
        <v>619</v>
      </c>
      <c r="R4862" t="s">
        <v>918</v>
      </c>
      <c r="S4862">
        <v>37</v>
      </c>
      <c r="T4862" s="29" t="str">
        <f t="shared" si="221"/>
        <v>2021.010B.R.Binomial_names.zip</v>
      </c>
      <c r="U4862" s="29" t="str">
        <f>HYPERLINK("https://ictv.global/taxonomy/taxondetails?taxnode_id=202301357","ictv.global=202301357")</f>
        <v>ictv.global=202301357</v>
      </c>
    </row>
    <row r="4863" spans="1:21">
      <c r="A4863">
        <v>4862</v>
      </c>
      <c r="B4863" s="30" t="s">
        <v>1587</v>
      </c>
      <c r="D4863" s="30" t="s">
        <v>1588</v>
      </c>
      <c r="F4863" s="30" t="s">
        <v>1591</v>
      </c>
      <c r="H4863" s="30" t="s">
        <v>1592</v>
      </c>
      <c r="N4863" s="30" t="s">
        <v>705</v>
      </c>
      <c r="P4863" s="30" t="s">
        <v>8369</v>
      </c>
      <c r="Q4863" t="s">
        <v>619</v>
      </c>
      <c r="R4863" t="s">
        <v>918</v>
      </c>
      <c r="S4863">
        <v>37</v>
      </c>
      <c r="T4863" s="29" t="str">
        <f t="shared" si="221"/>
        <v>2021.010B.R.Binomial_names.zip</v>
      </c>
      <c r="U4863" s="29" t="str">
        <f>HYPERLINK("https://ictv.global/taxonomy/taxondetails?taxnode_id=202301358","ictv.global=202301358")</f>
        <v>ictv.global=202301358</v>
      </c>
    </row>
    <row r="4864" spans="1:21">
      <c r="A4864">
        <v>4863</v>
      </c>
      <c r="B4864" s="30" t="s">
        <v>1587</v>
      </c>
      <c r="D4864" s="30" t="s">
        <v>1588</v>
      </c>
      <c r="F4864" s="30" t="s">
        <v>1591</v>
      </c>
      <c r="H4864" s="30" t="s">
        <v>1592</v>
      </c>
      <c r="N4864" s="30" t="s">
        <v>941</v>
      </c>
      <c r="P4864" s="30" t="s">
        <v>8370</v>
      </c>
      <c r="Q4864" t="s">
        <v>619</v>
      </c>
      <c r="R4864" t="s">
        <v>918</v>
      </c>
      <c r="S4864">
        <v>37</v>
      </c>
      <c r="T4864" s="29" t="str">
        <f>HYPERLINK("https://ictv.global/ictv/proposals/2021.084B.R.Trigintaduovirus_new_species.zip","2021.084B.R.Trigintaduovirus_new_species.zip")</f>
        <v>2021.084B.R.Trigintaduovirus_new_species.zip</v>
      </c>
      <c r="U4864" s="29" t="str">
        <f>HYPERLINK("https://ictv.global/taxonomy/taxondetails?taxnode_id=202305565","ictv.global=202305565")</f>
        <v>ictv.global=202305565</v>
      </c>
    </row>
    <row r="4865" spans="1:21">
      <c r="A4865">
        <v>4864</v>
      </c>
      <c r="B4865" s="30" t="s">
        <v>1587</v>
      </c>
      <c r="D4865" s="30" t="s">
        <v>1588</v>
      </c>
      <c r="F4865" s="30" t="s">
        <v>1591</v>
      </c>
      <c r="H4865" s="30" t="s">
        <v>1592</v>
      </c>
      <c r="N4865" s="30" t="s">
        <v>941</v>
      </c>
      <c r="P4865" s="30" t="s">
        <v>8371</v>
      </c>
      <c r="Q4865" t="s">
        <v>619</v>
      </c>
      <c r="R4865" t="s">
        <v>917</v>
      </c>
      <c r="S4865">
        <v>37</v>
      </c>
      <c r="T4865" s="29" t="str">
        <f>HYPERLINK("https://ictv.global/ictv/proposals/2021.039B.R.Infilling.zip","2021.039B.R.Infilling.zip;2021.084B.A.v1.Trigintaduovirus_new_species.zip")</f>
        <v>2021.039B.R.Infilling.zip;2021.084B.A.v1.Trigintaduovirus_new_species.zip</v>
      </c>
      <c r="U4865" s="29" t="str">
        <f>HYPERLINK("https://ictv.global/taxonomy/taxondetails?taxnode_id=202312613","ictv.global=202312613")</f>
        <v>ictv.global=202312613</v>
      </c>
    </row>
    <row r="4866" spans="1:21">
      <c r="A4866">
        <v>4865</v>
      </c>
      <c r="B4866" s="30" t="s">
        <v>1587</v>
      </c>
      <c r="D4866" s="30" t="s">
        <v>1588</v>
      </c>
      <c r="F4866" s="30" t="s">
        <v>1591</v>
      </c>
      <c r="H4866" s="30" t="s">
        <v>1592</v>
      </c>
      <c r="N4866" s="30" t="s">
        <v>1563</v>
      </c>
      <c r="P4866" s="30" t="s">
        <v>8372</v>
      </c>
      <c r="Q4866" t="s">
        <v>619</v>
      </c>
      <c r="R4866" t="s">
        <v>918</v>
      </c>
      <c r="S4866">
        <v>37</v>
      </c>
      <c r="T4866" s="29" t="str">
        <f>HYPERLINK("https://ictv.global/ictv/proposals/2021.010B.R.Binomial_names.zip","2021.010B.R.Binomial_names.zip")</f>
        <v>2021.010B.R.Binomial_names.zip</v>
      </c>
      <c r="U4866" s="29" t="str">
        <f>HYPERLINK("https://ictv.global/taxonomy/taxondetails?taxnode_id=202306789","ictv.global=202306789")</f>
        <v>ictv.global=202306789</v>
      </c>
    </row>
    <row r="4867" spans="1:21">
      <c r="A4867">
        <v>4866</v>
      </c>
      <c r="B4867" s="30" t="s">
        <v>1587</v>
      </c>
      <c r="D4867" s="30" t="s">
        <v>1588</v>
      </c>
      <c r="F4867" s="30" t="s">
        <v>1591</v>
      </c>
      <c r="H4867" s="30" t="s">
        <v>1592</v>
      </c>
      <c r="N4867" s="30" t="s">
        <v>1947</v>
      </c>
      <c r="P4867" s="30" t="s">
        <v>8373</v>
      </c>
      <c r="Q4867" t="s">
        <v>619</v>
      </c>
      <c r="R4867" t="s">
        <v>918</v>
      </c>
      <c r="S4867">
        <v>37</v>
      </c>
      <c r="T4867" s="29" t="str">
        <f>HYPERLINK("https://ictv.global/ictv/proposals/2021.010B.R.Binomial_names.zip","2021.010B.R.Binomial_names.zip")</f>
        <v>2021.010B.R.Binomial_names.zip</v>
      </c>
      <c r="U4867" s="29" t="str">
        <f>HYPERLINK("https://ictv.global/taxonomy/taxondetails?taxnode_id=202307708","ictv.global=202307708")</f>
        <v>ictv.global=202307708</v>
      </c>
    </row>
    <row r="4868" spans="1:21">
      <c r="A4868">
        <v>4867</v>
      </c>
      <c r="B4868" s="30" t="s">
        <v>1587</v>
      </c>
      <c r="D4868" s="30" t="s">
        <v>1588</v>
      </c>
      <c r="F4868" s="30" t="s">
        <v>1591</v>
      </c>
      <c r="H4868" s="30" t="s">
        <v>1592</v>
      </c>
      <c r="N4868" s="30" t="s">
        <v>2495</v>
      </c>
      <c r="P4868" s="30" t="s">
        <v>8374</v>
      </c>
      <c r="Q4868" t="s">
        <v>619</v>
      </c>
      <c r="R4868" t="s">
        <v>918</v>
      </c>
      <c r="S4868">
        <v>37</v>
      </c>
      <c r="T4868" s="29" t="str">
        <f>HYPERLINK("https://ictv.global/ictv/proposals/2021.010B.R.Binomial_names.zip","2021.010B.R.Binomial_names.zip")</f>
        <v>2021.010B.R.Binomial_names.zip</v>
      </c>
      <c r="U4868" s="29" t="str">
        <f>HYPERLINK("https://ictv.global/taxonomy/taxondetails?taxnode_id=202312053","ictv.global=202312053")</f>
        <v>ictv.global=202312053</v>
      </c>
    </row>
    <row r="4869" spans="1:21">
      <c r="A4869">
        <v>4868</v>
      </c>
      <c r="B4869" s="30" t="s">
        <v>1587</v>
      </c>
      <c r="D4869" s="30" t="s">
        <v>1588</v>
      </c>
      <c r="F4869" s="30" t="s">
        <v>1591</v>
      </c>
      <c r="H4869" s="30" t="s">
        <v>1592</v>
      </c>
      <c r="N4869" s="30" t="s">
        <v>8375</v>
      </c>
      <c r="P4869" s="30" t="s">
        <v>8376</v>
      </c>
      <c r="Q4869" t="s">
        <v>619</v>
      </c>
      <c r="R4869" t="s">
        <v>917</v>
      </c>
      <c r="S4869">
        <v>37</v>
      </c>
      <c r="T4869" s="29" t="str">
        <f t="shared" ref="T4869:T4881" si="222">HYPERLINK("https://ictv.global/ictv/proposals/2021.086B.R.Turbidovirus.zip","2021.086B.R.Turbidovirus.zip")</f>
        <v>2021.086B.R.Turbidovirus.zip</v>
      </c>
      <c r="U4869" s="29" t="str">
        <f>HYPERLINK("https://ictv.global/taxonomy/taxondetails?taxnode_id=202312637","ictv.global=202312637")</f>
        <v>ictv.global=202312637</v>
      </c>
    </row>
    <row r="4870" spans="1:21">
      <c r="A4870">
        <v>4869</v>
      </c>
      <c r="B4870" s="30" t="s">
        <v>1587</v>
      </c>
      <c r="D4870" s="30" t="s">
        <v>1588</v>
      </c>
      <c r="F4870" s="30" t="s">
        <v>1591</v>
      </c>
      <c r="H4870" s="30" t="s">
        <v>1592</v>
      </c>
      <c r="N4870" s="30" t="s">
        <v>8375</v>
      </c>
      <c r="P4870" s="30" t="s">
        <v>8377</v>
      </c>
      <c r="Q4870" t="s">
        <v>619</v>
      </c>
      <c r="R4870" t="s">
        <v>917</v>
      </c>
      <c r="S4870">
        <v>37</v>
      </c>
      <c r="T4870" s="29" t="str">
        <f t="shared" si="222"/>
        <v>2021.086B.R.Turbidovirus.zip</v>
      </c>
      <c r="U4870" s="29" t="str">
        <f>HYPERLINK("https://ictv.global/taxonomy/taxondetails?taxnode_id=202312638","ictv.global=202312638")</f>
        <v>ictv.global=202312638</v>
      </c>
    </row>
    <row r="4871" spans="1:21">
      <c r="A4871">
        <v>4870</v>
      </c>
      <c r="B4871" s="30" t="s">
        <v>1587</v>
      </c>
      <c r="D4871" s="30" t="s">
        <v>1588</v>
      </c>
      <c r="F4871" s="30" t="s">
        <v>1591</v>
      </c>
      <c r="H4871" s="30" t="s">
        <v>1592</v>
      </c>
      <c r="N4871" s="30" t="s">
        <v>8375</v>
      </c>
      <c r="P4871" s="30" t="s">
        <v>8378</v>
      </c>
      <c r="Q4871" t="s">
        <v>619</v>
      </c>
      <c r="R4871" t="s">
        <v>917</v>
      </c>
      <c r="S4871">
        <v>37</v>
      </c>
      <c r="T4871" s="29" t="str">
        <f t="shared" si="222"/>
        <v>2021.086B.R.Turbidovirus.zip</v>
      </c>
      <c r="U4871" s="29" t="str">
        <f>HYPERLINK("https://ictv.global/taxonomy/taxondetails?taxnode_id=202312639","ictv.global=202312639")</f>
        <v>ictv.global=202312639</v>
      </c>
    </row>
    <row r="4872" spans="1:21">
      <c r="A4872">
        <v>4871</v>
      </c>
      <c r="B4872" s="30" t="s">
        <v>1587</v>
      </c>
      <c r="D4872" s="30" t="s">
        <v>1588</v>
      </c>
      <c r="F4872" s="30" t="s">
        <v>1591</v>
      </c>
      <c r="H4872" s="30" t="s">
        <v>1592</v>
      </c>
      <c r="N4872" s="30" t="s">
        <v>8375</v>
      </c>
      <c r="P4872" s="30" t="s">
        <v>8379</v>
      </c>
      <c r="Q4872" t="s">
        <v>619</v>
      </c>
      <c r="R4872" t="s">
        <v>917</v>
      </c>
      <c r="S4872">
        <v>37</v>
      </c>
      <c r="T4872" s="29" t="str">
        <f t="shared" si="222"/>
        <v>2021.086B.R.Turbidovirus.zip</v>
      </c>
      <c r="U4872" s="29" t="str">
        <f>HYPERLINK("https://ictv.global/taxonomy/taxondetails?taxnode_id=202312640","ictv.global=202312640")</f>
        <v>ictv.global=202312640</v>
      </c>
    </row>
    <row r="4873" spans="1:21">
      <c r="A4873">
        <v>4872</v>
      </c>
      <c r="B4873" s="30" t="s">
        <v>1587</v>
      </c>
      <c r="D4873" s="30" t="s">
        <v>1588</v>
      </c>
      <c r="F4873" s="30" t="s">
        <v>1591</v>
      </c>
      <c r="H4873" s="30" t="s">
        <v>1592</v>
      </c>
      <c r="N4873" s="30" t="s">
        <v>8375</v>
      </c>
      <c r="P4873" s="30" t="s">
        <v>8380</v>
      </c>
      <c r="Q4873" t="s">
        <v>619</v>
      </c>
      <c r="R4873" t="s">
        <v>917</v>
      </c>
      <c r="S4873">
        <v>37</v>
      </c>
      <c r="T4873" s="29" t="str">
        <f t="shared" si="222"/>
        <v>2021.086B.R.Turbidovirus.zip</v>
      </c>
      <c r="U4873" s="29" t="str">
        <f>HYPERLINK("https://ictv.global/taxonomy/taxondetails?taxnode_id=202312641","ictv.global=202312641")</f>
        <v>ictv.global=202312641</v>
      </c>
    </row>
    <row r="4874" spans="1:21">
      <c r="A4874">
        <v>4873</v>
      </c>
      <c r="B4874" s="30" t="s">
        <v>1587</v>
      </c>
      <c r="D4874" s="30" t="s">
        <v>1588</v>
      </c>
      <c r="F4874" s="30" t="s">
        <v>1591</v>
      </c>
      <c r="H4874" s="30" t="s">
        <v>1592</v>
      </c>
      <c r="N4874" s="30" t="s">
        <v>8375</v>
      </c>
      <c r="P4874" s="30" t="s">
        <v>8381</v>
      </c>
      <c r="Q4874" t="s">
        <v>619</v>
      </c>
      <c r="R4874" t="s">
        <v>917</v>
      </c>
      <c r="S4874">
        <v>37</v>
      </c>
      <c r="T4874" s="29" t="str">
        <f t="shared" si="222"/>
        <v>2021.086B.R.Turbidovirus.zip</v>
      </c>
      <c r="U4874" s="29" t="str">
        <f>HYPERLINK("https://ictv.global/taxonomy/taxondetails?taxnode_id=202312642","ictv.global=202312642")</f>
        <v>ictv.global=202312642</v>
      </c>
    </row>
    <row r="4875" spans="1:21">
      <c r="A4875">
        <v>4874</v>
      </c>
      <c r="B4875" s="30" t="s">
        <v>1587</v>
      </c>
      <c r="D4875" s="30" t="s">
        <v>1588</v>
      </c>
      <c r="F4875" s="30" t="s">
        <v>1591</v>
      </c>
      <c r="H4875" s="30" t="s">
        <v>1592</v>
      </c>
      <c r="N4875" s="30" t="s">
        <v>8375</v>
      </c>
      <c r="P4875" s="30" t="s">
        <v>8382</v>
      </c>
      <c r="Q4875" t="s">
        <v>619</v>
      </c>
      <c r="R4875" t="s">
        <v>917</v>
      </c>
      <c r="S4875">
        <v>37</v>
      </c>
      <c r="T4875" s="29" t="str">
        <f t="shared" si="222"/>
        <v>2021.086B.R.Turbidovirus.zip</v>
      </c>
      <c r="U4875" s="29" t="str">
        <f>HYPERLINK("https://ictv.global/taxonomy/taxondetails?taxnode_id=202312643","ictv.global=202312643")</f>
        <v>ictv.global=202312643</v>
      </c>
    </row>
    <row r="4876" spans="1:21">
      <c r="A4876">
        <v>4875</v>
      </c>
      <c r="B4876" s="30" t="s">
        <v>1587</v>
      </c>
      <c r="D4876" s="30" t="s">
        <v>1588</v>
      </c>
      <c r="F4876" s="30" t="s">
        <v>1591</v>
      </c>
      <c r="H4876" s="30" t="s">
        <v>1592</v>
      </c>
      <c r="N4876" s="30" t="s">
        <v>8375</v>
      </c>
      <c r="P4876" s="30" t="s">
        <v>8383</v>
      </c>
      <c r="Q4876" t="s">
        <v>619</v>
      </c>
      <c r="R4876" t="s">
        <v>917</v>
      </c>
      <c r="S4876">
        <v>37</v>
      </c>
      <c r="T4876" s="29" t="str">
        <f t="shared" si="222"/>
        <v>2021.086B.R.Turbidovirus.zip</v>
      </c>
      <c r="U4876" s="29" t="str">
        <f>HYPERLINK("https://ictv.global/taxonomy/taxondetails?taxnode_id=202312644","ictv.global=202312644")</f>
        <v>ictv.global=202312644</v>
      </c>
    </row>
    <row r="4877" spans="1:21">
      <c r="A4877">
        <v>4876</v>
      </c>
      <c r="B4877" s="30" t="s">
        <v>1587</v>
      </c>
      <c r="D4877" s="30" t="s">
        <v>1588</v>
      </c>
      <c r="F4877" s="30" t="s">
        <v>1591</v>
      </c>
      <c r="H4877" s="30" t="s">
        <v>1592</v>
      </c>
      <c r="N4877" s="30" t="s">
        <v>8375</v>
      </c>
      <c r="P4877" s="30" t="s">
        <v>8384</v>
      </c>
      <c r="Q4877" t="s">
        <v>619</v>
      </c>
      <c r="R4877" t="s">
        <v>917</v>
      </c>
      <c r="S4877">
        <v>37</v>
      </c>
      <c r="T4877" s="29" t="str">
        <f t="shared" si="222"/>
        <v>2021.086B.R.Turbidovirus.zip</v>
      </c>
      <c r="U4877" s="29" t="str">
        <f>HYPERLINK("https://ictv.global/taxonomy/taxondetails?taxnode_id=202312645","ictv.global=202312645")</f>
        <v>ictv.global=202312645</v>
      </c>
    </row>
    <row r="4878" spans="1:21">
      <c r="A4878">
        <v>4877</v>
      </c>
      <c r="B4878" s="30" t="s">
        <v>1587</v>
      </c>
      <c r="D4878" s="30" t="s">
        <v>1588</v>
      </c>
      <c r="F4878" s="30" t="s">
        <v>1591</v>
      </c>
      <c r="H4878" s="30" t="s">
        <v>1592</v>
      </c>
      <c r="N4878" s="30" t="s">
        <v>8375</v>
      </c>
      <c r="P4878" s="30" t="s">
        <v>8385</v>
      </c>
      <c r="Q4878" t="s">
        <v>619</v>
      </c>
      <c r="R4878" t="s">
        <v>917</v>
      </c>
      <c r="S4878">
        <v>37</v>
      </c>
      <c r="T4878" s="29" t="str">
        <f t="shared" si="222"/>
        <v>2021.086B.R.Turbidovirus.zip</v>
      </c>
      <c r="U4878" s="29" t="str">
        <f>HYPERLINK("https://ictv.global/taxonomy/taxondetails?taxnode_id=202312646","ictv.global=202312646")</f>
        <v>ictv.global=202312646</v>
      </c>
    </row>
    <row r="4879" spans="1:21">
      <c r="A4879">
        <v>4878</v>
      </c>
      <c r="B4879" s="30" t="s">
        <v>1587</v>
      </c>
      <c r="D4879" s="30" t="s">
        <v>1588</v>
      </c>
      <c r="F4879" s="30" t="s">
        <v>1591</v>
      </c>
      <c r="H4879" s="30" t="s">
        <v>1592</v>
      </c>
      <c r="N4879" s="30" t="s">
        <v>8375</v>
      </c>
      <c r="P4879" s="30" t="s">
        <v>8386</v>
      </c>
      <c r="Q4879" t="s">
        <v>619</v>
      </c>
      <c r="R4879" t="s">
        <v>917</v>
      </c>
      <c r="S4879">
        <v>37</v>
      </c>
      <c r="T4879" s="29" t="str">
        <f t="shared" si="222"/>
        <v>2021.086B.R.Turbidovirus.zip</v>
      </c>
      <c r="U4879" s="29" t="str">
        <f>HYPERLINK("https://ictv.global/taxonomy/taxondetails?taxnode_id=202312647","ictv.global=202312647")</f>
        <v>ictv.global=202312647</v>
      </c>
    </row>
    <row r="4880" spans="1:21">
      <c r="A4880">
        <v>4879</v>
      </c>
      <c r="B4880" s="30" t="s">
        <v>1587</v>
      </c>
      <c r="D4880" s="30" t="s">
        <v>1588</v>
      </c>
      <c r="F4880" s="30" t="s">
        <v>1591</v>
      </c>
      <c r="H4880" s="30" t="s">
        <v>1592</v>
      </c>
      <c r="N4880" s="30" t="s">
        <v>8375</v>
      </c>
      <c r="P4880" s="30" t="s">
        <v>8387</v>
      </c>
      <c r="Q4880" t="s">
        <v>619</v>
      </c>
      <c r="R4880" t="s">
        <v>917</v>
      </c>
      <c r="S4880">
        <v>37</v>
      </c>
      <c r="T4880" s="29" t="str">
        <f t="shared" si="222"/>
        <v>2021.086B.R.Turbidovirus.zip</v>
      </c>
      <c r="U4880" s="29" t="str">
        <f>HYPERLINK("https://ictv.global/taxonomy/taxondetails?taxnode_id=202312648","ictv.global=202312648")</f>
        <v>ictv.global=202312648</v>
      </c>
    </row>
    <row r="4881" spans="1:21">
      <c r="A4881">
        <v>4880</v>
      </c>
      <c r="B4881" s="30" t="s">
        <v>1587</v>
      </c>
      <c r="D4881" s="30" t="s">
        <v>1588</v>
      </c>
      <c r="F4881" s="30" t="s">
        <v>1591</v>
      </c>
      <c r="H4881" s="30" t="s">
        <v>1592</v>
      </c>
      <c r="N4881" s="30" t="s">
        <v>8375</v>
      </c>
      <c r="P4881" s="30" t="s">
        <v>8388</v>
      </c>
      <c r="Q4881" t="s">
        <v>619</v>
      </c>
      <c r="R4881" t="s">
        <v>918</v>
      </c>
      <c r="S4881">
        <v>37</v>
      </c>
      <c r="T4881" s="29" t="str">
        <f t="shared" si="222"/>
        <v>2021.086B.R.Turbidovirus.zip</v>
      </c>
      <c r="U4881" s="29" t="str">
        <f>HYPERLINK("https://ictv.global/taxonomy/taxondetails?taxnode_id=202301064","ictv.global=202301064")</f>
        <v>ictv.global=202301064</v>
      </c>
    </row>
    <row r="4882" spans="1:21">
      <c r="A4882">
        <v>4881</v>
      </c>
      <c r="B4882" s="30" t="s">
        <v>1587</v>
      </c>
      <c r="D4882" s="30" t="s">
        <v>1588</v>
      </c>
      <c r="F4882" s="30" t="s">
        <v>1591</v>
      </c>
      <c r="H4882" s="30" t="s">
        <v>1592</v>
      </c>
      <c r="N4882" s="30" t="s">
        <v>8389</v>
      </c>
      <c r="P4882" s="30" t="s">
        <v>8390</v>
      </c>
      <c r="Q4882" t="s">
        <v>619</v>
      </c>
      <c r="R4882" t="s">
        <v>917</v>
      </c>
      <c r="S4882">
        <v>37</v>
      </c>
      <c r="T4882" s="29" t="str">
        <f>HYPERLINK("https://ictv.global/ictv/proposals/2021.087B.R.Typhavirus.zip","2021.087B.R.Typhavirus.zip")</f>
        <v>2021.087B.R.Typhavirus.zip</v>
      </c>
      <c r="U4882" s="29" t="str">
        <f>HYPERLINK("https://ictv.global/taxonomy/taxondetails?taxnode_id=202312650","ictv.global=202312650")</f>
        <v>ictv.global=202312650</v>
      </c>
    </row>
    <row r="4883" spans="1:21">
      <c r="A4883">
        <v>4882</v>
      </c>
      <c r="B4883" s="30" t="s">
        <v>1587</v>
      </c>
      <c r="D4883" s="30" t="s">
        <v>1588</v>
      </c>
      <c r="F4883" s="30" t="s">
        <v>1591</v>
      </c>
      <c r="H4883" s="30" t="s">
        <v>1592</v>
      </c>
      <c r="N4883" s="30" t="s">
        <v>1439</v>
      </c>
      <c r="P4883" s="30" t="s">
        <v>8391</v>
      </c>
      <c r="Q4883" t="s">
        <v>619</v>
      </c>
      <c r="R4883" t="s">
        <v>918</v>
      </c>
      <c r="S4883">
        <v>37</v>
      </c>
      <c r="T4883" s="29" t="str">
        <f>HYPERLINK("https://ictv.global/ictv/proposals/2021.010B.R.Binomial_names.zip","2021.010B.R.Binomial_names.zip")</f>
        <v>2021.010B.R.Binomial_names.zip</v>
      </c>
      <c r="U4883" s="29" t="str">
        <f>HYPERLINK("https://ictv.global/taxonomy/taxondetails?taxnode_id=202300637","ictv.global=202300637")</f>
        <v>ictv.global=202300637</v>
      </c>
    </row>
    <row r="4884" spans="1:21">
      <c r="A4884">
        <v>4883</v>
      </c>
      <c r="B4884" s="30" t="s">
        <v>1587</v>
      </c>
      <c r="D4884" s="30" t="s">
        <v>1588</v>
      </c>
      <c r="F4884" s="30" t="s">
        <v>1591</v>
      </c>
      <c r="H4884" s="30" t="s">
        <v>1592</v>
      </c>
      <c r="N4884" s="30" t="s">
        <v>1439</v>
      </c>
      <c r="P4884" s="30" t="s">
        <v>8392</v>
      </c>
      <c r="Q4884" t="s">
        <v>619</v>
      </c>
      <c r="R4884" t="s">
        <v>918</v>
      </c>
      <c r="S4884">
        <v>37</v>
      </c>
      <c r="T4884" s="29" t="str">
        <f>HYPERLINK("https://ictv.global/ictv/proposals/2021.010B.R.Binomial_names.zip","2021.010B.R.Binomial_names.zip")</f>
        <v>2021.010B.R.Binomial_names.zip</v>
      </c>
      <c r="U4884" s="29" t="str">
        <f>HYPERLINK("https://ictv.global/taxonomy/taxondetails?taxnode_id=202300636","ictv.global=202300636")</f>
        <v>ictv.global=202300636</v>
      </c>
    </row>
    <row r="4885" spans="1:21">
      <c r="A4885">
        <v>4884</v>
      </c>
      <c r="B4885" s="30" t="s">
        <v>1587</v>
      </c>
      <c r="D4885" s="30" t="s">
        <v>1588</v>
      </c>
      <c r="F4885" s="30" t="s">
        <v>1591</v>
      </c>
      <c r="H4885" s="30" t="s">
        <v>1592</v>
      </c>
      <c r="N4885" s="30" t="s">
        <v>1439</v>
      </c>
      <c r="P4885" s="30" t="s">
        <v>8393</v>
      </c>
      <c r="Q4885" t="s">
        <v>619</v>
      </c>
      <c r="R4885" t="s">
        <v>918</v>
      </c>
      <c r="S4885">
        <v>37</v>
      </c>
      <c r="T4885" s="29" t="str">
        <f>HYPERLINK("https://ictv.global/ictv/proposals/2021.010B.R.Binomial_names.zip","2021.010B.R.Binomial_names.zip")</f>
        <v>2021.010B.R.Binomial_names.zip</v>
      </c>
      <c r="U4885" s="29" t="str">
        <f>HYPERLINK("https://ictv.global/taxonomy/taxondetails?taxnode_id=202300638","ictv.global=202300638")</f>
        <v>ictv.global=202300638</v>
      </c>
    </row>
    <row r="4886" spans="1:21">
      <c r="A4886">
        <v>4885</v>
      </c>
      <c r="B4886" s="30" t="s">
        <v>1587</v>
      </c>
      <c r="D4886" s="30" t="s">
        <v>1588</v>
      </c>
      <c r="F4886" s="30" t="s">
        <v>1591</v>
      </c>
      <c r="H4886" s="30" t="s">
        <v>1592</v>
      </c>
      <c r="N4886" s="30" t="s">
        <v>2496</v>
      </c>
      <c r="P4886" s="30" t="s">
        <v>8394</v>
      </c>
      <c r="Q4886" t="s">
        <v>619</v>
      </c>
      <c r="R4886" t="s">
        <v>918</v>
      </c>
      <c r="S4886">
        <v>37</v>
      </c>
      <c r="T4886" s="29" t="str">
        <f>HYPERLINK("https://ictv.global/ictv/proposals/2021.010B.R.Binomial_names.zip","2021.010B.R.Binomial_names.zip")</f>
        <v>2021.010B.R.Binomial_names.zip</v>
      </c>
      <c r="U4886" s="29" t="str">
        <f>HYPERLINK("https://ictv.global/taxonomy/taxondetails?taxnode_id=202312078","ictv.global=202312078")</f>
        <v>ictv.global=202312078</v>
      </c>
    </row>
    <row r="4887" spans="1:21">
      <c r="A4887">
        <v>4886</v>
      </c>
      <c r="B4887" s="30" t="s">
        <v>1587</v>
      </c>
      <c r="D4887" s="30" t="s">
        <v>1588</v>
      </c>
      <c r="F4887" s="30" t="s">
        <v>1591</v>
      </c>
      <c r="H4887" s="30" t="s">
        <v>1592</v>
      </c>
      <c r="N4887" s="30" t="s">
        <v>12707</v>
      </c>
      <c r="P4887" s="30" t="s">
        <v>12708</v>
      </c>
      <c r="Q4887" t="s">
        <v>619</v>
      </c>
      <c r="R4887" t="s">
        <v>917</v>
      </c>
      <c r="S4887">
        <v>39</v>
      </c>
      <c r="T4887" s="29" t="str">
        <f>HYPERLINK("https://ictv.global/ictv/proposals/2023.003B.Actinobacteriophage_singletons_25ng.zip","2023.003B.Actinobacteriophage_singletons_25ng.zip")</f>
        <v>2023.003B.Actinobacteriophage_singletons_25ng.zip</v>
      </c>
      <c r="U4887" s="29" t="str">
        <f>HYPERLINK("https://ictv.global/taxonomy/taxondetails?taxnode_id=202317773","ictv.global=202317773")</f>
        <v>ictv.global=202317773</v>
      </c>
    </row>
    <row r="4888" spans="1:21">
      <c r="A4888">
        <v>4887</v>
      </c>
      <c r="B4888" s="30" t="s">
        <v>1587</v>
      </c>
      <c r="D4888" s="30" t="s">
        <v>1588</v>
      </c>
      <c r="F4888" s="30" t="s">
        <v>1591</v>
      </c>
      <c r="H4888" s="30" t="s">
        <v>1592</v>
      </c>
      <c r="N4888" s="30" t="s">
        <v>12709</v>
      </c>
      <c r="P4888" s="30" t="s">
        <v>12710</v>
      </c>
      <c r="Q4888" t="s">
        <v>619</v>
      </c>
      <c r="R4888" t="s">
        <v>917</v>
      </c>
      <c r="S4888">
        <v>39</v>
      </c>
      <c r="T4888" s="29" t="str">
        <f>HYPERLINK("https://ictv.global/ictv/proposals/2023.003B.Actinobacteriophage_singletons_25ng.zip","2023.003B.Actinobacteriophage_singletons_25ng.zip")</f>
        <v>2023.003B.Actinobacteriophage_singletons_25ng.zip</v>
      </c>
      <c r="U4888" s="29" t="str">
        <f>HYPERLINK("https://ictv.global/taxonomy/taxondetails?taxnode_id=202317774","ictv.global=202317774")</f>
        <v>ictv.global=202317774</v>
      </c>
    </row>
    <row r="4889" spans="1:21">
      <c r="A4889">
        <v>4888</v>
      </c>
      <c r="B4889" s="30" t="s">
        <v>1587</v>
      </c>
      <c r="D4889" s="30" t="s">
        <v>1588</v>
      </c>
      <c r="F4889" s="30" t="s">
        <v>1591</v>
      </c>
      <c r="H4889" s="30" t="s">
        <v>1592</v>
      </c>
      <c r="N4889" s="30" t="s">
        <v>1948</v>
      </c>
      <c r="P4889" s="30" t="s">
        <v>8395</v>
      </c>
      <c r="Q4889" t="s">
        <v>619</v>
      </c>
      <c r="R4889" t="s">
        <v>918</v>
      </c>
      <c r="S4889">
        <v>37</v>
      </c>
      <c r="T4889" s="29" t="str">
        <f t="shared" ref="T4889:T4895" si="223">HYPERLINK("https://ictv.global/ictv/proposals/2021.010B.R.Binomial_names.zip","2021.010B.R.Binomial_names.zip")</f>
        <v>2021.010B.R.Binomial_names.zip</v>
      </c>
      <c r="U4889" s="29" t="str">
        <f>HYPERLINK("https://ictv.global/taxonomy/taxondetails?taxnode_id=202308191","ictv.global=202308191")</f>
        <v>ictv.global=202308191</v>
      </c>
    </row>
    <row r="4890" spans="1:21">
      <c r="A4890">
        <v>4889</v>
      </c>
      <c r="B4890" s="30" t="s">
        <v>1587</v>
      </c>
      <c r="D4890" s="30" t="s">
        <v>1588</v>
      </c>
      <c r="F4890" s="30" t="s">
        <v>1591</v>
      </c>
      <c r="H4890" s="30" t="s">
        <v>1592</v>
      </c>
      <c r="N4890" s="30" t="s">
        <v>1948</v>
      </c>
      <c r="P4890" s="30" t="s">
        <v>8396</v>
      </c>
      <c r="Q4890" t="s">
        <v>619</v>
      </c>
      <c r="R4890" t="s">
        <v>918</v>
      </c>
      <c r="S4890">
        <v>37</v>
      </c>
      <c r="T4890" s="29" t="str">
        <f t="shared" si="223"/>
        <v>2021.010B.R.Binomial_names.zip</v>
      </c>
      <c r="U4890" s="29" t="str">
        <f>HYPERLINK("https://ictv.global/taxonomy/taxondetails?taxnode_id=202308190","ictv.global=202308190")</f>
        <v>ictv.global=202308190</v>
      </c>
    </row>
    <row r="4891" spans="1:21">
      <c r="A4891">
        <v>4890</v>
      </c>
      <c r="B4891" s="30" t="s">
        <v>1587</v>
      </c>
      <c r="D4891" s="30" t="s">
        <v>1588</v>
      </c>
      <c r="F4891" s="30" t="s">
        <v>1591</v>
      </c>
      <c r="H4891" s="30" t="s">
        <v>1592</v>
      </c>
      <c r="N4891" s="30" t="s">
        <v>2497</v>
      </c>
      <c r="P4891" s="30" t="s">
        <v>8397</v>
      </c>
      <c r="Q4891" t="s">
        <v>619</v>
      </c>
      <c r="R4891" t="s">
        <v>918</v>
      </c>
      <c r="S4891">
        <v>37</v>
      </c>
      <c r="T4891" s="29" t="str">
        <f t="shared" si="223"/>
        <v>2021.010B.R.Binomial_names.zip</v>
      </c>
      <c r="U4891" s="29" t="str">
        <f>HYPERLINK("https://ictv.global/taxonomy/taxondetails?taxnode_id=202312082","ictv.global=202312082")</f>
        <v>ictv.global=202312082</v>
      </c>
    </row>
    <row r="4892" spans="1:21">
      <c r="A4892">
        <v>4891</v>
      </c>
      <c r="B4892" s="30" t="s">
        <v>1587</v>
      </c>
      <c r="D4892" s="30" t="s">
        <v>1588</v>
      </c>
      <c r="F4892" s="30" t="s">
        <v>1591</v>
      </c>
      <c r="H4892" s="30" t="s">
        <v>1592</v>
      </c>
      <c r="N4892" s="30" t="s">
        <v>2497</v>
      </c>
      <c r="P4892" s="30" t="s">
        <v>8398</v>
      </c>
      <c r="Q4892" t="s">
        <v>619</v>
      </c>
      <c r="R4892" t="s">
        <v>918</v>
      </c>
      <c r="S4892">
        <v>37</v>
      </c>
      <c r="T4892" s="29" t="str">
        <f t="shared" si="223"/>
        <v>2021.010B.R.Binomial_names.zip</v>
      </c>
      <c r="U4892" s="29" t="str">
        <f>HYPERLINK("https://ictv.global/taxonomy/taxondetails?taxnode_id=202312084","ictv.global=202312084")</f>
        <v>ictv.global=202312084</v>
      </c>
    </row>
    <row r="4893" spans="1:21">
      <c r="A4893">
        <v>4892</v>
      </c>
      <c r="B4893" s="30" t="s">
        <v>1587</v>
      </c>
      <c r="D4893" s="30" t="s">
        <v>1588</v>
      </c>
      <c r="F4893" s="30" t="s">
        <v>1591</v>
      </c>
      <c r="H4893" s="30" t="s">
        <v>1592</v>
      </c>
      <c r="N4893" s="30" t="s">
        <v>2497</v>
      </c>
      <c r="P4893" s="30" t="s">
        <v>8399</v>
      </c>
      <c r="Q4893" t="s">
        <v>619</v>
      </c>
      <c r="R4893" t="s">
        <v>918</v>
      </c>
      <c r="S4893">
        <v>37</v>
      </c>
      <c r="T4893" s="29" t="str">
        <f t="shared" si="223"/>
        <v>2021.010B.R.Binomial_names.zip</v>
      </c>
      <c r="U4893" s="29" t="str">
        <f>HYPERLINK("https://ictv.global/taxonomy/taxondetails?taxnode_id=202312080","ictv.global=202312080")</f>
        <v>ictv.global=202312080</v>
      </c>
    </row>
    <row r="4894" spans="1:21">
      <c r="A4894">
        <v>4893</v>
      </c>
      <c r="B4894" s="30" t="s">
        <v>1587</v>
      </c>
      <c r="D4894" s="30" t="s">
        <v>1588</v>
      </c>
      <c r="F4894" s="30" t="s">
        <v>1591</v>
      </c>
      <c r="H4894" s="30" t="s">
        <v>1592</v>
      </c>
      <c r="N4894" s="30" t="s">
        <v>2497</v>
      </c>
      <c r="P4894" s="30" t="s">
        <v>8400</v>
      </c>
      <c r="Q4894" t="s">
        <v>619</v>
      </c>
      <c r="R4894" t="s">
        <v>918</v>
      </c>
      <c r="S4894">
        <v>37</v>
      </c>
      <c r="T4894" s="29" t="str">
        <f t="shared" si="223"/>
        <v>2021.010B.R.Binomial_names.zip</v>
      </c>
      <c r="U4894" s="29" t="str">
        <f>HYPERLINK("https://ictv.global/taxonomy/taxondetails?taxnode_id=202312081","ictv.global=202312081")</f>
        <v>ictv.global=202312081</v>
      </c>
    </row>
    <row r="4895" spans="1:21">
      <c r="A4895">
        <v>4894</v>
      </c>
      <c r="B4895" s="30" t="s">
        <v>1587</v>
      </c>
      <c r="D4895" s="30" t="s">
        <v>1588</v>
      </c>
      <c r="F4895" s="30" t="s">
        <v>1591</v>
      </c>
      <c r="H4895" s="30" t="s">
        <v>1592</v>
      </c>
      <c r="N4895" s="30" t="s">
        <v>2497</v>
      </c>
      <c r="P4895" s="30" t="s">
        <v>8401</v>
      </c>
      <c r="Q4895" t="s">
        <v>619</v>
      </c>
      <c r="R4895" t="s">
        <v>918</v>
      </c>
      <c r="S4895">
        <v>37</v>
      </c>
      <c r="T4895" s="29" t="str">
        <f t="shared" si="223"/>
        <v>2021.010B.R.Binomial_names.zip</v>
      </c>
      <c r="U4895" s="29" t="str">
        <f>HYPERLINK("https://ictv.global/taxonomy/taxondetails?taxnode_id=202312083","ictv.global=202312083")</f>
        <v>ictv.global=202312083</v>
      </c>
    </row>
    <row r="4896" spans="1:21">
      <c r="A4896">
        <v>4895</v>
      </c>
      <c r="B4896" s="30" t="s">
        <v>1587</v>
      </c>
      <c r="D4896" s="30" t="s">
        <v>1588</v>
      </c>
      <c r="F4896" s="30" t="s">
        <v>1591</v>
      </c>
      <c r="H4896" s="30" t="s">
        <v>1592</v>
      </c>
      <c r="N4896" s="30" t="s">
        <v>8402</v>
      </c>
      <c r="P4896" s="30" t="s">
        <v>8403</v>
      </c>
      <c r="Q4896" t="s">
        <v>619</v>
      </c>
      <c r="R4896" t="s">
        <v>917</v>
      </c>
      <c r="S4896">
        <v>38</v>
      </c>
      <c r="T4896" s="29" t="str">
        <f>HYPERLINK("https://ictv.global/ictv/proposals/2022.081B.Caudoviricetes_6ng_streptomyces.zip","2022.081B.Caudoviricetes_6ng_streptomyces.zip")</f>
        <v>2022.081B.Caudoviricetes_6ng_streptomyces.zip</v>
      </c>
      <c r="U4896" s="29" t="str">
        <f>HYPERLINK("https://ictv.global/taxonomy/taxondetails?taxnode_id=202314878","ictv.global=202314878")</f>
        <v>ictv.global=202314878</v>
      </c>
    </row>
    <row r="4897" spans="1:21">
      <c r="A4897">
        <v>4896</v>
      </c>
      <c r="B4897" s="30" t="s">
        <v>1587</v>
      </c>
      <c r="D4897" s="30" t="s">
        <v>1588</v>
      </c>
      <c r="F4897" s="30" t="s">
        <v>1591</v>
      </c>
      <c r="H4897" s="30" t="s">
        <v>1592</v>
      </c>
      <c r="N4897" s="30" t="s">
        <v>8404</v>
      </c>
      <c r="P4897" s="30" t="s">
        <v>8405</v>
      </c>
      <c r="Q4897" t="s">
        <v>619</v>
      </c>
      <c r="R4897" t="s">
        <v>917</v>
      </c>
      <c r="S4897">
        <v>37</v>
      </c>
      <c r="T4897" s="29" t="str">
        <f t="shared" ref="T4897:T4904" si="224">HYPERLINK("https://ictv.global/ictv/proposals/2021.088B.R.Veracruzvirus.zip","2021.088B.R.Veracruzvirus.zip")</f>
        <v>2021.088B.R.Veracruzvirus.zip</v>
      </c>
      <c r="U4897" s="29" t="str">
        <f>HYPERLINK("https://ictv.global/taxonomy/taxondetails?taxnode_id=202312656","ictv.global=202312656")</f>
        <v>ictv.global=202312656</v>
      </c>
    </row>
    <row r="4898" spans="1:21">
      <c r="A4898">
        <v>4897</v>
      </c>
      <c r="B4898" s="30" t="s">
        <v>1587</v>
      </c>
      <c r="D4898" s="30" t="s">
        <v>1588</v>
      </c>
      <c r="F4898" s="30" t="s">
        <v>1591</v>
      </c>
      <c r="H4898" s="30" t="s">
        <v>1592</v>
      </c>
      <c r="N4898" s="30" t="s">
        <v>8404</v>
      </c>
      <c r="P4898" s="30" t="s">
        <v>8406</v>
      </c>
      <c r="Q4898" t="s">
        <v>619</v>
      </c>
      <c r="R4898" t="s">
        <v>917</v>
      </c>
      <c r="S4898">
        <v>37</v>
      </c>
      <c r="T4898" s="29" t="str">
        <f t="shared" si="224"/>
        <v>2021.088B.R.Veracruzvirus.zip</v>
      </c>
      <c r="U4898" s="29" t="str">
        <f>HYPERLINK("https://ictv.global/taxonomy/taxondetails?taxnode_id=202312654","ictv.global=202312654")</f>
        <v>ictv.global=202312654</v>
      </c>
    </row>
    <row r="4899" spans="1:21">
      <c r="A4899">
        <v>4898</v>
      </c>
      <c r="B4899" s="30" t="s">
        <v>1587</v>
      </c>
      <c r="D4899" s="30" t="s">
        <v>1588</v>
      </c>
      <c r="F4899" s="30" t="s">
        <v>1591</v>
      </c>
      <c r="H4899" s="30" t="s">
        <v>1592</v>
      </c>
      <c r="N4899" s="30" t="s">
        <v>8404</v>
      </c>
      <c r="P4899" s="30" t="s">
        <v>8407</v>
      </c>
      <c r="Q4899" t="s">
        <v>619</v>
      </c>
      <c r="R4899" t="s">
        <v>918</v>
      </c>
      <c r="S4899">
        <v>37</v>
      </c>
      <c r="T4899" s="29" t="str">
        <f t="shared" si="224"/>
        <v>2021.088B.R.Veracruzvirus.zip</v>
      </c>
      <c r="U4899" s="29" t="str">
        <f>HYPERLINK("https://ictv.global/taxonomy/taxondetails?taxnode_id=202301030","ictv.global=202301030")</f>
        <v>ictv.global=202301030</v>
      </c>
    </row>
    <row r="4900" spans="1:21">
      <c r="A4900">
        <v>4899</v>
      </c>
      <c r="B4900" s="30" t="s">
        <v>1587</v>
      </c>
      <c r="D4900" s="30" t="s">
        <v>1588</v>
      </c>
      <c r="F4900" s="30" t="s">
        <v>1591</v>
      </c>
      <c r="H4900" s="30" t="s">
        <v>1592</v>
      </c>
      <c r="N4900" s="30" t="s">
        <v>8404</v>
      </c>
      <c r="P4900" s="30" t="s">
        <v>8408</v>
      </c>
      <c r="Q4900" t="s">
        <v>619</v>
      </c>
      <c r="R4900" t="s">
        <v>917</v>
      </c>
      <c r="S4900">
        <v>37</v>
      </c>
      <c r="T4900" s="29" t="str">
        <f t="shared" si="224"/>
        <v>2021.088B.R.Veracruzvirus.zip</v>
      </c>
      <c r="U4900" s="29" t="str">
        <f>HYPERLINK("https://ictv.global/taxonomy/taxondetails?taxnode_id=202312655","ictv.global=202312655")</f>
        <v>ictv.global=202312655</v>
      </c>
    </row>
    <row r="4901" spans="1:21">
      <c r="A4901">
        <v>4900</v>
      </c>
      <c r="B4901" s="30" t="s">
        <v>1587</v>
      </c>
      <c r="D4901" s="30" t="s">
        <v>1588</v>
      </c>
      <c r="F4901" s="30" t="s">
        <v>1591</v>
      </c>
      <c r="H4901" s="30" t="s">
        <v>1592</v>
      </c>
      <c r="N4901" s="30" t="s">
        <v>8404</v>
      </c>
      <c r="P4901" s="30" t="s">
        <v>8409</v>
      </c>
      <c r="Q4901" t="s">
        <v>619</v>
      </c>
      <c r="R4901" t="s">
        <v>917</v>
      </c>
      <c r="S4901">
        <v>37</v>
      </c>
      <c r="T4901" s="29" t="str">
        <f t="shared" si="224"/>
        <v>2021.088B.R.Veracruzvirus.zip</v>
      </c>
      <c r="U4901" s="29" t="str">
        <f>HYPERLINK("https://ictv.global/taxonomy/taxondetails?taxnode_id=202312653","ictv.global=202312653")</f>
        <v>ictv.global=202312653</v>
      </c>
    </row>
    <row r="4902" spans="1:21">
      <c r="A4902">
        <v>4901</v>
      </c>
      <c r="B4902" s="30" t="s">
        <v>1587</v>
      </c>
      <c r="D4902" s="30" t="s">
        <v>1588</v>
      </c>
      <c r="F4902" s="30" t="s">
        <v>1591</v>
      </c>
      <c r="H4902" s="30" t="s">
        <v>1592</v>
      </c>
      <c r="N4902" s="30" t="s">
        <v>8404</v>
      </c>
      <c r="P4902" s="30" t="s">
        <v>8410</v>
      </c>
      <c r="Q4902" t="s">
        <v>619</v>
      </c>
      <c r="R4902" t="s">
        <v>917</v>
      </c>
      <c r="S4902">
        <v>37</v>
      </c>
      <c r="T4902" s="29" t="str">
        <f t="shared" si="224"/>
        <v>2021.088B.R.Veracruzvirus.zip</v>
      </c>
      <c r="U4902" s="29" t="str">
        <f>HYPERLINK("https://ictv.global/taxonomy/taxondetails?taxnode_id=202312657","ictv.global=202312657")</f>
        <v>ictv.global=202312657</v>
      </c>
    </row>
    <row r="4903" spans="1:21">
      <c r="A4903">
        <v>4902</v>
      </c>
      <c r="B4903" s="30" t="s">
        <v>1587</v>
      </c>
      <c r="D4903" s="30" t="s">
        <v>1588</v>
      </c>
      <c r="F4903" s="30" t="s">
        <v>1591</v>
      </c>
      <c r="H4903" s="30" t="s">
        <v>1592</v>
      </c>
      <c r="N4903" s="30" t="s">
        <v>8404</v>
      </c>
      <c r="P4903" s="30" t="s">
        <v>8411</v>
      </c>
      <c r="Q4903" t="s">
        <v>619</v>
      </c>
      <c r="R4903" t="s">
        <v>918</v>
      </c>
      <c r="S4903">
        <v>37</v>
      </c>
      <c r="T4903" s="29" t="str">
        <f t="shared" si="224"/>
        <v>2021.088B.R.Veracruzvirus.zip</v>
      </c>
      <c r="U4903" s="29" t="str">
        <f>HYPERLINK("https://ictv.global/taxonomy/taxondetails?taxnode_id=202301054","ictv.global=202301054")</f>
        <v>ictv.global=202301054</v>
      </c>
    </row>
    <row r="4904" spans="1:21">
      <c r="A4904">
        <v>4903</v>
      </c>
      <c r="B4904" s="30" t="s">
        <v>1587</v>
      </c>
      <c r="D4904" s="30" t="s">
        <v>1588</v>
      </c>
      <c r="F4904" s="30" t="s">
        <v>1591</v>
      </c>
      <c r="H4904" s="30" t="s">
        <v>1592</v>
      </c>
      <c r="N4904" s="30" t="s">
        <v>8404</v>
      </c>
      <c r="P4904" s="30" t="s">
        <v>8412</v>
      </c>
      <c r="Q4904" t="s">
        <v>619</v>
      </c>
      <c r="R4904" t="s">
        <v>917</v>
      </c>
      <c r="S4904">
        <v>37</v>
      </c>
      <c r="T4904" s="29" t="str">
        <f t="shared" si="224"/>
        <v>2021.088B.R.Veracruzvirus.zip</v>
      </c>
      <c r="U4904" s="29" t="str">
        <f>HYPERLINK("https://ictv.global/taxonomy/taxondetails?taxnode_id=202312652","ictv.global=202312652")</f>
        <v>ictv.global=202312652</v>
      </c>
    </row>
    <row r="4905" spans="1:21">
      <c r="A4905">
        <v>4904</v>
      </c>
      <c r="B4905" s="30" t="s">
        <v>1587</v>
      </c>
      <c r="D4905" s="30" t="s">
        <v>1588</v>
      </c>
      <c r="F4905" s="30" t="s">
        <v>1591</v>
      </c>
      <c r="H4905" s="30" t="s">
        <v>1592</v>
      </c>
      <c r="N4905" s="30" t="s">
        <v>12711</v>
      </c>
      <c r="P4905" s="30" t="s">
        <v>12712</v>
      </c>
      <c r="Q4905" t="s">
        <v>619</v>
      </c>
      <c r="R4905" t="s">
        <v>917</v>
      </c>
      <c r="S4905">
        <v>39</v>
      </c>
      <c r="T4905" s="29" t="str">
        <f>HYPERLINK("https://ictv.global/ictv/proposals/2023.074B.Vespunovirus_ng.zip","2023.074B.Vespunovirus_ng.zip")</f>
        <v>2023.074B.Vespunovirus_ng.zip</v>
      </c>
      <c r="U4905" s="29" t="str">
        <f>HYPERLINK("https://ictv.global/taxonomy/taxondetails?taxnode_id=202319492","ictv.global=202319492")</f>
        <v>ictv.global=202319492</v>
      </c>
    </row>
    <row r="4906" spans="1:21">
      <c r="A4906">
        <v>4905</v>
      </c>
      <c r="B4906" s="30" t="s">
        <v>1587</v>
      </c>
      <c r="D4906" s="30" t="s">
        <v>1588</v>
      </c>
      <c r="F4906" s="30" t="s">
        <v>1591</v>
      </c>
      <c r="H4906" s="30" t="s">
        <v>1592</v>
      </c>
      <c r="N4906" s="30" t="s">
        <v>647</v>
      </c>
      <c r="P4906" s="30" t="s">
        <v>8413</v>
      </c>
      <c r="Q4906" t="s">
        <v>619</v>
      </c>
      <c r="R4906" t="s">
        <v>918</v>
      </c>
      <c r="S4906">
        <v>37</v>
      </c>
      <c r="T4906" s="29" t="str">
        <f t="shared" ref="T4906:T4915" si="225">HYPERLINK("https://ictv.global/ictv/proposals/2021.010B.R.Binomial_names.zip","2021.010B.R.Binomial_names.zip")</f>
        <v>2021.010B.R.Binomial_names.zip</v>
      </c>
      <c r="U4906" s="29" t="str">
        <f>HYPERLINK("https://ictv.global/taxonomy/taxondetails?taxnode_id=202300517","ictv.global=202300517")</f>
        <v>ictv.global=202300517</v>
      </c>
    </row>
    <row r="4907" spans="1:21">
      <c r="A4907">
        <v>4906</v>
      </c>
      <c r="B4907" s="30" t="s">
        <v>1587</v>
      </c>
      <c r="D4907" s="30" t="s">
        <v>1588</v>
      </c>
      <c r="F4907" s="30" t="s">
        <v>1591</v>
      </c>
      <c r="H4907" s="30" t="s">
        <v>1592</v>
      </c>
      <c r="N4907" s="30" t="s">
        <v>647</v>
      </c>
      <c r="P4907" s="30" t="s">
        <v>8414</v>
      </c>
      <c r="Q4907" t="s">
        <v>619</v>
      </c>
      <c r="R4907" t="s">
        <v>918</v>
      </c>
      <c r="S4907">
        <v>37</v>
      </c>
      <c r="T4907" s="29" t="str">
        <f t="shared" si="225"/>
        <v>2021.010B.R.Binomial_names.zip</v>
      </c>
      <c r="U4907" s="29" t="str">
        <f>HYPERLINK("https://ictv.global/taxonomy/taxondetails?taxnode_id=202300518","ictv.global=202300518")</f>
        <v>ictv.global=202300518</v>
      </c>
    </row>
    <row r="4908" spans="1:21">
      <c r="A4908">
        <v>4907</v>
      </c>
      <c r="B4908" s="30" t="s">
        <v>1587</v>
      </c>
      <c r="D4908" s="30" t="s">
        <v>1588</v>
      </c>
      <c r="F4908" s="30" t="s">
        <v>1591</v>
      </c>
      <c r="H4908" s="30" t="s">
        <v>1592</v>
      </c>
      <c r="N4908" s="30" t="s">
        <v>647</v>
      </c>
      <c r="P4908" s="30" t="s">
        <v>8415</v>
      </c>
      <c r="Q4908" t="s">
        <v>619</v>
      </c>
      <c r="R4908" t="s">
        <v>918</v>
      </c>
      <c r="S4908">
        <v>37</v>
      </c>
      <c r="T4908" s="29" t="str">
        <f t="shared" si="225"/>
        <v>2021.010B.R.Binomial_names.zip</v>
      </c>
      <c r="U4908" s="29" t="str">
        <f>HYPERLINK("https://ictv.global/taxonomy/taxondetails?taxnode_id=202300519","ictv.global=202300519")</f>
        <v>ictv.global=202300519</v>
      </c>
    </row>
    <row r="4909" spans="1:21">
      <c r="A4909">
        <v>4908</v>
      </c>
      <c r="B4909" s="30" t="s">
        <v>1587</v>
      </c>
      <c r="D4909" s="30" t="s">
        <v>1588</v>
      </c>
      <c r="F4909" s="30" t="s">
        <v>1591</v>
      </c>
      <c r="H4909" s="30" t="s">
        <v>1592</v>
      </c>
      <c r="N4909" s="30" t="s">
        <v>1565</v>
      </c>
      <c r="P4909" s="30" t="s">
        <v>8416</v>
      </c>
      <c r="Q4909" t="s">
        <v>619</v>
      </c>
      <c r="R4909" t="s">
        <v>918</v>
      </c>
      <c r="S4909">
        <v>37</v>
      </c>
      <c r="T4909" s="29" t="str">
        <f t="shared" si="225"/>
        <v>2021.010B.R.Binomial_names.zip</v>
      </c>
      <c r="U4909" s="29" t="str">
        <f>HYPERLINK("https://ictv.global/taxonomy/taxondetails?taxnode_id=202306994","ictv.global=202306994")</f>
        <v>ictv.global=202306994</v>
      </c>
    </row>
    <row r="4910" spans="1:21">
      <c r="A4910">
        <v>4909</v>
      </c>
      <c r="B4910" s="30" t="s">
        <v>1587</v>
      </c>
      <c r="D4910" s="30" t="s">
        <v>1588</v>
      </c>
      <c r="F4910" s="30" t="s">
        <v>1591</v>
      </c>
      <c r="H4910" s="30" t="s">
        <v>1592</v>
      </c>
      <c r="N4910" s="30" t="s">
        <v>2294</v>
      </c>
      <c r="P4910" s="30" t="s">
        <v>8417</v>
      </c>
      <c r="Q4910" t="s">
        <v>619</v>
      </c>
      <c r="R4910" t="s">
        <v>918</v>
      </c>
      <c r="S4910">
        <v>37</v>
      </c>
      <c r="T4910" s="29" t="str">
        <f t="shared" si="225"/>
        <v>2021.010B.R.Binomial_names.zip</v>
      </c>
      <c r="U4910" s="29" t="str">
        <f>HYPERLINK("https://ictv.global/taxonomy/taxondetails?taxnode_id=202312088","ictv.global=202312088")</f>
        <v>ictv.global=202312088</v>
      </c>
    </row>
    <row r="4911" spans="1:21">
      <c r="A4911">
        <v>4910</v>
      </c>
      <c r="B4911" s="30" t="s">
        <v>1587</v>
      </c>
      <c r="D4911" s="30" t="s">
        <v>1588</v>
      </c>
      <c r="F4911" s="30" t="s">
        <v>1591</v>
      </c>
      <c r="H4911" s="30" t="s">
        <v>1592</v>
      </c>
      <c r="N4911" s="30" t="s">
        <v>1440</v>
      </c>
      <c r="P4911" s="30" t="s">
        <v>8418</v>
      </c>
      <c r="Q4911" t="s">
        <v>619</v>
      </c>
      <c r="R4911" t="s">
        <v>918</v>
      </c>
      <c r="S4911">
        <v>37</v>
      </c>
      <c r="T4911" s="29" t="str">
        <f t="shared" si="225"/>
        <v>2021.010B.R.Binomial_names.zip</v>
      </c>
      <c r="U4911" s="29" t="str">
        <f>HYPERLINK("https://ictv.global/taxonomy/taxondetails?taxnode_id=202306898","ictv.global=202306898")</f>
        <v>ictv.global=202306898</v>
      </c>
    </row>
    <row r="4912" spans="1:21">
      <c r="A4912">
        <v>4911</v>
      </c>
      <c r="B4912" s="30" t="s">
        <v>1587</v>
      </c>
      <c r="D4912" s="30" t="s">
        <v>1588</v>
      </c>
      <c r="F4912" s="30" t="s">
        <v>1591</v>
      </c>
      <c r="H4912" s="30" t="s">
        <v>1592</v>
      </c>
      <c r="N4912" s="30" t="s">
        <v>1440</v>
      </c>
      <c r="P4912" s="30" t="s">
        <v>8419</v>
      </c>
      <c r="Q4912" t="s">
        <v>619</v>
      </c>
      <c r="R4912" t="s">
        <v>918</v>
      </c>
      <c r="S4912">
        <v>37</v>
      </c>
      <c r="T4912" s="29" t="str">
        <f t="shared" si="225"/>
        <v>2021.010B.R.Binomial_names.zip</v>
      </c>
      <c r="U4912" s="29" t="str">
        <f>HYPERLINK("https://ictv.global/taxonomy/taxondetails?taxnode_id=202306897","ictv.global=202306897")</f>
        <v>ictv.global=202306897</v>
      </c>
    </row>
    <row r="4913" spans="1:21">
      <c r="A4913">
        <v>4912</v>
      </c>
      <c r="B4913" s="30" t="s">
        <v>1587</v>
      </c>
      <c r="D4913" s="30" t="s">
        <v>1588</v>
      </c>
      <c r="F4913" s="30" t="s">
        <v>1591</v>
      </c>
      <c r="H4913" s="30" t="s">
        <v>1592</v>
      </c>
      <c r="N4913" s="30" t="s">
        <v>1566</v>
      </c>
      <c r="P4913" s="30" t="s">
        <v>8420</v>
      </c>
      <c r="Q4913" t="s">
        <v>619</v>
      </c>
      <c r="R4913" t="s">
        <v>918</v>
      </c>
      <c r="S4913">
        <v>37</v>
      </c>
      <c r="T4913" s="29" t="str">
        <f t="shared" si="225"/>
        <v>2021.010B.R.Binomial_names.zip</v>
      </c>
      <c r="U4913" s="29" t="str">
        <f>HYPERLINK("https://ictv.global/taxonomy/taxondetails?taxnode_id=202306756","ictv.global=202306756")</f>
        <v>ictv.global=202306756</v>
      </c>
    </row>
    <row r="4914" spans="1:21">
      <c r="A4914">
        <v>4913</v>
      </c>
      <c r="B4914" s="30" t="s">
        <v>1587</v>
      </c>
      <c r="D4914" s="30" t="s">
        <v>1588</v>
      </c>
      <c r="F4914" s="30" t="s">
        <v>1591</v>
      </c>
      <c r="H4914" s="30" t="s">
        <v>1592</v>
      </c>
      <c r="N4914" s="30" t="s">
        <v>1567</v>
      </c>
      <c r="P4914" s="30" t="s">
        <v>8421</v>
      </c>
      <c r="Q4914" t="s">
        <v>619</v>
      </c>
      <c r="R4914" t="s">
        <v>918</v>
      </c>
      <c r="S4914">
        <v>37</v>
      </c>
      <c r="T4914" s="29" t="str">
        <f t="shared" si="225"/>
        <v>2021.010B.R.Binomial_names.zip</v>
      </c>
      <c r="U4914" s="29" t="str">
        <f>HYPERLINK("https://ictv.global/taxonomy/taxondetails?taxnode_id=202306929","ictv.global=202306929")</f>
        <v>ictv.global=202306929</v>
      </c>
    </row>
    <row r="4915" spans="1:21">
      <c r="A4915">
        <v>4914</v>
      </c>
      <c r="B4915" s="30" t="s">
        <v>1587</v>
      </c>
      <c r="D4915" s="30" t="s">
        <v>1588</v>
      </c>
      <c r="F4915" s="30" t="s">
        <v>1591</v>
      </c>
      <c r="H4915" s="30" t="s">
        <v>1592</v>
      </c>
      <c r="N4915" s="30" t="s">
        <v>1567</v>
      </c>
      <c r="P4915" s="30" t="s">
        <v>8422</v>
      </c>
      <c r="Q4915" t="s">
        <v>619</v>
      </c>
      <c r="R4915" t="s">
        <v>918</v>
      </c>
      <c r="S4915">
        <v>37</v>
      </c>
      <c r="T4915" s="29" t="str">
        <f t="shared" si="225"/>
        <v>2021.010B.R.Binomial_names.zip</v>
      </c>
      <c r="U4915" s="29" t="str">
        <f>HYPERLINK("https://ictv.global/taxonomy/taxondetails?taxnode_id=202306930","ictv.global=202306930")</f>
        <v>ictv.global=202306930</v>
      </c>
    </row>
    <row r="4916" spans="1:21">
      <c r="A4916">
        <v>4915</v>
      </c>
      <c r="B4916" s="30" t="s">
        <v>1587</v>
      </c>
      <c r="D4916" s="30" t="s">
        <v>1588</v>
      </c>
      <c r="F4916" s="30" t="s">
        <v>1591</v>
      </c>
      <c r="H4916" s="30" t="s">
        <v>1592</v>
      </c>
      <c r="N4916" s="30" t="s">
        <v>1568</v>
      </c>
      <c r="P4916" s="30" t="s">
        <v>1569</v>
      </c>
      <c r="Q4916" t="s">
        <v>619</v>
      </c>
      <c r="R4916" t="s">
        <v>919</v>
      </c>
      <c r="S4916">
        <v>37</v>
      </c>
      <c r="T4916" s="29" t="str">
        <f>HYPERLINK("https://ictv.global/ictv/proposals/2021.001B.R.abolish_Caudovirales.zip","2021.001B.R.abolish_Caudovirales.zip")</f>
        <v>2021.001B.R.abolish_Caudovirales.zip</v>
      </c>
      <c r="U4916" s="29" t="str">
        <f>HYPERLINK("https://ictv.global/taxonomy/taxondetails?taxnode_id=202306793","ictv.global=202306793")</f>
        <v>ictv.global=202306793</v>
      </c>
    </row>
    <row r="4917" spans="1:21">
      <c r="A4917">
        <v>4916</v>
      </c>
      <c r="B4917" s="30" t="s">
        <v>1587</v>
      </c>
      <c r="D4917" s="30" t="s">
        <v>1588</v>
      </c>
      <c r="F4917" s="30" t="s">
        <v>1591</v>
      </c>
      <c r="H4917" s="30" t="s">
        <v>1592</v>
      </c>
      <c r="N4917" s="30" t="s">
        <v>1568</v>
      </c>
      <c r="P4917" s="30" t="s">
        <v>8423</v>
      </c>
      <c r="Q4917" t="s">
        <v>619</v>
      </c>
      <c r="R4917" t="s">
        <v>917</v>
      </c>
      <c r="S4917">
        <v>37</v>
      </c>
      <c r="T4917" s="29" t="str">
        <f>HYPERLINK("https://ictv.global/ictv/proposals/2021.090B.R.Vividuovirus_new_species.zip","2021.090B.R.Vividuovirus_new_species.zip")</f>
        <v>2021.090B.R.Vividuovirus_new_species.zip</v>
      </c>
      <c r="U4917" s="29" t="str">
        <f>HYPERLINK("https://ictv.global/taxonomy/taxondetails?taxnode_id=202312690","ictv.global=202312690")</f>
        <v>ictv.global=202312690</v>
      </c>
    </row>
    <row r="4918" spans="1:21">
      <c r="A4918">
        <v>4917</v>
      </c>
      <c r="B4918" s="30" t="s">
        <v>1587</v>
      </c>
      <c r="D4918" s="30" t="s">
        <v>1588</v>
      </c>
      <c r="F4918" s="30" t="s">
        <v>1591</v>
      </c>
      <c r="H4918" s="30" t="s">
        <v>1592</v>
      </c>
      <c r="N4918" s="30" t="s">
        <v>1568</v>
      </c>
      <c r="P4918" s="30" t="s">
        <v>8424</v>
      </c>
      <c r="Q4918" t="s">
        <v>619</v>
      </c>
      <c r="R4918" t="s">
        <v>917</v>
      </c>
      <c r="S4918">
        <v>37</v>
      </c>
      <c r="T4918" s="29" t="str">
        <f>HYPERLINK("https://ictv.global/ictv/proposals/2021.090B.R.Vividuovirus_new_species.zip","2021.090B.R.Vividuovirus_new_species.zip")</f>
        <v>2021.090B.R.Vividuovirus_new_species.zip</v>
      </c>
      <c r="U4918" s="29" t="str">
        <f>HYPERLINK("https://ictv.global/taxonomy/taxondetails?taxnode_id=202312694","ictv.global=202312694")</f>
        <v>ictv.global=202312694</v>
      </c>
    </row>
    <row r="4919" spans="1:21">
      <c r="A4919">
        <v>4918</v>
      </c>
      <c r="B4919" s="30" t="s">
        <v>1587</v>
      </c>
      <c r="D4919" s="30" t="s">
        <v>1588</v>
      </c>
      <c r="F4919" s="30" t="s">
        <v>1591</v>
      </c>
      <c r="H4919" s="30" t="s">
        <v>1592</v>
      </c>
      <c r="N4919" s="30" t="s">
        <v>1568</v>
      </c>
      <c r="P4919" s="30" t="s">
        <v>8425</v>
      </c>
      <c r="Q4919" t="s">
        <v>619</v>
      </c>
      <c r="R4919" t="s">
        <v>917</v>
      </c>
      <c r="S4919">
        <v>37</v>
      </c>
      <c r="T4919" s="29" t="str">
        <f>HYPERLINK("https://ictv.global/ictv/proposals/2021.090B.R.Vividuovirus_new_species.zip","2021.090B.R.Vividuovirus_new_species.zip")</f>
        <v>2021.090B.R.Vividuovirus_new_species.zip</v>
      </c>
      <c r="U4919" s="29" t="str">
        <f>HYPERLINK("https://ictv.global/taxonomy/taxondetails?taxnode_id=202312685","ictv.global=202312685")</f>
        <v>ictv.global=202312685</v>
      </c>
    </row>
    <row r="4920" spans="1:21">
      <c r="A4920">
        <v>4919</v>
      </c>
      <c r="B4920" s="30" t="s">
        <v>1587</v>
      </c>
      <c r="D4920" s="30" t="s">
        <v>1588</v>
      </c>
      <c r="F4920" s="30" t="s">
        <v>1591</v>
      </c>
      <c r="H4920" s="30" t="s">
        <v>1592</v>
      </c>
      <c r="N4920" s="30" t="s">
        <v>1568</v>
      </c>
      <c r="P4920" s="30" t="s">
        <v>8426</v>
      </c>
      <c r="Q4920" t="s">
        <v>619</v>
      </c>
      <c r="R4920" t="s">
        <v>917</v>
      </c>
      <c r="S4920">
        <v>37</v>
      </c>
      <c r="T4920" s="29" t="str">
        <f>HYPERLINK("https://ictv.global/ictv/proposals/2021.090B.R.Vividuovirus_new_species.zip","2021.090B.R.Vividuovirus_new_species.zip")</f>
        <v>2021.090B.R.Vividuovirus_new_species.zip</v>
      </c>
      <c r="U4920" s="29" t="str">
        <f>HYPERLINK("https://ictv.global/taxonomy/taxondetails?taxnode_id=202312688","ictv.global=202312688")</f>
        <v>ictv.global=202312688</v>
      </c>
    </row>
    <row r="4921" spans="1:21">
      <c r="A4921">
        <v>4920</v>
      </c>
      <c r="B4921" s="30" t="s">
        <v>1587</v>
      </c>
      <c r="D4921" s="30" t="s">
        <v>1588</v>
      </c>
      <c r="F4921" s="30" t="s">
        <v>1591</v>
      </c>
      <c r="H4921" s="30" t="s">
        <v>1592</v>
      </c>
      <c r="N4921" s="30" t="s">
        <v>1568</v>
      </c>
      <c r="P4921" s="30" t="s">
        <v>8427</v>
      </c>
      <c r="Q4921" t="s">
        <v>619</v>
      </c>
      <c r="R4921" t="s">
        <v>918</v>
      </c>
      <c r="S4921">
        <v>37</v>
      </c>
      <c r="T4921" s="29" t="str">
        <f>HYPERLINK("https://ictv.global/ictv/proposals/2021.010B.R.Binomial_names.zip","2021.010B.R.Binomial_names.zip")</f>
        <v>2021.010B.R.Binomial_names.zip</v>
      </c>
      <c r="U4921" s="29" t="str">
        <f>HYPERLINK("https://ictv.global/taxonomy/taxondetails?taxnode_id=202306792","ictv.global=202306792")</f>
        <v>ictv.global=202306792</v>
      </c>
    </row>
    <row r="4922" spans="1:21">
      <c r="A4922">
        <v>4921</v>
      </c>
      <c r="B4922" s="30" t="s">
        <v>1587</v>
      </c>
      <c r="D4922" s="30" t="s">
        <v>1588</v>
      </c>
      <c r="F4922" s="30" t="s">
        <v>1591</v>
      </c>
      <c r="H4922" s="30" t="s">
        <v>1592</v>
      </c>
      <c r="N4922" s="30" t="s">
        <v>1568</v>
      </c>
      <c r="P4922" s="30" t="s">
        <v>8428</v>
      </c>
      <c r="Q4922" t="s">
        <v>619</v>
      </c>
      <c r="R4922" t="s">
        <v>917</v>
      </c>
      <c r="S4922">
        <v>37</v>
      </c>
      <c r="T4922" s="29" t="str">
        <f t="shared" ref="T4922:T4933" si="226">HYPERLINK("https://ictv.global/ictv/proposals/2021.090B.R.Vividuovirus_new_species.zip","2021.090B.R.Vividuovirus_new_species.zip")</f>
        <v>2021.090B.R.Vividuovirus_new_species.zip</v>
      </c>
      <c r="U4922" s="29" t="str">
        <f>HYPERLINK("https://ictv.global/taxonomy/taxondetails?taxnode_id=202312691","ictv.global=202312691")</f>
        <v>ictv.global=202312691</v>
      </c>
    </row>
    <row r="4923" spans="1:21">
      <c r="A4923">
        <v>4922</v>
      </c>
      <c r="B4923" s="30" t="s">
        <v>1587</v>
      </c>
      <c r="D4923" s="30" t="s">
        <v>1588</v>
      </c>
      <c r="F4923" s="30" t="s">
        <v>1591</v>
      </c>
      <c r="H4923" s="30" t="s">
        <v>1592</v>
      </c>
      <c r="N4923" s="30" t="s">
        <v>1568</v>
      </c>
      <c r="P4923" s="30" t="s">
        <v>8429</v>
      </c>
      <c r="Q4923" t="s">
        <v>619</v>
      </c>
      <c r="R4923" t="s">
        <v>917</v>
      </c>
      <c r="S4923">
        <v>37</v>
      </c>
      <c r="T4923" s="29" t="str">
        <f t="shared" si="226"/>
        <v>2021.090B.R.Vividuovirus_new_species.zip</v>
      </c>
      <c r="U4923" s="29" t="str">
        <f>HYPERLINK("https://ictv.global/taxonomy/taxondetails?taxnode_id=202312696","ictv.global=202312696")</f>
        <v>ictv.global=202312696</v>
      </c>
    </row>
    <row r="4924" spans="1:21">
      <c r="A4924">
        <v>4923</v>
      </c>
      <c r="B4924" s="30" t="s">
        <v>1587</v>
      </c>
      <c r="D4924" s="30" t="s">
        <v>1588</v>
      </c>
      <c r="F4924" s="30" t="s">
        <v>1591</v>
      </c>
      <c r="H4924" s="30" t="s">
        <v>1592</v>
      </c>
      <c r="N4924" s="30" t="s">
        <v>1568</v>
      </c>
      <c r="P4924" s="30" t="s">
        <v>8430</v>
      </c>
      <c r="Q4924" t="s">
        <v>619</v>
      </c>
      <c r="R4924" t="s">
        <v>917</v>
      </c>
      <c r="S4924">
        <v>37</v>
      </c>
      <c r="T4924" s="29" t="str">
        <f t="shared" si="226"/>
        <v>2021.090B.R.Vividuovirus_new_species.zip</v>
      </c>
      <c r="U4924" s="29" t="str">
        <f>HYPERLINK("https://ictv.global/taxonomy/taxondetails?taxnode_id=202312686","ictv.global=202312686")</f>
        <v>ictv.global=202312686</v>
      </c>
    </row>
    <row r="4925" spans="1:21">
      <c r="A4925">
        <v>4924</v>
      </c>
      <c r="B4925" s="30" t="s">
        <v>1587</v>
      </c>
      <c r="D4925" s="30" t="s">
        <v>1588</v>
      </c>
      <c r="F4925" s="30" t="s">
        <v>1591</v>
      </c>
      <c r="H4925" s="30" t="s">
        <v>1592</v>
      </c>
      <c r="N4925" s="30" t="s">
        <v>1568</v>
      </c>
      <c r="P4925" s="30" t="s">
        <v>8431</v>
      </c>
      <c r="Q4925" t="s">
        <v>619</v>
      </c>
      <c r="R4925" t="s">
        <v>917</v>
      </c>
      <c r="S4925">
        <v>37</v>
      </c>
      <c r="T4925" s="29" t="str">
        <f t="shared" si="226"/>
        <v>2021.090B.R.Vividuovirus_new_species.zip</v>
      </c>
      <c r="U4925" s="29" t="str">
        <f>HYPERLINK("https://ictv.global/taxonomy/taxondetails?taxnode_id=202312684","ictv.global=202312684")</f>
        <v>ictv.global=202312684</v>
      </c>
    </row>
    <row r="4926" spans="1:21">
      <c r="A4926">
        <v>4925</v>
      </c>
      <c r="B4926" s="30" t="s">
        <v>1587</v>
      </c>
      <c r="D4926" s="30" t="s">
        <v>1588</v>
      </c>
      <c r="F4926" s="30" t="s">
        <v>1591</v>
      </c>
      <c r="H4926" s="30" t="s">
        <v>1592</v>
      </c>
      <c r="N4926" s="30" t="s">
        <v>1568</v>
      </c>
      <c r="P4926" s="30" t="s">
        <v>8432</v>
      </c>
      <c r="Q4926" t="s">
        <v>619</v>
      </c>
      <c r="R4926" t="s">
        <v>917</v>
      </c>
      <c r="S4926">
        <v>37</v>
      </c>
      <c r="T4926" s="29" t="str">
        <f t="shared" si="226"/>
        <v>2021.090B.R.Vividuovirus_new_species.zip</v>
      </c>
      <c r="U4926" s="29" t="str">
        <f>HYPERLINK("https://ictv.global/taxonomy/taxondetails?taxnode_id=202312689","ictv.global=202312689")</f>
        <v>ictv.global=202312689</v>
      </c>
    </row>
    <row r="4927" spans="1:21">
      <c r="A4927">
        <v>4926</v>
      </c>
      <c r="B4927" s="30" t="s">
        <v>1587</v>
      </c>
      <c r="D4927" s="30" t="s">
        <v>1588</v>
      </c>
      <c r="F4927" s="30" t="s">
        <v>1591</v>
      </c>
      <c r="H4927" s="30" t="s">
        <v>1592</v>
      </c>
      <c r="N4927" s="30" t="s">
        <v>1568</v>
      </c>
      <c r="P4927" s="30" t="s">
        <v>8433</v>
      </c>
      <c r="Q4927" t="s">
        <v>619</v>
      </c>
      <c r="R4927" t="s">
        <v>917</v>
      </c>
      <c r="S4927">
        <v>37</v>
      </c>
      <c r="T4927" s="29" t="str">
        <f t="shared" si="226"/>
        <v>2021.090B.R.Vividuovirus_new_species.zip</v>
      </c>
      <c r="U4927" s="29" t="str">
        <f>HYPERLINK("https://ictv.global/taxonomy/taxondetails?taxnode_id=202312699","ictv.global=202312699")</f>
        <v>ictv.global=202312699</v>
      </c>
    </row>
    <row r="4928" spans="1:21">
      <c r="A4928">
        <v>4927</v>
      </c>
      <c r="B4928" s="30" t="s">
        <v>1587</v>
      </c>
      <c r="D4928" s="30" t="s">
        <v>1588</v>
      </c>
      <c r="F4928" s="30" t="s">
        <v>1591</v>
      </c>
      <c r="H4928" s="30" t="s">
        <v>1592</v>
      </c>
      <c r="N4928" s="30" t="s">
        <v>1568</v>
      </c>
      <c r="P4928" s="30" t="s">
        <v>8434</v>
      </c>
      <c r="Q4928" t="s">
        <v>619</v>
      </c>
      <c r="R4928" t="s">
        <v>917</v>
      </c>
      <c r="S4928">
        <v>37</v>
      </c>
      <c r="T4928" s="29" t="str">
        <f t="shared" si="226"/>
        <v>2021.090B.R.Vividuovirus_new_species.zip</v>
      </c>
      <c r="U4928" s="29" t="str">
        <f>HYPERLINK("https://ictv.global/taxonomy/taxondetails?taxnode_id=202312697","ictv.global=202312697")</f>
        <v>ictv.global=202312697</v>
      </c>
    </row>
    <row r="4929" spans="1:21">
      <c r="A4929">
        <v>4928</v>
      </c>
      <c r="B4929" s="30" t="s">
        <v>1587</v>
      </c>
      <c r="D4929" s="30" t="s">
        <v>1588</v>
      </c>
      <c r="F4929" s="30" t="s">
        <v>1591</v>
      </c>
      <c r="H4929" s="30" t="s">
        <v>1592</v>
      </c>
      <c r="N4929" s="30" t="s">
        <v>1568</v>
      </c>
      <c r="P4929" s="30" t="s">
        <v>8435</v>
      </c>
      <c r="Q4929" t="s">
        <v>619</v>
      </c>
      <c r="R4929" t="s">
        <v>917</v>
      </c>
      <c r="S4929">
        <v>37</v>
      </c>
      <c r="T4929" s="29" t="str">
        <f t="shared" si="226"/>
        <v>2021.090B.R.Vividuovirus_new_species.zip</v>
      </c>
      <c r="U4929" s="29" t="str">
        <f>HYPERLINK("https://ictv.global/taxonomy/taxondetails?taxnode_id=202312695","ictv.global=202312695")</f>
        <v>ictv.global=202312695</v>
      </c>
    </row>
    <row r="4930" spans="1:21">
      <c r="A4930">
        <v>4929</v>
      </c>
      <c r="B4930" s="30" t="s">
        <v>1587</v>
      </c>
      <c r="D4930" s="30" t="s">
        <v>1588</v>
      </c>
      <c r="F4930" s="30" t="s">
        <v>1591</v>
      </c>
      <c r="H4930" s="30" t="s">
        <v>1592</v>
      </c>
      <c r="N4930" s="30" t="s">
        <v>1568</v>
      </c>
      <c r="P4930" s="30" t="s">
        <v>8436</v>
      </c>
      <c r="Q4930" t="s">
        <v>619</v>
      </c>
      <c r="R4930" t="s">
        <v>917</v>
      </c>
      <c r="S4930">
        <v>37</v>
      </c>
      <c r="T4930" s="29" t="str">
        <f t="shared" si="226"/>
        <v>2021.090B.R.Vividuovirus_new_species.zip</v>
      </c>
      <c r="U4930" s="29" t="str">
        <f>HYPERLINK("https://ictv.global/taxonomy/taxondetails?taxnode_id=202312698","ictv.global=202312698")</f>
        <v>ictv.global=202312698</v>
      </c>
    </row>
    <row r="4931" spans="1:21">
      <c r="A4931">
        <v>4930</v>
      </c>
      <c r="B4931" s="30" t="s">
        <v>1587</v>
      </c>
      <c r="D4931" s="30" t="s">
        <v>1588</v>
      </c>
      <c r="F4931" s="30" t="s">
        <v>1591</v>
      </c>
      <c r="H4931" s="30" t="s">
        <v>1592</v>
      </c>
      <c r="N4931" s="30" t="s">
        <v>1568</v>
      </c>
      <c r="P4931" s="30" t="s">
        <v>8437</v>
      </c>
      <c r="Q4931" t="s">
        <v>619</v>
      </c>
      <c r="R4931" t="s">
        <v>917</v>
      </c>
      <c r="S4931">
        <v>37</v>
      </c>
      <c r="T4931" s="29" t="str">
        <f t="shared" si="226"/>
        <v>2021.090B.R.Vividuovirus_new_species.zip</v>
      </c>
      <c r="U4931" s="29" t="str">
        <f>HYPERLINK("https://ictv.global/taxonomy/taxondetails?taxnode_id=202312692","ictv.global=202312692")</f>
        <v>ictv.global=202312692</v>
      </c>
    </row>
    <row r="4932" spans="1:21">
      <c r="A4932">
        <v>4931</v>
      </c>
      <c r="B4932" s="30" t="s">
        <v>1587</v>
      </c>
      <c r="D4932" s="30" t="s">
        <v>1588</v>
      </c>
      <c r="F4932" s="30" t="s">
        <v>1591</v>
      </c>
      <c r="H4932" s="30" t="s">
        <v>1592</v>
      </c>
      <c r="N4932" s="30" t="s">
        <v>1568</v>
      </c>
      <c r="P4932" s="30" t="s">
        <v>8438</v>
      </c>
      <c r="Q4932" t="s">
        <v>619</v>
      </c>
      <c r="R4932" t="s">
        <v>917</v>
      </c>
      <c r="S4932">
        <v>37</v>
      </c>
      <c r="T4932" s="29" t="str">
        <f t="shared" si="226"/>
        <v>2021.090B.R.Vividuovirus_new_species.zip</v>
      </c>
      <c r="U4932" s="29" t="str">
        <f>HYPERLINK("https://ictv.global/taxonomy/taxondetails?taxnode_id=202312687","ictv.global=202312687")</f>
        <v>ictv.global=202312687</v>
      </c>
    </row>
    <row r="4933" spans="1:21">
      <c r="A4933">
        <v>4932</v>
      </c>
      <c r="B4933" s="30" t="s">
        <v>1587</v>
      </c>
      <c r="D4933" s="30" t="s">
        <v>1588</v>
      </c>
      <c r="F4933" s="30" t="s">
        <v>1591</v>
      </c>
      <c r="H4933" s="30" t="s">
        <v>1592</v>
      </c>
      <c r="N4933" s="30" t="s">
        <v>1568</v>
      </c>
      <c r="P4933" s="30" t="s">
        <v>8439</v>
      </c>
      <c r="Q4933" t="s">
        <v>619</v>
      </c>
      <c r="R4933" t="s">
        <v>917</v>
      </c>
      <c r="S4933">
        <v>37</v>
      </c>
      <c r="T4933" s="29" t="str">
        <f t="shared" si="226"/>
        <v>2021.090B.R.Vividuovirus_new_species.zip</v>
      </c>
      <c r="U4933" s="29" t="str">
        <f>HYPERLINK("https://ictv.global/taxonomy/taxondetails?taxnode_id=202312693","ictv.global=202312693")</f>
        <v>ictv.global=202312693</v>
      </c>
    </row>
    <row r="4934" spans="1:21">
      <c r="A4934">
        <v>4933</v>
      </c>
      <c r="B4934" s="30" t="s">
        <v>1587</v>
      </c>
      <c r="D4934" s="30" t="s">
        <v>1588</v>
      </c>
      <c r="F4934" s="30" t="s">
        <v>1591</v>
      </c>
      <c r="H4934" s="30" t="s">
        <v>1592</v>
      </c>
      <c r="N4934" s="30" t="s">
        <v>1568</v>
      </c>
      <c r="P4934" s="30" t="s">
        <v>8440</v>
      </c>
      <c r="Q4934" t="s">
        <v>619</v>
      </c>
      <c r="R4934" t="s">
        <v>918</v>
      </c>
      <c r="S4934">
        <v>37</v>
      </c>
      <c r="T4934" s="29" t="str">
        <f>HYPERLINK("https://ictv.global/ictv/proposals/2021.010B.R.Binomial_names.zip","2021.010B.R.Binomial_names.zip")</f>
        <v>2021.010B.R.Binomial_names.zip</v>
      </c>
      <c r="U4934" s="29" t="str">
        <f>HYPERLINK("https://ictv.global/taxonomy/taxondetails?taxnode_id=202306791","ictv.global=202306791")</f>
        <v>ictv.global=202306791</v>
      </c>
    </row>
    <row r="4935" spans="1:21">
      <c r="A4935">
        <v>4934</v>
      </c>
      <c r="B4935" s="30" t="s">
        <v>1587</v>
      </c>
      <c r="D4935" s="30" t="s">
        <v>1588</v>
      </c>
      <c r="F4935" s="30" t="s">
        <v>1591</v>
      </c>
      <c r="H4935" s="30" t="s">
        <v>1592</v>
      </c>
      <c r="N4935" s="30" t="s">
        <v>2498</v>
      </c>
      <c r="P4935" s="30" t="s">
        <v>8441</v>
      </c>
      <c r="Q4935" t="s">
        <v>619</v>
      </c>
      <c r="R4935" t="s">
        <v>918</v>
      </c>
      <c r="S4935">
        <v>37</v>
      </c>
      <c r="T4935" s="29" t="str">
        <f>HYPERLINK("https://ictv.global/ictv/proposals/2021.010B.R.Binomial_names.zip","2021.010B.R.Binomial_names.zip")</f>
        <v>2021.010B.R.Binomial_names.zip</v>
      </c>
      <c r="U4935" s="29" t="str">
        <f>HYPERLINK("https://ictv.global/taxonomy/taxondetails?taxnode_id=202312101","ictv.global=202312101")</f>
        <v>ictv.global=202312101</v>
      </c>
    </row>
    <row r="4936" spans="1:21">
      <c r="A4936">
        <v>4935</v>
      </c>
      <c r="B4936" s="30" t="s">
        <v>1587</v>
      </c>
      <c r="D4936" s="30" t="s">
        <v>1588</v>
      </c>
      <c r="F4936" s="30" t="s">
        <v>1591</v>
      </c>
      <c r="H4936" s="30" t="s">
        <v>1592</v>
      </c>
      <c r="N4936" s="30" t="s">
        <v>2498</v>
      </c>
      <c r="P4936" s="30" t="s">
        <v>8442</v>
      </c>
      <c r="Q4936" t="s">
        <v>619</v>
      </c>
      <c r="R4936" t="s">
        <v>918</v>
      </c>
      <c r="S4936">
        <v>37</v>
      </c>
      <c r="T4936" s="29" t="str">
        <f>HYPERLINK("https://ictv.global/ictv/proposals/2021.010B.R.Binomial_names.zip","2021.010B.R.Binomial_names.zip")</f>
        <v>2021.010B.R.Binomial_names.zip</v>
      </c>
      <c r="U4936" s="29" t="str">
        <f>HYPERLINK("https://ictv.global/taxonomy/taxondetails?taxnode_id=202312100","ictv.global=202312100")</f>
        <v>ictv.global=202312100</v>
      </c>
    </row>
    <row r="4937" spans="1:21">
      <c r="A4937">
        <v>4936</v>
      </c>
      <c r="B4937" s="30" t="s">
        <v>1587</v>
      </c>
      <c r="D4937" s="30" t="s">
        <v>1588</v>
      </c>
      <c r="F4937" s="30" t="s">
        <v>1591</v>
      </c>
      <c r="H4937" s="30" t="s">
        <v>1592</v>
      </c>
      <c r="N4937" s="30" t="s">
        <v>706</v>
      </c>
      <c r="P4937" s="30" t="s">
        <v>12713</v>
      </c>
      <c r="Q4937" t="s">
        <v>619</v>
      </c>
      <c r="R4937" t="s">
        <v>917</v>
      </c>
      <c r="S4937">
        <v>39</v>
      </c>
      <c r="T4937" s="29" t="str">
        <f t="shared" ref="T4937:T4946" si="227">HYPERLINK("https://ictv.global/ictv/proposals/2023.076B.Wbetavirus_11ns.zip","2023.076B.Wbetavirus_11ns.zip")</f>
        <v>2023.076B.Wbetavirus_11ns.zip</v>
      </c>
      <c r="U4937" s="29" t="str">
        <f>HYPERLINK("https://ictv.global/taxonomy/taxondetails?taxnode_id=202319493","ictv.global=202319493")</f>
        <v>ictv.global=202319493</v>
      </c>
    </row>
    <row r="4938" spans="1:21">
      <c r="A4938">
        <v>4937</v>
      </c>
      <c r="B4938" s="30" t="s">
        <v>1587</v>
      </c>
      <c r="D4938" s="30" t="s">
        <v>1588</v>
      </c>
      <c r="F4938" s="30" t="s">
        <v>1591</v>
      </c>
      <c r="H4938" s="30" t="s">
        <v>1592</v>
      </c>
      <c r="N4938" s="30" t="s">
        <v>706</v>
      </c>
      <c r="P4938" s="30" t="s">
        <v>12714</v>
      </c>
      <c r="Q4938" t="s">
        <v>619</v>
      </c>
      <c r="R4938" t="s">
        <v>917</v>
      </c>
      <c r="S4938">
        <v>39</v>
      </c>
      <c r="T4938" s="29" t="str">
        <f t="shared" si="227"/>
        <v>2023.076B.Wbetavirus_11ns.zip</v>
      </c>
      <c r="U4938" s="29" t="str">
        <f>HYPERLINK("https://ictv.global/taxonomy/taxondetails?taxnode_id=202319500","ictv.global=202319500")</f>
        <v>ictv.global=202319500</v>
      </c>
    </row>
    <row r="4939" spans="1:21">
      <c r="A4939">
        <v>4938</v>
      </c>
      <c r="B4939" s="30" t="s">
        <v>1587</v>
      </c>
      <c r="D4939" s="30" t="s">
        <v>1588</v>
      </c>
      <c r="F4939" s="30" t="s">
        <v>1591</v>
      </c>
      <c r="H4939" s="30" t="s">
        <v>1592</v>
      </c>
      <c r="N4939" s="30" t="s">
        <v>706</v>
      </c>
      <c r="P4939" s="30" t="s">
        <v>12715</v>
      </c>
      <c r="Q4939" t="s">
        <v>619</v>
      </c>
      <c r="R4939" t="s">
        <v>917</v>
      </c>
      <c r="S4939">
        <v>39</v>
      </c>
      <c r="T4939" s="29" t="str">
        <f t="shared" si="227"/>
        <v>2023.076B.Wbetavirus_11ns.zip</v>
      </c>
      <c r="U4939" s="29" t="str">
        <f>HYPERLINK("https://ictv.global/taxonomy/taxondetails?taxnode_id=202319496","ictv.global=202319496")</f>
        <v>ictv.global=202319496</v>
      </c>
    </row>
    <row r="4940" spans="1:21">
      <c r="A4940">
        <v>4939</v>
      </c>
      <c r="B4940" s="30" t="s">
        <v>1587</v>
      </c>
      <c r="D4940" s="30" t="s">
        <v>1588</v>
      </c>
      <c r="F4940" s="30" t="s">
        <v>1591</v>
      </c>
      <c r="H4940" s="30" t="s">
        <v>1592</v>
      </c>
      <c r="N4940" s="30" t="s">
        <v>706</v>
      </c>
      <c r="P4940" s="30" t="s">
        <v>12716</v>
      </c>
      <c r="Q4940" t="s">
        <v>619</v>
      </c>
      <c r="R4940" t="s">
        <v>917</v>
      </c>
      <c r="S4940">
        <v>39</v>
      </c>
      <c r="T4940" s="29" t="str">
        <f t="shared" si="227"/>
        <v>2023.076B.Wbetavirus_11ns.zip</v>
      </c>
      <c r="U4940" s="29" t="str">
        <f>HYPERLINK("https://ictv.global/taxonomy/taxondetails?taxnode_id=202319497","ictv.global=202319497")</f>
        <v>ictv.global=202319497</v>
      </c>
    </row>
    <row r="4941" spans="1:21">
      <c r="A4941">
        <v>4940</v>
      </c>
      <c r="B4941" s="30" t="s">
        <v>1587</v>
      </c>
      <c r="D4941" s="30" t="s">
        <v>1588</v>
      </c>
      <c r="F4941" s="30" t="s">
        <v>1591</v>
      </c>
      <c r="H4941" s="30" t="s">
        <v>1592</v>
      </c>
      <c r="N4941" s="30" t="s">
        <v>706</v>
      </c>
      <c r="P4941" s="30" t="s">
        <v>12717</v>
      </c>
      <c r="Q4941" t="s">
        <v>619</v>
      </c>
      <c r="R4941" t="s">
        <v>917</v>
      </c>
      <c r="S4941">
        <v>39</v>
      </c>
      <c r="T4941" s="29" t="str">
        <f t="shared" si="227"/>
        <v>2023.076B.Wbetavirus_11ns.zip</v>
      </c>
      <c r="U4941" s="29" t="str">
        <f>HYPERLINK("https://ictv.global/taxonomy/taxondetails?taxnode_id=202319494","ictv.global=202319494")</f>
        <v>ictv.global=202319494</v>
      </c>
    </row>
    <row r="4942" spans="1:21">
      <c r="A4942">
        <v>4941</v>
      </c>
      <c r="B4942" s="30" t="s">
        <v>1587</v>
      </c>
      <c r="D4942" s="30" t="s">
        <v>1588</v>
      </c>
      <c r="F4942" s="30" t="s">
        <v>1591</v>
      </c>
      <c r="H4942" s="30" t="s">
        <v>1592</v>
      </c>
      <c r="N4942" s="30" t="s">
        <v>706</v>
      </c>
      <c r="P4942" s="30" t="s">
        <v>12718</v>
      </c>
      <c r="Q4942" t="s">
        <v>619</v>
      </c>
      <c r="R4942" t="s">
        <v>917</v>
      </c>
      <c r="S4942">
        <v>39</v>
      </c>
      <c r="T4942" s="29" t="str">
        <f t="shared" si="227"/>
        <v>2023.076B.Wbetavirus_11ns.zip</v>
      </c>
      <c r="U4942" s="29" t="str">
        <f>HYPERLINK("https://ictv.global/taxonomy/taxondetails?taxnode_id=202319495","ictv.global=202319495")</f>
        <v>ictv.global=202319495</v>
      </c>
    </row>
    <row r="4943" spans="1:21">
      <c r="A4943">
        <v>4942</v>
      </c>
      <c r="B4943" s="30" t="s">
        <v>1587</v>
      </c>
      <c r="D4943" s="30" t="s">
        <v>1588</v>
      </c>
      <c r="F4943" s="30" t="s">
        <v>1591</v>
      </c>
      <c r="H4943" s="30" t="s">
        <v>1592</v>
      </c>
      <c r="N4943" s="30" t="s">
        <v>706</v>
      </c>
      <c r="P4943" s="30" t="s">
        <v>12719</v>
      </c>
      <c r="Q4943" t="s">
        <v>619</v>
      </c>
      <c r="R4943" t="s">
        <v>917</v>
      </c>
      <c r="S4943">
        <v>39</v>
      </c>
      <c r="T4943" s="29" t="str">
        <f t="shared" si="227"/>
        <v>2023.076B.Wbetavirus_11ns.zip</v>
      </c>
      <c r="U4943" s="29" t="str">
        <f>HYPERLINK("https://ictv.global/taxonomy/taxondetails?taxnode_id=202319502","ictv.global=202319502")</f>
        <v>ictv.global=202319502</v>
      </c>
    </row>
    <row r="4944" spans="1:21">
      <c r="A4944">
        <v>4943</v>
      </c>
      <c r="B4944" s="30" t="s">
        <v>1587</v>
      </c>
      <c r="D4944" s="30" t="s">
        <v>1588</v>
      </c>
      <c r="F4944" s="30" t="s">
        <v>1591</v>
      </c>
      <c r="H4944" s="30" t="s">
        <v>1592</v>
      </c>
      <c r="N4944" s="30" t="s">
        <v>706</v>
      </c>
      <c r="P4944" s="30" t="s">
        <v>12720</v>
      </c>
      <c r="Q4944" t="s">
        <v>619</v>
      </c>
      <c r="R4944" t="s">
        <v>917</v>
      </c>
      <c r="S4944">
        <v>39</v>
      </c>
      <c r="T4944" s="29" t="str">
        <f t="shared" si="227"/>
        <v>2023.076B.Wbetavirus_11ns.zip</v>
      </c>
      <c r="U4944" s="29" t="str">
        <f>HYPERLINK("https://ictv.global/taxonomy/taxondetails?taxnode_id=202319499","ictv.global=202319499")</f>
        <v>ictv.global=202319499</v>
      </c>
    </row>
    <row r="4945" spans="1:21">
      <c r="A4945">
        <v>4944</v>
      </c>
      <c r="B4945" s="30" t="s">
        <v>1587</v>
      </c>
      <c r="D4945" s="30" t="s">
        <v>1588</v>
      </c>
      <c r="F4945" s="30" t="s">
        <v>1591</v>
      </c>
      <c r="H4945" s="30" t="s">
        <v>1592</v>
      </c>
      <c r="N4945" s="30" t="s">
        <v>706</v>
      </c>
      <c r="P4945" s="30" t="s">
        <v>12721</v>
      </c>
      <c r="Q4945" t="s">
        <v>619</v>
      </c>
      <c r="R4945" t="s">
        <v>917</v>
      </c>
      <c r="S4945">
        <v>39</v>
      </c>
      <c r="T4945" s="29" t="str">
        <f t="shared" si="227"/>
        <v>2023.076B.Wbetavirus_11ns.zip</v>
      </c>
      <c r="U4945" s="29" t="str">
        <f>HYPERLINK("https://ictv.global/taxonomy/taxondetails?taxnode_id=202319498","ictv.global=202319498")</f>
        <v>ictv.global=202319498</v>
      </c>
    </row>
    <row r="4946" spans="1:21">
      <c r="A4946">
        <v>4945</v>
      </c>
      <c r="B4946" s="30" t="s">
        <v>1587</v>
      </c>
      <c r="D4946" s="30" t="s">
        <v>1588</v>
      </c>
      <c r="F4946" s="30" t="s">
        <v>1591</v>
      </c>
      <c r="H4946" s="30" t="s">
        <v>1592</v>
      </c>
      <c r="N4946" s="30" t="s">
        <v>706</v>
      </c>
      <c r="P4946" s="30" t="s">
        <v>12722</v>
      </c>
      <c r="Q4946" t="s">
        <v>619</v>
      </c>
      <c r="R4946" t="s">
        <v>917</v>
      </c>
      <c r="S4946">
        <v>39</v>
      </c>
      <c r="T4946" s="29" t="str">
        <f t="shared" si="227"/>
        <v>2023.076B.Wbetavirus_11ns.zip</v>
      </c>
      <c r="U4946" s="29" t="str">
        <f>HYPERLINK("https://ictv.global/taxonomy/taxondetails?taxnode_id=202319501","ictv.global=202319501")</f>
        <v>ictv.global=202319501</v>
      </c>
    </row>
    <row r="4947" spans="1:21">
      <c r="A4947">
        <v>4946</v>
      </c>
      <c r="B4947" s="30" t="s">
        <v>1587</v>
      </c>
      <c r="D4947" s="30" t="s">
        <v>1588</v>
      </c>
      <c r="F4947" s="30" t="s">
        <v>1591</v>
      </c>
      <c r="H4947" s="30" t="s">
        <v>1592</v>
      </c>
      <c r="N4947" s="30" t="s">
        <v>706</v>
      </c>
      <c r="P4947" s="30" t="s">
        <v>8443</v>
      </c>
      <c r="Q4947" t="s">
        <v>619</v>
      </c>
      <c r="R4947" t="s">
        <v>918</v>
      </c>
      <c r="S4947">
        <v>37</v>
      </c>
      <c r="T4947" s="29" t="str">
        <f>HYPERLINK("https://ictv.global/ictv/proposals/2021.010B.R.Binomial_names.zip","2021.010B.R.Binomial_names.zip")</f>
        <v>2021.010B.R.Binomial_names.zip</v>
      </c>
      <c r="U4947" s="29" t="str">
        <f>HYPERLINK("https://ictv.global/taxonomy/taxondetails?taxnode_id=202301369","ictv.global=202301369")</f>
        <v>ictv.global=202301369</v>
      </c>
    </row>
    <row r="4948" spans="1:21">
      <c r="A4948">
        <v>4947</v>
      </c>
      <c r="B4948" s="30" t="s">
        <v>1587</v>
      </c>
      <c r="D4948" s="30" t="s">
        <v>1588</v>
      </c>
      <c r="F4948" s="30" t="s">
        <v>1591</v>
      </c>
      <c r="H4948" s="30" t="s">
        <v>1592</v>
      </c>
      <c r="N4948" s="30" t="s">
        <v>706</v>
      </c>
      <c r="P4948" s="30" t="s">
        <v>12723</v>
      </c>
      <c r="Q4948" t="s">
        <v>619</v>
      </c>
      <c r="R4948" t="s">
        <v>917</v>
      </c>
      <c r="S4948">
        <v>39</v>
      </c>
      <c r="T4948" s="29" t="str">
        <f>HYPERLINK("https://ictv.global/ictv/proposals/2023.076B.Wbetavirus_11ns.zip","2023.076B.Wbetavirus_11ns.zip")</f>
        <v>2023.076B.Wbetavirus_11ns.zip</v>
      </c>
      <c r="U4948" s="29" t="str">
        <f>HYPERLINK("https://ictv.global/taxonomy/taxondetails?taxnode_id=202319503","ictv.global=202319503")</f>
        <v>ictv.global=202319503</v>
      </c>
    </row>
    <row r="4949" spans="1:21">
      <c r="A4949">
        <v>4948</v>
      </c>
      <c r="B4949" s="30" t="s">
        <v>1587</v>
      </c>
      <c r="D4949" s="30" t="s">
        <v>1588</v>
      </c>
      <c r="F4949" s="30" t="s">
        <v>1591</v>
      </c>
      <c r="H4949" s="30" t="s">
        <v>1592</v>
      </c>
      <c r="N4949" s="30" t="s">
        <v>1570</v>
      </c>
      <c r="P4949" s="30" t="s">
        <v>8444</v>
      </c>
      <c r="Q4949" t="s">
        <v>619</v>
      </c>
      <c r="R4949" t="s">
        <v>918</v>
      </c>
      <c r="S4949">
        <v>37</v>
      </c>
      <c r="T4949" s="29" t="str">
        <f>HYPERLINK("https://ictv.global/ictv/proposals/2021.010B.R.Binomial_names.zip","2021.010B.R.Binomial_names.zip")</f>
        <v>2021.010B.R.Binomial_names.zip</v>
      </c>
      <c r="U4949" s="29" t="str">
        <f>HYPERLINK("https://ictv.global/taxonomy/taxondetails?taxnode_id=202306795","ictv.global=202306795")</f>
        <v>ictv.global=202306795</v>
      </c>
    </row>
    <row r="4950" spans="1:21">
      <c r="A4950">
        <v>4949</v>
      </c>
      <c r="B4950" s="30" t="s">
        <v>1587</v>
      </c>
      <c r="D4950" s="30" t="s">
        <v>1588</v>
      </c>
      <c r="F4950" s="30" t="s">
        <v>1591</v>
      </c>
      <c r="H4950" s="30" t="s">
        <v>1592</v>
      </c>
      <c r="N4950" s="30" t="s">
        <v>2499</v>
      </c>
      <c r="P4950" s="30" t="s">
        <v>8446</v>
      </c>
      <c r="Q4950" t="s">
        <v>619</v>
      </c>
      <c r="R4950" t="s">
        <v>918</v>
      </c>
      <c r="S4950">
        <v>37</v>
      </c>
      <c r="T4950" s="29" t="str">
        <f>HYPERLINK("https://ictv.global/ictv/proposals/2021.010B.R.Binomial_names.zip","2021.010B.R.Binomial_names.zip")</f>
        <v>2021.010B.R.Binomial_names.zip</v>
      </c>
      <c r="U4950" s="29" t="str">
        <f>HYPERLINK("https://ictv.global/taxonomy/taxondetails?taxnode_id=202312119","ictv.global=202312119")</f>
        <v>ictv.global=202312119</v>
      </c>
    </row>
    <row r="4951" spans="1:21">
      <c r="A4951">
        <v>4950</v>
      </c>
      <c r="B4951" s="30" t="s">
        <v>1587</v>
      </c>
      <c r="D4951" s="30" t="s">
        <v>1588</v>
      </c>
      <c r="F4951" s="30" t="s">
        <v>1591</v>
      </c>
      <c r="H4951" s="30" t="s">
        <v>1592</v>
      </c>
      <c r="N4951" s="30" t="s">
        <v>2500</v>
      </c>
      <c r="P4951" s="30" t="s">
        <v>8447</v>
      </c>
      <c r="Q4951" t="s">
        <v>619</v>
      </c>
      <c r="R4951" t="s">
        <v>918</v>
      </c>
      <c r="S4951">
        <v>37</v>
      </c>
      <c r="T4951" s="29" t="str">
        <f>HYPERLINK("https://ictv.global/ictv/proposals/2021.010B.R.Binomial_names.zip","2021.010B.R.Binomial_names.zip")</f>
        <v>2021.010B.R.Binomial_names.zip</v>
      </c>
      <c r="U4951" s="29" t="str">
        <f>HYPERLINK("https://ictv.global/taxonomy/taxondetails?taxnode_id=202312121","ictv.global=202312121")</f>
        <v>ictv.global=202312121</v>
      </c>
    </row>
    <row r="4952" spans="1:21">
      <c r="A4952">
        <v>4951</v>
      </c>
      <c r="B4952" s="30" t="s">
        <v>1587</v>
      </c>
      <c r="D4952" s="30" t="s">
        <v>1588</v>
      </c>
      <c r="F4952" s="30" t="s">
        <v>1591</v>
      </c>
      <c r="H4952" s="30" t="s">
        <v>1592</v>
      </c>
      <c r="N4952" s="30" t="s">
        <v>12724</v>
      </c>
      <c r="P4952" s="30" t="s">
        <v>12725</v>
      </c>
      <c r="Q4952" t="s">
        <v>619</v>
      </c>
      <c r="R4952" t="s">
        <v>917</v>
      </c>
      <c r="S4952">
        <v>39</v>
      </c>
      <c r="T4952" s="29" t="str">
        <f>HYPERLINK("https://ictv.global/ictv/proposals/2023.002B.Actinobacteriophage_Database_Cluster_FE_1nsf_5ng.zip","2023.002B.Actinobacteriophage_Database_Cluster_FE_1nsf_5ng.zip")</f>
        <v>2023.002B.Actinobacteriophage_Database_Cluster_FE_1nsf_5ng.zip</v>
      </c>
      <c r="U4952" s="29" t="str">
        <f>HYPERLINK("https://ictv.global/taxonomy/taxondetails?taxnode_id=202317744","ictv.global=202317744")</f>
        <v>ictv.global=202317744</v>
      </c>
    </row>
    <row r="4953" spans="1:21">
      <c r="A4953">
        <v>4952</v>
      </c>
      <c r="B4953" s="30" t="s">
        <v>1587</v>
      </c>
      <c r="D4953" s="30" t="s">
        <v>1588</v>
      </c>
      <c r="F4953" s="30" t="s">
        <v>1591</v>
      </c>
      <c r="H4953" s="30" t="s">
        <v>1592</v>
      </c>
      <c r="N4953" s="30" t="s">
        <v>12724</v>
      </c>
      <c r="P4953" s="30" t="s">
        <v>12726</v>
      </c>
      <c r="Q4953" t="s">
        <v>619</v>
      </c>
      <c r="R4953" t="s">
        <v>917</v>
      </c>
      <c r="S4953">
        <v>39</v>
      </c>
      <c r="T4953" s="29" t="str">
        <f>HYPERLINK("https://ictv.global/ictv/proposals/2023.002B.Actinobacteriophage_Database_Cluster_FE_1nsf_5ng.zip","2023.002B.Actinobacteriophage_Database_Cluster_FE_1nsf_5ng.zip")</f>
        <v>2023.002B.Actinobacteriophage_Database_Cluster_FE_1nsf_5ng.zip</v>
      </c>
      <c r="U4953" s="29" t="str">
        <f>HYPERLINK("https://ictv.global/taxonomy/taxondetails?taxnode_id=202317745","ictv.global=202317745")</f>
        <v>ictv.global=202317745</v>
      </c>
    </row>
    <row r="4954" spans="1:21">
      <c r="A4954">
        <v>4953</v>
      </c>
      <c r="B4954" s="30" t="s">
        <v>1587</v>
      </c>
      <c r="D4954" s="30" t="s">
        <v>1588</v>
      </c>
      <c r="F4954" s="30" t="s">
        <v>1591</v>
      </c>
      <c r="H4954" s="30" t="s">
        <v>1592</v>
      </c>
      <c r="N4954" s="30" t="s">
        <v>1859</v>
      </c>
      <c r="P4954" s="30" t="s">
        <v>8448</v>
      </c>
      <c r="Q4954" t="s">
        <v>619</v>
      </c>
      <c r="R4954" t="s">
        <v>918</v>
      </c>
      <c r="S4954">
        <v>37</v>
      </c>
      <c r="T4954" s="29" t="str">
        <f>HYPERLINK("https://ictv.global/ictv/proposals/2021.010B.R.Binomial_names.zip","2021.010B.R.Binomial_names.zip")</f>
        <v>2021.010B.R.Binomial_names.zip</v>
      </c>
      <c r="U4954" s="29" t="str">
        <f>HYPERLINK("https://ictv.global/taxonomy/taxondetails?taxnode_id=202308076","ictv.global=202308076")</f>
        <v>ictv.global=202308076</v>
      </c>
    </row>
    <row r="4955" spans="1:21">
      <c r="A4955">
        <v>4954</v>
      </c>
      <c r="B4955" s="30" t="s">
        <v>1587</v>
      </c>
      <c r="D4955" s="30" t="s">
        <v>1588</v>
      </c>
      <c r="F4955" s="30" t="s">
        <v>1591</v>
      </c>
      <c r="H4955" s="30" t="s">
        <v>1592</v>
      </c>
      <c r="N4955" s="30" t="s">
        <v>1859</v>
      </c>
      <c r="P4955" s="30" t="s">
        <v>8449</v>
      </c>
      <c r="Q4955" t="s">
        <v>619</v>
      </c>
      <c r="R4955" t="s">
        <v>918</v>
      </c>
      <c r="S4955">
        <v>37</v>
      </c>
      <c r="T4955" s="29" t="str">
        <f>HYPERLINK("https://ictv.global/ictv/proposals/2021.010B.R.Binomial_names.zip","2021.010B.R.Binomial_names.zip")</f>
        <v>2021.010B.R.Binomial_names.zip</v>
      </c>
      <c r="U4955" s="29" t="str">
        <f>HYPERLINK("https://ictv.global/taxonomy/taxondetails?taxnode_id=202308075","ictv.global=202308075")</f>
        <v>ictv.global=202308075</v>
      </c>
    </row>
    <row r="4956" spans="1:21">
      <c r="A4956">
        <v>4955</v>
      </c>
      <c r="B4956" s="30" t="s">
        <v>1587</v>
      </c>
      <c r="D4956" s="30" t="s">
        <v>1588</v>
      </c>
      <c r="F4956" s="30" t="s">
        <v>1591</v>
      </c>
      <c r="H4956" s="30" t="s">
        <v>1592</v>
      </c>
      <c r="N4956" s="30" t="s">
        <v>1859</v>
      </c>
      <c r="P4956" s="30" t="s">
        <v>8450</v>
      </c>
      <c r="Q4956" t="s">
        <v>619</v>
      </c>
      <c r="R4956" t="s">
        <v>918</v>
      </c>
      <c r="S4956">
        <v>37</v>
      </c>
      <c r="T4956" s="29" t="str">
        <f>HYPERLINK("https://ictv.global/ictv/proposals/2021.010B.R.Binomial_names.zip","2021.010B.R.Binomial_names.zip")</f>
        <v>2021.010B.R.Binomial_names.zip</v>
      </c>
      <c r="U4956" s="29" t="str">
        <f>HYPERLINK("https://ictv.global/taxonomy/taxondetails?taxnode_id=202308074","ictv.global=202308074")</f>
        <v>ictv.global=202308074</v>
      </c>
    </row>
    <row r="4957" spans="1:21">
      <c r="A4957">
        <v>4956</v>
      </c>
      <c r="B4957" s="30" t="s">
        <v>1587</v>
      </c>
      <c r="D4957" s="30" t="s">
        <v>1588</v>
      </c>
      <c r="F4957" s="30" t="s">
        <v>1591</v>
      </c>
      <c r="H4957" s="30" t="s">
        <v>1592</v>
      </c>
      <c r="N4957" s="30" t="s">
        <v>1859</v>
      </c>
      <c r="P4957" s="30" t="s">
        <v>8451</v>
      </c>
      <c r="Q4957" t="s">
        <v>619</v>
      </c>
      <c r="R4957" t="s">
        <v>918</v>
      </c>
      <c r="S4957">
        <v>37</v>
      </c>
      <c r="T4957" s="29" t="str">
        <f>HYPERLINK("https://ictv.global/ictv/proposals/2021.010B.R.Binomial_names.zip","2021.010B.R.Binomial_names.zip")</f>
        <v>2021.010B.R.Binomial_names.zip</v>
      </c>
      <c r="U4957" s="29" t="str">
        <f>HYPERLINK("https://ictv.global/taxonomy/taxondetails?taxnode_id=202308077","ictv.global=202308077")</f>
        <v>ictv.global=202308077</v>
      </c>
    </row>
    <row r="4958" spans="1:21">
      <c r="A4958">
        <v>4957</v>
      </c>
      <c r="B4958" s="30" t="s">
        <v>1587</v>
      </c>
      <c r="D4958" s="30" t="s">
        <v>1588</v>
      </c>
      <c r="F4958" s="30" t="s">
        <v>1591</v>
      </c>
      <c r="H4958" s="30" t="s">
        <v>1592</v>
      </c>
      <c r="N4958" s="30" t="s">
        <v>942</v>
      </c>
      <c r="P4958" s="30" t="s">
        <v>8452</v>
      </c>
      <c r="Q4958" t="s">
        <v>619</v>
      </c>
      <c r="R4958" t="s">
        <v>917</v>
      </c>
      <c r="S4958">
        <v>37</v>
      </c>
      <c r="T4958" s="29" t="str">
        <f t="shared" ref="T4958:T4972" si="228">HYPERLINK("https://ictv.global/ictv/proposals/2021.092B.R.Wizardvirus_new_species.zip","2021.092B.R.Wizardvirus_new_species.zip")</f>
        <v>2021.092B.R.Wizardvirus_new_species.zip</v>
      </c>
      <c r="U4958" s="29" t="str">
        <f>HYPERLINK("https://ictv.global/taxonomy/taxondetails?taxnode_id=202313384","ictv.global=202313384")</f>
        <v>ictv.global=202313384</v>
      </c>
    </row>
    <row r="4959" spans="1:21">
      <c r="A4959">
        <v>4958</v>
      </c>
      <c r="B4959" s="30" t="s">
        <v>1587</v>
      </c>
      <c r="D4959" s="30" t="s">
        <v>1588</v>
      </c>
      <c r="F4959" s="30" t="s">
        <v>1591</v>
      </c>
      <c r="H4959" s="30" t="s">
        <v>1592</v>
      </c>
      <c r="N4959" s="30" t="s">
        <v>942</v>
      </c>
      <c r="P4959" s="30" t="s">
        <v>8453</v>
      </c>
      <c r="Q4959" t="s">
        <v>619</v>
      </c>
      <c r="R4959" t="s">
        <v>917</v>
      </c>
      <c r="S4959">
        <v>37</v>
      </c>
      <c r="T4959" s="29" t="str">
        <f t="shared" si="228"/>
        <v>2021.092B.R.Wizardvirus_new_species.zip</v>
      </c>
      <c r="U4959" s="29" t="str">
        <f>HYPERLINK("https://ictv.global/taxonomy/taxondetails?taxnode_id=202312763","ictv.global=202312763")</f>
        <v>ictv.global=202312763</v>
      </c>
    </row>
    <row r="4960" spans="1:21">
      <c r="A4960">
        <v>4959</v>
      </c>
      <c r="B4960" s="30" t="s">
        <v>1587</v>
      </c>
      <c r="D4960" s="30" t="s">
        <v>1588</v>
      </c>
      <c r="F4960" s="30" t="s">
        <v>1591</v>
      </c>
      <c r="H4960" s="30" t="s">
        <v>1592</v>
      </c>
      <c r="N4960" s="30" t="s">
        <v>942</v>
      </c>
      <c r="P4960" s="30" t="s">
        <v>8454</v>
      </c>
      <c r="Q4960" t="s">
        <v>619</v>
      </c>
      <c r="R4960" t="s">
        <v>917</v>
      </c>
      <c r="S4960">
        <v>37</v>
      </c>
      <c r="T4960" s="29" t="str">
        <f t="shared" si="228"/>
        <v>2021.092B.R.Wizardvirus_new_species.zip</v>
      </c>
      <c r="U4960" s="29" t="str">
        <f>HYPERLINK("https://ictv.global/taxonomy/taxondetails?taxnode_id=202313381","ictv.global=202313381")</f>
        <v>ictv.global=202313381</v>
      </c>
    </row>
    <row r="4961" spans="1:21">
      <c r="A4961">
        <v>4960</v>
      </c>
      <c r="B4961" s="30" t="s">
        <v>1587</v>
      </c>
      <c r="D4961" s="30" t="s">
        <v>1588</v>
      </c>
      <c r="F4961" s="30" t="s">
        <v>1591</v>
      </c>
      <c r="H4961" s="30" t="s">
        <v>1592</v>
      </c>
      <c r="N4961" s="30" t="s">
        <v>942</v>
      </c>
      <c r="P4961" s="30" t="s">
        <v>8455</v>
      </c>
      <c r="Q4961" t="s">
        <v>619</v>
      </c>
      <c r="R4961" t="s">
        <v>917</v>
      </c>
      <c r="S4961">
        <v>37</v>
      </c>
      <c r="T4961" s="29" t="str">
        <f t="shared" si="228"/>
        <v>2021.092B.R.Wizardvirus_new_species.zip</v>
      </c>
      <c r="U4961" s="29" t="str">
        <f>HYPERLINK("https://ictv.global/taxonomy/taxondetails?taxnode_id=202312767","ictv.global=202312767")</f>
        <v>ictv.global=202312767</v>
      </c>
    </row>
    <row r="4962" spans="1:21">
      <c r="A4962">
        <v>4961</v>
      </c>
      <c r="B4962" s="30" t="s">
        <v>1587</v>
      </c>
      <c r="D4962" s="30" t="s">
        <v>1588</v>
      </c>
      <c r="F4962" s="30" t="s">
        <v>1591</v>
      </c>
      <c r="H4962" s="30" t="s">
        <v>1592</v>
      </c>
      <c r="N4962" s="30" t="s">
        <v>942</v>
      </c>
      <c r="P4962" s="30" t="s">
        <v>8456</v>
      </c>
      <c r="Q4962" t="s">
        <v>619</v>
      </c>
      <c r="R4962" t="s">
        <v>917</v>
      </c>
      <c r="S4962">
        <v>37</v>
      </c>
      <c r="T4962" s="29" t="str">
        <f t="shared" si="228"/>
        <v>2021.092B.R.Wizardvirus_new_species.zip</v>
      </c>
      <c r="U4962" s="29" t="str">
        <f>HYPERLINK("https://ictv.global/taxonomy/taxondetails?taxnode_id=202313377","ictv.global=202313377")</f>
        <v>ictv.global=202313377</v>
      </c>
    </row>
    <row r="4963" spans="1:21">
      <c r="A4963">
        <v>4962</v>
      </c>
      <c r="B4963" s="30" t="s">
        <v>1587</v>
      </c>
      <c r="D4963" s="30" t="s">
        <v>1588</v>
      </c>
      <c r="F4963" s="30" t="s">
        <v>1591</v>
      </c>
      <c r="H4963" s="30" t="s">
        <v>1592</v>
      </c>
      <c r="N4963" s="30" t="s">
        <v>942</v>
      </c>
      <c r="P4963" s="30" t="s">
        <v>8457</v>
      </c>
      <c r="Q4963" t="s">
        <v>619</v>
      </c>
      <c r="R4963" t="s">
        <v>917</v>
      </c>
      <c r="S4963">
        <v>37</v>
      </c>
      <c r="T4963" s="29" t="str">
        <f t="shared" si="228"/>
        <v>2021.092B.R.Wizardvirus_new_species.zip</v>
      </c>
      <c r="U4963" s="29" t="str">
        <f>HYPERLINK("https://ictv.global/taxonomy/taxondetails?taxnode_id=202312766","ictv.global=202312766")</f>
        <v>ictv.global=202312766</v>
      </c>
    </row>
    <row r="4964" spans="1:21">
      <c r="A4964">
        <v>4963</v>
      </c>
      <c r="B4964" s="30" t="s">
        <v>1587</v>
      </c>
      <c r="D4964" s="30" t="s">
        <v>1588</v>
      </c>
      <c r="F4964" s="30" t="s">
        <v>1591</v>
      </c>
      <c r="H4964" s="30" t="s">
        <v>1592</v>
      </c>
      <c r="N4964" s="30" t="s">
        <v>942</v>
      </c>
      <c r="P4964" s="30" t="s">
        <v>8458</v>
      </c>
      <c r="Q4964" t="s">
        <v>619</v>
      </c>
      <c r="R4964" t="s">
        <v>917</v>
      </c>
      <c r="S4964">
        <v>37</v>
      </c>
      <c r="T4964" s="29" t="str">
        <f t="shared" si="228"/>
        <v>2021.092B.R.Wizardvirus_new_species.zip</v>
      </c>
      <c r="U4964" s="29" t="str">
        <f>HYPERLINK("https://ictv.global/taxonomy/taxondetails?taxnode_id=202312768","ictv.global=202312768")</f>
        <v>ictv.global=202312768</v>
      </c>
    </row>
    <row r="4965" spans="1:21">
      <c r="A4965">
        <v>4964</v>
      </c>
      <c r="B4965" s="30" t="s">
        <v>1587</v>
      </c>
      <c r="D4965" s="30" t="s">
        <v>1588</v>
      </c>
      <c r="F4965" s="30" t="s">
        <v>1591</v>
      </c>
      <c r="H4965" s="30" t="s">
        <v>1592</v>
      </c>
      <c r="N4965" s="30" t="s">
        <v>942</v>
      </c>
      <c r="P4965" s="30" t="s">
        <v>8459</v>
      </c>
      <c r="Q4965" t="s">
        <v>619</v>
      </c>
      <c r="R4965" t="s">
        <v>917</v>
      </c>
      <c r="S4965">
        <v>37</v>
      </c>
      <c r="T4965" s="29" t="str">
        <f t="shared" si="228"/>
        <v>2021.092B.R.Wizardvirus_new_species.zip</v>
      </c>
      <c r="U4965" s="29" t="str">
        <f>HYPERLINK("https://ictv.global/taxonomy/taxondetails?taxnode_id=202313379","ictv.global=202313379")</f>
        <v>ictv.global=202313379</v>
      </c>
    </row>
    <row r="4966" spans="1:21">
      <c r="A4966">
        <v>4965</v>
      </c>
      <c r="B4966" s="30" t="s">
        <v>1587</v>
      </c>
      <c r="D4966" s="30" t="s">
        <v>1588</v>
      </c>
      <c r="F4966" s="30" t="s">
        <v>1591</v>
      </c>
      <c r="H4966" s="30" t="s">
        <v>1592</v>
      </c>
      <c r="N4966" s="30" t="s">
        <v>942</v>
      </c>
      <c r="P4966" s="30" t="s">
        <v>8460</v>
      </c>
      <c r="Q4966" t="s">
        <v>619</v>
      </c>
      <c r="R4966" t="s">
        <v>917</v>
      </c>
      <c r="S4966">
        <v>37</v>
      </c>
      <c r="T4966" s="29" t="str">
        <f t="shared" si="228"/>
        <v>2021.092B.R.Wizardvirus_new_species.zip</v>
      </c>
      <c r="U4966" s="29" t="str">
        <f>HYPERLINK("https://ictv.global/taxonomy/taxondetails?taxnode_id=202312764","ictv.global=202312764")</f>
        <v>ictv.global=202312764</v>
      </c>
    </row>
    <row r="4967" spans="1:21">
      <c r="A4967">
        <v>4966</v>
      </c>
      <c r="B4967" s="30" t="s">
        <v>1587</v>
      </c>
      <c r="D4967" s="30" t="s">
        <v>1588</v>
      </c>
      <c r="F4967" s="30" t="s">
        <v>1591</v>
      </c>
      <c r="H4967" s="30" t="s">
        <v>1592</v>
      </c>
      <c r="N4967" s="30" t="s">
        <v>942</v>
      </c>
      <c r="P4967" s="30" t="s">
        <v>8461</v>
      </c>
      <c r="Q4967" t="s">
        <v>619</v>
      </c>
      <c r="R4967" t="s">
        <v>917</v>
      </c>
      <c r="S4967">
        <v>37</v>
      </c>
      <c r="T4967" s="29" t="str">
        <f t="shared" si="228"/>
        <v>2021.092B.R.Wizardvirus_new_species.zip</v>
      </c>
      <c r="U4967" s="29" t="str">
        <f>HYPERLINK("https://ictv.global/taxonomy/taxondetails?taxnode_id=202313375","ictv.global=202313375")</f>
        <v>ictv.global=202313375</v>
      </c>
    </row>
    <row r="4968" spans="1:21">
      <c r="A4968">
        <v>4967</v>
      </c>
      <c r="B4968" s="30" t="s">
        <v>1587</v>
      </c>
      <c r="D4968" s="30" t="s">
        <v>1588</v>
      </c>
      <c r="F4968" s="30" t="s">
        <v>1591</v>
      </c>
      <c r="H4968" s="30" t="s">
        <v>1592</v>
      </c>
      <c r="N4968" s="30" t="s">
        <v>942</v>
      </c>
      <c r="P4968" s="30" t="s">
        <v>8462</v>
      </c>
      <c r="Q4968" t="s">
        <v>619</v>
      </c>
      <c r="R4968" t="s">
        <v>917</v>
      </c>
      <c r="S4968">
        <v>37</v>
      </c>
      <c r="T4968" s="29" t="str">
        <f t="shared" si="228"/>
        <v>2021.092B.R.Wizardvirus_new_species.zip</v>
      </c>
      <c r="U4968" s="29" t="str">
        <f>HYPERLINK("https://ictv.global/taxonomy/taxondetails?taxnode_id=202313378","ictv.global=202313378")</f>
        <v>ictv.global=202313378</v>
      </c>
    </row>
    <row r="4969" spans="1:21">
      <c r="A4969">
        <v>4968</v>
      </c>
      <c r="B4969" s="30" t="s">
        <v>1587</v>
      </c>
      <c r="D4969" s="30" t="s">
        <v>1588</v>
      </c>
      <c r="F4969" s="30" t="s">
        <v>1591</v>
      </c>
      <c r="H4969" s="30" t="s">
        <v>1592</v>
      </c>
      <c r="N4969" s="30" t="s">
        <v>942</v>
      </c>
      <c r="P4969" s="30" t="s">
        <v>8463</v>
      </c>
      <c r="Q4969" t="s">
        <v>619</v>
      </c>
      <c r="R4969" t="s">
        <v>917</v>
      </c>
      <c r="S4969">
        <v>37</v>
      </c>
      <c r="T4969" s="29" t="str">
        <f t="shared" si="228"/>
        <v>2021.092B.R.Wizardvirus_new_species.zip</v>
      </c>
      <c r="U4969" s="29" t="str">
        <f>HYPERLINK("https://ictv.global/taxonomy/taxondetails?taxnode_id=202313374","ictv.global=202313374")</f>
        <v>ictv.global=202313374</v>
      </c>
    </row>
    <row r="4970" spans="1:21">
      <c r="A4970">
        <v>4969</v>
      </c>
      <c r="B4970" s="30" t="s">
        <v>1587</v>
      </c>
      <c r="D4970" s="30" t="s">
        <v>1588</v>
      </c>
      <c r="F4970" s="30" t="s">
        <v>1591</v>
      </c>
      <c r="H4970" s="30" t="s">
        <v>1592</v>
      </c>
      <c r="N4970" s="30" t="s">
        <v>942</v>
      </c>
      <c r="P4970" s="30" t="s">
        <v>8464</v>
      </c>
      <c r="Q4970" t="s">
        <v>619</v>
      </c>
      <c r="R4970" t="s">
        <v>917</v>
      </c>
      <c r="S4970">
        <v>37</v>
      </c>
      <c r="T4970" s="29" t="str">
        <f t="shared" si="228"/>
        <v>2021.092B.R.Wizardvirus_new_species.zip</v>
      </c>
      <c r="U4970" s="29" t="str">
        <f>HYPERLINK("https://ictv.global/taxonomy/taxondetails?taxnode_id=202313382","ictv.global=202313382")</f>
        <v>ictv.global=202313382</v>
      </c>
    </row>
    <row r="4971" spans="1:21">
      <c r="A4971">
        <v>4970</v>
      </c>
      <c r="B4971" s="30" t="s">
        <v>1587</v>
      </c>
      <c r="D4971" s="30" t="s">
        <v>1588</v>
      </c>
      <c r="F4971" s="30" t="s">
        <v>1591</v>
      </c>
      <c r="H4971" s="30" t="s">
        <v>1592</v>
      </c>
      <c r="N4971" s="30" t="s">
        <v>942</v>
      </c>
      <c r="P4971" s="30" t="s">
        <v>8465</v>
      </c>
      <c r="Q4971" t="s">
        <v>619</v>
      </c>
      <c r="R4971" t="s">
        <v>917</v>
      </c>
      <c r="S4971">
        <v>37</v>
      </c>
      <c r="T4971" s="29" t="str">
        <f t="shared" si="228"/>
        <v>2021.092B.R.Wizardvirus_new_species.zip</v>
      </c>
      <c r="U4971" s="29" t="str">
        <f>HYPERLINK("https://ictv.global/taxonomy/taxondetails?taxnode_id=202313376","ictv.global=202313376")</f>
        <v>ictv.global=202313376</v>
      </c>
    </row>
    <row r="4972" spans="1:21">
      <c r="A4972">
        <v>4971</v>
      </c>
      <c r="B4972" s="30" t="s">
        <v>1587</v>
      </c>
      <c r="D4972" s="30" t="s">
        <v>1588</v>
      </c>
      <c r="F4972" s="30" t="s">
        <v>1591</v>
      </c>
      <c r="H4972" s="30" t="s">
        <v>1592</v>
      </c>
      <c r="N4972" s="30" t="s">
        <v>942</v>
      </c>
      <c r="P4972" s="30" t="s">
        <v>8466</v>
      </c>
      <c r="Q4972" t="s">
        <v>619</v>
      </c>
      <c r="R4972" t="s">
        <v>917</v>
      </c>
      <c r="S4972">
        <v>37</v>
      </c>
      <c r="T4972" s="29" t="str">
        <f t="shared" si="228"/>
        <v>2021.092B.R.Wizardvirus_new_species.zip</v>
      </c>
      <c r="U4972" s="29" t="str">
        <f>HYPERLINK("https://ictv.global/taxonomy/taxondetails?taxnode_id=202312765","ictv.global=202312765")</f>
        <v>ictv.global=202312765</v>
      </c>
    </row>
    <row r="4973" spans="1:21">
      <c r="A4973">
        <v>4972</v>
      </c>
      <c r="B4973" s="30" t="s">
        <v>1587</v>
      </c>
      <c r="D4973" s="30" t="s">
        <v>1588</v>
      </c>
      <c r="F4973" s="30" t="s">
        <v>1591</v>
      </c>
      <c r="H4973" s="30" t="s">
        <v>1592</v>
      </c>
      <c r="N4973" s="30" t="s">
        <v>942</v>
      </c>
      <c r="P4973" s="30" t="s">
        <v>8467</v>
      </c>
      <c r="Q4973" t="s">
        <v>619</v>
      </c>
      <c r="R4973" t="s">
        <v>918</v>
      </c>
      <c r="S4973">
        <v>37</v>
      </c>
      <c r="T4973" s="29" t="str">
        <f>HYPERLINK("https://ictv.global/ictv/proposals/2021.010B.R.Binomial_names.zip","2021.010B.R.Binomial_names.zip")</f>
        <v>2021.010B.R.Binomial_names.zip</v>
      </c>
      <c r="U4973" s="29" t="str">
        <f>HYPERLINK("https://ictv.global/taxonomy/taxondetails?taxnode_id=202305567","ictv.global=202305567")</f>
        <v>ictv.global=202305567</v>
      </c>
    </row>
    <row r="4974" spans="1:21">
      <c r="A4974">
        <v>4973</v>
      </c>
      <c r="B4974" s="30" t="s">
        <v>1587</v>
      </c>
      <c r="D4974" s="30" t="s">
        <v>1588</v>
      </c>
      <c r="F4974" s="30" t="s">
        <v>1591</v>
      </c>
      <c r="H4974" s="30" t="s">
        <v>1592</v>
      </c>
      <c r="N4974" s="30" t="s">
        <v>942</v>
      </c>
      <c r="P4974" s="30" t="s">
        <v>8468</v>
      </c>
      <c r="Q4974" t="s">
        <v>619</v>
      </c>
      <c r="R4974" t="s">
        <v>917</v>
      </c>
      <c r="S4974">
        <v>37</v>
      </c>
      <c r="T4974" s="29" t="str">
        <f>HYPERLINK("https://ictv.global/ictv/proposals/2021.092B.R.Wizardvirus_new_species.zip","2021.092B.R.Wizardvirus_new_species.zip")</f>
        <v>2021.092B.R.Wizardvirus_new_species.zip</v>
      </c>
      <c r="U4974" s="29" t="str">
        <f>HYPERLINK("https://ictv.global/taxonomy/taxondetails?taxnode_id=202313380","ictv.global=202313380")</f>
        <v>ictv.global=202313380</v>
      </c>
    </row>
    <row r="4975" spans="1:21">
      <c r="A4975">
        <v>4974</v>
      </c>
      <c r="B4975" s="30" t="s">
        <v>1587</v>
      </c>
      <c r="D4975" s="30" t="s">
        <v>1588</v>
      </c>
      <c r="F4975" s="30" t="s">
        <v>1591</v>
      </c>
      <c r="H4975" s="30" t="s">
        <v>1592</v>
      </c>
      <c r="N4975" s="30" t="s">
        <v>942</v>
      </c>
      <c r="P4975" s="30" t="s">
        <v>8469</v>
      </c>
      <c r="Q4975" t="s">
        <v>619</v>
      </c>
      <c r="R4975" t="s">
        <v>917</v>
      </c>
      <c r="S4975">
        <v>37</v>
      </c>
      <c r="T4975" s="29" t="str">
        <f>HYPERLINK("https://ictv.global/ictv/proposals/2021.092B.R.Wizardvirus_new_species.zip","2021.092B.R.Wizardvirus_new_species.zip")</f>
        <v>2021.092B.R.Wizardvirus_new_species.zip</v>
      </c>
      <c r="U4975" s="29" t="str">
        <f>HYPERLINK("https://ictv.global/taxonomy/taxondetails?taxnode_id=202313383","ictv.global=202313383")</f>
        <v>ictv.global=202313383</v>
      </c>
    </row>
    <row r="4976" spans="1:21">
      <c r="A4976">
        <v>4975</v>
      </c>
      <c r="B4976" s="30" t="s">
        <v>1587</v>
      </c>
      <c r="D4976" s="30" t="s">
        <v>1588</v>
      </c>
      <c r="F4976" s="30" t="s">
        <v>1591</v>
      </c>
      <c r="H4976" s="30" t="s">
        <v>1592</v>
      </c>
      <c r="N4976" s="30" t="s">
        <v>942</v>
      </c>
      <c r="P4976" s="30" t="s">
        <v>8470</v>
      </c>
      <c r="Q4976" t="s">
        <v>619</v>
      </c>
      <c r="R4976" t="s">
        <v>918</v>
      </c>
      <c r="S4976">
        <v>37</v>
      </c>
      <c r="T4976" s="29" t="str">
        <f>HYPERLINK("https://ictv.global/ictv/proposals/2021.010B.R.Binomial_names.zip","2021.010B.R.Binomial_names.zip")</f>
        <v>2021.010B.R.Binomial_names.zip</v>
      </c>
      <c r="U4976" s="29" t="str">
        <f>HYPERLINK("https://ictv.global/taxonomy/taxondetails?taxnode_id=202305568","ictv.global=202305568")</f>
        <v>ictv.global=202305568</v>
      </c>
    </row>
    <row r="4977" spans="1:21">
      <c r="A4977">
        <v>4976</v>
      </c>
      <c r="B4977" s="30" t="s">
        <v>1587</v>
      </c>
      <c r="D4977" s="30" t="s">
        <v>1588</v>
      </c>
      <c r="F4977" s="30" t="s">
        <v>1591</v>
      </c>
      <c r="H4977" s="30" t="s">
        <v>1592</v>
      </c>
      <c r="N4977" s="30" t="s">
        <v>884</v>
      </c>
      <c r="P4977" s="30" t="s">
        <v>8471</v>
      </c>
      <c r="Q4977" t="s">
        <v>619</v>
      </c>
      <c r="R4977" t="s">
        <v>918</v>
      </c>
      <c r="S4977">
        <v>37</v>
      </c>
      <c r="T4977" s="29" t="str">
        <f>HYPERLINK("https://ictv.global/ictv/proposals/2021.010B.R.Binomial_names.zip","2021.010B.R.Binomial_names.zip")</f>
        <v>2021.010B.R.Binomial_names.zip</v>
      </c>
      <c r="U4977" s="29" t="str">
        <f>HYPERLINK("https://ictv.global/taxonomy/taxondetails?taxnode_id=202301375","ictv.global=202301375")</f>
        <v>ictv.global=202301375</v>
      </c>
    </row>
    <row r="4978" spans="1:21">
      <c r="A4978">
        <v>4977</v>
      </c>
      <c r="B4978" s="30" t="s">
        <v>1587</v>
      </c>
      <c r="D4978" s="30" t="s">
        <v>1588</v>
      </c>
      <c r="F4978" s="30" t="s">
        <v>1591</v>
      </c>
      <c r="H4978" s="30" t="s">
        <v>1592</v>
      </c>
      <c r="N4978" s="30" t="s">
        <v>8472</v>
      </c>
      <c r="P4978" s="30" t="s">
        <v>8473</v>
      </c>
      <c r="Q4978" t="s">
        <v>619</v>
      </c>
      <c r="R4978" t="s">
        <v>917</v>
      </c>
      <c r="S4978">
        <v>38</v>
      </c>
      <c r="T4978" s="29" t="str">
        <f>HYPERLINK("https://ictv.global/ictv/proposals/2022.093B.Wollypogvirus_ng.zip","2022.093B.Wollypogvirus_ng.zip")</f>
        <v>2022.093B.Wollypogvirus_ng.zip</v>
      </c>
      <c r="U4978" s="29" t="str">
        <f>HYPERLINK("https://ictv.global/taxonomy/taxondetails?taxnode_id=202314974","ictv.global=202314974")</f>
        <v>ictv.global=202314974</v>
      </c>
    </row>
    <row r="4979" spans="1:21">
      <c r="A4979">
        <v>4978</v>
      </c>
      <c r="B4979" s="30" t="s">
        <v>1587</v>
      </c>
      <c r="D4979" s="30" t="s">
        <v>1588</v>
      </c>
      <c r="F4979" s="30" t="s">
        <v>1591</v>
      </c>
      <c r="H4979" s="30" t="s">
        <v>1592</v>
      </c>
      <c r="N4979" s="30" t="s">
        <v>8474</v>
      </c>
      <c r="P4979" s="30" t="s">
        <v>8475</v>
      </c>
      <c r="Q4979" t="s">
        <v>619</v>
      </c>
      <c r="R4979" t="s">
        <v>917</v>
      </c>
      <c r="S4979">
        <v>38</v>
      </c>
      <c r="T4979" s="29" t="str">
        <f>HYPERLINK("https://ictv.global/ictv/proposals/2022.058B.Caudoviricetes_3ng.zip","2022.058B.Caudoviricetes_3ng.zip")</f>
        <v>2022.058B.Caudoviricetes_3ng.zip</v>
      </c>
      <c r="U4979" s="29" t="str">
        <f>HYPERLINK("https://ictv.global/taxonomy/taxondetails?taxnode_id=202314703","ictv.global=202314703")</f>
        <v>ictv.global=202314703</v>
      </c>
    </row>
    <row r="4980" spans="1:21">
      <c r="A4980">
        <v>4979</v>
      </c>
      <c r="B4980" s="30" t="s">
        <v>1587</v>
      </c>
      <c r="D4980" s="30" t="s">
        <v>1588</v>
      </c>
      <c r="F4980" s="30" t="s">
        <v>1591</v>
      </c>
      <c r="H4980" s="30" t="s">
        <v>1592</v>
      </c>
      <c r="N4980" s="30" t="s">
        <v>1572</v>
      </c>
      <c r="P4980" s="30" t="s">
        <v>8476</v>
      </c>
      <c r="Q4980" t="s">
        <v>619</v>
      </c>
      <c r="R4980" t="s">
        <v>918</v>
      </c>
      <c r="S4980">
        <v>37</v>
      </c>
      <c r="T4980" s="29" t="str">
        <f>HYPERLINK("https://ictv.global/ictv/proposals/2021.010B.R.Binomial_names.zip","2021.010B.R.Binomial_names.zip")</f>
        <v>2021.010B.R.Binomial_names.zip</v>
      </c>
      <c r="U4980" s="29" t="str">
        <f>HYPERLINK("https://ictv.global/taxonomy/taxondetails?taxnode_id=202301383","ictv.global=202301383")</f>
        <v>ictv.global=202301383</v>
      </c>
    </row>
    <row r="4981" spans="1:21">
      <c r="A4981">
        <v>4980</v>
      </c>
      <c r="B4981" s="30" t="s">
        <v>1587</v>
      </c>
      <c r="D4981" s="30" t="s">
        <v>1588</v>
      </c>
      <c r="F4981" s="30" t="s">
        <v>1591</v>
      </c>
      <c r="H4981" s="30" t="s">
        <v>1592</v>
      </c>
      <c r="N4981" s="30" t="s">
        <v>1572</v>
      </c>
      <c r="P4981" s="30" t="s">
        <v>8477</v>
      </c>
      <c r="Q4981" t="s">
        <v>619</v>
      </c>
      <c r="R4981" t="s">
        <v>918</v>
      </c>
      <c r="S4981">
        <v>37</v>
      </c>
      <c r="T4981" s="29" t="str">
        <f>HYPERLINK("https://ictv.global/ictv/proposals/2021.010B.R.Binomial_names.zip","2021.010B.R.Binomial_names.zip")</f>
        <v>2021.010B.R.Binomial_names.zip</v>
      </c>
      <c r="U4981" s="29" t="str">
        <f>HYPERLINK("https://ictv.global/taxonomy/taxondetails?taxnode_id=202301384","ictv.global=202301384")</f>
        <v>ictv.global=202301384</v>
      </c>
    </row>
    <row r="4982" spans="1:21">
      <c r="A4982">
        <v>4981</v>
      </c>
      <c r="B4982" s="30" t="s">
        <v>1587</v>
      </c>
      <c r="D4982" s="30" t="s">
        <v>1588</v>
      </c>
      <c r="F4982" s="30" t="s">
        <v>1591</v>
      </c>
      <c r="H4982" s="30" t="s">
        <v>1592</v>
      </c>
      <c r="N4982" s="30" t="s">
        <v>12727</v>
      </c>
      <c r="P4982" s="30" t="s">
        <v>12728</v>
      </c>
      <c r="Q4982" t="s">
        <v>619</v>
      </c>
      <c r="R4982" t="s">
        <v>917</v>
      </c>
      <c r="S4982">
        <v>39</v>
      </c>
      <c r="T4982" s="29" t="str">
        <f>HYPERLINK("https://ictv.global/ictv/proposals/2023.078B.Xajduovirus_ng.zip","2023.078B.Xajduovirus_ng.zip")</f>
        <v>2023.078B.Xajduovirus_ng.zip</v>
      </c>
      <c r="U4982" s="29" t="str">
        <f>HYPERLINK("https://ictv.global/taxonomy/taxondetails?taxnode_id=202319572","ictv.global=202319572")</f>
        <v>ictv.global=202319572</v>
      </c>
    </row>
    <row r="4983" spans="1:21">
      <c r="A4983">
        <v>4982</v>
      </c>
      <c r="B4983" s="30" t="s">
        <v>1587</v>
      </c>
      <c r="D4983" s="30" t="s">
        <v>1588</v>
      </c>
      <c r="F4983" s="30" t="s">
        <v>1591</v>
      </c>
      <c r="H4983" s="30" t="s">
        <v>1592</v>
      </c>
      <c r="N4983" s="30" t="s">
        <v>1573</v>
      </c>
      <c r="P4983" s="30" t="s">
        <v>8481</v>
      </c>
      <c r="Q4983" t="s">
        <v>619</v>
      </c>
      <c r="R4983" t="s">
        <v>918</v>
      </c>
      <c r="S4983">
        <v>37</v>
      </c>
      <c r="T4983" s="29" t="str">
        <f t="shared" ref="T4983:T4988" si="229">HYPERLINK("https://ictv.global/ictv/proposals/2021.010B.R.Binomial_names.zip","2021.010B.R.Binomial_names.zip")</f>
        <v>2021.010B.R.Binomial_names.zip</v>
      </c>
      <c r="U4983" s="29" t="str">
        <f>HYPERLINK("https://ictv.global/taxonomy/taxondetails?taxnode_id=202301242","ictv.global=202301242")</f>
        <v>ictv.global=202301242</v>
      </c>
    </row>
    <row r="4984" spans="1:21">
      <c r="A4984">
        <v>4983</v>
      </c>
      <c r="B4984" s="30" t="s">
        <v>1587</v>
      </c>
      <c r="D4984" s="30" t="s">
        <v>1588</v>
      </c>
      <c r="F4984" s="30" t="s">
        <v>1591</v>
      </c>
      <c r="H4984" s="30" t="s">
        <v>1592</v>
      </c>
      <c r="N4984" s="30" t="s">
        <v>1573</v>
      </c>
      <c r="P4984" s="30" t="s">
        <v>8482</v>
      </c>
      <c r="Q4984" t="s">
        <v>619</v>
      </c>
      <c r="R4984" t="s">
        <v>918</v>
      </c>
      <c r="S4984">
        <v>37</v>
      </c>
      <c r="T4984" s="29" t="str">
        <f t="shared" si="229"/>
        <v>2021.010B.R.Binomial_names.zip</v>
      </c>
      <c r="U4984" s="29" t="str">
        <f>HYPERLINK("https://ictv.global/taxonomy/taxondetails?taxnode_id=202301243","ictv.global=202301243")</f>
        <v>ictv.global=202301243</v>
      </c>
    </row>
    <row r="4985" spans="1:21">
      <c r="A4985">
        <v>4984</v>
      </c>
      <c r="B4985" s="30" t="s">
        <v>1587</v>
      </c>
      <c r="D4985" s="30" t="s">
        <v>1588</v>
      </c>
      <c r="F4985" s="30" t="s">
        <v>1591</v>
      </c>
      <c r="H4985" s="30" t="s">
        <v>1592</v>
      </c>
      <c r="N4985" s="30" t="s">
        <v>1574</v>
      </c>
      <c r="P4985" s="30" t="s">
        <v>8483</v>
      </c>
      <c r="Q4985" t="s">
        <v>619</v>
      </c>
      <c r="R4985" t="s">
        <v>918</v>
      </c>
      <c r="S4985">
        <v>37</v>
      </c>
      <c r="T4985" s="29" t="str">
        <f t="shared" si="229"/>
        <v>2021.010B.R.Binomial_names.zip</v>
      </c>
      <c r="U4985" s="29" t="str">
        <f>HYPERLINK("https://ictv.global/taxonomy/taxondetails?taxnode_id=202301378","ictv.global=202301378")</f>
        <v>ictv.global=202301378</v>
      </c>
    </row>
    <row r="4986" spans="1:21">
      <c r="A4986">
        <v>4985</v>
      </c>
      <c r="B4986" s="30" t="s">
        <v>1587</v>
      </c>
      <c r="D4986" s="30" t="s">
        <v>1588</v>
      </c>
      <c r="F4986" s="30" t="s">
        <v>1591</v>
      </c>
      <c r="H4986" s="30" t="s">
        <v>1592</v>
      </c>
      <c r="N4986" s="30" t="s">
        <v>1574</v>
      </c>
      <c r="P4986" s="30" t="s">
        <v>8484</v>
      </c>
      <c r="Q4986" t="s">
        <v>619</v>
      </c>
      <c r="R4986" t="s">
        <v>918</v>
      </c>
      <c r="S4986">
        <v>37</v>
      </c>
      <c r="T4986" s="29" t="str">
        <f t="shared" si="229"/>
        <v>2021.010B.R.Binomial_names.zip</v>
      </c>
      <c r="U4986" s="29" t="str">
        <f>HYPERLINK("https://ictv.global/taxonomy/taxondetails?taxnode_id=202301380","ictv.global=202301380")</f>
        <v>ictv.global=202301380</v>
      </c>
    </row>
    <row r="4987" spans="1:21">
      <c r="A4987">
        <v>4986</v>
      </c>
      <c r="B4987" s="30" t="s">
        <v>1587</v>
      </c>
      <c r="D4987" s="30" t="s">
        <v>1588</v>
      </c>
      <c r="F4987" s="30" t="s">
        <v>1591</v>
      </c>
      <c r="H4987" s="30" t="s">
        <v>1592</v>
      </c>
      <c r="N4987" s="30" t="s">
        <v>1574</v>
      </c>
      <c r="P4987" s="30" t="s">
        <v>8485</v>
      </c>
      <c r="Q4987" t="s">
        <v>619</v>
      </c>
      <c r="R4987" t="s">
        <v>918</v>
      </c>
      <c r="S4987">
        <v>37</v>
      </c>
      <c r="T4987" s="29" t="str">
        <f t="shared" si="229"/>
        <v>2021.010B.R.Binomial_names.zip</v>
      </c>
      <c r="U4987" s="29" t="str">
        <f>HYPERLINK("https://ictv.global/taxonomy/taxondetails?taxnode_id=202301381","ictv.global=202301381")</f>
        <v>ictv.global=202301381</v>
      </c>
    </row>
    <row r="4988" spans="1:21">
      <c r="A4988">
        <v>4987</v>
      </c>
      <c r="B4988" s="30" t="s">
        <v>1587</v>
      </c>
      <c r="D4988" s="30" t="s">
        <v>1588</v>
      </c>
      <c r="F4988" s="30" t="s">
        <v>1591</v>
      </c>
      <c r="H4988" s="30" t="s">
        <v>1592</v>
      </c>
      <c r="N4988" s="30" t="s">
        <v>1870</v>
      </c>
      <c r="P4988" s="30" t="s">
        <v>8486</v>
      </c>
      <c r="Q4988" t="s">
        <v>619</v>
      </c>
      <c r="R4988" t="s">
        <v>918</v>
      </c>
      <c r="S4988">
        <v>37</v>
      </c>
      <c r="T4988" s="29" t="str">
        <f t="shared" si="229"/>
        <v>2021.010B.R.Binomial_names.zip</v>
      </c>
      <c r="U4988" s="29" t="str">
        <f>HYPERLINK("https://ictv.global/taxonomy/taxondetails?taxnode_id=202307710","ictv.global=202307710")</f>
        <v>ictv.global=202307710</v>
      </c>
    </row>
    <row r="4989" spans="1:21">
      <c r="A4989">
        <v>4988</v>
      </c>
      <c r="B4989" s="30" t="s">
        <v>1587</v>
      </c>
      <c r="D4989" s="30" t="s">
        <v>1588</v>
      </c>
      <c r="F4989" s="30" t="s">
        <v>1591</v>
      </c>
      <c r="H4989" s="30" t="s">
        <v>1592</v>
      </c>
      <c r="N4989" s="30" t="s">
        <v>8487</v>
      </c>
      <c r="P4989" s="30" t="s">
        <v>8488</v>
      </c>
      <c r="Q4989" t="s">
        <v>619</v>
      </c>
      <c r="R4989" t="s">
        <v>917</v>
      </c>
      <c r="S4989">
        <v>38</v>
      </c>
      <c r="T4989" s="29" t="str">
        <f>HYPERLINK("https://ictv.global/ictv/proposals/2022.094B.Yanchengvirus_ng.zip","2022.094B.Yanchengvirus_ng.zip")</f>
        <v>2022.094B.Yanchengvirus_ng.zip</v>
      </c>
      <c r="U4989" s="29" t="str">
        <f>HYPERLINK("https://ictv.global/taxonomy/taxondetails?taxnode_id=202314976","ictv.global=202314976")</f>
        <v>ictv.global=202314976</v>
      </c>
    </row>
    <row r="4990" spans="1:21">
      <c r="A4990">
        <v>4989</v>
      </c>
      <c r="B4990" s="30" t="s">
        <v>1587</v>
      </c>
      <c r="D4990" s="30" t="s">
        <v>1588</v>
      </c>
      <c r="F4990" s="30" t="s">
        <v>1591</v>
      </c>
      <c r="H4990" s="30" t="s">
        <v>1592</v>
      </c>
      <c r="N4990" s="30" t="s">
        <v>8489</v>
      </c>
      <c r="P4990" s="30" t="s">
        <v>8490</v>
      </c>
      <c r="Q4990" t="s">
        <v>619</v>
      </c>
      <c r="R4990" t="s">
        <v>917</v>
      </c>
      <c r="S4990">
        <v>37</v>
      </c>
      <c r="T4990" s="29" t="str">
        <f>HYPERLINK("https://ictv.global/ictv/proposals/2021.093B.R.Yeceytrevirus.zip","2021.093B.R.Yeceytrevirus.zip")</f>
        <v>2021.093B.R.Yeceytrevirus.zip</v>
      </c>
      <c r="U4990" s="29" t="str">
        <f>HYPERLINK("https://ictv.global/taxonomy/taxondetails?taxnode_id=202313387","ictv.global=202313387")</f>
        <v>ictv.global=202313387</v>
      </c>
    </row>
    <row r="4991" spans="1:21">
      <c r="A4991">
        <v>4990</v>
      </c>
      <c r="B4991" s="30" t="s">
        <v>1587</v>
      </c>
      <c r="D4991" s="30" t="s">
        <v>1588</v>
      </c>
      <c r="F4991" s="30" t="s">
        <v>1591</v>
      </c>
      <c r="H4991" s="30" t="s">
        <v>1592</v>
      </c>
      <c r="N4991" s="30" t="s">
        <v>1396</v>
      </c>
      <c r="P4991" s="30" t="s">
        <v>8491</v>
      </c>
      <c r="Q4991" t="s">
        <v>619</v>
      </c>
      <c r="R4991" t="s">
        <v>918</v>
      </c>
      <c r="S4991">
        <v>37</v>
      </c>
      <c r="T4991" s="29" t="str">
        <f t="shared" ref="T4991:T4997" si="230">HYPERLINK("https://ictv.global/ictv/proposals/2021.010B.R.Binomial_names.zip","2021.010B.R.Binomial_names.zip")</f>
        <v>2021.010B.R.Binomial_names.zip</v>
      </c>
      <c r="U4991" s="29" t="str">
        <f>HYPERLINK("https://ictv.global/taxonomy/taxondetails?taxnode_id=202300453","ictv.global=202300453")</f>
        <v>ictv.global=202300453</v>
      </c>
    </row>
    <row r="4992" spans="1:21">
      <c r="A4992">
        <v>4991</v>
      </c>
      <c r="B4992" s="30" t="s">
        <v>1587</v>
      </c>
      <c r="D4992" s="30" t="s">
        <v>1588</v>
      </c>
      <c r="F4992" s="30" t="s">
        <v>1591</v>
      </c>
      <c r="H4992" s="30" t="s">
        <v>1592</v>
      </c>
      <c r="N4992" s="30" t="s">
        <v>1396</v>
      </c>
      <c r="P4992" s="30" t="s">
        <v>8492</v>
      </c>
      <c r="Q4992" t="s">
        <v>619</v>
      </c>
      <c r="R4992" t="s">
        <v>918</v>
      </c>
      <c r="S4992">
        <v>37</v>
      </c>
      <c r="T4992" s="29" t="str">
        <f t="shared" si="230"/>
        <v>2021.010B.R.Binomial_names.zip</v>
      </c>
      <c r="U4992" s="29" t="str">
        <f>HYPERLINK("https://ictv.global/taxonomy/taxondetails?taxnode_id=202300454","ictv.global=202300454")</f>
        <v>ictv.global=202300454</v>
      </c>
    </row>
    <row r="4993" spans="1:21">
      <c r="A4993">
        <v>4992</v>
      </c>
      <c r="B4993" s="30" t="s">
        <v>1587</v>
      </c>
      <c r="D4993" s="30" t="s">
        <v>1588</v>
      </c>
      <c r="F4993" s="30" t="s">
        <v>1591</v>
      </c>
      <c r="H4993" s="30" t="s">
        <v>1592</v>
      </c>
      <c r="N4993" s="30" t="s">
        <v>1860</v>
      </c>
      <c r="P4993" s="30" t="s">
        <v>8493</v>
      </c>
      <c r="Q4993" t="s">
        <v>619</v>
      </c>
      <c r="R4993" t="s">
        <v>918</v>
      </c>
      <c r="S4993">
        <v>37</v>
      </c>
      <c r="T4993" s="29" t="str">
        <f t="shared" si="230"/>
        <v>2021.010B.R.Binomial_names.zip</v>
      </c>
      <c r="U4993" s="29" t="str">
        <f>HYPERLINK("https://ictv.global/taxonomy/taxondetails?taxnode_id=202307918","ictv.global=202307918")</f>
        <v>ictv.global=202307918</v>
      </c>
    </row>
    <row r="4994" spans="1:21">
      <c r="A4994">
        <v>4993</v>
      </c>
      <c r="B4994" s="30" t="s">
        <v>1587</v>
      </c>
      <c r="D4994" s="30" t="s">
        <v>1588</v>
      </c>
      <c r="F4994" s="30" t="s">
        <v>1591</v>
      </c>
      <c r="H4994" s="30" t="s">
        <v>1592</v>
      </c>
      <c r="N4994" s="30" t="s">
        <v>2295</v>
      </c>
      <c r="P4994" s="30" t="s">
        <v>8494</v>
      </c>
      <c r="Q4994" t="s">
        <v>619</v>
      </c>
      <c r="R4994" t="s">
        <v>918</v>
      </c>
      <c r="S4994">
        <v>37</v>
      </c>
      <c r="T4994" s="29" t="str">
        <f t="shared" si="230"/>
        <v>2021.010B.R.Binomial_names.zip</v>
      </c>
      <c r="U4994" s="29" t="str">
        <f>HYPERLINK("https://ictv.global/taxonomy/taxondetails?taxnode_id=202300421","ictv.global=202300421")</f>
        <v>ictv.global=202300421</v>
      </c>
    </row>
    <row r="4995" spans="1:21">
      <c r="A4995">
        <v>4994</v>
      </c>
      <c r="B4995" s="30" t="s">
        <v>1587</v>
      </c>
      <c r="D4995" s="30" t="s">
        <v>1588</v>
      </c>
      <c r="F4995" s="30" t="s">
        <v>1591</v>
      </c>
      <c r="H4995" s="30" t="s">
        <v>1592</v>
      </c>
      <c r="N4995" s="30" t="s">
        <v>2295</v>
      </c>
      <c r="P4995" s="30" t="s">
        <v>8495</v>
      </c>
      <c r="Q4995" t="s">
        <v>619</v>
      </c>
      <c r="R4995" t="s">
        <v>918</v>
      </c>
      <c r="S4995">
        <v>37</v>
      </c>
      <c r="T4995" s="29" t="str">
        <f t="shared" si="230"/>
        <v>2021.010B.R.Binomial_names.zip</v>
      </c>
      <c r="U4995" s="29" t="str">
        <f>HYPERLINK("https://ictv.global/taxonomy/taxondetails?taxnode_id=202309883","ictv.global=202309883")</f>
        <v>ictv.global=202309883</v>
      </c>
    </row>
    <row r="4996" spans="1:21">
      <c r="A4996">
        <v>4995</v>
      </c>
      <c r="B4996" s="30" t="s">
        <v>1587</v>
      </c>
      <c r="D4996" s="30" t="s">
        <v>1588</v>
      </c>
      <c r="F4996" s="30" t="s">
        <v>1591</v>
      </c>
      <c r="H4996" s="30" t="s">
        <v>1592</v>
      </c>
      <c r="N4996" s="30" t="s">
        <v>2295</v>
      </c>
      <c r="P4996" s="30" t="s">
        <v>8496</v>
      </c>
      <c r="Q4996" t="s">
        <v>619</v>
      </c>
      <c r="R4996" t="s">
        <v>918</v>
      </c>
      <c r="S4996">
        <v>37</v>
      </c>
      <c r="T4996" s="29" t="str">
        <f t="shared" si="230"/>
        <v>2021.010B.R.Binomial_names.zip</v>
      </c>
      <c r="U4996" s="29" t="str">
        <f>HYPERLINK("https://ictv.global/taxonomy/taxondetails?taxnode_id=202309882","ictv.global=202309882")</f>
        <v>ictv.global=202309882</v>
      </c>
    </row>
    <row r="4997" spans="1:21">
      <c r="A4997">
        <v>4996</v>
      </c>
      <c r="B4997" s="30" t="s">
        <v>1587</v>
      </c>
      <c r="D4997" s="30" t="s">
        <v>1588</v>
      </c>
      <c r="F4997" s="30" t="s">
        <v>1591</v>
      </c>
      <c r="H4997" s="30" t="s">
        <v>1592</v>
      </c>
      <c r="N4997" s="30" t="s">
        <v>2295</v>
      </c>
      <c r="P4997" s="30" t="s">
        <v>8497</v>
      </c>
      <c r="Q4997" t="s">
        <v>619</v>
      </c>
      <c r="R4997" t="s">
        <v>918</v>
      </c>
      <c r="S4997">
        <v>37</v>
      </c>
      <c r="T4997" s="29" t="str">
        <f t="shared" si="230"/>
        <v>2021.010B.R.Binomial_names.zip</v>
      </c>
      <c r="U4997" s="29" t="str">
        <f>HYPERLINK("https://ictv.global/taxonomy/taxondetails?taxnode_id=202309881","ictv.global=202309881")</f>
        <v>ictv.global=202309881</v>
      </c>
    </row>
    <row r="4998" spans="1:21">
      <c r="A4998">
        <v>4997</v>
      </c>
      <c r="B4998" s="30" t="s">
        <v>1587</v>
      </c>
      <c r="D4998" s="30" t="s">
        <v>1588</v>
      </c>
      <c r="F4998" s="30" t="s">
        <v>1591</v>
      </c>
      <c r="H4998" s="30" t="s">
        <v>1592</v>
      </c>
      <c r="N4998" s="30" t="s">
        <v>1575</v>
      </c>
      <c r="P4998" s="30" t="s">
        <v>1576</v>
      </c>
      <c r="Q4998" t="s">
        <v>619</v>
      </c>
      <c r="R4998" t="s">
        <v>919</v>
      </c>
      <c r="S4998">
        <v>37</v>
      </c>
      <c r="T4998" s="29" t="str">
        <f>HYPERLINK("https://ictv.global/ictv/proposals/2021.001B.R.abolish_Caudovirales.zip","2021.001B.R.abolish_Caudovirales.zip")</f>
        <v>2021.001B.R.abolish_Caudovirales.zip</v>
      </c>
      <c r="U4998" s="29" t="str">
        <f>HYPERLINK("https://ictv.global/taxonomy/taxondetails?taxnode_id=202306617","ictv.global=202306617")</f>
        <v>ictv.global=202306617</v>
      </c>
    </row>
    <row r="4999" spans="1:21">
      <c r="A4999">
        <v>4998</v>
      </c>
      <c r="B4999" s="30" t="s">
        <v>1587</v>
      </c>
      <c r="D4999" s="30" t="s">
        <v>1588</v>
      </c>
      <c r="F4999" s="30" t="s">
        <v>1591</v>
      </c>
      <c r="H4999" s="30" t="s">
        <v>1592</v>
      </c>
      <c r="N4999" s="30" t="s">
        <v>1955</v>
      </c>
      <c r="P4999" s="30" t="s">
        <v>8498</v>
      </c>
      <c r="Q4999" t="s">
        <v>619</v>
      </c>
      <c r="R4999" t="s">
        <v>918</v>
      </c>
      <c r="S4999">
        <v>37</v>
      </c>
      <c r="T4999" s="29" t="str">
        <f>HYPERLINK("https://ictv.global/ictv/proposals/2021.010B.R.Binomial_names.zip","2021.010B.R.Binomial_names.zip")</f>
        <v>2021.010B.R.Binomial_names.zip</v>
      </c>
      <c r="U4999" s="29" t="str">
        <f>HYPERLINK("https://ictv.global/taxonomy/taxondetails?taxnode_id=202308079","ictv.global=202308079")</f>
        <v>ictv.global=202308079</v>
      </c>
    </row>
    <row r="5000" spans="1:21">
      <c r="A5000">
        <v>4999</v>
      </c>
      <c r="B5000" s="30" t="s">
        <v>1587</v>
      </c>
      <c r="D5000" s="30" t="s">
        <v>1588</v>
      </c>
      <c r="F5000" s="30" t="s">
        <v>1591</v>
      </c>
      <c r="H5000" s="30" t="s">
        <v>1592</v>
      </c>
      <c r="N5000" s="30" t="s">
        <v>8501</v>
      </c>
      <c r="P5000" s="30" t="s">
        <v>8502</v>
      </c>
      <c r="Q5000" t="s">
        <v>619</v>
      </c>
      <c r="R5000" t="s">
        <v>917</v>
      </c>
      <c r="S5000">
        <v>38</v>
      </c>
      <c r="T5000" s="29" t="str">
        <f>HYPERLINK("https://ictv.global/ictv/proposals/2022.096B.Zhangqianvirus_ng.zip","2022.096B.Zhangqianvirus_ng.zip")</f>
        <v>2022.096B.Zhangqianvirus_ng.zip</v>
      </c>
      <c r="U5000" s="29" t="str">
        <f>HYPERLINK("https://ictv.global/taxonomy/taxondetails?taxnode_id=202314980","ictv.global=202314980")</f>
        <v>ictv.global=202314980</v>
      </c>
    </row>
    <row r="5001" spans="1:21">
      <c r="A5001">
        <v>5000</v>
      </c>
      <c r="B5001" s="30" t="s">
        <v>1587</v>
      </c>
      <c r="D5001" s="30" t="s">
        <v>1588</v>
      </c>
      <c r="F5001" s="30" t="s">
        <v>1591</v>
      </c>
      <c r="H5001" s="30" t="s">
        <v>1592</v>
      </c>
      <c r="N5001" s="30" t="s">
        <v>12729</v>
      </c>
      <c r="P5001" s="30" t="s">
        <v>12730</v>
      </c>
      <c r="Q5001" t="s">
        <v>619</v>
      </c>
      <c r="R5001" t="s">
        <v>917</v>
      </c>
      <c r="S5001">
        <v>39</v>
      </c>
      <c r="T5001" s="29" t="str">
        <f>HYPERLINK("https://ictv.global/ictv/proposals/2023.079B.Zhuquevirus_ng.zip","2023.079B.Zhuquevirus_ng.zip")</f>
        <v>2023.079B.Zhuquevirus_ng.zip</v>
      </c>
      <c r="U5001" s="29" t="str">
        <f>HYPERLINK("https://ictv.global/taxonomy/taxondetails?taxnode_id=202319573","ictv.global=202319573")</f>
        <v>ictv.global=202319573</v>
      </c>
    </row>
    <row r="5002" spans="1:21">
      <c r="A5002">
        <v>5001</v>
      </c>
      <c r="B5002" s="30" t="s">
        <v>1587</v>
      </c>
      <c r="D5002" s="30" t="s">
        <v>1588</v>
      </c>
      <c r="F5002" s="30" t="s">
        <v>1591</v>
      </c>
      <c r="H5002" s="30" t="s">
        <v>1592</v>
      </c>
      <c r="N5002" s="30" t="s">
        <v>8503</v>
      </c>
      <c r="P5002" s="30" t="s">
        <v>8504</v>
      </c>
      <c r="Q5002" t="s">
        <v>619</v>
      </c>
      <c r="R5002" t="s">
        <v>917</v>
      </c>
      <c r="S5002">
        <v>37</v>
      </c>
      <c r="T5002" s="29" t="str">
        <f>HYPERLINK("https://ictv.global/ictv/proposals/2021.095B.R.Zitchvirus.zip","2021.095B.R.Zitchvirus.zip")</f>
        <v>2021.095B.R.Zitchvirus.zip</v>
      </c>
      <c r="U5002" s="29" t="str">
        <f>HYPERLINK("https://ictv.global/taxonomy/taxondetails?taxnode_id=202313422","ictv.global=202313422")</f>
        <v>ictv.global=202313422</v>
      </c>
    </row>
    <row r="5003" spans="1:21">
      <c r="A5003">
        <v>5002</v>
      </c>
      <c r="B5003" s="30" t="s">
        <v>1587</v>
      </c>
      <c r="D5003" s="30" t="s">
        <v>1588</v>
      </c>
      <c r="F5003" s="30" t="s">
        <v>1591</v>
      </c>
      <c r="H5003" s="30" t="s">
        <v>1592</v>
      </c>
      <c r="N5003" s="30" t="s">
        <v>8503</v>
      </c>
      <c r="P5003" s="30" t="s">
        <v>8505</v>
      </c>
      <c r="Q5003" t="s">
        <v>619</v>
      </c>
      <c r="R5003" t="s">
        <v>917</v>
      </c>
      <c r="S5003">
        <v>37</v>
      </c>
      <c r="T5003" s="29" t="str">
        <f>HYPERLINK("https://ictv.global/ictv/proposals/2021.095B.R.Zitchvirus.zip","2021.095B.R.Zitchvirus.zip")</f>
        <v>2021.095B.R.Zitchvirus.zip</v>
      </c>
      <c r="U5003" s="29" t="str">
        <f>HYPERLINK("https://ictv.global/taxonomy/taxondetails?taxnode_id=202313421","ictv.global=202313421")</f>
        <v>ictv.global=202313421</v>
      </c>
    </row>
    <row r="5004" spans="1:21">
      <c r="A5004">
        <v>5003</v>
      </c>
      <c r="B5004" s="30" t="s">
        <v>1587</v>
      </c>
      <c r="D5004" s="30" t="s">
        <v>1588</v>
      </c>
      <c r="F5004" s="30" t="s">
        <v>1591</v>
      </c>
      <c r="H5004" s="30" t="s">
        <v>1592</v>
      </c>
      <c r="N5004" s="30" t="s">
        <v>8503</v>
      </c>
      <c r="P5004" s="30" t="s">
        <v>8506</v>
      </c>
      <c r="Q5004" t="s">
        <v>619</v>
      </c>
      <c r="R5004" t="s">
        <v>917</v>
      </c>
      <c r="S5004">
        <v>37</v>
      </c>
      <c r="T5004" s="29" t="str">
        <f>HYPERLINK("https://ictv.global/ictv/proposals/2021.095B.R.Zitchvirus.zip","2021.095B.R.Zitchvirus.zip")</f>
        <v>2021.095B.R.Zitchvirus.zip</v>
      </c>
      <c r="U5004" s="29" t="str">
        <f>HYPERLINK("https://ictv.global/taxonomy/taxondetails?taxnode_id=202313420","ictv.global=202313420")</f>
        <v>ictv.global=202313420</v>
      </c>
    </row>
    <row r="5005" spans="1:21">
      <c r="A5005">
        <v>5004</v>
      </c>
      <c r="B5005" s="30" t="s">
        <v>1587</v>
      </c>
      <c r="D5005" s="30" t="s">
        <v>1588</v>
      </c>
      <c r="F5005" s="30" t="s">
        <v>1591</v>
      </c>
      <c r="H5005" s="30" t="s">
        <v>1592</v>
      </c>
      <c r="N5005" s="30" t="s">
        <v>8507</v>
      </c>
      <c r="P5005" s="30" t="s">
        <v>8508</v>
      </c>
      <c r="Q5005" t="s">
        <v>619</v>
      </c>
      <c r="R5005" t="s">
        <v>917</v>
      </c>
      <c r="S5005">
        <v>38</v>
      </c>
      <c r="T5005" s="29" t="str">
        <f>HYPERLINK("https://ictv.global/ictv/proposals/2022.081B.Caudoviricetes_6ng_streptomyces.zip","2022.081B.Caudoviricetes_6ng_streptomyces.zip")</f>
        <v>2022.081B.Caudoviricetes_6ng_streptomyces.zip</v>
      </c>
      <c r="U5005" s="29" t="str">
        <f>HYPERLINK("https://ictv.global/taxonomy/taxondetails?taxnode_id=202314880","ictv.global=202314880")</f>
        <v>ictv.global=202314880</v>
      </c>
    </row>
    <row r="5006" spans="1:21">
      <c r="A5006">
        <v>5005</v>
      </c>
      <c r="B5006" s="30" t="s">
        <v>1587</v>
      </c>
      <c r="D5006" s="30" t="s">
        <v>1588</v>
      </c>
      <c r="F5006" s="30" t="s">
        <v>1591</v>
      </c>
      <c r="H5006" s="30" t="s">
        <v>1592</v>
      </c>
      <c r="N5006" s="30" t="s">
        <v>8507</v>
      </c>
      <c r="P5006" s="30" t="s">
        <v>8509</v>
      </c>
      <c r="Q5006" t="s">
        <v>619</v>
      </c>
      <c r="R5006" t="s">
        <v>917</v>
      </c>
      <c r="S5006">
        <v>38</v>
      </c>
      <c r="T5006" s="29" t="str">
        <f>HYPERLINK("https://ictv.global/ictv/proposals/2022.081B.Caudoviricetes_6ng_streptomyces.zip","2022.081B.Caudoviricetes_6ng_streptomyces.zip")</f>
        <v>2022.081B.Caudoviricetes_6ng_streptomyces.zip</v>
      </c>
      <c r="U5006" s="29" t="str">
        <f>HYPERLINK("https://ictv.global/taxonomy/taxondetails?taxnode_id=202314879","ictv.global=202314879")</f>
        <v>ictv.global=202314879</v>
      </c>
    </row>
    <row r="5007" spans="1:21">
      <c r="A5007">
        <v>5006</v>
      </c>
      <c r="B5007" s="30" t="s">
        <v>1956</v>
      </c>
      <c r="D5007" s="30" t="s">
        <v>1957</v>
      </c>
      <c r="F5007" s="30" t="s">
        <v>1958</v>
      </c>
      <c r="H5007" s="30" t="s">
        <v>1959</v>
      </c>
      <c r="J5007" s="30" t="s">
        <v>1960</v>
      </c>
      <c r="L5007" s="30" t="s">
        <v>402</v>
      </c>
      <c r="N5007" s="30" t="s">
        <v>1961</v>
      </c>
      <c r="P5007" s="30" t="s">
        <v>8510</v>
      </c>
      <c r="Q5007" t="s">
        <v>739</v>
      </c>
      <c r="R5007" t="s">
        <v>920</v>
      </c>
      <c r="S5007">
        <v>37</v>
      </c>
      <c r="T5007" s="29" t="str">
        <f>HYPERLINK("https://ictv.global/ictv/proposals/2021.010B.R.Binomial_names.zip","2021.010B.R.Binomial_names.zip")</f>
        <v>2021.010B.R.Binomial_names.zip</v>
      </c>
      <c r="U5007" s="29" t="str">
        <f>HYPERLINK("https://ictv.global/taxonomy/taxondetails?taxnode_id=202303715","ictv.global=202303715")</f>
        <v>ictv.global=202303715</v>
      </c>
    </row>
    <row r="5008" spans="1:21">
      <c r="A5008">
        <v>5007</v>
      </c>
      <c r="B5008" s="30" t="s">
        <v>1956</v>
      </c>
      <c r="D5008" s="30" t="s">
        <v>1957</v>
      </c>
      <c r="F5008" s="30" t="s">
        <v>1958</v>
      </c>
      <c r="H5008" s="30" t="s">
        <v>1959</v>
      </c>
      <c r="J5008" s="30" t="s">
        <v>1960</v>
      </c>
      <c r="L5008" s="30" t="s">
        <v>402</v>
      </c>
      <c r="N5008" s="30" t="s">
        <v>1961</v>
      </c>
      <c r="P5008" s="30" t="s">
        <v>8511</v>
      </c>
      <c r="Q5008" t="s">
        <v>739</v>
      </c>
      <c r="R5008" t="s">
        <v>917</v>
      </c>
      <c r="S5008">
        <v>37</v>
      </c>
      <c r="T5008" s="29" t="str">
        <f>HYPERLINK("https://ictv.global/ictv/proposals/2021.085B.R.Tubulavirales.zip","2021.085B.R.Tubulavirales.zip")</f>
        <v>2021.085B.R.Tubulavirales.zip</v>
      </c>
      <c r="U5008" s="29" t="str">
        <f>HYPERLINK("https://ictv.global/taxonomy/taxondetails?taxnode_id=202312621","ictv.global=202312621")</f>
        <v>ictv.global=202312621</v>
      </c>
    </row>
    <row r="5009" spans="1:21">
      <c r="A5009">
        <v>5008</v>
      </c>
      <c r="B5009" s="30" t="s">
        <v>1956</v>
      </c>
      <c r="D5009" s="30" t="s">
        <v>1957</v>
      </c>
      <c r="F5009" s="30" t="s">
        <v>1958</v>
      </c>
      <c r="H5009" s="30" t="s">
        <v>1959</v>
      </c>
      <c r="J5009" s="30" t="s">
        <v>1960</v>
      </c>
      <c r="L5009" s="30" t="s">
        <v>402</v>
      </c>
      <c r="N5009" s="30" t="s">
        <v>1961</v>
      </c>
      <c r="P5009" s="30" t="s">
        <v>8512</v>
      </c>
      <c r="Q5009" t="s">
        <v>739</v>
      </c>
      <c r="R5009" t="s">
        <v>917</v>
      </c>
      <c r="S5009">
        <v>37</v>
      </c>
      <c r="T5009" s="29" t="str">
        <f>HYPERLINK("https://ictv.global/ictv/proposals/2021.085B.R.Tubulavirales.zip","2021.085B.R.Tubulavirales.zip")</f>
        <v>2021.085B.R.Tubulavirales.zip</v>
      </c>
      <c r="U5009" s="29" t="str">
        <f>HYPERLINK("https://ictv.global/taxonomy/taxondetails?taxnode_id=202312622","ictv.global=202312622")</f>
        <v>ictv.global=202312622</v>
      </c>
    </row>
    <row r="5010" spans="1:21">
      <c r="A5010">
        <v>5009</v>
      </c>
      <c r="B5010" s="30" t="s">
        <v>1956</v>
      </c>
      <c r="D5010" s="30" t="s">
        <v>1957</v>
      </c>
      <c r="F5010" s="30" t="s">
        <v>1958</v>
      </c>
      <c r="H5010" s="30" t="s">
        <v>1959</v>
      </c>
      <c r="J5010" s="30" t="s">
        <v>1960</v>
      </c>
      <c r="L5010" s="30" t="s">
        <v>402</v>
      </c>
      <c r="N5010" s="30" t="s">
        <v>12731</v>
      </c>
      <c r="P5010" s="30" t="s">
        <v>12732</v>
      </c>
      <c r="Q5010" t="s">
        <v>622</v>
      </c>
      <c r="R5010" t="s">
        <v>917</v>
      </c>
      <c r="S5010">
        <v>39</v>
      </c>
      <c r="T5010" s="29" t="str">
        <f>HYPERLINK("https://ictv.global/ictv/proposals/2023.070B.Inoviridae_8ns_1ng.zip","2023.070B.Inoviridae_8ns_1ng.zip")</f>
        <v>2023.070B.Inoviridae_8ns_1ng.zip</v>
      </c>
      <c r="U5010" s="29" t="str">
        <f>HYPERLINK("https://ictv.global/taxonomy/taxondetails?taxnode_id=202319390","ictv.global=202319390")</f>
        <v>ictv.global=202319390</v>
      </c>
    </row>
    <row r="5011" spans="1:21">
      <c r="A5011">
        <v>5010</v>
      </c>
      <c r="B5011" s="30" t="s">
        <v>1956</v>
      </c>
      <c r="D5011" s="30" t="s">
        <v>1957</v>
      </c>
      <c r="F5011" s="30" t="s">
        <v>1958</v>
      </c>
      <c r="H5011" s="30" t="s">
        <v>1959</v>
      </c>
      <c r="J5011" s="30" t="s">
        <v>1960</v>
      </c>
      <c r="L5011" s="30" t="s">
        <v>402</v>
      </c>
      <c r="N5011" s="30" t="s">
        <v>1963</v>
      </c>
      <c r="P5011" s="30" t="s">
        <v>8513</v>
      </c>
      <c r="Q5011" t="s">
        <v>739</v>
      </c>
      <c r="R5011" t="s">
        <v>920</v>
      </c>
      <c r="S5011">
        <v>37</v>
      </c>
      <c r="T5011" s="29" t="str">
        <f>HYPERLINK("https://ictv.global/ictv/proposals/2021.010B.R.Binomial_names.zip","2021.010B.R.Binomial_names.zip")</f>
        <v>2021.010B.R.Binomial_names.zip</v>
      </c>
      <c r="U5011" s="29" t="str">
        <f>HYPERLINK("https://ictv.global/taxonomy/taxondetails?taxnode_id=202303716","ictv.global=202303716")</f>
        <v>ictv.global=202303716</v>
      </c>
    </row>
    <row r="5012" spans="1:21">
      <c r="A5012">
        <v>5011</v>
      </c>
      <c r="B5012" s="30" t="s">
        <v>1956</v>
      </c>
      <c r="D5012" s="30" t="s">
        <v>1957</v>
      </c>
      <c r="F5012" s="30" t="s">
        <v>1958</v>
      </c>
      <c r="H5012" s="30" t="s">
        <v>1959</v>
      </c>
      <c r="J5012" s="30" t="s">
        <v>1960</v>
      </c>
      <c r="L5012" s="30" t="s">
        <v>402</v>
      </c>
      <c r="N5012" s="30" t="s">
        <v>1964</v>
      </c>
      <c r="P5012" s="30" t="s">
        <v>8514</v>
      </c>
      <c r="Q5012" t="s">
        <v>739</v>
      </c>
      <c r="R5012" t="s">
        <v>920</v>
      </c>
      <c r="S5012">
        <v>37</v>
      </c>
      <c r="T5012" s="29" t="str">
        <f>HYPERLINK("https://ictv.global/ictv/proposals/2021.010B.R.Binomial_names.zip","2021.010B.R.Binomial_names.zip")</f>
        <v>2021.010B.R.Binomial_names.zip</v>
      </c>
      <c r="U5012" s="29" t="str">
        <f>HYPERLINK("https://ictv.global/taxonomy/taxondetails?taxnode_id=202303720","ictv.global=202303720")</f>
        <v>ictv.global=202303720</v>
      </c>
    </row>
    <row r="5013" spans="1:21">
      <c r="A5013">
        <v>5012</v>
      </c>
      <c r="B5013" s="30" t="s">
        <v>1956</v>
      </c>
      <c r="D5013" s="30" t="s">
        <v>1957</v>
      </c>
      <c r="F5013" s="30" t="s">
        <v>1958</v>
      </c>
      <c r="H5013" s="30" t="s">
        <v>1959</v>
      </c>
      <c r="J5013" s="30" t="s">
        <v>1960</v>
      </c>
      <c r="L5013" s="30" t="s">
        <v>402</v>
      </c>
      <c r="N5013" s="30" t="s">
        <v>831</v>
      </c>
      <c r="P5013" s="30" t="s">
        <v>8515</v>
      </c>
      <c r="Q5013" t="s">
        <v>622</v>
      </c>
      <c r="R5013" t="s">
        <v>920</v>
      </c>
      <c r="S5013">
        <v>37</v>
      </c>
      <c r="T5013" s="29" t="str">
        <f>HYPERLINK("https://ictv.global/ictv/proposals/2021.010B.R.Binomial_names.zip","2021.010B.R.Binomial_names.zip")</f>
        <v>2021.010B.R.Binomial_names.zip</v>
      </c>
      <c r="U5013" s="29" t="str">
        <f>HYPERLINK("https://ictv.global/taxonomy/taxondetails?taxnode_id=202303687","ictv.global=202303687")</f>
        <v>ictv.global=202303687</v>
      </c>
    </row>
    <row r="5014" spans="1:21">
      <c r="A5014">
        <v>5013</v>
      </c>
      <c r="B5014" s="30" t="s">
        <v>1956</v>
      </c>
      <c r="D5014" s="30" t="s">
        <v>1957</v>
      </c>
      <c r="F5014" s="30" t="s">
        <v>1958</v>
      </c>
      <c r="H5014" s="30" t="s">
        <v>1959</v>
      </c>
      <c r="J5014" s="30" t="s">
        <v>1960</v>
      </c>
      <c r="L5014" s="30" t="s">
        <v>402</v>
      </c>
      <c r="N5014" s="30" t="s">
        <v>831</v>
      </c>
      <c r="P5014" s="30" t="s">
        <v>8516</v>
      </c>
      <c r="Q5014" t="s">
        <v>622</v>
      </c>
      <c r="R5014" t="s">
        <v>920</v>
      </c>
      <c r="S5014">
        <v>37</v>
      </c>
      <c r="T5014" s="29" t="str">
        <f>HYPERLINK("https://ictv.global/ictv/proposals/2021.010B.R.Binomial_names.zip","2021.010B.R.Binomial_names.zip")</f>
        <v>2021.010B.R.Binomial_names.zip</v>
      </c>
      <c r="U5014" s="29" t="str">
        <f>HYPERLINK("https://ictv.global/taxonomy/taxondetails?taxnode_id=202303688","ictv.global=202303688")</f>
        <v>ictv.global=202303688</v>
      </c>
    </row>
    <row r="5015" spans="1:21">
      <c r="A5015">
        <v>5014</v>
      </c>
      <c r="B5015" s="30" t="s">
        <v>1956</v>
      </c>
      <c r="D5015" s="30" t="s">
        <v>1957</v>
      </c>
      <c r="F5015" s="30" t="s">
        <v>1958</v>
      </c>
      <c r="H5015" s="30" t="s">
        <v>1959</v>
      </c>
      <c r="J5015" s="30" t="s">
        <v>1960</v>
      </c>
      <c r="L5015" s="30" t="s">
        <v>402</v>
      </c>
      <c r="N5015" s="30" t="s">
        <v>831</v>
      </c>
      <c r="P5015" s="30" t="s">
        <v>8517</v>
      </c>
      <c r="Q5015" t="s">
        <v>739</v>
      </c>
      <c r="R5015" t="s">
        <v>917</v>
      </c>
      <c r="S5015">
        <v>37</v>
      </c>
      <c r="T5015" s="29" t="str">
        <f>HYPERLINK("https://ictv.global/ictv/proposals/2021.085B.R.Tubulavirales.zip","2021.085B.R.Tubulavirales.zip")</f>
        <v>2021.085B.R.Tubulavirales.zip</v>
      </c>
      <c r="U5015" s="29" t="str">
        <f>HYPERLINK("https://ictv.global/taxonomy/taxondetails?taxnode_id=202312614","ictv.global=202312614")</f>
        <v>ictv.global=202312614</v>
      </c>
    </row>
    <row r="5016" spans="1:21">
      <c r="A5016">
        <v>5015</v>
      </c>
      <c r="B5016" s="30" t="s">
        <v>1956</v>
      </c>
      <c r="D5016" s="30" t="s">
        <v>1957</v>
      </c>
      <c r="F5016" s="30" t="s">
        <v>1958</v>
      </c>
      <c r="H5016" s="30" t="s">
        <v>1959</v>
      </c>
      <c r="J5016" s="30" t="s">
        <v>1960</v>
      </c>
      <c r="L5016" s="30" t="s">
        <v>402</v>
      </c>
      <c r="N5016" s="30" t="s">
        <v>907</v>
      </c>
      <c r="P5016" s="30" t="s">
        <v>8518</v>
      </c>
      <c r="Q5016" t="s">
        <v>739</v>
      </c>
      <c r="R5016" t="s">
        <v>920</v>
      </c>
      <c r="S5016">
        <v>37</v>
      </c>
      <c r="T5016" s="29" t="str">
        <f t="shared" ref="T5016:T5023" si="231">HYPERLINK("https://ictv.global/ictv/proposals/2021.010B.R.Binomial_names.zip","2021.010B.R.Binomial_names.zip")</f>
        <v>2021.010B.R.Binomial_names.zip</v>
      </c>
      <c r="U5016" s="29" t="str">
        <f>HYPERLINK("https://ictv.global/taxonomy/taxondetails?taxnode_id=202307856","ictv.global=202307856")</f>
        <v>ictv.global=202307856</v>
      </c>
    </row>
    <row r="5017" spans="1:21">
      <c r="A5017">
        <v>5016</v>
      </c>
      <c r="B5017" s="30" t="s">
        <v>1956</v>
      </c>
      <c r="D5017" s="30" t="s">
        <v>1957</v>
      </c>
      <c r="F5017" s="30" t="s">
        <v>1958</v>
      </c>
      <c r="H5017" s="30" t="s">
        <v>1959</v>
      </c>
      <c r="J5017" s="30" t="s">
        <v>1960</v>
      </c>
      <c r="L5017" s="30" t="s">
        <v>402</v>
      </c>
      <c r="N5017" s="30" t="s">
        <v>907</v>
      </c>
      <c r="P5017" s="30" t="s">
        <v>8519</v>
      </c>
      <c r="Q5017" t="s">
        <v>622</v>
      </c>
      <c r="R5017" t="s">
        <v>920</v>
      </c>
      <c r="S5017">
        <v>37</v>
      </c>
      <c r="T5017" s="29" t="str">
        <f t="shared" si="231"/>
        <v>2021.010B.R.Binomial_names.zip</v>
      </c>
      <c r="U5017" s="29" t="str">
        <f>HYPERLINK("https://ictv.global/taxonomy/taxondetails?taxnode_id=202303690","ictv.global=202303690")</f>
        <v>ictv.global=202303690</v>
      </c>
    </row>
    <row r="5018" spans="1:21">
      <c r="A5018">
        <v>5017</v>
      </c>
      <c r="B5018" s="30" t="s">
        <v>1956</v>
      </c>
      <c r="D5018" s="30" t="s">
        <v>1957</v>
      </c>
      <c r="F5018" s="30" t="s">
        <v>1958</v>
      </c>
      <c r="H5018" s="30" t="s">
        <v>1959</v>
      </c>
      <c r="J5018" s="30" t="s">
        <v>1960</v>
      </c>
      <c r="L5018" s="30" t="s">
        <v>402</v>
      </c>
      <c r="N5018" s="30" t="s">
        <v>907</v>
      </c>
      <c r="P5018" s="30" t="s">
        <v>8520</v>
      </c>
      <c r="Q5018" t="s">
        <v>622</v>
      </c>
      <c r="R5018" t="s">
        <v>920</v>
      </c>
      <c r="S5018">
        <v>37</v>
      </c>
      <c r="T5018" s="29" t="str">
        <f t="shared" si="231"/>
        <v>2021.010B.R.Binomial_names.zip</v>
      </c>
      <c r="U5018" s="29" t="str">
        <f>HYPERLINK("https://ictv.global/taxonomy/taxondetails?taxnode_id=202303691","ictv.global=202303691")</f>
        <v>ictv.global=202303691</v>
      </c>
    </row>
    <row r="5019" spans="1:21">
      <c r="A5019">
        <v>5018</v>
      </c>
      <c r="B5019" s="30" t="s">
        <v>1956</v>
      </c>
      <c r="D5019" s="30" t="s">
        <v>1957</v>
      </c>
      <c r="F5019" s="30" t="s">
        <v>1958</v>
      </c>
      <c r="H5019" s="30" t="s">
        <v>1959</v>
      </c>
      <c r="J5019" s="30" t="s">
        <v>1960</v>
      </c>
      <c r="L5019" s="30" t="s">
        <v>402</v>
      </c>
      <c r="N5019" s="30" t="s">
        <v>907</v>
      </c>
      <c r="P5019" s="30" t="s">
        <v>8521</v>
      </c>
      <c r="Q5019" t="s">
        <v>622</v>
      </c>
      <c r="R5019" t="s">
        <v>920</v>
      </c>
      <c r="S5019">
        <v>37</v>
      </c>
      <c r="T5019" s="29" t="str">
        <f t="shared" si="231"/>
        <v>2021.010B.R.Binomial_names.zip</v>
      </c>
      <c r="U5019" s="29" t="str">
        <f>HYPERLINK("https://ictv.global/taxonomy/taxondetails?taxnode_id=202303692","ictv.global=202303692")</f>
        <v>ictv.global=202303692</v>
      </c>
    </row>
    <row r="5020" spans="1:21">
      <c r="A5020">
        <v>5019</v>
      </c>
      <c r="B5020" s="30" t="s">
        <v>1956</v>
      </c>
      <c r="D5020" s="30" t="s">
        <v>1957</v>
      </c>
      <c r="F5020" s="30" t="s">
        <v>1958</v>
      </c>
      <c r="H5020" s="30" t="s">
        <v>1959</v>
      </c>
      <c r="J5020" s="30" t="s">
        <v>1960</v>
      </c>
      <c r="L5020" s="30" t="s">
        <v>402</v>
      </c>
      <c r="N5020" s="30" t="s">
        <v>1965</v>
      </c>
      <c r="P5020" s="30" t="s">
        <v>8522</v>
      </c>
      <c r="Q5020" t="s">
        <v>739</v>
      </c>
      <c r="R5020" t="s">
        <v>920</v>
      </c>
      <c r="S5020">
        <v>37</v>
      </c>
      <c r="T5020" s="29" t="str">
        <f t="shared" si="231"/>
        <v>2021.010B.R.Binomial_names.zip</v>
      </c>
      <c r="U5020" s="29" t="str">
        <f>HYPERLINK("https://ictv.global/taxonomy/taxondetails?taxnode_id=202303704","ictv.global=202303704")</f>
        <v>ictv.global=202303704</v>
      </c>
    </row>
    <row r="5021" spans="1:21">
      <c r="A5021">
        <v>5020</v>
      </c>
      <c r="B5021" s="30" t="s">
        <v>1956</v>
      </c>
      <c r="D5021" s="30" t="s">
        <v>1957</v>
      </c>
      <c r="F5021" s="30" t="s">
        <v>1958</v>
      </c>
      <c r="H5021" s="30" t="s">
        <v>1959</v>
      </c>
      <c r="J5021" s="30" t="s">
        <v>1960</v>
      </c>
      <c r="L5021" s="30" t="s">
        <v>402</v>
      </c>
      <c r="N5021" s="30" t="s">
        <v>403</v>
      </c>
      <c r="P5021" s="30" t="s">
        <v>8523</v>
      </c>
      <c r="Q5021" t="s">
        <v>622</v>
      </c>
      <c r="R5021" t="s">
        <v>920</v>
      </c>
      <c r="S5021">
        <v>37</v>
      </c>
      <c r="T5021" s="29" t="str">
        <f t="shared" si="231"/>
        <v>2021.010B.R.Binomial_names.zip</v>
      </c>
      <c r="U5021" s="29" t="str">
        <f>HYPERLINK("https://ictv.global/taxonomy/taxondetails?taxnode_id=202303694","ictv.global=202303694")</f>
        <v>ictv.global=202303694</v>
      </c>
    </row>
    <row r="5022" spans="1:21">
      <c r="A5022">
        <v>5021</v>
      </c>
      <c r="B5022" s="30" t="s">
        <v>1956</v>
      </c>
      <c r="D5022" s="30" t="s">
        <v>1957</v>
      </c>
      <c r="F5022" s="30" t="s">
        <v>1958</v>
      </c>
      <c r="H5022" s="30" t="s">
        <v>1959</v>
      </c>
      <c r="J5022" s="30" t="s">
        <v>1960</v>
      </c>
      <c r="L5022" s="30" t="s">
        <v>402</v>
      </c>
      <c r="N5022" s="30" t="s">
        <v>832</v>
      </c>
      <c r="P5022" s="30" t="s">
        <v>8524</v>
      </c>
      <c r="Q5022" t="s">
        <v>622</v>
      </c>
      <c r="R5022" t="s">
        <v>920</v>
      </c>
      <c r="S5022">
        <v>37</v>
      </c>
      <c r="T5022" s="29" t="str">
        <f t="shared" si="231"/>
        <v>2021.010B.R.Binomial_names.zip</v>
      </c>
      <c r="U5022" s="29" t="str">
        <f>HYPERLINK("https://ictv.global/taxonomy/taxondetails?taxnode_id=202303696","ictv.global=202303696")</f>
        <v>ictv.global=202303696</v>
      </c>
    </row>
    <row r="5023" spans="1:21">
      <c r="A5023">
        <v>5022</v>
      </c>
      <c r="B5023" s="30" t="s">
        <v>1956</v>
      </c>
      <c r="D5023" s="30" t="s">
        <v>1957</v>
      </c>
      <c r="F5023" s="30" t="s">
        <v>1958</v>
      </c>
      <c r="H5023" s="30" t="s">
        <v>1959</v>
      </c>
      <c r="J5023" s="30" t="s">
        <v>1960</v>
      </c>
      <c r="L5023" s="30" t="s">
        <v>402</v>
      </c>
      <c r="N5023" s="30" t="s">
        <v>832</v>
      </c>
      <c r="P5023" s="30" t="s">
        <v>8525</v>
      </c>
      <c r="Q5023" t="s">
        <v>622</v>
      </c>
      <c r="R5023" t="s">
        <v>920</v>
      </c>
      <c r="S5023">
        <v>37</v>
      </c>
      <c r="T5023" s="29" t="str">
        <f t="shared" si="231"/>
        <v>2021.010B.R.Binomial_names.zip</v>
      </c>
      <c r="U5023" s="29" t="str">
        <f>HYPERLINK("https://ictv.global/taxonomy/taxondetails?taxnode_id=202303697","ictv.global=202303697")</f>
        <v>ictv.global=202303697</v>
      </c>
    </row>
    <row r="5024" spans="1:21">
      <c r="A5024">
        <v>5023</v>
      </c>
      <c r="B5024" s="30" t="s">
        <v>1956</v>
      </c>
      <c r="D5024" s="30" t="s">
        <v>1957</v>
      </c>
      <c r="F5024" s="30" t="s">
        <v>1958</v>
      </c>
      <c r="H5024" s="30" t="s">
        <v>1959</v>
      </c>
      <c r="J5024" s="30" t="s">
        <v>1960</v>
      </c>
      <c r="L5024" s="30" t="s">
        <v>402</v>
      </c>
      <c r="N5024" s="30" t="s">
        <v>832</v>
      </c>
      <c r="P5024" s="30" t="s">
        <v>8526</v>
      </c>
      <c r="Q5024" t="s">
        <v>739</v>
      </c>
      <c r="R5024" t="s">
        <v>917</v>
      </c>
      <c r="S5024">
        <v>37</v>
      </c>
      <c r="T5024" s="29" t="str">
        <f>HYPERLINK("https://ictv.global/ictv/proposals/2021.085B.R.Tubulavirales.zip","2021.085B.R.Tubulavirales.zip")</f>
        <v>2021.085B.R.Tubulavirales.zip</v>
      </c>
      <c r="U5024" s="29" t="str">
        <f>HYPERLINK("https://ictv.global/taxonomy/taxondetails?taxnode_id=202312619","ictv.global=202312619")</f>
        <v>ictv.global=202312619</v>
      </c>
    </row>
    <row r="5025" spans="1:21">
      <c r="A5025">
        <v>5024</v>
      </c>
      <c r="B5025" s="30" t="s">
        <v>1956</v>
      </c>
      <c r="D5025" s="30" t="s">
        <v>1957</v>
      </c>
      <c r="F5025" s="30" t="s">
        <v>1958</v>
      </c>
      <c r="H5025" s="30" t="s">
        <v>1959</v>
      </c>
      <c r="J5025" s="30" t="s">
        <v>1960</v>
      </c>
      <c r="L5025" s="30" t="s">
        <v>402</v>
      </c>
      <c r="N5025" s="30" t="s">
        <v>8527</v>
      </c>
      <c r="P5025" s="30" t="s">
        <v>8528</v>
      </c>
      <c r="Q5025" t="s">
        <v>739</v>
      </c>
      <c r="R5025" t="s">
        <v>917</v>
      </c>
      <c r="S5025">
        <v>37</v>
      </c>
      <c r="T5025" s="29" t="str">
        <f>HYPERLINK("https://ictv.global/ictv/proposals/2021.085B.R.Tubulavirales.zip","2021.085B.R.Tubulavirales.zip")</f>
        <v>2021.085B.R.Tubulavirales.zip</v>
      </c>
      <c r="U5025" s="29" t="str">
        <f>HYPERLINK("https://ictv.global/taxonomy/taxondetails?taxnode_id=202312629","ictv.global=202312629")</f>
        <v>ictv.global=202312629</v>
      </c>
    </row>
    <row r="5026" spans="1:21">
      <c r="A5026">
        <v>5025</v>
      </c>
      <c r="B5026" s="30" t="s">
        <v>1956</v>
      </c>
      <c r="D5026" s="30" t="s">
        <v>1957</v>
      </c>
      <c r="F5026" s="30" t="s">
        <v>1958</v>
      </c>
      <c r="H5026" s="30" t="s">
        <v>1959</v>
      </c>
      <c r="J5026" s="30" t="s">
        <v>1960</v>
      </c>
      <c r="L5026" s="30" t="s">
        <v>402</v>
      </c>
      <c r="N5026" s="30" t="s">
        <v>8527</v>
      </c>
      <c r="P5026" s="30" t="s">
        <v>8529</v>
      </c>
      <c r="Q5026" t="s">
        <v>739</v>
      </c>
      <c r="R5026" t="s">
        <v>917</v>
      </c>
      <c r="S5026">
        <v>37</v>
      </c>
      <c r="T5026" s="29" t="str">
        <f>HYPERLINK("https://ictv.global/ictv/proposals/2021.085B.R.Tubulavirales.zip","2021.085B.R.Tubulavirales.zip")</f>
        <v>2021.085B.R.Tubulavirales.zip</v>
      </c>
      <c r="U5026" s="29" t="str">
        <f>HYPERLINK("https://ictv.global/taxonomy/taxondetails?taxnode_id=202312628","ictv.global=202312628")</f>
        <v>ictv.global=202312628</v>
      </c>
    </row>
    <row r="5027" spans="1:21">
      <c r="A5027">
        <v>5026</v>
      </c>
      <c r="B5027" s="30" t="s">
        <v>1956</v>
      </c>
      <c r="D5027" s="30" t="s">
        <v>1957</v>
      </c>
      <c r="F5027" s="30" t="s">
        <v>1958</v>
      </c>
      <c r="H5027" s="30" t="s">
        <v>1959</v>
      </c>
      <c r="J5027" s="30" t="s">
        <v>1960</v>
      </c>
      <c r="L5027" s="30" t="s">
        <v>402</v>
      </c>
      <c r="N5027" s="30" t="s">
        <v>8527</v>
      </c>
      <c r="P5027" s="30" t="s">
        <v>8530</v>
      </c>
      <c r="Q5027" t="s">
        <v>739</v>
      </c>
      <c r="R5027" t="s">
        <v>917</v>
      </c>
      <c r="S5027">
        <v>37</v>
      </c>
      <c r="T5027" s="29" t="str">
        <f>HYPERLINK("https://ictv.global/ictv/proposals/2021.085B.R.Tubulavirales.zip","2021.085B.R.Tubulavirales.zip")</f>
        <v>2021.085B.R.Tubulavirales.zip</v>
      </c>
      <c r="U5027" s="29" t="str">
        <f>HYPERLINK("https://ictv.global/taxonomy/taxondetails?taxnode_id=202312626","ictv.global=202312626")</f>
        <v>ictv.global=202312626</v>
      </c>
    </row>
    <row r="5028" spans="1:21">
      <c r="A5028">
        <v>5027</v>
      </c>
      <c r="B5028" s="30" t="s">
        <v>1956</v>
      </c>
      <c r="D5028" s="30" t="s">
        <v>1957</v>
      </c>
      <c r="F5028" s="30" t="s">
        <v>1958</v>
      </c>
      <c r="H5028" s="30" t="s">
        <v>1959</v>
      </c>
      <c r="J5028" s="30" t="s">
        <v>1960</v>
      </c>
      <c r="L5028" s="30" t="s">
        <v>402</v>
      </c>
      <c r="N5028" s="30" t="s">
        <v>8527</v>
      </c>
      <c r="P5028" s="30" t="s">
        <v>8531</v>
      </c>
      <c r="Q5028" t="s">
        <v>739</v>
      </c>
      <c r="R5028" t="s">
        <v>917</v>
      </c>
      <c r="S5028">
        <v>37</v>
      </c>
      <c r="T5028" s="29" t="str">
        <f>HYPERLINK("https://ictv.global/ictv/proposals/2021.085B.R.Tubulavirales.zip","2021.085B.R.Tubulavirales.zip")</f>
        <v>2021.085B.R.Tubulavirales.zip</v>
      </c>
      <c r="U5028" s="29" t="str">
        <f>HYPERLINK("https://ictv.global/taxonomy/taxondetails?taxnode_id=202312627","ictv.global=202312627")</f>
        <v>ictv.global=202312627</v>
      </c>
    </row>
    <row r="5029" spans="1:21">
      <c r="A5029">
        <v>5028</v>
      </c>
      <c r="B5029" s="30" t="s">
        <v>1956</v>
      </c>
      <c r="D5029" s="30" t="s">
        <v>1957</v>
      </c>
      <c r="F5029" s="30" t="s">
        <v>1958</v>
      </c>
      <c r="H5029" s="30" t="s">
        <v>1959</v>
      </c>
      <c r="J5029" s="30" t="s">
        <v>1960</v>
      </c>
      <c r="L5029" s="30" t="s">
        <v>402</v>
      </c>
      <c r="N5029" s="30" t="s">
        <v>1966</v>
      </c>
      <c r="P5029" s="30" t="s">
        <v>8532</v>
      </c>
      <c r="Q5029" t="s">
        <v>739</v>
      </c>
      <c r="R5029" t="s">
        <v>920</v>
      </c>
      <c r="S5029">
        <v>37</v>
      </c>
      <c r="T5029" s="29" t="str">
        <f>HYPERLINK("https://ictv.global/ictv/proposals/2021.010B.R.Binomial_names.zip","2021.010B.R.Binomial_names.zip")</f>
        <v>2021.010B.R.Binomial_names.zip</v>
      </c>
      <c r="U5029" s="29" t="str">
        <f>HYPERLINK("https://ictv.global/taxonomy/taxondetails?taxnode_id=202303708","ictv.global=202303708")</f>
        <v>ictv.global=202303708</v>
      </c>
    </row>
    <row r="5030" spans="1:21">
      <c r="A5030">
        <v>5029</v>
      </c>
      <c r="B5030" s="30" t="s">
        <v>1956</v>
      </c>
      <c r="D5030" s="30" t="s">
        <v>1957</v>
      </c>
      <c r="F5030" s="30" t="s">
        <v>1958</v>
      </c>
      <c r="H5030" s="30" t="s">
        <v>1959</v>
      </c>
      <c r="J5030" s="30" t="s">
        <v>1960</v>
      </c>
      <c r="L5030" s="30" t="s">
        <v>402</v>
      </c>
      <c r="N5030" s="30" t="s">
        <v>8533</v>
      </c>
      <c r="P5030" s="30" t="s">
        <v>8534</v>
      </c>
      <c r="Q5030" t="s">
        <v>739</v>
      </c>
      <c r="R5030" t="s">
        <v>917</v>
      </c>
      <c r="S5030">
        <v>37</v>
      </c>
      <c r="T5030" s="29" t="str">
        <f>HYPERLINK("https://ictv.global/ictv/proposals/2021.085B.R.Tubulavirales.zip","2021.085B.R.Tubulavirales.zip")</f>
        <v>2021.085B.R.Tubulavirales.zip</v>
      </c>
      <c r="U5030" s="29" t="str">
        <f>HYPERLINK("https://ictv.global/taxonomy/taxondetails?taxnode_id=202312631","ictv.global=202312631")</f>
        <v>ictv.global=202312631</v>
      </c>
    </row>
    <row r="5031" spans="1:21">
      <c r="A5031">
        <v>5030</v>
      </c>
      <c r="B5031" s="30" t="s">
        <v>1956</v>
      </c>
      <c r="D5031" s="30" t="s">
        <v>1957</v>
      </c>
      <c r="F5031" s="30" t="s">
        <v>1958</v>
      </c>
      <c r="H5031" s="30" t="s">
        <v>1959</v>
      </c>
      <c r="J5031" s="30" t="s">
        <v>1960</v>
      </c>
      <c r="L5031" s="30" t="s">
        <v>402</v>
      </c>
      <c r="N5031" s="30" t="s">
        <v>1967</v>
      </c>
      <c r="P5031" s="30" t="s">
        <v>8535</v>
      </c>
      <c r="Q5031" t="s">
        <v>739</v>
      </c>
      <c r="R5031" t="s">
        <v>920</v>
      </c>
      <c r="S5031">
        <v>37</v>
      </c>
      <c r="T5031" s="29" t="str">
        <f>HYPERLINK("https://ictv.global/ictv/proposals/2021.010B.R.Binomial_names.zip","2021.010B.R.Binomial_names.zip")</f>
        <v>2021.010B.R.Binomial_names.zip</v>
      </c>
      <c r="U5031" s="29" t="str">
        <f>HYPERLINK("https://ictv.global/taxonomy/taxondetails?taxnode_id=202303706","ictv.global=202303706")</f>
        <v>ictv.global=202303706</v>
      </c>
    </row>
    <row r="5032" spans="1:21">
      <c r="A5032">
        <v>5031</v>
      </c>
      <c r="B5032" s="30" t="s">
        <v>1956</v>
      </c>
      <c r="D5032" s="30" t="s">
        <v>1957</v>
      </c>
      <c r="F5032" s="30" t="s">
        <v>1958</v>
      </c>
      <c r="H5032" s="30" t="s">
        <v>1959</v>
      </c>
      <c r="J5032" s="30" t="s">
        <v>1960</v>
      </c>
      <c r="L5032" s="30" t="s">
        <v>402</v>
      </c>
      <c r="N5032" s="30" t="s">
        <v>1967</v>
      </c>
      <c r="P5032" s="30" t="s">
        <v>8536</v>
      </c>
      <c r="Q5032" t="s">
        <v>739</v>
      </c>
      <c r="R5032" t="s">
        <v>917</v>
      </c>
      <c r="S5032">
        <v>37</v>
      </c>
      <c r="T5032" s="29" t="str">
        <f>HYPERLINK("https://ictv.global/ictv/proposals/2021.085B.R.Tubulavirales.zip","2021.085B.R.Tubulavirales.zip")</f>
        <v>2021.085B.R.Tubulavirales.zip</v>
      </c>
      <c r="U5032" s="29" t="str">
        <f>HYPERLINK("https://ictv.global/taxonomy/taxondetails?taxnode_id=202312620","ictv.global=202312620")</f>
        <v>ictv.global=202312620</v>
      </c>
    </row>
    <row r="5033" spans="1:21">
      <c r="A5033">
        <v>5032</v>
      </c>
      <c r="B5033" s="30" t="s">
        <v>1956</v>
      </c>
      <c r="D5033" s="30" t="s">
        <v>1957</v>
      </c>
      <c r="F5033" s="30" t="s">
        <v>1958</v>
      </c>
      <c r="H5033" s="30" t="s">
        <v>1959</v>
      </c>
      <c r="J5033" s="30" t="s">
        <v>1960</v>
      </c>
      <c r="L5033" s="30" t="s">
        <v>402</v>
      </c>
      <c r="N5033" s="30" t="s">
        <v>1968</v>
      </c>
      <c r="P5033" s="30" t="s">
        <v>8537</v>
      </c>
      <c r="Q5033" t="s">
        <v>739</v>
      </c>
      <c r="R5033" t="s">
        <v>920</v>
      </c>
      <c r="S5033">
        <v>37</v>
      </c>
      <c r="T5033" s="29" t="str">
        <f>HYPERLINK("https://ictv.global/ictv/proposals/2021.010B.R.Binomial_names.zip","2021.010B.R.Binomial_names.zip")</f>
        <v>2021.010B.R.Binomial_names.zip</v>
      </c>
      <c r="U5033" s="29" t="str">
        <f>HYPERLINK("https://ictv.global/taxonomy/taxondetails?taxnode_id=202303711","ictv.global=202303711")</f>
        <v>ictv.global=202303711</v>
      </c>
    </row>
    <row r="5034" spans="1:21">
      <c r="A5034">
        <v>5033</v>
      </c>
      <c r="B5034" s="30" t="s">
        <v>1956</v>
      </c>
      <c r="D5034" s="30" t="s">
        <v>1957</v>
      </c>
      <c r="F5034" s="30" t="s">
        <v>1958</v>
      </c>
      <c r="H5034" s="30" t="s">
        <v>1959</v>
      </c>
      <c r="J5034" s="30" t="s">
        <v>1960</v>
      </c>
      <c r="L5034" s="30" t="s">
        <v>402</v>
      </c>
      <c r="N5034" s="30" t="s">
        <v>1969</v>
      </c>
      <c r="P5034" s="30" t="s">
        <v>8538</v>
      </c>
      <c r="Q5034" t="s">
        <v>739</v>
      </c>
      <c r="R5034" t="s">
        <v>917</v>
      </c>
      <c r="S5034">
        <v>37</v>
      </c>
      <c r="T5034" s="29" t="str">
        <f>HYPERLINK("https://ictv.global/ictv/proposals/2021.085B.R.Tubulavirales.zip","2021.085B.R.Tubulavirales.zip")</f>
        <v>2021.085B.R.Tubulavirales.zip</v>
      </c>
      <c r="U5034" s="29" t="str">
        <f>HYPERLINK("https://ictv.global/taxonomy/taxondetails?taxnode_id=202312618","ictv.global=202312618")</f>
        <v>ictv.global=202312618</v>
      </c>
    </row>
    <row r="5035" spans="1:21">
      <c r="A5035">
        <v>5034</v>
      </c>
      <c r="B5035" s="30" t="s">
        <v>1956</v>
      </c>
      <c r="D5035" s="30" t="s">
        <v>1957</v>
      </c>
      <c r="F5035" s="30" t="s">
        <v>1958</v>
      </c>
      <c r="H5035" s="30" t="s">
        <v>1959</v>
      </c>
      <c r="J5035" s="30" t="s">
        <v>1960</v>
      </c>
      <c r="L5035" s="30" t="s">
        <v>402</v>
      </c>
      <c r="N5035" s="30" t="s">
        <v>1969</v>
      </c>
      <c r="P5035" s="30" t="s">
        <v>8539</v>
      </c>
      <c r="Q5035" t="s">
        <v>739</v>
      </c>
      <c r="R5035" t="s">
        <v>920</v>
      </c>
      <c r="S5035">
        <v>37</v>
      </c>
      <c r="T5035" s="29" t="str">
        <f>HYPERLINK("https://ictv.global/ictv/proposals/2021.010B.R.Binomial_names.zip","2021.010B.R.Binomial_names.zip")</f>
        <v>2021.010B.R.Binomial_names.zip</v>
      </c>
      <c r="U5035" s="29" t="str">
        <f>HYPERLINK("https://ictv.global/taxonomy/taxondetails?taxnode_id=202303709","ictv.global=202303709")</f>
        <v>ictv.global=202303709</v>
      </c>
    </row>
    <row r="5036" spans="1:21">
      <c r="A5036">
        <v>5035</v>
      </c>
      <c r="B5036" s="30" t="s">
        <v>1956</v>
      </c>
      <c r="D5036" s="30" t="s">
        <v>1957</v>
      </c>
      <c r="F5036" s="30" t="s">
        <v>1958</v>
      </c>
      <c r="H5036" s="30" t="s">
        <v>1959</v>
      </c>
      <c r="J5036" s="30" t="s">
        <v>1960</v>
      </c>
      <c r="L5036" s="30" t="s">
        <v>402</v>
      </c>
      <c r="N5036" s="30" t="s">
        <v>833</v>
      </c>
      <c r="P5036" s="30" t="s">
        <v>8540</v>
      </c>
      <c r="Q5036" t="s">
        <v>622</v>
      </c>
      <c r="R5036" t="s">
        <v>920</v>
      </c>
      <c r="S5036">
        <v>37</v>
      </c>
      <c r="T5036" s="29" t="str">
        <f>HYPERLINK("https://ictv.global/ictv/proposals/2021.010B.R.Binomial_names.zip","2021.010B.R.Binomial_names.zip")</f>
        <v>2021.010B.R.Binomial_names.zip</v>
      </c>
      <c r="U5036" s="29" t="str">
        <f>HYPERLINK("https://ictv.global/taxonomy/taxondetails?taxnode_id=202303701","ictv.global=202303701")</f>
        <v>ictv.global=202303701</v>
      </c>
    </row>
    <row r="5037" spans="1:21">
      <c r="A5037">
        <v>5036</v>
      </c>
      <c r="B5037" s="30" t="s">
        <v>1956</v>
      </c>
      <c r="D5037" s="30" t="s">
        <v>1957</v>
      </c>
      <c r="F5037" s="30" t="s">
        <v>1958</v>
      </c>
      <c r="H5037" s="30" t="s">
        <v>1959</v>
      </c>
      <c r="J5037" s="30" t="s">
        <v>1960</v>
      </c>
      <c r="L5037" s="30" t="s">
        <v>402</v>
      </c>
      <c r="N5037" s="30" t="s">
        <v>833</v>
      </c>
      <c r="P5037" s="30" t="s">
        <v>8541</v>
      </c>
      <c r="Q5037" t="s">
        <v>622</v>
      </c>
      <c r="R5037" t="s">
        <v>920</v>
      </c>
      <c r="S5037">
        <v>37</v>
      </c>
      <c r="T5037" s="29" t="str">
        <f>HYPERLINK("https://ictv.global/ictv/proposals/2021.010B.R.Binomial_names.zip","2021.010B.R.Binomial_names.zip")</f>
        <v>2021.010B.R.Binomial_names.zip</v>
      </c>
      <c r="U5037" s="29" t="str">
        <f>HYPERLINK("https://ictv.global/taxonomy/taxondetails?taxnode_id=202303702","ictv.global=202303702")</f>
        <v>ictv.global=202303702</v>
      </c>
    </row>
    <row r="5038" spans="1:21">
      <c r="A5038">
        <v>5037</v>
      </c>
      <c r="B5038" s="30" t="s">
        <v>1956</v>
      </c>
      <c r="D5038" s="30" t="s">
        <v>1957</v>
      </c>
      <c r="F5038" s="30" t="s">
        <v>1958</v>
      </c>
      <c r="H5038" s="30" t="s">
        <v>1959</v>
      </c>
      <c r="J5038" s="30" t="s">
        <v>1960</v>
      </c>
      <c r="L5038" s="30" t="s">
        <v>402</v>
      </c>
      <c r="N5038" s="30" t="s">
        <v>1970</v>
      </c>
      <c r="P5038" s="30" t="s">
        <v>8542</v>
      </c>
      <c r="Q5038" t="s">
        <v>739</v>
      </c>
      <c r="R5038" t="s">
        <v>920</v>
      </c>
      <c r="S5038">
        <v>37</v>
      </c>
      <c r="T5038" s="29" t="str">
        <f>HYPERLINK("https://ictv.global/ictv/proposals/2021.010B.R.Binomial_names.zip","2021.010B.R.Binomial_names.zip")</f>
        <v>2021.010B.R.Binomial_names.zip</v>
      </c>
      <c r="U5038" s="29" t="str">
        <f>HYPERLINK("https://ictv.global/taxonomy/taxondetails?taxnode_id=202303712","ictv.global=202303712")</f>
        <v>ictv.global=202303712</v>
      </c>
    </row>
    <row r="5039" spans="1:21">
      <c r="A5039">
        <v>5038</v>
      </c>
      <c r="B5039" s="30" t="s">
        <v>1956</v>
      </c>
      <c r="D5039" s="30" t="s">
        <v>1957</v>
      </c>
      <c r="F5039" s="30" t="s">
        <v>1958</v>
      </c>
      <c r="H5039" s="30" t="s">
        <v>1959</v>
      </c>
      <c r="J5039" s="30" t="s">
        <v>1960</v>
      </c>
      <c r="L5039" s="30" t="s">
        <v>402</v>
      </c>
      <c r="N5039" s="30" t="s">
        <v>8543</v>
      </c>
      <c r="P5039" s="30" t="s">
        <v>8544</v>
      </c>
      <c r="Q5039" t="s">
        <v>739</v>
      </c>
      <c r="R5039" t="s">
        <v>917</v>
      </c>
      <c r="S5039">
        <v>37</v>
      </c>
      <c r="T5039" s="29" t="str">
        <f>HYPERLINK("https://ictv.global/ictv/proposals/2021.085B.R.Tubulavirales.zip","2021.085B.R.Tubulavirales.zip")</f>
        <v>2021.085B.R.Tubulavirales.zip</v>
      </c>
      <c r="U5039" s="29" t="str">
        <f>HYPERLINK("https://ictv.global/taxonomy/taxondetails?taxnode_id=202312633","ictv.global=202312633")</f>
        <v>ictv.global=202312633</v>
      </c>
    </row>
    <row r="5040" spans="1:21">
      <c r="A5040">
        <v>5039</v>
      </c>
      <c r="B5040" s="30" t="s">
        <v>1956</v>
      </c>
      <c r="D5040" s="30" t="s">
        <v>1957</v>
      </c>
      <c r="F5040" s="30" t="s">
        <v>1958</v>
      </c>
      <c r="H5040" s="30" t="s">
        <v>1959</v>
      </c>
      <c r="J5040" s="30" t="s">
        <v>1960</v>
      </c>
      <c r="L5040" s="30" t="s">
        <v>402</v>
      </c>
      <c r="N5040" s="30" t="s">
        <v>1971</v>
      </c>
      <c r="P5040" s="30" t="s">
        <v>8545</v>
      </c>
      <c r="Q5040" t="s">
        <v>739</v>
      </c>
      <c r="R5040" t="s">
        <v>920</v>
      </c>
      <c r="S5040">
        <v>37</v>
      </c>
      <c r="T5040" s="29" t="str">
        <f>HYPERLINK("https://ictv.global/ictv/proposals/2021.010B.R.Binomial_names.zip","2021.010B.R.Binomial_names.zip")</f>
        <v>2021.010B.R.Binomial_names.zip</v>
      </c>
      <c r="U5040" s="29" t="str">
        <f>HYPERLINK("https://ictv.global/taxonomy/taxondetails?taxnode_id=202303714","ictv.global=202303714")</f>
        <v>ictv.global=202303714</v>
      </c>
    </row>
    <row r="5041" spans="1:21">
      <c r="A5041">
        <v>5040</v>
      </c>
      <c r="B5041" s="30" t="s">
        <v>1956</v>
      </c>
      <c r="D5041" s="30" t="s">
        <v>1957</v>
      </c>
      <c r="F5041" s="30" t="s">
        <v>1958</v>
      </c>
      <c r="H5041" s="30" t="s">
        <v>1959</v>
      </c>
      <c r="J5041" s="30" t="s">
        <v>1960</v>
      </c>
      <c r="L5041" s="30" t="s">
        <v>402</v>
      </c>
      <c r="N5041" s="30" t="s">
        <v>1972</v>
      </c>
      <c r="P5041" s="30" t="s">
        <v>8546</v>
      </c>
      <c r="Q5041" t="s">
        <v>739</v>
      </c>
      <c r="R5041" t="s">
        <v>920</v>
      </c>
      <c r="S5041">
        <v>37</v>
      </c>
      <c r="T5041" s="29" t="str">
        <f>HYPERLINK("https://ictv.global/ictv/proposals/2021.010B.R.Binomial_names.zip","2021.010B.R.Binomial_names.zip")</f>
        <v>2021.010B.R.Binomial_names.zip</v>
      </c>
      <c r="U5041" s="29" t="str">
        <f>HYPERLINK("https://ictv.global/taxonomy/taxondetails?taxnode_id=202303713","ictv.global=202303713")</f>
        <v>ictv.global=202303713</v>
      </c>
    </row>
    <row r="5042" spans="1:21">
      <c r="A5042">
        <v>5041</v>
      </c>
      <c r="B5042" s="30" t="s">
        <v>1956</v>
      </c>
      <c r="D5042" s="30" t="s">
        <v>1957</v>
      </c>
      <c r="F5042" s="30" t="s">
        <v>1958</v>
      </c>
      <c r="H5042" s="30" t="s">
        <v>1959</v>
      </c>
      <c r="J5042" s="30" t="s">
        <v>1960</v>
      </c>
      <c r="L5042" s="30" t="s">
        <v>402</v>
      </c>
      <c r="N5042" s="30" t="s">
        <v>1973</v>
      </c>
      <c r="P5042" s="30" t="s">
        <v>8547</v>
      </c>
      <c r="Q5042" t="s">
        <v>739</v>
      </c>
      <c r="R5042" t="s">
        <v>920</v>
      </c>
      <c r="S5042">
        <v>37</v>
      </c>
      <c r="T5042" s="29" t="str">
        <f>HYPERLINK("https://ictv.global/ictv/proposals/2021.010B.R.Binomial_names.zip","2021.010B.R.Binomial_names.zip")</f>
        <v>2021.010B.R.Binomial_names.zip</v>
      </c>
      <c r="U5042" s="29" t="str">
        <f>HYPERLINK("https://ictv.global/taxonomy/taxondetails?taxnode_id=202303707","ictv.global=202303707")</f>
        <v>ictv.global=202303707</v>
      </c>
    </row>
    <row r="5043" spans="1:21">
      <c r="A5043">
        <v>5042</v>
      </c>
      <c r="B5043" s="30" t="s">
        <v>1956</v>
      </c>
      <c r="D5043" s="30" t="s">
        <v>1957</v>
      </c>
      <c r="F5043" s="30" t="s">
        <v>1958</v>
      </c>
      <c r="H5043" s="30" t="s">
        <v>1959</v>
      </c>
      <c r="J5043" s="30" t="s">
        <v>1960</v>
      </c>
      <c r="L5043" s="30" t="s">
        <v>402</v>
      </c>
      <c r="N5043" s="30" t="s">
        <v>8548</v>
      </c>
      <c r="P5043" s="30" t="s">
        <v>8549</v>
      </c>
      <c r="Q5043" t="s">
        <v>739</v>
      </c>
      <c r="R5043" t="s">
        <v>917</v>
      </c>
      <c r="S5043">
        <v>37</v>
      </c>
      <c r="T5043" s="29" t="str">
        <f>HYPERLINK("https://ictv.global/ictv/proposals/2021.085B.R.Tubulavirales.zip","2021.085B.R.Tubulavirales.zip")</f>
        <v>2021.085B.R.Tubulavirales.zip</v>
      </c>
      <c r="U5043" s="29" t="str">
        <f>HYPERLINK("https://ictv.global/taxonomy/taxondetails?taxnode_id=202312624","ictv.global=202312624")</f>
        <v>ictv.global=202312624</v>
      </c>
    </row>
    <row r="5044" spans="1:21">
      <c r="A5044">
        <v>5043</v>
      </c>
      <c r="B5044" s="30" t="s">
        <v>1956</v>
      </c>
      <c r="D5044" s="30" t="s">
        <v>1957</v>
      </c>
      <c r="F5044" s="30" t="s">
        <v>1958</v>
      </c>
      <c r="H5044" s="30" t="s">
        <v>1959</v>
      </c>
      <c r="J5044" s="30" t="s">
        <v>1960</v>
      </c>
      <c r="L5044" s="30" t="s">
        <v>402</v>
      </c>
      <c r="N5044" s="30" t="s">
        <v>1975</v>
      </c>
      <c r="P5044" s="30" t="s">
        <v>8550</v>
      </c>
      <c r="Q5044" t="s">
        <v>739</v>
      </c>
      <c r="R5044" t="s">
        <v>917</v>
      </c>
      <c r="S5044">
        <v>37</v>
      </c>
      <c r="T5044" s="29" t="str">
        <f>HYPERLINK("https://ictv.global/ictv/proposals/2021.085B.R.Tubulavirales.zip","2021.085B.R.Tubulavirales.zip")</f>
        <v>2021.085B.R.Tubulavirales.zip</v>
      </c>
      <c r="U5044" s="29" t="str">
        <f>HYPERLINK("https://ictv.global/taxonomy/taxondetails?taxnode_id=202312616","ictv.global=202312616")</f>
        <v>ictv.global=202312616</v>
      </c>
    </row>
    <row r="5045" spans="1:21">
      <c r="A5045">
        <v>5044</v>
      </c>
      <c r="B5045" s="30" t="s">
        <v>1956</v>
      </c>
      <c r="D5045" s="30" t="s">
        <v>1957</v>
      </c>
      <c r="F5045" s="30" t="s">
        <v>1958</v>
      </c>
      <c r="H5045" s="30" t="s">
        <v>1959</v>
      </c>
      <c r="J5045" s="30" t="s">
        <v>1960</v>
      </c>
      <c r="L5045" s="30" t="s">
        <v>402</v>
      </c>
      <c r="N5045" s="30" t="s">
        <v>1975</v>
      </c>
      <c r="P5045" s="30" t="s">
        <v>8551</v>
      </c>
      <c r="Q5045" t="s">
        <v>739</v>
      </c>
      <c r="R5045" t="s">
        <v>920</v>
      </c>
      <c r="S5045">
        <v>37</v>
      </c>
      <c r="T5045" s="29" t="str">
        <f>HYPERLINK("https://ictv.global/ictv/proposals/2021.010B.R.Binomial_names.zip","2021.010B.R.Binomial_names.zip")</f>
        <v>2021.010B.R.Binomial_names.zip</v>
      </c>
      <c r="U5045" s="29" t="str">
        <f>HYPERLINK("https://ictv.global/taxonomy/taxondetails?taxnode_id=202303719","ictv.global=202303719")</f>
        <v>ictv.global=202303719</v>
      </c>
    </row>
    <row r="5046" spans="1:21">
      <c r="A5046">
        <v>5045</v>
      </c>
      <c r="B5046" s="30" t="s">
        <v>1956</v>
      </c>
      <c r="D5046" s="30" t="s">
        <v>1957</v>
      </c>
      <c r="F5046" s="30" t="s">
        <v>1958</v>
      </c>
      <c r="H5046" s="30" t="s">
        <v>1959</v>
      </c>
      <c r="J5046" s="30" t="s">
        <v>1960</v>
      </c>
      <c r="L5046" s="30" t="s">
        <v>402</v>
      </c>
      <c r="N5046" s="30" t="s">
        <v>1975</v>
      </c>
      <c r="P5046" s="30" t="s">
        <v>12733</v>
      </c>
      <c r="Q5046" t="s">
        <v>622</v>
      </c>
      <c r="R5046" t="s">
        <v>917</v>
      </c>
      <c r="S5046">
        <v>39</v>
      </c>
      <c r="T5046" s="29" t="str">
        <f t="shared" ref="T5046:T5051" si="232">HYPERLINK("https://ictv.global/ictv/proposals/2023.070B.Inoviridae_8ns_1ng.zip","2023.070B.Inoviridae_8ns_1ng.zip")</f>
        <v>2023.070B.Inoviridae_8ns_1ng.zip</v>
      </c>
      <c r="U5046" s="29" t="str">
        <f>HYPERLINK("https://ictv.global/taxonomy/taxondetails?taxnode_id=202319397","ictv.global=202319397")</f>
        <v>ictv.global=202319397</v>
      </c>
    </row>
    <row r="5047" spans="1:21">
      <c r="A5047">
        <v>5046</v>
      </c>
      <c r="B5047" s="30" t="s">
        <v>1956</v>
      </c>
      <c r="D5047" s="30" t="s">
        <v>1957</v>
      </c>
      <c r="F5047" s="30" t="s">
        <v>1958</v>
      </c>
      <c r="H5047" s="30" t="s">
        <v>1959</v>
      </c>
      <c r="J5047" s="30" t="s">
        <v>1960</v>
      </c>
      <c r="L5047" s="30" t="s">
        <v>402</v>
      </c>
      <c r="N5047" s="30" t="s">
        <v>1975</v>
      </c>
      <c r="P5047" s="30" t="s">
        <v>12734</v>
      </c>
      <c r="Q5047" t="s">
        <v>622</v>
      </c>
      <c r="R5047" t="s">
        <v>917</v>
      </c>
      <c r="S5047">
        <v>39</v>
      </c>
      <c r="T5047" s="29" t="str">
        <f t="shared" si="232"/>
        <v>2023.070B.Inoviridae_8ns_1ng.zip</v>
      </c>
      <c r="U5047" s="29" t="str">
        <f>HYPERLINK("https://ictv.global/taxonomy/taxondetails?taxnode_id=202319395","ictv.global=202319395")</f>
        <v>ictv.global=202319395</v>
      </c>
    </row>
    <row r="5048" spans="1:21">
      <c r="A5048">
        <v>5047</v>
      </c>
      <c r="B5048" s="30" t="s">
        <v>1956</v>
      </c>
      <c r="D5048" s="30" t="s">
        <v>1957</v>
      </c>
      <c r="F5048" s="30" t="s">
        <v>1958</v>
      </c>
      <c r="H5048" s="30" t="s">
        <v>1959</v>
      </c>
      <c r="J5048" s="30" t="s">
        <v>1960</v>
      </c>
      <c r="L5048" s="30" t="s">
        <v>402</v>
      </c>
      <c r="N5048" s="30" t="s">
        <v>1975</v>
      </c>
      <c r="P5048" s="30" t="s">
        <v>12735</v>
      </c>
      <c r="Q5048" t="s">
        <v>622</v>
      </c>
      <c r="R5048" t="s">
        <v>917</v>
      </c>
      <c r="S5048">
        <v>39</v>
      </c>
      <c r="T5048" s="29" t="str">
        <f t="shared" si="232"/>
        <v>2023.070B.Inoviridae_8ns_1ng.zip</v>
      </c>
      <c r="U5048" s="29" t="str">
        <f>HYPERLINK("https://ictv.global/taxonomy/taxondetails?taxnode_id=202319396","ictv.global=202319396")</f>
        <v>ictv.global=202319396</v>
      </c>
    </row>
    <row r="5049" spans="1:21">
      <c r="A5049">
        <v>5048</v>
      </c>
      <c r="B5049" s="30" t="s">
        <v>1956</v>
      </c>
      <c r="D5049" s="30" t="s">
        <v>1957</v>
      </c>
      <c r="F5049" s="30" t="s">
        <v>1958</v>
      </c>
      <c r="H5049" s="30" t="s">
        <v>1959</v>
      </c>
      <c r="J5049" s="30" t="s">
        <v>1960</v>
      </c>
      <c r="L5049" s="30" t="s">
        <v>402</v>
      </c>
      <c r="N5049" s="30" t="s">
        <v>1975</v>
      </c>
      <c r="P5049" s="30" t="s">
        <v>12736</v>
      </c>
      <c r="Q5049" t="s">
        <v>622</v>
      </c>
      <c r="R5049" t="s">
        <v>917</v>
      </c>
      <c r="S5049">
        <v>39</v>
      </c>
      <c r="T5049" s="29" t="str">
        <f t="shared" si="232"/>
        <v>2023.070B.Inoviridae_8ns_1ng.zip</v>
      </c>
      <c r="U5049" s="29" t="str">
        <f>HYPERLINK("https://ictv.global/taxonomy/taxondetails?taxnode_id=202319398","ictv.global=202319398")</f>
        <v>ictv.global=202319398</v>
      </c>
    </row>
    <row r="5050" spans="1:21">
      <c r="A5050">
        <v>5049</v>
      </c>
      <c r="B5050" s="30" t="s">
        <v>1956</v>
      </c>
      <c r="D5050" s="30" t="s">
        <v>1957</v>
      </c>
      <c r="F5050" s="30" t="s">
        <v>1958</v>
      </c>
      <c r="H5050" s="30" t="s">
        <v>1959</v>
      </c>
      <c r="J5050" s="30" t="s">
        <v>1960</v>
      </c>
      <c r="L5050" s="30" t="s">
        <v>402</v>
      </c>
      <c r="N5050" s="30" t="s">
        <v>1975</v>
      </c>
      <c r="P5050" s="30" t="s">
        <v>12737</v>
      </c>
      <c r="Q5050" t="s">
        <v>622</v>
      </c>
      <c r="R5050" t="s">
        <v>917</v>
      </c>
      <c r="S5050">
        <v>39</v>
      </c>
      <c r="T5050" s="29" t="str">
        <f t="shared" si="232"/>
        <v>2023.070B.Inoviridae_8ns_1ng.zip</v>
      </c>
      <c r="U5050" s="29" t="str">
        <f>HYPERLINK("https://ictv.global/taxonomy/taxondetails?taxnode_id=202319394","ictv.global=202319394")</f>
        <v>ictv.global=202319394</v>
      </c>
    </row>
    <row r="5051" spans="1:21">
      <c r="A5051">
        <v>5050</v>
      </c>
      <c r="B5051" s="30" t="s">
        <v>1956</v>
      </c>
      <c r="D5051" s="30" t="s">
        <v>1957</v>
      </c>
      <c r="F5051" s="30" t="s">
        <v>1958</v>
      </c>
      <c r="H5051" s="30" t="s">
        <v>1959</v>
      </c>
      <c r="J5051" s="30" t="s">
        <v>1960</v>
      </c>
      <c r="L5051" s="30" t="s">
        <v>402</v>
      </c>
      <c r="N5051" s="30" t="s">
        <v>1975</v>
      </c>
      <c r="P5051" s="30" t="s">
        <v>12738</v>
      </c>
      <c r="Q5051" t="s">
        <v>622</v>
      </c>
      <c r="R5051" t="s">
        <v>917</v>
      </c>
      <c r="S5051">
        <v>39</v>
      </c>
      <c r="T5051" s="29" t="str">
        <f t="shared" si="232"/>
        <v>2023.070B.Inoviridae_8ns_1ng.zip</v>
      </c>
      <c r="U5051" s="29" t="str">
        <f>HYPERLINK("https://ictv.global/taxonomy/taxondetails?taxnode_id=202319393","ictv.global=202319393")</f>
        <v>ictv.global=202319393</v>
      </c>
    </row>
    <row r="5052" spans="1:21">
      <c r="A5052">
        <v>5051</v>
      </c>
      <c r="B5052" s="30" t="s">
        <v>1956</v>
      </c>
      <c r="D5052" s="30" t="s">
        <v>1957</v>
      </c>
      <c r="F5052" s="30" t="s">
        <v>1958</v>
      </c>
      <c r="H5052" s="30" t="s">
        <v>1959</v>
      </c>
      <c r="J5052" s="30" t="s">
        <v>1960</v>
      </c>
      <c r="L5052" s="30" t="s">
        <v>402</v>
      </c>
      <c r="N5052" s="30" t="s">
        <v>1976</v>
      </c>
      <c r="P5052" s="30" t="s">
        <v>8552</v>
      </c>
      <c r="Q5052" t="s">
        <v>739</v>
      </c>
      <c r="R5052" t="s">
        <v>920</v>
      </c>
      <c r="S5052">
        <v>37</v>
      </c>
      <c r="T5052" s="29" t="str">
        <f>HYPERLINK("https://ictv.global/ictv/proposals/2021.010B.R.Binomial_names.zip","2021.010B.R.Binomial_names.zip")</f>
        <v>2021.010B.R.Binomial_names.zip</v>
      </c>
      <c r="U5052" s="29" t="str">
        <f>HYPERLINK("https://ictv.global/taxonomy/taxondetails?taxnode_id=202303717","ictv.global=202303717")</f>
        <v>ictv.global=202303717</v>
      </c>
    </row>
    <row r="5053" spans="1:21">
      <c r="A5053">
        <v>5052</v>
      </c>
      <c r="B5053" s="30" t="s">
        <v>1956</v>
      </c>
      <c r="D5053" s="30" t="s">
        <v>1957</v>
      </c>
      <c r="F5053" s="30" t="s">
        <v>1958</v>
      </c>
      <c r="H5053" s="30" t="s">
        <v>1959</v>
      </c>
      <c r="J5053" s="30" t="s">
        <v>1960</v>
      </c>
      <c r="L5053" s="30" t="s">
        <v>402</v>
      </c>
      <c r="N5053" s="30" t="s">
        <v>1977</v>
      </c>
      <c r="P5053" s="30" t="s">
        <v>12739</v>
      </c>
      <c r="Q5053" t="s">
        <v>622</v>
      </c>
      <c r="R5053" t="s">
        <v>917</v>
      </c>
      <c r="S5053">
        <v>39</v>
      </c>
      <c r="T5053" s="29" t="str">
        <f>HYPERLINK("https://ictv.global/ictv/proposals/2023.070B.Inoviridae_8ns_1ng.zip","2023.070B.Inoviridae_8ns_1ng.zip")</f>
        <v>2023.070B.Inoviridae_8ns_1ng.zip</v>
      </c>
      <c r="U5053" s="29" t="str">
        <f>HYPERLINK("https://ictv.global/taxonomy/taxondetails?taxnode_id=202319392","ictv.global=202319392")</f>
        <v>ictv.global=202319392</v>
      </c>
    </row>
    <row r="5054" spans="1:21">
      <c r="A5054">
        <v>5053</v>
      </c>
      <c r="B5054" s="30" t="s">
        <v>1956</v>
      </c>
      <c r="D5054" s="30" t="s">
        <v>1957</v>
      </c>
      <c r="F5054" s="30" t="s">
        <v>1958</v>
      </c>
      <c r="H5054" s="30" t="s">
        <v>1959</v>
      </c>
      <c r="J5054" s="30" t="s">
        <v>1960</v>
      </c>
      <c r="L5054" s="30" t="s">
        <v>402</v>
      </c>
      <c r="N5054" s="30" t="s">
        <v>1977</v>
      </c>
      <c r="P5054" s="30" t="s">
        <v>12740</v>
      </c>
      <c r="Q5054" t="s">
        <v>622</v>
      </c>
      <c r="R5054" t="s">
        <v>917</v>
      </c>
      <c r="S5054">
        <v>39</v>
      </c>
      <c r="T5054" s="29" t="str">
        <f>HYPERLINK("https://ictv.global/ictv/proposals/2023.070B.Inoviridae_8ns_1ng.zip","2023.070B.Inoviridae_8ns_1ng.zip")</f>
        <v>2023.070B.Inoviridae_8ns_1ng.zip</v>
      </c>
      <c r="U5054" s="29" t="str">
        <f>HYPERLINK("https://ictv.global/taxonomy/taxondetails?taxnode_id=202319391","ictv.global=202319391")</f>
        <v>ictv.global=202319391</v>
      </c>
    </row>
    <row r="5055" spans="1:21">
      <c r="A5055">
        <v>5054</v>
      </c>
      <c r="B5055" s="30" t="s">
        <v>1956</v>
      </c>
      <c r="D5055" s="30" t="s">
        <v>1957</v>
      </c>
      <c r="F5055" s="30" t="s">
        <v>1958</v>
      </c>
      <c r="H5055" s="30" t="s">
        <v>1959</v>
      </c>
      <c r="J5055" s="30" t="s">
        <v>1960</v>
      </c>
      <c r="L5055" s="30" t="s">
        <v>402</v>
      </c>
      <c r="N5055" s="30" t="s">
        <v>1977</v>
      </c>
      <c r="P5055" s="30" t="s">
        <v>8553</v>
      </c>
      <c r="Q5055" t="s">
        <v>739</v>
      </c>
      <c r="R5055" t="s">
        <v>917</v>
      </c>
      <c r="S5055">
        <v>37</v>
      </c>
      <c r="T5055" s="29" t="str">
        <f>HYPERLINK("https://ictv.global/ictv/proposals/2021.085B.R.Tubulavirales.zip","2021.085B.R.Tubulavirales.zip")</f>
        <v>2021.085B.R.Tubulavirales.zip</v>
      </c>
      <c r="U5055" s="29" t="str">
        <f>HYPERLINK("https://ictv.global/taxonomy/taxondetails?taxnode_id=202312615","ictv.global=202312615")</f>
        <v>ictv.global=202312615</v>
      </c>
    </row>
    <row r="5056" spans="1:21">
      <c r="A5056">
        <v>5055</v>
      </c>
      <c r="B5056" s="30" t="s">
        <v>1956</v>
      </c>
      <c r="D5056" s="30" t="s">
        <v>1957</v>
      </c>
      <c r="F5056" s="30" t="s">
        <v>1958</v>
      </c>
      <c r="H5056" s="30" t="s">
        <v>1959</v>
      </c>
      <c r="J5056" s="30" t="s">
        <v>1960</v>
      </c>
      <c r="L5056" s="30" t="s">
        <v>402</v>
      </c>
      <c r="N5056" s="30" t="s">
        <v>1977</v>
      </c>
      <c r="P5056" s="30" t="s">
        <v>8554</v>
      </c>
      <c r="Q5056" t="s">
        <v>739</v>
      </c>
      <c r="R5056" t="s">
        <v>920</v>
      </c>
      <c r="S5056">
        <v>37</v>
      </c>
      <c r="T5056" s="29" t="str">
        <f>HYPERLINK("https://ictv.global/ictv/proposals/2021.010B.R.Binomial_names.zip","2021.010B.R.Binomial_names.zip")</f>
        <v>2021.010B.R.Binomial_names.zip</v>
      </c>
      <c r="U5056" s="29" t="str">
        <f>HYPERLINK("https://ictv.global/taxonomy/taxondetails?taxnode_id=202303718","ictv.global=202303718")</f>
        <v>ictv.global=202303718</v>
      </c>
    </row>
    <row r="5057" spans="1:21">
      <c r="A5057">
        <v>5056</v>
      </c>
      <c r="B5057" s="30" t="s">
        <v>1956</v>
      </c>
      <c r="D5057" s="30" t="s">
        <v>1957</v>
      </c>
      <c r="F5057" s="30" t="s">
        <v>1958</v>
      </c>
      <c r="H5057" s="30" t="s">
        <v>1959</v>
      </c>
      <c r="J5057" s="30" t="s">
        <v>1960</v>
      </c>
      <c r="L5057" s="30" t="s">
        <v>402</v>
      </c>
      <c r="N5057" s="30" t="s">
        <v>1978</v>
      </c>
      <c r="P5057" s="30" t="s">
        <v>8555</v>
      </c>
      <c r="Q5057" t="s">
        <v>739</v>
      </c>
      <c r="R5057" t="s">
        <v>917</v>
      </c>
      <c r="S5057">
        <v>37</v>
      </c>
      <c r="T5057" s="29" t="str">
        <f>HYPERLINK("https://ictv.global/ictv/proposals/2021.085B.R.Tubulavirales.zip","2021.085B.R.Tubulavirales.zip")</f>
        <v>2021.085B.R.Tubulavirales.zip</v>
      </c>
      <c r="U5057" s="29" t="str">
        <f>HYPERLINK("https://ictv.global/taxonomy/taxondetails?taxnode_id=202312617","ictv.global=202312617")</f>
        <v>ictv.global=202312617</v>
      </c>
    </row>
    <row r="5058" spans="1:21">
      <c r="A5058">
        <v>5057</v>
      </c>
      <c r="B5058" s="30" t="s">
        <v>1956</v>
      </c>
      <c r="D5058" s="30" t="s">
        <v>1957</v>
      </c>
      <c r="F5058" s="30" t="s">
        <v>1958</v>
      </c>
      <c r="H5058" s="30" t="s">
        <v>1959</v>
      </c>
      <c r="J5058" s="30" t="s">
        <v>1960</v>
      </c>
      <c r="L5058" s="30" t="s">
        <v>402</v>
      </c>
      <c r="N5058" s="30" t="s">
        <v>1978</v>
      </c>
      <c r="P5058" s="30" t="s">
        <v>8556</v>
      </c>
      <c r="Q5058" t="s">
        <v>739</v>
      </c>
      <c r="R5058" t="s">
        <v>920</v>
      </c>
      <c r="S5058">
        <v>37</v>
      </c>
      <c r="T5058" s="29" t="str">
        <f t="shared" ref="T5058:T5065" si="233">HYPERLINK("https://ictv.global/ictv/proposals/2021.010B.R.Binomial_names.zip","2021.010B.R.Binomial_names.zip")</f>
        <v>2021.010B.R.Binomial_names.zip</v>
      </c>
      <c r="U5058" s="29" t="str">
        <f>HYPERLINK("https://ictv.global/taxonomy/taxondetails?taxnode_id=202306876","ictv.global=202306876")</f>
        <v>ictv.global=202306876</v>
      </c>
    </row>
    <row r="5059" spans="1:21">
      <c r="A5059">
        <v>5058</v>
      </c>
      <c r="B5059" s="30" t="s">
        <v>1956</v>
      </c>
      <c r="D5059" s="30" t="s">
        <v>1957</v>
      </c>
      <c r="F5059" s="30" t="s">
        <v>1958</v>
      </c>
      <c r="H5059" s="30" t="s">
        <v>1959</v>
      </c>
      <c r="J5059" s="30" t="s">
        <v>1960</v>
      </c>
      <c r="L5059" s="30" t="s">
        <v>2512</v>
      </c>
      <c r="N5059" s="30" t="s">
        <v>1962</v>
      </c>
      <c r="P5059" s="30" t="s">
        <v>8557</v>
      </c>
      <c r="Q5059" t="s">
        <v>739</v>
      </c>
      <c r="R5059" t="s">
        <v>920</v>
      </c>
      <c r="S5059">
        <v>37</v>
      </c>
      <c r="T5059" s="29" t="str">
        <f t="shared" si="233"/>
        <v>2021.010B.R.Binomial_names.zip</v>
      </c>
      <c r="U5059" s="29" t="str">
        <f>HYPERLINK("https://ictv.global/taxonomy/taxondetails?taxnode_id=202303705","ictv.global=202303705")</f>
        <v>ictv.global=202303705</v>
      </c>
    </row>
    <row r="5060" spans="1:21">
      <c r="A5060">
        <v>5059</v>
      </c>
      <c r="B5060" s="30" t="s">
        <v>1956</v>
      </c>
      <c r="D5060" s="30" t="s">
        <v>1957</v>
      </c>
      <c r="F5060" s="30" t="s">
        <v>1958</v>
      </c>
      <c r="H5060" s="30" t="s">
        <v>1959</v>
      </c>
      <c r="J5060" s="30" t="s">
        <v>1960</v>
      </c>
      <c r="L5060" s="30" t="s">
        <v>2512</v>
      </c>
      <c r="N5060" s="30" t="s">
        <v>1974</v>
      </c>
      <c r="P5060" s="30" t="s">
        <v>8558</v>
      </c>
      <c r="Q5060" t="s">
        <v>739</v>
      </c>
      <c r="R5060" t="s">
        <v>920</v>
      </c>
      <c r="S5060">
        <v>37</v>
      </c>
      <c r="T5060" s="29" t="str">
        <f t="shared" si="233"/>
        <v>2021.010B.R.Binomial_names.zip</v>
      </c>
      <c r="U5060" s="29" t="str">
        <f>HYPERLINK("https://ictv.global/taxonomy/taxondetails?taxnode_id=202306877","ictv.global=202306877")</f>
        <v>ictv.global=202306877</v>
      </c>
    </row>
    <row r="5061" spans="1:21">
      <c r="A5061">
        <v>5060</v>
      </c>
      <c r="B5061" s="30" t="s">
        <v>1956</v>
      </c>
      <c r="D5061" s="30" t="s">
        <v>1957</v>
      </c>
      <c r="F5061" s="30" t="s">
        <v>1958</v>
      </c>
      <c r="H5061" s="30" t="s">
        <v>1959</v>
      </c>
      <c r="J5061" s="30" t="s">
        <v>1960</v>
      </c>
      <c r="L5061" s="30" t="s">
        <v>1979</v>
      </c>
      <c r="N5061" s="30" t="s">
        <v>260</v>
      </c>
      <c r="P5061" s="30" t="s">
        <v>8559</v>
      </c>
      <c r="Q5061" t="s">
        <v>739</v>
      </c>
      <c r="R5061" t="s">
        <v>920</v>
      </c>
      <c r="S5061">
        <v>37</v>
      </c>
      <c r="T5061" s="29" t="str">
        <f t="shared" si="233"/>
        <v>2021.010B.R.Binomial_names.zip</v>
      </c>
      <c r="U5061" s="29" t="str">
        <f>HYPERLINK("https://ictv.global/taxonomy/taxondetails?taxnode_id=202303699","ictv.global=202303699")</f>
        <v>ictv.global=202303699</v>
      </c>
    </row>
    <row r="5062" spans="1:21">
      <c r="A5062">
        <v>5061</v>
      </c>
      <c r="B5062" s="30" t="s">
        <v>1956</v>
      </c>
      <c r="D5062" s="30" t="s">
        <v>1957</v>
      </c>
      <c r="F5062" s="30" t="s">
        <v>1958</v>
      </c>
      <c r="H5062" s="30" t="s">
        <v>1959</v>
      </c>
      <c r="J5062" s="30" t="s">
        <v>1960</v>
      </c>
      <c r="L5062" s="30" t="s">
        <v>1979</v>
      </c>
      <c r="N5062" s="30" t="s">
        <v>1980</v>
      </c>
      <c r="P5062" s="30" t="s">
        <v>8560</v>
      </c>
      <c r="Q5062" t="s">
        <v>739</v>
      </c>
      <c r="R5062" t="s">
        <v>920</v>
      </c>
      <c r="S5062">
        <v>37</v>
      </c>
      <c r="T5062" s="29" t="str">
        <f t="shared" si="233"/>
        <v>2021.010B.R.Binomial_names.zip</v>
      </c>
      <c r="U5062" s="29" t="str">
        <f>HYPERLINK("https://ictv.global/taxonomy/taxondetails?taxnode_id=202303710","ictv.global=202303710")</f>
        <v>ictv.global=202303710</v>
      </c>
    </row>
    <row r="5063" spans="1:21">
      <c r="A5063">
        <v>5062</v>
      </c>
      <c r="B5063" s="30" t="s">
        <v>1956</v>
      </c>
      <c r="D5063" s="30" t="s">
        <v>1957</v>
      </c>
      <c r="F5063" s="30" t="s">
        <v>1958</v>
      </c>
      <c r="H5063" s="30" t="s">
        <v>1959</v>
      </c>
      <c r="J5063" s="30" t="s">
        <v>1960</v>
      </c>
      <c r="L5063" s="30" t="s">
        <v>1979</v>
      </c>
      <c r="N5063" s="30" t="s">
        <v>834</v>
      </c>
      <c r="P5063" s="30" t="s">
        <v>8561</v>
      </c>
      <c r="Q5063" t="s">
        <v>739</v>
      </c>
      <c r="R5063" t="s">
        <v>920</v>
      </c>
      <c r="S5063">
        <v>37</v>
      </c>
      <c r="T5063" s="29" t="str">
        <f t="shared" si="233"/>
        <v>2021.010B.R.Binomial_names.zip</v>
      </c>
      <c r="U5063" s="29" t="str">
        <f>HYPERLINK("https://ictv.global/taxonomy/taxondetails?taxnode_id=202303722","ictv.global=202303722")</f>
        <v>ictv.global=202303722</v>
      </c>
    </row>
    <row r="5064" spans="1:21">
      <c r="A5064">
        <v>5063</v>
      </c>
      <c r="B5064" s="30" t="s">
        <v>1956</v>
      </c>
      <c r="D5064" s="30" t="s">
        <v>1957</v>
      </c>
      <c r="F5064" s="30" t="s">
        <v>1958</v>
      </c>
      <c r="H5064" s="30" t="s">
        <v>1959</v>
      </c>
      <c r="J5064" s="30" t="s">
        <v>1960</v>
      </c>
      <c r="L5064" s="30" t="s">
        <v>1979</v>
      </c>
      <c r="N5064" s="30" t="s">
        <v>834</v>
      </c>
      <c r="P5064" s="30" t="s">
        <v>8562</v>
      </c>
      <c r="Q5064" t="s">
        <v>739</v>
      </c>
      <c r="R5064" t="s">
        <v>920</v>
      </c>
      <c r="S5064">
        <v>37</v>
      </c>
      <c r="T5064" s="29" t="str">
        <f t="shared" si="233"/>
        <v>2021.010B.R.Binomial_names.zip</v>
      </c>
      <c r="U5064" s="29" t="str">
        <f>HYPERLINK("https://ictv.global/taxonomy/taxondetails?taxnode_id=202303723","ictv.global=202303723")</f>
        <v>ictv.global=202303723</v>
      </c>
    </row>
    <row r="5065" spans="1:21">
      <c r="A5065">
        <v>5064</v>
      </c>
      <c r="B5065" s="30" t="s">
        <v>1956</v>
      </c>
      <c r="D5065" s="30" t="s">
        <v>1957</v>
      </c>
      <c r="F5065" s="30" t="s">
        <v>1958</v>
      </c>
      <c r="H5065" s="30" t="s">
        <v>1959</v>
      </c>
      <c r="J5065" s="30" t="s">
        <v>1960</v>
      </c>
      <c r="L5065" s="30" t="s">
        <v>1979</v>
      </c>
      <c r="N5065" s="30" t="s">
        <v>834</v>
      </c>
      <c r="P5065" s="30" t="s">
        <v>8563</v>
      </c>
      <c r="Q5065" t="s">
        <v>739</v>
      </c>
      <c r="R5065" t="s">
        <v>920</v>
      </c>
      <c r="S5065">
        <v>37</v>
      </c>
      <c r="T5065" s="29" t="str">
        <f t="shared" si="233"/>
        <v>2021.010B.R.Binomial_names.zip</v>
      </c>
      <c r="U5065" s="29" t="str">
        <f>HYPERLINK("https://ictv.global/taxonomy/taxondetails?taxnode_id=202303724","ictv.global=202303724")</f>
        <v>ictv.global=202303724</v>
      </c>
    </row>
    <row r="5066" spans="1:21">
      <c r="A5066">
        <v>5065</v>
      </c>
      <c r="B5066" s="30" t="s">
        <v>1956</v>
      </c>
      <c r="D5066" s="30" t="s">
        <v>1957</v>
      </c>
      <c r="F5066" s="30" t="s">
        <v>1958</v>
      </c>
      <c r="H5066" s="30" t="s">
        <v>1959</v>
      </c>
      <c r="J5066" s="30" t="s">
        <v>1960</v>
      </c>
      <c r="L5066" s="30" t="s">
        <v>1979</v>
      </c>
      <c r="N5066" s="30" t="s">
        <v>8564</v>
      </c>
      <c r="P5066" s="30" t="s">
        <v>8565</v>
      </c>
      <c r="Q5066" t="s">
        <v>739</v>
      </c>
      <c r="R5066" t="s">
        <v>917</v>
      </c>
      <c r="S5066">
        <v>37</v>
      </c>
      <c r="T5066" s="29" t="str">
        <f>HYPERLINK("https://ictv.global/ictv/proposals/2021.085B.R.Tubulavirales.zip","2021.085B.R.Tubulavirales.zip")</f>
        <v>2021.085B.R.Tubulavirales.zip</v>
      </c>
      <c r="U5066" s="29" t="str">
        <f>HYPERLINK("https://ictv.global/taxonomy/taxondetails?taxnode_id=202312635","ictv.global=202312635")</f>
        <v>ictv.global=202312635</v>
      </c>
    </row>
    <row r="5067" spans="1:21">
      <c r="A5067">
        <v>5066</v>
      </c>
      <c r="B5067" s="30" t="s">
        <v>1956</v>
      </c>
      <c r="D5067" s="30" t="s">
        <v>1981</v>
      </c>
      <c r="F5067" s="30" t="s">
        <v>1982</v>
      </c>
      <c r="H5067" s="30" t="s">
        <v>1983</v>
      </c>
      <c r="J5067" s="30" t="s">
        <v>1984</v>
      </c>
      <c r="L5067" s="30" t="s">
        <v>405</v>
      </c>
      <c r="M5067" s="30" t="s">
        <v>742</v>
      </c>
      <c r="N5067" s="30" t="s">
        <v>1580</v>
      </c>
      <c r="P5067" s="30" t="s">
        <v>8566</v>
      </c>
      <c r="Q5067" t="s">
        <v>622</v>
      </c>
      <c r="R5067" t="s">
        <v>920</v>
      </c>
      <c r="S5067">
        <v>37</v>
      </c>
      <c r="T5067" s="29" t="str">
        <f t="shared" ref="T5067:T5081" si="234">HYPERLINK("https://ictv.global/ictv/proposals/2021.010B.R.Binomial_names.zip","2021.010B.R.Binomial_names.zip")</f>
        <v>2021.010B.R.Binomial_names.zip</v>
      </c>
      <c r="U5067" s="29" t="str">
        <f>HYPERLINK("https://ictv.global/taxonomy/taxondetails?taxnode_id=202303858","ictv.global=202303858")</f>
        <v>ictv.global=202303858</v>
      </c>
    </row>
    <row r="5068" spans="1:21">
      <c r="A5068">
        <v>5067</v>
      </c>
      <c r="B5068" s="30" t="s">
        <v>1956</v>
      </c>
      <c r="D5068" s="30" t="s">
        <v>1981</v>
      </c>
      <c r="F5068" s="30" t="s">
        <v>1982</v>
      </c>
      <c r="H5068" s="30" t="s">
        <v>1983</v>
      </c>
      <c r="J5068" s="30" t="s">
        <v>1984</v>
      </c>
      <c r="L5068" s="30" t="s">
        <v>405</v>
      </c>
      <c r="M5068" s="30" t="s">
        <v>742</v>
      </c>
      <c r="N5068" s="30" t="s">
        <v>1580</v>
      </c>
      <c r="P5068" s="30" t="s">
        <v>8567</v>
      </c>
      <c r="Q5068" t="s">
        <v>622</v>
      </c>
      <c r="R5068" t="s">
        <v>920</v>
      </c>
      <c r="S5068">
        <v>37</v>
      </c>
      <c r="T5068" s="29" t="str">
        <f t="shared" si="234"/>
        <v>2021.010B.R.Binomial_names.zip</v>
      </c>
      <c r="U5068" s="29" t="str">
        <f>HYPERLINK("https://ictv.global/taxonomy/taxondetails?taxnode_id=202303859","ictv.global=202303859")</f>
        <v>ictv.global=202303859</v>
      </c>
    </row>
    <row r="5069" spans="1:21">
      <c r="A5069">
        <v>5068</v>
      </c>
      <c r="B5069" s="30" t="s">
        <v>1956</v>
      </c>
      <c r="D5069" s="30" t="s">
        <v>1981</v>
      </c>
      <c r="F5069" s="30" t="s">
        <v>1982</v>
      </c>
      <c r="H5069" s="30" t="s">
        <v>1983</v>
      </c>
      <c r="J5069" s="30" t="s">
        <v>1984</v>
      </c>
      <c r="L5069" s="30" t="s">
        <v>405</v>
      </c>
      <c r="M5069" s="30" t="s">
        <v>742</v>
      </c>
      <c r="N5069" s="30" t="s">
        <v>1580</v>
      </c>
      <c r="P5069" s="30" t="s">
        <v>8568</v>
      </c>
      <c r="Q5069" t="s">
        <v>622</v>
      </c>
      <c r="R5069" t="s">
        <v>920</v>
      </c>
      <c r="S5069">
        <v>37</v>
      </c>
      <c r="T5069" s="29" t="str">
        <f t="shared" si="234"/>
        <v>2021.010B.R.Binomial_names.zip</v>
      </c>
      <c r="U5069" s="29" t="str">
        <f>HYPERLINK("https://ictv.global/taxonomy/taxondetails?taxnode_id=202303860","ictv.global=202303860")</f>
        <v>ictv.global=202303860</v>
      </c>
    </row>
    <row r="5070" spans="1:21">
      <c r="A5070">
        <v>5069</v>
      </c>
      <c r="B5070" s="30" t="s">
        <v>1956</v>
      </c>
      <c r="D5070" s="30" t="s">
        <v>1981</v>
      </c>
      <c r="F5070" s="30" t="s">
        <v>1982</v>
      </c>
      <c r="H5070" s="30" t="s">
        <v>1983</v>
      </c>
      <c r="J5070" s="30" t="s">
        <v>1984</v>
      </c>
      <c r="L5070" s="30" t="s">
        <v>405</v>
      </c>
      <c r="M5070" s="30" t="s">
        <v>742</v>
      </c>
      <c r="N5070" s="30" t="s">
        <v>1580</v>
      </c>
      <c r="P5070" s="30" t="s">
        <v>8569</v>
      </c>
      <c r="Q5070" t="s">
        <v>622</v>
      </c>
      <c r="R5070" t="s">
        <v>920</v>
      </c>
      <c r="S5070">
        <v>37</v>
      </c>
      <c r="T5070" s="29" t="str">
        <f t="shared" si="234"/>
        <v>2021.010B.R.Binomial_names.zip</v>
      </c>
      <c r="U5070" s="29" t="str">
        <f>HYPERLINK("https://ictv.global/taxonomy/taxondetails?taxnode_id=202303861","ictv.global=202303861")</f>
        <v>ictv.global=202303861</v>
      </c>
    </row>
    <row r="5071" spans="1:21">
      <c r="A5071">
        <v>5070</v>
      </c>
      <c r="B5071" s="30" t="s">
        <v>1956</v>
      </c>
      <c r="D5071" s="30" t="s">
        <v>1981</v>
      </c>
      <c r="F5071" s="30" t="s">
        <v>1982</v>
      </c>
      <c r="H5071" s="30" t="s">
        <v>1983</v>
      </c>
      <c r="J5071" s="30" t="s">
        <v>1984</v>
      </c>
      <c r="L5071" s="30" t="s">
        <v>405</v>
      </c>
      <c r="M5071" s="30" t="s">
        <v>742</v>
      </c>
      <c r="N5071" s="30" t="s">
        <v>1580</v>
      </c>
      <c r="P5071" s="30" t="s">
        <v>8570</v>
      </c>
      <c r="Q5071" t="s">
        <v>622</v>
      </c>
      <c r="R5071" t="s">
        <v>920</v>
      </c>
      <c r="S5071">
        <v>37</v>
      </c>
      <c r="T5071" s="29" t="str">
        <f t="shared" si="234"/>
        <v>2021.010B.R.Binomial_names.zip</v>
      </c>
      <c r="U5071" s="29" t="str">
        <f>HYPERLINK("https://ictv.global/taxonomy/taxondetails?taxnode_id=202303862","ictv.global=202303862")</f>
        <v>ictv.global=202303862</v>
      </c>
    </row>
    <row r="5072" spans="1:21">
      <c r="A5072">
        <v>5071</v>
      </c>
      <c r="B5072" s="30" t="s">
        <v>1956</v>
      </c>
      <c r="D5072" s="30" t="s">
        <v>1981</v>
      </c>
      <c r="F5072" s="30" t="s">
        <v>1982</v>
      </c>
      <c r="H5072" s="30" t="s">
        <v>1983</v>
      </c>
      <c r="J5072" s="30" t="s">
        <v>1984</v>
      </c>
      <c r="L5072" s="30" t="s">
        <v>405</v>
      </c>
      <c r="M5072" s="30" t="s">
        <v>742</v>
      </c>
      <c r="N5072" s="30" t="s">
        <v>1580</v>
      </c>
      <c r="P5072" s="30" t="s">
        <v>8571</v>
      </c>
      <c r="Q5072" t="s">
        <v>622</v>
      </c>
      <c r="R5072" t="s">
        <v>920</v>
      </c>
      <c r="S5072">
        <v>37</v>
      </c>
      <c r="T5072" s="29" t="str">
        <f t="shared" si="234"/>
        <v>2021.010B.R.Binomial_names.zip</v>
      </c>
      <c r="U5072" s="29" t="str">
        <f>HYPERLINK("https://ictv.global/taxonomy/taxondetails?taxnode_id=202303863","ictv.global=202303863")</f>
        <v>ictv.global=202303863</v>
      </c>
    </row>
    <row r="5073" spans="1:21">
      <c r="A5073">
        <v>5072</v>
      </c>
      <c r="B5073" s="30" t="s">
        <v>1956</v>
      </c>
      <c r="D5073" s="30" t="s">
        <v>1981</v>
      </c>
      <c r="F5073" s="30" t="s">
        <v>1982</v>
      </c>
      <c r="H5073" s="30" t="s">
        <v>1983</v>
      </c>
      <c r="J5073" s="30" t="s">
        <v>1984</v>
      </c>
      <c r="L5073" s="30" t="s">
        <v>405</v>
      </c>
      <c r="M5073" s="30" t="s">
        <v>742</v>
      </c>
      <c r="N5073" s="30" t="s">
        <v>1580</v>
      </c>
      <c r="P5073" s="30" t="s">
        <v>8572</v>
      </c>
      <c r="Q5073" t="s">
        <v>622</v>
      </c>
      <c r="R5073" t="s">
        <v>920</v>
      </c>
      <c r="S5073">
        <v>37</v>
      </c>
      <c r="T5073" s="29" t="str">
        <f t="shared" si="234"/>
        <v>2021.010B.R.Binomial_names.zip</v>
      </c>
      <c r="U5073" s="29" t="str">
        <f>HYPERLINK("https://ictv.global/taxonomy/taxondetails?taxnode_id=202303864","ictv.global=202303864")</f>
        <v>ictv.global=202303864</v>
      </c>
    </row>
    <row r="5074" spans="1:21">
      <c r="A5074">
        <v>5073</v>
      </c>
      <c r="B5074" s="30" t="s">
        <v>1956</v>
      </c>
      <c r="D5074" s="30" t="s">
        <v>1981</v>
      </c>
      <c r="F5074" s="30" t="s">
        <v>1982</v>
      </c>
      <c r="H5074" s="30" t="s">
        <v>1983</v>
      </c>
      <c r="J5074" s="30" t="s">
        <v>1984</v>
      </c>
      <c r="L5074" s="30" t="s">
        <v>405</v>
      </c>
      <c r="M5074" s="30" t="s">
        <v>742</v>
      </c>
      <c r="N5074" s="30" t="s">
        <v>1580</v>
      </c>
      <c r="P5074" s="30" t="s">
        <v>8573</v>
      </c>
      <c r="Q5074" t="s">
        <v>622</v>
      </c>
      <c r="R5074" t="s">
        <v>920</v>
      </c>
      <c r="S5074">
        <v>37</v>
      </c>
      <c r="T5074" s="29" t="str">
        <f t="shared" si="234"/>
        <v>2021.010B.R.Binomial_names.zip</v>
      </c>
      <c r="U5074" s="29" t="str">
        <f>HYPERLINK("https://ictv.global/taxonomy/taxondetails?taxnode_id=202303865","ictv.global=202303865")</f>
        <v>ictv.global=202303865</v>
      </c>
    </row>
    <row r="5075" spans="1:21">
      <c r="A5075">
        <v>5074</v>
      </c>
      <c r="B5075" s="30" t="s">
        <v>1956</v>
      </c>
      <c r="D5075" s="30" t="s">
        <v>1981</v>
      </c>
      <c r="F5075" s="30" t="s">
        <v>1982</v>
      </c>
      <c r="H5075" s="30" t="s">
        <v>1983</v>
      </c>
      <c r="J5075" s="30" t="s">
        <v>1984</v>
      </c>
      <c r="L5075" s="30" t="s">
        <v>405</v>
      </c>
      <c r="M5075" s="30" t="s">
        <v>742</v>
      </c>
      <c r="N5075" s="30" t="s">
        <v>1580</v>
      </c>
      <c r="P5075" s="30" t="s">
        <v>8574</v>
      </c>
      <c r="Q5075" t="s">
        <v>622</v>
      </c>
      <c r="R5075" t="s">
        <v>920</v>
      </c>
      <c r="S5075">
        <v>37</v>
      </c>
      <c r="T5075" s="29" t="str">
        <f t="shared" si="234"/>
        <v>2021.010B.R.Binomial_names.zip</v>
      </c>
      <c r="U5075" s="29" t="str">
        <f>HYPERLINK("https://ictv.global/taxonomy/taxondetails?taxnode_id=202303866","ictv.global=202303866")</f>
        <v>ictv.global=202303866</v>
      </c>
    </row>
    <row r="5076" spans="1:21">
      <c r="A5076">
        <v>5075</v>
      </c>
      <c r="B5076" s="30" t="s">
        <v>1956</v>
      </c>
      <c r="D5076" s="30" t="s">
        <v>1981</v>
      </c>
      <c r="F5076" s="30" t="s">
        <v>1982</v>
      </c>
      <c r="H5076" s="30" t="s">
        <v>1983</v>
      </c>
      <c r="J5076" s="30" t="s">
        <v>1984</v>
      </c>
      <c r="L5076" s="30" t="s">
        <v>405</v>
      </c>
      <c r="M5076" s="30" t="s">
        <v>742</v>
      </c>
      <c r="N5076" s="30" t="s">
        <v>1580</v>
      </c>
      <c r="P5076" s="30" t="s">
        <v>8575</v>
      </c>
      <c r="Q5076" t="s">
        <v>622</v>
      </c>
      <c r="R5076" t="s">
        <v>920</v>
      </c>
      <c r="S5076">
        <v>37</v>
      </c>
      <c r="T5076" s="29" t="str">
        <f t="shared" si="234"/>
        <v>2021.010B.R.Binomial_names.zip</v>
      </c>
      <c r="U5076" s="29" t="str">
        <f>HYPERLINK("https://ictv.global/taxonomy/taxondetails?taxnode_id=202303867","ictv.global=202303867")</f>
        <v>ictv.global=202303867</v>
      </c>
    </row>
    <row r="5077" spans="1:21">
      <c r="A5077">
        <v>5076</v>
      </c>
      <c r="B5077" s="30" t="s">
        <v>1956</v>
      </c>
      <c r="D5077" s="30" t="s">
        <v>1981</v>
      </c>
      <c r="F5077" s="30" t="s">
        <v>1982</v>
      </c>
      <c r="H5077" s="30" t="s">
        <v>1983</v>
      </c>
      <c r="J5077" s="30" t="s">
        <v>1984</v>
      </c>
      <c r="L5077" s="30" t="s">
        <v>405</v>
      </c>
      <c r="M5077" s="30" t="s">
        <v>742</v>
      </c>
      <c r="N5077" s="30" t="s">
        <v>1581</v>
      </c>
      <c r="P5077" s="30" t="s">
        <v>8576</v>
      </c>
      <c r="Q5077" t="s">
        <v>622</v>
      </c>
      <c r="R5077" t="s">
        <v>920</v>
      </c>
      <c r="S5077">
        <v>37</v>
      </c>
      <c r="T5077" s="29" t="str">
        <f t="shared" si="234"/>
        <v>2021.010B.R.Binomial_names.zip</v>
      </c>
      <c r="U5077" s="29" t="str">
        <f>HYPERLINK("https://ictv.global/taxonomy/taxondetails?taxnode_id=202303869","ictv.global=202303869")</f>
        <v>ictv.global=202303869</v>
      </c>
    </row>
    <row r="5078" spans="1:21">
      <c r="A5078">
        <v>5077</v>
      </c>
      <c r="B5078" s="30" t="s">
        <v>1956</v>
      </c>
      <c r="D5078" s="30" t="s">
        <v>1981</v>
      </c>
      <c r="F5078" s="30" t="s">
        <v>1982</v>
      </c>
      <c r="H5078" s="30" t="s">
        <v>1983</v>
      </c>
      <c r="J5078" s="30" t="s">
        <v>1984</v>
      </c>
      <c r="L5078" s="30" t="s">
        <v>405</v>
      </c>
      <c r="M5078" s="30" t="s">
        <v>742</v>
      </c>
      <c r="N5078" s="30" t="s">
        <v>1581</v>
      </c>
      <c r="P5078" s="30" t="s">
        <v>8577</v>
      </c>
      <c r="Q5078" t="s">
        <v>622</v>
      </c>
      <c r="R5078" t="s">
        <v>920</v>
      </c>
      <c r="S5078">
        <v>37</v>
      </c>
      <c r="T5078" s="29" t="str">
        <f t="shared" si="234"/>
        <v>2021.010B.R.Binomial_names.zip</v>
      </c>
      <c r="U5078" s="29" t="str">
        <f>HYPERLINK("https://ictv.global/taxonomy/taxondetails?taxnode_id=202303870","ictv.global=202303870")</f>
        <v>ictv.global=202303870</v>
      </c>
    </row>
    <row r="5079" spans="1:21">
      <c r="A5079">
        <v>5078</v>
      </c>
      <c r="B5079" s="30" t="s">
        <v>1956</v>
      </c>
      <c r="D5079" s="30" t="s">
        <v>1981</v>
      </c>
      <c r="F5079" s="30" t="s">
        <v>1982</v>
      </c>
      <c r="H5079" s="30" t="s">
        <v>1983</v>
      </c>
      <c r="J5079" s="30" t="s">
        <v>1984</v>
      </c>
      <c r="L5079" s="30" t="s">
        <v>405</v>
      </c>
      <c r="M5079" s="30" t="s">
        <v>742</v>
      </c>
      <c r="N5079" s="30" t="s">
        <v>1581</v>
      </c>
      <c r="P5079" s="30" t="s">
        <v>8578</v>
      </c>
      <c r="Q5079" t="s">
        <v>622</v>
      </c>
      <c r="R5079" t="s">
        <v>920</v>
      </c>
      <c r="S5079">
        <v>37</v>
      </c>
      <c r="T5079" s="29" t="str">
        <f t="shared" si="234"/>
        <v>2021.010B.R.Binomial_names.zip</v>
      </c>
      <c r="U5079" s="29" t="str">
        <f>HYPERLINK("https://ictv.global/taxonomy/taxondetails?taxnode_id=202303871","ictv.global=202303871")</f>
        <v>ictv.global=202303871</v>
      </c>
    </row>
    <row r="5080" spans="1:21">
      <c r="A5080">
        <v>5079</v>
      </c>
      <c r="B5080" s="30" t="s">
        <v>1956</v>
      </c>
      <c r="D5080" s="30" t="s">
        <v>1981</v>
      </c>
      <c r="F5080" s="30" t="s">
        <v>1982</v>
      </c>
      <c r="H5080" s="30" t="s">
        <v>1983</v>
      </c>
      <c r="J5080" s="30" t="s">
        <v>1984</v>
      </c>
      <c r="L5080" s="30" t="s">
        <v>405</v>
      </c>
      <c r="M5080" s="30" t="s">
        <v>742</v>
      </c>
      <c r="N5080" s="30" t="s">
        <v>1582</v>
      </c>
      <c r="P5080" s="30" t="s">
        <v>8579</v>
      </c>
      <c r="Q5080" t="s">
        <v>622</v>
      </c>
      <c r="R5080" t="s">
        <v>920</v>
      </c>
      <c r="S5080">
        <v>37</v>
      </c>
      <c r="T5080" s="29" t="str">
        <f t="shared" si="234"/>
        <v>2021.010B.R.Binomial_names.zip</v>
      </c>
      <c r="U5080" s="29" t="str">
        <f>HYPERLINK("https://ictv.global/taxonomy/taxondetails?taxnode_id=202303873","ictv.global=202303873")</f>
        <v>ictv.global=202303873</v>
      </c>
    </row>
    <row r="5081" spans="1:21">
      <c r="A5081">
        <v>5080</v>
      </c>
      <c r="B5081" s="30" t="s">
        <v>1956</v>
      </c>
      <c r="D5081" s="30" t="s">
        <v>1981</v>
      </c>
      <c r="F5081" s="30" t="s">
        <v>1982</v>
      </c>
      <c r="H5081" s="30" t="s">
        <v>1983</v>
      </c>
      <c r="J5081" s="30" t="s">
        <v>1984</v>
      </c>
      <c r="L5081" s="30" t="s">
        <v>405</v>
      </c>
      <c r="M5081" s="30" t="s">
        <v>309</v>
      </c>
      <c r="N5081" s="30" t="s">
        <v>458</v>
      </c>
      <c r="P5081" s="30" t="s">
        <v>8580</v>
      </c>
      <c r="Q5081" t="s">
        <v>622</v>
      </c>
      <c r="R5081" t="s">
        <v>920</v>
      </c>
      <c r="S5081">
        <v>37</v>
      </c>
      <c r="T5081" s="29" t="str">
        <f t="shared" si="234"/>
        <v>2021.010B.R.Binomial_names.zip</v>
      </c>
      <c r="U5081" s="29" t="str">
        <f>HYPERLINK("https://ictv.global/taxonomy/taxondetails?taxnode_id=202303877","ictv.global=202303877")</f>
        <v>ictv.global=202303877</v>
      </c>
    </row>
    <row r="5082" spans="1:21">
      <c r="A5082">
        <v>5081</v>
      </c>
      <c r="B5082" s="30" t="s">
        <v>1956</v>
      </c>
      <c r="D5082" s="30" t="s">
        <v>1981</v>
      </c>
      <c r="F5082" s="30" t="s">
        <v>1982</v>
      </c>
      <c r="H5082" s="30" t="s">
        <v>1983</v>
      </c>
      <c r="J5082" s="30" t="s">
        <v>1984</v>
      </c>
      <c r="L5082" s="30" t="s">
        <v>405</v>
      </c>
      <c r="M5082" s="30" t="s">
        <v>309</v>
      </c>
      <c r="N5082" s="30" t="s">
        <v>458</v>
      </c>
      <c r="P5082" s="30" t="s">
        <v>743</v>
      </c>
      <c r="Q5082" t="s">
        <v>622</v>
      </c>
      <c r="R5082" t="s">
        <v>3894</v>
      </c>
      <c r="S5082">
        <v>36</v>
      </c>
      <c r="T5082" s="29" t="str">
        <f>HYPERLINK("https://ictv.global/ictv/proposals/2020.001G.R.Abolish_type_species.pdf","2020.001G.R.Abolish_type_species.pdf")</f>
        <v>2020.001G.R.Abolish_type_species.pdf</v>
      </c>
      <c r="U5082" s="29" t="str">
        <f>HYPERLINK("https://ictv.global/taxonomy/taxondetails?taxnode_id=202303876","ictv.global=202303876")</f>
        <v>ictv.global=202303876</v>
      </c>
    </row>
    <row r="5083" spans="1:21">
      <c r="A5083">
        <v>5082</v>
      </c>
      <c r="B5083" s="30" t="s">
        <v>1956</v>
      </c>
      <c r="D5083" s="30" t="s">
        <v>1981</v>
      </c>
      <c r="F5083" s="30" t="s">
        <v>1982</v>
      </c>
      <c r="H5083" s="30" t="s">
        <v>1983</v>
      </c>
      <c r="J5083" s="30" t="s">
        <v>1984</v>
      </c>
      <c r="L5083" s="30" t="s">
        <v>405</v>
      </c>
      <c r="M5083" s="30" t="s">
        <v>309</v>
      </c>
      <c r="N5083" s="30" t="s">
        <v>459</v>
      </c>
      <c r="P5083" s="30" t="s">
        <v>8581</v>
      </c>
      <c r="Q5083" t="s">
        <v>622</v>
      </c>
      <c r="R5083" t="s">
        <v>920</v>
      </c>
      <c r="S5083">
        <v>37</v>
      </c>
      <c r="T5083" s="29" t="str">
        <f>HYPERLINK("https://ictv.global/ictv/proposals/2021.010B.R.Binomial_names.zip","2021.010B.R.Binomial_names.zip")</f>
        <v>2021.010B.R.Binomial_names.zip</v>
      </c>
      <c r="U5083" s="29" t="str">
        <f>HYPERLINK("https://ictv.global/taxonomy/taxondetails?taxnode_id=202303879","ictv.global=202303879")</f>
        <v>ictv.global=202303879</v>
      </c>
    </row>
    <row r="5084" spans="1:21">
      <c r="A5084">
        <v>5083</v>
      </c>
      <c r="B5084" s="30" t="s">
        <v>1956</v>
      </c>
      <c r="D5084" s="30" t="s">
        <v>1981</v>
      </c>
      <c r="F5084" s="30" t="s">
        <v>1982</v>
      </c>
      <c r="H5084" s="30" t="s">
        <v>1983</v>
      </c>
      <c r="J5084" s="30" t="s">
        <v>1984</v>
      </c>
      <c r="L5084" s="30" t="s">
        <v>405</v>
      </c>
      <c r="M5084" s="30" t="s">
        <v>309</v>
      </c>
      <c r="N5084" s="30" t="s">
        <v>459</v>
      </c>
      <c r="P5084" s="30" t="s">
        <v>8582</v>
      </c>
      <c r="Q5084" t="s">
        <v>622</v>
      </c>
      <c r="R5084" t="s">
        <v>920</v>
      </c>
      <c r="S5084">
        <v>37</v>
      </c>
      <c r="T5084" s="29" t="str">
        <f>HYPERLINK("https://ictv.global/ictv/proposals/2021.010B.R.Binomial_names.zip","2021.010B.R.Binomial_names.zip")</f>
        <v>2021.010B.R.Binomial_names.zip</v>
      </c>
      <c r="U5084" s="29" t="str">
        <f>HYPERLINK("https://ictv.global/taxonomy/taxondetails?taxnode_id=202303880","ictv.global=202303880")</f>
        <v>ictv.global=202303880</v>
      </c>
    </row>
    <row r="5085" spans="1:21">
      <c r="A5085">
        <v>5084</v>
      </c>
      <c r="B5085" s="30" t="s">
        <v>1956</v>
      </c>
      <c r="D5085" s="30" t="s">
        <v>1981</v>
      </c>
      <c r="F5085" s="30" t="s">
        <v>1982</v>
      </c>
      <c r="H5085" s="30" t="s">
        <v>1983</v>
      </c>
      <c r="J5085" s="30" t="s">
        <v>1984</v>
      </c>
      <c r="L5085" s="30" t="s">
        <v>405</v>
      </c>
      <c r="M5085" s="30" t="s">
        <v>309</v>
      </c>
      <c r="N5085" s="30" t="s">
        <v>459</v>
      </c>
      <c r="P5085" s="30" t="s">
        <v>8583</v>
      </c>
      <c r="Q5085" t="s">
        <v>622</v>
      </c>
      <c r="R5085" t="s">
        <v>920</v>
      </c>
      <c r="S5085">
        <v>37</v>
      </c>
      <c r="T5085" s="29" t="str">
        <f>HYPERLINK("https://ictv.global/ictv/proposals/2021.010B.R.Binomial_names.zip","2021.010B.R.Binomial_names.zip")</f>
        <v>2021.010B.R.Binomial_names.zip</v>
      </c>
      <c r="U5085" s="29" t="str">
        <f>HYPERLINK("https://ictv.global/taxonomy/taxondetails?taxnode_id=202303881","ictv.global=202303881")</f>
        <v>ictv.global=202303881</v>
      </c>
    </row>
    <row r="5086" spans="1:21">
      <c r="A5086">
        <v>5085</v>
      </c>
      <c r="B5086" s="30" t="s">
        <v>1956</v>
      </c>
      <c r="D5086" s="30" t="s">
        <v>1981</v>
      </c>
      <c r="F5086" s="30" t="s">
        <v>1982</v>
      </c>
      <c r="H5086" s="30" t="s">
        <v>1983</v>
      </c>
      <c r="J5086" s="30" t="s">
        <v>1984</v>
      </c>
      <c r="L5086" s="30" t="s">
        <v>405</v>
      </c>
      <c r="M5086" s="30" t="s">
        <v>309</v>
      </c>
      <c r="N5086" s="30" t="s">
        <v>459</v>
      </c>
      <c r="P5086" s="30" t="s">
        <v>8584</v>
      </c>
      <c r="Q5086" t="s">
        <v>622</v>
      </c>
      <c r="R5086" t="s">
        <v>920</v>
      </c>
      <c r="S5086">
        <v>37</v>
      </c>
      <c r="T5086" s="29" t="str">
        <f>HYPERLINK("https://ictv.global/ictv/proposals/2021.010B.R.Binomial_names.zip","2021.010B.R.Binomial_names.zip")</f>
        <v>2021.010B.R.Binomial_names.zip</v>
      </c>
      <c r="U5086" s="29" t="str">
        <f>HYPERLINK("https://ictv.global/taxonomy/taxondetails?taxnode_id=202303882","ictv.global=202303882")</f>
        <v>ictv.global=202303882</v>
      </c>
    </row>
    <row r="5087" spans="1:21">
      <c r="A5087">
        <v>5086</v>
      </c>
      <c r="B5087" s="30" t="s">
        <v>1956</v>
      </c>
      <c r="D5087" s="30" t="s">
        <v>1981</v>
      </c>
      <c r="F5087" s="30" t="s">
        <v>1982</v>
      </c>
      <c r="H5087" s="30" t="s">
        <v>1983</v>
      </c>
      <c r="J5087" s="30" t="s">
        <v>1984</v>
      </c>
      <c r="L5087" s="30" t="s">
        <v>405</v>
      </c>
      <c r="M5087" s="30" t="s">
        <v>309</v>
      </c>
      <c r="N5087" s="30" t="s">
        <v>2513</v>
      </c>
      <c r="P5087" s="30" t="s">
        <v>2514</v>
      </c>
      <c r="Q5087" t="s">
        <v>739</v>
      </c>
      <c r="R5087" t="s">
        <v>917</v>
      </c>
      <c r="S5087">
        <v>36</v>
      </c>
      <c r="T5087" s="29" t="str">
        <f>HYPERLINK("https://ictv.global/ictv/proposals/2020.055B.R.Enterogokushovirus.zip","2020.055B.R.Enterogokushovirus.zip")</f>
        <v>2020.055B.R.Enterogokushovirus.zip</v>
      </c>
      <c r="U5087" s="29" t="str">
        <f>HYPERLINK("https://ictv.global/taxonomy/taxondetails?taxnode_id=202309999","ictv.global=202309999")</f>
        <v>ictv.global=202309999</v>
      </c>
    </row>
    <row r="5088" spans="1:21">
      <c r="A5088">
        <v>5087</v>
      </c>
      <c r="B5088" s="30" t="s">
        <v>1956</v>
      </c>
      <c r="D5088" s="30" t="s">
        <v>1981</v>
      </c>
      <c r="F5088" s="30" t="s">
        <v>1982</v>
      </c>
      <c r="H5088" s="30" t="s">
        <v>1983</v>
      </c>
      <c r="J5088" s="30" t="s">
        <v>1984</v>
      </c>
      <c r="L5088" s="30" t="s">
        <v>405</v>
      </c>
      <c r="M5088" s="30" t="s">
        <v>309</v>
      </c>
      <c r="N5088" s="30" t="s">
        <v>480</v>
      </c>
      <c r="P5088" s="30" t="s">
        <v>8585</v>
      </c>
      <c r="Q5088" t="s">
        <v>622</v>
      </c>
      <c r="R5088" t="s">
        <v>920</v>
      </c>
      <c r="S5088">
        <v>37</v>
      </c>
      <c r="T5088" s="29" t="str">
        <f>HYPERLINK("https://ictv.global/ictv/proposals/2021.010B.R.Binomial_names.zip","2021.010B.R.Binomial_names.zip")</f>
        <v>2021.010B.R.Binomial_names.zip</v>
      </c>
      <c r="U5088" s="29" t="str">
        <f>HYPERLINK("https://ictv.global/taxonomy/taxondetails?taxnode_id=202303884","ictv.global=202303884")</f>
        <v>ictv.global=202303884</v>
      </c>
    </row>
    <row r="5089" spans="1:21">
      <c r="A5089">
        <v>5088</v>
      </c>
      <c r="B5089" s="30" t="s">
        <v>1956</v>
      </c>
      <c r="D5089" s="30" t="s">
        <v>1985</v>
      </c>
      <c r="F5089" s="30" t="s">
        <v>1986</v>
      </c>
      <c r="H5089" s="30" t="s">
        <v>1987</v>
      </c>
      <c r="J5089" s="30" t="s">
        <v>1988</v>
      </c>
      <c r="L5089" s="30" t="s">
        <v>15</v>
      </c>
      <c r="N5089" s="30" t="s">
        <v>16</v>
      </c>
      <c r="P5089" s="30" t="s">
        <v>17</v>
      </c>
      <c r="Q5089" t="s">
        <v>622</v>
      </c>
      <c r="R5089" t="s">
        <v>3894</v>
      </c>
      <c r="S5089">
        <v>36</v>
      </c>
      <c r="T5089" s="29" t="str">
        <f>HYPERLINK("https://ictv.global/ictv/proposals/2020.001G.R.Abolish_type_species.pdf","2020.001G.R.Abolish_type_species.pdf")</f>
        <v>2020.001G.R.Abolish_type_species.pdf</v>
      </c>
      <c r="U5089" s="29" t="str">
        <f>HYPERLINK("https://ictv.global/taxonomy/taxondetails?taxnode_id=202302744","ictv.global=202302744")</f>
        <v>ictv.global=202302744</v>
      </c>
    </row>
    <row r="5090" spans="1:21">
      <c r="A5090">
        <v>5089</v>
      </c>
      <c r="B5090" s="30" t="s">
        <v>1956</v>
      </c>
      <c r="D5090" s="30" t="s">
        <v>1985</v>
      </c>
      <c r="F5090" s="30" t="s">
        <v>1986</v>
      </c>
      <c r="H5090" s="30" t="s">
        <v>1989</v>
      </c>
      <c r="J5090" s="30" t="s">
        <v>1990</v>
      </c>
      <c r="L5090" s="30" t="s">
        <v>251</v>
      </c>
      <c r="N5090" s="30" t="s">
        <v>778</v>
      </c>
      <c r="P5090" s="30" t="s">
        <v>8586</v>
      </c>
      <c r="Q5090" t="s">
        <v>619</v>
      </c>
      <c r="R5090" t="s">
        <v>920</v>
      </c>
      <c r="S5090">
        <v>37</v>
      </c>
      <c r="T5090" s="29" t="str">
        <f t="shared" ref="T5090:T5121" si="235">HYPERLINK("https://ictv.global/ictv/proposals/2021.007D.R.Polyomaviridae_2ngen_117rensp.zip","2021.007D.R.Polyomaviridae_2ngen_117rensp.zip")</f>
        <v>2021.007D.R.Polyomaviridae_2ngen_117rensp.zip</v>
      </c>
      <c r="U5090" s="29" t="str">
        <f>HYPERLINK("https://ictv.global/taxonomy/taxondetails?taxnode_id=202304412","ictv.global=202304412")</f>
        <v>ictv.global=202304412</v>
      </c>
    </row>
    <row r="5091" spans="1:21">
      <c r="A5091">
        <v>5090</v>
      </c>
      <c r="B5091" s="30" t="s">
        <v>1956</v>
      </c>
      <c r="D5091" s="30" t="s">
        <v>1985</v>
      </c>
      <c r="F5091" s="30" t="s">
        <v>1986</v>
      </c>
      <c r="H5091" s="30" t="s">
        <v>1989</v>
      </c>
      <c r="J5091" s="30" t="s">
        <v>1990</v>
      </c>
      <c r="L5091" s="30" t="s">
        <v>251</v>
      </c>
      <c r="N5091" s="30" t="s">
        <v>778</v>
      </c>
      <c r="P5091" s="30" t="s">
        <v>8587</v>
      </c>
      <c r="Q5091" t="s">
        <v>619</v>
      </c>
      <c r="R5091" t="s">
        <v>920</v>
      </c>
      <c r="S5091">
        <v>37</v>
      </c>
      <c r="T5091" s="29" t="str">
        <f t="shared" si="235"/>
        <v>2021.007D.R.Polyomaviridae_2ngen_117rensp.zip</v>
      </c>
      <c r="U5091" s="29" t="str">
        <f>HYPERLINK("https://ictv.global/taxonomy/taxondetails?taxnode_id=202309582","ictv.global=202309582")</f>
        <v>ictv.global=202309582</v>
      </c>
    </row>
    <row r="5092" spans="1:21">
      <c r="A5092">
        <v>5091</v>
      </c>
      <c r="B5092" s="30" t="s">
        <v>1956</v>
      </c>
      <c r="D5092" s="30" t="s">
        <v>1985</v>
      </c>
      <c r="F5092" s="30" t="s">
        <v>1986</v>
      </c>
      <c r="H5092" s="30" t="s">
        <v>1989</v>
      </c>
      <c r="J5092" s="30" t="s">
        <v>1990</v>
      </c>
      <c r="L5092" s="30" t="s">
        <v>251</v>
      </c>
      <c r="N5092" s="30" t="s">
        <v>778</v>
      </c>
      <c r="P5092" s="30" t="s">
        <v>8588</v>
      </c>
      <c r="Q5092" t="s">
        <v>619</v>
      </c>
      <c r="R5092" t="s">
        <v>920</v>
      </c>
      <c r="S5092">
        <v>37</v>
      </c>
      <c r="T5092" s="29" t="str">
        <f t="shared" si="235"/>
        <v>2021.007D.R.Polyomaviridae_2ngen_117rensp.zip</v>
      </c>
      <c r="U5092" s="29" t="str">
        <f>HYPERLINK("https://ictv.global/taxonomy/taxondetails?taxnode_id=202304415","ictv.global=202304415")</f>
        <v>ictv.global=202304415</v>
      </c>
    </row>
    <row r="5093" spans="1:21">
      <c r="A5093">
        <v>5092</v>
      </c>
      <c r="B5093" s="30" t="s">
        <v>1956</v>
      </c>
      <c r="D5093" s="30" t="s">
        <v>1985</v>
      </c>
      <c r="F5093" s="30" t="s">
        <v>1986</v>
      </c>
      <c r="H5093" s="30" t="s">
        <v>1989</v>
      </c>
      <c r="J5093" s="30" t="s">
        <v>1990</v>
      </c>
      <c r="L5093" s="30" t="s">
        <v>251</v>
      </c>
      <c r="N5093" s="30" t="s">
        <v>778</v>
      </c>
      <c r="P5093" s="30" t="s">
        <v>8589</v>
      </c>
      <c r="Q5093" t="s">
        <v>619</v>
      </c>
      <c r="R5093" t="s">
        <v>920</v>
      </c>
      <c r="S5093">
        <v>37</v>
      </c>
      <c r="T5093" s="29" t="str">
        <f t="shared" si="235"/>
        <v>2021.007D.R.Polyomaviridae_2ngen_117rensp.zip</v>
      </c>
      <c r="U5093" s="29" t="str">
        <f>HYPERLINK("https://ictv.global/taxonomy/taxondetails?taxnode_id=202309587","ictv.global=202309587")</f>
        <v>ictv.global=202309587</v>
      </c>
    </row>
    <row r="5094" spans="1:21">
      <c r="A5094">
        <v>5093</v>
      </c>
      <c r="B5094" s="30" t="s">
        <v>1956</v>
      </c>
      <c r="D5094" s="30" t="s">
        <v>1985</v>
      </c>
      <c r="F5094" s="30" t="s">
        <v>1986</v>
      </c>
      <c r="H5094" s="30" t="s">
        <v>1989</v>
      </c>
      <c r="J5094" s="30" t="s">
        <v>1990</v>
      </c>
      <c r="L5094" s="30" t="s">
        <v>251</v>
      </c>
      <c r="N5094" s="30" t="s">
        <v>778</v>
      </c>
      <c r="P5094" s="30" t="s">
        <v>8590</v>
      </c>
      <c r="Q5094" t="s">
        <v>619</v>
      </c>
      <c r="R5094" t="s">
        <v>920</v>
      </c>
      <c r="S5094">
        <v>37</v>
      </c>
      <c r="T5094" s="29" t="str">
        <f t="shared" si="235"/>
        <v>2021.007D.R.Polyomaviridae_2ngen_117rensp.zip</v>
      </c>
      <c r="U5094" s="29" t="str">
        <f>HYPERLINK("https://ictv.global/taxonomy/taxondetails?taxnode_id=202304416","ictv.global=202304416")</f>
        <v>ictv.global=202304416</v>
      </c>
    </row>
    <row r="5095" spans="1:21">
      <c r="A5095">
        <v>5094</v>
      </c>
      <c r="B5095" s="30" t="s">
        <v>1956</v>
      </c>
      <c r="D5095" s="30" t="s">
        <v>1985</v>
      </c>
      <c r="F5095" s="30" t="s">
        <v>1986</v>
      </c>
      <c r="H5095" s="30" t="s">
        <v>1989</v>
      </c>
      <c r="J5095" s="30" t="s">
        <v>1990</v>
      </c>
      <c r="L5095" s="30" t="s">
        <v>251</v>
      </c>
      <c r="N5095" s="30" t="s">
        <v>778</v>
      </c>
      <c r="P5095" s="30" t="s">
        <v>8591</v>
      </c>
      <c r="Q5095" t="s">
        <v>619</v>
      </c>
      <c r="R5095" t="s">
        <v>920</v>
      </c>
      <c r="S5095">
        <v>37</v>
      </c>
      <c r="T5095" s="29" t="str">
        <f t="shared" si="235"/>
        <v>2021.007D.R.Polyomaviridae_2ngen_117rensp.zip</v>
      </c>
      <c r="U5095" s="29" t="str">
        <f>HYPERLINK("https://ictv.global/taxonomy/taxondetails?taxnode_id=202304417","ictv.global=202304417")</f>
        <v>ictv.global=202304417</v>
      </c>
    </row>
    <row r="5096" spans="1:21">
      <c r="A5096">
        <v>5095</v>
      </c>
      <c r="B5096" s="30" t="s">
        <v>1956</v>
      </c>
      <c r="D5096" s="30" t="s">
        <v>1985</v>
      </c>
      <c r="F5096" s="30" t="s">
        <v>1986</v>
      </c>
      <c r="H5096" s="30" t="s">
        <v>1989</v>
      </c>
      <c r="J5096" s="30" t="s">
        <v>1990</v>
      </c>
      <c r="L5096" s="30" t="s">
        <v>251</v>
      </c>
      <c r="N5096" s="30" t="s">
        <v>778</v>
      </c>
      <c r="P5096" s="30" t="s">
        <v>8592</v>
      </c>
      <c r="Q5096" t="s">
        <v>619</v>
      </c>
      <c r="R5096" t="s">
        <v>920</v>
      </c>
      <c r="S5096">
        <v>37</v>
      </c>
      <c r="T5096" s="29" t="str">
        <f t="shared" si="235"/>
        <v>2021.007D.R.Polyomaviridae_2ngen_117rensp.zip</v>
      </c>
      <c r="U5096" s="29" t="str">
        <f>HYPERLINK("https://ictv.global/taxonomy/taxondetails?taxnode_id=202304418","ictv.global=202304418")</f>
        <v>ictv.global=202304418</v>
      </c>
    </row>
    <row r="5097" spans="1:21">
      <c r="A5097">
        <v>5096</v>
      </c>
      <c r="B5097" s="30" t="s">
        <v>1956</v>
      </c>
      <c r="D5097" s="30" t="s">
        <v>1985</v>
      </c>
      <c r="F5097" s="30" t="s">
        <v>1986</v>
      </c>
      <c r="H5097" s="30" t="s">
        <v>1989</v>
      </c>
      <c r="J5097" s="30" t="s">
        <v>1990</v>
      </c>
      <c r="L5097" s="30" t="s">
        <v>251</v>
      </c>
      <c r="N5097" s="30" t="s">
        <v>778</v>
      </c>
      <c r="P5097" s="30" t="s">
        <v>8593</v>
      </c>
      <c r="Q5097" t="s">
        <v>619</v>
      </c>
      <c r="R5097" t="s">
        <v>920</v>
      </c>
      <c r="S5097">
        <v>37</v>
      </c>
      <c r="T5097" s="29" t="str">
        <f t="shared" si="235"/>
        <v>2021.007D.R.Polyomaviridae_2ngen_117rensp.zip</v>
      </c>
      <c r="U5097" s="29" t="str">
        <f>HYPERLINK("https://ictv.global/taxonomy/taxondetails?taxnode_id=202304420","ictv.global=202304420")</f>
        <v>ictv.global=202304420</v>
      </c>
    </row>
    <row r="5098" spans="1:21">
      <c r="A5098">
        <v>5097</v>
      </c>
      <c r="B5098" s="30" t="s">
        <v>1956</v>
      </c>
      <c r="D5098" s="30" t="s">
        <v>1985</v>
      </c>
      <c r="F5098" s="30" t="s">
        <v>1986</v>
      </c>
      <c r="H5098" s="30" t="s">
        <v>1989</v>
      </c>
      <c r="J5098" s="30" t="s">
        <v>1990</v>
      </c>
      <c r="L5098" s="30" t="s">
        <v>251</v>
      </c>
      <c r="N5098" s="30" t="s">
        <v>778</v>
      </c>
      <c r="P5098" s="30" t="s">
        <v>8594</v>
      </c>
      <c r="Q5098" t="s">
        <v>619</v>
      </c>
      <c r="R5098" t="s">
        <v>920</v>
      </c>
      <c r="S5098">
        <v>37</v>
      </c>
      <c r="T5098" s="29" t="str">
        <f t="shared" si="235"/>
        <v>2021.007D.R.Polyomaviridae_2ngen_117rensp.zip</v>
      </c>
      <c r="U5098" s="29" t="str">
        <f>HYPERLINK("https://ictv.global/taxonomy/taxondetails?taxnode_id=202304421","ictv.global=202304421")</f>
        <v>ictv.global=202304421</v>
      </c>
    </row>
    <row r="5099" spans="1:21">
      <c r="A5099">
        <v>5098</v>
      </c>
      <c r="B5099" s="30" t="s">
        <v>1956</v>
      </c>
      <c r="D5099" s="30" t="s">
        <v>1985</v>
      </c>
      <c r="F5099" s="30" t="s">
        <v>1986</v>
      </c>
      <c r="H5099" s="30" t="s">
        <v>1989</v>
      </c>
      <c r="J5099" s="30" t="s">
        <v>1990</v>
      </c>
      <c r="L5099" s="30" t="s">
        <v>251</v>
      </c>
      <c r="N5099" s="30" t="s">
        <v>778</v>
      </c>
      <c r="P5099" s="30" t="s">
        <v>8595</v>
      </c>
      <c r="Q5099" t="s">
        <v>619</v>
      </c>
      <c r="R5099" t="s">
        <v>920</v>
      </c>
      <c r="S5099">
        <v>37</v>
      </c>
      <c r="T5099" s="29" t="str">
        <f t="shared" si="235"/>
        <v>2021.007D.R.Polyomaviridae_2ngen_117rensp.zip</v>
      </c>
      <c r="U5099" s="29" t="str">
        <f>HYPERLINK("https://ictv.global/taxonomy/taxondetails?taxnode_id=202304422","ictv.global=202304422")</f>
        <v>ictv.global=202304422</v>
      </c>
    </row>
    <row r="5100" spans="1:21">
      <c r="A5100">
        <v>5099</v>
      </c>
      <c r="B5100" s="30" t="s">
        <v>1956</v>
      </c>
      <c r="D5100" s="30" t="s">
        <v>1985</v>
      </c>
      <c r="F5100" s="30" t="s">
        <v>1986</v>
      </c>
      <c r="H5100" s="30" t="s">
        <v>1989</v>
      </c>
      <c r="J5100" s="30" t="s">
        <v>1990</v>
      </c>
      <c r="L5100" s="30" t="s">
        <v>251</v>
      </c>
      <c r="N5100" s="30" t="s">
        <v>778</v>
      </c>
      <c r="P5100" s="30" t="s">
        <v>8596</v>
      </c>
      <c r="Q5100" t="s">
        <v>619</v>
      </c>
      <c r="R5100" t="s">
        <v>920</v>
      </c>
      <c r="S5100">
        <v>37</v>
      </c>
      <c r="T5100" s="29" t="str">
        <f t="shared" si="235"/>
        <v>2021.007D.R.Polyomaviridae_2ngen_117rensp.zip</v>
      </c>
      <c r="U5100" s="29" t="str">
        <f>HYPERLINK("https://ictv.global/taxonomy/taxondetails?taxnode_id=202304428","ictv.global=202304428")</f>
        <v>ictv.global=202304428</v>
      </c>
    </row>
    <row r="5101" spans="1:21">
      <c r="A5101">
        <v>5100</v>
      </c>
      <c r="B5101" s="30" t="s">
        <v>1956</v>
      </c>
      <c r="D5101" s="30" t="s">
        <v>1985</v>
      </c>
      <c r="F5101" s="30" t="s">
        <v>1986</v>
      </c>
      <c r="H5101" s="30" t="s">
        <v>1989</v>
      </c>
      <c r="J5101" s="30" t="s">
        <v>1990</v>
      </c>
      <c r="L5101" s="30" t="s">
        <v>251</v>
      </c>
      <c r="N5101" s="30" t="s">
        <v>778</v>
      </c>
      <c r="P5101" s="30" t="s">
        <v>8597</v>
      </c>
      <c r="Q5101" t="s">
        <v>619</v>
      </c>
      <c r="R5101" t="s">
        <v>920</v>
      </c>
      <c r="S5101">
        <v>37</v>
      </c>
      <c r="T5101" s="29" t="str">
        <f t="shared" si="235"/>
        <v>2021.007D.R.Polyomaviridae_2ngen_117rensp.zip</v>
      </c>
      <c r="U5101" s="29" t="str">
        <f>HYPERLINK("https://ictv.global/taxonomy/taxondetails?taxnode_id=202304429","ictv.global=202304429")</f>
        <v>ictv.global=202304429</v>
      </c>
    </row>
    <row r="5102" spans="1:21">
      <c r="A5102">
        <v>5101</v>
      </c>
      <c r="B5102" s="30" t="s">
        <v>1956</v>
      </c>
      <c r="D5102" s="30" t="s">
        <v>1985</v>
      </c>
      <c r="F5102" s="30" t="s">
        <v>1986</v>
      </c>
      <c r="H5102" s="30" t="s">
        <v>1989</v>
      </c>
      <c r="J5102" s="30" t="s">
        <v>1990</v>
      </c>
      <c r="L5102" s="30" t="s">
        <v>251</v>
      </c>
      <c r="N5102" s="30" t="s">
        <v>778</v>
      </c>
      <c r="P5102" s="30" t="s">
        <v>8598</v>
      </c>
      <c r="Q5102" t="s">
        <v>619</v>
      </c>
      <c r="R5102" t="s">
        <v>920</v>
      </c>
      <c r="S5102">
        <v>37</v>
      </c>
      <c r="T5102" s="29" t="str">
        <f t="shared" si="235"/>
        <v>2021.007D.R.Polyomaviridae_2ngen_117rensp.zip</v>
      </c>
      <c r="U5102" s="29" t="str">
        <f>HYPERLINK("https://ictv.global/taxonomy/taxondetails?taxnode_id=202306343","ictv.global=202306343")</f>
        <v>ictv.global=202306343</v>
      </c>
    </row>
    <row r="5103" spans="1:21">
      <c r="A5103">
        <v>5102</v>
      </c>
      <c r="B5103" s="30" t="s">
        <v>1956</v>
      </c>
      <c r="D5103" s="30" t="s">
        <v>1985</v>
      </c>
      <c r="F5103" s="30" t="s">
        <v>1986</v>
      </c>
      <c r="H5103" s="30" t="s">
        <v>1989</v>
      </c>
      <c r="J5103" s="30" t="s">
        <v>1990</v>
      </c>
      <c r="L5103" s="30" t="s">
        <v>251</v>
      </c>
      <c r="N5103" s="30" t="s">
        <v>778</v>
      </c>
      <c r="P5103" s="30" t="s">
        <v>8599</v>
      </c>
      <c r="Q5103" t="s">
        <v>619</v>
      </c>
      <c r="R5103" t="s">
        <v>920</v>
      </c>
      <c r="S5103">
        <v>37</v>
      </c>
      <c r="T5103" s="29" t="str">
        <f t="shared" si="235"/>
        <v>2021.007D.R.Polyomaviridae_2ngen_117rensp.zip</v>
      </c>
      <c r="U5103" s="29" t="str">
        <f>HYPERLINK("https://ictv.global/taxonomy/taxondetails?taxnode_id=202304430","ictv.global=202304430")</f>
        <v>ictv.global=202304430</v>
      </c>
    </row>
    <row r="5104" spans="1:21">
      <c r="A5104">
        <v>5103</v>
      </c>
      <c r="B5104" s="30" t="s">
        <v>1956</v>
      </c>
      <c r="D5104" s="30" t="s">
        <v>1985</v>
      </c>
      <c r="F5104" s="30" t="s">
        <v>1986</v>
      </c>
      <c r="H5104" s="30" t="s">
        <v>1989</v>
      </c>
      <c r="J5104" s="30" t="s">
        <v>1990</v>
      </c>
      <c r="L5104" s="30" t="s">
        <v>251</v>
      </c>
      <c r="N5104" s="30" t="s">
        <v>778</v>
      </c>
      <c r="P5104" s="30" t="s">
        <v>8600</v>
      </c>
      <c r="Q5104" t="s">
        <v>619</v>
      </c>
      <c r="R5104" t="s">
        <v>920</v>
      </c>
      <c r="S5104">
        <v>37</v>
      </c>
      <c r="T5104" s="29" t="str">
        <f t="shared" si="235"/>
        <v>2021.007D.R.Polyomaviridae_2ngen_117rensp.zip</v>
      </c>
      <c r="U5104" s="29" t="str">
        <f>HYPERLINK("https://ictv.global/taxonomy/taxondetails?taxnode_id=202304431","ictv.global=202304431")</f>
        <v>ictv.global=202304431</v>
      </c>
    </row>
    <row r="5105" spans="1:21">
      <c r="A5105">
        <v>5104</v>
      </c>
      <c r="B5105" s="30" t="s">
        <v>1956</v>
      </c>
      <c r="D5105" s="30" t="s">
        <v>1985</v>
      </c>
      <c r="F5105" s="30" t="s">
        <v>1986</v>
      </c>
      <c r="H5105" s="30" t="s">
        <v>1989</v>
      </c>
      <c r="J5105" s="30" t="s">
        <v>1990</v>
      </c>
      <c r="L5105" s="30" t="s">
        <v>251</v>
      </c>
      <c r="N5105" s="30" t="s">
        <v>778</v>
      </c>
      <c r="P5105" s="30" t="s">
        <v>8601</v>
      </c>
      <c r="Q5105" t="s">
        <v>619</v>
      </c>
      <c r="R5105" t="s">
        <v>920</v>
      </c>
      <c r="S5105">
        <v>37</v>
      </c>
      <c r="T5105" s="29" t="str">
        <f t="shared" si="235"/>
        <v>2021.007D.R.Polyomaviridae_2ngen_117rensp.zip</v>
      </c>
      <c r="U5105" s="29" t="str">
        <f>HYPERLINK("https://ictv.global/taxonomy/taxondetails?taxnode_id=202304425","ictv.global=202304425")</f>
        <v>ictv.global=202304425</v>
      </c>
    </row>
    <row r="5106" spans="1:21">
      <c r="A5106">
        <v>5105</v>
      </c>
      <c r="B5106" s="30" t="s">
        <v>1956</v>
      </c>
      <c r="D5106" s="30" t="s">
        <v>1985</v>
      </c>
      <c r="F5106" s="30" t="s">
        <v>1986</v>
      </c>
      <c r="H5106" s="30" t="s">
        <v>1989</v>
      </c>
      <c r="J5106" s="30" t="s">
        <v>1990</v>
      </c>
      <c r="L5106" s="30" t="s">
        <v>251</v>
      </c>
      <c r="N5106" s="30" t="s">
        <v>778</v>
      </c>
      <c r="P5106" s="30" t="s">
        <v>8602</v>
      </c>
      <c r="Q5106" t="s">
        <v>619</v>
      </c>
      <c r="R5106" t="s">
        <v>920</v>
      </c>
      <c r="S5106">
        <v>37</v>
      </c>
      <c r="T5106" s="29" t="str">
        <f t="shared" si="235"/>
        <v>2021.007D.R.Polyomaviridae_2ngen_117rensp.zip</v>
      </c>
      <c r="U5106" s="29" t="str">
        <f>HYPERLINK("https://ictv.global/taxonomy/taxondetails?taxnode_id=202304424","ictv.global=202304424")</f>
        <v>ictv.global=202304424</v>
      </c>
    </row>
    <row r="5107" spans="1:21">
      <c r="A5107">
        <v>5106</v>
      </c>
      <c r="B5107" s="30" t="s">
        <v>1956</v>
      </c>
      <c r="D5107" s="30" t="s">
        <v>1985</v>
      </c>
      <c r="F5107" s="30" t="s">
        <v>1986</v>
      </c>
      <c r="H5107" s="30" t="s">
        <v>1989</v>
      </c>
      <c r="J5107" s="30" t="s">
        <v>1990</v>
      </c>
      <c r="L5107" s="30" t="s">
        <v>251</v>
      </c>
      <c r="N5107" s="30" t="s">
        <v>778</v>
      </c>
      <c r="P5107" s="30" t="s">
        <v>8603</v>
      </c>
      <c r="Q5107" t="s">
        <v>619</v>
      </c>
      <c r="R5107" t="s">
        <v>920</v>
      </c>
      <c r="S5107">
        <v>37</v>
      </c>
      <c r="T5107" s="29" t="str">
        <f t="shared" si="235"/>
        <v>2021.007D.R.Polyomaviridae_2ngen_117rensp.zip</v>
      </c>
      <c r="U5107" s="29" t="str">
        <f>HYPERLINK("https://ictv.global/taxonomy/taxondetails?taxnode_id=202304432","ictv.global=202304432")</f>
        <v>ictv.global=202304432</v>
      </c>
    </row>
    <row r="5108" spans="1:21">
      <c r="A5108">
        <v>5107</v>
      </c>
      <c r="B5108" s="30" t="s">
        <v>1956</v>
      </c>
      <c r="D5108" s="30" t="s">
        <v>1985</v>
      </c>
      <c r="F5108" s="30" t="s">
        <v>1986</v>
      </c>
      <c r="H5108" s="30" t="s">
        <v>1989</v>
      </c>
      <c r="J5108" s="30" t="s">
        <v>1990</v>
      </c>
      <c r="L5108" s="30" t="s">
        <v>251</v>
      </c>
      <c r="N5108" s="30" t="s">
        <v>778</v>
      </c>
      <c r="P5108" s="30" t="s">
        <v>8604</v>
      </c>
      <c r="Q5108" t="s">
        <v>619</v>
      </c>
      <c r="R5108" t="s">
        <v>920</v>
      </c>
      <c r="S5108">
        <v>37</v>
      </c>
      <c r="T5108" s="29" t="str">
        <f t="shared" si="235"/>
        <v>2021.007D.R.Polyomaviridae_2ngen_117rensp.zip</v>
      </c>
      <c r="U5108" s="29" t="str">
        <f>HYPERLINK("https://ictv.global/taxonomy/taxondetails?taxnode_id=202304441","ictv.global=202304441")</f>
        <v>ictv.global=202304441</v>
      </c>
    </row>
    <row r="5109" spans="1:21">
      <c r="A5109">
        <v>5108</v>
      </c>
      <c r="B5109" s="30" t="s">
        <v>1956</v>
      </c>
      <c r="D5109" s="30" t="s">
        <v>1985</v>
      </c>
      <c r="F5109" s="30" t="s">
        <v>1986</v>
      </c>
      <c r="H5109" s="30" t="s">
        <v>1989</v>
      </c>
      <c r="J5109" s="30" t="s">
        <v>1990</v>
      </c>
      <c r="L5109" s="30" t="s">
        <v>251</v>
      </c>
      <c r="N5109" s="30" t="s">
        <v>778</v>
      </c>
      <c r="P5109" s="30" t="s">
        <v>8605</v>
      </c>
      <c r="Q5109" t="s">
        <v>619</v>
      </c>
      <c r="R5109" t="s">
        <v>920</v>
      </c>
      <c r="S5109">
        <v>37</v>
      </c>
      <c r="T5109" s="29" t="str">
        <f t="shared" si="235"/>
        <v>2021.007D.R.Polyomaviridae_2ngen_117rensp.zip</v>
      </c>
      <c r="U5109" s="29" t="str">
        <f>HYPERLINK("https://ictv.global/taxonomy/taxondetails?taxnode_id=202304434","ictv.global=202304434")</f>
        <v>ictv.global=202304434</v>
      </c>
    </row>
    <row r="5110" spans="1:21">
      <c r="A5110">
        <v>5109</v>
      </c>
      <c r="B5110" s="30" t="s">
        <v>1956</v>
      </c>
      <c r="D5110" s="30" t="s">
        <v>1985</v>
      </c>
      <c r="F5110" s="30" t="s">
        <v>1986</v>
      </c>
      <c r="H5110" s="30" t="s">
        <v>1989</v>
      </c>
      <c r="J5110" s="30" t="s">
        <v>1990</v>
      </c>
      <c r="L5110" s="30" t="s">
        <v>251</v>
      </c>
      <c r="N5110" s="30" t="s">
        <v>778</v>
      </c>
      <c r="P5110" s="30" t="s">
        <v>8606</v>
      </c>
      <c r="Q5110" t="s">
        <v>619</v>
      </c>
      <c r="R5110" t="s">
        <v>920</v>
      </c>
      <c r="S5110">
        <v>37</v>
      </c>
      <c r="T5110" s="29" t="str">
        <f t="shared" si="235"/>
        <v>2021.007D.R.Polyomaviridae_2ngen_117rensp.zip</v>
      </c>
      <c r="U5110" s="29" t="str">
        <f>HYPERLINK("https://ictv.global/taxonomy/taxondetails?taxnode_id=202309586","ictv.global=202309586")</f>
        <v>ictv.global=202309586</v>
      </c>
    </row>
    <row r="5111" spans="1:21">
      <c r="A5111">
        <v>5110</v>
      </c>
      <c r="B5111" s="30" t="s">
        <v>1956</v>
      </c>
      <c r="D5111" s="30" t="s">
        <v>1985</v>
      </c>
      <c r="F5111" s="30" t="s">
        <v>1986</v>
      </c>
      <c r="H5111" s="30" t="s">
        <v>1989</v>
      </c>
      <c r="J5111" s="30" t="s">
        <v>1990</v>
      </c>
      <c r="L5111" s="30" t="s">
        <v>251</v>
      </c>
      <c r="N5111" s="30" t="s">
        <v>778</v>
      </c>
      <c r="P5111" s="30" t="s">
        <v>8607</v>
      </c>
      <c r="Q5111" t="s">
        <v>619</v>
      </c>
      <c r="R5111" t="s">
        <v>920</v>
      </c>
      <c r="S5111">
        <v>37</v>
      </c>
      <c r="T5111" s="29" t="str">
        <f t="shared" si="235"/>
        <v>2021.007D.R.Polyomaviridae_2ngen_117rensp.zip</v>
      </c>
      <c r="U5111" s="29" t="str">
        <f>HYPERLINK("https://ictv.global/taxonomy/taxondetails?taxnode_id=202305904","ictv.global=202305904")</f>
        <v>ictv.global=202305904</v>
      </c>
    </row>
    <row r="5112" spans="1:21">
      <c r="A5112">
        <v>5111</v>
      </c>
      <c r="B5112" s="30" t="s">
        <v>1956</v>
      </c>
      <c r="D5112" s="30" t="s">
        <v>1985</v>
      </c>
      <c r="F5112" s="30" t="s">
        <v>1986</v>
      </c>
      <c r="H5112" s="30" t="s">
        <v>1989</v>
      </c>
      <c r="J5112" s="30" t="s">
        <v>1990</v>
      </c>
      <c r="L5112" s="30" t="s">
        <v>251</v>
      </c>
      <c r="N5112" s="30" t="s">
        <v>778</v>
      </c>
      <c r="P5112" s="30" t="s">
        <v>8608</v>
      </c>
      <c r="Q5112" t="s">
        <v>619</v>
      </c>
      <c r="R5112" t="s">
        <v>920</v>
      </c>
      <c r="S5112">
        <v>37</v>
      </c>
      <c r="T5112" s="29" t="str">
        <f t="shared" si="235"/>
        <v>2021.007D.R.Polyomaviridae_2ngen_117rensp.zip</v>
      </c>
      <c r="U5112" s="29" t="str">
        <f>HYPERLINK("https://ictv.global/taxonomy/taxondetails?taxnode_id=202304442","ictv.global=202304442")</f>
        <v>ictv.global=202304442</v>
      </c>
    </row>
    <row r="5113" spans="1:21">
      <c r="A5113">
        <v>5112</v>
      </c>
      <c r="B5113" s="30" t="s">
        <v>1956</v>
      </c>
      <c r="D5113" s="30" t="s">
        <v>1985</v>
      </c>
      <c r="F5113" s="30" t="s">
        <v>1986</v>
      </c>
      <c r="H5113" s="30" t="s">
        <v>1989</v>
      </c>
      <c r="J5113" s="30" t="s">
        <v>1990</v>
      </c>
      <c r="L5113" s="30" t="s">
        <v>251</v>
      </c>
      <c r="N5113" s="30" t="s">
        <v>778</v>
      </c>
      <c r="P5113" s="30" t="s">
        <v>8609</v>
      </c>
      <c r="Q5113" t="s">
        <v>619</v>
      </c>
      <c r="R5113" t="s">
        <v>920</v>
      </c>
      <c r="S5113">
        <v>37</v>
      </c>
      <c r="T5113" s="29" t="str">
        <f t="shared" si="235"/>
        <v>2021.007D.R.Polyomaviridae_2ngen_117rensp.zip</v>
      </c>
      <c r="U5113" s="29" t="str">
        <f>HYPERLINK("https://ictv.global/taxonomy/taxondetails?taxnode_id=202304443","ictv.global=202304443")</f>
        <v>ictv.global=202304443</v>
      </c>
    </row>
    <row r="5114" spans="1:21">
      <c r="A5114">
        <v>5113</v>
      </c>
      <c r="B5114" s="30" t="s">
        <v>1956</v>
      </c>
      <c r="D5114" s="30" t="s">
        <v>1985</v>
      </c>
      <c r="F5114" s="30" t="s">
        <v>1986</v>
      </c>
      <c r="H5114" s="30" t="s">
        <v>1989</v>
      </c>
      <c r="J5114" s="30" t="s">
        <v>1990</v>
      </c>
      <c r="L5114" s="30" t="s">
        <v>251</v>
      </c>
      <c r="N5114" s="30" t="s">
        <v>778</v>
      </c>
      <c r="P5114" s="30" t="s">
        <v>8610</v>
      </c>
      <c r="Q5114" t="s">
        <v>619</v>
      </c>
      <c r="R5114" t="s">
        <v>920</v>
      </c>
      <c r="S5114">
        <v>37</v>
      </c>
      <c r="T5114" s="29" t="str">
        <f t="shared" si="235"/>
        <v>2021.007D.R.Polyomaviridae_2ngen_117rensp.zip</v>
      </c>
      <c r="U5114" s="29" t="str">
        <f>HYPERLINK("https://ictv.global/taxonomy/taxondetails?taxnode_id=202304444","ictv.global=202304444")</f>
        <v>ictv.global=202304444</v>
      </c>
    </row>
    <row r="5115" spans="1:21">
      <c r="A5115">
        <v>5114</v>
      </c>
      <c r="B5115" s="30" t="s">
        <v>1956</v>
      </c>
      <c r="D5115" s="30" t="s">
        <v>1985</v>
      </c>
      <c r="F5115" s="30" t="s">
        <v>1986</v>
      </c>
      <c r="H5115" s="30" t="s">
        <v>1989</v>
      </c>
      <c r="J5115" s="30" t="s">
        <v>1990</v>
      </c>
      <c r="L5115" s="30" t="s">
        <v>251</v>
      </c>
      <c r="N5115" s="30" t="s">
        <v>778</v>
      </c>
      <c r="P5115" s="30" t="s">
        <v>8611</v>
      </c>
      <c r="Q5115" t="s">
        <v>619</v>
      </c>
      <c r="R5115" t="s">
        <v>920</v>
      </c>
      <c r="S5115">
        <v>37</v>
      </c>
      <c r="T5115" s="29" t="str">
        <f t="shared" si="235"/>
        <v>2021.007D.R.Polyomaviridae_2ngen_117rensp.zip</v>
      </c>
      <c r="U5115" s="29" t="str">
        <f>HYPERLINK("https://ictv.global/taxonomy/taxondetails?taxnode_id=202304445","ictv.global=202304445")</f>
        <v>ictv.global=202304445</v>
      </c>
    </row>
    <row r="5116" spans="1:21">
      <c r="A5116">
        <v>5115</v>
      </c>
      <c r="B5116" s="30" t="s">
        <v>1956</v>
      </c>
      <c r="D5116" s="30" t="s">
        <v>1985</v>
      </c>
      <c r="F5116" s="30" t="s">
        <v>1986</v>
      </c>
      <c r="H5116" s="30" t="s">
        <v>1989</v>
      </c>
      <c r="J5116" s="30" t="s">
        <v>1990</v>
      </c>
      <c r="L5116" s="30" t="s">
        <v>251</v>
      </c>
      <c r="N5116" s="30" t="s">
        <v>778</v>
      </c>
      <c r="P5116" s="30" t="s">
        <v>8612</v>
      </c>
      <c r="Q5116" t="s">
        <v>619</v>
      </c>
      <c r="R5116" t="s">
        <v>920</v>
      </c>
      <c r="S5116">
        <v>37</v>
      </c>
      <c r="T5116" s="29" t="str">
        <f t="shared" si="235"/>
        <v>2021.007D.R.Polyomaviridae_2ngen_117rensp.zip</v>
      </c>
      <c r="U5116" s="29" t="str">
        <f>HYPERLINK("https://ictv.global/taxonomy/taxondetails?taxnode_id=202304446","ictv.global=202304446")</f>
        <v>ictv.global=202304446</v>
      </c>
    </row>
    <row r="5117" spans="1:21">
      <c r="A5117">
        <v>5116</v>
      </c>
      <c r="B5117" s="30" t="s">
        <v>1956</v>
      </c>
      <c r="D5117" s="30" t="s">
        <v>1985</v>
      </c>
      <c r="F5117" s="30" t="s">
        <v>1986</v>
      </c>
      <c r="H5117" s="30" t="s">
        <v>1989</v>
      </c>
      <c r="J5117" s="30" t="s">
        <v>1990</v>
      </c>
      <c r="L5117" s="30" t="s">
        <v>251</v>
      </c>
      <c r="N5117" s="30" t="s">
        <v>778</v>
      </c>
      <c r="P5117" s="30" t="s">
        <v>8613</v>
      </c>
      <c r="Q5117" t="s">
        <v>619</v>
      </c>
      <c r="R5117" t="s">
        <v>920</v>
      </c>
      <c r="S5117">
        <v>37</v>
      </c>
      <c r="T5117" s="29" t="str">
        <f t="shared" si="235"/>
        <v>2021.007D.R.Polyomaviridae_2ngen_117rensp.zip</v>
      </c>
      <c r="U5117" s="29" t="str">
        <f>HYPERLINK("https://ictv.global/taxonomy/taxondetails?taxnode_id=202307113","ictv.global=202307113")</f>
        <v>ictv.global=202307113</v>
      </c>
    </row>
    <row r="5118" spans="1:21">
      <c r="A5118">
        <v>5117</v>
      </c>
      <c r="B5118" s="30" t="s">
        <v>1956</v>
      </c>
      <c r="D5118" s="30" t="s">
        <v>1985</v>
      </c>
      <c r="F5118" s="30" t="s">
        <v>1986</v>
      </c>
      <c r="H5118" s="30" t="s">
        <v>1989</v>
      </c>
      <c r="J5118" s="30" t="s">
        <v>1990</v>
      </c>
      <c r="L5118" s="30" t="s">
        <v>251</v>
      </c>
      <c r="N5118" s="30" t="s">
        <v>778</v>
      </c>
      <c r="P5118" s="30" t="s">
        <v>8614</v>
      </c>
      <c r="Q5118" t="s">
        <v>619</v>
      </c>
      <c r="R5118" t="s">
        <v>920</v>
      </c>
      <c r="S5118">
        <v>37</v>
      </c>
      <c r="T5118" s="29" t="str">
        <f t="shared" si="235"/>
        <v>2021.007D.R.Polyomaviridae_2ngen_117rensp.zip</v>
      </c>
      <c r="U5118" s="29" t="str">
        <f>HYPERLINK("https://ictv.global/taxonomy/taxondetails?taxnode_id=202304437","ictv.global=202304437")</f>
        <v>ictv.global=202304437</v>
      </c>
    </row>
    <row r="5119" spans="1:21">
      <c r="A5119">
        <v>5118</v>
      </c>
      <c r="B5119" s="30" t="s">
        <v>1956</v>
      </c>
      <c r="D5119" s="30" t="s">
        <v>1985</v>
      </c>
      <c r="F5119" s="30" t="s">
        <v>1986</v>
      </c>
      <c r="H5119" s="30" t="s">
        <v>1989</v>
      </c>
      <c r="J5119" s="30" t="s">
        <v>1990</v>
      </c>
      <c r="L5119" s="30" t="s">
        <v>251</v>
      </c>
      <c r="N5119" s="30" t="s">
        <v>778</v>
      </c>
      <c r="P5119" s="30" t="s">
        <v>8615</v>
      </c>
      <c r="Q5119" t="s">
        <v>619</v>
      </c>
      <c r="R5119" t="s">
        <v>920</v>
      </c>
      <c r="S5119">
        <v>37</v>
      </c>
      <c r="T5119" s="29" t="str">
        <f t="shared" si="235"/>
        <v>2021.007D.R.Polyomaviridae_2ngen_117rensp.zip</v>
      </c>
      <c r="U5119" s="29" t="str">
        <f>HYPERLINK("https://ictv.global/taxonomy/taxondetails?taxnode_id=202304423","ictv.global=202304423")</f>
        <v>ictv.global=202304423</v>
      </c>
    </row>
    <row r="5120" spans="1:21">
      <c r="A5120">
        <v>5119</v>
      </c>
      <c r="B5120" s="30" t="s">
        <v>1956</v>
      </c>
      <c r="D5120" s="30" t="s">
        <v>1985</v>
      </c>
      <c r="F5120" s="30" t="s">
        <v>1986</v>
      </c>
      <c r="H5120" s="30" t="s">
        <v>1989</v>
      </c>
      <c r="J5120" s="30" t="s">
        <v>1990</v>
      </c>
      <c r="L5120" s="30" t="s">
        <v>251</v>
      </c>
      <c r="N5120" s="30" t="s">
        <v>778</v>
      </c>
      <c r="P5120" s="30" t="s">
        <v>8616</v>
      </c>
      <c r="Q5120" t="s">
        <v>619</v>
      </c>
      <c r="R5120" t="s">
        <v>920</v>
      </c>
      <c r="S5120">
        <v>37</v>
      </c>
      <c r="T5120" s="29" t="str">
        <f t="shared" si="235"/>
        <v>2021.007D.R.Polyomaviridae_2ngen_117rensp.zip</v>
      </c>
      <c r="U5120" s="29" t="str">
        <f>HYPERLINK("https://ictv.global/taxonomy/taxondetails?taxnode_id=202304438","ictv.global=202304438")</f>
        <v>ictv.global=202304438</v>
      </c>
    </row>
    <row r="5121" spans="1:21">
      <c r="A5121">
        <v>5120</v>
      </c>
      <c r="B5121" s="30" t="s">
        <v>1956</v>
      </c>
      <c r="D5121" s="30" t="s">
        <v>1985</v>
      </c>
      <c r="F5121" s="30" t="s">
        <v>1986</v>
      </c>
      <c r="H5121" s="30" t="s">
        <v>1989</v>
      </c>
      <c r="J5121" s="30" t="s">
        <v>1990</v>
      </c>
      <c r="L5121" s="30" t="s">
        <v>251</v>
      </c>
      <c r="N5121" s="30" t="s">
        <v>778</v>
      </c>
      <c r="P5121" s="30" t="s">
        <v>8617</v>
      </c>
      <c r="Q5121" t="s">
        <v>619</v>
      </c>
      <c r="R5121" t="s">
        <v>920</v>
      </c>
      <c r="S5121">
        <v>37</v>
      </c>
      <c r="T5121" s="29" t="str">
        <f t="shared" si="235"/>
        <v>2021.007D.R.Polyomaviridae_2ngen_117rensp.zip</v>
      </c>
      <c r="U5121" s="29" t="str">
        <f>HYPERLINK("https://ictv.global/taxonomy/taxondetails?taxnode_id=202304447","ictv.global=202304447")</f>
        <v>ictv.global=202304447</v>
      </c>
    </row>
    <row r="5122" spans="1:21">
      <c r="A5122">
        <v>5121</v>
      </c>
      <c r="B5122" s="30" t="s">
        <v>1956</v>
      </c>
      <c r="D5122" s="30" t="s">
        <v>1985</v>
      </c>
      <c r="F5122" s="30" t="s">
        <v>1986</v>
      </c>
      <c r="H5122" s="30" t="s">
        <v>1989</v>
      </c>
      <c r="J5122" s="30" t="s">
        <v>1990</v>
      </c>
      <c r="L5122" s="30" t="s">
        <v>251</v>
      </c>
      <c r="N5122" s="30" t="s">
        <v>778</v>
      </c>
      <c r="P5122" s="30" t="s">
        <v>8618</v>
      </c>
      <c r="Q5122" t="s">
        <v>619</v>
      </c>
      <c r="R5122" t="s">
        <v>920</v>
      </c>
      <c r="S5122">
        <v>37</v>
      </c>
      <c r="T5122" s="29" t="str">
        <f t="shared" ref="T5122:T5153" si="236">HYPERLINK("https://ictv.global/ictv/proposals/2021.007D.R.Polyomaviridae_2ngen_117rensp.zip","2021.007D.R.Polyomaviridae_2ngen_117rensp.zip")</f>
        <v>2021.007D.R.Polyomaviridae_2ngen_117rensp.zip</v>
      </c>
      <c r="U5122" s="29" t="str">
        <f>HYPERLINK("https://ictv.global/taxonomy/taxondetails?taxnode_id=202304426","ictv.global=202304426")</f>
        <v>ictv.global=202304426</v>
      </c>
    </row>
    <row r="5123" spans="1:21">
      <c r="A5123">
        <v>5122</v>
      </c>
      <c r="B5123" s="30" t="s">
        <v>1956</v>
      </c>
      <c r="D5123" s="30" t="s">
        <v>1985</v>
      </c>
      <c r="F5123" s="30" t="s">
        <v>1986</v>
      </c>
      <c r="H5123" s="30" t="s">
        <v>1989</v>
      </c>
      <c r="J5123" s="30" t="s">
        <v>1990</v>
      </c>
      <c r="L5123" s="30" t="s">
        <v>251</v>
      </c>
      <c r="N5123" s="30" t="s">
        <v>778</v>
      </c>
      <c r="P5123" s="30" t="s">
        <v>8619</v>
      </c>
      <c r="Q5123" t="s">
        <v>619</v>
      </c>
      <c r="R5123" t="s">
        <v>920</v>
      </c>
      <c r="S5123">
        <v>37</v>
      </c>
      <c r="T5123" s="29" t="str">
        <f t="shared" si="236"/>
        <v>2021.007D.R.Polyomaviridae_2ngen_117rensp.zip</v>
      </c>
      <c r="U5123" s="29" t="str">
        <f>HYPERLINK("https://ictv.global/taxonomy/taxondetails?taxnode_id=202304413","ictv.global=202304413")</f>
        <v>ictv.global=202304413</v>
      </c>
    </row>
    <row r="5124" spans="1:21">
      <c r="A5124">
        <v>5123</v>
      </c>
      <c r="B5124" s="30" t="s">
        <v>1956</v>
      </c>
      <c r="D5124" s="30" t="s">
        <v>1985</v>
      </c>
      <c r="F5124" s="30" t="s">
        <v>1986</v>
      </c>
      <c r="H5124" s="30" t="s">
        <v>1989</v>
      </c>
      <c r="J5124" s="30" t="s">
        <v>1990</v>
      </c>
      <c r="L5124" s="30" t="s">
        <v>251</v>
      </c>
      <c r="N5124" s="30" t="s">
        <v>778</v>
      </c>
      <c r="P5124" s="30" t="s">
        <v>8620</v>
      </c>
      <c r="Q5124" t="s">
        <v>619</v>
      </c>
      <c r="R5124" t="s">
        <v>920</v>
      </c>
      <c r="S5124">
        <v>37</v>
      </c>
      <c r="T5124" s="29" t="str">
        <f t="shared" si="236"/>
        <v>2021.007D.R.Polyomaviridae_2ngen_117rensp.zip</v>
      </c>
      <c r="U5124" s="29" t="str">
        <f>HYPERLINK("https://ictv.global/taxonomy/taxondetails?taxnode_id=202304433","ictv.global=202304433")</f>
        <v>ictv.global=202304433</v>
      </c>
    </row>
    <row r="5125" spans="1:21">
      <c r="A5125">
        <v>5124</v>
      </c>
      <c r="B5125" s="30" t="s">
        <v>1956</v>
      </c>
      <c r="D5125" s="30" t="s">
        <v>1985</v>
      </c>
      <c r="F5125" s="30" t="s">
        <v>1986</v>
      </c>
      <c r="H5125" s="30" t="s">
        <v>1989</v>
      </c>
      <c r="J5125" s="30" t="s">
        <v>1990</v>
      </c>
      <c r="L5125" s="30" t="s">
        <v>251</v>
      </c>
      <c r="N5125" s="30" t="s">
        <v>778</v>
      </c>
      <c r="P5125" s="30" t="s">
        <v>8621</v>
      </c>
      <c r="Q5125" t="s">
        <v>619</v>
      </c>
      <c r="R5125" t="s">
        <v>920</v>
      </c>
      <c r="S5125">
        <v>37</v>
      </c>
      <c r="T5125" s="29" t="str">
        <f t="shared" si="236"/>
        <v>2021.007D.R.Polyomaviridae_2ngen_117rensp.zip</v>
      </c>
      <c r="U5125" s="29" t="str">
        <f>HYPERLINK("https://ictv.global/taxonomy/taxondetails?taxnode_id=202309583","ictv.global=202309583")</f>
        <v>ictv.global=202309583</v>
      </c>
    </row>
    <row r="5126" spans="1:21">
      <c r="A5126">
        <v>5125</v>
      </c>
      <c r="B5126" s="30" t="s">
        <v>1956</v>
      </c>
      <c r="D5126" s="30" t="s">
        <v>1985</v>
      </c>
      <c r="F5126" s="30" t="s">
        <v>1986</v>
      </c>
      <c r="H5126" s="30" t="s">
        <v>1989</v>
      </c>
      <c r="J5126" s="30" t="s">
        <v>1990</v>
      </c>
      <c r="L5126" s="30" t="s">
        <v>251</v>
      </c>
      <c r="N5126" s="30" t="s">
        <v>778</v>
      </c>
      <c r="P5126" s="30" t="s">
        <v>8622</v>
      </c>
      <c r="Q5126" t="s">
        <v>619</v>
      </c>
      <c r="R5126" t="s">
        <v>920</v>
      </c>
      <c r="S5126">
        <v>37</v>
      </c>
      <c r="T5126" s="29" t="str">
        <f t="shared" si="236"/>
        <v>2021.007D.R.Polyomaviridae_2ngen_117rensp.zip</v>
      </c>
      <c r="U5126" s="29" t="str">
        <f>HYPERLINK("https://ictv.global/taxonomy/taxondetails?taxnode_id=202306344","ictv.global=202306344")</f>
        <v>ictv.global=202306344</v>
      </c>
    </row>
    <row r="5127" spans="1:21">
      <c r="A5127">
        <v>5126</v>
      </c>
      <c r="B5127" s="30" t="s">
        <v>1956</v>
      </c>
      <c r="D5127" s="30" t="s">
        <v>1985</v>
      </c>
      <c r="F5127" s="30" t="s">
        <v>1986</v>
      </c>
      <c r="H5127" s="30" t="s">
        <v>1989</v>
      </c>
      <c r="J5127" s="30" t="s">
        <v>1990</v>
      </c>
      <c r="L5127" s="30" t="s">
        <v>251</v>
      </c>
      <c r="N5127" s="30" t="s">
        <v>778</v>
      </c>
      <c r="P5127" s="30" t="s">
        <v>8623</v>
      </c>
      <c r="Q5127" t="s">
        <v>619</v>
      </c>
      <c r="R5127" t="s">
        <v>920</v>
      </c>
      <c r="S5127">
        <v>37</v>
      </c>
      <c r="T5127" s="29" t="str">
        <f t="shared" si="236"/>
        <v>2021.007D.R.Polyomaviridae_2ngen_117rensp.zip</v>
      </c>
      <c r="U5127" s="29" t="str">
        <f>HYPERLINK("https://ictv.global/taxonomy/taxondetails?taxnode_id=202304435","ictv.global=202304435")</f>
        <v>ictv.global=202304435</v>
      </c>
    </row>
    <row r="5128" spans="1:21">
      <c r="A5128">
        <v>5127</v>
      </c>
      <c r="B5128" s="30" t="s">
        <v>1956</v>
      </c>
      <c r="D5128" s="30" t="s">
        <v>1985</v>
      </c>
      <c r="F5128" s="30" t="s">
        <v>1986</v>
      </c>
      <c r="H5128" s="30" t="s">
        <v>1989</v>
      </c>
      <c r="J5128" s="30" t="s">
        <v>1990</v>
      </c>
      <c r="L5128" s="30" t="s">
        <v>251</v>
      </c>
      <c r="N5128" s="30" t="s">
        <v>778</v>
      </c>
      <c r="P5128" s="30" t="s">
        <v>8624</v>
      </c>
      <c r="Q5128" t="s">
        <v>619</v>
      </c>
      <c r="R5128" t="s">
        <v>920</v>
      </c>
      <c r="S5128">
        <v>37</v>
      </c>
      <c r="T5128" s="29" t="str">
        <f t="shared" si="236"/>
        <v>2021.007D.R.Polyomaviridae_2ngen_117rensp.zip</v>
      </c>
      <c r="U5128" s="29" t="str">
        <f>HYPERLINK("https://ictv.global/taxonomy/taxondetails?taxnode_id=202304440","ictv.global=202304440")</f>
        <v>ictv.global=202304440</v>
      </c>
    </row>
    <row r="5129" spans="1:21">
      <c r="A5129">
        <v>5128</v>
      </c>
      <c r="B5129" s="30" t="s">
        <v>1956</v>
      </c>
      <c r="D5129" s="30" t="s">
        <v>1985</v>
      </c>
      <c r="F5129" s="30" t="s">
        <v>1986</v>
      </c>
      <c r="H5129" s="30" t="s">
        <v>1989</v>
      </c>
      <c r="J5129" s="30" t="s">
        <v>1990</v>
      </c>
      <c r="L5129" s="30" t="s">
        <v>251</v>
      </c>
      <c r="N5129" s="30" t="s">
        <v>778</v>
      </c>
      <c r="P5129" s="30" t="s">
        <v>8625</v>
      </c>
      <c r="Q5129" t="s">
        <v>619</v>
      </c>
      <c r="R5129" t="s">
        <v>920</v>
      </c>
      <c r="S5129">
        <v>37</v>
      </c>
      <c r="T5129" s="29" t="str">
        <f t="shared" si="236"/>
        <v>2021.007D.R.Polyomaviridae_2ngen_117rensp.zip</v>
      </c>
      <c r="U5129" s="29" t="str">
        <f>HYPERLINK("https://ictv.global/taxonomy/taxondetails?taxnode_id=202304439","ictv.global=202304439")</f>
        <v>ictv.global=202304439</v>
      </c>
    </row>
    <row r="5130" spans="1:21">
      <c r="A5130">
        <v>5129</v>
      </c>
      <c r="B5130" s="30" t="s">
        <v>1956</v>
      </c>
      <c r="D5130" s="30" t="s">
        <v>1985</v>
      </c>
      <c r="F5130" s="30" t="s">
        <v>1986</v>
      </c>
      <c r="H5130" s="30" t="s">
        <v>1989</v>
      </c>
      <c r="J5130" s="30" t="s">
        <v>1990</v>
      </c>
      <c r="L5130" s="30" t="s">
        <v>251</v>
      </c>
      <c r="N5130" s="30" t="s">
        <v>778</v>
      </c>
      <c r="P5130" s="30" t="s">
        <v>8626</v>
      </c>
      <c r="Q5130" t="s">
        <v>619</v>
      </c>
      <c r="R5130" t="s">
        <v>920</v>
      </c>
      <c r="S5130">
        <v>37</v>
      </c>
      <c r="T5130" s="29" t="str">
        <f t="shared" si="236"/>
        <v>2021.007D.R.Polyomaviridae_2ngen_117rensp.zip</v>
      </c>
      <c r="U5130" s="29" t="str">
        <f>HYPERLINK("https://ictv.global/taxonomy/taxondetails?taxnode_id=202306345","ictv.global=202306345")</f>
        <v>ictv.global=202306345</v>
      </c>
    </row>
    <row r="5131" spans="1:21">
      <c r="A5131">
        <v>5130</v>
      </c>
      <c r="B5131" s="30" t="s">
        <v>1956</v>
      </c>
      <c r="D5131" s="30" t="s">
        <v>1985</v>
      </c>
      <c r="F5131" s="30" t="s">
        <v>1986</v>
      </c>
      <c r="H5131" s="30" t="s">
        <v>1989</v>
      </c>
      <c r="J5131" s="30" t="s">
        <v>1990</v>
      </c>
      <c r="L5131" s="30" t="s">
        <v>251</v>
      </c>
      <c r="N5131" s="30" t="s">
        <v>778</v>
      </c>
      <c r="P5131" s="30" t="s">
        <v>8627</v>
      </c>
      <c r="Q5131" t="s">
        <v>619</v>
      </c>
      <c r="R5131" t="s">
        <v>920</v>
      </c>
      <c r="S5131">
        <v>37</v>
      </c>
      <c r="T5131" s="29" t="str">
        <f t="shared" si="236"/>
        <v>2021.007D.R.Polyomaviridae_2ngen_117rensp.zip</v>
      </c>
      <c r="U5131" s="29" t="str">
        <f>HYPERLINK("https://ictv.global/taxonomy/taxondetails?taxnode_id=202306346","ictv.global=202306346")</f>
        <v>ictv.global=202306346</v>
      </c>
    </row>
    <row r="5132" spans="1:21">
      <c r="A5132">
        <v>5131</v>
      </c>
      <c r="B5132" s="30" t="s">
        <v>1956</v>
      </c>
      <c r="D5132" s="30" t="s">
        <v>1985</v>
      </c>
      <c r="F5132" s="30" t="s">
        <v>1986</v>
      </c>
      <c r="H5132" s="30" t="s">
        <v>1989</v>
      </c>
      <c r="J5132" s="30" t="s">
        <v>1990</v>
      </c>
      <c r="L5132" s="30" t="s">
        <v>251</v>
      </c>
      <c r="N5132" s="30" t="s">
        <v>778</v>
      </c>
      <c r="P5132" s="30" t="s">
        <v>8628</v>
      </c>
      <c r="Q5132" t="s">
        <v>619</v>
      </c>
      <c r="R5132" t="s">
        <v>920</v>
      </c>
      <c r="S5132">
        <v>37</v>
      </c>
      <c r="T5132" s="29" t="str">
        <f t="shared" si="236"/>
        <v>2021.007D.R.Polyomaviridae_2ngen_117rensp.zip</v>
      </c>
      <c r="U5132" s="29" t="str">
        <f>HYPERLINK("https://ictv.global/taxonomy/taxondetails?taxnode_id=202304448","ictv.global=202304448")</f>
        <v>ictv.global=202304448</v>
      </c>
    </row>
    <row r="5133" spans="1:21">
      <c r="A5133">
        <v>5132</v>
      </c>
      <c r="B5133" s="30" t="s">
        <v>1956</v>
      </c>
      <c r="D5133" s="30" t="s">
        <v>1985</v>
      </c>
      <c r="F5133" s="30" t="s">
        <v>1986</v>
      </c>
      <c r="H5133" s="30" t="s">
        <v>1989</v>
      </c>
      <c r="J5133" s="30" t="s">
        <v>1990</v>
      </c>
      <c r="L5133" s="30" t="s">
        <v>251</v>
      </c>
      <c r="N5133" s="30" t="s">
        <v>778</v>
      </c>
      <c r="P5133" s="30" t="s">
        <v>8629</v>
      </c>
      <c r="Q5133" t="s">
        <v>619</v>
      </c>
      <c r="R5133" t="s">
        <v>920</v>
      </c>
      <c r="S5133">
        <v>37</v>
      </c>
      <c r="T5133" s="29" t="str">
        <f t="shared" si="236"/>
        <v>2021.007D.R.Polyomaviridae_2ngen_117rensp.zip</v>
      </c>
      <c r="U5133" s="29" t="str">
        <f>HYPERLINK("https://ictv.global/taxonomy/taxondetails?taxnode_id=202309585","ictv.global=202309585")</f>
        <v>ictv.global=202309585</v>
      </c>
    </row>
    <row r="5134" spans="1:21">
      <c r="A5134">
        <v>5133</v>
      </c>
      <c r="B5134" s="30" t="s">
        <v>1956</v>
      </c>
      <c r="D5134" s="30" t="s">
        <v>1985</v>
      </c>
      <c r="F5134" s="30" t="s">
        <v>1986</v>
      </c>
      <c r="H5134" s="30" t="s">
        <v>1989</v>
      </c>
      <c r="J5134" s="30" t="s">
        <v>1990</v>
      </c>
      <c r="L5134" s="30" t="s">
        <v>251</v>
      </c>
      <c r="N5134" s="30" t="s">
        <v>778</v>
      </c>
      <c r="P5134" s="30" t="s">
        <v>8630</v>
      </c>
      <c r="Q5134" t="s">
        <v>619</v>
      </c>
      <c r="R5134" t="s">
        <v>920</v>
      </c>
      <c r="S5134">
        <v>37</v>
      </c>
      <c r="T5134" s="29" t="str">
        <f t="shared" si="236"/>
        <v>2021.007D.R.Polyomaviridae_2ngen_117rensp.zip</v>
      </c>
      <c r="U5134" s="29" t="str">
        <f>HYPERLINK("https://ictv.global/taxonomy/taxondetails?taxnode_id=202304427","ictv.global=202304427")</f>
        <v>ictv.global=202304427</v>
      </c>
    </row>
    <row r="5135" spans="1:21">
      <c r="A5135">
        <v>5134</v>
      </c>
      <c r="B5135" s="30" t="s">
        <v>1956</v>
      </c>
      <c r="D5135" s="30" t="s">
        <v>1985</v>
      </c>
      <c r="F5135" s="30" t="s">
        <v>1986</v>
      </c>
      <c r="H5135" s="30" t="s">
        <v>1989</v>
      </c>
      <c r="J5135" s="30" t="s">
        <v>1990</v>
      </c>
      <c r="L5135" s="30" t="s">
        <v>251</v>
      </c>
      <c r="N5135" s="30" t="s">
        <v>778</v>
      </c>
      <c r="P5135" s="30" t="s">
        <v>8631</v>
      </c>
      <c r="Q5135" t="s">
        <v>619</v>
      </c>
      <c r="R5135" t="s">
        <v>920</v>
      </c>
      <c r="S5135">
        <v>37</v>
      </c>
      <c r="T5135" s="29" t="str">
        <f t="shared" si="236"/>
        <v>2021.007D.R.Polyomaviridae_2ngen_117rensp.zip</v>
      </c>
      <c r="U5135" s="29" t="str">
        <f>HYPERLINK("https://ictv.global/taxonomy/taxondetails?taxnode_id=202304414","ictv.global=202304414")</f>
        <v>ictv.global=202304414</v>
      </c>
    </row>
    <row r="5136" spans="1:21">
      <c r="A5136">
        <v>5135</v>
      </c>
      <c r="B5136" s="30" t="s">
        <v>1956</v>
      </c>
      <c r="D5136" s="30" t="s">
        <v>1985</v>
      </c>
      <c r="F5136" s="30" t="s">
        <v>1986</v>
      </c>
      <c r="H5136" s="30" t="s">
        <v>1989</v>
      </c>
      <c r="J5136" s="30" t="s">
        <v>1990</v>
      </c>
      <c r="L5136" s="30" t="s">
        <v>251</v>
      </c>
      <c r="N5136" s="30" t="s">
        <v>778</v>
      </c>
      <c r="P5136" s="30" t="s">
        <v>8632</v>
      </c>
      <c r="Q5136" t="s">
        <v>619</v>
      </c>
      <c r="R5136" t="s">
        <v>920</v>
      </c>
      <c r="S5136">
        <v>37</v>
      </c>
      <c r="T5136" s="29" t="str">
        <f t="shared" si="236"/>
        <v>2021.007D.R.Polyomaviridae_2ngen_117rensp.zip</v>
      </c>
      <c r="U5136" s="29" t="str">
        <f>HYPERLINK("https://ictv.global/taxonomy/taxondetails?taxnode_id=202304419","ictv.global=202304419")</f>
        <v>ictv.global=202304419</v>
      </c>
    </row>
    <row r="5137" spans="1:21">
      <c r="A5137">
        <v>5136</v>
      </c>
      <c r="B5137" s="30" t="s">
        <v>1956</v>
      </c>
      <c r="D5137" s="30" t="s">
        <v>1985</v>
      </c>
      <c r="F5137" s="30" t="s">
        <v>1986</v>
      </c>
      <c r="H5137" s="30" t="s">
        <v>1989</v>
      </c>
      <c r="J5137" s="30" t="s">
        <v>1990</v>
      </c>
      <c r="L5137" s="30" t="s">
        <v>251</v>
      </c>
      <c r="N5137" s="30" t="s">
        <v>778</v>
      </c>
      <c r="P5137" s="30" t="s">
        <v>8633</v>
      </c>
      <c r="Q5137" t="s">
        <v>619</v>
      </c>
      <c r="R5137" t="s">
        <v>920</v>
      </c>
      <c r="S5137">
        <v>37</v>
      </c>
      <c r="T5137" s="29" t="str">
        <f t="shared" si="236"/>
        <v>2021.007D.R.Polyomaviridae_2ngen_117rensp.zip</v>
      </c>
      <c r="U5137" s="29" t="str">
        <f>HYPERLINK("https://ictv.global/taxonomy/taxondetails?taxnode_id=202309584","ictv.global=202309584")</f>
        <v>ictv.global=202309584</v>
      </c>
    </row>
    <row r="5138" spans="1:21">
      <c r="A5138">
        <v>5137</v>
      </c>
      <c r="B5138" s="30" t="s">
        <v>1956</v>
      </c>
      <c r="D5138" s="30" t="s">
        <v>1985</v>
      </c>
      <c r="F5138" s="30" t="s">
        <v>1986</v>
      </c>
      <c r="H5138" s="30" t="s">
        <v>1989</v>
      </c>
      <c r="J5138" s="30" t="s">
        <v>1990</v>
      </c>
      <c r="L5138" s="30" t="s">
        <v>251</v>
      </c>
      <c r="N5138" s="30" t="s">
        <v>778</v>
      </c>
      <c r="P5138" s="30" t="s">
        <v>8634</v>
      </c>
      <c r="Q5138" t="s">
        <v>619</v>
      </c>
      <c r="R5138" t="s">
        <v>920</v>
      </c>
      <c r="S5138">
        <v>37</v>
      </c>
      <c r="T5138" s="29" t="str">
        <f t="shared" si="236"/>
        <v>2021.007D.R.Polyomaviridae_2ngen_117rensp.zip</v>
      </c>
      <c r="U5138" s="29" t="str">
        <f>HYPERLINK("https://ictv.global/taxonomy/taxondetails?taxnode_id=202304436","ictv.global=202304436")</f>
        <v>ictv.global=202304436</v>
      </c>
    </row>
    <row r="5139" spans="1:21">
      <c r="A5139">
        <v>5138</v>
      </c>
      <c r="B5139" s="30" t="s">
        <v>1956</v>
      </c>
      <c r="D5139" s="30" t="s">
        <v>1985</v>
      </c>
      <c r="F5139" s="30" t="s">
        <v>1986</v>
      </c>
      <c r="H5139" s="30" t="s">
        <v>1989</v>
      </c>
      <c r="J5139" s="30" t="s">
        <v>1990</v>
      </c>
      <c r="L5139" s="30" t="s">
        <v>251</v>
      </c>
      <c r="N5139" s="30" t="s">
        <v>778</v>
      </c>
      <c r="P5139" s="30" t="s">
        <v>8635</v>
      </c>
      <c r="Q5139" t="s">
        <v>619</v>
      </c>
      <c r="R5139" t="s">
        <v>920</v>
      </c>
      <c r="S5139">
        <v>37</v>
      </c>
      <c r="T5139" s="29" t="str">
        <f t="shared" si="236"/>
        <v>2021.007D.R.Polyomaviridae_2ngen_117rensp.zip</v>
      </c>
      <c r="U5139" s="29" t="str">
        <f>HYPERLINK("https://ictv.global/taxonomy/taxondetails?taxnode_id=202307114","ictv.global=202307114")</f>
        <v>ictv.global=202307114</v>
      </c>
    </row>
    <row r="5140" spans="1:21">
      <c r="A5140">
        <v>5139</v>
      </c>
      <c r="B5140" s="30" t="s">
        <v>1956</v>
      </c>
      <c r="D5140" s="30" t="s">
        <v>1985</v>
      </c>
      <c r="F5140" s="30" t="s">
        <v>1986</v>
      </c>
      <c r="H5140" s="30" t="s">
        <v>1989</v>
      </c>
      <c r="J5140" s="30" t="s">
        <v>1990</v>
      </c>
      <c r="L5140" s="30" t="s">
        <v>251</v>
      </c>
      <c r="N5140" s="30" t="s">
        <v>778</v>
      </c>
      <c r="P5140" s="30" t="s">
        <v>8636</v>
      </c>
      <c r="Q5140" t="s">
        <v>619</v>
      </c>
      <c r="R5140" t="s">
        <v>920</v>
      </c>
      <c r="S5140">
        <v>37</v>
      </c>
      <c r="T5140" s="29" t="str">
        <f t="shared" si="236"/>
        <v>2021.007D.R.Polyomaviridae_2ngen_117rensp.zip</v>
      </c>
      <c r="U5140" s="29" t="str">
        <f>HYPERLINK("https://ictv.global/taxonomy/taxondetails?taxnode_id=202309588","ictv.global=202309588")</f>
        <v>ictv.global=202309588</v>
      </c>
    </row>
    <row r="5141" spans="1:21">
      <c r="A5141">
        <v>5140</v>
      </c>
      <c r="B5141" s="30" t="s">
        <v>1956</v>
      </c>
      <c r="D5141" s="30" t="s">
        <v>1985</v>
      </c>
      <c r="F5141" s="30" t="s">
        <v>1986</v>
      </c>
      <c r="H5141" s="30" t="s">
        <v>1989</v>
      </c>
      <c r="J5141" s="30" t="s">
        <v>1990</v>
      </c>
      <c r="L5141" s="30" t="s">
        <v>251</v>
      </c>
      <c r="N5141" s="30" t="s">
        <v>779</v>
      </c>
      <c r="P5141" s="30" t="s">
        <v>8637</v>
      </c>
      <c r="Q5141" t="s">
        <v>619</v>
      </c>
      <c r="R5141" t="s">
        <v>920</v>
      </c>
      <c r="S5141">
        <v>37</v>
      </c>
      <c r="T5141" s="29" t="str">
        <f t="shared" si="236"/>
        <v>2021.007D.R.Polyomaviridae_2ngen_117rensp.zip</v>
      </c>
      <c r="U5141" s="29" t="str">
        <f>HYPERLINK("https://ictv.global/taxonomy/taxondetails?taxnode_id=202304451","ictv.global=202304451")</f>
        <v>ictv.global=202304451</v>
      </c>
    </row>
    <row r="5142" spans="1:21">
      <c r="A5142">
        <v>5141</v>
      </c>
      <c r="B5142" s="30" t="s">
        <v>1956</v>
      </c>
      <c r="D5142" s="30" t="s">
        <v>1985</v>
      </c>
      <c r="F5142" s="30" t="s">
        <v>1986</v>
      </c>
      <c r="H5142" s="30" t="s">
        <v>1989</v>
      </c>
      <c r="J5142" s="30" t="s">
        <v>1990</v>
      </c>
      <c r="L5142" s="30" t="s">
        <v>251</v>
      </c>
      <c r="N5142" s="30" t="s">
        <v>779</v>
      </c>
      <c r="P5142" s="30" t="s">
        <v>8638</v>
      </c>
      <c r="Q5142" t="s">
        <v>619</v>
      </c>
      <c r="R5142" t="s">
        <v>920</v>
      </c>
      <c r="S5142">
        <v>37</v>
      </c>
      <c r="T5142" s="29" t="str">
        <f t="shared" si="236"/>
        <v>2021.007D.R.Polyomaviridae_2ngen_117rensp.zip</v>
      </c>
      <c r="U5142" s="29" t="str">
        <f>HYPERLINK("https://ictv.global/taxonomy/taxondetails?taxnode_id=202304452","ictv.global=202304452")</f>
        <v>ictv.global=202304452</v>
      </c>
    </row>
    <row r="5143" spans="1:21">
      <c r="A5143">
        <v>5142</v>
      </c>
      <c r="B5143" s="30" t="s">
        <v>1956</v>
      </c>
      <c r="D5143" s="30" t="s">
        <v>1985</v>
      </c>
      <c r="F5143" s="30" t="s">
        <v>1986</v>
      </c>
      <c r="H5143" s="30" t="s">
        <v>1989</v>
      </c>
      <c r="J5143" s="30" t="s">
        <v>1990</v>
      </c>
      <c r="L5143" s="30" t="s">
        <v>251</v>
      </c>
      <c r="N5143" s="30" t="s">
        <v>779</v>
      </c>
      <c r="P5143" s="30" t="s">
        <v>8639</v>
      </c>
      <c r="Q5143" t="s">
        <v>619</v>
      </c>
      <c r="R5143" t="s">
        <v>920</v>
      </c>
      <c r="S5143">
        <v>37</v>
      </c>
      <c r="T5143" s="29" t="str">
        <f t="shared" si="236"/>
        <v>2021.007D.R.Polyomaviridae_2ngen_117rensp.zip</v>
      </c>
      <c r="U5143" s="29" t="str">
        <f>HYPERLINK("https://ictv.global/taxonomy/taxondetails?taxnode_id=202309593","ictv.global=202309593")</f>
        <v>ictv.global=202309593</v>
      </c>
    </row>
    <row r="5144" spans="1:21">
      <c r="A5144">
        <v>5143</v>
      </c>
      <c r="B5144" s="30" t="s">
        <v>1956</v>
      </c>
      <c r="D5144" s="30" t="s">
        <v>1985</v>
      </c>
      <c r="F5144" s="30" t="s">
        <v>1986</v>
      </c>
      <c r="H5144" s="30" t="s">
        <v>1989</v>
      </c>
      <c r="J5144" s="30" t="s">
        <v>1990</v>
      </c>
      <c r="L5144" s="30" t="s">
        <v>251</v>
      </c>
      <c r="N5144" s="30" t="s">
        <v>779</v>
      </c>
      <c r="P5144" s="30" t="s">
        <v>8640</v>
      </c>
      <c r="Q5144" t="s">
        <v>619</v>
      </c>
      <c r="R5144" t="s">
        <v>920</v>
      </c>
      <c r="S5144">
        <v>37</v>
      </c>
      <c r="T5144" s="29" t="str">
        <f t="shared" si="236"/>
        <v>2021.007D.R.Polyomaviridae_2ngen_117rensp.zip</v>
      </c>
      <c r="U5144" s="29" t="str">
        <f>HYPERLINK("https://ictv.global/taxonomy/taxondetails?taxnode_id=202306347","ictv.global=202306347")</f>
        <v>ictv.global=202306347</v>
      </c>
    </row>
    <row r="5145" spans="1:21">
      <c r="A5145">
        <v>5144</v>
      </c>
      <c r="B5145" s="30" t="s">
        <v>1956</v>
      </c>
      <c r="D5145" s="30" t="s">
        <v>1985</v>
      </c>
      <c r="F5145" s="30" t="s">
        <v>1986</v>
      </c>
      <c r="H5145" s="30" t="s">
        <v>1989</v>
      </c>
      <c r="J5145" s="30" t="s">
        <v>1990</v>
      </c>
      <c r="L5145" s="30" t="s">
        <v>251</v>
      </c>
      <c r="N5145" s="30" t="s">
        <v>779</v>
      </c>
      <c r="P5145" s="30" t="s">
        <v>8641</v>
      </c>
      <c r="Q5145" t="s">
        <v>619</v>
      </c>
      <c r="R5145" t="s">
        <v>920</v>
      </c>
      <c r="S5145">
        <v>37</v>
      </c>
      <c r="T5145" s="29" t="str">
        <f t="shared" si="236"/>
        <v>2021.007D.R.Polyomaviridae_2ngen_117rensp.zip</v>
      </c>
      <c r="U5145" s="29" t="str">
        <f>HYPERLINK("https://ictv.global/taxonomy/taxondetails?taxnode_id=202304453","ictv.global=202304453")</f>
        <v>ictv.global=202304453</v>
      </c>
    </row>
    <row r="5146" spans="1:21">
      <c r="A5146">
        <v>5145</v>
      </c>
      <c r="B5146" s="30" t="s">
        <v>1956</v>
      </c>
      <c r="D5146" s="30" t="s">
        <v>1985</v>
      </c>
      <c r="F5146" s="30" t="s">
        <v>1986</v>
      </c>
      <c r="H5146" s="30" t="s">
        <v>1989</v>
      </c>
      <c r="J5146" s="30" t="s">
        <v>1990</v>
      </c>
      <c r="L5146" s="30" t="s">
        <v>251</v>
      </c>
      <c r="N5146" s="30" t="s">
        <v>779</v>
      </c>
      <c r="P5146" s="30" t="s">
        <v>8642</v>
      </c>
      <c r="Q5146" t="s">
        <v>619</v>
      </c>
      <c r="R5146" t="s">
        <v>920</v>
      </c>
      <c r="S5146">
        <v>37</v>
      </c>
      <c r="T5146" s="29" t="str">
        <f t="shared" si="236"/>
        <v>2021.007D.R.Polyomaviridae_2ngen_117rensp.zip</v>
      </c>
      <c r="U5146" s="29" t="str">
        <f>HYPERLINK("https://ictv.global/taxonomy/taxondetails?taxnode_id=202304455","ictv.global=202304455")</f>
        <v>ictv.global=202304455</v>
      </c>
    </row>
    <row r="5147" spans="1:21">
      <c r="A5147">
        <v>5146</v>
      </c>
      <c r="B5147" s="30" t="s">
        <v>1956</v>
      </c>
      <c r="D5147" s="30" t="s">
        <v>1985</v>
      </c>
      <c r="F5147" s="30" t="s">
        <v>1986</v>
      </c>
      <c r="H5147" s="30" t="s">
        <v>1989</v>
      </c>
      <c r="J5147" s="30" t="s">
        <v>1990</v>
      </c>
      <c r="L5147" s="30" t="s">
        <v>251</v>
      </c>
      <c r="N5147" s="30" t="s">
        <v>779</v>
      </c>
      <c r="P5147" s="30" t="s">
        <v>8643</v>
      </c>
      <c r="Q5147" t="s">
        <v>619</v>
      </c>
      <c r="R5147" t="s">
        <v>920</v>
      </c>
      <c r="S5147">
        <v>37</v>
      </c>
      <c r="T5147" s="29" t="str">
        <f t="shared" si="236"/>
        <v>2021.007D.R.Polyomaviridae_2ngen_117rensp.zip</v>
      </c>
      <c r="U5147" s="29" t="str">
        <f>HYPERLINK("https://ictv.global/taxonomy/taxondetails?taxnode_id=202304463","ictv.global=202304463")</f>
        <v>ictv.global=202304463</v>
      </c>
    </row>
    <row r="5148" spans="1:21">
      <c r="A5148">
        <v>5147</v>
      </c>
      <c r="B5148" s="30" t="s">
        <v>1956</v>
      </c>
      <c r="D5148" s="30" t="s">
        <v>1985</v>
      </c>
      <c r="F5148" s="30" t="s">
        <v>1986</v>
      </c>
      <c r="H5148" s="30" t="s">
        <v>1989</v>
      </c>
      <c r="J5148" s="30" t="s">
        <v>1990</v>
      </c>
      <c r="L5148" s="30" t="s">
        <v>251</v>
      </c>
      <c r="N5148" s="30" t="s">
        <v>779</v>
      </c>
      <c r="P5148" s="30" t="s">
        <v>8644</v>
      </c>
      <c r="Q5148" t="s">
        <v>619</v>
      </c>
      <c r="R5148" t="s">
        <v>920</v>
      </c>
      <c r="S5148">
        <v>37</v>
      </c>
      <c r="T5148" s="29" t="str">
        <f t="shared" si="236"/>
        <v>2021.007D.R.Polyomaviridae_2ngen_117rensp.zip</v>
      </c>
      <c r="U5148" s="29" t="str">
        <f>HYPERLINK("https://ictv.global/taxonomy/taxondetails?taxnode_id=202307115","ictv.global=202307115")</f>
        <v>ictv.global=202307115</v>
      </c>
    </row>
    <row r="5149" spans="1:21">
      <c r="A5149">
        <v>5148</v>
      </c>
      <c r="B5149" s="30" t="s">
        <v>1956</v>
      </c>
      <c r="D5149" s="30" t="s">
        <v>1985</v>
      </c>
      <c r="F5149" s="30" t="s">
        <v>1986</v>
      </c>
      <c r="H5149" s="30" t="s">
        <v>1989</v>
      </c>
      <c r="J5149" s="30" t="s">
        <v>1990</v>
      </c>
      <c r="L5149" s="30" t="s">
        <v>251</v>
      </c>
      <c r="N5149" s="30" t="s">
        <v>779</v>
      </c>
      <c r="P5149" s="30" t="s">
        <v>8645</v>
      </c>
      <c r="Q5149" t="s">
        <v>619</v>
      </c>
      <c r="R5149" t="s">
        <v>920</v>
      </c>
      <c r="S5149">
        <v>37</v>
      </c>
      <c r="T5149" s="29" t="str">
        <f t="shared" si="236"/>
        <v>2021.007D.R.Polyomaviridae_2ngen_117rensp.zip</v>
      </c>
      <c r="U5149" s="29" t="str">
        <f>HYPERLINK("https://ictv.global/taxonomy/taxondetails?taxnode_id=202304458","ictv.global=202304458")</f>
        <v>ictv.global=202304458</v>
      </c>
    </row>
    <row r="5150" spans="1:21">
      <c r="A5150">
        <v>5149</v>
      </c>
      <c r="B5150" s="30" t="s">
        <v>1956</v>
      </c>
      <c r="D5150" s="30" t="s">
        <v>1985</v>
      </c>
      <c r="F5150" s="30" t="s">
        <v>1986</v>
      </c>
      <c r="H5150" s="30" t="s">
        <v>1989</v>
      </c>
      <c r="J5150" s="30" t="s">
        <v>1990</v>
      </c>
      <c r="L5150" s="30" t="s">
        <v>251</v>
      </c>
      <c r="N5150" s="30" t="s">
        <v>779</v>
      </c>
      <c r="P5150" s="30" t="s">
        <v>8646</v>
      </c>
      <c r="Q5150" t="s">
        <v>619</v>
      </c>
      <c r="R5150" t="s">
        <v>920</v>
      </c>
      <c r="S5150">
        <v>37</v>
      </c>
      <c r="T5150" s="29" t="str">
        <f t="shared" si="236"/>
        <v>2021.007D.R.Polyomaviridae_2ngen_117rensp.zip</v>
      </c>
      <c r="U5150" s="29" t="str">
        <f>HYPERLINK("https://ictv.global/taxonomy/taxondetails?taxnode_id=202309590","ictv.global=202309590")</f>
        <v>ictv.global=202309590</v>
      </c>
    </row>
    <row r="5151" spans="1:21">
      <c r="A5151">
        <v>5150</v>
      </c>
      <c r="B5151" s="30" t="s">
        <v>1956</v>
      </c>
      <c r="D5151" s="30" t="s">
        <v>1985</v>
      </c>
      <c r="F5151" s="30" t="s">
        <v>1986</v>
      </c>
      <c r="H5151" s="30" t="s">
        <v>1989</v>
      </c>
      <c r="J5151" s="30" t="s">
        <v>1990</v>
      </c>
      <c r="L5151" s="30" t="s">
        <v>251</v>
      </c>
      <c r="N5151" s="30" t="s">
        <v>779</v>
      </c>
      <c r="P5151" s="30" t="s">
        <v>8647</v>
      </c>
      <c r="Q5151" t="s">
        <v>619</v>
      </c>
      <c r="R5151" t="s">
        <v>920</v>
      </c>
      <c r="S5151">
        <v>37</v>
      </c>
      <c r="T5151" s="29" t="str">
        <f t="shared" si="236"/>
        <v>2021.007D.R.Polyomaviridae_2ngen_117rensp.zip</v>
      </c>
      <c r="U5151" s="29" t="str">
        <f>HYPERLINK("https://ictv.global/taxonomy/taxondetails?taxnode_id=202304459","ictv.global=202304459")</f>
        <v>ictv.global=202304459</v>
      </c>
    </row>
    <row r="5152" spans="1:21">
      <c r="A5152">
        <v>5151</v>
      </c>
      <c r="B5152" s="30" t="s">
        <v>1956</v>
      </c>
      <c r="D5152" s="30" t="s">
        <v>1985</v>
      </c>
      <c r="F5152" s="30" t="s">
        <v>1986</v>
      </c>
      <c r="H5152" s="30" t="s">
        <v>1989</v>
      </c>
      <c r="J5152" s="30" t="s">
        <v>1990</v>
      </c>
      <c r="L5152" s="30" t="s">
        <v>251</v>
      </c>
      <c r="N5152" s="30" t="s">
        <v>779</v>
      </c>
      <c r="P5152" s="30" t="s">
        <v>8648</v>
      </c>
      <c r="Q5152" t="s">
        <v>619</v>
      </c>
      <c r="R5152" t="s">
        <v>920</v>
      </c>
      <c r="S5152">
        <v>37</v>
      </c>
      <c r="T5152" s="29" t="str">
        <f t="shared" si="236"/>
        <v>2021.007D.R.Polyomaviridae_2ngen_117rensp.zip</v>
      </c>
      <c r="U5152" s="29" t="str">
        <f>HYPERLINK("https://ictv.global/taxonomy/taxondetails?taxnode_id=202309591","ictv.global=202309591")</f>
        <v>ictv.global=202309591</v>
      </c>
    </row>
    <row r="5153" spans="1:21">
      <c r="A5153">
        <v>5152</v>
      </c>
      <c r="B5153" s="30" t="s">
        <v>1956</v>
      </c>
      <c r="D5153" s="30" t="s">
        <v>1985</v>
      </c>
      <c r="F5153" s="30" t="s">
        <v>1986</v>
      </c>
      <c r="H5153" s="30" t="s">
        <v>1989</v>
      </c>
      <c r="J5153" s="30" t="s">
        <v>1990</v>
      </c>
      <c r="L5153" s="30" t="s">
        <v>251</v>
      </c>
      <c r="N5153" s="30" t="s">
        <v>779</v>
      </c>
      <c r="P5153" s="30" t="s">
        <v>8649</v>
      </c>
      <c r="Q5153" t="s">
        <v>619</v>
      </c>
      <c r="R5153" t="s">
        <v>920</v>
      </c>
      <c r="S5153">
        <v>37</v>
      </c>
      <c r="T5153" s="29" t="str">
        <f t="shared" si="236"/>
        <v>2021.007D.R.Polyomaviridae_2ngen_117rensp.zip</v>
      </c>
      <c r="U5153" s="29" t="str">
        <f>HYPERLINK("https://ictv.global/taxonomy/taxondetails?taxnode_id=202305905","ictv.global=202305905")</f>
        <v>ictv.global=202305905</v>
      </c>
    </row>
    <row r="5154" spans="1:21">
      <c r="A5154">
        <v>5153</v>
      </c>
      <c r="B5154" s="30" t="s">
        <v>1956</v>
      </c>
      <c r="D5154" s="30" t="s">
        <v>1985</v>
      </c>
      <c r="F5154" s="30" t="s">
        <v>1986</v>
      </c>
      <c r="H5154" s="30" t="s">
        <v>1989</v>
      </c>
      <c r="J5154" s="30" t="s">
        <v>1990</v>
      </c>
      <c r="L5154" s="30" t="s">
        <v>251</v>
      </c>
      <c r="N5154" s="30" t="s">
        <v>779</v>
      </c>
      <c r="P5154" s="30" t="s">
        <v>8650</v>
      </c>
      <c r="Q5154" t="s">
        <v>619</v>
      </c>
      <c r="R5154" t="s">
        <v>920</v>
      </c>
      <c r="S5154">
        <v>37</v>
      </c>
      <c r="T5154" s="29" t="str">
        <f t="shared" ref="T5154:T5185" si="237">HYPERLINK("https://ictv.global/ictv/proposals/2021.007D.R.Polyomaviridae_2ngen_117rensp.zip","2021.007D.R.Polyomaviridae_2ngen_117rensp.zip")</f>
        <v>2021.007D.R.Polyomaviridae_2ngen_117rensp.zip</v>
      </c>
      <c r="U5154" s="29" t="str">
        <f>HYPERLINK("https://ictv.global/taxonomy/taxondetails?taxnode_id=202304464","ictv.global=202304464")</f>
        <v>ictv.global=202304464</v>
      </c>
    </row>
    <row r="5155" spans="1:21">
      <c r="A5155">
        <v>5154</v>
      </c>
      <c r="B5155" s="30" t="s">
        <v>1956</v>
      </c>
      <c r="D5155" s="30" t="s">
        <v>1985</v>
      </c>
      <c r="F5155" s="30" t="s">
        <v>1986</v>
      </c>
      <c r="H5155" s="30" t="s">
        <v>1989</v>
      </c>
      <c r="J5155" s="30" t="s">
        <v>1990</v>
      </c>
      <c r="L5155" s="30" t="s">
        <v>251</v>
      </c>
      <c r="N5155" s="30" t="s">
        <v>779</v>
      </c>
      <c r="P5155" s="30" t="s">
        <v>8651</v>
      </c>
      <c r="Q5155" t="s">
        <v>619</v>
      </c>
      <c r="R5155" t="s">
        <v>920</v>
      </c>
      <c r="S5155">
        <v>37</v>
      </c>
      <c r="T5155" s="29" t="str">
        <f t="shared" si="237"/>
        <v>2021.007D.R.Polyomaviridae_2ngen_117rensp.zip</v>
      </c>
      <c r="U5155" s="29" t="str">
        <f>HYPERLINK("https://ictv.global/taxonomy/taxondetails?taxnode_id=202304468","ictv.global=202304468")</f>
        <v>ictv.global=202304468</v>
      </c>
    </row>
    <row r="5156" spans="1:21">
      <c r="A5156">
        <v>5155</v>
      </c>
      <c r="B5156" s="30" t="s">
        <v>1956</v>
      </c>
      <c r="D5156" s="30" t="s">
        <v>1985</v>
      </c>
      <c r="F5156" s="30" t="s">
        <v>1986</v>
      </c>
      <c r="H5156" s="30" t="s">
        <v>1989</v>
      </c>
      <c r="J5156" s="30" t="s">
        <v>1990</v>
      </c>
      <c r="L5156" s="30" t="s">
        <v>251</v>
      </c>
      <c r="N5156" s="30" t="s">
        <v>779</v>
      </c>
      <c r="P5156" s="30" t="s">
        <v>8652</v>
      </c>
      <c r="Q5156" t="s">
        <v>619</v>
      </c>
      <c r="R5156" t="s">
        <v>920</v>
      </c>
      <c r="S5156">
        <v>37</v>
      </c>
      <c r="T5156" s="29" t="str">
        <f t="shared" si="237"/>
        <v>2021.007D.R.Polyomaviridae_2ngen_117rensp.zip</v>
      </c>
      <c r="U5156" s="29" t="str">
        <f>HYPERLINK("https://ictv.global/taxonomy/taxondetails?taxnode_id=202304467","ictv.global=202304467")</f>
        <v>ictv.global=202304467</v>
      </c>
    </row>
    <row r="5157" spans="1:21">
      <c r="A5157">
        <v>5156</v>
      </c>
      <c r="B5157" s="30" t="s">
        <v>1956</v>
      </c>
      <c r="D5157" s="30" t="s">
        <v>1985</v>
      </c>
      <c r="F5157" s="30" t="s">
        <v>1986</v>
      </c>
      <c r="H5157" s="30" t="s">
        <v>1989</v>
      </c>
      <c r="J5157" s="30" t="s">
        <v>1990</v>
      </c>
      <c r="L5157" s="30" t="s">
        <v>251</v>
      </c>
      <c r="N5157" s="30" t="s">
        <v>779</v>
      </c>
      <c r="P5157" s="30" t="s">
        <v>8653</v>
      </c>
      <c r="Q5157" t="s">
        <v>619</v>
      </c>
      <c r="R5157" t="s">
        <v>920</v>
      </c>
      <c r="S5157">
        <v>37</v>
      </c>
      <c r="T5157" s="29" t="str">
        <f t="shared" si="237"/>
        <v>2021.007D.R.Polyomaviridae_2ngen_117rensp.zip</v>
      </c>
      <c r="U5157" s="29" t="str">
        <f>HYPERLINK("https://ictv.global/taxonomy/taxondetails?taxnode_id=202304465","ictv.global=202304465")</f>
        <v>ictv.global=202304465</v>
      </c>
    </row>
    <row r="5158" spans="1:21">
      <c r="A5158">
        <v>5157</v>
      </c>
      <c r="B5158" s="30" t="s">
        <v>1956</v>
      </c>
      <c r="D5158" s="30" t="s">
        <v>1985</v>
      </c>
      <c r="F5158" s="30" t="s">
        <v>1986</v>
      </c>
      <c r="H5158" s="30" t="s">
        <v>1989</v>
      </c>
      <c r="J5158" s="30" t="s">
        <v>1990</v>
      </c>
      <c r="L5158" s="30" t="s">
        <v>251</v>
      </c>
      <c r="N5158" s="30" t="s">
        <v>779</v>
      </c>
      <c r="P5158" s="30" t="s">
        <v>8654</v>
      </c>
      <c r="Q5158" t="s">
        <v>619</v>
      </c>
      <c r="R5158" t="s">
        <v>920</v>
      </c>
      <c r="S5158">
        <v>37</v>
      </c>
      <c r="T5158" s="29" t="str">
        <f t="shared" si="237"/>
        <v>2021.007D.R.Polyomaviridae_2ngen_117rensp.zip</v>
      </c>
      <c r="U5158" s="29" t="str">
        <f>HYPERLINK("https://ictv.global/taxonomy/taxondetails?taxnode_id=202304466","ictv.global=202304466")</f>
        <v>ictv.global=202304466</v>
      </c>
    </row>
    <row r="5159" spans="1:21">
      <c r="A5159">
        <v>5158</v>
      </c>
      <c r="B5159" s="30" t="s">
        <v>1956</v>
      </c>
      <c r="D5159" s="30" t="s">
        <v>1985</v>
      </c>
      <c r="F5159" s="30" t="s">
        <v>1986</v>
      </c>
      <c r="H5159" s="30" t="s">
        <v>1989</v>
      </c>
      <c r="J5159" s="30" t="s">
        <v>1990</v>
      </c>
      <c r="L5159" s="30" t="s">
        <v>251</v>
      </c>
      <c r="N5159" s="30" t="s">
        <v>779</v>
      </c>
      <c r="P5159" s="30" t="s">
        <v>8655</v>
      </c>
      <c r="Q5159" t="s">
        <v>619</v>
      </c>
      <c r="R5159" t="s">
        <v>920</v>
      </c>
      <c r="S5159">
        <v>37</v>
      </c>
      <c r="T5159" s="29" t="str">
        <f t="shared" si="237"/>
        <v>2021.007D.R.Polyomaviridae_2ngen_117rensp.zip</v>
      </c>
      <c r="U5159" s="29" t="str">
        <f>HYPERLINK("https://ictv.global/taxonomy/taxondetails?taxnode_id=202304470","ictv.global=202304470")</f>
        <v>ictv.global=202304470</v>
      </c>
    </row>
    <row r="5160" spans="1:21">
      <c r="A5160">
        <v>5159</v>
      </c>
      <c r="B5160" s="30" t="s">
        <v>1956</v>
      </c>
      <c r="D5160" s="30" t="s">
        <v>1985</v>
      </c>
      <c r="F5160" s="30" t="s">
        <v>1986</v>
      </c>
      <c r="H5160" s="30" t="s">
        <v>1989</v>
      </c>
      <c r="J5160" s="30" t="s">
        <v>1990</v>
      </c>
      <c r="L5160" s="30" t="s">
        <v>251</v>
      </c>
      <c r="N5160" s="30" t="s">
        <v>779</v>
      </c>
      <c r="P5160" s="30" t="s">
        <v>8656</v>
      </c>
      <c r="Q5160" t="s">
        <v>619</v>
      </c>
      <c r="R5160" t="s">
        <v>920</v>
      </c>
      <c r="S5160">
        <v>37</v>
      </c>
      <c r="T5160" s="29" t="str">
        <f t="shared" si="237"/>
        <v>2021.007D.R.Polyomaviridae_2ngen_117rensp.zip</v>
      </c>
      <c r="U5160" s="29" t="str">
        <f>HYPERLINK("https://ictv.global/taxonomy/taxondetails?taxnode_id=202304471","ictv.global=202304471")</f>
        <v>ictv.global=202304471</v>
      </c>
    </row>
    <row r="5161" spans="1:21">
      <c r="A5161">
        <v>5160</v>
      </c>
      <c r="B5161" s="30" t="s">
        <v>1956</v>
      </c>
      <c r="D5161" s="30" t="s">
        <v>1985</v>
      </c>
      <c r="F5161" s="30" t="s">
        <v>1986</v>
      </c>
      <c r="H5161" s="30" t="s">
        <v>1989</v>
      </c>
      <c r="J5161" s="30" t="s">
        <v>1990</v>
      </c>
      <c r="L5161" s="30" t="s">
        <v>251</v>
      </c>
      <c r="N5161" s="30" t="s">
        <v>779</v>
      </c>
      <c r="P5161" s="30" t="s">
        <v>8657</v>
      </c>
      <c r="Q5161" t="s">
        <v>619</v>
      </c>
      <c r="R5161" t="s">
        <v>920</v>
      </c>
      <c r="S5161">
        <v>37</v>
      </c>
      <c r="T5161" s="29" t="str">
        <f t="shared" si="237"/>
        <v>2021.007D.R.Polyomaviridae_2ngen_117rensp.zip</v>
      </c>
      <c r="U5161" s="29" t="str">
        <f>HYPERLINK("https://ictv.global/taxonomy/taxondetails?taxnode_id=202304472","ictv.global=202304472")</f>
        <v>ictv.global=202304472</v>
      </c>
    </row>
    <row r="5162" spans="1:21">
      <c r="A5162">
        <v>5161</v>
      </c>
      <c r="B5162" s="30" t="s">
        <v>1956</v>
      </c>
      <c r="D5162" s="30" t="s">
        <v>1985</v>
      </c>
      <c r="F5162" s="30" t="s">
        <v>1986</v>
      </c>
      <c r="H5162" s="30" t="s">
        <v>1989</v>
      </c>
      <c r="J5162" s="30" t="s">
        <v>1990</v>
      </c>
      <c r="L5162" s="30" t="s">
        <v>251</v>
      </c>
      <c r="N5162" s="30" t="s">
        <v>779</v>
      </c>
      <c r="P5162" s="30" t="s">
        <v>8658</v>
      </c>
      <c r="Q5162" t="s">
        <v>619</v>
      </c>
      <c r="R5162" t="s">
        <v>920</v>
      </c>
      <c r="S5162">
        <v>37</v>
      </c>
      <c r="T5162" s="29" t="str">
        <f t="shared" si="237"/>
        <v>2021.007D.R.Polyomaviridae_2ngen_117rensp.zip</v>
      </c>
      <c r="U5162" s="29" t="str">
        <f>HYPERLINK("https://ictv.global/taxonomy/taxondetails?taxnode_id=202309589","ictv.global=202309589")</f>
        <v>ictv.global=202309589</v>
      </c>
    </row>
    <row r="5163" spans="1:21">
      <c r="A5163">
        <v>5162</v>
      </c>
      <c r="B5163" s="30" t="s">
        <v>1956</v>
      </c>
      <c r="D5163" s="30" t="s">
        <v>1985</v>
      </c>
      <c r="F5163" s="30" t="s">
        <v>1986</v>
      </c>
      <c r="H5163" s="30" t="s">
        <v>1989</v>
      </c>
      <c r="J5163" s="30" t="s">
        <v>1990</v>
      </c>
      <c r="L5163" s="30" t="s">
        <v>251</v>
      </c>
      <c r="N5163" s="30" t="s">
        <v>779</v>
      </c>
      <c r="P5163" s="30" t="s">
        <v>8659</v>
      </c>
      <c r="Q5163" t="s">
        <v>619</v>
      </c>
      <c r="R5163" t="s">
        <v>920</v>
      </c>
      <c r="S5163">
        <v>37</v>
      </c>
      <c r="T5163" s="29" t="str">
        <f t="shared" si="237"/>
        <v>2021.007D.R.Polyomaviridae_2ngen_117rensp.zip</v>
      </c>
      <c r="U5163" s="29" t="str">
        <f>HYPERLINK("https://ictv.global/taxonomy/taxondetails?taxnode_id=202304474","ictv.global=202304474")</f>
        <v>ictv.global=202304474</v>
      </c>
    </row>
    <row r="5164" spans="1:21">
      <c r="A5164">
        <v>5163</v>
      </c>
      <c r="B5164" s="30" t="s">
        <v>1956</v>
      </c>
      <c r="D5164" s="30" t="s">
        <v>1985</v>
      </c>
      <c r="F5164" s="30" t="s">
        <v>1986</v>
      </c>
      <c r="H5164" s="30" t="s">
        <v>1989</v>
      </c>
      <c r="J5164" s="30" t="s">
        <v>1990</v>
      </c>
      <c r="L5164" s="30" t="s">
        <v>251</v>
      </c>
      <c r="N5164" s="30" t="s">
        <v>779</v>
      </c>
      <c r="P5164" s="30" t="s">
        <v>8660</v>
      </c>
      <c r="Q5164" t="s">
        <v>619</v>
      </c>
      <c r="R5164" t="s">
        <v>920</v>
      </c>
      <c r="S5164">
        <v>37</v>
      </c>
      <c r="T5164" s="29" t="str">
        <f t="shared" si="237"/>
        <v>2021.007D.R.Polyomaviridae_2ngen_117rensp.zip</v>
      </c>
      <c r="U5164" s="29" t="str">
        <f>HYPERLINK("https://ictv.global/taxonomy/taxondetails?taxnode_id=202304475","ictv.global=202304475")</f>
        <v>ictv.global=202304475</v>
      </c>
    </row>
    <row r="5165" spans="1:21">
      <c r="A5165">
        <v>5164</v>
      </c>
      <c r="B5165" s="30" t="s">
        <v>1956</v>
      </c>
      <c r="D5165" s="30" t="s">
        <v>1985</v>
      </c>
      <c r="F5165" s="30" t="s">
        <v>1986</v>
      </c>
      <c r="H5165" s="30" t="s">
        <v>1989</v>
      </c>
      <c r="J5165" s="30" t="s">
        <v>1990</v>
      </c>
      <c r="L5165" s="30" t="s">
        <v>251</v>
      </c>
      <c r="N5165" s="30" t="s">
        <v>779</v>
      </c>
      <c r="P5165" s="30" t="s">
        <v>8661</v>
      </c>
      <c r="Q5165" t="s">
        <v>619</v>
      </c>
      <c r="R5165" t="s">
        <v>920</v>
      </c>
      <c r="S5165">
        <v>37</v>
      </c>
      <c r="T5165" s="29" t="str">
        <f t="shared" si="237"/>
        <v>2021.007D.R.Polyomaviridae_2ngen_117rensp.zip</v>
      </c>
      <c r="U5165" s="29" t="str">
        <f>HYPERLINK("https://ictv.global/taxonomy/taxondetails?taxnode_id=202304462","ictv.global=202304462")</f>
        <v>ictv.global=202304462</v>
      </c>
    </row>
    <row r="5166" spans="1:21">
      <c r="A5166">
        <v>5165</v>
      </c>
      <c r="B5166" s="30" t="s">
        <v>1956</v>
      </c>
      <c r="D5166" s="30" t="s">
        <v>1985</v>
      </c>
      <c r="F5166" s="30" t="s">
        <v>1986</v>
      </c>
      <c r="H5166" s="30" t="s">
        <v>1989</v>
      </c>
      <c r="J5166" s="30" t="s">
        <v>1990</v>
      </c>
      <c r="L5166" s="30" t="s">
        <v>251</v>
      </c>
      <c r="N5166" s="30" t="s">
        <v>779</v>
      </c>
      <c r="P5166" s="30" t="s">
        <v>8662</v>
      </c>
      <c r="Q5166" t="s">
        <v>619</v>
      </c>
      <c r="R5166" t="s">
        <v>920</v>
      </c>
      <c r="S5166">
        <v>37</v>
      </c>
      <c r="T5166" s="29" t="str">
        <f t="shared" si="237"/>
        <v>2021.007D.R.Polyomaviridae_2ngen_117rensp.zip</v>
      </c>
      <c r="U5166" s="29" t="str">
        <f>HYPERLINK("https://ictv.global/taxonomy/taxondetails?taxnode_id=202306348","ictv.global=202306348")</f>
        <v>ictv.global=202306348</v>
      </c>
    </row>
    <row r="5167" spans="1:21">
      <c r="A5167">
        <v>5166</v>
      </c>
      <c r="B5167" s="30" t="s">
        <v>1956</v>
      </c>
      <c r="D5167" s="30" t="s">
        <v>1985</v>
      </c>
      <c r="F5167" s="30" t="s">
        <v>1986</v>
      </c>
      <c r="H5167" s="30" t="s">
        <v>1989</v>
      </c>
      <c r="J5167" s="30" t="s">
        <v>1990</v>
      </c>
      <c r="L5167" s="30" t="s">
        <v>251</v>
      </c>
      <c r="N5167" s="30" t="s">
        <v>779</v>
      </c>
      <c r="P5167" s="30" t="s">
        <v>8663</v>
      </c>
      <c r="Q5167" t="s">
        <v>619</v>
      </c>
      <c r="R5167" t="s">
        <v>920</v>
      </c>
      <c r="S5167">
        <v>37</v>
      </c>
      <c r="T5167" s="29" t="str">
        <f t="shared" si="237"/>
        <v>2021.007D.R.Polyomaviridae_2ngen_117rensp.zip</v>
      </c>
      <c r="U5167" s="29" t="str">
        <f>HYPERLINK("https://ictv.global/taxonomy/taxondetails?taxnode_id=202304476","ictv.global=202304476")</f>
        <v>ictv.global=202304476</v>
      </c>
    </row>
    <row r="5168" spans="1:21">
      <c r="A5168">
        <v>5167</v>
      </c>
      <c r="B5168" s="30" t="s">
        <v>1956</v>
      </c>
      <c r="D5168" s="30" t="s">
        <v>1985</v>
      </c>
      <c r="F5168" s="30" t="s">
        <v>1986</v>
      </c>
      <c r="H5168" s="30" t="s">
        <v>1989</v>
      </c>
      <c r="J5168" s="30" t="s">
        <v>1990</v>
      </c>
      <c r="L5168" s="30" t="s">
        <v>251</v>
      </c>
      <c r="N5168" s="30" t="s">
        <v>779</v>
      </c>
      <c r="P5168" s="30" t="s">
        <v>8664</v>
      </c>
      <c r="Q5168" t="s">
        <v>619</v>
      </c>
      <c r="R5168" t="s">
        <v>920</v>
      </c>
      <c r="S5168">
        <v>37</v>
      </c>
      <c r="T5168" s="29" t="str">
        <f t="shared" si="237"/>
        <v>2021.007D.R.Polyomaviridae_2ngen_117rensp.zip</v>
      </c>
      <c r="U5168" s="29" t="str">
        <f>HYPERLINK("https://ictv.global/taxonomy/taxondetails?taxnode_id=202304477","ictv.global=202304477")</f>
        <v>ictv.global=202304477</v>
      </c>
    </row>
    <row r="5169" spans="1:21">
      <c r="A5169">
        <v>5168</v>
      </c>
      <c r="B5169" s="30" t="s">
        <v>1956</v>
      </c>
      <c r="D5169" s="30" t="s">
        <v>1985</v>
      </c>
      <c r="F5169" s="30" t="s">
        <v>1986</v>
      </c>
      <c r="H5169" s="30" t="s">
        <v>1989</v>
      </c>
      <c r="J5169" s="30" t="s">
        <v>1990</v>
      </c>
      <c r="L5169" s="30" t="s">
        <v>251</v>
      </c>
      <c r="N5169" s="30" t="s">
        <v>779</v>
      </c>
      <c r="P5169" s="30" t="s">
        <v>8665</v>
      </c>
      <c r="Q5169" t="s">
        <v>619</v>
      </c>
      <c r="R5169" t="s">
        <v>920</v>
      </c>
      <c r="S5169">
        <v>37</v>
      </c>
      <c r="T5169" s="29" t="str">
        <f t="shared" si="237"/>
        <v>2021.007D.R.Polyomaviridae_2ngen_117rensp.zip</v>
      </c>
      <c r="U5169" s="29" t="str">
        <f>HYPERLINK("https://ictv.global/taxonomy/taxondetails?taxnode_id=202309592","ictv.global=202309592")</f>
        <v>ictv.global=202309592</v>
      </c>
    </row>
    <row r="5170" spans="1:21">
      <c r="A5170">
        <v>5169</v>
      </c>
      <c r="B5170" s="30" t="s">
        <v>1956</v>
      </c>
      <c r="D5170" s="30" t="s">
        <v>1985</v>
      </c>
      <c r="F5170" s="30" t="s">
        <v>1986</v>
      </c>
      <c r="H5170" s="30" t="s">
        <v>1989</v>
      </c>
      <c r="J5170" s="30" t="s">
        <v>1990</v>
      </c>
      <c r="L5170" s="30" t="s">
        <v>251</v>
      </c>
      <c r="N5170" s="30" t="s">
        <v>779</v>
      </c>
      <c r="P5170" s="30" t="s">
        <v>8666</v>
      </c>
      <c r="Q5170" t="s">
        <v>619</v>
      </c>
      <c r="R5170" t="s">
        <v>920</v>
      </c>
      <c r="S5170">
        <v>37</v>
      </c>
      <c r="T5170" s="29" t="str">
        <f t="shared" si="237"/>
        <v>2021.007D.R.Polyomaviridae_2ngen_117rensp.zip</v>
      </c>
      <c r="U5170" s="29" t="str">
        <f>HYPERLINK("https://ictv.global/taxonomy/taxondetails?taxnode_id=202304450","ictv.global=202304450")</f>
        <v>ictv.global=202304450</v>
      </c>
    </row>
    <row r="5171" spans="1:21">
      <c r="A5171">
        <v>5170</v>
      </c>
      <c r="B5171" s="30" t="s">
        <v>1956</v>
      </c>
      <c r="D5171" s="30" t="s">
        <v>1985</v>
      </c>
      <c r="F5171" s="30" t="s">
        <v>1986</v>
      </c>
      <c r="H5171" s="30" t="s">
        <v>1989</v>
      </c>
      <c r="J5171" s="30" t="s">
        <v>1990</v>
      </c>
      <c r="L5171" s="30" t="s">
        <v>251</v>
      </c>
      <c r="N5171" s="30" t="s">
        <v>779</v>
      </c>
      <c r="P5171" s="30" t="s">
        <v>8667</v>
      </c>
      <c r="Q5171" t="s">
        <v>619</v>
      </c>
      <c r="R5171" t="s">
        <v>920</v>
      </c>
      <c r="S5171">
        <v>37</v>
      </c>
      <c r="T5171" s="29" t="str">
        <f t="shared" si="237"/>
        <v>2021.007D.R.Polyomaviridae_2ngen_117rensp.zip</v>
      </c>
      <c r="U5171" s="29" t="str">
        <f>HYPERLINK("https://ictv.global/taxonomy/taxondetails?taxnode_id=202304454","ictv.global=202304454")</f>
        <v>ictv.global=202304454</v>
      </c>
    </row>
    <row r="5172" spans="1:21">
      <c r="A5172">
        <v>5171</v>
      </c>
      <c r="B5172" s="30" t="s">
        <v>1956</v>
      </c>
      <c r="D5172" s="30" t="s">
        <v>1985</v>
      </c>
      <c r="F5172" s="30" t="s">
        <v>1986</v>
      </c>
      <c r="H5172" s="30" t="s">
        <v>1989</v>
      </c>
      <c r="J5172" s="30" t="s">
        <v>1990</v>
      </c>
      <c r="L5172" s="30" t="s">
        <v>251</v>
      </c>
      <c r="N5172" s="30" t="s">
        <v>779</v>
      </c>
      <c r="P5172" s="30" t="s">
        <v>8668</v>
      </c>
      <c r="Q5172" t="s">
        <v>619</v>
      </c>
      <c r="R5172" t="s">
        <v>920</v>
      </c>
      <c r="S5172">
        <v>37</v>
      </c>
      <c r="T5172" s="29" t="str">
        <f t="shared" si="237"/>
        <v>2021.007D.R.Polyomaviridae_2ngen_117rensp.zip</v>
      </c>
      <c r="U5172" s="29" t="str">
        <f>HYPERLINK("https://ictv.global/taxonomy/taxondetails?taxnode_id=202304456","ictv.global=202304456")</f>
        <v>ictv.global=202304456</v>
      </c>
    </row>
    <row r="5173" spans="1:21">
      <c r="A5173">
        <v>5172</v>
      </c>
      <c r="B5173" s="30" t="s">
        <v>1956</v>
      </c>
      <c r="D5173" s="30" t="s">
        <v>1985</v>
      </c>
      <c r="F5173" s="30" t="s">
        <v>1986</v>
      </c>
      <c r="H5173" s="30" t="s">
        <v>1989</v>
      </c>
      <c r="J5173" s="30" t="s">
        <v>1990</v>
      </c>
      <c r="L5173" s="30" t="s">
        <v>251</v>
      </c>
      <c r="N5173" s="30" t="s">
        <v>779</v>
      </c>
      <c r="P5173" s="30" t="s">
        <v>8669</v>
      </c>
      <c r="Q5173" t="s">
        <v>619</v>
      </c>
      <c r="R5173" t="s">
        <v>920</v>
      </c>
      <c r="S5173">
        <v>37</v>
      </c>
      <c r="T5173" s="29" t="str">
        <f t="shared" si="237"/>
        <v>2021.007D.R.Polyomaviridae_2ngen_117rensp.zip</v>
      </c>
      <c r="U5173" s="29" t="str">
        <f>HYPERLINK("https://ictv.global/taxonomy/taxondetails?taxnode_id=202304460","ictv.global=202304460")</f>
        <v>ictv.global=202304460</v>
      </c>
    </row>
    <row r="5174" spans="1:21">
      <c r="A5174">
        <v>5173</v>
      </c>
      <c r="B5174" s="30" t="s">
        <v>1956</v>
      </c>
      <c r="D5174" s="30" t="s">
        <v>1985</v>
      </c>
      <c r="F5174" s="30" t="s">
        <v>1986</v>
      </c>
      <c r="H5174" s="30" t="s">
        <v>1989</v>
      </c>
      <c r="J5174" s="30" t="s">
        <v>1990</v>
      </c>
      <c r="L5174" s="30" t="s">
        <v>251</v>
      </c>
      <c r="N5174" s="30" t="s">
        <v>779</v>
      </c>
      <c r="P5174" s="30" t="s">
        <v>8670</v>
      </c>
      <c r="Q5174" t="s">
        <v>619</v>
      </c>
      <c r="R5174" t="s">
        <v>920</v>
      </c>
      <c r="S5174">
        <v>37</v>
      </c>
      <c r="T5174" s="29" t="str">
        <f t="shared" si="237"/>
        <v>2021.007D.R.Polyomaviridae_2ngen_117rensp.zip</v>
      </c>
      <c r="U5174" s="29" t="str">
        <f>HYPERLINK("https://ictv.global/taxonomy/taxondetails?taxnode_id=202304469","ictv.global=202304469")</f>
        <v>ictv.global=202304469</v>
      </c>
    </row>
    <row r="5175" spans="1:21">
      <c r="A5175">
        <v>5174</v>
      </c>
      <c r="B5175" s="30" t="s">
        <v>1956</v>
      </c>
      <c r="D5175" s="30" t="s">
        <v>1985</v>
      </c>
      <c r="F5175" s="30" t="s">
        <v>1986</v>
      </c>
      <c r="H5175" s="30" t="s">
        <v>1989</v>
      </c>
      <c r="J5175" s="30" t="s">
        <v>1990</v>
      </c>
      <c r="L5175" s="30" t="s">
        <v>251</v>
      </c>
      <c r="N5175" s="30" t="s">
        <v>779</v>
      </c>
      <c r="P5175" s="30" t="s">
        <v>8671</v>
      </c>
      <c r="Q5175" t="s">
        <v>619</v>
      </c>
      <c r="R5175" t="s">
        <v>920</v>
      </c>
      <c r="S5175">
        <v>37</v>
      </c>
      <c r="T5175" s="29" t="str">
        <f t="shared" si="237"/>
        <v>2021.007D.R.Polyomaviridae_2ngen_117rensp.zip</v>
      </c>
      <c r="U5175" s="29" t="str">
        <f>HYPERLINK("https://ictv.global/taxonomy/taxondetails?taxnode_id=202304473","ictv.global=202304473")</f>
        <v>ictv.global=202304473</v>
      </c>
    </row>
    <row r="5176" spans="1:21">
      <c r="A5176">
        <v>5175</v>
      </c>
      <c r="B5176" s="30" t="s">
        <v>1956</v>
      </c>
      <c r="D5176" s="30" t="s">
        <v>1985</v>
      </c>
      <c r="F5176" s="30" t="s">
        <v>1986</v>
      </c>
      <c r="H5176" s="30" t="s">
        <v>1989</v>
      </c>
      <c r="J5176" s="30" t="s">
        <v>1990</v>
      </c>
      <c r="L5176" s="30" t="s">
        <v>251</v>
      </c>
      <c r="N5176" s="30" t="s">
        <v>779</v>
      </c>
      <c r="P5176" s="30" t="s">
        <v>8672</v>
      </c>
      <c r="Q5176" t="s">
        <v>619</v>
      </c>
      <c r="R5176" t="s">
        <v>920</v>
      </c>
      <c r="S5176">
        <v>37</v>
      </c>
      <c r="T5176" s="29" t="str">
        <f t="shared" si="237"/>
        <v>2021.007D.R.Polyomaviridae_2ngen_117rensp.zip</v>
      </c>
      <c r="U5176" s="29" t="str">
        <f>HYPERLINK("https://ictv.global/taxonomy/taxondetails?taxnode_id=202305906","ictv.global=202305906")</f>
        <v>ictv.global=202305906</v>
      </c>
    </row>
    <row r="5177" spans="1:21">
      <c r="A5177">
        <v>5176</v>
      </c>
      <c r="B5177" s="30" t="s">
        <v>1956</v>
      </c>
      <c r="D5177" s="30" t="s">
        <v>1985</v>
      </c>
      <c r="F5177" s="30" t="s">
        <v>1986</v>
      </c>
      <c r="H5177" s="30" t="s">
        <v>1989</v>
      </c>
      <c r="J5177" s="30" t="s">
        <v>1990</v>
      </c>
      <c r="L5177" s="30" t="s">
        <v>251</v>
      </c>
      <c r="N5177" s="30" t="s">
        <v>779</v>
      </c>
      <c r="P5177" s="30" t="s">
        <v>8673</v>
      </c>
      <c r="Q5177" t="s">
        <v>619</v>
      </c>
      <c r="R5177" t="s">
        <v>920</v>
      </c>
      <c r="S5177">
        <v>37</v>
      </c>
      <c r="T5177" s="29" t="str">
        <f t="shared" si="237"/>
        <v>2021.007D.R.Polyomaviridae_2ngen_117rensp.zip</v>
      </c>
      <c r="U5177" s="29" t="str">
        <f>HYPERLINK("https://ictv.global/taxonomy/taxondetails?taxnode_id=202304457","ictv.global=202304457")</f>
        <v>ictv.global=202304457</v>
      </c>
    </row>
    <row r="5178" spans="1:21">
      <c r="A5178">
        <v>5177</v>
      </c>
      <c r="B5178" s="30" t="s">
        <v>1956</v>
      </c>
      <c r="D5178" s="30" t="s">
        <v>1985</v>
      </c>
      <c r="F5178" s="30" t="s">
        <v>1986</v>
      </c>
      <c r="H5178" s="30" t="s">
        <v>1989</v>
      </c>
      <c r="J5178" s="30" t="s">
        <v>1990</v>
      </c>
      <c r="L5178" s="30" t="s">
        <v>251</v>
      </c>
      <c r="N5178" s="30" t="s">
        <v>779</v>
      </c>
      <c r="P5178" s="30" t="s">
        <v>8674</v>
      </c>
      <c r="Q5178" t="s">
        <v>619</v>
      </c>
      <c r="R5178" t="s">
        <v>920</v>
      </c>
      <c r="S5178">
        <v>37</v>
      </c>
      <c r="T5178" s="29" t="str">
        <f t="shared" si="237"/>
        <v>2021.007D.R.Polyomaviridae_2ngen_117rensp.zip</v>
      </c>
      <c r="U5178" s="29" t="str">
        <f>HYPERLINK("https://ictv.global/taxonomy/taxondetails?taxnode_id=202304461","ictv.global=202304461")</f>
        <v>ictv.global=202304461</v>
      </c>
    </row>
    <row r="5179" spans="1:21">
      <c r="A5179">
        <v>5178</v>
      </c>
      <c r="B5179" s="30" t="s">
        <v>1956</v>
      </c>
      <c r="D5179" s="30" t="s">
        <v>1985</v>
      </c>
      <c r="F5179" s="30" t="s">
        <v>1986</v>
      </c>
      <c r="H5179" s="30" t="s">
        <v>1989</v>
      </c>
      <c r="J5179" s="30" t="s">
        <v>1990</v>
      </c>
      <c r="L5179" s="30" t="s">
        <v>251</v>
      </c>
      <c r="N5179" s="30" t="s">
        <v>779</v>
      </c>
      <c r="P5179" s="30" t="s">
        <v>8675</v>
      </c>
      <c r="Q5179" t="s">
        <v>619</v>
      </c>
      <c r="R5179" t="s">
        <v>920</v>
      </c>
      <c r="S5179">
        <v>37</v>
      </c>
      <c r="T5179" s="29" t="str">
        <f t="shared" si="237"/>
        <v>2021.007D.R.Polyomaviridae_2ngen_117rensp.zip</v>
      </c>
      <c r="U5179" s="29" t="str">
        <f>HYPERLINK("https://ictv.global/taxonomy/taxondetails?taxnode_id=202307116","ictv.global=202307116")</f>
        <v>ictv.global=202307116</v>
      </c>
    </row>
    <row r="5180" spans="1:21">
      <c r="A5180">
        <v>5179</v>
      </c>
      <c r="B5180" s="30" t="s">
        <v>1956</v>
      </c>
      <c r="D5180" s="30" t="s">
        <v>1985</v>
      </c>
      <c r="F5180" s="30" t="s">
        <v>1986</v>
      </c>
      <c r="H5180" s="30" t="s">
        <v>1989</v>
      </c>
      <c r="J5180" s="30" t="s">
        <v>1990</v>
      </c>
      <c r="L5180" s="30" t="s">
        <v>251</v>
      </c>
      <c r="N5180" s="30" t="s">
        <v>779</v>
      </c>
      <c r="P5180" s="30" t="s">
        <v>8676</v>
      </c>
      <c r="Q5180" t="s">
        <v>619</v>
      </c>
      <c r="R5180" t="s">
        <v>920</v>
      </c>
      <c r="S5180">
        <v>37</v>
      </c>
      <c r="T5180" s="29" t="str">
        <f t="shared" si="237"/>
        <v>2021.007D.R.Polyomaviridae_2ngen_117rensp.zip</v>
      </c>
      <c r="U5180" s="29" t="str">
        <f>HYPERLINK("https://ictv.global/taxonomy/taxondetails?taxnode_id=202305907","ictv.global=202305907")</f>
        <v>ictv.global=202305907</v>
      </c>
    </row>
    <row r="5181" spans="1:21">
      <c r="A5181">
        <v>5180</v>
      </c>
      <c r="B5181" s="30" t="s">
        <v>1956</v>
      </c>
      <c r="D5181" s="30" t="s">
        <v>1985</v>
      </c>
      <c r="F5181" s="30" t="s">
        <v>1986</v>
      </c>
      <c r="H5181" s="30" t="s">
        <v>1989</v>
      </c>
      <c r="J5181" s="30" t="s">
        <v>1990</v>
      </c>
      <c r="L5181" s="30" t="s">
        <v>251</v>
      </c>
      <c r="N5181" s="30" t="s">
        <v>779</v>
      </c>
      <c r="P5181" s="30" t="s">
        <v>8677</v>
      </c>
      <c r="Q5181" t="s">
        <v>619</v>
      </c>
      <c r="R5181" t="s">
        <v>920</v>
      </c>
      <c r="S5181">
        <v>37</v>
      </c>
      <c r="T5181" s="29" t="str">
        <f t="shared" si="237"/>
        <v>2021.007D.R.Polyomaviridae_2ngen_117rensp.zip</v>
      </c>
      <c r="U5181" s="29" t="str">
        <f>HYPERLINK("https://ictv.global/taxonomy/taxondetails?taxnode_id=202304478","ictv.global=202304478")</f>
        <v>ictv.global=202304478</v>
      </c>
    </row>
    <row r="5182" spans="1:21">
      <c r="A5182">
        <v>5181</v>
      </c>
      <c r="B5182" s="30" t="s">
        <v>1956</v>
      </c>
      <c r="D5182" s="30" t="s">
        <v>1985</v>
      </c>
      <c r="F5182" s="30" t="s">
        <v>1986</v>
      </c>
      <c r="H5182" s="30" t="s">
        <v>1989</v>
      </c>
      <c r="J5182" s="30" t="s">
        <v>1990</v>
      </c>
      <c r="L5182" s="30" t="s">
        <v>251</v>
      </c>
      <c r="N5182" s="30" t="s">
        <v>780</v>
      </c>
      <c r="P5182" s="30" t="s">
        <v>8678</v>
      </c>
      <c r="Q5182" t="s">
        <v>619</v>
      </c>
      <c r="R5182" t="s">
        <v>920</v>
      </c>
      <c r="S5182">
        <v>37</v>
      </c>
      <c r="T5182" s="29" t="str">
        <f t="shared" si="237"/>
        <v>2021.007D.R.Polyomaviridae_2ngen_117rensp.zip</v>
      </c>
      <c r="U5182" s="29" t="str">
        <f>HYPERLINK("https://ictv.global/taxonomy/taxondetails?taxnode_id=202306349","ictv.global=202306349")</f>
        <v>ictv.global=202306349</v>
      </c>
    </row>
    <row r="5183" spans="1:21">
      <c r="A5183">
        <v>5182</v>
      </c>
      <c r="B5183" s="30" t="s">
        <v>1956</v>
      </c>
      <c r="D5183" s="30" t="s">
        <v>1985</v>
      </c>
      <c r="F5183" s="30" t="s">
        <v>1986</v>
      </c>
      <c r="H5183" s="30" t="s">
        <v>1989</v>
      </c>
      <c r="J5183" s="30" t="s">
        <v>1990</v>
      </c>
      <c r="L5183" s="30" t="s">
        <v>251</v>
      </c>
      <c r="N5183" s="30" t="s">
        <v>780</v>
      </c>
      <c r="P5183" s="30" t="s">
        <v>8679</v>
      </c>
      <c r="Q5183" t="s">
        <v>619</v>
      </c>
      <c r="R5183" t="s">
        <v>920</v>
      </c>
      <c r="S5183">
        <v>37</v>
      </c>
      <c r="T5183" s="29" t="str">
        <f t="shared" si="237"/>
        <v>2021.007D.R.Polyomaviridae_2ngen_117rensp.zip</v>
      </c>
      <c r="U5183" s="29" t="str">
        <f>HYPERLINK("https://ictv.global/taxonomy/taxondetails?taxnode_id=202309594","ictv.global=202309594")</f>
        <v>ictv.global=202309594</v>
      </c>
    </row>
    <row r="5184" spans="1:21">
      <c r="A5184">
        <v>5183</v>
      </c>
      <c r="B5184" s="30" t="s">
        <v>1956</v>
      </c>
      <c r="D5184" s="30" t="s">
        <v>1985</v>
      </c>
      <c r="F5184" s="30" t="s">
        <v>1986</v>
      </c>
      <c r="H5184" s="30" t="s">
        <v>1989</v>
      </c>
      <c r="J5184" s="30" t="s">
        <v>1990</v>
      </c>
      <c r="L5184" s="30" t="s">
        <v>251</v>
      </c>
      <c r="N5184" s="30" t="s">
        <v>780</v>
      </c>
      <c r="P5184" s="30" t="s">
        <v>8680</v>
      </c>
      <c r="Q5184" t="s">
        <v>619</v>
      </c>
      <c r="R5184" t="s">
        <v>920</v>
      </c>
      <c r="S5184">
        <v>37</v>
      </c>
      <c r="T5184" s="29" t="str">
        <f t="shared" si="237"/>
        <v>2021.007D.R.Polyomaviridae_2ngen_117rensp.zip</v>
      </c>
      <c r="U5184" s="29" t="str">
        <f>HYPERLINK("https://ictv.global/taxonomy/taxondetails?taxnode_id=202304482","ictv.global=202304482")</f>
        <v>ictv.global=202304482</v>
      </c>
    </row>
    <row r="5185" spans="1:21">
      <c r="A5185">
        <v>5184</v>
      </c>
      <c r="B5185" s="30" t="s">
        <v>1956</v>
      </c>
      <c r="D5185" s="30" t="s">
        <v>1985</v>
      </c>
      <c r="F5185" s="30" t="s">
        <v>1986</v>
      </c>
      <c r="H5185" s="30" t="s">
        <v>1989</v>
      </c>
      <c r="J5185" s="30" t="s">
        <v>1990</v>
      </c>
      <c r="L5185" s="30" t="s">
        <v>251</v>
      </c>
      <c r="N5185" s="30" t="s">
        <v>780</v>
      </c>
      <c r="P5185" s="30" t="s">
        <v>8681</v>
      </c>
      <c r="Q5185" t="s">
        <v>619</v>
      </c>
      <c r="R5185" t="s">
        <v>920</v>
      </c>
      <c r="S5185">
        <v>37</v>
      </c>
      <c r="T5185" s="29" t="str">
        <f t="shared" si="237"/>
        <v>2021.007D.R.Polyomaviridae_2ngen_117rensp.zip</v>
      </c>
      <c r="U5185" s="29" t="str">
        <f>HYPERLINK("https://ictv.global/taxonomy/taxondetails?taxnode_id=202306350","ictv.global=202306350")</f>
        <v>ictv.global=202306350</v>
      </c>
    </row>
    <row r="5186" spans="1:21">
      <c r="A5186">
        <v>5185</v>
      </c>
      <c r="B5186" s="30" t="s">
        <v>1956</v>
      </c>
      <c r="D5186" s="30" t="s">
        <v>1985</v>
      </c>
      <c r="F5186" s="30" t="s">
        <v>1986</v>
      </c>
      <c r="H5186" s="30" t="s">
        <v>1989</v>
      </c>
      <c r="J5186" s="30" t="s">
        <v>1990</v>
      </c>
      <c r="L5186" s="30" t="s">
        <v>251</v>
      </c>
      <c r="N5186" s="30" t="s">
        <v>780</v>
      </c>
      <c r="P5186" s="30" t="s">
        <v>8682</v>
      </c>
      <c r="Q5186" t="s">
        <v>619</v>
      </c>
      <c r="R5186" t="s">
        <v>920</v>
      </c>
      <c r="S5186">
        <v>37</v>
      </c>
      <c r="T5186" s="29" t="str">
        <f t="shared" ref="T5186:T5199" si="238">HYPERLINK("https://ictv.global/ictv/proposals/2021.007D.R.Polyomaviridae_2ngen_117rensp.zip","2021.007D.R.Polyomaviridae_2ngen_117rensp.zip")</f>
        <v>2021.007D.R.Polyomaviridae_2ngen_117rensp.zip</v>
      </c>
      <c r="U5186" s="29" t="str">
        <f>HYPERLINK("https://ictv.global/taxonomy/taxondetails?taxnode_id=202304481","ictv.global=202304481")</f>
        <v>ictv.global=202304481</v>
      </c>
    </row>
    <row r="5187" spans="1:21">
      <c r="A5187">
        <v>5186</v>
      </c>
      <c r="B5187" s="30" t="s">
        <v>1956</v>
      </c>
      <c r="D5187" s="30" t="s">
        <v>1985</v>
      </c>
      <c r="F5187" s="30" t="s">
        <v>1986</v>
      </c>
      <c r="H5187" s="30" t="s">
        <v>1989</v>
      </c>
      <c r="J5187" s="30" t="s">
        <v>1990</v>
      </c>
      <c r="L5187" s="30" t="s">
        <v>251</v>
      </c>
      <c r="N5187" s="30" t="s">
        <v>780</v>
      </c>
      <c r="P5187" s="30" t="s">
        <v>8683</v>
      </c>
      <c r="Q5187" t="s">
        <v>619</v>
      </c>
      <c r="R5187" t="s">
        <v>920</v>
      </c>
      <c r="S5187">
        <v>37</v>
      </c>
      <c r="T5187" s="29" t="str">
        <f t="shared" si="238"/>
        <v>2021.007D.R.Polyomaviridae_2ngen_117rensp.zip</v>
      </c>
      <c r="U5187" s="29" t="str">
        <f>HYPERLINK("https://ictv.global/taxonomy/taxondetails?taxnode_id=202304480","ictv.global=202304480")</f>
        <v>ictv.global=202304480</v>
      </c>
    </row>
    <row r="5188" spans="1:21">
      <c r="A5188">
        <v>5187</v>
      </c>
      <c r="B5188" s="30" t="s">
        <v>1956</v>
      </c>
      <c r="D5188" s="30" t="s">
        <v>1985</v>
      </c>
      <c r="F5188" s="30" t="s">
        <v>1986</v>
      </c>
      <c r="H5188" s="30" t="s">
        <v>1989</v>
      </c>
      <c r="J5188" s="30" t="s">
        <v>1990</v>
      </c>
      <c r="L5188" s="30" t="s">
        <v>251</v>
      </c>
      <c r="N5188" s="30" t="s">
        <v>780</v>
      </c>
      <c r="P5188" s="30" t="s">
        <v>8684</v>
      </c>
      <c r="Q5188" t="s">
        <v>619</v>
      </c>
      <c r="R5188" t="s">
        <v>920</v>
      </c>
      <c r="S5188">
        <v>37</v>
      </c>
      <c r="T5188" s="29" t="str">
        <f t="shared" si="238"/>
        <v>2021.007D.R.Polyomaviridae_2ngen_117rensp.zip</v>
      </c>
      <c r="U5188" s="29" t="str">
        <f>HYPERLINK("https://ictv.global/taxonomy/taxondetails?taxnode_id=202304483","ictv.global=202304483")</f>
        <v>ictv.global=202304483</v>
      </c>
    </row>
    <row r="5189" spans="1:21">
      <c r="A5189">
        <v>5188</v>
      </c>
      <c r="B5189" s="30" t="s">
        <v>1956</v>
      </c>
      <c r="D5189" s="30" t="s">
        <v>1985</v>
      </c>
      <c r="F5189" s="30" t="s">
        <v>1986</v>
      </c>
      <c r="H5189" s="30" t="s">
        <v>1989</v>
      </c>
      <c r="J5189" s="30" t="s">
        <v>1990</v>
      </c>
      <c r="L5189" s="30" t="s">
        <v>251</v>
      </c>
      <c r="N5189" s="30" t="s">
        <v>2515</v>
      </c>
      <c r="P5189" s="30" t="s">
        <v>8685</v>
      </c>
      <c r="Q5189" t="s">
        <v>619</v>
      </c>
      <c r="R5189" t="s">
        <v>920</v>
      </c>
      <c r="S5189">
        <v>37</v>
      </c>
      <c r="T5189" s="29" t="str">
        <f t="shared" si="238"/>
        <v>2021.007D.R.Polyomaviridae_2ngen_117rensp.zip</v>
      </c>
      <c r="U5189" s="29" t="str">
        <f>HYPERLINK("https://ictv.global/taxonomy/taxondetails?taxnode_id=202304493","ictv.global=202304493")</f>
        <v>ictv.global=202304493</v>
      </c>
    </row>
    <row r="5190" spans="1:21">
      <c r="A5190">
        <v>5189</v>
      </c>
      <c r="B5190" s="30" t="s">
        <v>1956</v>
      </c>
      <c r="D5190" s="30" t="s">
        <v>1985</v>
      </c>
      <c r="F5190" s="30" t="s">
        <v>1986</v>
      </c>
      <c r="H5190" s="30" t="s">
        <v>1989</v>
      </c>
      <c r="J5190" s="30" t="s">
        <v>1990</v>
      </c>
      <c r="L5190" s="30" t="s">
        <v>251</v>
      </c>
      <c r="N5190" s="30" t="s">
        <v>2515</v>
      </c>
      <c r="P5190" s="30" t="s">
        <v>8686</v>
      </c>
      <c r="Q5190" t="s">
        <v>619</v>
      </c>
      <c r="R5190" t="s">
        <v>920</v>
      </c>
      <c r="S5190">
        <v>37</v>
      </c>
      <c r="T5190" s="29" t="str">
        <f t="shared" si="238"/>
        <v>2021.007D.R.Polyomaviridae_2ngen_117rensp.zip</v>
      </c>
      <c r="U5190" s="29" t="str">
        <f>HYPERLINK("https://ictv.global/taxonomy/taxondetails?taxnode_id=202309597","ictv.global=202309597")</f>
        <v>ictv.global=202309597</v>
      </c>
    </row>
    <row r="5191" spans="1:21">
      <c r="A5191">
        <v>5190</v>
      </c>
      <c r="B5191" s="30" t="s">
        <v>1956</v>
      </c>
      <c r="D5191" s="30" t="s">
        <v>1985</v>
      </c>
      <c r="F5191" s="30" t="s">
        <v>1986</v>
      </c>
      <c r="H5191" s="30" t="s">
        <v>1989</v>
      </c>
      <c r="J5191" s="30" t="s">
        <v>1990</v>
      </c>
      <c r="L5191" s="30" t="s">
        <v>251</v>
      </c>
      <c r="N5191" s="30" t="s">
        <v>2515</v>
      </c>
      <c r="P5191" s="30" t="s">
        <v>8687</v>
      </c>
      <c r="Q5191" t="s">
        <v>619</v>
      </c>
      <c r="R5191" t="s">
        <v>920</v>
      </c>
      <c r="S5191">
        <v>37</v>
      </c>
      <c r="T5191" s="29" t="str">
        <f t="shared" si="238"/>
        <v>2021.007D.R.Polyomaviridae_2ngen_117rensp.zip</v>
      </c>
      <c r="U5191" s="29" t="str">
        <f>HYPERLINK("https://ictv.global/taxonomy/taxondetails?taxnode_id=202309596","ictv.global=202309596")</f>
        <v>ictv.global=202309596</v>
      </c>
    </row>
    <row r="5192" spans="1:21">
      <c r="A5192">
        <v>5191</v>
      </c>
      <c r="B5192" s="30" t="s">
        <v>1956</v>
      </c>
      <c r="D5192" s="30" t="s">
        <v>1985</v>
      </c>
      <c r="F5192" s="30" t="s">
        <v>1986</v>
      </c>
      <c r="H5192" s="30" t="s">
        <v>1989</v>
      </c>
      <c r="J5192" s="30" t="s">
        <v>1990</v>
      </c>
      <c r="L5192" s="30" t="s">
        <v>251</v>
      </c>
      <c r="N5192" s="30" t="s">
        <v>8688</v>
      </c>
      <c r="P5192" s="30" t="s">
        <v>8689</v>
      </c>
      <c r="Q5192" t="s">
        <v>619</v>
      </c>
      <c r="R5192" t="s">
        <v>918</v>
      </c>
      <c r="S5192">
        <v>37</v>
      </c>
      <c r="T5192" s="29" t="str">
        <f t="shared" si="238"/>
        <v>2021.007D.R.Polyomaviridae_2ngen_117rensp.zip</v>
      </c>
      <c r="U5192" s="29" t="str">
        <f>HYPERLINK("https://ictv.global/taxonomy/taxondetails?taxnode_id=202305910","ictv.global=202305910")</f>
        <v>ictv.global=202305910</v>
      </c>
    </row>
    <row r="5193" spans="1:21">
      <c r="A5193">
        <v>5192</v>
      </c>
      <c r="B5193" s="30" t="s">
        <v>1956</v>
      </c>
      <c r="D5193" s="30" t="s">
        <v>1985</v>
      </c>
      <c r="F5193" s="30" t="s">
        <v>1986</v>
      </c>
      <c r="H5193" s="30" t="s">
        <v>1989</v>
      </c>
      <c r="J5193" s="30" t="s">
        <v>1990</v>
      </c>
      <c r="L5193" s="30" t="s">
        <v>251</v>
      </c>
      <c r="N5193" s="30" t="s">
        <v>781</v>
      </c>
      <c r="P5193" s="30" t="s">
        <v>8690</v>
      </c>
      <c r="Q5193" t="s">
        <v>619</v>
      </c>
      <c r="R5193" t="s">
        <v>920</v>
      </c>
      <c r="S5193">
        <v>37</v>
      </c>
      <c r="T5193" s="29" t="str">
        <f t="shared" si="238"/>
        <v>2021.007D.R.Polyomaviridae_2ngen_117rensp.zip</v>
      </c>
      <c r="U5193" s="29" t="str">
        <f>HYPERLINK("https://ictv.global/taxonomy/taxondetails?taxnode_id=202304485","ictv.global=202304485")</f>
        <v>ictv.global=202304485</v>
      </c>
    </row>
    <row r="5194" spans="1:21">
      <c r="A5194">
        <v>5193</v>
      </c>
      <c r="B5194" s="30" t="s">
        <v>1956</v>
      </c>
      <c r="D5194" s="30" t="s">
        <v>1985</v>
      </c>
      <c r="F5194" s="30" t="s">
        <v>1986</v>
      </c>
      <c r="H5194" s="30" t="s">
        <v>1989</v>
      </c>
      <c r="J5194" s="30" t="s">
        <v>1990</v>
      </c>
      <c r="L5194" s="30" t="s">
        <v>251</v>
      </c>
      <c r="N5194" s="30" t="s">
        <v>781</v>
      </c>
      <c r="P5194" s="30" t="s">
        <v>8691</v>
      </c>
      <c r="Q5194" t="s">
        <v>619</v>
      </c>
      <c r="R5194" t="s">
        <v>920</v>
      </c>
      <c r="S5194">
        <v>37</v>
      </c>
      <c r="T5194" s="29" t="str">
        <f t="shared" si="238"/>
        <v>2021.007D.R.Polyomaviridae_2ngen_117rensp.zip</v>
      </c>
      <c r="U5194" s="29" t="str">
        <f>HYPERLINK("https://ictv.global/taxonomy/taxondetails?taxnode_id=202304486","ictv.global=202304486")</f>
        <v>ictv.global=202304486</v>
      </c>
    </row>
    <row r="5195" spans="1:21">
      <c r="A5195">
        <v>5194</v>
      </c>
      <c r="B5195" s="30" t="s">
        <v>1956</v>
      </c>
      <c r="D5195" s="30" t="s">
        <v>1985</v>
      </c>
      <c r="F5195" s="30" t="s">
        <v>1986</v>
      </c>
      <c r="H5195" s="30" t="s">
        <v>1989</v>
      </c>
      <c r="J5195" s="30" t="s">
        <v>1990</v>
      </c>
      <c r="L5195" s="30" t="s">
        <v>251</v>
      </c>
      <c r="N5195" s="30" t="s">
        <v>781</v>
      </c>
      <c r="P5195" s="30" t="s">
        <v>8692</v>
      </c>
      <c r="Q5195" t="s">
        <v>619</v>
      </c>
      <c r="R5195" t="s">
        <v>920</v>
      </c>
      <c r="S5195">
        <v>37</v>
      </c>
      <c r="T5195" s="29" t="str">
        <f t="shared" si="238"/>
        <v>2021.007D.R.Polyomaviridae_2ngen_117rensp.zip</v>
      </c>
      <c r="U5195" s="29" t="str">
        <f>HYPERLINK("https://ictv.global/taxonomy/taxondetails?taxnode_id=202304487","ictv.global=202304487")</f>
        <v>ictv.global=202304487</v>
      </c>
    </row>
    <row r="5196" spans="1:21">
      <c r="A5196">
        <v>5195</v>
      </c>
      <c r="B5196" s="30" t="s">
        <v>1956</v>
      </c>
      <c r="D5196" s="30" t="s">
        <v>1985</v>
      </c>
      <c r="F5196" s="30" t="s">
        <v>1986</v>
      </c>
      <c r="H5196" s="30" t="s">
        <v>1989</v>
      </c>
      <c r="J5196" s="30" t="s">
        <v>1990</v>
      </c>
      <c r="L5196" s="30" t="s">
        <v>251</v>
      </c>
      <c r="N5196" s="30" t="s">
        <v>781</v>
      </c>
      <c r="P5196" s="30" t="s">
        <v>8693</v>
      </c>
      <c r="Q5196" t="s">
        <v>619</v>
      </c>
      <c r="R5196" t="s">
        <v>920</v>
      </c>
      <c r="S5196">
        <v>37</v>
      </c>
      <c r="T5196" s="29" t="str">
        <f t="shared" si="238"/>
        <v>2021.007D.R.Polyomaviridae_2ngen_117rensp.zip</v>
      </c>
      <c r="U5196" s="29" t="str">
        <f>HYPERLINK("https://ictv.global/taxonomy/taxondetails?taxnode_id=202304488","ictv.global=202304488")</f>
        <v>ictv.global=202304488</v>
      </c>
    </row>
    <row r="5197" spans="1:21">
      <c r="A5197">
        <v>5196</v>
      </c>
      <c r="B5197" s="30" t="s">
        <v>1956</v>
      </c>
      <c r="D5197" s="30" t="s">
        <v>1985</v>
      </c>
      <c r="F5197" s="30" t="s">
        <v>1986</v>
      </c>
      <c r="H5197" s="30" t="s">
        <v>1989</v>
      </c>
      <c r="J5197" s="30" t="s">
        <v>1990</v>
      </c>
      <c r="L5197" s="30" t="s">
        <v>251</v>
      </c>
      <c r="N5197" s="30" t="s">
        <v>781</v>
      </c>
      <c r="P5197" s="30" t="s">
        <v>8694</v>
      </c>
      <c r="Q5197" t="s">
        <v>619</v>
      </c>
      <c r="R5197" t="s">
        <v>920</v>
      </c>
      <c r="S5197">
        <v>37</v>
      </c>
      <c r="T5197" s="29" t="str">
        <f t="shared" si="238"/>
        <v>2021.007D.R.Polyomaviridae_2ngen_117rensp.zip</v>
      </c>
      <c r="U5197" s="29" t="str">
        <f>HYPERLINK("https://ictv.global/taxonomy/taxondetails?taxnode_id=202305908","ictv.global=202305908")</f>
        <v>ictv.global=202305908</v>
      </c>
    </row>
    <row r="5198" spans="1:21">
      <c r="A5198">
        <v>5197</v>
      </c>
      <c r="B5198" s="30" t="s">
        <v>1956</v>
      </c>
      <c r="D5198" s="30" t="s">
        <v>1985</v>
      </c>
      <c r="F5198" s="30" t="s">
        <v>1986</v>
      </c>
      <c r="H5198" s="30" t="s">
        <v>1989</v>
      </c>
      <c r="J5198" s="30" t="s">
        <v>1990</v>
      </c>
      <c r="L5198" s="30" t="s">
        <v>251</v>
      </c>
      <c r="N5198" s="30" t="s">
        <v>781</v>
      </c>
      <c r="P5198" s="30" t="s">
        <v>8695</v>
      </c>
      <c r="Q5198" t="s">
        <v>619</v>
      </c>
      <c r="R5198" t="s">
        <v>920</v>
      </c>
      <c r="S5198">
        <v>37</v>
      </c>
      <c r="T5198" s="29" t="str">
        <f t="shared" si="238"/>
        <v>2021.007D.R.Polyomaviridae_2ngen_117rensp.zip</v>
      </c>
      <c r="U5198" s="29" t="str">
        <f>HYPERLINK("https://ictv.global/taxonomy/taxondetails?taxnode_id=202305909","ictv.global=202305909")</f>
        <v>ictv.global=202305909</v>
      </c>
    </row>
    <row r="5199" spans="1:21">
      <c r="A5199">
        <v>5198</v>
      </c>
      <c r="B5199" s="30" t="s">
        <v>1956</v>
      </c>
      <c r="D5199" s="30" t="s">
        <v>1985</v>
      </c>
      <c r="F5199" s="30" t="s">
        <v>1986</v>
      </c>
      <c r="H5199" s="30" t="s">
        <v>1989</v>
      </c>
      <c r="J5199" s="30" t="s">
        <v>1990</v>
      </c>
      <c r="L5199" s="30" t="s">
        <v>251</v>
      </c>
      <c r="N5199" s="30" t="s">
        <v>781</v>
      </c>
      <c r="P5199" s="30" t="s">
        <v>8696</v>
      </c>
      <c r="Q5199" t="s">
        <v>619</v>
      </c>
      <c r="R5199" t="s">
        <v>920</v>
      </c>
      <c r="S5199">
        <v>37</v>
      </c>
      <c r="T5199" s="29" t="str">
        <f t="shared" si="238"/>
        <v>2021.007D.R.Polyomaviridae_2ngen_117rensp.zip</v>
      </c>
      <c r="U5199" s="29" t="str">
        <f>HYPERLINK("https://ictv.global/taxonomy/taxondetails?taxnode_id=202304489","ictv.global=202304489")</f>
        <v>ictv.global=202304489</v>
      </c>
    </row>
    <row r="5200" spans="1:21">
      <c r="A5200">
        <v>5199</v>
      </c>
      <c r="B5200" s="30" t="s">
        <v>1956</v>
      </c>
      <c r="D5200" s="30" t="s">
        <v>1985</v>
      </c>
      <c r="F5200" s="30" t="s">
        <v>1986</v>
      </c>
      <c r="H5200" s="30" t="s">
        <v>1989</v>
      </c>
      <c r="J5200" s="30" t="s">
        <v>1990</v>
      </c>
      <c r="L5200" s="30" t="s">
        <v>251</v>
      </c>
      <c r="N5200" s="30" t="s">
        <v>781</v>
      </c>
      <c r="P5200" s="30" t="s">
        <v>12741</v>
      </c>
      <c r="Q5200" t="s">
        <v>619</v>
      </c>
      <c r="R5200" t="s">
        <v>917</v>
      </c>
      <c r="S5200">
        <v>39</v>
      </c>
      <c r="T5200" s="29" t="str">
        <f>HYPERLINK("https://ictv.global/ictv/proposals/2023.013D.Polyomaviridae_1nsp.zip","2023.013D.Polyomaviridae_1nsp.zip")</f>
        <v>2023.013D.Polyomaviridae_1nsp.zip</v>
      </c>
      <c r="U5200" s="29" t="str">
        <f>HYPERLINK("https://ictv.global/taxonomy/taxondetails?taxnode_id=202318066","ictv.global=202318066")</f>
        <v>ictv.global=202318066</v>
      </c>
    </row>
    <row r="5201" spans="1:21">
      <c r="A5201">
        <v>5200</v>
      </c>
      <c r="B5201" s="30" t="s">
        <v>1956</v>
      </c>
      <c r="D5201" s="30" t="s">
        <v>1985</v>
      </c>
      <c r="F5201" s="30" t="s">
        <v>1986</v>
      </c>
      <c r="H5201" s="30" t="s">
        <v>1989</v>
      </c>
      <c r="J5201" s="30" t="s">
        <v>1990</v>
      </c>
      <c r="L5201" s="30" t="s">
        <v>251</v>
      </c>
      <c r="N5201" s="30" t="s">
        <v>781</v>
      </c>
      <c r="P5201" s="30" t="s">
        <v>8697</v>
      </c>
      <c r="Q5201" t="s">
        <v>619</v>
      </c>
      <c r="R5201" t="s">
        <v>920</v>
      </c>
      <c r="S5201">
        <v>37</v>
      </c>
      <c r="T5201" s="29" t="str">
        <f t="shared" ref="T5201:T5207" si="239">HYPERLINK("https://ictv.global/ictv/proposals/2021.007D.R.Polyomaviridae_2ngen_117rensp.zip","2021.007D.R.Polyomaviridae_2ngen_117rensp.zip")</f>
        <v>2021.007D.R.Polyomaviridae_2ngen_117rensp.zip</v>
      </c>
      <c r="U5201" s="29" t="str">
        <f>HYPERLINK("https://ictv.global/taxonomy/taxondetails?taxnode_id=202304490","ictv.global=202304490")</f>
        <v>ictv.global=202304490</v>
      </c>
    </row>
    <row r="5202" spans="1:21">
      <c r="A5202">
        <v>5201</v>
      </c>
      <c r="B5202" s="30" t="s">
        <v>1956</v>
      </c>
      <c r="D5202" s="30" t="s">
        <v>1985</v>
      </c>
      <c r="F5202" s="30" t="s">
        <v>1986</v>
      </c>
      <c r="H5202" s="30" t="s">
        <v>1989</v>
      </c>
      <c r="J5202" s="30" t="s">
        <v>1990</v>
      </c>
      <c r="L5202" s="30" t="s">
        <v>251</v>
      </c>
      <c r="N5202" s="30" t="s">
        <v>781</v>
      </c>
      <c r="P5202" s="30" t="s">
        <v>8698</v>
      </c>
      <c r="Q5202" t="s">
        <v>619</v>
      </c>
      <c r="R5202" t="s">
        <v>920</v>
      </c>
      <c r="S5202">
        <v>37</v>
      </c>
      <c r="T5202" s="29" t="str">
        <f t="shared" si="239"/>
        <v>2021.007D.R.Polyomaviridae_2ngen_117rensp.zip</v>
      </c>
      <c r="U5202" s="29" t="str">
        <f>HYPERLINK("https://ictv.global/taxonomy/taxondetails?taxnode_id=202304491","ictv.global=202304491")</f>
        <v>ictv.global=202304491</v>
      </c>
    </row>
    <row r="5203" spans="1:21">
      <c r="A5203">
        <v>5202</v>
      </c>
      <c r="B5203" s="30" t="s">
        <v>1956</v>
      </c>
      <c r="D5203" s="30" t="s">
        <v>1985</v>
      </c>
      <c r="F5203" s="30" t="s">
        <v>1986</v>
      </c>
      <c r="H5203" s="30" t="s">
        <v>1989</v>
      </c>
      <c r="J5203" s="30" t="s">
        <v>1990</v>
      </c>
      <c r="L5203" s="30" t="s">
        <v>251</v>
      </c>
      <c r="N5203" s="30" t="s">
        <v>8699</v>
      </c>
      <c r="P5203" s="30" t="s">
        <v>8700</v>
      </c>
      <c r="Q5203" t="s">
        <v>619</v>
      </c>
      <c r="R5203" t="s">
        <v>918</v>
      </c>
      <c r="S5203">
        <v>37</v>
      </c>
      <c r="T5203" s="29" t="str">
        <f t="shared" si="239"/>
        <v>2021.007D.R.Polyomaviridae_2ngen_117rensp.zip</v>
      </c>
      <c r="U5203" s="29" t="str">
        <f>HYPERLINK("https://ictv.global/taxonomy/taxondetails?taxnode_id=202304494","ictv.global=202304494")</f>
        <v>ictv.global=202304494</v>
      </c>
    </row>
    <row r="5204" spans="1:21">
      <c r="A5204">
        <v>5203</v>
      </c>
      <c r="B5204" s="30" t="s">
        <v>1956</v>
      </c>
      <c r="D5204" s="30" t="s">
        <v>1985</v>
      </c>
      <c r="F5204" s="30" t="s">
        <v>1986</v>
      </c>
      <c r="H5204" s="30" t="s">
        <v>1989</v>
      </c>
      <c r="J5204" s="30" t="s">
        <v>1990</v>
      </c>
      <c r="L5204" s="30" t="s">
        <v>251</v>
      </c>
      <c r="N5204" s="30" t="s">
        <v>8699</v>
      </c>
      <c r="P5204" s="30" t="s">
        <v>8701</v>
      </c>
      <c r="Q5204" t="s">
        <v>619</v>
      </c>
      <c r="R5204" t="s">
        <v>918</v>
      </c>
      <c r="S5204">
        <v>37</v>
      </c>
      <c r="T5204" s="29" t="str">
        <f t="shared" si="239"/>
        <v>2021.007D.R.Polyomaviridae_2ngen_117rensp.zip</v>
      </c>
      <c r="U5204" s="29" t="str">
        <f>HYPERLINK("https://ictv.global/taxonomy/taxondetails?taxnode_id=202306351","ictv.global=202306351")</f>
        <v>ictv.global=202306351</v>
      </c>
    </row>
    <row r="5205" spans="1:21">
      <c r="A5205">
        <v>5204</v>
      </c>
      <c r="B5205" s="30" t="s">
        <v>1956</v>
      </c>
      <c r="D5205" s="30" t="s">
        <v>1985</v>
      </c>
      <c r="F5205" s="30" t="s">
        <v>1986</v>
      </c>
      <c r="H5205" s="30" t="s">
        <v>1989</v>
      </c>
      <c r="J5205" s="30" t="s">
        <v>1990</v>
      </c>
      <c r="L5205" s="30" t="s">
        <v>251</v>
      </c>
      <c r="N5205" s="30" t="s">
        <v>8699</v>
      </c>
      <c r="P5205" s="30" t="s">
        <v>8702</v>
      </c>
      <c r="Q5205" t="s">
        <v>619</v>
      </c>
      <c r="R5205" t="s">
        <v>918</v>
      </c>
      <c r="S5205">
        <v>37</v>
      </c>
      <c r="T5205" s="29" t="str">
        <f t="shared" si="239"/>
        <v>2021.007D.R.Polyomaviridae_2ngen_117rensp.zip</v>
      </c>
      <c r="U5205" s="29" t="str">
        <f>HYPERLINK("https://ictv.global/taxonomy/taxondetails?taxnode_id=202306352","ictv.global=202306352")</f>
        <v>ictv.global=202306352</v>
      </c>
    </row>
    <row r="5206" spans="1:21">
      <c r="A5206">
        <v>5205</v>
      </c>
      <c r="B5206" s="30" t="s">
        <v>1956</v>
      </c>
      <c r="D5206" s="30" t="s">
        <v>1985</v>
      </c>
      <c r="F5206" s="30" t="s">
        <v>1986</v>
      </c>
      <c r="H5206" s="30" t="s">
        <v>1989</v>
      </c>
      <c r="J5206" s="30" t="s">
        <v>1990</v>
      </c>
      <c r="L5206" s="30" t="s">
        <v>251</v>
      </c>
      <c r="N5206" s="30" t="s">
        <v>8699</v>
      </c>
      <c r="P5206" s="30" t="s">
        <v>8703</v>
      </c>
      <c r="Q5206" t="s">
        <v>619</v>
      </c>
      <c r="R5206" t="s">
        <v>918</v>
      </c>
      <c r="S5206">
        <v>37</v>
      </c>
      <c r="T5206" s="29" t="str">
        <f t="shared" si="239"/>
        <v>2021.007D.R.Polyomaviridae_2ngen_117rensp.zip</v>
      </c>
      <c r="U5206" s="29" t="str">
        <f>HYPERLINK("https://ictv.global/taxonomy/taxondetails?taxnode_id=202305911","ictv.global=202305911")</f>
        <v>ictv.global=202305911</v>
      </c>
    </row>
    <row r="5207" spans="1:21">
      <c r="A5207">
        <v>5206</v>
      </c>
      <c r="B5207" s="30" t="s">
        <v>1956</v>
      </c>
      <c r="D5207" s="30" t="s">
        <v>1985</v>
      </c>
      <c r="F5207" s="30" t="s">
        <v>1986</v>
      </c>
      <c r="H5207" s="30" t="s">
        <v>1989</v>
      </c>
      <c r="J5207" s="30" t="s">
        <v>1990</v>
      </c>
      <c r="L5207" s="30" t="s">
        <v>251</v>
      </c>
      <c r="N5207" s="30" t="s">
        <v>2516</v>
      </c>
      <c r="P5207" s="30" t="s">
        <v>8704</v>
      </c>
      <c r="Q5207" t="s">
        <v>619</v>
      </c>
      <c r="R5207" t="s">
        <v>920</v>
      </c>
      <c r="S5207">
        <v>37</v>
      </c>
      <c r="T5207" s="29" t="str">
        <f t="shared" si="239"/>
        <v>2021.007D.R.Polyomaviridae_2ngen_117rensp.zip</v>
      </c>
      <c r="U5207" s="29" t="str">
        <f>HYPERLINK("https://ictv.global/taxonomy/taxondetails?taxnode_id=202304495","ictv.global=202304495")</f>
        <v>ictv.global=202304495</v>
      </c>
    </row>
    <row r="5208" spans="1:21">
      <c r="A5208">
        <v>5207</v>
      </c>
      <c r="B5208" s="30" t="s">
        <v>1956</v>
      </c>
      <c r="D5208" s="30" t="s">
        <v>1985</v>
      </c>
      <c r="F5208" s="30" t="s">
        <v>1986</v>
      </c>
      <c r="H5208" s="30" t="s">
        <v>1989</v>
      </c>
      <c r="J5208" s="30" t="s">
        <v>1991</v>
      </c>
      <c r="L5208" s="30" t="s">
        <v>225</v>
      </c>
      <c r="M5208" s="30" t="s">
        <v>993</v>
      </c>
      <c r="N5208" s="30" t="s">
        <v>226</v>
      </c>
      <c r="P5208" s="30" t="s">
        <v>28</v>
      </c>
      <c r="Q5208" t="s">
        <v>622</v>
      </c>
      <c r="R5208" t="s">
        <v>3894</v>
      </c>
      <c r="S5208">
        <v>36</v>
      </c>
      <c r="T5208" s="29" t="str">
        <f t="shared" ref="T5208:T5218" si="240">HYPERLINK("https://ictv.global/ictv/proposals/2020.001G.R.Abolish_type_species.pdf","2020.001G.R.Abolish_type_species.pdf")</f>
        <v>2020.001G.R.Abolish_type_species.pdf</v>
      </c>
      <c r="U5208" s="29" t="str">
        <f>HYPERLINK("https://ictv.global/taxonomy/taxondetails?taxnode_id=202303974","ictv.global=202303974")</f>
        <v>ictv.global=202303974</v>
      </c>
    </row>
    <row r="5209" spans="1:21">
      <c r="A5209">
        <v>5208</v>
      </c>
      <c r="B5209" s="30" t="s">
        <v>1956</v>
      </c>
      <c r="D5209" s="30" t="s">
        <v>1985</v>
      </c>
      <c r="F5209" s="30" t="s">
        <v>1986</v>
      </c>
      <c r="H5209" s="30" t="s">
        <v>1989</v>
      </c>
      <c r="J5209" s="30" t="s">
        <v>1991</v>
      </c>
      <c r="L5209" s="30" t="s">
        <v>225</v>
      </c>
      <c r="M5209" s="30" t="s">
        <v>993</v>
      </c>
      <c r="N5209" s="30" t="s">
        <v>226</v>
      </c>
      <c r="P5209" s="30" t="s">
        <v>34</v>
      </c>
      <c r="Q5209" t="s">
        <v>622</v>
      </c>
      <c r="R5209" t="s">
        <v>3894</v>
      </c>
      <c r="S5209">
        <v>36</v>
      </c>
      <c r="T5209" s="29" t="str">
        <f t="shared" si="240"/>
        <v>2020.001G.R.Abolish_type_species.pdf</v>
      </c>
      <c r="U5209" s="29" t="str">
        <f>HYPERLINK("https://ictv.global/taxonomy/taxondetails?taxnode_id=202303975","ictv.global=202303975")</f>
        <v>ictv.global=202303975</v>
      </c>
    </row>
    <row r="5210" spans="1:21">
      <c r="A5210">
        <v>5209</v>
      </c>
      <c r="B5210" s="30" t="s">
        <v>1956</v>
      </c>
      <c r="D5210" s="30" t="s">
        <v>1985</v>
      </c>
      <c r="F5210" s="30" t="s">
        <v>1986</v>
      </c>
      <c r="H5210" s="30" t="s">
        <v>1989</v>
      </c>
      <c r="J5210" s="30" t="s">
        <v>1991</v>
      </c>
      <c r="L5210" s="30" t="s">
        <v>225</v>
      </c>
      <c r="M5210" s="30" t="s">
        <v>993</v>
      </c>
      <c r="N5210" s="30" t="s">
        <v>226</v>
      </c>
      <c r="P5210" s="30" t="s">
        <v>35</v>
      </c>
      <c r="Q5210" t="s">
        <v>622</v>
      </c>
      <c r="R5210" t="s">
        <v>3894</v>
      </c>
      <c r="S5210">
        <v>36</v>
      </c>
      <c r="T5210" s="29" t="str">
        <f t="shared" si="240"/>
        <v>2020.001G.R.Abolish_type_species.pdf</v>
      </c>
      <c r="U5210" s="29" t="str">
        <f>HYPERLINK("https://ictv.global/taxonomy/taxondetails?taxnode_id=202303976","ictv.global=202303976")</f>
        <v>ictv.global=202303976</v>
      </c>
    </row>
    <row r="5211" spans="1:21">
      <c r="A5211">
        <v>5210</v>
      </c>
      <c r="B5211" s="30" t="s">
        <v>1956</v>
      </c>
      <c r="D5211" s="30" t="s">
        <v>1985</v>
      </c>
      <c r="F5211" s="30" t="s">
        <v>1986</v>
      </c>
      <c r="H5211" s="30" t="s">
        <v>1989</v>
      </c>
      <c r="J5211" s="30" t="s">
        <v>1991</v>
      </c>
      <c r="L5211" s="30" t="s">
        <v>225</v>
      </c>
      <c r="M5211" s="30" t="s">
        <v>993</v>
      </c>
      <c r="N5211" s="30" t="s">
        <v>226</v>
      </c>
      <c r="P5211" s="30" t="s">
        <v>36</v>
      </c>
      <c r="Q5211" t="s">
        <v>622</v>
      </c>
      <c r="R5211" t="s">
        <v>3894</v>
      </c>
      <c r="S5211">
        <v>36</v>
      </c>
      <c r="T5211" s="29" t="str">
        <f t="shared" si="240"/>
        <v>2020.001G.R.Abolish_type_species.pdf</v>
      </c>
      <c r="U5211" s="29" t="str">
        <f>HYPERLINK("https://ictv.global/taxonomy/taxondetails?taxnode_id=202303977","ictv.global=202303977")</f>
        <v>ictv.global=202303977</v>
      </c>
    </row>
    <row r="5212" spans="1:21">
      <c r="A5212">
        <v>5211</v>
      </c>
      <c r="B5212" s="30" t="s">
        <v>1956</v>
      </c>
      <c r="D5212" s="30" t="s">
        <v>1985</v>
      </c>
      <c r="F5212" s="30" t="s">
        <v>1986</v>
      </c>
      <c r="H5212" s="30" t="s">
        <v>1989</v>
      </c>
      <c r="J5212" s="30" t="s">
        <v>1991</v>
      </c>
      <c r="L5212" s="30" t="s">
        <v>225</v>
      </c>
      <c r="M5212" s="30" t="s">
        <v>993</v>
      </c>
      <c r="N5212" s="30" t="s">
        <v>226</v>
      </c>
      <c r="P5212" s="30" t="s">
        <v>37</v>
      </c>
      <c r="Q5212" t="s">
        <v>622</v>
      </c>
      <c r="R5212" t="s">
        <v>3894</v>
      </c>
      <c r="S5212">
        <v>36</v>
      </c>
      <c r="T5212" s="29" t="str">
        <f t="shared" si="240"/>
        <v>2020.001G.R.Abolish_type_species.pdf</v>
      </c>
      <c r="U5212" s="29" t="str">
        <f>HYPERLINK("https://ictv.global/taxonomy/taxondetails?taxnode_id=202303978","ictv.global=202303978")</f>
        <v>ictv.global=202303978</v>
      </c>
    </row>
    <row r="5213" spans="1:21">
      <c r="A5213">
        <v>5212</v>
      </c>
      <c r="B5213" s="30" t="s">
        <v>1956</v>
      </c>
      <c r="D5213" s="30" t="s">
        <v>1985</v>
      </c>
      <c r="F5213" s="30" t="s">
        <v>1986</v>
      </c>
      <c r="H5213" s="30" t="s">
        <v>1989</v>
      </c>
      <c r="J5213" s="30" t="s">
        <v>1991</v>
      </c>
      <c r="L5213" s="30" t="s">
        <v>225</v>
      </c>
      <c r="M5213" s="30" t="s">
        <v>993</v>
      </c>
      <c r="N5213" s="30" t="s">
        <v>226</v>
      </c>
      <c r="P5213" s="30" t="s">
        <v>38</v>
      </c>
      <c r="Q5213" t="s">
        <v>622</v>
      </c>
      <c r="R5213" t="s">
        <v>3894</v>
      </c>
      <c r="S5213">
        <v>36</v>
      </c>
      <c r="T5213" s="29" t="str">
        <f t="shared" si="240"/>
        <v>2020.001G.R.Abolish_type_species.pdf</v>
      </c>
      <c r="U5213" s="29" t="str">
        <f>HYPERLINK("https://ictv.global/taxonomy/taxondetails?taxnode_id=202303979","ictv.global=202303979")</f>
        <v>ictv.global=202303979</v>
      </c>
    </row>
    <row r="5214" spans="1:21">
      <c r="A5214">
        <v>5213</v>
      </c>
      <c r="B5214" s="30" t="s">
        <v>1956</v>
      </c>
      <c r="D5214" s="30" t="s">
        <v>1985</v>
      </c>
      <c r="F5214" s="30" t="s">
        <v>1986</v>
      </c>
      <c r="H5214" s="30" t="s">
        <v>1989</v>
      </c>
      <c r="J5214" s="30" t="s">
        <v>1991</v>
      </c>
      <c r="L5214" s="30" t="s">
        <v>225</v>
      </c>
      <c r="M5214" s="30" t="s">
        <v>993</v>
      </c>
      <c r="N5214" s="30" t="s">
        <v>226</v>
      </c>
      <c r="P5214" s="30" t="s">
        <v>39</v>
      </c>
      <c r="Q5214" t="s">
        <v>622</v>
      </c>
      <c r="R5214" t="s">
        <v>3894</v>
      </c>
      <c r="S5214">
        <v>36</v>
      </c>
      <c r="T5214" s="29" t="str">
        <f t="shared" si="240"/>
        <v>2020.001G.R.Abolish_type_species.pdf</v>
      </c>
      <c r="U5214" s="29" t="str">
        <f>HYPERLINK("https://ictv.global/taxonomy/taxondetails?taxnode_id=202303980","ictv.global=202303980")</f>
        <v>ictv.global=202303980</v>
      </c>
    </row>
    <row r="5215" spans="1:21">
      <c r="A5215">
        <v>5214</v>
      </c>
      <c r="B5215" s="30" t="s">
        <v>1956</v>
      </c>
      <c r="D5215" s="30" t="s">
        <v>1985</v>
      </c>
      <c r="F5215" s="30" t="s">
        <v>1986</v>
      </c>
      <c r="H5215" s="30" t="s">
        <v>1989</v>
      </c>
      <c r="J5215" s="30" t="s">
        <v>1991</v>
      </c>
      <c r="L5215" s="30" t="s">
        <v>225</v>
      </c>
      <c r="M5215" s="30" t="s">
        <v>993</v>
      </c>
      <c r="N5215" s="30" t="s">
        <v>226</v>
      </c>
      <c r="P5215" s="30" t="s">
        <v>40</v>
      </c>
      <c r="Q5215" t="s">
        <v>622</v>
      </c>
      <c r="R5215" t="s">
        <v>3894</v>
      </c>
      <c r="S5215">
        <v>36</v>
      </c>
      <c r="T5215" s="29" t="str">
        <f t="shared" si="240"/>
        <v>2020.001G.R.Abolish_type_species.pdf</v>
      </c>
      <c r="U5215" s="29" t="str">
        <f>HYPERLINK("https://ictv.global/taxonomy/taxondetails?taxnode_id=202303981","ictv.global=202303981")</f>
        <v>ictv.global=202303981</v>
      </c>
    </row>
    <row r="5216" spans="1:21">
      <c r="A5216">
        <v>5215</v>
      </c>
      <c r="B5216" s="30" t="s">
        <v>1956</v>
      </c>
      <c r="D5216" s="30" t="s">
        <v>1985</v>
      </c>
      <c r="F5216" s="30" t="s">
        <v>1986</v>
      </c>
      <c r="H5216" s="30" t="s">
        <v>1989</v>
      </c>
      <c r="J5216" s="30" t="s">
        <v>1991</v>
      </c>
      <c r="L5216" s="30" t="s">
        <v>225</v>
      </c>
      <c r="M5216" s="30" t="s">
        <v>993</v>
      </c>
      <c r="N5216" s="30" t="s">
        <v>226</v>
      </c>
      <c r="P5216" s="30" t="s">
        <v>41</v>
      </c>
      <c r="Q5216" t="s">
        <v>622</v>
      </c>
      <c r="R5216" t="s">
        <v>3894</v>
      </c>
      <c r="S5216">
        <v>36</v>
      </c>
      <c r="T5216" s="29" t="str">
        <f t="shared" si="240"/>
        <v>2020.001G.R.Abolish_type_species.pdf</v>
      </c>
      <c r="U5216" s="29" t="str">
        <f>HYPERLINK("https://ictv.global/taxonomy/taxondetails?taxnode_id=202303982","ictv.global=202303982")</f>
        <v>ictv.global=202303982</v>
      </c>
    </row>
    <row r="5217" spans="1:21">
      <c r="A5217">
        <v>5216</v>
      </c>
      <c r="B5217" s="30" t="s">
        <v>1956</v>
      </c>
      <c r="D5217" s="30" t="s">
        <v>1985</v>
      </c>
      <c r="F5217" s="30" t="s">
        <v>1986</v>
      </c>
      <c r="H5217" s="30" t="s">
        <v>1989</v>
      </c>
      <c r="J5217" s="30" t="s">
        <v>1991</v>
      </c>
      <c r="L5217" s="30" t="s">
        <v>225</v>
      </c>
      <c r="M5217" s="30" t="s">
        <v>993</v>
      </c>
      <c r="N5217" s="30" t="s">
        <v>226</v>
      </c>
      <c r="P5217" s="30" t="s">
        <v>29</v>
      </c>
      <c r="Q5217" t="s">
        <v>622</v>
      </c>
      <c r="R5217" t="s">
        <v>3894</v>
      </c>
      <c r="S5217">
        <v>36</v>
      </c>
      <c r="T5217" s="29" t="str">
        <f t="shared" si="240"/>
        <v>2020.001G.R.Abolish_type_species.pdf</v>
      </c>
      <c r="U5217" s="29" t="str">
        <f>HYPERLINK("https://ictv.global/taxonomy/taxondetails?taxnode_id=202303983","ictv.global=202303983")</f>
        <v>ictv.global=202303983</v>
      </c>
    </row>
    <row r="5218" spans="1:21">
      <c r="A5218">
        <v>5217</v>
      </c>
      <c r="B5218" s="30" t="s">
        <v>1956</v>
      </c>
      <c r="D5218" s="30" t="s">
        <v>1985</v>
      </c>
      <c r="F5218" s="30" t="s">
        <v>1986</v>
      </c>
      <c r="H5218" s="30" t="s">
        <v>1989</v>
      </c>
      <c r="J5218" s="30" t="s">
        <v>1991</v>
      </c>
      <c r="L5218" s="30" t="s">
        <v>225</v>
      </c>
      <c r="M5218" s="30" t="s">
        <v>993</v>
      </c>
      <c r="N5218" s="30" t="s">
        <v>226</v>
      </c>
      <c r="P5218" s="30" t="s">
        <v>30</v>
      </c>
      <c r="Q5218" t="s">
        <v>622</v>
      </c>
      <c r="R5218" t="s">
        <v>3894</v>
      </c>
      <c r="S5218">
        <v>36</v>
      </c>
      <c r="T5218" s="29" t="str">
        <f t="shared" si="240"/>
        <v>2020.001G.R.Abolish_type_species.pdf</v>
      </c>
      <c r="U5218" s="29" t="str">
        <f>HYPERLINK("https://ictv.global/taxonomy/taxondetails?taxnode_id=202303984","ictv.global=202303984")</f>
        <v>ictv.global=202303984</v>
      </c>
    </row>
    <row r="5219" spans="1:21">
      <c r="A5219">
        <v>5218</v>
      </c>
      <c r="B5219" s="30" t="s">
        <v>1956</v>
      </c>
      <c r="D5219" s="30" t="s">
        <v>1985</v>
      </c>
      <c r="F5219" s="30" t="s">
        <v>1986</v>
      </c>
      <c r="H5219" s="30" t="s">
        <v>1989</v>
      </c>
      <c r="J5219" s="30" t="s">
        <v>1991</v>
      </c>
      <c r="L5219" s="30" t="s">
        <v>225</v>
      </c>
      <c r="M5219" s="30" t="s">
        <v>993</v>
      </c>
      <c r="N5219" s="30" t="s">
        <v>226</v>
      </c>
      <c r="P5219" s="30" t="s">
        <v>31</v>
      </c>
      <c r="Q5219" t="s">
        <v>622</v>
      </c>
      <c r="R5219" t="s">
        <v>919</v>
      </c>
      <c r="S5219">
        <v>35</v>
      </c>
      <c r="T5219" s="29" t="str">
        <f>HYPERLINK("https://ictv.global/ictv/proposals/2019.005G.zip","2019.005G.zip")</f>
        <v>2019.005G.zip</v>
      </c>
      <c r="U5219" s="29" t="str">
        <f>HYPERLINK("https://ictv.global/taxonomy/taxondetails?taxnode_id=202303985","ictv.global=202303985")</f>
        <v>ictv.global=202303985</v>
      </c>
    </row>
    <row r="5220" spans="1:21">
      <c r="A5220">
        <v>5219</v>
      </c>
      <c r="B5220" s="30" t="s">
        <v>1956</v>
      </c>
      <c r="D5220" s="30" t="s">
        <v>1985</v>
      </c>
      <c r="F5220" s="30" t="s">
        <v>1986</v>
      </c>
      <c r="H5220" s="30" t="s">
        <v>1989</v>
      </c>
      <c r="J5220" s="30" t="s">
        <v>1991</v>
      </c>
      <c r="L5220" s="30" t="s">
        <v>225</v>
      </c>
      <c r="M5220" s="30" t="s">
        <v>993</v>
      </c>
      <c r="N5220" s="30" t="s">
        <v>226</v>
      </c>
      <c r="P5220" s="30" t="s">
        <v>32</v>
      </c>
      <c r="Q5220" t="s">
        <v>622</v>
      </c>
      <c r="R5220" t="s">
        <v>3894</v>
      </c>
      <c r="S5220">
        <v>36</v>
      </c>
      <c r="T5220" s="29" t="str">
        <f t="shared" ref="T5220:T5225" si="241">HYPERLINK("https://ictv.global/ictv/proposals/2020.001G.R.Abolish_type_species.pdf","2020.001G.R.Abolish_type_species.pdf")</f>
        <v>2020.001G.R.Abolish_type_species.pdf</v>
      </c>
      <c r="U5220" s="29" t="str">
        <f>HYPERLINK("https://ictv.global/taxonomy/taxondetails?taxnode_id=202303986","ictv.global=202303986")</f>
        <v>ictv.global=202303986</v>
      </c>
    </row>
    <row r="5221" spans="1:21">
      <c r="A5221">
        <v>5220</v>
      </c>
      <c r="B5221" s="30" t="s">
        <v>1956</v>
      </c>
      <c r="D5221" s="30" t="s">
        <v>1985</v>
      </c>
      <c r="F5221" s="30" t="s">
        <v>1986</v>
      </c>
      <c r="H5221" s="30" t="s">
        <v>1989</v>
      </c>
      <c r="J5221" s="30" t="s">
        <v>1991</v>
      </c>
      <c r="L5221" s="30" t="s">
        <v>225</v>
      </c>
      <c r="M5221" s="30" t="s">
        <v>993</v>
      </c>
      <c r="N5221" s="30" t="s">
        <v>226</v>
      </c>
      <c r="P5221" s="30" t="s">
        <v>33</v>
      </c>
      <c r="Q5221" t="s">
        <v>622</v>
      </c>
      <c r="R5221" t="s">
        <v>3894</v>
      </c>
      <c r="S5221">
        <v>36</v>
      </c>
      <c r="T5221" s="29" t="str">
        <f t="shared" si="241"/>
        <v>2020.001G.R.Abolish_type_species.pdf</v>
      </c>
      <c r="U5221" s="29" t="str">
        <f>HYPERLINK("https://ictv.global/taxonomy/taxondetails?taxnode_id=202303987","ictv.global=202303987")</f>
        <v>ictv.global=202303987</v>
      </c>
    </row>
    <row r="5222" spans="1:21">
      <c r="A5222">
        <v>5221</v>
      </c>
      <c r="B5222" s="30" t="s">
        <v>1956</v>
      </c>
      <c r="D5222" s="30" t="s">
        <v>1985</v>
      </c>
      <c r="F5222" s="30" t="s">
        <v>1986</v>
      </c>
      <c r="H5222" s="30" t="s">
        <v>1989</v>
      </c>
      <c r="J5222" s="30" t="s">
        <v>1991</v>
      </c>
      <c r="L5222" s="30" t="s">
        <v>225</v>
      </c>
      <c r="M5222" s="30" t="s">
        <v>993</v>
      </c>
      <c r="N5222" s="30" t="s">
        <v>233</v>
      </c>
      <c r="P5222" s="30" t="s">
        <v>42</v>
      </c>
      <c r="Q5222" t="s">
        <v>622</v>
      </c>
      <c r="R5222" t="s">
        <v>3894</v>
      </c>
      <c r="S5222">
        <v>36</v>
      </c>
      <c r="T5222" s="29" t="str">
        <f t="shared" si="241"/>
        <v>2020.001G.R.Abolish_type_species.pdf</v>
      </c>
      <c r="U5222" s="29" t="str">
        <f>HYPERLINK("https://ictv.global/taxonomy/taxondetails?taxnode_id=202303989","ictv.global=202303989")</f>
        <v>ictv.global=202303989</v>
      </c>
    </row>
    <row r="5223" spans="1:21">
      <c r="A5223">
        <v>5222</v>
      </c>
      <c r="B5223" s="30" t="s">
        <v>1956</v>
      </c>
      <c r="D5223" s="30" t="s">
        <v>1985</v>
      </c>
      <c r="F5223" s="30" t="s">
        <v>1986</v>
      </c>
      <c r="H5223" s="30" t="s">
        <v>1989</v>
      </c>
      <c r="J5223" s="30" t="s">
        <v>1991</v>
      </c>
      <c r="L5223" s="30" t="s">
        <v>225</v>
      </c>
      <c r="M5223" s="30" t="s">
        <v>993</v>
      </c>
      <c r="N5223" s="30" t="s">
        <v>233</v>
      </c>
      <c r="P5223" s="30" t="s">
        <v>43</v>
      </c>
      <c r="Q5223" t="s">
        <v>622</v>
      </c>
      <c r="R5223" t="s">
        <v>3894</v>
      </c>
      <c r="S5223">
        <v>36</v>
      </c>
      <c r="T5223" s="29" t="str">
        <f t="shared" si="241"/>
        <v>2020.001G.R.Abolish_type_species.pdf</v>
      </c>
      <c r="U5223" s="29" t="str">
        <f>HYPERLINK("https://ictv.global/taxonomy/taxondetails?taxnode_id=202303990","ictv.global=202303990")</f>
        <v>ictv.global=202303990</v>
      </c>
    </row>
    <row r="5224" spans="1:21">
      <c r="A5224">
        <v>5223</v>
      </c>
      <c r="B5224" s="30" t="s">
        <v>1956</v>
      </c>
      <c r="D5224" s="30" t="s">
        <v>1985</v>
      </c>
      <c r="F5224" s="30" t="s">
        <v>1986</v>
      </c>
      <c r="H5224" s="30" t="s">
        <v>1989</v>
      </c>
      <c r="J5224" s="30" t="s">
        <v>1991</v>
      </c>
      <c r="L5224" s="30" t="s">
        <v>225</v>
      </c>
      <c r="M5224" s="30" t="s">
        <v>993</v>
      </c>
      <c r="N5224" s="30" t="s">
        <v>233</v>
      </c>
      <c r="P5224" s="30" t="s">
        <v>44</v>
      </c>
      <c r="Q5224" t="s">
        <v>622</v>
      </c>
      <c r="R5224" t="s">
        <v>3894</v>
      </c>
      <c r="S5224">
        <v>36</v>
      </c>
      <c r="T5224" s="29" t="str">
        <f t="shared" si="241"/>
        <v>2020.001G.R.Abolish_type_species.pdf</v>
      </c>
      <c r="U5224" s="29" t="str">
        <f>HYPERLINK("https://ictv.global/taxonomy/taxondetails?taxnode_id=202303991","ictv.global=202303991")</f>
        <v>ictv.global=202303991</v>
      </c>
    </row>
    <row r="5225" spans="1:21">
      <c r="A5225">
        <v>5224</v>
      </c>
      <c r="B5225" s="30" t="s">
        <v>1956</v>
      </c>
      <c r="D5225" s="30" t="s">
        <v>1985</v>
      </c>
      <c r="F5225" s="30" t="s">
        <v>1986</v>
      </c>
      <c r="H5225" s="30" t="s">
        <v>1989</v>
      </c>
      <c r="J5225" s="30" t="s">
        <v>1991</v>
      </c>
      <c r="L5225" s="30" t="s">
        <v>225</v>
      </c>
      <c r="M5225" s="30" t="s">
        <v>993</v>
      </c>
      <c r="N5225" s="30" t="s">
        <v>233</v>
      </c>
      <c r="P5225" s="30" t="s">
        <v>45</v>
      </c>
      <c r="Q5225" t="s">
        <v>622</v>
      </c>
      <c r="R5225" t="s">
        <v>3894</v>
      </c>
      <c r="S5225">
        <v>36</v>
      </c>
      <c r="T5225" s="29" t="str">
        <f t="shared" si="241"/>
        <v>2020.001G.R.Abolish_type_species.pdf</v>
      </c>
      <c r="U5225" s="29" t="str">
        <f>HYPERLINK("https://ictv.global/taxonomy/taxondetails?taxnode_id=202303992","ictv.global=202303992")</f>
        <v>ictv.global=202303992</v>
      </c>
    </row>
    <row r="5226" spans="1:21">
      <c r="A5226">
        <v>5225</v>
      </c>
      <c r="B5226" s="30" t="s">
        <v>1956</v>
      </c>
      <c r="D5226" s="30" t="s">
        <v>1985</v>
      </c>
      <c r="F5226" s="30" t="s">
        <v>1986</v>
      </c>
      <c r="H5226" s="30" t="s">
        <v>1989</v>
      </c>
      <c r="J5226" s="30" t="s">
        <v>1991</v>
      </c>
      <c r="L5226" s="30" t="s">
        <v>225</v>
      </c>
      <c r="M5226" s="30" t="s">
        <v>993</v>
      </c>
      <c r="N5226" s="30" t="s">
        <v>233</v>
      </c>
      <c r="P5226" s="30" t="s">
        <v>46</v>
      </c>
      <c r="Q5226" t="s">
        <v>622</v>
      </c>
      <c r="R5226" t="s">
        <v>919</v>
      </c>
      <c r="S5226">
        <v>35</v>
      </c>
      <c r="T5226" s="29" t="str">
        <f>HYPERLINK("https://ictv.global/ictv/proposals/2019.005G.zip","2019.005G.zip")</f>
        <v>2019.005G.zip</v>
      </c>
      <c r="U5226" s="29" t="str">
        <f>HYPERLINK("https://ictv.global/taxonomy/taxondetails?taxnode_id=202303993","ictv.global=202303993")</f>
        <v>ictv.global=202303993</v>
      </c>
    </row>
    <row r="5227" spans="1:21">
      <c r="A5227">
        <v>5226</v>
      </c>
      <c r="B5227" s="30" t="s">
        <v>1956</v>
      </c>
      <c r="D5227" s="30" t="s">
        <v>1985</v>
      </c>
      <c r="F5227" s="30" t="s">
        <v>1986</v>
      </c>
      <c r="H5227" s="30" t="s">
        <v>1989</v>
      </c>
      <c r="J5227" s="30" t="s">
        <v>1991</v>
      </c>
      <c r="L5227" s="30" t="s">
        <v>225</v>
      </c>
      <c r="M5227" s="30" t="s">
        <v>993</v>
      </c>
      <c r="N5227" s="30" t="s">
        <v>233</v>
      </c>
      <c r="P5227" s="30" t="s">
        <v>47</v>
      </c>
      <c r="Q5227" t="s">
        <v>622</v>
      </c>
      <c r="R5227" t="s">
        <v>919</v>
      </c>
      <c r="S5227">
        <v>35</v>
      </c>
      <c r="T5227" s="29" t="str">
        <f>HYPERLINK("https://ictv.global/ictv/proposals/2019.005G.zip","2019.005G.zip")</f>
        <v>2019.005G.zip</v>
      </c>
      <c r="U5227" s="29" t="str">
        <f>HYPERLINK("https://ictv.global/taxonomy/taxondetails?taxnode_id=202303994","ictv.global=202303994")</f>
        <v>ictv.global=202303994</v>
      </c>
    </row>
    <row r="5228" spans="1:21">
      <c r="A5228">
        <v>5227</v>
      </c>
      <c r="B5228" s="30" t="s">
        <v>1956</v>
      </c>
      <c r="D5228" s="30" t="s">
        <v>1985</v>
      </c>
      <c r="F5228" s="30" t="s">
        <v>1986</v>
      </c>
      <c r="H5228" s="30" t="s">
        <v>1989</v>
      </c>
      <c r="J5228" s="30" t="s">
        <v>1991</v>
      </c>
      <c r="L5228" s="30" t="s">
        <v>225</v>
      </c>
      <c r="M5228" s="30" t="s">
        <v>993</v>
      </c>
      <c r="N5228" s="30" t="s">
        <v>48</v>
      </c>
      <c r="P5228" s="30" t="s">
        <v>49</v>
      </c>
      <c r="Q5228" t="s">
        <v>622</v>
      </c>
      <c r="R5228" t="s">
        <v>3894</v>
      </c>
      <c r="S5228">
        <v>36</v>
      </c>
      <c r="T5228" s="29" t="str">
        <f>HYPERLINK("https://ictv.global/ictv/proposals/2020.001G.R.Abolish_type_species.pdf","2020.001G.R.Abolish_type_species.pdf")</f>
        <v>2020.001G.R.Abolish_type_species.pdf</v>
      </c>
      <c r="U5228" s="29" t="str">
        <f>HYPERLINK("https://ictv.global/taxonomy/taxondetails?taxnode_id=202303996","ictv.global=202303996")</f>
        <v>ictv.global=202303996</v>
      </c>
    </row>
    <row r="5229" spans="1:21">
      <c r="A5229">
        <v>5228</v>
      </c>
      <c r="B5229" s="30" t="s">
        <v>1956</v>
      </c>
      <c r="D5229" s="30" t="s">
        <v>1985</v>
      </c>
      <c r="F5229" s="30" t="s">
        <v>1986</v>
      </c>
      <c r="H5229" s="30" t="s">
        <v>1989</v>
      </c>
      <c r="J5229" s="30" t="s">
        <v>1991</v>
      </c>
      <c r="L5229" s="30" t="s">
        <v>225</v>
      </c>
      <c r="M5229" s="30" t="s">
        <v>993</v>
      </c>
      <c r="N5229" s="30" t="s">
        <v>48</v>
      </c>
      <c r="P5229" s="30" t="s">
        <v>50</v>
      </c>
      <c r="Q5229" t="s">
        <v>622</v>
      </c>
      <c r="R5229" t="s">
        <v>919</v>
      </c>
      <c r="S5229">
        <v>35</v>
      </c>
      <c r="T5229" s="29" t="str">
        <f>HYPERLINK("https://ictv.global/ictv/proposals/2019.005G.zip","2019.005G.zip")</f>
        <v>2019.005G.zip</v>
      </c>
      <c r="U5229" s="29" t="str">
        <f>HYPERLINK("https://ictv.global/taxonomy/taxondetails?taxnode_id=202303997","ictv.global=202303997")</f>
        <v>ictv.global=202303997</v>
      </c>
    </row>
    <row r="5230" spans="1:21">
      <c r="A5230">
        <v>5229</v>
      </c>
      <c r="B5230" s="30" t="s">
        <v>1956</v>
      </c>
      <c r="D5230" s="30" t="s">
        <v>1985</v>
      </c>
      <c r="F5230" s="30" t="s">
        <v>1986</v>
      </c>
      <c r="H5230" s="30" t="s">
        <v>1989</v>
      </c>
      <c r="J5230" s="30" t="s">
        <v>1991</v>
      </c>
      <c r="L5230" s="30" t="s">
        <v>225</v>
      </c>
      <c r="M5230" s="30" t="s">
        <v>993</v>
      </c>
      <c r="N5230" s="30" t="s">
        <v>48</v>
      </c>
      <c r="P5230" s="30" t="s">
        <v>556</v>
      </c>
      <c r="Q5230" t="s">
        <v>622</v>
      </c>
      <c r="R5230" t="s">
        <v>919</v>
      </c>
      <c r="S5230">
        <v>35</v>
      </c>
      <c r="T5230" s="29" t="str">
        <f>HYPERLINK("https://ictv.global/ictv/proposals/2019.005G.zip","2019.005G.zip")</f>
        <v>2019.005G.zip</v>
      </c>
      <c r="U5230" s="29" t="str">
        <f>HYPERLINK("https://ictv.global/taxonomy/taxondetails?taxnode_id=202303998","ictv.global=202303998")</f>
        <v>ictv.global=202303998</v>
      </c>
    </row>
    <row r="5231" spans="1:21">
      <c r="A5231">
        <v>5230</v>
      </c>
      <c r="B5231" s="30" t="s">
        <v>1956</v>
      </c>
      <c r="D5231" s="30" t="s">
        <v>1985</v>
      </c>
      <c r="F5231" s="30" t="s">
        <v>1986</v>
      </c>
      <c r="H5231" s="30" t="s">
        <v>1989</v>
      </c>
      <c r="J5231" s="30" t="s">
        <v>1991</v>
      </c>
      <c r="L5231" s="30" t="s">
        <v>225</v>
      </c>
      <c r="M5231" s="30" t="s">
        <v>993</v>
      </c>
      <c r="N5231" s="30" t="s">
        <v>443</v>
      </c>
      <c r="P5231" s="30" t="s">
        <v>51</v>
      </c>
      <c r="Q5231" t="s">
        <v>622</v>
      </c>
      <c r="R5231" t="s">
        <v>3894</v>
      </c>
      <c r="S5231">
        <v>36</v>
      </c>
      <c r="T5231" s="29" t="str">
        <f>HYPERLINK("https://ictv.global/ictv/proposals/2020.001G.R.Abolish_type_species.pdf","2020.001G.R.Abolish_type_species.pdf")</f>
        <v>2020.001G.R.Abolish_type_species.pdf</v>
      </c>
      <c r="U5231" s="29" t="str">
        <f>HYPERLINK("https://ictv.global/taxonomy/taxondetails?taxnode_id=202304000","ictv.global=202304000")</f>
        <v>ictv.global=202304000</v>
      </c>
    </row>
    <row r="5232" spans="1:21">
      <c r="A5232">
        <v>5231</v>
      </c>
      <c r="B5232" s="30" t="s">
        <v>1956</v>
      </c>
      <c r="D5232" s="30" t="s">
        <v>1985</v>
      </c>
      <c r="F5232" s="30" t="s">
        <v>1986</v>
      </c>
      <c r="H5232" s="30" t="s">
        <v>1989</v>
      </c>
      <c r="J5232" s="30" t="s">
        <v>1991</v>
      </c>
      <c r="L5232" s="30" t="s">
        <v>225</v>
      </c>
      <c r="M5232" s="30" t="s">
        <v>993</v>
      </c>
      <c r="N5232" s="30" t="s">
        <v>443</v>
      </c>
      <c r="P5232" s="30" t="s">
        <v>52</v>
      </c>
      <c r="Q5232" t="s">
        <v>622</v>
      </c>
      <c r="R5232" t="s">
        <v>919</v>
      </c>
      <c r="S5232">
        <v>35</v>
      </c>
      <c r="T5232" s="29" t="str">
        <f>HYPERLINK("https://ictv.global/ictv/proposals/2019.005G.zip","2019.005G.zip")</f>
        <v>2019.005G.zip</v>
      </c>
      <c r="U5232" s="29" t="str">
        <f>HYPERLINK("https://ictv.global/taxonomy/taxondetails?taxnode_id=202304001","ictv.global=202304001")</f>
        <v>ictv.global=202304001</v>
      </c>
    </row>
    <row r="5233" spans="1:21">
      <c r="A5233">
        <v>5232</v>
      </c>
      <c r="B5233" s="30" t="s">
        <v>1956</v>
      </c>
      <c r="D5233" s="30" t="s">
        <v>1985</v>
      </c>
      <c r="F5233" s="30" t="s">
        <v>1986</v>
      </c>
      <c r="H5233" s="30" t="s">
        <v>1989</v>
      </c>
      <c r="J5233" s="30" t="s">
        <v>1991</v>
      </c>
      <c r="L5233" s="30" t="s">
        <v>225</v>
      </c>
      <c r="M5233" s="30" t="s">
        <v>993</v>
      </c>
      <c r="N5233" s="30" t="s">
        <v>443</v>
      </c>
      <c r="P5233" s="30" t="s">
        <v>53</v>
      </c>
      <c r="Q5233" t="s">
        <v>622</v>
      </c>
      <c r="R5233" t="s">
        <v>919</v>
      </c>
      <c r="S5233">
        <v>35</v>
      </c>
      <c r="T5233" s="29" t="str">
        <f>HYPERLINK("https://ictv.global/ictv/proposals/2019.005G.zip","2019.005G.zip")</f>
        <v>2019.005G.zip</v>
      </c>
      <c r="U5233" s="29" t="str">
        <f>HYPERLINK("https://ictv.global/taxonomy/taxondetails?taxnode_id=202304002","ictv.global=202304002")</f>
        <v>ictv.global=202304002</v>
      </c>
    </row>
    <row r="5234" spans="1:21">
      <c r="A5234">
        <v>5233</v>
      </c>
      <c r="B5234" s="30" t="s">
        <v>1956</v>
      </c>
      <c r="D5234" s="30" t="s">
        <v>1985</v>
      </c>
      <c r="F5234" s="30" t="s">
        <v>1986</v>
      </c>
      <c r="H5234" s="30" t="s">
        <v>1989</v>
      </c>
      <c r="J5234" s="30" t="s">
        <v>1991</v>
      </c>
      <c r="L5234" s="30" t="s">
        <v>225</v>
      </c>
      <c r="M5234" s="30" t="s">
        <v>993</v>
      </c>
      <c r="N5234" s="30" t="s">
        <v>443</v>
      </c>
      <c r="P5234" s="30" t="s">
        <v>54</v>
      </c>
      <c r="Q5234" t="s">
        <v>622</v>
      </c>
      <c r="R5234" t="s">
        <v>3894</v>
      </c>
      <c r="S5234">
        <v>36</v>
      </c>
      <c r="T5234" s="29" t="str">
        <f>HYPERLINK("https://ictv.global/ictv/proposals/2020.001G.R.Abolish_type_species.pdf","2020.001G.R.Abolish_type_species.pdf")</f>
        <v>2020.001G.R.Abolish_type_species.pdf</v>
      </c>
      <c r="U5234" s="29" t="str">
        <f>HYPERLINK("https://ictv.global/taxonomy/taxondetails?taxnode_id=202304003","ictv.global=202304003")</f>
        <v>ictv.global=202304003</v>
      </c>
    </row>
    <row r="5235" spans="1:21">
      <c r="A5235">
        <v>5234</v>
      </c>
      <c r="B5235" s="30" t="s">
        <v>1956</v>
      </c>
      <c r="D5235" s="30" t="s">
        <v>1985</v>
      </c>
      <c r="F5235" s="30" t="s">
        <v>1986</v>
      </c>
      <c r="H5235" s="30" t="s">
        <v>1989</v>
      </c>
      <c r="J5235" s="30" t="s">
        <v>1991</v>
      </c>
      <c r="L5235" s="30" t="s">
        <v>225</v>
      </c>
      <c r="M5235" s="30" t="s">
        <v>993</v>
      </c>
      <c r="N5235" s="30" t="s">
        <v>443</v>
      </c>
      <c r="P5235" s="30" t="s">
        <v>55</v>
      </c>
      <c r="Q5235" t="s">
        <v>622</v>
      </c>
      <c r="R5235" t="s">
        <v>919</v>
      </c>
      <c r="S5235">
        <v>35</v>
      </c>
      <c r="T5235" s="29" t="str">
        <f>HYPERLINK("https://ictv.global/ictv/proposals/2019.005G.zip","2019.005G.zip")</f>
        <v>2019.005G.zip</v>
      </c>
      <c r="U5235" s="29" t="str">
        <f>HYPERLINK("https://ictv.global/taxonomy/taxondetails?taxnode_id=202304004","ictv.global=202304004")</f>
        <v>ictv.global=202304004</v>
      </c>
    </row>
    <row r="5236" spans="1:21">
      <c r="A5236">
        <v>5235</v>
      </c>
      <c r="B5236" s="30" t="s">
        <v>1956</v>
      </c>
      <c r="D5236" s="30" t="s">
        <v>1985</v>
      </c>
      <c r="F5236" s="30" t="s">
        <v>1986</v>
      </c>
      <c r="H5236" s="30" t="s">
        <v>1989</v>
      </c>
      <c r="J5236" s="30" t="s">
        <v>1991</v>
      </c>
      <c r="L5236" s="30" t="s">
        <v>225</v>
      </c>
      <c r="M5236" s="30" t="s">
        <v>993</v>
      </c>
      <c r="N5236" s="30" t="s">
        <v>443</v>
      </c>
      <c r="P5236" s="30" t="s">
        <v>557</v>
      </c>
      <c r="Q5236" t="s">
        <v>622</v>
      </c>
      <c r="R5236" t="s">
        <v>919</v>
      </c>
      <c r="S5236">
        <v>35</v>
      </c>
      <c r="T5236" s="29" t="str">
        <f>HYPERLINK("https://ictv.global/ictv/proposals/2019.005G.zip","2019.005G.zip")</f>
        <v>2019.005G.zip</v>
      </c>
      <c r="U5236" s="29" t="str">
        <f>HYPERLINK("https://ictv.global/taxonomy/taxondetails?taxnode_id=202304005","ictv.global=202304005")</f>
        <v>ictv.global=202304005</v>
      </c>
    </row>
    <row r="5237" spans="1:21">
      <c r="A5237">
        <v>5236</v>
      </c>
      <c r="B5237" s="30" t="s">
        <v>1956</v>
      </c>
      <c r="D5237" s="30" t="s">
        <v>1985</v>
      </c>
      <c r="F5237" s="30" t="s">
        <v>1986</v>
      </c>
      <c r="H5237" s="30" t="s">
        <v>1989</v>
      </c>
      <c r="J5237" s="30" t="s">
        <v>1991</v>
      </c>
      <c r="L5237" s="30" t="s">
        <v>225</v>
      </c>
      <c r="M5237" s="30" t="s">
        <v>993</v>
      </c>
      <c r="N5237" s="30" t="s">
        <v>443</v>
      </c>
      <c r="P5237" s="30" t="s">
        <v>994</v>
      </c>
      <c r="Q5237" t="s">
        <v>622</v>
      </c>
      <c r="R5237" t="s">
        <v>919</v>
      </c>
      <c r="S5237">
        <v>35</v>
      </c>
      <c r="T5237" s="29" t="str">
        <f>HYPERLINK("https://ictv.global/ictv/proposals/2019.005G.zip","2019.005G.zip")</f>
        <v>2019.005G.zip</v>
      </c>
      <c r="U5237" s="29" t="str">
        <f>HYPERLINK("https://ictv.global/taxonomy/taxondetails?taxnode_id=202305864","ictv.global=202305864")</f>
        <v>ictv.global=202305864</v>
      </c>
    </row>
    <row r="5238" spans="1:21">
      <c r="A5238">
        <v>5237</v>
      </c>
      <c r="B5238" s="30" t="s">
        <v>1956</v>
      </c>
      <c r="D5238" s="30" t="s">
        <v>1985</v>
      </c>
      <c r="F5238" s="30" t="s">
        <v>1986</v>
      </c>
      <c r="H5238" s="30" t="s">
        <v>1989</v>
      </c>
      <c r="J5238" s="30" t="s">
        <v>1991</v>
      </c>
      <c r="L5238" s="30" t="s">
        <v>225</v>
      </c>
      <c r="M5238" s="30" t="s">
        <v>993</v>
      </c>
      <c r="N5238" s="30" t="s">
        <v>744</v>
      </c>
      <c r="P5238" s="30" t="s">
        <v>745</v>
      </c>
      <c r="Q5238" t="s">
        <v>622</v>
      </c>
      <c r="R5238" t="s">
        <v>3894</v>
      </c>
      <c r="S5238">
        <v>36</v>
      </c>
      <c r="T5238" s="29" t="str">
        <f>HYPERLINK("https://ictv.global/ictv/proposals/2020.001G.R.Abolish_type_species.pdf","2020.001G.R.Abolish_type_species.pdf")</f>
        <v>2020.001G.R.Abolish_type_species.pdf</v>
      </c>
      <c r="U5238" s="29" t="str">
        <f>HYPERLINK("https://ictv.global/taxonomy/taxondetails?taxnode_id=202304007","ictv.global=202304007")</f>
        <v>ictv.global=202304007</v>
      </c>
    </row>
    <row r="5239" spans="1:21">
      <c r="A5239">
        <v>5238</v>
      </c>
      <c r="B5239" s="30" t="s">
        <v>1956</v>
      </c>
      <c r="D5239" s="30" t="s">
        <v>1985</v>
      </c>
      <c r="F5239" s="30" t="s">
        <v>1986</v>
      </c>
      <c r="H5239" s="30" t="s">
        <v>1989</v>
      </c>
      <c r="J5239" s="30" t="s">
        <v>1991</v>
      </c>
      <c r="L5239" s="30" t="s">
        <v>225</v>
      </c>
      <c r="M5239" s="30" t="s">
        <v>993</v>
      </c>
      <c r="N5239" s="30" t="s">
        <v>56</v>
      </c>
      <c r="P5239" s="30" t="s">
        <v>57</v>
      </c>
      <c r="Q5239" t="s">
        <v>622</v>
      </c>
      <c r="R5239" t="s">
        <v>3894</v>
      </c>
      <c r="S5239">
        <v>36</v>
      </c>
      <c r="T5239" s="29" t="str">
        <f>HYPERLINK("https://ictv.global/ictv/proposals/2020.001G.R.Abolish_type_species.pdf","2020.001G.R.Abolish_type_species.pdf")</f>
        <v>2020.001G.R.Abolish_type_species.pdf</v>
      </c>
      <c r="U5239" s="29" t="str">
        <f>HYPERLINK("https://ictv.global/taxonomy/taxondetails?taxnode_id=202304009","ictv.global=202304009")</f>
        <v>ictv.global=202304009</v>
      </c>
    </row>
    <row r="5240" spans="1:21">
      <c r="A5240">
        <v>5239</v>
      </c>
      <c r="B5240" s="30" t="s">
        <v>1956</v>
      </c>
      <c r="D5240" s="30" t="s">
        <v>1985</v>
      </c>
      <c r="F5240" s="30" t="s">
        <v>1986</v>
      </c>
      <c r="H5240" s="30" t="s">
        <v>1989</v>
      </c>
      <c r="J5240" s="30" t="s">
        <v>1991</v>
      </c>
      <c r="L5240" s="30" t="s">
        <v>225</v>
      </c>
      <c r="M5240" s="30" t="s">
        <v>993</v>
      </c>
      <c r="N5240" s="30" t="s">
        <v>58</v>
      </c>
      <c r="P5240" s="30" t="s">
        <v>59</v>
      </c>
      <c r="Q5240" t="s">
        <v>622</v>
      </c>
      <c r="R5240" t="s">
        <v>3894</v>
      </c>
      <c r="S5240">
        <v>36</v>
      </c>
      <c r="T5240" s="29" t="str">
        <f>HYPERLINK("https://ictv.global/ictv/proposals/2020.001G.R.Abolish_type_species.pdf","2020.001G.R.Abolish_type_species.pdf")</f>
        <v>2020.001G.R.Abolish_type_species.pdf</v>
      </c>
      <c r="U5240" s="29" t="str">
        <f>HYPERLINK("https://ictv.global/taxonomy/taxondetails?taxnode_id=202304011","ictv.global=202304011")</f>
        <v>ictv.global=202304011</v>
      </c>
    </row>
    <row r="5241" spans="1:21">
      <c r="A5241">
        <v>5240</v>
      </c>
      <c r="B5241" s="30" t="s">
        <v>1956</v>
      </c>
      <c r="D5241" s="30" t="s">
        <v>1985</v>
      </c>
      <c r="F5241" s="30" t="s">
        <v>1986</v>
      </c>
      <c r="H5241" s="30" t="s">
        <v>1989</v>
      </c>
      <c r="J5241" s="30" t="s">
        <v>1991</v>
      </c>
      <c r="L5241" s="30" t="s">
        <v>225</v>
      </c>
      <c r="M5241" s="30" t="s">
        <v>993</v>
      </c>
      <c r="N5241" s="30" t="s">
        <v>60</v>
      </c>
      <c r="P5241" s="30" t="s">
        <v>61</v>
      </c>
      <c r="Q5241" t="s">
        <v>622</v>
      </c>
      <c r="R5241" t="s">
        <v>3894</v>
      </c>
      <c r="S5241">
        <v>36</v>
      </c>
      <c r="T5241" s="29" t="str">
        <f>HYPERLINK("https://ictv.global/ictv/proposals/2020.001G.R.Abolish_type_species.pdf","2020.001G.R.Abolish_type_species.pdf")</f>
        <v>2020.001G.R.Abolish_type_species.pdf</v>
      </c>
      <c r="U5241" s="29" t="str">
        <f>HYPERLINK("https://ictv.global/taxonomy/taxondetails?taxnode_id=202304013","ictv.global=202304013")</f>
        <v>ictv.global=202304013</v>
      </c>
    </row>
    <row r="5242" spans="1:21">
      <c r="A5242">
        <v>5241</v>
      </c>
      <c r="B5242" s="30" t="s">
        <v>1956</v>
      </c>
      <c r="D5242" s="30" t="s">
        <v>1985</v>
      </c>
      <c r="F5242" s="30" t="s">
        <v>1986</v>
      </c>
      <c r="H5242" s="30" t="s">
        <v>1989</v>
      </c>
      <c r="J5242" s="30" t="s">
        <v>1991</v>
      </c>
      <c r="L5242" s="30" t="s">
        <v>225</v>
      </c>
      <c r="M5242" s="30" t="s">
        <v>993</v>
      </c>
      <c r="N5242" s="30" t="s">
        <v>62</v>
      </c>
      <c r="P5242" s="30" t="s">
        <v>63</v>
      </c>
      <c r="Q5242" t="s">
        <v>622</v>
      </c>
      <c r="R5242" t="s">
        <v>3894</v>
      </c>
      <c r="S5242">
        <v>36</v>
      </c>
      <c r="T5242" s="29" t="str">
        <f>HYPERLINK("https://ictv.global/ictv/proposals/2020.001G.R.Abolish_type_species.pdf","2020.001G.R.Abolish_type_species.pdf")</f>
        <v>2020.001G.R.Abolish_type_species.pdf</v>
      </c>
      <c r="U5242" s="29" t="str">
        <f>HYPERLINK("https://ictv.global/taxonomy/taxondetails?taxnode_id=202304015","ictv.global=202304015")</f>
        <v>ictv.global=202304015</v>
      </c>
    </row>
    <row r="5243" spans="1:21">
      <c r="A5243">
        <v>5242</v>
      </c>
      <c r="B5243" s="30" t="s">
        <v>1956</v>
      </c>
      <c r="D5243" s="30" t="s">
        <v>1985</v>
      </c>
      <c r="F5243" s="30" t="s">
        <v>1986</v>
      </c>
      <c r="H5243" s="30" t="s">
        <v>1989</v>
      </c>
      <c r="J5243" s="30" t="s">
        <v>1991</v>
      </c>
      <c r="L5243" s="30" t="s">
        <v>225</v>
      </c>
      <c r="M5243" s="30" t="s">
        <v>993</v>
      </c>
      <c r="N5243" s="30" t="s">
        <v>62</v>
      </c>
      <c r="P5243" s="30" t="s">
        <v>558</v>
      </c>
      <c r="Q5243" t="s">
        <v>622</v>
      </c>
      <c r="R5243" t="s">
        <v>919</v>
      </c>
      <c r="S5243">
        <v>35</v>
      </c>
      <c r="T5243" s="29" t="str">
        <f>HYPERLINK("https://ictv.global/ictv/proposals/2019.005G.zip","2019.005G.zip")</f>
        <v>2019.005G.zip</v>
      </c>
      <c r="U5243" s="29" t="str">
        <f>HYPERLINK("https://ictv.global/taxonomy/taxondetails?taxnode_id=202304016","ictv.global=202304016")</f>
        <v>ictv.global=202304016</v>
      </c>
    </row>
    <row r="5244" spans="1:21">
      <c r="A5244">
        <v>5243</v>
      </c>
      <c r="B5244" s="30" t="s">
        <v>1956</v>
      </c>
      <c r="D5244" s="30" t="s">
        <v>1985</v>
      </c>
      <c r="F5244" s="30" t="s">
        <v>1986</v>
      </c>
      <c r="H5244" s="30" t="s">
        <v>1989</v>
      </c>
      <c r="J5244" s="30" t="s">
        <v>1991</v>
      </c>
      <c r="L5244" s="30" t="s">
        <v>225</v>
      </c>
      <c r="M5244" s="30" t="s">
        <v>993</v>
      </c>
      <c r="N5244" s="30" t="s">
        <v>559</v>
      </c>
      <c r="P5244" s="30" t="s">
        <v>560</v>
      </c>
      <c r="Q5244" t="s">
        <v>622</v>
      </c>
      <c r="R5244" t="s">
        <v>3894</v>
      </c>
      <c r="S5244">
        <v>36</v>
      </c>
      <c r="T5244" s="29" t="str">
        <f>HYPERLINK("https://ictv.global/ictv/proposals/2020.001G.R.Abolish_type_species.pdf","2020.001G.R.Abolish_type_species.pdf")</f>
        <v>2020.001G.R.Abolish_type_species.pdf</v>
      </c>
      <c r="U5244" s="29" t="str">
        <f>HYPERLINK("https://ictv.global/taxonomy/taxondetails?taxnode_id=202304018","ictv.global=202304018")</f>
        <v>ictv.global=202304018</v>
      </c>
    </row>
    <row r="5245" spans="1:21">
      <c r="A5245">
        <v>5244</v>
      </c>
      <c r="B5245" s="30" t="s">
        <v>1956</v>
      </c>
      <c r="D5245" s="30" t="s">
        <v>1985</v>
      </c>
      <c r="F5245" s="30" t="s">
        <v>1986</v>
      </c>
      <c r="H5245" s="30" t="s">
        <v>1989</v>
      </c>
      <c r="J5245" s="30" t="s">
        <v>1991</v>
      </c>
      <c r="L5245" s="30" t="s">
        <v>225</v>
      </c>
      <c r="M5245" s="30" t="s">
        <v>993</v>
      </c>
      <c r="N5245" s="30" t="s">
        <v>559</v>
      </c>
      <c r="P5245" s="30" t="s">
        <v>746</v>
      </c>
      <c r="Q5245" t="s">
        <v>622</v>
      </c>
      <c r="R5245" t="s">
        <v>919</v>
      </c>
      <c r="S5245">
        <v>35</v>
      </c>
      <c r="T5245" s="29" t="str">
        <f>HYPERLINK("https://ictv.global/ictv/proposals/2019.005G.zip","2019.005G.zip")</f>
        <v>2019.005G.zip</v>
      </c>
      <c r="U5245" s="29" t="str">
        <f>HYPERLINK("https://ictv.global/taxonomy/taxondetails?taxnode_id=202304019","ictv.global=202304019")</f>
        <v>ictv.global=202304019</v>
      </c>
    </row>
    <row r="5246" spans="1:21">
      <c r="A5246">
        <v>5245</v>
      </c>
      <c r="B5246" s="30" t="s">
        <v>1956</v>
      </c>
      <c r="D5246" s="30" t="s">
        <v>1985</v>
      </c>
      <c r="F5246" s="30" t="s">
        <v>1986</v>
      </c>
      <c r="H5246" s="30" t="s">
        <v>1989</v>
      </c>
      <c r="J5246" s="30" t="s">
        <v>1991</v>
      </c>
      <c r="L5246" s="30" t="s">
        <v>225</v>
      </c>
      <c r="M5246" s="30" t="s">
        <v>993</v>
      </c>
      <c r="N5246" s="30" t="s">
        <v>559</v>
      </c>
      <c r="P5246" s="30" t="s">
        <v>995</v>
      </c>
      <c r="Q5246" t="s">
        <v>622</v>
      </c>
      <c r="R5246" t="s">
        <v>919</v>
      </c>
      <c r="S5246">
        <v>35</v>
      </c>
      <c r="T5246" s="29" t="str">
        <f>HYPERLINK("https://ictv.global/ictv/proposals/2019.005G.zip","2019.005G.zip")</f>
        <v>2019.005G.zip</v>
      </c>
      <c r="U5246" s="29" t="str">
        <f>HYPERLINK("https://ictv.global/taxonomy/taxondetails?taxnode_id=202305865","ictv.global=202305865")</f>
        <v>ictv.global=202305865</v>
      </c>
    </row>
    <row r="5247" spans="1:21">
      <c r="A5247">
        <v>5246</v>
      </c>
      <c r="B5247" s="30" t="s">
        <v>1956</v>
      </c>
      <c r="D5247" s="30" t="s">
        <v>1985</v>
      </c>
      <c r="F5247" s="30" t="s">
        <v>1986</v>
      </c>
      <c r="H5247" s="30" t="s">
        <v>1989</v>
      </c>
      <c r="J5247" s="30" t="s">
        <v>1991</v>
      </c>
      <c r="L5247" s="30" t="s">
        <v>225</v>
      </c>
      <c r="M5247" s="30" t="s">
        <v>993</v>
      </c>
      <c r="N5247" s="30" t="s">
        <v>559</v>
      </c>
      <c r="P5247" s="30" t="s">
        <v>996</v>
      </c>
      <c r="Q5247" t="s">
        <v>622</v>
      </c>
      <c r="R5247" t="s">
        <v>919</v>
      </c>
      <c r="S5247">
        <v>35</v>
      </c>
      <c r="T5247" s="29" t="str">
        <f>HYPERLINK("https://ictv.global/ictv/proposals/2019.005G.zip","2019.005G.zip")</f>
        <v>2019.005G.zip</v>
      </c>
      <c r="U5247" s="29" t="str">
        <f>HYPERLINK("https://ictv.global/taxonomy/taxondetails?taxnode_id=202305866","ictv.global=202305866")</f>
        <v>ictv.global=202305866</v>
      </c>
    </row>
    <row r="5248" spans="1:21">
      <c r="A5248">
        <v>5247</v>
      </c>
      <c r="B5248" s="30" t="s">
        <v>1956</v>
      </c>
      <c r="D5248" s="30" t="s">
        <v>1985</v>
      </c>
      <c r="F5248" s="30" t="s">
        <v>1986</v>
      </c>
      <c r="H5248" s="30" t="s">
        <v>1989</v>
      </c>
      <c r="J5248" s="30" t="s">
        <v>1991</v>
      </c>
      <c r="L5248" s="30" t="s">
        <v>225</v>
      </c>
      <c r="M5248" s="30" t="s">
        <v>993</v>
      </c>
      <c r="N5248" s="30" t="s">
        <v>559</v>
      </c>
      <c r="P5248" s="30" t="s">
        <v>997</v>
      </c>
      <c r="Q5248" t="s">
        <v>622</v>
      </c>
      <c r="R5248" t="s">
        <v>919</v>
      </c>
      <c r="S5248">
        <v>35</v>
      </c>
      <c r="T5248" s="29" t="str">
        <f>HYPERLINK("https://ictv.global/ictv/proposals/2019.005G.zip","2019.005G.zip")</f>
        <v>2019.005G.zip</v>
      </c>
      <c r="U5248" s="29" t="str">
        <f>HYPERLINK("https://ictv.global/taxonomy/taxondetails?taxnode_id=202305867","ictv.global=202305867")</f>
        <v>ictv.global=202305867</v>
      </c>
    </row>
    <row r="5249" spans="1:21">
      <c r="A5249">
        <v>5248</v>
      </c>
      <c r="B5249" s="30" t="s">
        <v>1956</v>
      </c>
      <c r="D5249" s="30" t="s">
        <v>1985</v>
      </c>
      <c r="F5249" s="30" t="s">
        <v>1986</v>
      </c>
      <c r="H5249" s="30" t="s">
        <v>1989</v>
      </c>
      <c r="J5249" s="30" t="s">
        <v>1991</v>
      </c>
      <c r="L5249" s="30" t="s">
        <v>225</v>
      </c>
      <c r="M5249" s="30" t="s">
        <v>993</v>
      </c>
      <c r="N5249" s="30" t="s">
        <v>561</v>
      </c>
      <c r="P5249" s="30" t="s">
        <v>562</v>
      </c>
      <c r="Q5249" t="s">
        <v>622</v>
      </c>
      <c r="R5249" t="s">
        <v>3894</v>
      </c>
      <c r="S5249">
        <v>36</v>
      </c>
      <c r="T5249" s="29" t="str">
        <f t="shared" ref="T5249:T5262" si="242">HYPERLINK("https://ictv.global/ictv/proposals/2020.001G.R.Abolish_type_species.pdf","2020.001G.R.Abolish_type_species.pdf")</f>
        <v>2020.001G.R.Abolish_type_species.pdf</v>
      </c>
      <c r="U5249" s="29" t="str">
        <f>HYPERLINK("https://ictv.global/taxonomy/taxondetails?taxnode_id=202304021","ictv.global=202304021")</f>
        <v>ictv.global=202304021</v>
      </c>
    </row>
    <row r="5250" spans="1:21">
      <c r="A5250">
        <v>5249</v>
      </c>
      <c r="B5250" s="30" t="s">
        <v>1956</v>
      </c>
      <c r="D5250" s="30" t="s">
        <v>1985</v>
      </c>
      <c r="F5250" s="30" t="s">
        <v>1986</v>
      </c>
      <c r="H5250" s="30" t="s">
        <v>1989</v>
      </c>
      <c r="J5250" s="30" t="s">
        <v>1991</v>
      </c>
      <c r="L5250" s="30" t="s">
        <v>225</v>
      </c>
      <c r="M5250" s="30" t="s">
        <v>993</v>
      </c>
      <c r="N5250" s="30" t="s">
        <v>563</v>
      </c>
      <c r="P5250" s="30" t="s">
        <v>564</v>
      </c>
      <c r="Q5250" t="s">
        <v>622</v>
      </c>
      <c r="R5250" t="s">
        <v>3894</v>
      </c>
      <c r="S5250">
        <v>36</v>
      </c>
      <c r="T5250" s="29" t="str">
        <f t="shared" si="242"/>
        <v>2020.001G.R.Abolish_type_species.pdf</v>
      </c>
      <c r="U5250" s="29" t="str">
        <f>HYPERLINK("https://ictv.global/taxonomy/taxondetails?taxnode_id=202304023","ictv.global=202304023")</f>
        <v>ictv.global=202304023</v>
      </c>
    </row>
    <row r="5251" spans="1:21">
      <c r="A5251">
        <v>5250</v>
      </c>
      <c r="B5251" s="30" t="s">
        <v>1956</v>
      </c>
      <c r="D5251" s="30" t="s">
        <v>1985</v>
      </c>
      <c r="F5251" s="30" t="s">
        <v>1986</v>
      </c>
      <c r="H5251" s="30" t="s">
        <v>1989</v>
      </c>
      <c r="J5251" s="30" t="s">
        <v>1991</v>
      </c>
      <c r="L5251" s="30" t="s">
        <v>225</v>
      </c>
      <c r="M5251" s="30" t="s">
        <v>993</v>
      </c>
      <c r="N5251" s="30" t="s">
        <v>565</v>
      </c>
      <c r="P5251" s="30" t="s">
        <v>566</v>
      </c>
      <c r="Q5251" t="s">
        <v>622</v>
      </c>
      <c r="R5251" t="s">
        <v>3894</v>
      </c>
      <c r="S5251">
        <v>36</v>
      </c>
      <c r="T5251" s="29" t="str">
        <f t="shared" si="242"/>
        <v>2020.001G.R.Abolish_type_species.pdf</v>
      </c>
      <c r="U5251" s="29" t="str">
        <f>HYPERLINK("https://ictv.global/taxonomy/taxondetails?taxnode_id=202304025","ictv.global=202304025")</f>
        <v>ictv.global=202304025</v>
      </c>
    </row>
    <row r="5252" spans="1:21">
      <c r="A5252">
        <v>5251</v>
      </c>
      <c r="B5252" s="30" t="s">
        <v>1956</v>
      </c>
      <c r="D5252" s="30" t="s">
        <v>1985</v>
      </c>
      <c r="F5252" s="30" t="s">
        <v>1986</v>
      </c>
      <c r="H5252" s="30" t="s">
        <v>1989</v>
      </c>
      <c r="J5252" s="30" t="s">
        <v>1991</v>
      </c>
      <c r="L5252" s="30" t="s">
        <v>225</v>
      </c>
      <c r="M5252" s="30" t="s">
        <v>993</v>
      </c>
      <c r="N5252" s="30" t="s">
        <v>804</v>
      </c>
      <c r="P5252" s="30" t="s">
        <v>747</v>
      </c>
      <c r="Q5252" t="s">
        <v>622</v>
      </c>
      <c r="R5252" t="s">
        <v>3894</v>
      </c>
      <c r="S5252">
        <v>36</v>
      </c>
      <c r="T5252" s="29" t="str">
        <f t="shared" si="242"/>
        <v>2020.001G.R.Abolish_type_species.pdf</v>
      </c>
      <c r="U5252" s="29" t="str">
        <f>HYPERLINK("https://ictv.global/taxonomy/taxondetails?taxnode_id=202304027","ictv.global=202304027")</f>
        <v>ictv.global=202304027</v>
      </c>
    </row>
    <row r="5253" spans="1:21">
      <c r="A5253">
        <v>5252</v>
      </c>
      <c r="B5253" s="30" t="s">
        <v>1956</v>
      </c>
      <c r="D5253" s="30" t="s">
        <v>1985</v>
      </c>
      <c r="F5253" s="30" t="s">
        <v>1986</v>
      </c>
      <c r="H5253" s="30" t="s">
        <v>1989</v>
      </c>
      <c r="J5253" s="30" t="s">
        <v>1991</v>
      </c>
      <c r="L5253" s="30" t="s">
        <v>225</v>
      </c>
      <c r="M5253" s="30" t="s">
        <v>993</v>
      </c>
      <c r="N5253" s="30" t="s">
        <v>567</v>
      </c>
      <c r="P5253" s="30" t="s">
        <v>568</v>
      </c>
      <c r="Q5253" t="s">
        <v>622</v>
      </c>
      <c r="R5253" t="s">
        <v>3894</v>
      </c>
      <c r="S5253">
        <v>36</v>
      </c>
      <c r="T5253" s="29" t="str">
        <f t="shared" si="242"/>
        <v>2020.001G.R.Abolish_type_species.pdf</v>
      </c>
      <c r="U5253" s="29" t="str">
        <f>HYPERLINK("https://ictv.global/taxonomy/taxondetails?taxnode_id=202304029","ictv.global=202304029")</f>
        <v>ictv.global=202304029</v>
      </c>
    </row>
    <row r="5254" spans="1:21">
      <c r="A5254">
        <v>5253</v>
      </c>
      <c r="B5254" s="30" t="s">
        <v>1956</v>
      </c>
      <c r="D5254" s="30" t="s">
        <v>1985</v>
      </c>
      <c r="F5254" s="30" t="s">
        <v>1986</v>
      </c>
      <c r="H5254" s="30" t="s">
        <v>1989</v>
      </c>
      <c r="J5254" s="30" t="s">
        <v>1991</v>
      </c>
      <c r="L5254" s="30" t="s">
        <v>225</v>
      </c>
      <c r="M5254" s="30" t="s">
        <v>993</v>
      </c>
      <c r="N5254" s="30" t="s">
        <v>748</v>
      </c>
      <c r="P5254" s="30" t="s">
        <v>749</v>
      </c>
      <c r="Q5254" t="s">
        <v>622</v>
      </c>
      <c r="R5254" t="s">
        <v>3894</v>
      </c>
      <c r="S5254">
        <v>36</v>
      </c>
      <c r="T5254" s="29" t="str">
        <f t="shared" si="242"/>
        <v>2020.001G.R.Abolish_type_species.pdf</v>
      </c>
      <c r="U5254" s="29" t="str">
        <f>HYPERLINK("https://ictv.global/taxonomy/taxondetails?taxnode_id=202304031","ictv.global=202304031")</f>
        <v>ictv.global=202304031</v>
      </c>
    </row>
    <row r="5255" spans="1:21">
      <c r="A5255">
        <v>5254</v>
      </c>
      <c r="B5255" s="30" t="s">
        <v>1956</v>
      </c>
      <c r="D5255" s="30" t="s">
        <v>1985</v>
      </c>
      <c r="F5255" s="30" t="s">
        <v>1986</v>
      </c>
      <c r="H5255" s="30" t="s">
        <v>1989</v>
      </c>
      <c r="J5255" s="30" t="s">
        <v>1991</v>
      </c>
      <c r="L5255" s="30" t="s">
        <v>225</v>
      </c>
      <c r="M5255" s="30" t="s">
        <v>993</v>
      </c>
      <c r="N5255" s="30" t="s">
        <v>569</v>
      </c>
      <c r="P5255" s="30" t="s">
        <v>570</v>
      </c>
      <c r="Q5255" t="s">
        <v>622</v>
      </c>
      <c r="R5255" t="s">
        <v>3894</v>
      </c>
      <c r="S5255">
        <v>36</v>
      </c>
      <c r="T5255" s="29" t="str">
        <f t="shared" si="242"/>
        <v>2020.001G.R.Abolish_type_species.pdf</v>
      </c>
      <c r="U5255" s="29" t="str">
        <f>HYPERLINK("https://ictv.global/taxonomy/taxondetails?taxnode_id=202304033","ictv.global=202304033")</f>
        <v>ictv.global=202304033</v>
      </c>
    </row>
    <row r="5256" spans="1:21">
      <c r="A5256">
        <v>5255</v>
      </c>
      <c r="B5256" s="30" t="s">
        <v>1956</v>
      </c>
      <c r="D5256" s="30" t="s">
        <v>1985</v>
      </c>
      <c r="F5256" s="30" t="s">
        <v>1986</v>
      </c>
      <c r="H5256" s="30" t="s">
        <v>1989</v>
      </c>
      <c r="J5256" s="30" t="s">
        <v>1991</v>
      </c>
      <c r="L5256" s="30" t="s">
        <v>225</v>
      </c>
      <c r="M5256" s="30" t="s">
        <v>993</v>
      </c>
      <c r="N5256" s="30" t="s">
        <v>750</v>
      </c>
      <c r="P5256" s="30" t="s">
        <v>751</v>
      </c>
      <c r="Q5256" t="s">
        <v>622</v>
      </c>
      <c r="R5256" t="s">
        <v>3894</v>
      </c>
      <c r="S5256">
        <v>36</v>
      </c>
      <c r="T5256" s="29" t="str">
        <f t="shared" si="242"/>
        <v>2020.001G.R.Abolish_type_species.pdf</v>
      </c>
      <c r="U5256" s="29" t="str">
        <f>HYPERLINK("https://ictv.global/taxonomy/taxondetails?taxnode_id=202304035","ictv.global=202304035")</f>
        <v>ictv.global=202304035</v>
      </c>
    </row>
    <row r="5257" spans="1:21">
      <c r="A5257">
        <v>5256</v>
      </c>
      <c r="B5257" s="30" t="s">
        <v>1956</v>
      </c>
      <c r="D5257" s="30" t="s">
        <v>1985</v>
      </c>
      <c r="F5257" s="30" t="s">
        <v>1986</v>
      </c>
      <c r="H5257" s="30" t="s">
        <v>1989</v>
      </c>
      <c r="J5257" s="30" t="s">
        <v>1991</v>
      </c>
      <c r="L5257" s="30" t="s">
        <v>225</v>
      </c>
      <c r="M5257" s="30" t="s">
        <v>993</v>
      </c>
      <c r="N5257" s="30" t="s">
        <v>571</v>
      </c>
      <c r="P5257" s="30" t="s">
        <v>572</v>
      </c>
      <c r="Q5257" t="s">
        <v>622</v>
      </c>
      <c r="R5257" t="s">
        <v>3894</v>
      </c>
      <c r="S5257">
        <v>36</v>
      </c>
      <c r="T5257" s="29" t="str">
        <f t="shared" si="242"/>
        <v>2020.001G.R.Abolish_type_species.pdf</v>
      </c>
      <c r="U5257" s="29" t="str">
        <f>HYPERLINK("https://ictv.global/taxonomy/taxondetails?taxnode_id=202304037","ictv.global=202304037")</f>
        <v>ictv.global=202304037</v>
      </c>
    </row>
    <row r="5258" spans="1:21">
      <c r="A5258">
        <v>5257</v>
      </c>
      <c r="B5258" s="30" t="s">
        <v>1956</v>
      </c>
      <c r="D5258" s="30" t="s">
        <v>1985</v>
      </c>
      <c r="F5258" s="30" t="s">
        <v>1986</v>
      </c>
      <c r="H5258" s="30" t="s">
        <v>1989</v>
      </c>
      <c r="J5258" s="30" t="s">
        <v>1991</v>
      </c>
      <c r="L5258" s="30" t="s">
        <v>225</v>
      </c>
      <c r="M5258" s="30" t="s">
        <v>993</v>
      </c>
      <c r="N5258" s="30" t="s">
        <v>573</v>
      </c>
      <c r="P5258" s="30" t="s">
        <v>574</v>
      </c>
      <c r="Q5258" t="s">
        <v>622</v>
      </c>
      <c r="R5258" t="s">
        <v>3894</v>
      </c>
      <c r="S5258">
        <v>36</v>
      </c>
      <c r="T5258" s="29" t="str">
        <f t="shared" si="242"/>
        <v>2020.001G.R.Abolish_type_species.pdf</v>
      </c>
      <c r="U5258" s="29" t="str">
        <f>HYPERLINK("https://ictv.global/taxonomy/taxondetails?taxnode_id=202304039","ictv.global=202304039")</f>
        <v>ictv.global=202304039</v>
      </c>
    </row>
    <row r="5259" spans="1:21">
      <c r="A5259">
        <v>5258</v>
      </c>
      <c r="B5259" s="30" t="s">
        <v>1956</v>
      </c>
      <c r="D5259" s="30" t="s">
        <v>1985</v>
      </c>
      <c r="F5259" s="30" t="s">
        <v>1986</v>
      </c>
      <c r="H5259" s="30" t="s">
        <v>1989</v>
      </c>
      <c r="J5259" s="30" t="s">
        <v>1991</v>
      </c>
      <c r="L5259" s="30" t="s">
        <v>225</v>
      </c>
      <c r="M5259" s="30" t="s">
        <v>993</v>
      </c>
      <c r="N5259" s="30" t="s">
        <v>752</v>
      </c>
      <c r="P5259" s="30" t="s">
        <v>753</v>
      </c>
      <c r="Q5259" t="s">
        <v>622</v>
      </c>
      <c r="R5259" t="s">
        <v>3894</v>
      </c>
      <c r="S5259">
        <v>36</v>
      </c>
      <c r="T5259" s="29" t="str">
        <f t="shared" si="242"/>
        <v>2020.001G.R.Abolish_type_species.pdf</v>
      </c>
      <c r="U5259" s="29" t="str">
        <f>HYPERLINK("https://ictv.global/taxonomy/taxondetails?taxnode_id=202304041","ictv.global=202304041")</f>
        <v>ictv.global=202304041</v>
      </c>
    </row>
    <row r="5260" spans="1:21">
      <c r="A5260">
        <v>5259</v>
      </c>
      <c r="B5260" s="30" t="s">
        <v>1956</v>
      </c>
      <c r="D5260" s="30" t="s">
        <v>1985</v>
      </c>
      <c r="F5260" s="30" t="s">
        <v>1986</v>
      </c>
      <c r="H5260" s="30" t="s">
        <v>1989</v>
      </c>
      <c r="J5260" s="30" t="s">
        <v>1991</v>
      </c>
      <c r="L5260" s="30" t="s">
        <v>225</v>
      </c>
      <c r="M5260" s="30" t="s">
        <v>993</v>
      </c>
      <c r="N5260" s="30" t="s">
        <v>64</v>
      </c>
      <c r="P5260" s="30" t="s">
        <v>65</v>
      </c>
      <c r="Q5260" t="s">
        <v>622</v>
      </c>
      <c r="R5260" t="s">
        <v>3894</v>
      </c>
      <c r="S5260">
        <v>36</v>
      </c>
      <c r="T5260" s="29" t="str">
        <f t="shared" si="242"/>
        <v>2020.001G.R.Abolish_type_species.pdf</v>
      </c>
      <c r="U5260" s="29" t="str">
        <f>HYPERLINK("https://ictv.global/taxonomy/taxondetails?taxnode_id=202304043","ictv.global=202304043")</f>
        <v>ictv.global=202304043</v>
      </c>
    </row>
    <row r="5261" spans="1:21">
      <c r="A5261">
        <v>5260</v>
      </c>
      <c r="B5261" s="30" t="s">
        <v>1956</v>
      </c>
      <c r="D5261" s="30" t="s">
        <v>1985</v>
      </c>
      <c r="F5261" s="30" t="s">
        <v>1986</v>
      </c>
      <c r="H5261" s="30" t="s">
        <v>1989</v>
      </c>
      <c r="J5261" s="30" t="s">
        <v>1991</v>
      </c>
      <c r="L5261" s="30" t="s">
        <v>225</v>
      </c>
      <c r="M5261" s="30" t="s">
        <v>993</v>
      </c>
      <c r="N5261" s="30" t="s">
        <v>754</v>
      </c>
      <c r="P5261" s="30" t="s">
        <v>755</v>
      </c>
      <c r="Q5261" t="s">
        <v>622</v>
      </c>
      <c r="R5261" t="s">
        <v>3894</v>
      </c>
      <c r="S5261">
        <v>36</v>
      </c>
      <c r="T5261" s="29" t="str">
        <f t="shared" si="242"/>
        <v>2020.001G.R.Abolish_type_species.pdf</v>
      </c>
      <c r="U5261" s="29" t="str">
        <f>HYPERLINK("https://ictv.global/taxonomy/taxondetails?taxnode_id=202304045","ictv.global=202304045")</f>
        <v>ictv.global=202304045</v>
      </c>
    </row>
    <row r="5262" spans="1:21">
      <c r="A5262">
        <v>5261</v>
      </c>
      <c r="B5262" s="30" t="s">
        <v>1956</v>
      </c>
      <c r="D5262" s="30" t="s">
        <v>1985</v>
      </c>
      <c r="F5262" s="30" t="s">
        <v>1986</v>
      </c>
      <c r="H5262" s="30" t="s">
        <v>1989</v>
      </c>
      <c r="J5262" s="30" t="s">
        <v>1991</v>
      </c>
      <c r="L5262" s="30" t="s">
        <v>225</v>
      </c>
      <c r="M5262" s="30" t="s">
        <v>993</v>
      </c>
      <c r="N5262" s="30" t="s">
        <v>575</v>
      </c>
      <c r="P5262" s="30" t="s">
        <v>576</v>
      </c>
      <c r="Q5262" t="s">
        <v>622</v>
      </c>
      <c r="R5262" t="s">
        <v>3894</v>
      </c>
      <c r="S5262">
        <v>36</v>
      </c>
      <c r="T5262" s="29" t="str">
        <f t="shared" si="242"/>
        <v>2020.001G.R.Abolish_type_species.pdf</v>
      </c>
      <c r="U5262" s="29" t="str">
        <f>HYPERLINK("https://ictv.global/taxonomy/taxondetails?taxnode_id=202304047","ictv.global=202304047")</f>
        <v>ictv.global=202304047</v>
      </c>
    </row>
    <row r="5263" spans="1:21">
      <c r="A5263">
        <v>5262</v>
      </c>
      <c r="B5263" s="30" t="s">
        <v>1956</v>
      </c>
      <c r="D5263" s="30" t="s">
        <v>1985</v>
      </c>
      <c r="F5263" s="30" t="s">
        <v>1986</v>
      </c>
      <c r="H5263" s="30" t="s">
        <v>1989</v>
      </c>
      <c r="J5263" s="30" t="s">
        <v>1991</v>
      </c>
      <c r="L5263" s="30" t="s">
        <v>225</v>
      </c>
      <c r="M5263" s="30" t="s">
        <v>993</v>
      </c>
      <c r="N5263" s="30" t="s">
        <v>575</v>
      </c>
      <c r="P5263" s="30" t="s">
        <v>998</v>
      </c>
      <c r="Q5263" t="s">
        <v>622</v>
      </c>
      <c r="R5263" t="s">
        <v>919</v>
      </c>
      <c r="S5263">
        <v>35</v>
      </c>
      <c r="T5263" s="29" t="str">
        <f>HYPERLINK("https://ictv.global/ictv/proposals/2019.005G.zip","2019.005G.zip")</f>
        <v>2019.005G.zip</v>
      </c>
      <c r="U5263" s="29" t="str">
        <f>HYPERLINK("https://ictv.global/taxonomy/taxondetails?taxnode_id=202305868","ictv.global=202305868")</f>
        <v>ictv.global=202305868</v>
      </c>
    </row>
    <row r="5264" spans="1:21">
      <c r="A5264">
        <v>5263</v>
      </c>
      <c r="B5264" s="30" t="s">
        <v>1956</v>
      </c>
      <c r="D5264" s="30" t="s">
        <v>1985</v>
      </c>
      <c r="F5264" s="30" t="s">
        <v>1986</v>
      </c>
      <c r="H5264" s="30" t="s">
        <v>1989</v>
      </c>
      <c r="J5264" s="30" t="s">
        <v>1991</v>
      </c>
      <c r="L5264" s="30" t="s">
        <v>225</v>
      </c>
      <c r="M5264" s="30" t="s">
        <v>993</v>
      </c>
      <c r="N5264" s="30" t="s">
        <v>66</v>
      </c>
      <c r="P5264" s="30" t="s">
        <v>67</v>
      </c>
      <c r="Q5264" t="s">
        <v>622</v>
      </c>
      <c r="R5264" t="s">
        <v>3894</v>
      </c>
      <c r="S5264">
        <v>36</v>
      </c>
      <c r="T5264" s="29" t="str">
        <f>HYPERLINK("https://ictv.global/ictv/proposals/2020.001G.R.Abolish_type_species.pdf","2020.001G.R.Abolish_type_species.pdf")</f>
        <v>2020.001G.R.Abolish_type_species.pdf</v>
      </c>
      <c r="U5264" s="29" t="str">
        <f>HYPERLINK("https://ictv.global/taxonomy/taxondetails?taxnode_id=202304049","ictv.global=202304049")</f>
        <v>ictv.global=202304049</v>
      </c>
    </row>
    <row r="5265" spans="1:21">
      <c r="A5265">
        <v>5264</v>
      </c>
      <c r="B5265" s="30" t="s">
        <v>1956</v>
      </c>
      <c r="D5265" s="30" t="s">
        <v>1985</v>
      </c>
      <c r="F5265" s="30" t="s">
        <v>1986</v>
      </c>
      <c r="H5265" s="30" t="s">
        <v>1989</v>
      </c>
      <c r="J5265" s="30" t="s">
        <v>1991</v>
      </c>
      <c r="L5265" s="30" t="s">
        <v>225</v>
      </c>
      <c r="M5265" s="30" t="s">
        <v>993</v>
      </c>
      <c r="N5265" s="30" t="s">
        <v>229</v>
      </c>
      <c r="P5265" s="30" t="s">
        <v>68</v>
      </c>
      <c r="Q5265" t="s">
        <v>622</v>
      </c>
      <c r="R5265" t="s">
        <v>3894</v>
      </c>
      <c r="S5265">
        <v>36</v>
      </c>
      <c r="T5265" s="29" t="str">
        <f>HYPERLINK("https://ictv.global/ictv/proposals/2020.001G.R.Abolish_type_species.pdf","2020.001G.R.Abolish_type_species.pdf")</f>
        <v>2020.001G.R.Abolish_type_species.pdf</v>
      </c>
      <c r="U5265" s="29" t="str">
        <f>HYPERLINK("https://ictv.global/taxonomy/taxondetails?taxnode_id=202304051","ictv.global=202304051")</f>
        <v>ictv.global=202304051</v>
      </c>
    </row>
    <row r="5266" spans="1:21">
      <c r="A5266">
        <v>5265</v>
      </c>
      <c r="B5266" s="30" t="s">
        <v>1956</v>
      </c>
      <c r="D5266" s="30" t="s">
        <v>1985</v>
      </c>
      <c r="F5266" s="30" t="s">
        <v>1986</v>
      </c>
      <c r="H5266" s="30" t="s">
        <v>1989</v>
      </c>
      <c r="J5266" s="30" t="s">
        <v>1991</v>
      </c>
      <c r="L5266" s="30" t="s">
        <v>225</v>
      </c>
      <c r="M5266" s="30" t="s">
        <v>993</v>
      </c>
      <c r="N5266" s="30" t="s">
        <v>229</v>
      </c>
      <c r="P5266" s="30" t="s">
        <v>999</v>
      </c>
      <c r="Q5266" t="s">
        <v>622</v>
      </c>
      <c r="R5266" t="s">
        <v>919</v>
      </c>
      <c r="S5266">
        <v>35</v>
      </c>
      <c r="T5266" s="29" t="str">
        <f>HYPERLINK("https://ictv.global/ictv/proposals/2019.005G.zip","2019.005G.zip")</f>
        <v>2019.005G.zip</v>
      </c>
      <c r="U5266" s="29" t="str">
        <f>HYPERLINK("https://ictv.global/taxonomy/taxondetails?taxnode_id=202305869","ictv.global=202305869")</f>
        <v>ictv.global=202305869</v>
      </c>
    </row>
    <row r="5267" spans="1:21">
      <c r="A5267">
        <v>5266</v>
      </c>
      <c r="B5267" s="30" t="s">
        <v>1956</v>
      </c>
      <c r="D5267" s="30" t="s">
        <v>1985</v>
      </c>
      <c r="F5267" s="30" t="s">
        <v>1986</v>
      </c>
      <c r="H5267" s="30" t="s">
        <v>1989</v>
      </c>
      <c r="J5267" s="30" t="s">
        <v>1991</v>
      </c>
      <c r="L5267" s="30" t="s">
        <v>225</v>
      </c>
      <c r="M5267" s="30" t="s">
        <v>993</v>
      </c>
      <c r="N5267" s="30" t="s">
        <v>242</v>
      </c>
      <c r="P5267" s="30" t="s">
        <v>69</v>
      </c>
      <c r="Q5267" t="s">
        <v>622</v>
      </c>
      <c r="R5267" t="s">
        <v>3894</v>
      </c>
      <c r="S5267">
        <v>36</v>
      </c>
      <c r="T5267" s="29" t="str">
        <f t="shared" ref="T5267:T5272" si="243">HYPERLINK("https://ictv.global/ictv/proposals/2020.001G.R.Abolish_type_species.pdf","2020.001G.R.Abolish_type_species.pdf")</f>
        <v>2020.001G.R.Abolish_type_species.pdf</v>
      </c>
      <c r="U5267" s="29" t="str">
        <f>HYPERLINK("https://ictv.global/taxonomy/taxondetails?taxnode_id=202304053","ictv.global=202304053")</f>
        <v>ictv.global=202304053</v>
      </c>
    </row>
    <row r="5268" spans="1:21">
      <c r="A5268">
        <v>5267</v>
      </c>
      <c r="B5268" s="30" t="s">
        <v>1956</v>
      </c>
      <c r="D5268" s="30" t="s">
        <v>1985</v>
      </c>
      <c r="F5268" s="30" t="s">
        <v>1986</v>
      </c>
      <c r="H5268" s="30" t="s">
        <v>1989</v>
      </c>
      <c r="J5268" s="30" t="s">
        <v>1991</v>
      </c>
      <c r="L5268" s="30" t="s">
        <v>225</v>
      </c>
      <c r="M5268" s="30" t="s">
        <v>993</v>
      </c>
      <c r="N5268" s="30" t="s">
        <v>243</v>
      </c>
      <c r="P5268" s="30" t="s">
        <v>70</v>
      </c>
      <c r="Q5268" t="s">
        <v>622</v>
      </c>
      <c r="R5268" t="s">
        <v>3894</v>
      </c>
      <c r="S5268">
        <v>36</v>
      </c>
      <c r="T5268" s="29" t="str">
        <f t="shared" si="243"/>
        <v>2020.001G.R.Abolish_type_species.pdf</v>
      </c>
      <c r="U5268" s="29" t="str">
        <f>HYPERLINK("https://ictv.global/taxonomy/taxondetails?taxnode_id=202304055","ictv.global=202304055")</f>
        <v>ictv.global=202304055</v>
      </c>
    </row>
    <row r="5269" spans="1:21">
      <c r="A5269">
        <v>5268</v>
      </c>
      <c r="B5269" s="30" t="s">
        <v>1956</v>
      </c>
      <c r="D5269" s="30" t="s">
        <v>1985</v>
      </c>
      <c r="F5269" s="30" t="s">
        <v>1986</v>
      </c>
      <c r="H5269" s="30" t="s">
        <v>1989</v>
      </c>
      <c r="J5269" s="30" t="s">
        <v>1991</v>
      </c>
      <c r="L5269" s="30" t="s">
        <v>225</v>
      </c>
      <c r="M5269" s="30" t="s">
        <v>993</v>
      </c>
      <c r="N5269" s="30" t="s">
        <v>243</v>
      </c>
      <c r="P5269" s="30" t="s">
        <v>72</v>
      </c>
      <c r="Q5269" t="s">
        <v>622</v>
      </c>
      <c r="R5269" t="s">
        <v>3894</v>
      </c>
      <c r="S5269">
        <v>36</v>
      </c>
      <c r="T5269" s="29" t="str">
        <f t="shared" si="243"/>
        <v>2020.001G.R.Abolish_type_species.pdf</v>
      </c>
      <c r="U5269" s="29" t="str">
        <f>HYPERLINK("https://ictv.global/taxonomy/taxondetails?taxnode_id=202304056","ictv.global=202304056")</f>
        <v>ictv.global=202304056</v>
      </c>
    </row>
    <row r="5270" spans="1:21">
      <c r="A5270">
        <v>5269</v>
      </c>
      <c r="B5270" s="30" t="s">
        <v>1956</v>
      </c>
      <c r="D5270" s="30" t="s">
        <v>1985</v>
      </c>
      <c r="F5270" s="30" t="s">
        <v>1986</v>
      </c>
      <c r="H5270" s="30" t="s">
        <v>1989</v>
      </c>
      <c r="J5270" s="30" t="s">
        <v>1991</v>
      </c>
      <c r="L5270" s="30" t="s">
        <v>225</v>
      </c>
      <c r="M5270" s="30" t="s">
        <v>993</v>
      </c>
      <c r="N5270" s="30" t="s">
        <v>243</v>
      </c>
      <c r="P5270" s="30" t="s">
        <v>73</v>
      </c>
      <c r="Q5270" t="s">
        <v>622</v>
      </c>
      <c r="R5270" t="s">
        <v>3894</v>
      </c>
      <c r="S5270">
        <v>36</v>
      </c>
      <c r="T5270" s="29" t="str">
        <f t="shared" si="243"/>
        <v>2020.001G.R.Abolish_type_species.pdf</v>
      </c>
      <c r="U5270" s="29" t="str">
        <f>HYPERLINK("https://ictv.global/taxonomy/taxondetails?taxnode_id=202304057","ictv.global=202304057")</f>
        <v>ictv.global=202304057</v>
      </c>
    </row>
    <row r="5271" spans="1:21">
      <c r="A5271">
        <v>5270</v>
      </c>
      <c r="B5271" s="30" t="s">
        <v>1956</v>
      </c>
      <c r="D5271" s="30" t="s">
        <v>1985</v>
      </c>
      <c r="F5271" s="30" t="s">
        <v>1986</v>
      </c>
      <c r="H5271" s="30" t="s">
        <v>1989</v>
      </c>
      <c r="J5271" s="30" t="s">
        <v>1991</v>
      </c>
      <c r="L5271" s="30" t="s">
        <v>225</v>
      </c>
      <c r="M5271" s="30" t="s">
        <v>993</v>
      </c>
      <c r="N5271" s="30" t="s">
        <v>243</v>
      </c>
      <c r="P5271" s="30" t="s">
        <v>74</v>
      </c>
      <c r="Q5271" t="s">
        <v>622</v>
      </c>
      <c r="R5271" t="s">
        <v>3894</v>
      </c>
      <c r="S5271">
        <v>36</v>
      </c>
      <c r="T5271" s="29" t="str">
        <f t="shared" si="243"/>
        <v>2020.001G.R.Abolish_type_species.pdf</v>
      </c>
      <c r="U5271" s="29" t="str">
        <f>HYPERLINK("https://ictv.global/taxonomy/taxondetails?taxnode_id=202304058","ictv.global=202304058")</f>
        <v>ictv.global=202304058</v>
      </c>
    </row>
    <row r="5272" spans="1:21">
      <c r="A5272">
        <v>5271</v>
      </c>
      <c r="B5272" s="30" t="s">
        <v>1956</v>
      </c>
      <c r="D5272" s="30" t="s">
        <v>1985</v>
      </c>
      <c r="F5272" s="30" t="s">
        <v>1986</v>
      </c>
      <c r="H5272" s="30" t="s">
        <v>1989</v>
      </c>
      <c r="J5272" s="30" t="s">
        <v>1991</v>
      </c>
      <c r="L5272" s="30" t="s">
        <v>225</v>
      </c>
      <c r="M5272" s="30" t="s">
        <v>993</v>
      </c>
      <c r="N5272" s="30" t="s">
        <v>243</v>
      </c>
      <c r="P5272" s="30" t="s">
        <v>75</v>
      </c>
      <c r="Q5272" t="s">
        <v>622</v>
      </c>
      <c r="R5272" t="s">
        <v>3894</v>
      </c>
      <c r="S5272">
        <v>36</v>
      </c>
      <c r="T5272" s="29" t="str">
        <f t="shared" si="243"/>
        <v>2020.001G.R.Abolish_type_species.pdf</v>
      </c>
      <c r="U5272" s="29" t="str">
        <f>HYPERLINK("https://ictv.global/taxonomy/taxondetails?taxnode_id=202304059","ictv.global=202304059")</f>
        <v>ictv.global=202304059</v>
      </c>
    </row>
    <row r="5273" spans="1:21">
      <c r="A5273">
        <v>5272</v>
      </c>
      <c r="B5273" s="30" t="s">
        <v>1956</v>
      </c>
      <c r="D5273" s="30" t="s">
        <v>1985</v>
      </c>
      <c r="F5273" s="30" t="s">
        <v>1986</v>
      </c>
      <c r="H5273" s="30" t="s">
        <v>1989</v>
      </c>
      <c r="J5273" s="30" t="s">
        <v>1991</v>
      </c>
      <c r="L5273" s="30" t="s">
        <v>225</v>
      </c>
      <c r="M5273" s="30" t="s">
        <v>993</v>
      </c>
      <c r="N5273" s="30" t="s">
        <v>243</v>
      </c>
      <c r="P5273" s="30" t="s">
        <v>76</v>
      </c>
      <c r="Q5273" t="s">
        <v>622</v>
      </c>
      <c r="R5273" t="s">
        <v>919</v>
      </c>
      <c r="S5273">
        <v>35</v>
      </c>
      <c r="T5273" s="29" t="str">
        <f t="shared" ref="T5273:T5294" si="244">HYPERLINK("https://ictv.global/ictv/proposals/2019.005G.zip","2019.005G.zip")</f>
        <v>2019.005G.zip</v>
      </c>
      <c r="U5273" s="29" t="str">
        <f>HYPERLINK("https://ictv.global/taxonomy/taxondetails?taxnode_id=202304060","ictv.global=202304060")</f>
        <v>ictv.global=202304060</v>
      </c>
    </row>
    <row r="5274" spans="1:21">
      <c r="A5274">
        <v>5273</v>
      </c>
      <c r="B5274" s="30" t="s">
        <v>1956</v>
      </c>
      <c r="D5274" s="30" t="s">
        <v>1985</v>
      </c>
      <c r="F5274" s="30" t="s">
        <v>1986</v>
      </c>
      <c r="H5274" s="30" t="s">
        <v>1989</v>
      </c>
      <c r="J5274" s="30" t="s">
        <v>1991</v>
      </c>
      <c r="L5274" s="30" t="s">
        <v>225</v>
      </c>
      <c r="M5274" s="30" t="s">
        <v>993</v>
      </c>
      <c r="N5274" s="30" t="s">
        <v>243</v>
      </c>
      <c r="P5274" s="30" t="s">
        <v>77</v>
      </c>
      <c r="Q5274" t="s">
        <v>622</v>
      </c>
      <c r="R5274" t="s">
        <v>919</v>
      </c>
      <c r="S5274">
        <v>35</v>
      </c>
      <c r="T5274" s="29" t="str">
        <f t="shared" si="244"/>
        <v>2019.005G.zip</v>
      </c>
      <c r="U5274" s="29" t="str">
        <f>HYPERLINK("https://ictv.global/taxonomy/taxondetails?taxnode_id=202304061","ictv.global=202304061")</f>
        <v>ictv.global=202304061</v>
      </c>
    </row>
    <row r="5275" spans="1:21">
      <c r="A5275">
        <v>5274</v>
      </c>
      <c r="B5275" s="30" t="s">
        <v>1956</v>
      </c>
      <c r="D5275" s="30" t="s">
        <v>1985</v>
      </c>
      <c r="F5275" s="30" t="s">
        <v>1986</v>
      </c>
      <c r="H5275" s="30" t="s">
        <v>1989</v>
      </c>
      <c r="J5275" s="30" t="s">
        <v>1991</v>
      </c>
      <c r="L5275" s="30" t="s">
        <v>225</v>
      </c>
      <c r="M5275" s="30" t="s">
        <v>993</v>
      </c>
      <c r="N5275" s="30" t="s">
        <v>243</v>
      </c>
      <c r="P5275" s="30" t="s">
        <v>78</v>
      </c>
      <c r="Q5275" t="s">
        <v>622</v>
      </c>
      <c r="R5275" t="s">
        <v>919</v>
      </c>
      <c r="S5275">
        <v>35</v>
      </c>
      <c r="T5275" s="29" t="str">
        <f t="shared" si="244"/>
        <v>2019.005G.zip</v>
      </c>
      <c r="U5275" s="29" t="str">
        <f>HYPERLINK("https://ictv.global/taxonomy/taxondetails?taxnode_id=202304062","ictv.global=202304062")</f>
        <v>ictv.global=202304062</v>
      </c>
    </row>
    <row r="5276" spans="1:21">
      <c r="A5276">
        <v>5275</v>
      </c>
      <c r="B5276" s="30" t="s">
        <v>1956</v>
      </c>
      <c r="D5276" s="30" t="s">
        <v>1985</v>
      </c>
      <c r="F5276" s="30" t="s">
        <v>1986</v>
      </c>
      <c r="H5276" s="30" t="s">
        <v>1989</v>
      </c>
      <c r="J5276" s="30" t="s">
        <v>1991</v>
      </c>
      <c r="L5276" s="30" t="s">
        <v>225</v>
      </c>
      <c r="M5276" s="30" t="s">
        <v>993</v>
      </c>
      <c r="N5276" s="30" t="s">
        <v>243</v>
      </c>
      <c r="P5276" s="30" t="s">
        <v>79</v>
      </c>
      <c r="Q5276" t="s">
        <v>622</v>
      </c>
      <c r="R5276" t="s">
        <v>919</v>
      </c>
      <c r="S5276">
        <v>35</v>
      </c>
      <c r="T5276" s="29" t="str">
        <f t="shared" si="244"/>
        <v>2019.005G.zip</v>
      </c>
      <c r="U5276" s="29" t="str">
        <f>HYPERLINK("https://ictv.global/taxonomy/taxondetails?taxnode_id=202304063","ictv.global=202304063")</f>
        <v>ictv.global=202304063</v>
      </c>
    </row>
    <row r="5277" spans="1:21">
      <c r="A5277">
        <v>5276</v>
      </c>
      <c r="B5277" s="30" t="s">
        <v>1956</v>
      </c>
      <c r="D5277" s="30" t="s">
        <v>1985</v>
      </c>
      <c r="F5277" s="30" t="s">
        <v>1986</v>
      </c>
      <c r="H5277" s="30" t="s">
        <v>1989</v>
      </c>
      <c r="J5277" s="30" t="s">
        <v>1991</v>
      </c>
      <c r="L5277" s="30" t="s">
        <v>225</v>
      </c>
      <c r="M5277" s="30" t="s">
        <v>993</v>
      </c>
      <c r="N5277" s="30" t="s">
        <v>243</v>
      </c>
      <c r="P5277" s="30" t="s">
        <v>71</v>
      </c>
      <c r="Q5277" t="s">
        <v>622</v>
      </c>
      <c r="R5277" t="s">
        <v>919</v>
      </c>
      <c r="S5277">
        <v>35</v>
      </c>
      <c r="T5277" s="29" t="str">
        <f t="shared" si="244"/>
        <v>2019.005G.zip</v>
      </c>
      <c r="U5277" s="29" t="str">
        <f>HYPERLINK("https://ictv.global/taxonomy/taxondetails?taxnode_id=202304064","ictv.global=202304064")</f>
        <v>ictv.global=202304064</v>
      </c>
    </row>
    <row r="5278" spans="1:21">
      <c r="A5278">
        <v>5277</v>
      </c>
      <c r="B5278" s="30" t="s">
        <v>1956</v>
      </c>
      <c r="D5278" s="30" t="s">
        <v>1985</v>
      </c>
      <c r="F5278" s="30" t="s">
        <v>1986</v>
      </c>
      <c r="H5278" s="30" t="s">
        <v>1989</v>
      </c>
      <c r="J5278" s="30" t="s">
        <v>1991</v>
      </c>
      <c r="L5278" s="30" t="s">
        <v>225</v>
      </c>
      <c r="M5278" s="30" t="s">
        <v>993</v>
      </c>
      <c r="N5278" s="30" t="s">
        <v>243</v>
      </c>
      <c r="P5278" s="30" t="s">
        <v>577</v>
      </c>
      <c r="Q5278" t="s">
        <v>622</v>
      </c>
      <c r="R5278" t="s">
        <v>919</v>
      </c>
      <c r="S5278">
        <v>35</v>
      </c>
      <c r="T5278" s="29" t="str">
        <f t="shared" si="244"/>
        <v>2019.005G.zip</v>
      </c>
      <c r="U5278" s="29" t="str">
        <f>HYPERLINK("https://ictv.global/taxonomy/taxondetails?taxnode_id=202304065","ictv.global=202304065")</f>
        <v>ictv.global=202304065</v>
      </c>
    </row>
    <row r="5279" spans="1:21">
      <c r="A5279">
        <v>5278</v>
      </c>
      <c r="B5279" s="30" t="s">
        <v>1956</v>
      </c>
      <c r="D5279" s="30" t="s">
        <v>1985</v>
      </c>
      <c r="F5279" s="30" t="s">
        <v>1986</v>
      </c>
      <c r="H5279" s="30" t="s">
        <v>1989</v>
      </c>
      <c r="J5279" s="30" t="s">
        <v>1991</v>
      </c>
      <c r="L5279" s="30" t="s">
        <v>225</v>
      </c>
      <c r="M5279" s="30" t="s">
        <v>993</v>
      </c>
      <c r="N5279" s="30" t="s">
        <v>243</v>
      </c>
      <c r="P5279" s="30" t="s">
        <v>578</v>
      </c>
      <c r="Q5279" t="s">
        <v>622</v>
      </c>
      <c r="R5279" t="s">
        <v>919</v>
      </c>
      <c r="S5279">
        <v>35</v>
      </c>
      <c r="T5279" s="29" t="str">
        <f t="shared" si="244"/>
        <v>2019.005G.zip</v>
      </c>
      <c r="U5279" s="29" t="str">
        <f>HYPERLINK("https://ictv.global/taxonomy/taxondetails?taxnode_id=202304066","ictv.global=202304066")</f>
        <v>ictv.global=202304066</v>
      </c>
    </row>
    <row r="5280" spans="1:21">
      <c r="A5280">
        <v>5279</v>
      </c>
      <c r="B5280" s="30" t="s">
        <v>1956</v>
      </c>
      <c r="D5280" s="30" t="s">
        <v>1985</v>
      </c>
      <c r="F5280" s="30" t="s">
        <v>1986</v>
      </c>
      <c r="H5280" s="30" t="s">
        <v>1989</v>
      </c>
      <c r="J5280" s="30" t="s">
        <v>1991</v>
      </c>
      <c r="L5280" s="30" t="s">
        <v>225</v>
      </c>
      <c r="M5280" s="30" t="s">
        <v>993</v>
      </c>
      <c r="N5280" s="30" t="s">
        <v>243</v>
      </c>
      <c r="P5280" s="30" t="s">
        <v>579</v>
      </c>
      <c r="Q5280" t="s">
        <v>622</v>
      </c>
      <c r="R5280" t="s">
        <v>919</v>
      </c>
      <c r="S5280">
        <v>35</v>
      </c>
      <c r="T5280" s="29" t="str">
        <f t="shared" si="244"/>
        <v>2019.005G.zip</v>
      </c>
      <c r="U5280" s="29" t="str">
        <f>HYPERLINK("https://ictv.global/taxonomy/taxondetails?taxnode_id=202304067","ictv.global=202304067")</f>
        <v>ictv.global=202304067</v>
      </c>
    </row>
    <row r="5281" spans="1:21">
      <c r="A5281">
        <v>5280</v>
      </c>
      <c r="B5281" s="30" t="s">
        <v>1956</v>
      </c>
      <c r="D5281" s="30" t="s">
        <v>1985</v>
      </c>
      <c r="F5281" s="30" t="s">
        <v>1986</v>
      </c>
      <c r="H5281" s="30" t="s">
        <v>1989</v>
      </c>
      <c r="J5281" s="30" t="s">
        <v>1991</v>
      </c>
      <c r="L5281" s="30" t="s">
        <v>225</v>
      </c>
      <c r="M5281" s="30" t="s">
        <v>993</v>
      </c>
      <c r="N5281" s="30" t="s">
        <v>243</v>
      </c>
      <c r="P5281" s="30" t="s">
        <v>580</v>
      </c>
      <c r="Q5281" t="s">
        <v>622</v>
      </c>
      <c r="R5281" t="s">
        <v>919</v>
      </c>
      <c r="S5281">
        <v>35</v>
      </c>
      <c r="T5281" s="29" t="str">
        <f t="shared" si="244"/>
        <v>2019.005G.zip</v>
      </c>
      <c r="U5281" s="29" t="str">
        <f>HYPERLINK("https://ictv.global/taxonomy/taxondetails?taxnode_id=202304068","ictv.global=202304068")</f>
        <v>ictv.global=202304068</v>
      </c>
    </row>
    <row r="5282" spans="1:21">
      <c r="A5282">
        <v>5281</v>
      </c>
      <c r="B5282" s="30" t="s">
        <v>1956</v>
      </c>
      <c r="D5282" s="30" t="s">
        <v>1985</v>
      </c>
      <c r="F5282" s="30" t="s">
        <v>1986</v>
      </c>
      <c r="H5282" s="30" t="s">
        <v>1989</v>
      </c>
      <c r="J5282" s="30" t="s">
        <v>1991</v>
      </c>
      <c r="L5282" s="30" t="s">
        <v>225</v>
      </c>
      <c r="M5282" s="30" t="s">
        <v>993</v>
      </c>
      <c r="N5282" s="30" t="s">
        <v>243</v>
      </c>
      <c r="P5282" s="30" t="s">
        <v>581</v>
      </c>
      <c r="Q5282" t="s">
        <v>622</v>
      </c>
      <c r="R5282" t="s">
        <v>919</v>
      </c>
      <c r="S5282">
        <v>35</v>
      </c>
      <c r="T5282" s="29" t="str">
        <f t="shared" si="244"/>
        <v>2019.005G.zip</v>
      </c>
      <c r="U5282" s="29" t="str">
        <f>HYPERLINK("https://ictv.global/taxonomy/taxondetails?taxnode_id=202304069","ictv.global=202304069")</f>
        <v>ictv.global=202304069</v>
      </c>
    </row>
    <row r="5283" spans="1:21">
      <c r="A5283">
        <v>5282</v>
      </c>
      <c r="B5283" s="30" t="s">
        <v>1956</v>
      </c>
      <c r="D5283" s="30" t="s">
        <v>1985</v>
      </c>
      <c r="F5283" s="30" t="s">
        <v>1986</v>
      </c>
      <c r="H5283" s="30" t="s">
        <v>1989</v>
      </c>
      <c r="J5283" s="30" t="s">
        <v>1991</v>
      </c>
      <c r="L5283" s="30" t="s">
        <v>225</v>
      </c>
      <c r="M5283" s="30" t="s">
        <v>993</v>
      </c>
      <c r="N5283" s="30" t="s">
        <v>243</v>
      </c>
      <c r="P5283" s="30" t="s">
        <v>582</v>
      </c>
      <c r="Q5283" t="s">
        <v>622</v>
      </c>
      <c r="R5283" t="s">
        <v>919</v>
      </c>
      <c r="S5283">
        <v>35</v>
      </c>
      <c r="T5283" s="29" t="str">
        <f t="shared" si="244"/>
        <v>2019.005G.zip</v>
      </c>
      <c r="U5283" s="29" t="str">
        <f>HYPERLINK("https://ictv.global/taxonomy/taxondetails?taxnode_id=202304070","ictv.global=202304070")</f>
        <v>ictv.global=202304070</v>
      </c>
    </row>
    <row r="5284" spans="1:21">
      <c r="A5284">
        <v>5283</v>
      </c>
      <c r="B5284" s="30" t="s">
        <v>1956</v>
      </c>
      <c r="D5284" s="30" t="s">
        <v>1985</v>
      </c>
      <c r="F5284" s="30" t="s">
        <v>1986</v>
      </c>
      <c r="H5284" s="30" t="s">
        <v>1989</v>
      </c>
      <c r="J5284" s="30" t="s">
        <v>1991</v>
      </c>
      <c r="L5284" s="30" t="s">
        <v>225</v>
      </c>
      <c r="M5284" s="30" t="s">
        <v>993</v>
      </c>
      <c r="N5284" s="30" t="s">
        <v>243</v>
      </c>
      <c r="P5284" s="30" t="s">
        <v>583</v>
      </c>
      <c r="Q5284" t="s">
        <v>622</v>
      </c>
      <c r="R5284" t="s">
        <v>919</v>
      </c>
      <c r="S5284">
        <v>35</v>
      </c>
      <c r="T5284" s="29" t="str">
        <f t="shared" si="244"/>
        <v>2019.005G.zip</v>
      </c>
      <c r="U5284" s="29" t="str">
        <f>HYPERLINK("https://ictv.global/taxonomy/taxondetails?taxnode_id=202304071","ictv.global=202304071")</f>
        <v>ictv.global=202304071</v>
      </c>
    </row>
    <row r="5285" spans="1:21">
      <c r="A5285">
        <v>5284</v>
      </c>
      <c r="B5285" s="30" t="s">
        <v>1956</v>
      </c>
      <c r="D5285" s="30" t="s">
        <v>1985</v>
      </c>
      <c r="F5285" s="30" t="s">
        <v>1986</v>
      </c>
      <c r="H5285" s="30" t="s">
        <v>1989</v>
      </c>
      <c r="J5285" s="30" t="s">
        <v>1991</v>
      </c>
      <c r="L5285" s="30" t="s">
        <v>225</v>
      </c>
      <c r="M5285" s="30" t="s">
        <v>993</v>
      </c>
      <c r="N5285" s="30" t="s">
        <v>243</v>
      </c>
      <c r="P5285" s="30" t="s">
        <v>584</v>
      </c>
      <c r="Q5285" t="s">
        <v>622</v>
      </c>
      <c r="R5285" t="s">
        <v>919</v>
      </c>
      <c r="S5285">
        <v>35</v>
      </c>
      <c r="T5285" s="29" t="str">
        <f t="shared" si="244"/>
        <v>2019.005G.zip</v>
      </c>
      <c r="U5285" s="29" t="str">
        <f>HYPERLINK("https://ictv.global/taxonomy/taxondetails?taxnode_id=202304072","ictv.global=202304072")</f>
        <v>ictv.global=202304072</v>
      </c>
    </row>
    <row r="5286" spans="1:21">
      <c r="A5286">
        <v>5285</v>
      </c>
      <c r="B5286" s="30" t="s">
        <v>1956</v>
      </c>
      <c r="D5286" s="30" t="s">
        <v>1985</v>
      </c>
      <c r="F5286" s="30" t="s">
        <v>1986</v>
      </c>
      <c r="H5286" s="30" t="s">
        <v>1989</v>
      </c>
      <c r="J5286" s="30" t="s">
        <v>1991</v>
      </c>
      <c r="L5286" s="30" t="s">
        <v>225</v>
      </c>
      <c r="M5286" s="30" t="s">
        <v>993</v>
      </c>
      <c r="N5286" s="30" t="s">
        <v>243</v>
      </c>
      <c r="P5286" s="30" t="s">
        <v>585</v>
      </c>
      <c r="Q5286" t="s">
        <v>622</v>
      </c>
      <c r="R5286" t="s">
        <v>919</v>
      </c>
      <c r="S5286">
        <v>35</v>
      </c>
      <c r="T5286" s="29" t="str">
        <f t="shared" si="244"/>
        <v>2019.005G.zip</v>
      </c>
      <c r="U5286" s="29" t="str">
        <f>HYPERLINK("https://ictv.global/taxonomy/taxondetails?taxnode_id=202304073","ictv.global=202304073")</f>
        <v>ictv.global=202304073</v>
      </c>
    </row>
    <row r="5287" spans="1:21">
      <c r="A5287">
        <v>5286</v>
      </c>
      <c r="B5287" s="30" t="s">
        <v>1956</v>
      </c>
      <c r="D5287" s="30" t="s">
        <v>1985</v>
      </c>
      <c r="F5287" s="30" t="s">
        <v>1986</v>
      </c>
      <c r="H5287" s="30" t="s">
        <v>1989</v>
      </c>
      <c r="J5287" s="30" t="s">
        <v>1991</v>
      </c>
      <c r="L5287" s="30" t="s">
        <v>225</v>
      </c>
      <c r="M5287" s="30" t="s">
        <v>993</v>
      </c>
      <c r="N5287" s="30" t="s">
        <v>243</v>
      </c>
      <c r="P5287" s="30" t="s">
        <v>586</v>
      </c>
      <c r="Q5287" t="s">
        <v>622</v>
      </c>
      <c r="R5287" t="s">
        <v>919</v>
      </c>
      <c r="S5287">
        <v>35</v>
      </c>
      <c r="T5287" s="29" t="str">
        <f t="shared" si="244"/>
        <v>2019.005G.zip</v>
      </c>
      <c r="U5287" s="29" t="str">
        <f>HYPERLINK("https://ictv.global/taxonomy/taxondetails?taxnode_id=202304074","ictv.global=202304074")</f>
        <v>ictv.global=202304074</v>
      </c>
    </row>
    <row r="5288" spans="1:21">
      <c r="A5288">
        <v>5287</v>
      </c>
      <c r="B5288" s="30" t="s">
        <v>1956</v>
      </c>
      <c r="D5288" s="30" t="s">
        <v>1985</v>
      </c>
      <c r="F5288" s="30" t="s">
        <v>1986</v>
      </c>
      <c r="H5288" s="30" t="s">
        <v>1989</v>
      </c>
      <c r="J5288" s="30" t="s">
        <v>1991</v>
      </c>
      <c r="L5288" s="30" t="s">
        <v>225</v>
      </c>
      <c r="M5288" s="30" t="s">
        <v>993</v>
      </c>
      <c r="N5288" s="30" t="s">
        <v>243</v>
      </c>
      <c r="P5288" s="30" t="s">
        <v>756</v>
      </c>
      <c r="Q5288" t="s">
        <v>622</v>
      </c>
      <c r="R5288" t="s">
        <v>919</v>
      </c>
      <c r="S5288">
        <v>35</v>
      </c>
      <c r="T5288" s="29" t="str">
        <f t="shared" si="244"/>
        <v>2019.005G.zip</v>
      </c>
      <c r="U5288" s="29" t="str">
        <f>HYPERLINK("https://ictv.global/taxonomy/taxondetails?taxnode_id=202304075","ictv.global=202304075")</f>
        <v>ictv.global=202304075</v>
      </c>
    </row>
    <row r="5289" spans="1:21">
      <c r="A5289">
        <v>5288</v>
      </c>
      <c r="B5289" s="30" t="s">
        <v>1956</v>
      </c>
      <c r="D5289" s="30" t="s">
        <v>1985</v>
      </c>
      <c r="F5289" s="30" t="s">
        <v>1986</v>
      </c>
      <c r="H5289" s="30" t="s">
        <v>1989</v>
      </c>
      <c r="J5289" s="30" t="s">
        <v>1991</v>
      </c>
      <c r="L5289" s="30" t="s">
        <v>225</v>
      </c>
      <c r="M5289" s="30" t="s">
        <v>993</v>
      </c>
      <c r="N5289" s="30" t="s">
        <v>243</v>
      </c>
      <c r="P5289" s="30" t="s">
        <v>757</v>
      </c>
      <c r="Q5289" t="s">
        <v>622</v>
      </c>
      <c r="R5289" t="s">
        <v>919</v>
      </c>
      <c r="S5289">
        <v>35</v>
      </c>
      <c r="T5289" s="29" t="str">
        <f t="shared" si="244"/>
        <v>2019.005G.zip</v>
      </c>
      <c r="U5289" s="29" t="str">
        <f>HYPERLINK("https://ictv.global/taxonomy/taxondetails?taxnode_id=202304076","ictv.global=202304076")</f>
        <v>ictv.global=202304076</v>
      </c>
    </row>
    <row r="5290" spans="1:21">
      <c r="A5290">
        <v>5289</v>
      </c>
      <c r="B5290" s="30" t="s">
        <v>1956</v>
      </c>
      <c r="D5290" s="30" t="s">
        <v>1985</v>
      </c>
      <c r="F5290" s="30" t="s">
        <v>1986</v>
      </c>
      <c r="H5290" s="30" t="s">
        <v>1989</v>
      </c>
      <c r="J5290" s="30" t="s">
        <v>1991</v>
      </c>
      <c r="L5290" s="30" t="s">
        <v>225</v>
      </c>
      <c r="M5290" s="30" t="s">
        <v>993</v>
      </c>
      <c r="N5290" s="30" t="s">
        <v>243</v>
      </c>
      <c r="P5290" s="30" t="s">
        <v>758</v>
      </c>
      <c r="Q5290" t="s">
        <v>622</v>
      </c>
      <c r="R5290" t="s">
        <v>919</v>
      </c>
      <c r="S5290">
        <v>35</v>
      </c>
      <c r="T5290" s="29" t="str">
        <f t="shared" si="244"/>
        <v>2019.005G.zip</v>
      </c>
      <c r="U5290" s="29" t="str">
        <f>HYPERLINK("https://ictv.global/taxonomy/taxondetails?taxnode_id=202304077","ictv.global=202304077")</f>
        <v>ictv.global=202304077</v>
      </c>
    </row>
    <row r="5291" spans="1:21">
      <c r="A5291">
        <v>5290</v>
      </c>
      <c r="B5291" s="30" t="s">
        <v>1956</v>
      </c>
      <c r="D5291" s="30" t="s">
        <v>1985</v>
      </c>
      <c r="F5291" s="30" t="s">
        <v>1986</v>
      </c>
      <c r="H5291" s="30" t="s">
        <v>1989</v>
      </c>
      <c r="J5291" s="30" t="s">
        <v>1991</v>
      </c>
      <c r="L5291" s="30" t="s">
        <v>225</v>
      </c>
      <c r="M5291" s="30" t="s">
        <v>993</v>
      </c>
      <c r="N5291" s="30" t="s">
        <v>243</v>
      </c>
      <c r="P5291" s="30" t="s">
        <v>759</v>
      </c>
      <c r="Q5291" t="s">
        <v>622</v>
      </c>
      <c r="R5291" t="s">
        <v>919</v>
      </c>
      <c r="S5291">
        <v>35</v>
      </c>
      <c r="T5291" s="29" t="str">
        <f t="shared" si="244"/>
        <v>2019.005G.zip</v>
      </c>
      <c r="U5291" s="29" t="str">
        <f>HYPERLINK("https://ictv.global/taxonomy/taxondetails?taxnode_id=202304078","ictv.global=202304078")</f>
        <v>ictv.global=202304078</v>
      </c>
    </row>
    <row r="5292" spans="1:21">
      <c r="A5292">
        <v>5291</v>
      </c>
      <c r="B5292" s="30" t="s">
        <v>1956</v>
      </c>
      <c r="D5292" s="30" t="s">
        <v>1985</v>
      </c>
      <c r="F5292" s="30" t="s">
        <v>1986</v>
      </c>
      <c r="H5292" s="30" t="s">
        <v>1989</v>
      </c>
      <c r="J5292" s="30" t="s">
        <v>1991</v>
      </c>
      <c r="L5292" s="30" t="s">
        <v>225</v>
      </c>
      <c r="M5292" s="30" t="s">
        <v>993</v>
      </c>
      <c r="N5292" s="30" t="s">
        <v>243</v>
      </c>
      <c r="P5292" s="30" t="s">
        <v>760</v>
      </c>
      <c r="Q5292" t="s">
        <v>622</v>
      </c>
      <c r="R5292" t="s">
        <v>919</v>
      </c>
      <c r="S5292">
        <v>35</v>
      </c>
      <c r="T5292" s="29" t="str">
        <f t="shared" si="244"/>
        <v>2019.005G.zip</v>
      </c>
      <c r="U5292" s="29" t="str">
        <f>HYPERLINK("https://ictv.global/taxonomy/taxondetails?taxnode_id=202304079","ictv.global=202304079")</f>
        <v>ictv.global=202304079</v>
      </c>
    </row>
    <row r="5293" spans="1:21">
      <c r="A5293">
        <v>5292</v>
      </c>
      <c r="B5293" s="30" t="s">
        <v>1956</v>
      </c>
      <c r="D5293" s="30" t="s">
        <v>1985</v>
      </c>
      <c r="F5293" s="30" t="s">
        <v>1986</v>
      </c>
      <c r="H5293" s="30" t="s">
        <v>1989</v>
      </c>
      <c r="J5293" s="30" t="s">
        <v>1991</v>
      </c>
      <c r="L5293" s="30" t="s">
        <v>225</v>
      </c>
      <c r="M5293" s="30" t="s">
        <v>993</v>
      </c>
      <c r="N5293" s="30" t="s">
        <v>243</v>
      </c>
      <c r="P5293" s="30" t="s">
        <v>761</v>
      </c>
      <c r="Q5293" t="s">
        <v>622</v>
      </c>
      <c r="R5293" t="s">
        <v>919</v>
      </c>
      <c r="S5293">
        <v>35</v>
      </c>
      <c r="T5293" s="29" t="str">
        <f t="shared" si="244"/>
        <v>2019.005G.zip</v>
      </c>
      <c r="U5293" s="29" t="str">
        <f>HYPERLINK("https://ictv.global/taxonomy/taxondetails?taxnode_id=202304080","ictv.global=202304080")</f>
        <v>ictv.global=202304080</v>
      </c>
    </row>
    <row r="5294" spans="1:21">
      <c r="A5294">
        <v>5293</v>
      </c>
      <c r="B5294" s="30" t="s">
        <v>1956</v>
      </c>
      <c r="D5294" s="30" t="s">
        <v>1985</v>
      </c>
      <c r="F5294" s="30" t="s">
        <v>1986</v>
      </c>
      <c r="H5294" s="30" t="s">
        <v>1989</v>
      </c>
      <c r="J5294" s="30" t="s">
        <v>1991</v>
      </c>
      <c r="L5294" s="30" t="s">
        <v>225</v>
      </c>
      <c r="M5294" s="30" t="s">
        <v>993</v>
      </c>
      <c r="N5294" s="30" t="s">
        <v>243</v>
      </c>
      <c r="P5294" s="30" t="s">
        <v>1000</v>
      </c>
      <c r="Q5294" t="s">
        <v>622</v>
      </c>
      <c r="R5294" t="s">
        <v>919</v>
      </c>
      <c r="S5294">
        <v>35</v>
      </c>
      <c r="T5294" s="29" t="str">
        <f t="shared" si="244"/>
        <v>2019.005G.zip</v>
      </c>
      <c r="U5294" s="29" t="str">
        <f>HYPERLINK("https://ictv.global/taxonomy/taxondetails?taxnode_id=202305870","ictv.global=202305870")</f>
        <v>ictv.global=202305870</v>
      </c>
    </row>
    <row r="5295" spans="1:21">
      <c r="A5295">
        <v>5294</v>
      </c>
      <c r="B5295" s="30" t="s">
        <v>1956</v>
      </c>
      <c r="D5295" s="30" t="s">
        <v>1985</v>
      </c>
      <c r="F5295" s="30" t="s">
        <v>1986</v>
      </c>
      <c r="H5295" s="30" t="s">
        <v>1989</v>
      </c>
      <c r="J5295" s="30" t="s">
        <v>1991</v>
      </c>
      <c r="L5295" s="30" t="s">
        <v>225</v>
      </c>
      <c r="M5295" s="30" t="s">
        <v>993</v>
      </c>
      <c r="N5295" s="30" t="s">
        <v>271</v>
      </c>
      <c r="P5295" s="30" t="s">
        <v>80</v>
      </c>
      <c r="Q5295" t="s">
        <v>622</v>
      </c>
      <c r="R5295" t="s">
        <v>3894</v>
      </c>
      <c r="S5295">
        <v>36</v>
      </c>
      <c r="T5295" s="29" t="str">
        <f>HYPERLINK("https://ictv.global/ictv/proposals/2020.001G.R.Abolish_type_species.pdf","2020.001G.R.Abolish_type_species.pdf")</f>
        <v>2020.001G.R.Abolish_type_species.pdf</v>
      </c>
      <c r="U5295" s="29" t="str">
        <f>HYPERLINK("https://ictv.global/taxonomy/taxondetails?taxnode_id=202304082","ictv.global=202304082")</f>
        <v>ictv.global=202304082</v>
      </c>
    </row>
    <row r="5296" spans="1:21">
      <c r="A5296">
        <v>5295</v>
      </c>
      <c r="B5296" s="30" t="s">
        <v>1956</v>
      </c>
      <c r="D5296" s="30" t="s">
        <v>1985</v>
      </c>
      <c r="F5296" s="30" t="s">
        <v>1986</v>
      </c>
      <c r="H5296" s="30" t="s">
        <v>1989</v>
      </c>
      <c r="J5296" s="30" t="s">
        <v>1991</v>
      </c>
      <c r="L5296" s="30" t="s">
        <v>225</v>
      </c>
      <c r="M5296" s="30" t="s">
        <v>993</v>
      </c>
      <c r="N5296" s="30" t="s">
        <v>271</v>
      </c>
      <c r="P5296" s="30" t="s">
        <v>1001</v>
      </c>
      <c r="Q5296" t="s">
        <v>622</v>
      </c>
      <c r="R5296" t="s">
        <v>919</v>
      </c>
      <c r="S5296">
        <v>35</v>
      </c>
      <c r="T5296" s="29" t="str">
        <f>HYPERLINK("https://ictv.global/ictv/proposals/2019.005G.zip","2019.005G.zip")</f>
        <v>2019.005G.zip</v>
      </c>
      <c r="U5296" s="29" t="str">
        <f>HYPERLINK("https://ictv.global/taxonomy/taxondetails?taxnode_id=202305871","ictv.global=202305871")</f>
        <v>ictv.global=202305871</v>
      </c>
    </row>
    <row r="5297" spans="1:21">
      <c r="A5297">
        <v>5296</v>
      </c>
      <c r="B5297" s="30" t="s">
        <v>1956</v>
      </c>
      <c r="D5297" s="30" t="s">
        <v>1985</v>
      </c>
      <c r="F5297" s="30" t="s">
        <v>1986</v>
      </c>
      <c r="H5297" s="30" t="s">
        <v>1989</v>
      </c>
      <c r="J5297" s="30" t="s">
        <v>1991</v>
      </c>
      <c r="L5297" s="30" t="s">
        <v>225</v>
      </c>
      <c r="M5297" s="30" t="s">
        <v>993</v>
      </c>
      <c r="N5297" s="30" t="s">
        <v>303</v>
      </c>
      <c r="P5297" s="30" t="s">
        <v>81</v>
      </c>
      <c r="Q5297" t="s">
        <v>622</v>
      </c>
      <c r="R5297" t="s">
        <v>919</v>
      </c>
      <c r="S5297">
        <v>35</v>
      </c>
      <c r="T5297" s="29" t="str">
        <f>HYPERLINK("https://ictv.global/ictv/proposals/2019.005G.zip","2019.005G.zip")</f>
        <v>2019.005G.zip</v>
      </c>
      <c r="U5297" s="29" t="str">
        <f>HYPERLINK("https://ictv.global/taxonomy/taxondetails?taxnode_id=202304084","ictv.global=202304084")</f>
        <v>ictv.global=202304084</v>
      </c>
    </row>
    <row r="5298" spans="1:21">
      <c r="A5298">
        <v>5297</v>
      </c>
      <c r="B5298" s="30" t="s">
        <v>1956</v>
      </c>
      <c r="D5298" s="30" t="s">
        <v>1985</v>
      </c>
      <c r="F5298" s="30" t="s">
        <v>1986</v>
      </c>
      <c r="H5298" s="30" t="s">
        <v>1989</v>
      </c>
      <c r="J5298" s="30" t="s">
        <v>1991</v>
      </c>
      <c r="L5298" s="30" t="s">
        <v>225</v>
      </c>
      <c r="M5298" s="30" t="s">
        <v>993</v>
      </c>
      <c r="N5298" s="30" t="s">
        <v>303</v>
      </c>
      <c r="P5298" s="30" t="s">
        <v>82</v>
      </c>
      <c r="Q5298" t="s">
        <v>622</v>
      </c>
      <c r="R5298" t="s">
        <v>3894</v>
      </c>
      <c r="S5298">
        <v>36</v>
      </c>
      <c r="T5298" s="29" t="str">
        <f>HYPERLINK("https://ictv.global/ictv/proposals/2020.001G.R.Abolish_type_species.pdf","2020.001G.R.Abolish_type_species.pdf")</f>
        <v>2020.001G.R.Abolish_type_species.pdf</v>
      </c>
      <c r="U5298" s="29" t="str">
        <f>HYPERLINK("https://ictv.global/taxonomy/taxondetails?taxnode_id=202304085","ictv.global=202304085")</f>
        <v>ictv.global=202304085</v>
      </c>
    </row>
    <row r="5299" spans="1:21">
      <c r="A5299">
        <v>5298</v>
      </c>
      <c r="B5299" s="30" t="s">
        <v>1956</v>
      </c>
      <c r="D5299" s="30" t="s">
        <v>1985</v>
      </c>
      <c r="F5299" s="30" t="s">
        <v>1986</v>
      </c>
      <c r="H5299" s="30" t="s">
        <v>1989</v>
      </c>
      <c r="J5299" s="30" t="s">
        <v>1991</v>
      </c>
      <c r="L5299" s="30" t="s">
        <v>225</v>
      </c>
      <c r="M5299" s="30" t="s">
        <v>993</v>
      </c>
      <c r="N5299" s="30" t="s">
        <v>304</v>
      </c>
      <c r="P5299" s="30" t="s">
        <v>83</v>
      </c>
      <c r="Q5299" t="s">
        <v>622</v>
      </c>
      <c r="R5299" t="s">
        <v>919</v>
      </c>
      <c r="S5299">
        <v>35</v>
      </c>
      <c r="T5299" s="29" t="str">
        <f>HYPERLINK("https://ictv.global/ictv/proposals/2019.005G.zip","2019.005G.zip")</f>
        <v>2019.005G.zip</v>
      </c>
      <c r="U5299" s="29" t="str">
        <f>HYPERLINK("https://ictv.global/taxonomy/taxondetails?taxnode_id=202304087","ictv.global=202304087")</f>
        <v>ictv.global=202304087</v>
      </c>
    </row>
    <row r="5300" spans="1:21">
      <c r="A5300">
        <v>5299</v>
      </c>
      <c r="B5300" s="30" t="s">
        <v>1956</v>
      </c>
      <c r="D5300" s="30" t="s">
        <v>1985</v>
      </c>
      <c r="F5300" s="30" t="s">
        <v>1986</v>
      </c>
      <c r="H5300" s="30" t="s">
        <v>1989</v>
      </c>
      <c r="J5300" s="30" t="s">
        <v>1991</v>
      </c>
      <c r="L5300" s="30" t="s">
        <v>225</v>
      </c>
      <c r="M5300" s="30" t="s">
        <v>993</v>
      </c>
      <c r="N5300" s="30" t="s">
        <v>304</v>
      </c>
      <c r="P5300" s="30" t="s">
        <v>84</v>
      </c>
      <c r="Q5300" t="s">
        <v>622</v>
      </c>
      <c r="R5300" t="s">
        <v>3894</v>
      </c>
      <c r="S5300">
        <v>36</v>
      </c>
      <c r="T5300" s="29" t="str">
        <f>HYPERLINK("https://ictv.global/ictv/proposals/2020.001G.R.Abolish_type_species.pdf","2020.001G.R.Abolish_type_species.pdf")</f>
        <v>2020.001G.R.Abolish_type_species.pdf</v>
      </c>
      <c r="U5300" s="29" t="str">
        <f>HYPERLINK("https://ictv.global/taxonomy/taxondetails?taxnode_id=202304088","ictv.global=202304088")</f>
        <v>ictv.global=202304088</v>
      </c>
    </row>
    <row r="5301" spans="1:21">
      <c r="A5301">
        <v>5300</v>
      </c>
      <c r="B5301" s="30" t="s">
        <v>1956</v>
      </c>
      <c r="D5301" s="30" t="s">
        <v>1985</v>
      </c>
      <c r="F5301" s="30" t="s">
        <v>1986</v>
      </c>
      <c r="H5301" s="30" t="s">
        <v>1989</v>
      </c>
      <c r="J5301" s="30" t="s">
        <v>1991</v>
      </c>
      <c r="L5301" s="30" t="s">
        <v>225</v>
      </c>
      <c r="M5301" s="30" t="s">
        <v>993</v>
      </c>
      <c r="N5301" s="30" t="s">
        <v>304</v>
      </c>
      <c r="P5301" s="30" t="s">
        <v>85</v>
      </c>
      <c r="Q5301" t="s">
        <v>622</v>
      </c>
      <c r="R5301" t="s">
        <v>919</v>
      </c>
      <c r="S5301">
        <v>35</v>
      </c>
      <c r="T5301" s="29" t="str">
        <f>HYPERLINK("https://ictv.global/ictv/proposals/2019.005G.zip","2019.005G.zip")</f>
        <v>2019.005G.zip</v>
      </c>
      <c r="U5301" s="29" t="str">
        <f>HYPERLINK("https://ictv.global/taxonomy/taxondetails?taxnode_id=202304089","ictv.global=202304089")</f>
        <v>ictv.global=202304089</v>
      </c>
    </row>
    <row r="5302" spans="1:21">
      <c r="A5302">
        <v>5301</v>
      </c>
      <c r="B5302" s="30" t="s">
        <v>1956</v>
      </c>
      <c r="D5302" s="30" t="s">
        <v>1985</v>
      </c>
      <c r="F5302" s="30" t="s">
        <v>1986</v>
      </c>
      <c r="H5302" s="30" t="s">
        <v>1989</v>
      </c>
      <c r="J5302" s="30" t="s">
        <v>1991</v>
      </c>
      <c r="L5302" s="30" t="s">
        <v>225</v>
      </c>
      <c r="M5302" s="30" t="s">
        <v>993</v>
      </c>
      <c r="N5302" s="30" t="s">
        <v>304</v>
      </c>
      <c r="P5302" s="30" t="s">
        <v>86</v>
      </c>
      <c r="Q5302" t="s">
        <v>622</v>
      </c>
      <c r="R5302" t="s">
        <v>919</v>
      </c>
      <c r="S5302">
        <v>35</v>
      </c>
      <c r="T5302" s="29" t="str">
        <f>HYPERLINK("https://ictv.global/ictv/proposals/2019.005G.zip","2019.005G.zip")</f>
        <v>2019.005G.zip</v>
      </c>
      <c r="U5302" s="29" t="str">
        <f>HYPERLINK("https://ictv.global/taxonomy/taxondetails?taxnode_id=202304090","ictv.global=202304090")</f>
        <v>ictv.global=202304090</v>
      </c>
    </row>
    <row r="5303" spans="1:21">
      <c r="A5303">
        <v>5302</v>
      </c>
      <c r="B5303" s="30" t="s">
        <v>1956</v>
      </c>
      <c r="D5303" s="30" t="s">
        <v>1985</v>
      </c>
      <c r="F5303" s="30" t="s">
        <v>1986</v>
      </c>
      <c r="H5303" s="30" t="s">
        <v>1989</v>
      </c>
      <c r="J5303" s="30" t="s">
        <v>1991</v>
      </c>
      <c r="L5303" s="30" t="s">
        <v>225</v>
      </c>
      <c r="M5303" s="30" t="s">
        <v>993</v>
      </c>
      <c r="N5303" s="30" t="s">
        <v>304</v>
      </c>
      <c r="P5303" s="30" t="s">
        <v>587</v>
      </c>
      <c r="Q5303" t="s">
        <v>622</v>
      </c>
      <c r="R5303" t="s">
        <v>919</v>
      </c>
      <c r="S5303">
        <v>35</v>
      </c>
      <c r="T5303" s="29" t="str">
        <f>HYPERLINK("https://ictv.global/ictv/proposals/2019.005G.zip","2019.005G.zip")</f>
        <v>2019.005G.zip</v>
      </c>
      <c r="U5303" s="29" t="str">
        <f>HYPERLINK("https://ictv.global/taxonomy/taxondetails?taxnode_id=202304091","ictv.global=202304091")</f>
        <v>ictv.global=202304091</v>
      </c>
    </row>
    <row r="5304" spans="1:21">
      <c r="A5304">
        <v>5303</v>
      </c>
      <c r="B5304" s="30" t="s">
        <v>1956</v>
      </c>
      <c r="D5304" s="30" t="s">
        <v>1985</v>
      </c>
      <c r="F5304" s="30" t="s">
        <v>1986</v>
      </c>
      <c r="H5304" s="30" t="s">
        <v>1989</v>
      </c>
      <c r="J5304" s="30" t="s">
        <v>1991</v>
      </c>
      <c r="L5304" s="30" t="s">
        <v>225</v>
      </c>
      <c r="M5304" s="30" t="s">
        <v>993</v>
      </c>
      <c r="N5304" s="30" t="s">
        <v>305</v>
      </c>
      <c r="P5304" s="30" t="s">
        <v>87</v>
      </c>
      <c r="Q5304" t="s">
        <v>622</v>
      </c>
      <c r="R5304" t="s">
        <v>3894</v>
      </c>
      <c r="S5304">
        <v>36</v>
      </c>
      <c r="T5304" s="29" t="str">
        <f>HYPERLINK("https://ictv.global/ictv/proposals/2020.001G.R.Abolish_type_species.pdf","2020.001G.R.Abolish_type_species.pdf")</f>
        <v>2020.001G.R.Abolish_type_species.pdf</v>
      </c>
      <c r="U5304" s="29" t="str">
        <f>HYPERLINK("https://ictv.global/taxonomy/taxondetails?taxnode_id=202304093","ictv.global=202304093")</f>
        <v>ictv.global=202304093</v>
      </c>
    </row>
    <row r="5305" spans="1:21">
      <c r="A5305">
        <v>5304</v>
      </c>
      <c r="B5305" s="30" t="s">
        <v>1956</v>
      </c>
      <c r="D5305" s="30" t="s">
        <v>1985</v>
      </c>
      <c r="F5305" s="30" t="s">
        <v>1986</v>
      </c>
      <c r="H5305" s="30" t="s">
        <v>1989</v>
      </c>
      <c r="J5305" s="30" t="s">
        <v>1991</v>
      </c>
      <c r="L5305" s="30" t="s">
        <v>225</v>
      </c>
      <c r="M5305" s="30" t="s">
        <v>993</v>
      </c>
      <c r="N5305" s="30" t="s">
        <v>305</v>
      </c>
      <c r="P5305" s="30" t="s">
        <v>88</v>
      </c>
      <c r="Q5305" t="s">
        <v>622</v>
      </c>
      <c r="R5305" t="s">
        <v>3894</v>
      </c>
      <c r="S5305">
        <v>36</v>
      </c>
      <c r="T5305" s="29" t="str">
        <f>HYPERLINK("https://ictv.global/ictv/proposals/2020.001G.R.Abolish_type_species.pdf","2020.001G.R.Abolish_type_species.pdf")</f>
        <v>2020.001G.R.Abolish_type_species.pdf</v>
      </c>
      <c r="U5305" s="29" t="str">
        <f>HYPERLINK("https://ictv.global/taxonomy/taxondetails?taxnode_id=202304094","ictv.global=202304094")</f>
        <v>ictv.global=202304094</v>
      </c>
    </row>
    <row r="5306" spans="1:21">
      <c r="A5306">
        <v>5305</v>
      </c>
      <c r="B5306" s="30" t="s">
        <v>1956</v>
      </c>
      <c r="D5306" s="30" t="s">
        <v>1985</v>
      </c>
      <c r="F5306" s="30" t="s">
        <v>1986</v>
      </c>
      <c r="H5306" s="30" t="s">
        <v>1989</v>
      </c>
      <c r="J5306" s="30" t="s">
        <v>1991</v>
      </c>
      <c r="L5306" s="30" t="s">
        <v>225</v>
      </c>
      <c r="M5306" s="30" t="s">
        <v>993</v>
      </c>
      <c r="N5306" s="30" t="s">
        <v>305</v>
      </c>
      <c r="P5306" s="30" t="s">
        <v>762</v>
      </c>
      <c r="Q5306" t="s">
        <v>622</v>
      </c>
      <c r="R5306" t="s">
        <v>919</v>
      </c>
      <c r="S5306">
        <v>35</v>
      </c>
      <c r="T5306" s="29" t="str">
        <f>HYPERLINK("https://ictv.global/ictv/proposals/2019.005G.zip","2019.005G.zip")</f>
        <v>2019.005G.zip</v>
      </c>
      <c r="U5306" s="29" t="str">
        <f>HYPERLINK("https://ictv.global/taxonomy/taxondetails?taxnode_id=202304095","ictv.global=202304095")</f>
        <v>ictv.global=202304095</v>
      </c>
    </row>
    <row r="5307" spans="1:21">
      <c r="A5307">
        <v>5306</v>
      </c>
      <c r="B5307" s="30" t="s">
        <v>1956</v>
      </c>
      <c r="D5307" s="30" t="s">
        <v>1985</v>
      </c>
      <c r="F5307" s="30" t="s">
        <v>1986</v>
      </c>
      <c r="H5307" s="30" t="s">
        <v>1989</v>
      </c>
      <c r="J5307" s="30" t="s">
        <v>1991</v>
      </c>
      <c r="L5307" s="30" t="s">
        <v>225</v>
      </c>
      <c r="M5307" s="30" t="s">
        <v>993</v>
      </c>
      <c r="N5307" s="30" t="s">
        <v>306</v>
      </c>
      <c r="P5307" s="30" t="s">
        <v>89</v>
      </c>
      <c r="Q5307" t="s">
        <v>622</v>
      </c>
      <c r="R5307" t="s">
        <v>3894</v>
      </c>
      <c r="S5307">
        <v>36</v>
      </c>
      <c r="T5307" s="29" t="str">
        <f>HYPERLINK("https://ictv.global/ictv/proposals/2020.001G.R.Abolish_type_species.pdf","2020.001G.R.Abolish_type_species.pdf")</f>
        <v>2020.001G.R.Abolish_type_species.pdf</v>
      </c>
      <c r="U5307" s="29" t="str">
        <f>HYPERLINK("https://ictv.global/taxonomy/taxondetails?taxnode_id=202304097","ictv.global=202304097")</f>
        <v>ictv.global=202304097</v>
      </c>
    </row>
    <row r="5308" spans="1:21">
      <c r="A5308">
        <v>5307</v>
      </c>
      <c r="B5308" s="30" t="s">
        <v>1956</v>
      </c>
      <c r="D5308" s="30" t="s">
        <v>1985</v>
      </c>
      <c r="F5308" s="30" t="s">
        <v>1986</v>
      </c>
      <c r="H5308" s="30" t="s">
        <v>1989</v>
      </c>
      <c r="J5308" s="30" t="s">
        <v>1991</v>
      </c>
      <c r="L5308" s="30" t="s">
        <v>225</v>
      </c>
      <c r="M5308" s="30" t="s">
        <v>993</v>
      </c>
      <c r="N5308" s="30" t="s">
        <v>90</v>
      </c>
      <c r="P5308" s="30" t="s">
        <v>91</v>
      </c>
      <c r="Q5308" t="s">
        <v>622</v>
      </c>
      <c r="R5308" t="s">
        <v>3894</v>
      </c>
      <c r="S5308">
        <v>36</v>
      </c>
      <c r="T5308" s="29" t="str">
        <f>HYPERLINK("https://ictv.global/ictv/proposals/2020.001G.R.Abolish_type_species.pdf","2020.001G.R.Abolish_type_species.pdf")</f>
        <v>2020.001G.R.Abolish_type_species.pdf</v>
      </c>
      <c r="U5308" s="29" t="str">
        <f>HYPERLINK("https://ictv.global/taxonomy/taxondetails?taxnode_id=202304099","ictv.global=202304099")</f>
        <v>ictv.global=202304099</v>
      </c>
    </row>
    <row r="5309" spans="1:21">
      <c r="A5309">
        <v>5308</v>
      </c>
      <c r="B5309" s="30" t="s">
        <v>1956</v>
      </c>
      <c r="D5309" s="30" t="s">
        <v>1985</v>
      </c>
      <c r="F5309" s="30" t="s">
        <v>1986</v>
      </c>
      <c r="H5309" s="30" t="s">
        <v>1989</v>
      </c>
      <c r="J5309" s="30" t="s">
        <v>1991</v>
      </c>
      <c r="L5309" s="30" t="s">
        <v>225</v>
      </c>
      <c r="M5309" s="30" t="s">
        <v>993</v>
      </c>
      <c r="N5309" s="30" t="s">
        <v>168</v>
      </c>
      <c r="P5309" s="30" t="s">
        <v>92</v>
      </c>
      <c r="Q5309" t="s">
        <v>622</v>
      </c>
      <c r="R5309" t="s">
        <v>3894</v>
      </c>
      <c r="S5309">
        <v>36</v>
      </c>
      <c r="T5309" s="29" t="str">
        <f>HYPERLINK("https://ictv.global/ictv/proposals/2020.001G.R.Abolish_type_species.pdf","2020.001G.R.Abolish_type_species.pdf")</f>
        <v>2020.001G.R.Abolish_type_species.pdf</v>
      </c>
      <c r="U5309" s="29" t="str">
        <f>HYPERLINK("https://ictv.global/taxonomy/taxondetails?taxnode_id=202304101","ictv.global=202304101")</f>
        <v>ictv.global=202304101</v>
      </c>
    </row>
    <row r="5310" spans="1:21">
      <c r="A5310">
        <v>5309</v>
      </c>
      <c r="B5310" s="30" t="s">
        <v>1956</v>
      </c>
      <c r="D5310" s="30" t="s">
        <v>1985</v>
      </c>
      <c r="F5310" s="30" t="s">
        <v>1986</v>
      </c>
      <c r="H5310" s="30" t="s">
        <v>1989</v>
      </c>
      <c r="J5310" s="30" t="s">
        <v>1991</v>
      </c>
      <c r="L5310" s="30" t="s">
        <v>225</v>
      </c>
      <c r="M5310" s="30" t="s">
        <v>993</v>
      </c>
      <c r="N5310" s="30" t="s">
        <v>93</v>
      </c>
      <c r="P5310" s="30" t="s">
        <v>94</v>
      </c>
      <c r="Q5310" t="s">
        <v>622</v>
      </c>
      <c r="R5310" t="s">
        <v>3894</v>
      </c>
      <c r="S5310">
        <v>36</v>
      </c>
      <c r="T5310" s="29" t="str">
        <f>HYPERLINK("https://ictv.global/ictv/proposals/2020.001G.R.Abolish_type_species.pdf","2020.001G.R.Abolish_type_species.pdf")</f>
        <v>2020.001G.R.Abolish_type_species.pdf</v>
      </c>
      <c r="U5310" s="29" t="str">
        <f>HYPERLINK("https://ictv.global/taxonomy/taxondetails?taxnode_id=202304103","ictv.global=202304103")</f>
        <v>ictv.global=202304103</v>
      </c>
    </row>
    <row r="5311" spans="1:21">
      <c r="A5311">
        <v>5310</v>
      </c>
      <c r="B5311" s="30" t="s">
        <v>1956</v>
      </c>
      <c r="D5311" s="30" t="s">
        <v>1985</v>
      </c>
      <c r="F5311" s="30" t="s">
        <v>1986</v>
      </c>
      <c r="H5311" s="30" t="s">
        <v>1989</v>
      </c>
      <c r="J5311" s="30" t="s">
        <v>1991</v>
      </c>
      <c r="L5311" s="30" t="s">
        <v>225</v>
      </c>
      <c r="M5311" s="30" t="s">
        <v>993</v>
      </c>
      <c r="N5311" s="30" t="s">
        <v>307</v>
      </c>
      <c r="P5311" s="30" t="s">
        <v>95</v>
      </c>
      <c r="Q5311" t="s">
        <v>622</v>
      </c>
      <c r="R5311" t="s">
        <v>3894</v>
      </c>
      <c r="S5311">
        <v>36</v>
      </c>
      <c r="T5311" s="29" t="str">
        <f>HYPERLINK("https://ictv.global/ictv/proposals/2020.001G.R.Abolish_type_species.pdf","2020.001G.R.Abolish_type_species.pdf")</f>
        <v>2020.001G.R.Abolish_type_species.pdf</v>
      </c>
      <c r="U5311" s="29" t="str">
        <f>HYPERLINK("https://ictv.global/taxonomy/taxondetails?taxnode_id=202304105","ictv.global=202304105")</f>
        <v>ictv.global=202304105</v>
      </c>
    </row>
    <row r="5312" spans="1:21">
      <c r="A5312">
        <v>5311</v>
      </c>
      <c r="B5312" s="30" t="s">
        <v>1956</v>
      </c>
      <c r="D5312" s="30" t="s">
        <v>1985</v>
      </c>
      <c r="F5312" s="30" t="s">
        <v>1986</v>
      </c>
      <c r="H5312" s="30" t="s">
        <v>1989</v>
      </c>
      <c r="J5312" s="30" t="s">
        <v>1991</v>
      </c>
      <c r="L5312" s="30" t="s">
        <v>225</v>
      </c>
      <c r="M5312" s="30" t="s">
        <v>993</v>
      </c>
      <c r="N5312" s="30" t="s">
        <v>307</v>
      </c>
      <c r="P5312" s="30" t="s">
        <v>96</v>
      </c>
      <c r="Q5312" t="s">
        <v>622</v>
      </c>
      <c r="R5312" t="s">
        <v>919</v>
      </c>
      <c r="S5312">
        <v>35</v>
      </c>
      <c r="T5312" s="29" t="str">
        <f>HYPERLINK("https://ictv.global/ictv/proposals/2019.005G.zip","2019.005G.zip")</f>
        <v>2019.005G.zip</v>
      </c>
      <c r="U5312" s="29" t="str">
        <f>HYPERLINK("https://ictv.global/taxonomy/taxondetails?taxnode_id=202304106","ictv.global=202304106")</f>
        <v>ictv.global=202304106</v>
      </c>
    </row>
    <row r="5313" spans="1:21">
      <c r="A5313">
        <v>5312</v>
      </c>
      <c r="B5313" s="30" t="s">
        <v>1956</v>
      </c>
      <c r="D5313" s="30" t="s">
        <v>1985</v>
      </c>
      <c r="F5313" s="30" t="s">
        <v>1986</v>
      </c>
      <c r="H5313" s="30" t="s">
        <v>1989</v>
      </c>
      <c r="J5313" s="30" t="s">
        <v>1991</v>
      </c>
      <c r="L5313" s="30" t="s">
        <v>225</v>
      </c>
      <c r="M5313" s="30" t="s">
        <v>993</v>
      </c>
      <c r="N5313" s="30" t="s">
        <v>97</v>
      </c>
      <c r="P5313" s="30" t="s">
        <v>98</v>
      </c>
      <c r="Q5313" t="s">
        <v>622</v>
      </c>
      <c r="R5313" t="s">
        <v>3894</v>
      </c>
      <c r="S5313">
        <v>36</v>
      </c>
      <c r="T5313" s="29" t="str">
        <f>HYPERLINK("https://ictv.global/ictv/proposals/2020.001G.R.Abolish_type_species.pdf","2020.001G.R.Abolish_type_species.pdf")</f>
        <v>2020.001G.R.Abolish_type_species.pdf</v>
      </c>
      <c r="U5313" s="29" t="str">
        <f>HYPERLINK("https://ictv.global/taxonomy/taxondetails?taxnode_id=202304108","ictv.global=202304108")</f>
        <v>ictv.global=202304108</v>
      </c>
    </row>
    <row r="5314" spans="1:21">
      <c r="A5314">
        <v>5313</v>
      </c>
      <c r="B5314" s="30" t="s">
        <v>1956</v>
      </c>
      <c r="D5314" s="30" t="s">
        <v>1985</v>
      </c>
      <c r="F5314" s="30" t="s">
        <v>1986</v>
      </c>
      <c r="H5314" s="30" t="s">
        <v>1989</v>
      </c>
      <c r="J5314" s="30" t="s">
        <v>1991</v>
      </c>
      <c r="L5314" s="30" t="s">
        <v>225</v>
      </c>
      <c r="M5314" s="30" t="s">
        <v>993</v>
      </c>
      <c r="N5314" s="30" t="s">
        <v>97</v>
      </c>
      <c r="P5314" s="30" t="s">
        <v>1002</v>
      </c>
      <c r="Q5314" t="s">
        <v>622</v>
      </c>
      <c r="R5314" t="s">
        <v>919</v>
      </c>
      <c r="S5314">
        <v>35</v>
      </c>
      <c r="T5314" s="29" t="str">
        <f>HYPERLINK("https://ictv.global/ictv/proposals/2019.005G.zip","2019.005G.zip")</f>
        <v>2019.005G.zip</v>
      </c>
      <c r="U5314" s="29" t="str">
        <f>HYPERLINK("https://ictv.global/taxonomy/taxondetails?taxnode_id=202305872","ictv.global=202305872")</f>
        <v>ictv.global=202305872</v>
      </c>
    </row>
    <row r="5315" spans="1:21">
      <c r="A5315">
        <v>5314</v>
      </c>
      <c r="B5315" s="30" t="s">
        <v>1956</v>
      </c>
      <c r="D5315" s="30" t="s">
        <v>1985</v>
      </c>
      <c r="F5315" s="30" t="s">
        <v>1986</v>
      </c>
      <c r="H5315" s="30" t="s">
        <v>1989</v>
      </c>
      <c r="J5315" s="30" t="s">
        <v>1991</v>
      </c>
      <c r="L5315" s="30" t="s">
        <v>225</v>
      </c>
      <c r="M5315" s="30" t="s">
        <v>993</v>
      </c>
      <c r="N5315" s="30" t="s">
        <v>97</v>
      </c>
      <c r="P5315" s="30" t="s">
        <v>1003</v>
      </c>
      <c r="Q5315" t="s">
        <v>622</v>
      </c>
      <c r="R5315" t="s">
        <v>919</v>
      </c>
      <c r="S5315">
        <v>35</v>
      </c>
      <c r="T5315" s="29" t="str">
        <f>HYPERLINK("https://ictv.global/ictv/proposals/2019.005G.zip","2019.005G.zip")</f>
        <v>2019.005G.zip</v>
      </c>
      <c r="U5315" s="29" t="str">
        <f>HYPERLINK("https://ictv.global/taxonomy/taxondetails?taxnode_id=202305873","ictv.global=202305873")</f>
        <v>ictv.global=202305873</v>
      </c>
    </row>
    <row r="5316" spans="1:21">
      <c r="A5316">
        <v>5315</v>
      </c>
      <c r="B5316" s="30" t="s">
        <v>1956</v>
      </c>
      <c r="D5316" s="30" t="s">
        <v>1985</v>
      </c>
      <c r="F5316" s="30" t="s">
        <v>1986</v>
      </c>
      <c r="H5316" s="30" t="s">
        <v>1989</v>
      </c>
      <c r="J5316" s="30" t="s">
        <v>1991</v>
      </c>
      <c r="L5316" s="30" t="s">
        <v>225</v>
      </c>
      <c r="M5316" s="30" t="s">
        <v>993</v>
      </c>
      <c r="N5316" s="30" t="s">
        <v>99</v>
      </c>
      <c r="P5316" s="30" t="s">
        <v>100</v>
      </c>
      <c r="Q5316" t="s">
        <v>622</v>
      </c>
      <c r="R5316" t="s">
        <v>3894</v>
      </c>
      <c r="S5316">
        <v>36</v>
      </c>
      <c r="T5316" s="29" t="str">
        <f>HYPERLINK("https://ictv.global/ictv/proposals/2020.001G.R.Abolish_type_species.pdf","2020.001G.R.Abolish_type_species.pdf")</f>
        <v>2020.001G.R.Abolish_type_species.pdf</v>
      </c>
      <c r="U5316" s="29" t="str">
        <f>HYPERLINK("https://ictv.global/taxonomy/taxondetails?taxnode_id=202304110","ictv.global=202304110")</f>
        <v>ictv.global=202304110</v>
      </c>
    </row>
    <row r="5317" spans="1:21">
      <c r="A5317">
        <v>5316</v>
      </c>
      <c r="B5317" s="30" t="s">
        <v>1956</v>
      </c>
      <c r="D5317" s="30" t="s">
        <v>1985</v>
      </c>
      <c r="F5317" s="30" t="s">
        <v>1986</v>
      </c>
      <c r="H5317" s="30" t="s">
        <v>1989</v>
      </c>
      <c r="J5317" s="30" t="s">
        <v>1991</v>
      </c>
      <c r="L5317" s="30" t="s">
        <v>225</v>
      </c>
      <c r="M5317" s="30" t="s">
        <v>993</v>
      </c>
      <c r="N5317" s="30" t="s">
        <v>99</v>
      </c>
      <c r="P5317" s="30" t="s">
        <v>763</v>
      </c>
      <c r="Q5317" t="s">
        <v>622</v>
      </c>
      <c r="R5317" t="s">
        <v>919</v>
      </c>
      <c r="S5317">
        <v>35</v>
      </c>
      <c r="T5317" s="29" t="str">
        <f>HYPERLINK("https://ictv.global/ictv/proposals/2019.005G.zip","2019.005G.zip")</f>
        <v>2019.005G.zip</v>
      </c>
      <c r="U5317" s="29" t="str">
        <f>HYPERLINK("https://ictv.global/taxonomy/taxondetails?taxnode_id=202304111","ictv.global=202304111")</f>
        <v>ictv.global=202304111</v>
      </c>
    </row>
    <row r="5318" spans="1:21">
      <c r="A5318">
        <v>5317</v>
      </c>
      <c r="B5318" s="30" t="s">
        <v>1956</v>
      </c>
      <c r="D5318" s="30" t="s">
        <v>1985</v>
      </c>
      <c r="F5318" s="30" t="s">
        <v>1986</v>
      </c>
      <c r="H5318" s="30" t="s">
        <v>1989</v>
      </c>
      <c r="J5318" s="30" t="s">
        <v>1991</v>
      </c>
      <c r="L5318" s="30" t="s">
        <v>225</v>
      </c>
      <c r="M5318" s="30" t="s">
        <v>993</v>
      </c>
      <c r="N5318" s="30" t="s">
        <v>101</v>
      </c>
      <c r="P5318" s="30" t="s">
        <v>102</v>
      </c>
      <c r="Q5318" t="s">
        <v>622</v>
      </c>
      <c r="R5318" t="s">
        <v>3894</v>
      </c>
      <c r="S5318">
        <v>36</v>
      </c>
      <c r="T5318" s="29" t="str">
        <f>HYPERLINK("https://ictv.global/ictv/proposals/2020.001G.R.Abolish_type_species.pdf","2020.001G.R.Abolish_type_species.pdf")</f>
        <v>2020.001G.R.Abolish_type_species.pdf</v>
      </c>
      <c r="U5318" s="29" t="str">
        <f>HYPERLINK("https://ictv.global/taxonomy/taxondetails?taxnode_id=202304113","ictv.global=202304113")</f>
        <v>ictv.global=202304113</v>
      </c>
    </row>
    <row r="5319" spans="1:21">
      <c r="A5319">
        <v>5318</v>
      </c>
      <c r="B5319" s="30" t="s">
        <v>1956</v>
      </c>
      <c r="D5319" s="30" t="s">
        <v>1985</v>
      </c>
      <c r="F5319" s="30" t="s">
        <v>1986</v>
      </c>
      <c r="H5319" s="30" t="s">
        <v>1989</v>
      </c>
      <c r="J5319" s="30" t="s">
        <v>1991</v>
      </c>
      <c r="L5319" s="30" t="s">
        <v>225</v>
      </c>
      <c r="M5319" s="30" t="s">
        <v>993</v>
      </c>
      <c r="N5319" s="30" t="s">
        <v>103</v>
      </c>
      <c r="P5319" s="30" t="s">
        <v>104</v>
      </c>
      <c r="Q5319" t="s">
        <v>622</v>
      </c>
      <c r="R5319" t="s">
        <v>3894</v>
      </c>
      <c r="S5319">
        <v>36</v>
      </c>
      <c r="T5319" s="29" t="str">
        <f>HYPERLINK("https://ictv.global/ictv/proposals/2020.001G.R.Abolish_type_species.pdf","2020.001G.R.Abolish_type_species.pdf")</f>
        <v>2020.001G.R.Abolish_type_species.pdf</v>
      </c>
      <c r="U5319" s="29" t="str">
        <f>HYPERLINK("https://ictv.global/taxonomy/taxondetails?taxnode_id=202304115","ictv.global=202304115")</f>
        <v>ictv.global=202304115</v>
      </c>
    </row>
    <row r="5320" spans="1:21">
      <c r="A5320">
        <v>5319</v>
      </c>
      <c r="B5320" s="30" t="s">
        <v>1956</v>
      </c>
      <c r="D5320" s="30" t="s">
        <v>1985</v>
      </c>
      <c r="F5320" s="30" t="s">
        <v>1986</v>
      </c>
      <c r="H5320" s="30" t="s">
        <v>1989</v>
      </c>
      <c r="J5320" s="30" t="s">
        <v>1991</v>
      </c>
      <c r="L5320" s="30" t="s">
        <v>225</v>
      </c>
      <c r="M5320" s="30" t="s">
        <v>993</v>
      </c>
      <c r="N5320" s="30" t="s">
        <v>103</v>
      </c>
      <c r="P5320" s="30" t="s">
        <v>588</v>
      </c>
      <c r="Q5320" t="s">
        <v>622</v>
      </c>
      <c r="R5320" t="s">
        <v>919</v>
      </c>
      <c r="S5320">
        <v>35</v>
      </c>
      <c r="T5320" s="29" t="str">
        <f>HYPERLINK("https://ictv.global/ictv/proposals/2019.005G.zip","2019.005G.zip")</f>
        <v>2019.005G.zip</v>
      </c>
      <c r="U5320" s="29" t="str">
        <f>HYPERLINK("https://ictv.global/taxonomy/taxondetails?taxnode_id=202304116","ictv.global=202304116")</f>
        <v>ictv.global=202304116</v>
      </c>
    </row>
    <row r="5321" spans="1:21">
      <c r="A5321">
        <v>5320</v>
      </c>
      <c r="B5321" s="30" t="s">
        <v>1956</v>
      </c>
      <c r="D5321" s="30" t="s">
        <v>1985</v>
      </c>
      <c r="F5321" s="30" t="s">
        <v>1986</v>
      </c>
      <c r="H5321" s="30" t="s">
        <v>1989</v>
      </c>
      <c r="J5321" s="30" t="s">
        <v>1991</v>
      </c>
      <c r="L5321" s="30" t="s">
        <v>225</v>
      </c>
      <c r="M5321" s="30" t="s">
        <v>993</v>
      </c>
      <c r="N5321" s="30" t="s">
        <v>103</v>
      </c>
      <c r="P5321" s="30" t="s">
        <v>764</v>
      </c>
      <c r="Q5321" t="s">
        <v>622</v>
      </c>
      <c r="R5321" t="s">
        <v>919</v>
      </c>
      <c r="S5321">
        <v>35</v>
      </c>
      <c r="T5321" s="29" t="str">
        <f>HYPERLINK("https://ictv.global/ictv/proposals/2019.005G.zip","2019.005G.zip")</f>
        <v>2019.005G.zip</v>
      </c>
      <c r="U5321" s="29" t="str">
        <f>HYPERLINK("https://ictv.global/taxonomy/taxondetails?taxnode_id=202304117","ictv.global=202304117")</f>
        <v>ictv.global=202304117</v>
      </c>
    </row>
    <row r="5322" spans="1:21">
      <c r="A5322">
        <v>5321</v>
      </c>
      <c r="B5322" s="30" t="s">
        <v>1956</v>
      </c>
      <c r="D5322" s="30" t="s">
        <v>1985</v>
      </c>
      <c r="F5322" s="30" t="s">
        <v>1986</v>
      </c>
      <c r="H5322" s="30" t="s">
        <v>1989</v>
      </c>
      <c r="J5322" s="30" t="s">
        <v>1991</v>
      </c>
      <c r="L5322" s="30" t="s">
        <v>225</v>
      </c>
      <c r="M5322" s="30" t="s">
        <v>993</v>
      </c>
      <c r="N5322" s="30" t="s">
        <v>103</v>
      </c>
      <c r="P5322" s="30" t="s">
        <v>1004</v>
      </c>
      <c r="Q5322" t="s">
        <v>622</v>
      </c>
      <c r="R5322" t="s">
        <v>919</v>
      </c>
      <c r="S5322">
        <v>35</v>
      </c>
      <c r="T5322" s="29" t="str">
        <f>HYPERLINK("https://ictv.global/ictv/proposals/2019.005G.zip","2019.005G.zip")</f>
        <v>2019.005G.zip</v>
      </c>
      <c r="U5322" s="29" t="str">
        <f>HYPERLINK("https://ictv.global/taxonomy/taxondetails?taxnode_id=202305874","ictv.global=202305874")</f>
        <v>ictv.global=202305874</v>
      </c>
    </row>
    <row r="5323" spans="1:21">
      <c r="A5323">
        <v>5322</v>
      </c>
      <c r="B5323" s="30" t="s">
        <v>1956</v>
      </c>
      <c r="D5323" s="30" t="s">
        <v>1985</v>
      </c>
      <c r="F5323" s="30" t="s">
        <v>1986</v>
      </c>
      <c r="H5323" s="30" t="s">
        <v>1989</v>
      </c>
      <c r="J5323" s="30" t="s">
        <v>1991</v>
      </c>
      <c r="L5323" s="30" t="s">
        <v>225</v>
      </c>
      <c r="M5323" s="30" t="s">
        <v>993</v>
      </c>
      <c r="N5323" s="30" t="s">
        <v>308</v>
      </c>
      <c r="P5323" s="30" t="s">
        <v>105</v>
      </c>
      <c r="Q5323" t="s">
        <v>622</v>
      </c>
      <c r="R5323" t="s">
        <v>3894</v>
      </c>
      <c r="S5323">
        <v>36</v>
      </c>
      <c r="T5323" s="29" t="str">
        <f t="shared" ref="T5323:T5331" si="245">HYPERLINK("https://ictv.global/ictv/proposals/2020.001G.R.Abolish_type_species.pdf","2020.001G.R.Abolish_type_species.pdf")</f>
        <v>2020.001G.R.Abolish_type_species.pdf</v>
      </c>
      <c r="U5323" s="29" t="str">
        <f>HYPERLINK("https://ictv.global/taxonomy/taxondetails?taxnode_id=202304119","ictv.global=202304119")</f>
        <v>ictv.global=202304119</v>
      </c>
    </row>
    <row r="5324" spans="1:21">
      <c r="A5324">
        <v>5323</v>
      </c>
      <c r="B5324" s="30" t="s">
        <v>1956</v>
      </c>
      <c r="D5324" s="30" t="s">
        <v>1985</v>
      </c>
      <c r="F5324" s="30" t="s">
        <v>1986</v>
      </c>
      <c r="H5324" s="30" t="s">
        <v>1989</v>
      </c>
      <c r="J5324" s="30" t="s">
        <v>1991</v>
      </c>
      <c r="L5324" s="30" t="s">
        <v>225</v>
      </c>
      <c r="M5324" s="30" t="s">
        <v>993</v>
      </c>
      <c r="N5324" s="30" t="s">
        <v>765</v>
      </c>
      <c r="P5324" s="30" t="s">
        <v>766</v>
      </c>
      <c r="Q5324" t="s">
        <v>622</v>
      </c>
      <c r="R5324" t="s">
        <v>3894</v>
      </c>
      <c r="S5324">
        <v>36</v>
      </c>
      <c r="T5324" s="29" t="str">
        <f t="shared" si="245"/>
        <v>2020.001G.R.Abolish_type_species.pdf</v>
      </c>
      <c r="U5324" s="29" t="str">
        <f>HYPERLINK("https://ictv.global/taxonomy/taxondetails?taxnode_id=202304121","ictv.global=202304121")</f>
        <v>ictv.global=202304121</v>
      </c>
    </row>
    <row r="5325" spans="1:21">
      <c r="A5325">
        <v>5324</v>
      </c>
      <c r="B5325" s="30" t="s">
        <v>1956</v>
      </c>
      <c r="D5325" s="30" t="s">
        <v>1985</v>
      </c>
      <c r="F5325" s="30" t="s">
        <v>1986</v>
      </c>
      <c r="H5325" s="30" t="s">
        <v>1989</v>
      </c>
      <c r="J5325" s="30" t="s">
        <v>1991</v>
      </c>
      <c r="L5325" s="30" t="s">
        <v>225</v>
      </c>
      <c r="M5325" s="30" t="s">
        <v>993</v>
      </c>
      <c r="N5325" s="30" t="s">
        <v>767</v>
      </c>
      <c r="P5325" s="30" t="s">
        <v>768</v>
      </c>
      <c r="Q5325" t="s">
        <v>622</v>
      </c>
      <c r="R5325" t="s">
        <v>3894</v>
      </c>
      <c r="S5325">
        <v>36</v>
      </c>
      <c r="T5325" s="29" t="str">
        <f t="shared" si="245"/>
        <v>2020.001G.R.Abolish_type_species.pdf</v>
      </c>
      <c r="U5325" s="29" t="str">
        <f>HYPERLINK("https://ictv.global/taxonomy/taxondetails?taxnode_id=202304123","ictv.global=202304123")</f>
        <v>ictv.global=202304123</v>
      </c>
    </row>
    <row r="5326" spans="1:21">
      <c r="A5326">
        <v>5325</v>
      </c>
      <c r="B5326" s="30" t="s">
        <v>1956</v>
      </c>
      <c r="D5326" s="30" t="s">
        <v>1985</v>
      </c>
      <c r="F5326" s="30" t="s">
        <v>1986</v>
      </c>
      <c r="H5326" s="30" t="s">
        <v>1989</v>
      </c>
      <c r="J5326" s="30" t="s">
        <v>1991</v>
      </c>
      <c r="L5326" s="30" t="s">
        <v>225</v>
      </c>
      <c r="M5326" s="30" t="s">
        <v>993</v>
      </c>
      <c r="N5326" s="30" t="s">
        <v>769</v>
      </c>
      <c r="P5326" s="30" t="s">
        <v>770</v>
      </c>
      <c r="Q5326" t="s">
        <v>622</v>
      </c>
      <c r="R5326" t="s">
        <v>3894</v>
      </c>
      <c r="S5326">
        <v>36</v>
      </c>
      <c r="T5326" s="29" t="str">
        <f t="shared" si="245"/>
        <v>2020.001G.R.Abolish_type_species.pdf</v>
      </c>
      <c r="U5326" s="29" t="str">
        <f>HYPERLINK("https://ictv.global/taxonomy/taxondetails?taxnode_id=202304125","ictv.global=202304125")</f>
        <v>ictv.global=202304125</v>
      </c>
    </row>
    <row r="5327" spans="1:21">
      <c r="A5327">
        <v>5326</v>
      </c>
      <c r="B5327" s="30" t="s">
        <v>1956</v>
      </c>
      <c r="D5327" s="30" t="s">
        <v>1985</v>
      </c>
      <c r="F5327" s="30" t="s">
        <v>1986</v>
      </c>
      <c r="H5327" s="30" t="s">
        <v>1989</v>
      </c>
      <c r="J5327" s="30" t="s">
        <v>1991</v>
      </c>
      <c r="L5327" s="30" t="s">
        <v>225</v>
      </c>
      <c r="M5327" s="30" t="s">
        <v>993</v>
      </c>
      <c r="N5327" s="30" t="s">
        <v>1005</v>
      </c>
      <c r="P5327" s="30" t="s">
        <v>1006</v>
      </c>
      <c r="Q5327" t="s">
        <v>622</v>
      </c>
      <c r="R5327" t="s">
        <v>3894</v>
      </c>
      <c r="S5327">
        <v>36</v>
      </c>
      <c r="T5327" s="29" t="str">
        <f t="shared" si="245"/>
        <v>2020.001G.R.Abolish_type_species.pdf</v>
      </c>
      <c r="U5327" s="29" t="str">
        <f>HYPERLINK("https://ictv.global/taxonomy/taxondetails?taxnode_id=202305875","ictv.global=202305875")</f>
        <v>ictv.global=202305875</v>
      </c>
    </row>
    <row r="5328" spans="1:21">
      <c r="A5328">
        <v>5327</v>
      </c>
      <c r="B5328" s="30" t="s">
        <v>1956</v>
      </c>
      <c r="D5328" s="30" t="s">
        <v>1985</v>
      </c>
      <c r="F5328" s="30" t="s">
        <v>1986</v>
      </c>
      <c r="H5328" s="30" t="s">
        <v>1989</v>
      </c>
      <c r="J5328" s="30" t="s">
        <v>1991</v>
      </c>
      <c r="L5328" s="30" t="s">
        <v>225</v>
      </c>
      <c r="M5328" s="30" t="s">
        <v>993</v>
      </c>
      <c r="N5328" s="30" t="s">
        <v>1007</v>
      </c>
      <c r="P5328" s="30" t="s">
        <v>1008</v>
      </c>
      <c r="Q5328" t="s">
        <v>622</v>
      </c>
      <c r="R5328" t="s">
        <v>3894</v>
      </c>
      <c r="S5328">
        <v>36</v>
      </c>
      <c r="T5328" s="29" t="str">
        <f t="shared" si="245"/>
        <v>2020.001G.R.Abolish_type_species.pdf</v>
      </c>
      <c r="U5328" s="29" t="str">
        <f>HYPERLINK("https://ictv.global/taxonomy/taxondetails?taxnode_id=202305877","ictv.global=202305877")</f>
        <v>ictv.global=202305877</v>
      </c>
    </row>
    <row r="5329" spans="1:21">
      <c r="A5329">
        <v>5328</v>
      </c>
      <c r="B5329" s="30" t="s">
        <v>1956</v>
      </c>
      <c r="D5329" s="30" t="s">
        <v>1985</v>
      </c>
      <c r="F5329" s="30" t="s">
        <v>1986</v>
      </c>
      <c r="H5329" s="30" t="s">
        <v>1989</v>
      </c>
      <c r="J5329" s="30" t="s">
        <v>1991</v>
      </c>
      <c r="L5329" s="30" t="s">
        <v>225</v>
      </c>
      <c r="M5329" s="30" t="s">
        <v>993</v>
      </c>
      <c r="N5329" s="30" t="s">
        <v>1009</v>
      </c>
      <c r="P5329" s="30" t="s">
        <v>1010</v>
      </c>
      <c r="Q5329" t="s">
        <v>622</v>
      </c>
      <c r="R5329" t="s">
        <v>3894</v>
      </c>
      <c r="S5329">
        <v>36</v>
      </c>
      <c r="T5329" s="29" t="str">
        <f t="shared" si="245"/>
        <v>2020.001G.R.Abolish_type_species.pdf</v>
      </c>
      <c r="U5329" s="29" t="str">
        <f>HYPERLINK("https://ictv.global/taxonomy/taxondetails?taxnode_id=202305879","ictv.global=202305879")</f>
        <v>ictv.global=202305879</v>
      </c>
    </row>
    <row r="5330" spans="1:21">
      <c r="A5330">
        <v>5329</v>
      </c>
      <c r="B5330" s="30" t="s">
        <v>1956</v>
      </c>
      <c r="D5330" s="30" t="s">
        <v>1985</v>
      </c>
      <c r="F5330" s="30" t="s">
        <v>1986</v>
      </c>
      <c r="H5330" s="30" t="s">
        <v>1989</v>
      </c>
      <c r="J5330" s="30" t="s">
        <v>1991</v>
      </c>
      <c r="L5330" s="30" t="s">
        <v>225</v>
      </c>
      <c r="M5330" s="30" t="s">
        <v>993</v>
      </c>
      <c r="N5330" s="30" t="s">
        <v>771</v>
      </c>
      <c r="P5330" s="30" t="s">
        <v>772</v>
      </c>
      <c r="Q5330" t="s">
        <v>622</v>
      </c>
      <c r="R5330" t="s">
        <v>3894</v>
      </c>
      <c r="S5330">
        <v>36</v>
      </c>
      <c r="T5330" s="29" t="str">
        <f t="shared" si="245"/>
        <v>2020.001G.R.Abolish_type_species.pdf</v>
      </c>
      <c r="U5330" s="29" t="str">
        <f>HYPERLINK("https://ictv.global/taxonomy/taxondetails?taxnode_id=202304127","ictv.global=202304127")</f>
        <v>ictv.global=202304127</v>
      </c>
    </row>
    <row r="5331" spans="1:21">
      <c r="A5331">
        <v>5330</v>
      </c>
      <c r="B5331" s="30" t="s">
        <v>1956</v>
      </c>
      <c r="D5331" s="30" t="s">
        <v>1985</v>
      </c>
      <c r="F5331" s="30" t="s">
        <v>1986</v>
      </c>
      <c r="H5331" s="30" t="s">
        <v>1989</v>
      </c>
      <c r="J5331" s="30" t="s">
        <v>1991</v>
      </c>
      <c r="L5331" s="30" t="s">
        <v>225</v>
      </c>
      <c r="M5331" s="30" t="s">
        <v>993</v>
      </c>
      <c r="N5331" s="30" t="s">
        <v>106</v>
      </c>
      <c r="P5331" s="30" t="s">
        <v>107</v>
      </c>
      <c r="Q5331" t="s">
        <v>622</v>
      </c>
      <c r="R5331" t="s">
        <v>3894</v>
      </c>
      <c r="S5331">
        <v>36</v>
      </c>
      <c r="T5331" s="29" t="str">
        <f t="shared" si="245"/>
        <v>2020.001G.R.Abolish_type_species.pdf</v>
      </c>
      <c r="U5331" s="29" t="str">
        <f>HYPERLINK("https://ictv.global/taxonomy/taxondetails?taxnode_id=202304129","ictv.global=202304129")</f>
        <v>ictv.global=202304129</v>
      </c>
    </row>
    <row r="5332" spans="1:21">
      <c r="A5332">
        <v>5331</v>
      </c>
      <c r="B5332" s="30" t="s">
        <v>1956</v>
      </c>
      <c r="D5332" s="30" t="s">
        <v>1985</v>
      </c>
      <c r="F5332" s="30" t="s">
        <v>1986</v>
      </c>
      <c r="H5332" s="30" t="s">
        <v>1989</v>
      </c>
      <c r="J5332" s="30" t="s">
        <v>1991</v>
      </c>
      <c r="L5332" s="30" t="s">
        <v>225</v>
      </c>
      <c r="M5332" s="30" t="s">
        <v>993</v>
      </c>
      <c r="N5332" s="30" t="s">
        <v>106</v>
      </c>
      <c r="P5332" s="30" t="s">
        <v>108</v>
      </c>
      <c r="Q5332" t="s">
        <v>622</v>
      </c>
      <c r="R5332" t="s">
        <v>919</v>
      </c>
      <c r="S5332">
        <v>35</v>
      </c>
      <c r="T5332" s="29" t="str">
        <f>HYPERLINK("https://ictv.global/ictv/proposals/2019.005G.zip","2019.005G.zip")</f>
        <v>2019.005G.zip</v>
      </c>
      <c r="U5332" s="29" t="str">
        <f>HYPERLINK("https://ictv.global/taxonomy/taxondetails?taxnode_id=202304130","ictv.global=202304130")</f>
        <v>ictv.global=202304130</v>
      </c>
    </row>
    <row r="5333" spans="1:21">
      <c r="A5333">
        <v>5332</v>
      </c>
      <c r="B5333" s="30" t="s">
        <v>1956</v>
      </c>
      <c r="D5333" s="30" t="s">
        <v>1985</v>
      </c>
      <c r="F5333" s="30" t="s">
        <v>1986</v>
      </c>
      <c r="H5333" s="30" t="s">
        <v>1989</v>
      </c>
      <c r="J5333" s="30" t="s">
        <v>1991</v>
      </c>
      <c r="L5333" s="30" t="s">
        <v>225</v>
      </c>
      <c r="M5333" s="30" t="s">
        <v>993</v>
      </c>
      <c r="N5333" s="30" t="s">
        <v>106</v>
      </c>
      <c r="P5333" s="30" t="s">
        <v>589</v>
      </c>
      <c r="Q5333" t="s">
        <v>622</v>
      </c>
      <c r="R5333" t="s">
        <v>919</v>
      </c>
      <c r="S5333">
        <v>35</v>
      </c>
      <c r="T5333" s="29" t="str">
        <f>HYPERLINK("https://ictv.global/ictv/proposals/2019.005G.zip","2019.005G.zip")</f>
        <v>2019.005G.zip</v>
      </c>
      <c r="U5333" s="29" t="str">
        <f>HYPERLINK("https://ictv.global/taxonomy/taxondetails?taxnode_id=202304131","ictv.global=202304131")</f>
        <v>ictv.global=202304131</v>
      </c>
    </row>
    <row r="5334" spans="1:21">
      <c r="A5334">
        <v>5333</v>
      </c>
      <c r="B5334" s="30" t="s">
        <v>1956</v>
      </c>
      <c r="D5334" s="30" t="s">
        <v>1985</v>
      </c>
      <c r="F5334" s="30" t="s">
        <v>1986</v>
      </c>
      <c r="H5334" s="30" t="s">
        <v>1989</v>
      </c>
      <c r="J5334" s="30" t="s">
        <v>1991</v>
      </c>
      <c r="L5334" s="30" t="s">
        <v>225</v>
      </c>
      <c r="M5334" s="30" t="s">
        <v>993</v>
      </c>
      <c r="N5334" s="30" t="s">
        <v>399</v>
      </c>
      <c r="P5334" s="30" t="s">
        <v>109</v>
      </c>
      <c r="Q5334" t="s">
        <v>622</v>
      </c>
      <c r="R5334" t="s">
        <v>3894</v>
      </c>
      <c r="S5334">
        <v>36</v>
      </c>
      <c r="T5334" s="29" t="str">
        <f>HYPERLINK("https://ictv.global/ictv/proposals/2020.001G.R.Abolish_type_species.pdf","2020.001G.R.Abolish_type_species.pdf")</f>
        <v>2020.001G.R.Abolish_type_species.pdf</v>
      </c>
      <c r="U5334" s="29" t="str">
        <f>HYPERLINK("https://ictv.global/taxonomy/taxondetails?taxnode_id=202304133","ictv.global=202304133")</f>
        <v>ictv.global=202304133</v>
      </c>
    </row>
    <row r="5335" spans="1:21">
      <c r="A5335">
        <v>5334</v>
      </c>
      <c r="B5335" s="30" t="s">
        <v>1956</v>
      </c>
      <c r="D5335" s="30" t="s">
        <v>1985</v>
      </c>
      <c r="F5335" s="30" t="s">
        <v>1986</v>
      </c>
      <c r="H5335" s="30" t="s">
        <v>1989</v>
      </c>
      <c r="J5335" s="30" t="s">
        <v>1991</v>
      </c>
      <c r="L5335" s="30" t="s">
        <v>225</v>
      </c>
      <c r="M5335" s="30" t="s">
        <v>993</v>
      </c>
      <c r="N5335" s="30" t="s">
        <v>399</v>
      </c>
      <c r="P5335" s="30" t="s">
        <v>590</v>
      </c>
      <c r="Q5335" t="s">
        <v>622</v>
      </c>
      <c r="R5335" t="s">
        <v>919</v>
      </c>
      <c r="S5335">
        <v>35</v>
      </c>
      <c r="T5335" s="29" t="str">
        <f>HYPERLINK("https://ictv.global/ictv/proposals/2019.005G.zip","2019.005G.zip")</f>
        <v>2019.005G.zip</v>
      </c>
      <c r="U5335" s="29" t="str">
        <f>HYPERLINK("https://ictv.global/taxonomy/taxondetails?taxnode_id=202304134","ictv.global=202304134")</f>
        <v>ictv.global=202304134</v>
      </c>
    </row>
    <row r="5336" spans="1:21">
      <c r="A5336">
        <v>5335</v>
      </c>
      <c r="B5336" s="30" t="s">
        <v>1956</v>
      </c>
      <c r="D5336" s="30" t="s">
        <v>1985</v>
      </c>
      <c r="F5336" s="30" t="s">
        <v>1986</v>
      </c>
      <c r="H5336" s="30" t="s">
        <v>1989</v>
      </c>
      <c r="J5336" s="30" t="s">
        <v>1991</v>
      </c>
      <c r="L5336" s="30" t="s">
        <v>225</v>
      </c>
      <c r="M5336" s="30" t="s">
        <v>993</v>
      </c>
      <c r="N5336" s="30" t="s">
        <v>399</v>
      </c>
      <c r="P5336" s="30" t="s">
        <v>773</v>
      </c>
      <c r="Q5336" t="s">
        <v>622</v>
      </c>
      <c r="R5336" t="s">
        <v>919</v>
      </c>
      <c r="S5336">
        <v>35</v>
      </c>
      <c r="T5336" s="29" t="str">
        <f>HYPERLINK("https://ictv.global/ictv/proposals/2019.005G.zip","2019.005G.zip")</f>
        <v>2019.005G.zip</v>
      </c>
      <c r="U5336" s="29" t="str">
        <f>HYPERLINK("https://ictv.global/taxonomy/taxondetails?taxnode_id=202304135","ictv.global=202304135")</f>
        <v>ictv.global=202304135</v>
      </c>
    </row>
    <row r="5337" spans="1:21">
      <c r="A5337">
        <v>5336</v>
      </c>
      <c r="B5337" s="30" t="s">
        <v>1956</v>
      </c>
      <c r="D5337" s="30" t="s">
        <v>1985</v>
      </c>
      <c r="F5337" s="30" t="s">
        <v>1986</v>
      </c>
      <c r="H5337" s="30" t="s">
        <v>1989</v>
      </c>
      <c r="J5337" s="30" t="s">
        <v>1991</v>
      </c>
      <c r="L5337" s="30" t="s">
        <v>225</v>
      </c>
      <c r="M5337" s="30" t="s">
        <v>993</v>
      </c>
      <c r="N5337" s="30" t="s">
        <v>399</v>
      </c>
      <c r="P5337" s="30" t="s">
        <v>1011</v>
      </c>
      <c r="Q5337" t="s">
        <v>622</v>
      </c>
      <c r="R5337" t="s">
        <v>919</v>
      </c>
      <c r="S5337">
        <v>35</v>
      </c>
      <c r="T5337" s="29" t="str">
        <f>HYPERLINK("https://ictv.global/ictv/proposals/2019.005G.zip","2019.005G.zip")</f>
        <v>2019.005G.zip</v>
      </c>
      <c r="U5337" s="29" t="str">
        <f>HYPERLINK("https://ictv.global/taxonomy/taxondetails?taxnode_id=202305881","ictv.global=202305881")</f>
        <v>ictv.global=202305881</v>
      </c>
    </row>
    <row r="5338" spans="1:21">
      <c r="A5338">
        <v>5337</v>
      </c>
      <c r="B5338" s="30" t="s">
        <v>1956</v>
      </c>
      <c r="D5338" s="30" t="s">
        <v>1985</v>
      </c>
      <c r="F5338" s="30" t="s">
        <v>1986</v>
      </c>
      <c r="H5338" s="30" t="s">
        <v>1989</v>
      </c>
      <c r="J5338" s="30" t="s">
        <v>1991</v>
      </c>
      <c r="L5338" s="30" t="s">
        <v>225</v>
      </c>
      <c r="M5338" s="30" t="s">
        <v>993</v>
      </c>
      <c r="N5338" s="30" t="s">
        <v>399</v>
      </c>
      <c r="P5338" s="30" t="s">
        <v>1012</v>
      </c>
      <c r="Q5338" t="s">
        <v>622</v>
      </c>
      <c r="R5338" t="s">
        <v>919</v>
      </c>
      <c r="S5338">
        <v>35</v>
      </c>
      <c r="T5338" s="29" t="str">
        <f>HYPERLINK("https://ictv.global/ictv/proposals/2019.005G.zip","2019.005G.zip")</f>
        <v>2019.005G.zip</v>
      </c>
      <c r="U5338" s="29" t="str">
        <f>HYPERLINK("https://ictv.global/taxonomy/taxondetails?taxnode_id=202305882","ictv.global=202305882")</f>
        <v>ictv.global=202305882</v>
      </c>
    </row>
    <row r="5339" spans="1:21">
      <c r="A5339">
        <v>5338</v>
      </c>
      <c r="B5339" s="30" t="s">
        <v>1956</v>
      </c>
      <c r="D5339" s="30" t="s">
        <v>1985</v>
      </c>
      <c r="F5339" s="30" t="s">
        <v>1986</v>
      </c>
      <c r="H5339" s="30" t="s">
        <v>1989</v>
      </c>
      <c r="J5339" s="30" t="s">
        <v>1991</v>
      </c>
      <c r="L5339" s="30" t="s">
        <v>225</v>
      </c>
      <c r="M5339" s="30" t="s">
        <v>993</v>
      </c>
      <c r="N5339" s="30" t="s">
        <v>400</v>
      </c>
      <c r="P5339" s="30" t="s">
        <v>110</v>
      </c>
      <c r="Q5339" t="s">
        <v>622</v>
      </c>
      <c r="R5339" t="s">
        <v>3894</v>
      </c>
      <c r="S5339">
        <v>36</v>
      </c>
      <c r="T5339" s="29" t="str">
        <f>HYPERLINK("https://ictv.global/ictv/proposals/2020.001G.R.Abolish_type_species.pdf","2020.001G.R.Abolish_type_species.pdf")</f>
        <v>2020.001G.R.Abolish_type_species.pdf</v>
      </c>
      <c r="U5339" s="29" t="str">
        <f>HYPERLINK("https://ictv.global/taxonomy/taxondetails?taxnode_id=202304137","ictv.global=202304137")</f>
        <v>ictv.global=202304137</v>
      </c>
    </row>
    <row r="5340" spans="1:21">
      <c r="A5340">
        <v>5339</v>
      </c>
      <c r="B5340" s="30" t="s">
        <v>1956</v>
      </c>
      <c r="D5340" s="30" t="s">
        <v>1985</v>
      </c>
      <c r="F5340" s="30" t="s">
        <v>1986</v>
      </c>
      <c r="H5340" s="30" t="s">
        <v>1989</v>
      </c>
      <c r="J5340" s="30" t="s">
        <v>1991</v>
      </c>
      <c r="L5340" s="30" t="s">
        <v>225</v>
      </c>
      <c r="M5340" s="30" t="s">
        <v>1013</v>
      </c>
      <c r="N5340" s="30" t="s">
        <v>1014</v>
      </c>
      <c r="P5340" s="30" t="s">
        <v>1015</v>
      </c>
      <c r="Q5340" t="s">
        <v>622</v>
      </c>
      <c r="R5340" t="s">
        <v>3894</v>
      </c>
      <c r="S5340">
        <v>36</v>
      </c>
      <c r="T5340" s="29" t="str">
        <f>HYPERLINK("https://ictv.global/ictv/proposals/2020.001G.R.Abolish_type_species.pdf","2020.001G.R.Abolish_type_species.pdf")</f>
        <v>2020.001G.R.Abolish_type_species.pdf</v>
      </c>
      <c r="U5340" s="29" t="str">
        <f>HYPERLINK("https://ictv.global/taxonomy/taxondetails?taxnode_id=202305884","ictv.global=202305884")</f>
        <v>ictv.global=202305884</v>
      </c>
    </row>
    <row r="5341" spans="1:21">
      <c r="A5341">
        <v>5340</v>
      </c>
      <c r="B5341" s="30" t="s">
        <v>1956</v>
      </c>
      <c r="D5341" s="30" t="s">
        <v>1985</v>
      </c>
      <c r="F5341" s="30" t="s">
        <v>1986</v>
      </c>
      <c r="H5341" s="30" t="s">
        <v>1992</v>
      </c>
      <c r="J5341" s="30" t="s">
        <v>1993</v>
      </c>
      <c r="L5341" s="30" t="s">
        <v>453</v>
      </c>
      <c r="M5341" s="30" t="s">
        <v>454</v>
      </c>
      <c r="N5341" s="30" t="s">
        <v>1994</v>
      </c>
      <c r="P5341" s="30" t="s">
        <v>8705</v>
      </c>
      <c r="Q5341" t="s">
        <v>735</v>
      </c>
      <c r="R5341" t="s">
        <v>920</v>
      </c>
      <c r="S5341">
        <v>38</v>
      </c>
      <c r="T5341" s="29" t="str">
        <f t="shared" ref="T5341:T5354" si="246">HYPERLINK("https://ictv.global/ictv/proposals/2022.005D.Parvoviridae_2ngen_49nsp_125rensp.zip","2022.005D.Parvoviridae_2ngen_49nsp_125rensp.zip")</f>
        <v>2022.005D.Parvoviridae_2ngen_49nsp_125rensp.zip</v>
      </c>
      <c r="U5341" s="29" t="str">
        <f>HYPERLINK("https://ictv.global/taxonomy/taxondetails?taxnode_id=202304209","ictv.global=202304209")</f>
        <v>ictv.global=202304209</v>
      </c>
    </row>
    <row r="5342" spans="1:21">
      <c r="A5342">
        <v>5341</v>
      </c>
      <c r="B5342" s="30" t="s">
        <v>1956</v>
      </c>
      <c r="D5342" s="30" t="s">
        <v>1985</v>
      </c>
      <c r="F5342" s="30" t="s">
        <v>1986</v>
      </c>
      <c r="H5342" s="30" t="s">
        <v>1992</v>
      </c>
      <c r="J5342" s="30" t="s">
        <v>1993</v>
      </c>
      <c r="L5342" s="30" t="s">
        <v>453</v>
      </c>
      <c r="M5342" s="30" t="s">
        <v>454</v>
      </c>
      <c r="N5342" s="30" t="s">
        <v>1994</v>
      </c>
      <c r="P5342" s="30" t="s">
        <v>8706</v>
      </c>
      <c r="Q5342" t="s">
        <v>735</v>
      </c>
      <c r="R5342" t="s">
        <v>917</v>
      </c>
      <c r="S5342">
        <v>38</v>
      </c>
      <c r="T5342" s="29" t="str">
        <f t="shared" si="246"/>
        <v>2022.005D.Parvoviridae_2ngen_49nsp_125rensp.zip</v>
      </c>
      <c r="U5342" s="29" t="str">
        <f>HYPERLINK("https://ictv.global/taxonomy/taxondetails?taxnode_id=202314045","ictv.global=202314045")</f>
        <v>ictv.global=202314045</v>
      </c>
    </row>
    <row r="5343" spans="1:21">
      <c r="A5343">
        <v>5342</v>
      </c>
      <c r="B5343" s="30" t="s">
        <v>1956</v>
      </c>
      <c r="D5343" s="30" t="s">
        <v>1985</v>
      </c>
      <c r="F5343" s="30" t="s">
        <v>1986</v>
      </c>
      <c r="H5343" s="30" t="s">
        <v>1992</v>
      </c>
      <c r="J5343" s="30" t="s">
        <v>1993</v>
      </c>
      <c r="L5343" s="30" t="s">
        <v>453</v>
      </c>
      <c r="M5343" s="30" t="s">
        <v>454</v>
      </c>
      <c r="N5343" s="30" t="s">
        <v>1994</v>
      </c>
      <c r="P5343" s="30" t="s">
        <v>8707</v>
      </c>
      <c r="Q5343" t="s">
        <v>735</v>
      </c>
      <c r="R5343" t="s">
        <v>920</v>
      </c>
      <c r="S5343">
        <v>38</v>
      </c>
      <c r="T5343" s="29" t="str">
        <f t="shared" si="246"/>
        <v>2022.005D.Parvoviridae_2ngen_49nsp_125rensp.zip</v>
      </c>
      <c r="U5343" s="29" t="str">
        <f>HYPERLINK("https://ictv.global/taxonomy/taxondetails?taxnode_id=202304212","ictv.global=202304212")</f>
        <v>ictv.global=202304212</v>
      </c>
    </row>
    <row r="5344" spans="1:21">
      <c r="A5344">
        <v>5343</v>
      </c>
      <c r="B5344" s="30" t="s">
        <v>1956</v>
      </c>
      <c r="D5344" s="30" t="s">
        <v>1985</v>
      </c>
      <c r="F5344" s="30" t="s">
        <v>1986</v>
      </c>
      <c r="H5344" s="30" t="s">
        <v>1992</v>
      </c>
      <c r="J5344" s="30" t="s">
        <v>1993</v>
      </c>
      <c r="L5344" s="30" t="s">
        <v>453</v>
      </c>
      <c r="M5344" s="30" t="s">
        <v>454</v>
      </c>
      <c r="N5344" s="30" t="s">
        <v>1994</v>
      </c>
      <c r="P5344" s="30" t="s">
        <v>8708</v>
      </c>
      <c r="Q5344" t="s">
        <v>735</v>
      </c>
      <c r="R5344" t="s">
        <v>920</v>
      </c>
      <c r="S5344">
        <v>38</v>
      </c>
      <c r="T5344" s="29" t="str">
        <f t="shared" si="246"/>
        <v>2022.005D.Parvoviridae_2ngen_49nsp_125rensp.zip</v>
      </c>
      <c r="U5344" s="29" t="str">
        <f>HYPERLINK("https://ictv.global/taxonomy/taxondetails?taxnode_id=202309264","ictv.global=202309264")</f>
        <v>ictv.global=202309264</v>
      </c>
    </row>
    <row r="5345" spans="1:21">
      <c r="A5345">
        <v>5344</v>
      </c>
      <c r="B5345" s="30" t="s">
        <v>1956</v>
      </c>
      <c r="D5345" s="30" t="s">
        <v>1985</v>
      </c>
      <c r="F5345" s="30" t="s">
        <v>1986</v>
      </c>
      <c r="H5345" s="30" t="s">
        <v>1992</v>
      </c>
      <c r="J5345" s="30" t="s">
        <v>1993</v>
      </c>
      <c r="L5345" s="30" t="s">
        <v>453</v>
      </c>
      <c r="M5345" s="30" t="s">
        <v>454</v>
      </c>
      <c r="N5345" s="30" t="s">
        <v>1995</v>
      </c>
      <c r="P5345" s="30" t="s">
        <v>8709</v>
      </c>
      <c r="Q5345" t="s">
        <v>735</v>
      </c>
      <c r="R5345" t="s">
        <v>920</v>
      </c>
      <c r="S5345">
        <v>38</v>
      </c>
      <c r="T5345" s="29" t="str">
        <f t="shared" si="246"/>
        <v>2022.005D.Parvoviridae_2ngen_49nsp_125rensp.zip</v>
      </c>
      <c r="U5345" s="29" t="str">
        <f>HYPERLINK("https://ictv.global/taxonomy/taxondetails?taxnode_id=202304211","ictv.global=202304211")</f>
        <v>ictv.global=202304211</v>
      </c>
    </row>
    <row r="5346" spans="1:21">
      <c r="A5346">
        <v>5345</v>
      </c>
      <c r="B5346" s="30" t="s">
        <v>1956</v>
      </c>
      <c r="D5346" s="30" t="s">
        <v>1985</v>
      </c>
      <c r="F5346" s="30" t="s">
        <v>1986</v>
      </c>
      <c r="H5346" s="30" t="s">
        <v>1992</v>
      </c>
      <c r="J5346" s="30" t="s">
        <v>1993</v>
      </c>
      <c r="L5346" s="30" t="s">
        <v>453</v>
      </c>
      <c r="M5346" s="30" t="s">
        <v>454</v>
      </c>
      <c r="N5346" s="30" t="s">
        <v>1995</v>
      </c>
      <c r="P5346" s="30" t="s">
        <v>8710</v>
      </c>
      <c r="Q5346" t="s">
        <v>735</v>
      </c>
      <c r="R5346" t="s">
        <v>917</v>
      </c>
      <c r="S5346">
        <v>38</v>
      </c>
      <c r="T5346" s="29" t="str">
        <f t="shared" si="246"/>
        <v>2022.005D.Parvoviridae_2ngen_49nsp_125rensp.zip</v>
      </c>
      <c r="U5346" s="29" t="str">
        <f>HYPERLINK("https://ictv.global/taxonomy/taxondetails?taxnode_id=202314046","ictv.global=202314046")</f>
        <v>ictv.global=202314046</v>
      </c>
    </row>
    <row r="5347" spans="1:21">
      <c r="A5347">
        <v>5346</v>
      </c>
      <c r="B5347" s="30" t="s">
        <v>1956</v>
      </c>
      <c r="D5347" s="30" t="s">
        <v>1985</v>
      </c>
      <c r="F5347" s="30" t="s">
        <v>1986</v>
      </c>
      <c r="H5347" s="30" t="s">
        <v>1992</v>
      </c>
      <c r="J5347" s="30" t="s">
        <v>1993</v>
      </c>
      <c r="L5347" s="30" t="s">
        <v>453</v>
      </c>
      <c r="M5347" s="30" t="s">
        <v>454</v>
      </c>
      <c r="N5347" s="30" t="s">
        <v>1995</v>
      </c>
      <c r="P5347" s="30" t="s">
        <v>8711</v>
      </c>
      <c r="Q5347" t="s">
        <v>735</v>
      </c>
      <c r="R5347" t="s">
        <v>917</v>
      </c>
      <c r="S5347">
        <v>38</v>
      </c>
      <c r="T5347" s="29" t="str">
        <f t="shared" si="246"/>
        <v>2022.005D.Parvoviridae_2ngen_49nsp_125rensp.zip</v>
      </c>
      <c r="U5347" s="29" t="str">
        <f>HYPERLINK("https://ictv.global/taxonomy/taxondetails?taxnode_id=202314047","ictv.global=202314047")</f>
        <v>ictv.global=202314047</v>
      </c>
    </row>
    <row r="5348" spans="1:21">
      <c r="A5348">
        <v>5347</v>
      </c>
      <c r="B5348" s="30" t="s">
        <v>1956</v>
      </c>
      <c r="D5348" s="30" t="s">
        <v>1985</v>
      </c>
      <c r="F5348" s="30" t="s">
        <v>1986</v>
      </c>
      <c r="H5348" s="30" t="s">
        <v>1992</v>
      </c>
      <c r="J5348" s="30" t="s">
        <v>1993</v>
      </c>
      <c r="L5348" s="30" t="s">
        <v>453</v>
      </c>
      <c r="M5348" s="30" t="s">
        <v>454</v>
      </c>
      <c r="N5348" s="30" t="s">
        <v>1995</v>
      </c>
      <c r="P5348" s="30" t="s">
        <v>8712</v>
      </c>
      <c r="Q5348" t="s">
        <v>735</v>
      </c>
      <c r="R5348" t="s">
        <v>917</v>
      </c>
      <c r="S5348">
        <v>38</v>
      </c>
      <c r="T5348" s="29" t="str">
        <f t="shared" si="246"/>
        <v>2022.005D.Parvoviridae_2ngen_49nsp_125rensp.zip</v>
      </c>
      <c r="U5348" s="29" t="str">
        <f>HYPERLINK("https://ictv.global/taxonomy/taxondetails?taxnode_id=202314048","ictv.global=202314048")</f>
        <v>ictv.global=202314048</v>
      </c>
    </row>
    <row r="5349" spans="1:21">
      <c r="A5349">
        <v>5348</v>
      </c>
      <c r="B5349" s="30" t="s">
        <v>1956</v>
      </c>
      <c r="D5349" s="30" t="s">
        <v>1985</v>
      </c>
      <c r="F5349" s="30" t="s">
        <v>1986</v>
      </c>
      <c r="H5349" s="30" t="s">
        <v>1992</v>
      </c>
      <c r="J5349" s="30" t="s">
        <v>1993</v>
      </c>
      <c r="L5349" s="30" t="s">
        <v>453</v>
      </c>
      <c r="M5349" s="30" t="s">
        <v>454</v>
      </c>
      <c r="N5349" s="30" t="s">
        <v>1995</v>
      </c>
      <c r="P5349" s="30" t="s">
        <v>8713</v>
      </c>
      <c r="Q5349" t="s">
        <v>735</v>
      </c>
      <c r="R5349" t="s">
        <v>917</v>
      </c>
      <c r="S5349">
        <v>38</v>
      </c>
      <c r="T5349" s="29" t="str">
        <f t="shared" si="246"/>
        <v>2022.005D.Parvoviridae_2ngen_49nsp_125rensp.zip</v>
      </c>
      <c r="U5349" s="29" t="str">
        <f>HYPERLINK("https://ictv.global/taxonomy/taxondetails?taxnode_id=202314049","ictv.global=202314049")</f>
        <v>ictv.global=202314049</v>
      </c>
    </row>
    <row r="5350" spans="1:21">
      <c r="A5350">
        <v>5349</v>
      </c>
      <c r="B5350" s="30" t="s">
        <v>1956</v>
      </c>
      <c r="D5350" s="30" t="s">
        <v>1985</v>
      </c>
      <c r="F5350" s="30" t="s">
        <v>1986</v>
      </c>
      <c r="H5350" s="30" t="s">
        <v>1992</v>
      </c>
      <c r="J5350" s="30" t="s">
        <v>1993</v>
      </c>
      <c r="L5350" s="30" t="s">
        <v>453</v>
      </c>
      <c r="M5350" s="30" t="s">
        <v>454</v>
      </c>
      <c r="N5350" s="30" t="s">
        <v>2517</v>
      </c>
      <c r="P5350" s="30" t="s">
        <v>8714</v>
      </c>
      <c r="Q5350" t="s">
        <v>735</v>
      </c>
      <c r="R5350" t="s">
        <v>920</v>
      </c>
      <c r="S5350">
        <v>38</v>
      </c>
      <c r="T5350" s="29" t="str">
        <f t="shared" si="246"/>
        <v>2022.005D.Parvoviridae_2ngen_49nsp_125rensp.zip</v>
      </c>
      <c r="U5350" s="29" t="str">
        <f>HYPERLINK("https://ictv.global/taxonomy/taxondetails?taxnode_id=202309266","ictv.global=202309266")</f>
        <v>ictv.global=202309266</v>
      </c>
    </row>
    <row r="5351" spans="1:21">
      <c r="A5351">
        <v>5350</v>
      </c>
      <c r="B5351" s="30" t="s">
        <v>1956</v>
      </c>
      <c r="D5351" s="30" t="s">
        <v>1985</v>
      </c>
      <c r="F5351" s="30" t="s">
        <v>1986</v>
      </c>
      <c r="H5351" s="30" t="s">
        <v>1992</v>
      </c>
      <c r="J5351" s="30" t="s">
        <v>1993</v>
      </c>
      <c r="L5351" s="30" t="s">
        <v>453</v>
      </c>
      <c r="M5351" s="30" t="s">
        <v>454</v>
      </c>
      <c r="N5351" s="30" t="s">
        <v>2517</v>
      </c>
      <c r="P5351" s="30" t="s">
        <v>8715</v>
      </c>
      <c r="Q5351" t="s">
        <v>735</v>
      </c>
      <c r="R5351" t="s">
        <v>917</v>
      </c>
      <c r="S5351">
        <v>38</v>
      </c>
      <c r="T5351" s="29" t="str">
        <f t="shared" si="246"/>
        <v>2022.005D.Parvoviridae_2ngen_49nsp_125rensp.zip</v>
      </c>
      <c r="U5351" s="29" t="str">
        <f>HYPERLINK("https://ictv.global/taxonomy/taxondetails?taxnode_id=202314050","ictv.global=202314050")</f>
        <v>ictv.global=202314050</v>
      </c>
    </row>
    <row r="5352" spans="1:21">
      <c r="A5352">
        <v>5351</v>
      </c>
      <c r="B5352" s="30" t="s">
        <v>1956</v>
      </c>
      <c r="D5352" s="30" t="s">
        <v>1985</v>
      </c>
      <c r="F5352" s="30" t="s">
        <v>1986</v>
      </c>
      <c r="H5352" s="30" t="s">
        <v>1992</v>
      </c>
      <c r="J5352" s="30" t="s">
        <v>1993</v>
      </c>
      <c r="L5352" s="30" t="s">
        <v>453</v>
      </c>
      <c r="M5352" s="30" t="s">
        <v>454</v>
      </c>
      <c r="N5352" s="30" t="s">
        <v>2517</v>
      </c>
      <c r="P5352" s="30" t="s">
        <v>8716</v>
      </c>
      <c r="Q5352" t="s">
        <v>735</v>
      </c>
      <c r="R5352" t="s">
        <v>917</v>
      </c>
      <c r="S5352">
        <v>38</v>
      </c>
      <c r="T5352" s="29" t="str">
        <f t="shared" si="246"/>
        <v>2022.005D.Parvoviridae_2ngen_49nsp_125rensp.zip</v>
      </c>
      <c r="U5352" s="29" t="str">
        <f>HYPERLINK("https://ictv.global/taxonomy/taxondetails?taxnode_id=202314051","ictv.global=202314051")</f>
        <v>ictv.global=202314051</v>
      </c>
    </row>
    <row r="5353" spans="1:21">
      <c r="A5353">
        <v>5352</v>
      </c>
      <c r="B5353" s="30" t="s">
        <v>1956</v>
      </c>
      <c r="D5353" s="30" t="s">
        <v>1985</v>
      </c>
      <c r="F5353" s="30" t="s">
        <v>1986</v>
      </c>
      <c r="H5353" s="30" t="s">
        <v>1992</v>
      </c>
      <c r="J5353" s="30" t="s">
        <v>1993</v>
      </c>
      <c r="L5353" s="30" t="s">
        <v>453</v>
      </c>
      <c r="M5353" s="30" t="s">
        <v>454</v>
      </c>
      <c r="N5353" s="30" t="s">
        <v>1996</v>
      </c>
      <c r="P5353" s="30" t="s">
        <v>8717</v>
      </c>
      <c r="Q5353" t="s">
        <v>735</v>
      </c>
      <c r="R5353" t="s">
        <v>920</v>
      </c>
      <c r="S5353">
        <v>38</v>
      </c>
      <c r="T5353" s="29" t="str">
        <f t="shared" si="246"/>
        <v>2022.005D.Parvoviridae_2ngen_49nsp_125rensp.zip</v>
      </c>
      <c r="U5353" s="29" t="str">
        <f>HYPERLINK("https://ictv.global/taxonomy/taxondetails?taxnode_id=202304215","ictv.global=202304215")</f>
        <v>ictv.global=202304215</v>
      </c>
    </row>
    <row r="5354" spans="1:21">
      <c r="A5354">
        <v>5353</v>
      </c>
      <c r="B5354" s="30" t="s">
        <v>1956</v>
      </c>
      <c r="D5354" s="30" t="s">
        <v>1985</v>
      </c>
      <c r="F5354" s="30" t="s">
        <v>1986</v>
      </c>
      <c r="H5354" s="30" t="s">
        <v>1992</v>
      </c>
      <c r="J5354" s="30" t="s">
        <v>1993</v>
      </c>
      <c r="L5354" s="30" t="s">
        <v>453</v>
      </c>
      <c r="M5354" s="30" t="s">
        <v>454</v>
      </c>
      <c r="N5354" s="30" t="s">
        <v>1996</v>
      </c>
      <c r="P5354" s="30" t="s">
        <v>8718</v>
      </c>
      <c r="Q5354" t="s">
        <v>735</v>
      </c>
      <c r="R5354" t="s">
        <v>920</v>
      </c>
      <c r="S5354">
        <v>38</v>
      </c>
      <c r="T5354" s="29" t="str">
        <f t="shared" si="246"/>
        <v>2022.005D.Parvoviridae_2ngen_49nsp_125rensp.zip</v>
      </c>
      <c r="U5354" s="29" t="str">
        <f>HYPERLINK("https://ictv.global/taxonomy/taxondetails?taxnode_id=202304216","ictv.global=202304216")</f>
        <v>ictv.global=202304216</v>
      </c>
    </row>
    <row r="5355" spans="1:21">
      <c r="A5355">
        <v>5354</v>
      </c>
      <c r="B5355" s="30" t="s">
        <v>1956</v>
      </c>
      <c r="D5355" s="30" t="s">
        <v>1985</v>
      </c>
      <c r="F5355" s="30" t="s">
        <v>1986</v>
      </c>
      <c r="H5355" s="30" t="s">
        <v>1992</v>
      </c>
      <c r="J5355" s="30" t="s">
        <v>1993</v>
      </c>
      <c r="L5355" s="30" t="s">
        <v>453</v>
      </c>
      <c r="M5355" s="30" t="s">
        <v>454</v>
      </c>
      <c r="N5355" s="30" t="s">
        <v>1996</v>
      </c>
      <c r="P5355" s="30" t="s">
        <v>12742</v>
      </c>
      <c r="Q5355" t="s">
        <v>13939</v>
      </c>
      <c r="R5355" t="s">
        <v>917</v>
      </c>
      <c r="S5355">
        <v>39</v>
      </c>
      <c r="T5355" s="29" t="str">
        <f>HYPERLINK("https://ictv.global/ictv/proposals/2023.007D.Parvoviridae_12nsp.zip","2023.007D.Parvoviridae_12nsp.zip")</f>
        <v>2023.007D.Parvoviridae_12nsp.zip</v>
      </c>
      <c r="U5355" s="29" t="str">
        <f>HYPERLINK("https://ictv.global/taxonomy/taxondetails?taxnode_id=202317837","ictv.global=202317837")</f>
        <v>ictv.global=202317837</v>
      </c>
    </row>
    <row r="5356" spans="1:21">
      <c r="A5356">
        <v>5355</v>
      </c>
      <c r="B5356" s="30" t="s">
        <v>1956</v>
      </c>
      <c r="D5356" s="30" t="s">
        <v>1985</v>
      </c>
      <c r="F5356" s="30" t="s">
        <v>1986</v>
      </c>
      <c r="H5356" s="30" t="s">
        <v>1992</v>
      </c>
      <c r="J5356" s="30" t="s">
        <v>1993</v>
      </c>
      <c r="L5356" s="30" t="s">
        <v>453</v>
      </c>
      <c r="M5356" s="30" t="s">
        <v>454</v>
      </c>
      <c r="N5356" s="30" t="s">
        <v>595</v>
      </c>
      <c r="P5356" s="30" t="s">
        <v>8719</v>
      </c>
      <c r="Q5356" t="s">
        <v>735</v>
      </c>
      <c r="R5356" t="s">
        <v>917</v>
      </c>
      <c r="S5356">
        <v>38</v>
      </c>
      <c r="T5356" s="29" t="str">
        <f t="shared" ref="T5356:T5362" si="247">HYPERLINK("https://ictv.global/ictv/proposals/2022.005D.Parvoviridae_2ngen_49nsp_125rensp.zip","2022.005D.Parvoviridae_2ngen_49nsp_125rensp.zip")</f>
        <v>2022.005D.Parvoviridae_2ngen_49nsp_125rensp.zip</v>
      </c>
      <c r="U5356" s="29" t="str">
        <f>HYPERLINK("https://ictv.global/taxonomy/taxondetails?taxnode_id=202314052","ictv.global=202314052")</f>
        <v>ictv.global=202314052</v>
      </c>
    </row>
    <row r="5357" spans="1:21">
      <c r="A5357">
        <v>5356</v>
      </c>
      <c r="B5357" s="30" t="s">
        <v>1956</v>
      </c>
      <c r="D5357" s="30" t="s">
        <v>1985</v>
      </c>
      <c r="F5357" s="30" t="s">
        <v>1986</v>
      </c>
      <c r="H5357" s="30" t="s">
        <v>1992</v>
      </c>
      <c r="J5357" s="30" t="s">
        <v>1993</v>
      </c>
      <c r="L5357" s="30" t="s">
        <v>453</v>
      </c>
      <c r="M5357" s="30" t="s">
        <v>454</v>
      </c>
      <c r="N5357" s="30" t="s">
        <v>595</v>
      </c>
      <c r="P5357" s="30" t="s">
        <v>8720</v>
      </c>
      <c r="Q5357" t="s">
        <v>735</v>
      </c>
      <c r="R5357" t="s">
        <v>917</v>
      </c>
      <c r="S5357">
        <v>38</v>
      </c>
      <c r="T5357" s="29" t="str">
        <f t="shared" si="247"/>
        <v>2022.005D.Parvoviridae_2ngen_49nsp_125rensp.zip</v>
      </c>
      <c r="U5357" s="29" t="str">
        <f>HYPERLINK("https://ictv.global/taxonomy/taxondetails?taxnode_id=202314053","ictv.global=202314053")</f>
        <v>ictv.global=202314053</v>
      </c>
    </row>
    <row r="5358" spans="1:21">
      <c r="A5358">
        <v>5357</v>
      </c>
      <c r="B5358" s="30" t="s">
        <v>1956</v>
      </c>
      <c r="D5358" s="30" t="s">
        <v>1985</v>
      </c>
      <c r="F5358" s="30" t="s">
        <v>1986</v>
      </c>
      <c r="H5358" s="30" t="s">
        <v>1992</v>
      </c>
      <c r="J5358" s="30" t="s">
        <v>1993</v>
      </c>
      <c r="L5358" s="30" t="s">
        <v>453</v>
      </c>
      <c r="M5358" s="30" t="s">
        <v>454</v>
      </c>
      <c r="N5358" s="30" t="s">
        <v>595</v>
      </c>
      <c r="P5358" s="30" t="s">
        <v>8721</v>
      </c>
      <c r="Q5358" t="s">
        <v>622</v>
      </c>
      <c r="R5358" t="s">
        <v>920</v>
      </c>
      <c r="S5358">
        <v>38</v>
      </c>
      <c r="T5358" s="29" t="str">
        <f t="shared" si="247"/>
        <v>2022.005D.Parvoviridae_2ngen_49nsp_125rensp.zip</v>
      </c>
      <c r="U5358" s="29" t="str">
        <f>HYPERLINK("https://ictv.global/taxonomy/taxondetails?taxnode_id=202304226","ictv.global=202304226")</f>
        <v>ictv.global=202304226</v>
      </c>
    </row>
    <row r="5359" spans="1:21">
      <c r="A5359">
        <v>5358</v>
      </c>
      <c r="B5359" s="30" t="s">
        <v>1956</v>
      </c>
      <c r="D5359" s="30" t="s">
        <v>1985</v>
      </c>
      <c r="F5359" s="30" t="s">
        <v>1986</v>
      </c>
      <c r="H5359" s="30" t="s">
        <v>1992</v>
      </c>
      <c r="J5359" s="30" t="s">
        <v>1993</v>
      </c>
      <c r="L5359" s="30" t="s">
        <v>453</v>
      </c>
      <c r="M5359" s="30" t="s">
        <v>454</v>
      </c>
      <c r="N5359" s="30" t="s">
        <v>595</v>
      </c>
      <c r="P5359" s="30" t="s">
        <v>8722</v>
      </c>
      <c r="Q5359" t="s">
        <v>622</v>
      </c>
      <c r="R5359" t="s">
        <v>920</v>
      </c>
      <c r="S5359">
        <v>38</v>
      </c>
      <c r="T5359" s="29" t="str">
        <f t="shared" si="247"/>
        <v>2022.005D.Parvoviridae_2ngen_49nsp_125rensp.zip</v>
      </c>
      <c r="U5359" s="29" t="str">
        <f>HYPERLINK("https://ictv.global/taxonomy/taxondetails?taxnode_id=202304227","ictv.global=202304227")</f>
        <v>ictv.global=202304227</v>
      </c>
    </row>
    <row r="5360" spans="1:21">
      <c r="A5360">
        <v>5359</v>
      </c>
      <c r="B5360" s="30" t="s">
        <v>1956</v>
      </c>
      <c r="D5360" s="30" t="s">
        <v>1985</v>
      </c>
      <c r="F5360" s="30" t="s">
        <v>1986</v>
      </c>
      <c r="H5360" s="30" t="s">
        <v>1992</v>
      </c>
      <c r="J5360" s="30" t="s">
        <v>1993</v>
      </c>
      <c r="L5360" s="30" t="s">
        <v>453</v>
      </c>
      <c r="M5360" s="30" t="s">
        <v>454</v>
      </c>
      <c r="N5360" s="30" t="s">
        <v>595</v>
      </c>
      <c r="P5360" s="30" t="s">
        <v>8723</v>
      </c>
      <c r="Q5360" t="s">
        <v>622</v>
      </c>
      <c r="R5360" t="s">
        <v>920</v>
      </c>
      <c r="S5360">
        <v>38</v>
      </c>
      <c r="T5360" s="29" t="str">
        <f t="shared" si="247"/>
        <v>2022.005D.Parvoviridae_2ngen_49nsp_125rensp.zip</v>
      </c>
      <c r="U5360" s="29" t="str">
        <f>HYPERLINK("https://ictv.global/taxonomy/taxondetails?taxnode_id=202304228","ictv.global=202304228")</f>
        <v>ictv.global=202304228</v>
      </c>
    </row>
    <row r="5361" spans="1:21">
      <c r="A5361">
        <v>5360</v>
      </c>
      <c r="B5361" s="30" t="s">
        <v>1956</v>
      </c>
      <c r="D5361" s="30" t="s">
        <v>1985</v>
      </c>
      <c r="F5361" s="30" t="s">
        <v>1986</v>
      </c>
      <c r="H5361" s="30" t="s">
        <v>1992</v>
      </c>
      <c r="J5361" s="30" t="s">
        <v>1993</v>
      </c>
      <c r="L5361" s="30" t="s">
        <v>453</v>
      </c>
      <c r="M5361" s="30" t="s">
        <v>454</v>
      </c>
      <c r="N5361" s="30" t="s">
        <v>595</v>
      </c>
      <c r="P5361" s="30" t="s">
        <v>8724</v>
      </c>
      <c r="Q5361" t="s">
        <v>622</v>
      </c>
      <c r="R5361" t="s">
        <v>920</v>
      </c>
      <c r="S5361">
        <v>38</v>
      </c>
      <c r="T5361" s="29" t="str">
        <f t="shared" si="247"/>
        <v>2022.005D.Parvoviridae_2ngen_49nsp_125rensp.zip</v>
      </c>
      <c r="U5361" s="29" t="str">
        <f>HYPERLINK("https://ictv.global/taxonomy/taxondetails?taxnode_id=202304229","ictv.global=202304229")</f>
        <v>ictv.global=202304229</v>
      </c>
    </row>
    <row r="5362" spans="1:21">
      <c r="A5362">
        <v>5361</v>
      </c>
      <c r="B5362" s="30" t="s">
        <v>1956</v>
      </c>
      <c r="D5362" s="30" t="s">
        <v>1985</v>
      </c>
      <c r="F5362" s="30" t="s">
        <v>1986</v>
      </c>
      <c r="H5362" s="30" t="s">
        <v>1992</v>
      </c>
      <c r="J5362" s="30" t="s">
        <v>1993</v>
      </c>
      <c r="L5362" s="30" t="s">
        <v>453</v>
      </c>
      <c r="M5362" s="30" t="s">
        <v>454</v>
      </c>
      <c r="N5362" s="30" t="s">
        <v>595</v>
      </c>
      <c r="P5362" s="30" t="s">
        <v>8725</v>
      </c>
      <c r="Q5362" t="s">
        <v>622</v>
      </c>
      <c r="R5362" t="s">
        <v>920</v>
      </c>
      <c r="S5362">
        <v>38</v>
      </c>
      <c r="T5362" s="29" t="str">
        <f t="shared" si="247"/>
        <v>2022.005D.Parvoviridae_2ngen_49nsp_125rensp.zip</v>
      </c>
      <c r="U5362" s="29" t="str">
        <f>HYPERLINK("https://ictv.global/taxonomy/taxondetails?taxnode_id=202304230","ictv.global=202304230")</f>
        <v>ictv.global=202304230</v>
      </c>
    </row>
    <row r="5363" spans="1:21">
      <c r="A5363">
        <v>5362</v>
      </c>
      <c r="B5363" s="30" t="s">
        <v>1956</v>
      </c>
      <c r="D5363" s="30" t="s">
        <v>1985</v>
      </c>
      <c r="F5363" s="30" t="s">
        <v>1986</v>
      </c>
      <c r="H5363" s="30" t="s">
        <v>1992</v>
      </c>
      <c r="J5363" s="30" t="s">
        <v>1993</v>
      </c>
      <c r="L5363" s="30" t="s">
        <v>453</v>
      </c>
      <c r="M5363" s="30" t="s">
        <v>454</v>
      </c>
      <c r="N5363" s="30" t="s">
        <v>1997</v>
      </c>
      <c r="P5363" s="30" t="s">
        <v>1998</v>
      </c>
      <c r="Q5363" t="s">
        <v>735</v>
      </c>
      <c r="R5363" t="s">
        <v>3894</v>
      </c>
      <c r="S5363">
        <v>36</v>
      </c>
      <c r="T5363" s="29" t="str">
        <f>HYPERLINK("https://ictv.global/ictv/proposals/2020.001G.R.Abolish_type_species.pdf","2020.001G.R.Abolish_type_species.pdf")</f>
        <v>2020.001G.R.Abolish_type_species.pdf</v>
      </c>
      <c r="U5363" s="29" t="str">
        <f>HYPERLINK("https://ictv.global/taxonomy/taxondetails?taxnode_id=202304234","ictv.global=202304234")</f>
        <v>ictv.global=202304234</v>
      </c>
    </row>
    <row r="5364" spans="1:21">
      <c r="A5364">
        <v>5363</v>
      </c>
      <c r="B5364" s="30" t="s">
        <v>1956</v>
      </c>
      <c r="D5364" s="30" t="s">
        <v>1985</v>
      </c>
      <c r="F5364" s="30" t="s">
        <v>1986</v>
      </c>
      <c r="H5364" s="30" t="s">
        <v>1992</v>
      </c>
      <c r="J5364" s="30" t="s">
        <v>1993</v>
      </c>
      <c r="L5364" s="30" t="s">
        <v>453</v>
      </c>
      <c r="M5364" s="30" t="s">
        <v>454</v>
      </c>
      <c r="N5364" s="30" t="s">
        <v>2518</v>
      </c>
      <c r="P5364" s="30" t="s">
        <v>8726</v>
      </c>
      <c r="Q5364" t="s">
        <v>735</v>
      </c>
      <c r="R5364" t="s">
        <v>920</v>
      </c>
      <c r="S5364">
        <v>38</v>
      </c>
      <c r="T5364" s="29" t="str">
        <f t="shared" ref="T5364:T5380" si="248">HYPERLINK("https://ictv.global/ictv/proposals/2022.005D.Parvoviridae_2ngen_49nsp_125rensp.zip","2022.005D.Parvoviridae_2ngen_49nsp_125rensp.zip")</f>
        <v>2022.005D.Parvoviridae_2ngen_49nsp_125rensp.zip</v>
      </c>
      <c r="U5364" s="29" t="str">
        <f>HYPERLINK("https://ictv.global/taxonomy/taxondetails?taxnode_id=202309268","ictv.global=202309268")</f>
        <v>ictv.global=202309268</v>
      </c>
    </row>
    <row r="5365" spans="1:21">
      <c r="A5365">
        <v>5364</v>
      </c>
      <c r="B5365" s="30" t="s">
        <v>1956</v>
      </c>
      <c r="D5365" s="30" t="s">
        <v>1985</v>
      </c>
      <c r="F5365" s="30" t="s">
        <v>1986</v>
      </c>
      <c r="H5365" s="30" t="s">
        <v>1992</v>
      </c>
      <c r="J5365" s="30" t="s">
        <v>1993</v>
      </c>
      <c r="L5365" s="30" t="s">
        <v>453</v>
      </c>
      <c r="M5365" s="30" t="s">
        <v>454</v>
      </c>
      <c r="N5365" s="30" t="s">
        <v>2518</v>
      </c>
      <c r="P5365" s="30" t="s">
        <v>8727</v>
      </c>
      <c r="Q5365" t="s">
        <v>735</v>
      </c>
      <c r="R5365" t="s">
        <v>917</v>
      </c>
      <c r="S5365">
        <v>38</v>
      </c>
      <c r="T5365" s="29" t="str">
        <f t="shared" si="248"/>
        <v>2022.005D.Parvoviridae_2ngen_49nsp_125rensp.zip</v>
      </c>
      <c r="U5365" s="29" t="str">
        <f>HYPERLINK("https://ictv.global/taxonomy/taxondetails?taxnode_id=202314054","ictv.global=202314054")</f>
        <v>ictv.global=202314054</v>
      </c>
    </row>
    <row r="5366" spans="1:21">
      <c r="A5366">
        <v>5365</v>
      </c>
      <c r="B5366" s="30" t="s">
        <v>1956</v>
      </c>
      <c r="D5366" s="30" t="s">
        <v>1985</v>
      </c>
      <c r="F5366" s="30" t="s">
        <v>1986</v>
      </c>
      <c r="H5366" s="30" t="s">
        <v>1992</v>
      </c>
      <c r="J5366" s="30" t="s">
        <v>1993</v>
      </c>
      <c r="L5366" s="30" t="s">
        <v>453</v>
      </c>
      <c r="M5366" s="30" t="s">
        <v>454</v>
      </c>
      <c r="N5366" s="30" t="s">
        <v>1999</v>
      </c>
      <c r="P5366" s="30" t="s">
        <v>8728</v>
      </c>
      <c r="Q5366" t="s">
        <v>735</v>
      </c>
      <c r="R5366" t="s">
        <v>920</v>
      </c>
      <c r="S5366">
        <v>38</v>
      </c>
      <c r="T5366" s="29" t="str">
        <f t="shared" si="248"/>
        <v>2022.005D.Parvoviridae_2ngen_49nsp_125rensp.zip</v>
      </c>
      <c r="U5366" s="29" t="str">
        <f>HYPERLINK("https://ictv.global/taxonomy/taxondetails?taxnode_id=202304210","ictv.global=202304210")</f>
        <v>ictv.global=202304210</v>
      </c>
    </row>
    <row r="5367" spans="1:21">
      <c r="A5367">
        <v>5366</v>
      </c>
      <c r="B5367" s="30" t="s">
        <v>1956</v>
      </c>
      <c r="D5367" s="30" t="s">
        <v>1985</v>
      </c>
      <c r="F5367" s="30" t="s">
        <v>1986</v>
      </c>
      <c r="H5367" s="30" t="s">
        <v>1992</v>
      </c>
      <c r="J5367" s="30" t="s">
        <v>1993</v>
      </c>
      <c r="L5367" s="30" t="s">
        <v>453</v>
      </c>
      <c r="M5367" s="30" t="s">
        <v>454</v>
      </c>
      <c r="N5367" s="30" t="s">
        <v>1999</v>
      </c>
      <c r="P5367" s="30" t="s">
        <v>8729</v>
      </c>
      <c r="Q5367" t="s">
        <v>735</v>
      </c>
      <c r="R5367" t="s">
        <v>917</v>
      </c>
      <c r="S5367">
        <v>38</v>
      </c>
      <c r="T5367" s="29" t="str">
        <f t="shared" si="248"/>
        <v>2022.005D.Parvoviridae_2ngen_49nsp_125rensp.zip</v>
      </c>
      <c r="U5367" s="29" t="str">
        <f>HYPERLINK("https://ictv.global/taxonomy/taxondetails?taxnode_id=202314055","ictv.global=202314055")</f>
        <v>ictv.global=202314055</v>
      </c>
    </row>
    <row r="5368" spans="1:21">
      <c r="A5368">
        <v>5367</v>
      </c>
      <c r="B5368" s="30" t="s">
        <v>1956</v>
      </c>
      <c r="D5368" s="30" t="s">
        <v>1985</v>
      </c>
      <c r="F5368" s="30" t="s">
        <v>1986</v>
      </c>
      <c r="H5368" s="30" t="s">
        <v>1992</v>
      </c>
      <c r="J5368" s="30" t="s">
        <v>1993</v>
      </c>
      <c r="L5368" s="30" t="s">
        <v>453</v>
      </c>
      <c r="M5368" s="30" t="s">
        <v>454</v>
      </c>
      <c r="N5368" s="30" t="s">
        <v>2001</v>
      </c>
      <c r="P5368" s="30" t="s">
        <v>8730</v>
      </c>
      <c r="Q5368" t="s">
        <v>735</v>
      </c>
      <c r="R5368" t="s">
        <v>920</v>
      </c>
      <c r="S5368">
        <v>38</v>
      </c>
      <c r="T5368" s="29" t="str">
        <f t="shared" si="248"/>
        <v>2022.005D.Parvoviridae_2ngen_49nsp_125rensp.zip</v>
      </c>
      <c r="U5368" s="29" t="str">
        <f>HYPERLINK("https://ictv.global/taxonomy/taxondetails?taxnode_id=202304213","ictv.global=202304213")</f>
        <v>ictv.global=202304213</v>
      </c>
    </row>
    <row r="5369" spans="1:21">
      <c r="A5369">
        <v>5368</v>
      </c>
      <c r="B5369" s="30" t="s">
        <v>1956</v>
      </c>
      <c r="D5369" s="30" t="s">
        <v>1985</v>
      </c>
      <c r="F5369" s="30" t="s">
        <v>1986</v>
      </c>
      <c r="H5369" s="30" t="s">
        <v>1992</v>
      </c>
      <c r="J5369" s="30" t="s">
        <v>1993</v>
      </c>
      <c r="L5369" s="30" t="s">
        <v>453</v>
      </c>
      <c r="M5369" s="30" t="s">
        <v>454</v>
      </c>
      <c r="N5369" s="30" t="s">
        <v>2001</v>
      </c>
      <c r="P5369" s="30" t="s">
        <v>8731</v>
      </c>
      <c r="Q5369" t="s">
        <v>735</v>
      </c>
      <c r="R5369" t="s">
        <v>917</v>
      </c>
      <c r="S5369">
        <v>38</v>
      </c>
      <c r="T5369" s="29" t="str">
        <f t="shared" si="248"/>
        <v>2022.005D.Parvoviridae_2ngen_49nsp_125rensp.zip</v>
      </c>
      <c r="U5369" s="29" t="str">
        <f>HYPERLINK("https://ictv.global/taxonomy/taxondetails?taxnode_id=202314056","ictv.global=202314056")</f>
        <v>ictv.global=202314056</v>
      </c>
    </row>
    <row r="5370" spans="1:21">
      <c r="A5370">
        <v>5369</v>
      </c>
      <c r="B5370" s="30" t="s">
        <v>1956</v>
      </c>
      <c r="D5370" s="30" t="s">
        <v>1985</v>
      </c>
      <c r="F5370" s="30" t="s">
        <v>1986</v>
      </c>
      <c r="H5370" s="30" t="s">
        <v>1992</v>
      </c>
      <c r="J5370" s="30" t="s">
        <v>1993</v>
      </c>
      <c r="L5370" s="30" t="s">
        <v>453</v>
      </c>
      <c r="M5370" s="30" t="s">
        <v>454</v>
      </c>
      <c r="N5370" s="30" t="s">
        <v>2001</v>
      </c>
      <c r="P5370" s="30" t="s">
        <v>8732</v>
      </c>
      <c r="Q5370" t="s">
        <v>735</v>
      </c>
      <c r="R5370" t="s">
        <v>920</v>
      </c>
      <c r="S5370">
        <v>38</v>
      </c>
      <c r="T5370" s="29" t="str">
        <f t="shared" si="248"/>
        <v>2022.005D.Parvoviridae_2ngen_49nsp_125rensp.zip</v>
      </c>
      <c r="U5370" s="29" t="str">
        <f>HYPERLINK("https://ictv.global/taxonomy/taxondetails?taxnode_id=202304218","ictv.global=202304218")</f>
        <v>ictv.global=202304218</v>
      </c>
    </row>
    <row r="5371" spans="1:21">
      <c r="A5371">
        <v>5370</v>
      </c>
      <c r="B5371" s="30" t="s">
        <v>1956</v>
      </c>
      <c r="D5371" s="30" t="s">
        <v>1985</v>
      </c>
      <c r="F5371" s="30" t="s">
        <v>1986</v>
      </c>
      <c r="H5371" s="30" t="s">
        <v>1992</v>
      </c>
      <c r="J5371" s="30" t="s">
        <v>1993</v>
      </c>
      <c r="L5371" s="30" t="s">
        <v>453</v>
      </c>
      <c r="M5371" s="30" t="s">
        <v>454</v>
      </c>
      <c r="N5371" s="30" t="s">
        <v>2002</v>
      </c>
      <c r="P5371" s="30" t="s">
        <v>8733</v>
      </c>
      <c r="Q5371" t="s">
        <v>735</v>
      </c>
      <c r="R5371" t="s">
        <v>920</v>
      </c>
      <c r="S5371">
        <v>38</v>
      </c>
      <c r="T5371" s="29" t="str">
        <f t="shared" si="248"/>
        <v>2022.005D.Parvoviridae_2ngen_49nsp_125rensp.zip</v>
      </c>
      <c r="U5371" s="29" t="str">
        <f>HYPERLINK("https://ictv.global/taxonomy/taxondetails?taxnode_id=202304214","ictv.global=202304214")</f>
        <v>ictv.global=202304214</v>
      </c>
    </row>
    <row r="5372" spans="1:21">
      <c r="A5372">
        <v>5371</v>
      </c>
      <c r="B5372" s="30" t="s">
        <v>1956</v>
      </c>
      <c r="D5372" s="30" t="s">
        <v>1985</v>
      </c>
      <c r="F5372" s="30" t="s">
        <v>1986</v>
      </c>
      <c r="H5372" s="30" t="s">
        <v>1992</v>
      </c>
      <c r="J5372" s="30" t="s">
        <v>1993</v>
      </c>
      <c r="L5372" s="30" t="s">
        <v>453</v>
      </c>
      <c r="M5372" s="30" t="s">
        <v>454</v>
      </c>
      <c r="N5372" s="30" t="s">
        <v>2002</v>
      </c>
      <c r="P5372" s="30" t="s">
        <v>8734</v>
      </c>
      <c r="Q5372" t="s">
        <v>735</v>
      </c>
      <c r="R5372" t="s">
        <v>920</v>
      </c>
      <c r="S5372">
        <v>38</v>
      </c>
      <c r="T5372" s="29" t="str">
        <f t="shared" si="248"/>
        <v>2022.005D.Parvoviridae_2ngen_49nsp_125rensp.zip</v>
      </c>
      <c r="U5372" s="29" t="str">
        <f>HYPERLINK("https://ictv.global/taxonomy/taxondetails?taxnode_id=202304217","ictv.global=202304217")</f>
        <v>ictv.global=202304217</v>
      </c>
    </row>
    <row r="5373" spans="1:21">
      <c r="A5373">
        <v>5372</v>
      </c>
      <c r="B5373" s="30" t="s">
        <v>1956</v>
      </c>
      <c r="D5373" s="30" t="s">
        <v>1985</v>
      </c>
      <c r="F5373" s="30" t="s">
        <v>1986</v>
      </c>
      <c r="H5373" s="30" t="s">
        <v>1992</v>
      </c>
      <c r="J5373" s="30" t="s">
        <v>1993</v>
      </c>
      <c r="L5373" s="30" t="s">
        <v>453</v>
      </c>
      <c r="M5373" s="30" t="s">
        <v>454</v>
      </c>
      <c r="N5373" s="30" t="s">
        <v>2002</v>
      </c>
      <c r="P5373" s="30" t="s">
        <v>8735</v>
      </c>
      <c r="Q5373" t="s">
        <v>735</v>
      </c>
      <c r="R5373" t="s">
        <v>917</v>
      </c>
      <c r="S5373">
        <v>38</v>
      </c>
      <c r="T5373" s="29" t="str">
        <f t="shared" si="248"/>
        <v>2022.005D.Parvoviridae_2ngen_49nsp_125rensp.zip</v>
      </c>
      <c r="U5373" s="29" t="str">
        <f>HYPERLINK("https://ictv.global/taxonomy/taxondetails?taxnode_id=202314057","ictv.global=202314057")</f>
        <v>ictv.global=202314057</v>
      </c>
    </row>
    <row r="5374" spans="1:21">
      <c r="A5374">
        <v>5373</v>
      </c>
      <c r="B5374" s="30" t="s">
        <v>1956</v>
      </c>
      <c r="D5374" s="30" t="s">
        <v>1985</v>
      </c>
      <c r="F5374" s="30" t="s">
        <v>1986</v>
      </c>
      <c r="H5374" s="30" t="s">
        <v>1992</v>
      </c>
      <c r="J5374" s="30" t="s">
        <v>1993</v>
      </c>
      <c r="L5374" s="30" t="s">
        <v>453</v>
      </c>
      <c r="M5374" s="30" t="s">
        <v>454</v>
      </c>
      <c r="N5374" s="30" t="s">
        <v>2002</v>
      </c>
      <c r="P5374" s="30" t="s">
        <v>8736</v>
      </c>
      <c r="Q5374" t="s">
        <v>735</v>
      </c>
      <c r="R5374" t="s">
        <v>917</v>
      </c>
      <c r="S5374">
        <v>38</v>
      </c>
      <c r="T5374" s="29" t="str">
        <f t="shared" si="248"/>
        <v>2022.005D.Parvoviridae_2ngen_49nsp_125rensp.zip</v>
      </c>
      <c r="U5374" s="29" t="str">
        <f>HYPERLINK("https://ictv.global/taxonomy/taxondetails?taxnode_id=202314058","ictv.global=202314058")</f>
        <v>ictv.global=202314058</v>
      </c>
    </row>
    <row r="5375" spans="1:21">
      <c r="A5375">
        <v>5374</v>
      </c>
      <c r="B5375" s="30" t="s">
        <v>1956</v>
      </c>
      <c r="D5375" s="30" t="s">
        <v>1985</v>
      </c>
      <c r="F5375" s="30" t="s">
        <v>1986</v>
      </c>
      <c r="H5375" s="30" t="s">
        <v>1992</v>
      </c>
      <c r="J5375" s="30" t="s">
        <v>1993</v>
      </c>
      <c r="L5375" s="30" t="s">
        <v>453</v>
      </c>
      <c r="M5375" s="30" t="s">
        <v>454</v>
      </c>
      <c r="N5375" s="30" t="s">
        <v>2002</v>
      </c>
      <c r="P5375" s="30" t="s">
        <v>8737</v>
      </c>
      <c r="Q5375" t="s">
        <v>735</v>
      </c>
      <c r="R5375" t="s">
        <v>920</v>
      </c>
      <c r="S5375">
        <v>38</v>
      </c>
      <c r="T5375" s="29" t="str">
        <f t="shared" si="248"/>
        <v>2022.005D.Parvoviridae_2ngen_49nsp_125rensp.zip</v>
      </c>
      <c r="U5375" s="29" t="str">
        <f>HYPERLINK("https://ictv.global/taxonomy/taxondetails?taxnode_id=202304219","ictv.global=202304219")</f>
        <v>ictv.global=202304219</v>
      </c>
    </row>
    <row r="5376" spans="1:21">
      <c r="A5376">
        <v>5375</v>
      </c>
      <c r="B5376" s="30" t="s">
        <v>1956</v>
      </c>
      <c r="D5376" s="30" t="s">
        <v>1985</v>
      </c>
      <c r="F5376" s="30" t="s">
        <v>1986</v>
      </c>
      <c r="H5376" s="30" t="s">
        <v>1992</v>
      </c>
      <c r="J5376" s="30" t="s">
        <v>1993</v>
      </c>
      <c r="L5376" s="30" t="s">
        <v>453</v>
      </c>
      <c r="M5376" s="30" t="s">
        <v>454</v>
      </c>
      <c r="N5376" s="30" t="s">
        <v>2519</v>
      </c>
      <c r="P5376" s="30" t="s">
        <v>8738</v>
      </c>
      <c r="Q5376" t="s">
        <v>735</v>
      </c>
      <c r="R5376" t="s">
        <v>917</v>
      </c>
      <c r="S5376">
        <v>38</v>
      </c>
      <c r="T5376" s="29" t="str">
        <f t="shared" si="248"/>
        <v>2022.005D.Parvoviridae_2ngen_49nsp_125rensp.zip</v>
      </c>
      <c r="U5376" s="29" t="str">
        <f>HYPERLINK("https://ictv.global/taxonomy/taxondetails?taxnode_id=202314059","ictv.global=202314059")</f>
        <v>ictv.global=202314059</v>
      </c>
    </row>
    <row r="5377" spans="1:21">
      <c r="A5377">
        <v>5376</v>
      </c>
      <c r="B5377" s="30" t="s">
        <v>1956</v>
      </c>
      <c r="D5377" s="30" t="s">
        <v>1985</v>
      </c>
      <c r="F5377" s="30" t="s">
        <v>1986</v>
      </c>
      <c r="H5377" s="30" t="s">
        <v>1992</v>
      </c>
      <c r="J5377" s="30" t="s">
        <v>1993</v>
      </c>
      <c r="L5377" s="30" t="s">
        <v>453</v>
      </c>
      <c r="M5377" s="30" t="s">
        <v>454</v>
      </c>
      <c r="N5377" s="30" t="s">
        <v>2519</v>
      </c>
      <c r="P5377" s="30" t="s">
        <v>8739</v>
      </c>
      <c r="Q5377" t="s">
        <v>735</v>
      </c>
      <c r="R5377" t="s">
        <v>917</v>
      </c>
      <c r="S5377">
        <v>38</v>
      </c>
      <c r="T5377" s="29" t="str">
        <f t="shared" si="248"/>
        <v>2022.005D.Parvoviridae_2ngen_49nsp_125rensp.zip</v>
      </c>
      <c r="U5377" s="29" t="str">
        <f>HYPERLINK("https://ictv.global/taxonomy/taxondetails?taxnode_id=202314060","ictv.global=202314060")</f>
        <v>ictv.global=202314060</v>
      </c>
    </row>
    <row r="5378" spans="1:21">
      <c r="A5378">
        <v>5377</v>
      </c>
      <c r="B5378" s="30" t="s">
        <v>1956</v>
      </c>
      <c r="D5378" s="30" t="s">
        <v>1985</v>
      </c>
      <c r="F5378" s="30" t="s">
        <v>1986</v>
      </c>
      <c r="H5378" s="30" t="s">
        <v>1992</v>
      </c>
      <c r="J5378" s="30" t="s">
        <v>1993</v>
      </c>
      <c r="L5378" s="30" t="s">
        <v>453</v>
      </c>
      <c r="M5378" s="30" t="s">
        <v>454</v>
      </c>
      <c r="N5378" s="30" t="s">
        <v>2519</v>
      </c>
      <c r="P5378" s="30" t="s">
        <v>8740</v>
      </c>
      <c r="Q5378" t="s">
        <v>735</v>
      </c>
      <c r="R5378" t="s">
        <v>920</v>
      </c>
      <c r="S5378">
        <v>38</v>
      </c>
      <c r="T5378" s="29" t="str">
        <f t="shared" si="248"/>
        <v>2022.005D.Parvoviridae_2ngen_49nsp_125rensp.zip</v>
      </c>
      <c r="U5378" s="29" t="str">
        <f>HYPERLINK("https://ictv.global/taxonomy/taxondetails?taxnode_id=202309270","ictv.global=202309270")</f>
        <v>ictv.global=202309270</v>
      </c>
    </row>
    <row r="5379" spans="1:21">
      <c r="A5379">
        <v>5378</v>
      </c>
      <c r="B5379" s="30" t="s">
        <v>1956</v>
      </c>
      <c r="D5379" s="30" t="s">
        <v>1985</v>
      </c>
      <c r="F5379" s="30" t="s">
        <v>1986</v>
      </c>
      <c r="H5379" s="30" t="s">
        <v>1992</v>
      </c>
      <c r="J5379" s="30" t="s">
        <v>1993</v>
      </c>
      <c r="L5379" s="30" t="s">
        <v>453</v>
      </c>
      <c r="M5379" s="30" t="s">
        <v>2003</v>
      </c>
      <c r="N5379" s="30" t="s">
        <v>2004</v>
      </c>
      <c r="P5379" s="30" t="s">
        <v>8741</v>
      </c>
      <c r="Q5379" t="s">
        <v>735</v>
      </c>
      <c r="R5379" t="s">
        <v>920</v>
      </c>
      <c r="S5379">
        <v>38</v>
      </c>
      <c r="T5379" s="29" t="str">
        <f t="shared" si="248"/>
        <v>2022.005D.Parvoviridae_2ngen_49nsp_125rensp.zip</v>
      </c>
      <c r="U5379" s="29" t="str">
        <f>HYPERLINK("https://ictv.global/taxonomy/taxondetails?taxnode_id=202304221","ictv.global=202304221")</f>
        <v>ictv.global=202304221</v>
      </c>
    </row>
    <row r="5380" spans="1:21">
      <c r="A5380">
        <v>5379</v>
      </c>
      <c r="B5380" s="30" t="s">
        <v>1956</v>
      </c>
      <c r="D5380" s="30" t="s">
        <v>1985</v>
      </c>
      <c r="F5380" s="30" t="s">
        <v>1986</v>
      </c>
      <c r="H5380" s="30" t="s">
        <v>1992</v>
      </c>
      <c r="J5380" s="30" t="s">
        <v>1993</v>
      </c>
      <c r="L5380" s="30" t="s">
        <v>453</v>
      </c>
      <c r="M5380" s="30" t="s">
        <v>2003</v>
      </c>
      <c r="N5380" s="30" t="s">
        <v>2004</v>
      </c>
      <c r="P5380" s="30" t="s">
        <v>8742</v>
      </c>
      <c r="Q5380" t="s">
        <v>735</v>
      </c>
      <c r="R5380" t="s">
        <v>920</v>
      </c>
      <c r="S5380">
        <v>38</v>
      </c>
      <c r="T5380" s="29" t="str">
        <f t="shared" si="248"/>
        <v>2022.005D.Parvoviridae_2ngen_49nsp_125rensp.zip</v>
      </c>
      <c r="U5380" s="29" t="str">
        <f>HYPERLINK("https://ictv.global/taxonomy/taxondetails?taxnode_id=202304222","ictv.global=202304222")</f>
        <v>ictv.global=202304222</v>
      </c>
    </row>
    <row r="5381" spans="1:21">
      <c r="A5381">
        <v>5380</v>
      </c>
      <c r="B5381" s="30" t="s">
        <v>1956</v>
      </c>
      <c r="D5381" s="30" t="s">
        <v>1985</v>
      </c>
      <c r="F5381" s="30" t="s">
        <v>1986</v>
      </c>
      <c r="H5381" s="30" t="s">
        <v>1992</v>
      </c>
      <c r="J5381" s="30" t="s">
        <v>1993</v>
      </c>
      <c r="L5381" s="30" t="s">
        <v>453</v>
      </c>
      <c r="M5381" s="30" t="s">
        <v>2003</v>
      </c>
      <c r="N5381" s="30" t="s">
        <v>2004</v>
      </c>
      <c r="P5381" s="30" t="s">
        <v>12743</v>
      </c>
      <c r="Q5381" t="s">
        <v>13939</v>
      </c>
      <c r="R5381" t="s">
        <v>917</v>
      </c>
      <c r="S5381">
        <v>39</v>
      </c>
      <c r="T5381" s="29" t="str">
        <f>HYPERLINK("https://ictv.global/ictv/proposals/2023.007D.Parvoviridae_12nsp.zip","2023.007D.Parvoviridae_12nsp.zip")</f>
        <v>2023.007D.Parvoviridae_12nsp.zip</v>
      </c>
      <c r="U5381" s="29" t="str">
        <f>HYPERLINK("https://ictv.global/taxonomy/taxondetails?taxnode_id=202317842","ictv.global=202317842")</f>
        <v>ictv.global=202317842</v>
      </c>
    </row>
    <row r="5382" spans="1:21">
      <c r="A5382">
        <v>5381</v>
      </c>
      <c r="B5382" s="30" t="s">
        <v>1956</v>
      </c>
      <c r="D5382" s="30" t="s">
        <v>1985</v>
      </c>
      <c r="F5382" s="30" t="s">
        <v>1986</v>
      </c>
      <c r="H5382" s="30" t="s">
        <v>1992</v>
      </c>
      <c r="J5382" s="30" t="s">
        <v>1993</v>
      </c>
      <c r="L5382" s="30" t="s">
        <v>453</v>
      </c>
      <c r="M5382" s="30" t="s">
        <v>2003</v>
      </c>
      <c r="N5382" s="30" t="s">
        <v>2005</v>
      </c>
      <c r="P5382" s="30" t="s">
        <v>8743</v>
      </c>
      <c r="Q5382" t="s">
        <v>735</v>
      </c>
      <c r="R5382" t="s">
        <v>917</v>
      </c>
      <c r="S5382">
        <v>38</v>
      </c>
      <c r="T5382" s="29" t="str">
        <f t="shared" ref="T5382:T5387" si="249">HYPERLINK("https://ictv.global/ictv/proposals/2022.005D.Parvoviridae_2ngen_49nsp_125rensp.zip","2022.005D.Parvoviridae_2ngen_49nsp_125rensp.zip")</f>
        <v>2022.005D.Parvoviridae_2ngen_49nsp_125rensp.zip</v>
      </c>
      <c r="U5382" s="29" t="str">
        <f>HYPERLINK("https://ictv.global/taxonomy/taxondetails?taxnode_id=202314068","ictv.global=202314068")</f>
        <v>ictv.global=202314068</v>
      </c>
    </row>
    <row r="5383" spans="1:21">
      <c r="A5383">
        <v>5382</v>
      </c>
      <c r="B5383" s="30" t="s">
        <v>1956</v>
      </c>
      <c r="D5383" s="30" t="s">
        <v>1985</v>
      </c>
      <c r="F5383" s="30" t="s">
        <v>1986</v>
      </c>
      <c r="H5383" s="30" t="s">
        <v>1992</v>
      </c>
      <c r="J5383" s="30" t="s">
        <v>1993</v>
      </c>
      <c r="L5383" s="30" t="s">
        <v>453</v>
      </c>
      <c r="M5383" s="30" t="s">
        <v>2003</v>
      </c>
      <c r="N5383" s="30" t="s">
        <v>2005</v>
      </c>
      <c r="P5383" s="30" t="s">
        <v>8744</v>
      </c>
      <c r="Q5383" t="s">
        <v>735</v>
      </c>
      <c r="R5383" t="s">
        <v>917</v>
      </c>
      <c r="S5383">
        <v>38</v>
      </c>
      <c r="T5383" s="29" t="str">
        <f t="shared" si="249"/>
        <v>2022.005D.Parvoviridae_2ngen_49nsp_125rensp.zip</v>
      </c>
      <c r="U5383" s="29" t="str">
        <f>HYPERLINK("https://ictv.global/taxonomy/taxondetails?taxnode_id=202314067","ictv.global=202314067")</f>
        <v>ictv.global=202314067</v>
      </c>
    </row>
    <row r="5384" spans="1:21">
      <c r="A5384">
        <v>5383</v>
      </c>
      <c r="B5384" s="30" t="s">
        <v>1956</v>
      </c>
      <c r="D5384" s="30" t="s">
        <v>1985</v>
      </c>
      <c r="F5384" s="30" t="s">
        <v>1986</v>
      </c>
      <c r="H5384" s="30" t="s">
        <v>1992</v>
      </c>
      <c r="J5384" s="30" t="s">
        <v>1993</v>
      </c>
      <c r="L5384" s="30" t="s">
        <v>453</v>
      </c>
      <c r="M5384" s="30" t="s">
        <v>2003</v>
      </c>
      <c r="N5384" s="30" t="s">
        <v>2005</v>
      </c>
      <c r="P5384" s="30" t="s">
        <v>8745</v>
      </c>
      <c r="Q5384" t="s">
        <v>735</v>
      </c>
      <c r="R5384" t="s">
        <v>917</v>
      </c>
      <c r="S5384">
        <v>38</v>
      </c>
      <c r="T5384" s="29" t="str">
        <f t="shared" si="249"/>
        <v>2022.005D.Parvoviridae_2ngen_49nsp_125rensp.zip</v>
      </c>
      <c r="U5384" s="29" t="str">
        <f>HYPERLINK("https://ictv.global/taxonomy/taxondetails?taxnode_id=202314065","ictv.global=202314065")</f>
        <v>ictv.global=202314065</v>
      </c>
    </row>
    <row r="5385" spans="1:21">
      <c r="A5385">
        <v>5384</v>
      </c>
      <c r="B5385" s="30" t="s">
        <v>1956</v>
      </c>
      <c r="D5385" s="30" t="s">
        <v>1985</v>
      </c>
      <c r="F5385" s="30" t="s">
        <v>1986</v>
      </c>
      <c r="H5385" s="30" t="s">
        <v>1992</v>
      </c>
      <c r="J5385" s="30" t="s">
        <v>1993</v>
      </c>
      <c r="L5385" s="30" t="s">
        <v>453</v>
      </c>
      <c r="M5385" s="30" t="s">
        <v>2003</v>
      </c>
      <c r="N5385" s="30" t="s">
        <v>2005</v>
      </c>
      <c r="P5385" s="30" t="s">
        <v>8746</v>
      </c>
      <c r="Q5385" t="s">
        <v>735</v>
      </c>
      <c r="R5385" t="s">
        <v>917</v>
      </c>
      <c r="S5385">
        <v>38</v>
      </c>
      <c r="T5385" s="29" t="str">
        <f t="shared" si="249"/>
        <v>2022.005D.Parvoviridae_2ngen_49nsp_125rensp.zip</v>
      </c>
      <c r="U5385" s="29" t="str">
        <f>HYPERLINK("https://ictv.global/taxonomy/taxondetails?taxnode_id=202314066","ictv.global=202314066")</f>
        <v>ictv.global=202314066</v>
      </c>
    </row>
    <row r="5386" spans="1:21">
      <c r="A5386">
        <v>5385</v>
      </c>
      <c r="B5386" s="30" t="s">
        <v>1956</v>
      </c>
      <c r="D5386" s="30" t="s">
        <v>1985</v>
      </c>
      <c r="F5386" s="30" t="s">
        <v>1986</v>
      </c>
      <c r="H5386" s="30" t="s">
        <v>1992</v>
      </c>
      <c r="J5386" s="30" t="s">
        <v>1993</v>
      </c>
      <c r="L5386" s="30" t="s">
        <v>453</v>
      </c>
      <c r="M5386" s="30" t="s">
        <v>2003</v>
      </c>
      <c r="N5386" s="30" t="s">
        <v>2005</v>
      </c>
      <c r="P5386" s="30" t="s">
        <v>8747</v>
      </c>
      <c r="Q5386" t="s">
        <v>735</v>
      </c>
      <c r="R5386" t="s">
        <v>917</v>
      </c>
      <c r="S5386">
        <v>38</v>
      </c>
      <c r="T5386" s="29" t="str">
        <f t="shared" si="249"/>
        <v>2022.005D.Parvoviridae_2ngen_49nsp_125rensp.zip</v>
      </c>
      <c r="U5386" s="29" t="str">
        <f>HYPERLINK("https://ictv.global/taxonomy/taxondetails?taxnode_id=202314069","ictv.global=202314069")</f>
        <v>ictv.global=202314069</v>
      </c>
    </row>
    <row r="5387" spans="1:21">
      <c r="A5387">
        <v>5386</v>
      </c>
      <c r="B5387" s="30" t="s">
        <v>1956</v>
      </c>
      <c r="D5387" s="30" t="s">
        <v>1985</v>
      </c>
      <c r="F5387" s="30" t="s">
        <v>1986</v>
      </c>
      <c r="H5387" s="30" t="s">
        <v>1992</v>
      </c>
      <c r="J5387" s="30" t="s">
        <v>1993</v>
      </c>
      <c r="L5387" s="30" t="s">
        <v>453</v>
      </c>
      <c r="M5387" s="30" t="s">
        <v>2003</v>
      </c>
      <c r="N5387" s="30" t="s">
        <v>2005</v>
      </c>
      <c r="P5387" s="30" t="s">
        <v>8748</v>
      </c>
      <c r="Q5387" t="s">
        <v>735</v>
      </c>
      <c r="R5387" t="s">
        <v>917</v>
      </c>
      <c r="S5387">
        <v>38</v>
      </c>
      <c r="T5387" s="29" t="str">
        <f t="shared" si="249"/>
        <v>2022.005D.Parvoviridae_2ngen_49nsp_125rensp.zip</v>
      </c>
      <c r="U5387" s="29" t="str">
        <f>HYPERLINK("https://ictv.global/taxonomy/taxondetails?taxnode_id=202314070","ictv.global=202314070")</f>
        <v>ictv.global=202314070</v>
      </c>
    </row>
    <row r="5388" spans="1:21">
      <c r="A5388">
        <v>5387</v>
      </c>
      <c r="B5388" s="30" t="s">
        <v>1956</v>
      </c>
      <c r="D5388" s="30" t="s">
        <v>1985</v>
      </c>
      <c r="F5388" s="30" t="s">
        <v>1986</v>
      </c>
      <c r="H5388" s="30" t="s">
        <v>1992</v>
      </c>
      <c r="J5388" s="30" t="s">
        <v>1993</v>
      </c>
      <c r="L5388" s="30" t="s">
        <v>453</v>
      </c>
      <c r="M5388" s="30" t="s">
        <v>2003</v>
      </c>
      <c r="N5388" s="30" t="s">
        <v>2005</v>
      </c>
      <c r="P5388" s="30" t="s">
        <v>8749</v>
      </c>
      <c r="Q5388" t="s">
        <v>731</v>
      </c>
      <c r="R5388" t="s">
        <v>917</v>
      </c>
      <c r="S5388">
        <v>38</v>
      </c>
      <c r="T5388" s="29" t="str">
        <f>HYPERLINK("https://ictv.global/ictv/proposals/2022.006D.Parvoviridae_2nsp.zip","2022.006D.Parvoviridae_2nsp.zip")</f>
        <v>2022.006D.Parvoviridae_2nsp.zip</v>
      </c>
      <c r="U5388" s="29" t="str">
        <f>HYPERLINK("https://ictv.global/taxonomy/taxondetails?taxnode_id=202314077","ictv.global=202314077")</f>
        <v>ictv.global=202314077</v>
      </c>
    </row>
    <row r="5389" spans="1:21">
      <c r="A5389">
        <v>5388</v>
      </c>
      <c r="B5389" s="30" t="s">
        <v>1956</v>
      </c>
      <c r="D5389" s="30" t="s">
        <v>1985</v>
      </c>
      <c r="F5389" s="30" t="s">
        <v>1986</v>
      </c>
      <c r="H5389" s="30" t="s">
        <v>1992</v>
      </c>
      <c r="J5389" s="30" t="s">
        <v>1993</v>
      </c>
      <c r="L5389" s="30" t="s">
        <v>453</v>
      </c>
      <c r="M5389" s="30" t="s">
        <v>2003</v>
      </c>
      <c r="N5389" s="30" t="s">
        <v>2005</v>
      </c>
      <c r="P5389" s="30" t="s">
        <v>8750</v>
      </c>
      <c r="Q5389" t="s">
        <v>735</v>
      </c>
      <c r="R5389" t="s">
        <v>920</v>
      </c>
      <c r="S5389">
        <v>38</v>
      </c>
      <c r="T5389" s="29" t="str">
        <f>HYPERLINK("https://ictv.global/ictv/proposals/2022.005D.Parvoviridae_2ngen_49nsp_125rensp.zip","2022.005D.Parvoviridae_2ngen_49nsp_125rensp.zip")</f>
        <v>2022.005D.Parvoviridae_2ngen_49nsp_125rensp.zip</v>
      </c>
      <c r="U5389" s="29" t="str">
        <f>HYPERLINK("https://ictv.global/taxonomy/taxondetails?taxnode_id=202307331","ictv.global=202307331")</f>
        <v>ictv.global=202307331</v>
      </c>
    </row>
    <row r="5390" spans="1:21">
      <c r="A5390">
        <v>5389</v>
      </c>
      <c r="B5390" s="30" t="s">
        <v>1956</v>
      </c>
      <c r="D5390" s="30" t="s">
        <v>1985</v>
      </c>
      <c r="F5390" s="30" t="s">
        <v>1986</v>
      </c>
      <c r="H5390" s="30" t="s">
        <v>1992</v>
      </c>
      <c r="J5390" s="30" t="s">
        <v>1993</v>
      </c>
      <c r="L5390" s="30" t="s">
        <v>453</v>
      </c>
      <c r="M5390" s="30" t="s">
        <v>2003</v>
      </c>
      <c r="N5390" s="30" t="s">
        <v>2005</v>
      </c>
      <c r="P5390" s="30" t="s">
        <v>8751</v>
      </c>
      <c r="Q5390" t="s">
        <v>735</v>
      </c>
      <c r="R5390" t="s">
        <v>920</v>
      </c>
      <c r="S5390">
        <v>38</v>
      </c>
      <c r="T5390" s="29" t="str">
        <f>HYPERLINK("https://ictv.global/ictv/proposals/2022.005D.Parvoviridae_2ngen_49nsp_125rensp.zip","2022.005D.Parvoviridae_2ngen_49nsp_125rensp.zip")</f>
        <v>2022.005D.Parvoviridae_2ngen_49nsp_125rensp.zip</v>
      </c>
      <c r="U5390" s="29" t="str">
        <f>HYPERLINK("https://ictv.global/taxonomy/taxondetails?taxnode_id=202309271","ictv.global=202309271")</f>
        <v>ictv.global=202309271</v>
      </c>
    </row>
    <row r="5391" spans="1:21">
      <c r="A5391">
        <v>5390</v>
      </c>
      <c r="B5391" s="30" t="s">
        <v>1956</v>
      </c>
      <c r="D5391" s="30" t="s">
        <v>1985</v>
      </c>
      <c r="F5391" s="30" t="s">
        <v>1986</v>
      </c>
      <c r="H5391" s="30" t="s">
        <v>1992</v>
      </c>
      <c r="J5391" s="30" t="s">
        <v>1993</v>
      </c>
      <c r="L5391" s="30" t="s">
        <v>453</v>
      </c>
      <c r="M5391" s="30" t="s">
        <v>2003</v>
      </c>
      <c r="N5391" s="30" t="s">
        <v>2005</v>
      </c>
      <c r="P5391" s="30" t="s">
        <v>8752</v>
      </c>
      <c r="Q5391" t="s">
        <v>735</v>
      </c>
      <c r="R5391" t="s">
        <v>917</v>
      </c>
      <c r="S5391">
        <v>38</v>
      </c>
      <c r="T5391" s="29" t="str">
        <f>HYPERLINK("https://ictv.global/ictv/proposals/2022.005D.Parvoviridae_2ngen_49nsp_125rensp.zip","2022.005D.Parvoviridae_2ngen_49nsp_125rensp.zip")</f>
        <v>2022.005D.Parvoviridae_2ngen_49nsp_125rensp.zip</v>
      </c>
      <c r="U5391" s="29" t="str">
        <f>HYPERLINK("https://ictv.global/taxonomy/taxondetails?taxnode_id=202314064","ictv.global=202314064")</f>
        <v>ictv.global=202314064</v>
      </c>
    </row>
    <row r="5392" spans="1:21">
      <c r="A5392">
        <v>5391</v>
      </c>
      <c r="B5392" s="30" t="s">
        <v>1956</v>
      </c>
      <c r="D5392" s="30" t="s">
        <v>1985</v>
      </c>
      <c r="F5392" s="30" t="s">
        <v>1986</v>
      </c>
      <c r="H5392" s="30" t="s">
        <v>1992</v>
      </c>
      <c r="J5392" s="30" t="s">
        <v>1993</v>
      </c>
      <c r="L5392" s="30" t="s">
        <v>453</v>
      </c>
      <c r="M5392" s="30" t="s">
        <v>2003</v>
      </c>
      <c r="N5392" s="30" t="s">
        <v>2005</v>
      </c>
      <c r="P5392" s="30" t="s">
        <v>8753</v>
      </c>
      <c r="Q5392" t="s">
        <v>735</v>
      </c>
      <c r="R5392" t="s">
        <v>920</v>
      </c>
      <c r="S5392">
        <v>38</v>
      </c>
      <c r="T5392" s="29" t="str">
        <f>HYPERLINK("https://ictv.global/ictv/proposals/2022.005D.Parvoviridae_2ngen_49nsp_125rensp.zip","2022.005D.Parvoviridae_2ngen_49nsp_125rensp.zip")</f>
        <v>2022.005D.Parvoviridae_2ngen_49nsp_125rensp.zip</v>
      </c>
      <c r="U5392" s="29" t="str">
        <f>HYPERLINK("https://ictv.global/taxonomy/taxondetails?taxnode_id=202307332","ictv.global=202307332")</f>
        <v>ictv.global=202307332</v>
      </c>
    </row>
    <row r="5393" spans="1:21">
      <c r="A5393">
        <v>5392</v>
      </c>
      <c r="B5393" s="30" t="s">
        <v>1956</v>
      </c>
      <c r="D5393" s="30" t="s">
        <v>1985</v>
      </c>
      <c r="F5393" s="30" t="s">
        <v>1986</v>
      </c>
      <c r="H5393" s="30" t="s">
        <v>1992</v>
      </c>
      <c r="J5393" s="30" t="s">
        <v>1993</v>
      </c>
      <c r="L5393" s="30" t="s">
        <v>453</v>
      </c>
      <c r="M5393" s="30" t="s">
        <v>2003</v>
      </c>
      <c r="N5393" s="30" t="s">
        <v>2005</v>
      </c>
      <c r="P5393" s="30" t="s">
        <v>12744</v>
      </c>
      <c r="Q5393" t="s">
        <v>13939</v>
      </c>
      <c r="R5393" t="s">
        <v>917</v>
      </c>
      <c r="S5393">
        <v>39</v>
      </c>
      <c r="T5393" s="29" t="str">
        <f>HYPERLINK("https://ictv.global/ictv/proposals/2023.007D.Parvoviridae_12nsp.zip","2023.007D.Parvoviridae_12nsp.zip")</f>
        <v>2023.007D.Parvoviridae_12nsp.zip</v>
      </c>
      <c r="U5393" s="29" t="str">
        <f>HYPERLINK("https://ictv.global/taxonomy/taxondetails?taxnode_id=202317841","ictv.global=202317841")</f>
        <v>ictv.global=202317841</v>
      </c>
    </row>
    <row r="5394" spans="1:21">
      <c r="A5394">
        <v>5393</v>
      </c>
      <c r="B5394" s="30" t="s">
        <v>1956</v>
      </c>
      <c r="D5394" s="30" t="s">
        <v>1985</v>
      </c>
      <c r="F5394" s="30" t="s">
        <v>1986</v>
      </c>
      <c r="H5394" s="30" t="s">
        <v>1992</v>
      </c>
      <c r="J5394" s="30" t="s">
        <v>1993</v>
      </c>
      <c r="L5394" s="30" t="s">
        <v>453</v>
      </c>
      <c r="M5394" s="30" t="s">
        <v>2003</v>
      </c>
      <c r="N5394" s="30" t="s">
        <v>2005</v>
      </c>
      <c r="P5394" s="30" t="s">
        <v>8754</v>
      </c>
      <c r="Q5394" t="s">
        <v>735</v>
      </c>
      <c r="R5394" t="s">
        <v>920</v>
      </c>
      <c r="S5394">
        <v>38</v>
      </c>
      <c r="T5394" s="29" t="str">
        <f t="shared" ref="T5394:T5401" si="250">HYPERLINK("https://ictv.global/ictv/proposals/2022.005D.Parvoviridae_2ngen_49nsp_125rensp.zip","2022.005D.Parvoviridae_2ngen_49nsp_125rensp.zip")</f>
        <v>2022.005D.Parvoviridae_2ngen_49nsp_125rensp.zip</v>
      </c>
      <c r="U5394" s="29" t="str">
        <f>HYPERLINK("https://ictv.global/taxonomy/taxondetails?taxnode_id=202309272","ictv.global=202309272")</f>
        <v>ictv.global=202309272</v>
      </c>
    </row>
    <row r="5395" spans="1:21">
      <c r="A5395">
        <v>5394</v>
      </c>
      <c r="B5395" s="30" t="s">
        <v>1956</v>
      </c>
      <c r="D5395" s="30" t="s">
        <v>1985</v>
      </c>
      <c r="F5395" s="30" t="s">
        <v>1986</v>
      </c>
      <c r="H5395" s="30" t="s">
        <v>1992</v>
      </c>
      <c r="J5395" s="30" t="s">
        <v>1993</v>
      </c>
      <c r="L5395" s="30" t="s">
        <v>453</v>
      </c>
      <c r="M5395" s="30" t="s">
        <v>2003</v>
      </c>
      <c r="N5395" s="30" t="s">
        <v>2005</v>
      </c>
      <c r="P5395" s="30" t="s">
        <v>8755</v>
      </c>
      <c r="Q5395" t="s">
        <v>735</v>
      </c>
      <c r="R5395" t="s">
        <v>920</v>
      </c>
      <c r="S5395">
        <v>38</v>
      </c>
      <c r="T5395" s="29" t="str">
        <f t="shared" si="250"/>
        <v>2022.005D.Parvoviridae_2ngen_49nsp_125rensp.zip</v>
      </c>
      <c r="U5395" s="29" t="str">
        <f>HYPERLINK("https://ictv.global/taxonomy/taxondetails?taxnode_id=202309273","ictv.global=202309273")</f>
        <v>ictv.global=202309273</v>
      </c>
    </row>
    <row r="5396" spans="1:21">
      <c r="A5396">
        <v>5395</v>
      </c>
      <c r="B5396" s="30" t="s">
        <v>1956</v>
      </c>
      <c r="D5396" s="30" t="s">
        <v>1985</v>
      </c>
      <c r="F5396" s="30" t="s">
        <v>1986</v>
      </c>
      <c r="H5396" s="30" t="s">
        <v>1992</v>
      </c>
      <c r="J5396" s="30" t="s">
        <v>1993</v>
      </c>
      <c r="L5396" s="30" t="s">
        <v>453</v>
      </c>
      <c r="M5396" s="30" t="s">
        <v>2003</v>
      </c>
      <c r="N5396" s="30" t="s">
        <v>2005</v>
      </c>
      <c r="P5396" s="30" t="s">
        <v>8756</v>
      </c>
      <c r="Q5396" t="s">
        <v>735</v>
      </c>
      <c r="R5396" t="s">
        <v>920</v>
      </c>
      <c r="S5396">
        <v>38</v>
      </c>
      <c r="T5396" s="29" t="str">
        <f t="shared" si="250"/>
        <v>2022.005D.Parvoviridae_2ngen_49nsp_125rensp.zip</v>
      </c>
      <c r="U5396" s="29" t="str">
        <f>HYPERLINK("https://ictv.global/taxonomy/taxondetails?taxnode_id=202309274","ictv.global=202309274")</f>
        <v>ictv.global=202309274</v>
      </c>
    </row>
    <row r="5397" spans="1:21">
      <c r="A5397">
        <v>5396</v>
      </c>
      <c r="B5397" s="30" t="s">
        <v>1956</v>
      </c>
      <c r="D5397" s="30" t="s">
        <v>1985</v>
      </c>
      <c r="F5397" s="30" t="s">
        <v>1986</v>
      </c>
      <c r="H5397" s="30" t="s">
        <v>1992</v>
      </c>
      <c r="J5397" s="30" t="s">
        <v>1993</v>
      </c>
      <c r="L5397" s="30" t="s">
        <v>453</v>
      </c>
      <c r="M5397" s="30" t="s">
        <v>2003</v>
      </c>
      <c r="N5397" s="30" t="s">
        <v>2005</v>
      </c>
      <c r="P5397" s="30" t="s">
        <v>8757</v>
      </c>
      <c r="Q5397" t="s">
        <v>735</v>
      </c>
      <c r="R5397" t="s">
        <v>920</v>
      </c>
      <c r="S5397">
        <v>38</v>
      </c>
      <c r="T5397" s="29" t="str">
        <f t="shared" si="250"/>
        <v>2022.005D.Parvoviridae_2ngen_49nsp_125rensp.zip</v>
      </c>
      <c r="U5397" s="29" t="str">
        <f>HYPERLINK("https://ictv.global/taxonomy/taxondetails?taxnode_id=202307333","ictv.global=202307333")</f>
        <v>ictv.global=202307333</v>
      </c>
    </row>
    <row r="5398" spans="1:21">
      <c r="A5398">
        <v>5397</v>
      </c>
      <c r="B5398" s="30" t="s">
        <v>1956</v>
      </c>
      <c r="D5398" s="30" t="s">
        <v>1985</v>
      </c>
      <c r="F5398" s="30" t="s">
        <v>1986</v>
      </c>
      <c r="H5398" s="30" t="s">
        <v>1992</v>
      </c>
      <c r="J5398" s="30" t="s">
        <v>1993</v>
      </c>
      <c r="L5398" s="30" t="s">
        <v>453</v>
      </c>
      <c r="M5398" s="30" t="s">
        <v>2003</v>
      </c>
      <c r="N5398" s="30" t="s">
        <v>2005</v>
      </c>
      <c r="P5398" s="30" t="s">
        <v>8758</v>
      </c>
      <c r="Q5398" t="s">
        <v>735</v>
      </c>
      <c r="R5398" t="s">
        <v>920</v>
      </c>
      <c r="S5398">
        <v>38</v>
      </c>
      <c r="T5398" s="29" t="str">
        <f t="shared" si="250"/>
        <v>2022.005D.Parvoviridae_2ngen_49nsp_125rensp.zip</v>
      </c>
      <c r="U5398" s="29" t="str">
        <f>HYPERLINK("https://ictv.global/taxonomy/taxondetails?taxnode_id=202307334","ictv.global=202307334")</f>
        <v>ictv.global=202307334</v>
      </c>
    </row>
    <row r="5399" spans="1:21">
      <c r="A5399">
        <v>5398</v>
      </c>
      <c r="B5399" s="30" t="s">
        <v>1956</v>
      </c>
      <c r="D5399" s="30" t="s">
        <v>1985</v>
      </c>
      <c r="F5399" s="30" t="s">
        <v>1986</v>
      </c>
      <c r="H5399" s="30" t="s">
        <v>1992</v>
      </c>
      <c r="J5399" s="30" t="s">
        <v>1993</v>
      </c>
      <c r="L5399" s="30" t="s">
        <v>453</v>
      </c>
      <c r="M5399" s="30" t="s">
        <v>2003</v>
      </c>
      <c r="N5399" s="30" t="s">
        <v>2005</v>
      </c>
      <c r="P5399" s="30" t="s">
        <v>8759</v>
      </c>
      <c r="Q5399" t="s">
        <v>735</v>
      </c>
      <c r="R5399" t="s">
        <v>920</v>
      </c>
      <c r="S5399">
        <v>38</v>
      </c>
      <c r="T5399" s="29" t="str">
        <f t="shared" si="250"/>
        <v>2022.005D.Parvoviridae_2ngen_49nsp_125rensp.zip</v>
      </c>
      <c r="U5399" s="29" t="str">
        <f>HYPERLINK("https://ictv.global/taxonomy/taxondetails?taxnode_id=202307335","ictv.global=202307335")</f>
        <v>ictv.global=202307335</v>
      </c>
    </row>
    <row r="5400" spans="1:21">
      <c r="A5400">
        <v>5399</v>
      </c>
      <c r="B5400" s="30" t="s">
        <v>1956</v>
      </c>
      <c r="D5400" s="30" t="s">
        <v>1985</v>
      </c>
      <c r="F5400" s="30" t="s">
        <v>1986</v>
      </c>
      <c r="H5400" s="30" t="s">
        <v>1992</v>
      </c>
      <c r="J5400" s="30" t="s">
        <v>1993</v>
      </c>
      <c r="L5400" s="30" t="s">
        <v>453</v>
      </c>
      <c r="M5400" s="30" t="s">
        <v>2003</v>
      </c>
      <c r="N5400" s="30" t="s">
        <v>2005</v>
      </c>
      <c r="P5400" s="30" t="s">
        <v>8760</v>
      </c>
      <c r="Q5400" t="s">
        <v>735</v>
      </c>
      <c r="R5400" t="s">
        <v>920</v>
      </c>
      <c r="S5400">
        <v>38</v>
      </c>
      <c r="T5400" s="29" t="str">
        <f t="shared" si="250"/>
        <v>2022.005D.Parvoviridae_2ngen_49nsp_125rensp.zip</v>
      </c>
      <c r="U5400" s="29" t="str">
        <f>HYPERLINK("https://ictv.global/taxonomy/taxondetails?taxnode_id=202309275","ictv.global=202309275")</f>
        <v>ictv.global=202309275</v>
      </c>
    </row>
    <row r="5401" spans="1:21">
      <c r="A5401">
        <v>5400</v>
      </c>
      <c r="B5401" s="30" t="s">
        <v>1956</v>
      </c>
      <c r="D5401" s="30" t="s">
        <v>1985</v>
      </c>
      <c r="F5401" s="30" t="s">
        <v>1986</v>
      </c>
      <c r="H5401" s="30" t="s">
        <v>1992</v>
      </c>
      <c r="J5401" s="30" t="s">
        <v>1993</v>
      </c>
      <c r="L5401" s="30" t="s">
        <v>453</v>
      </c>
      <c r="M5401" s="30" t="s">
        <v>2003</v>
      </c>
      <c r="N5401" s="30" t="s">
        <v>2005</v>
      </c>
      <c r="P5401" s="30" t="s">
        <v>8761</v>
      </c>
      <c r="Q5401" t="s">
        <v>735</v>
      </c>
      <c r="R5401" t="s">
        <v>920</v>
      </c>
      <c r="S5401">
        <v>38</v>
      </c>
      <c r="T5401" s="29" t="str">
        <f t="shared" si="250"/>
        <v>2022.005D.Parvoviridae_2ngen_49nsp_125rensp.zip</v>
      </c>
      <c r="U5401" s="29" t="str">
        <f>HYPERLINK("https://ictv.global/taxonomy/taxondetails?taxnode_id=202309276","ictv.global=202309276")</f>
        <v>ictv.global=202309276</v>
      </c>
    </row>
    <row r="5402" spans="1:21">
      <c r="A5402">
        <v>5401</v>
      </c>
      <c r="B5402" s="30" t="s">
        <v>1956</v>
      </c>
      <c r="D5402" s="30" t="s">
        <v>1985</v>
      </c>
      <c r="F5402" s="30" t="s">
        <v>1986</v>
      </c>
      <c r="H5402" s="30" t="s">
        <v>1992</v>
      </c>
      <c r="J5402" s="30" t="s">
        <v>1993</v>
      </c>
      <c r="L5402" s="30" t="s">
        <v>453</v>
      </c>
      <c r="M5402" s="30" t="s">
        <v>2003</v>
      </c>
      <c r="N5402" s="30" t="s">
        <v>2005</v>
      </c>
      <c r="P5402" s="30" t="s">
        <v>12745</v>
      </c>
      <c r="Q5402" t="s">
        <v>13939</v>
      </c>
      <c r="R5402" t="s">
        <v>917</v>
      </c>
      <c r="S5402">
        <v>39</v>
      </c>
      <c r="T5402" s="29" t="str">
        <f>HYPERLINK("https://ictv.global/ictv/proposals/2023.007D.Parvoviridae_12nsp.zip","2023.007D.Parvoviridae_12nsp.zip")</f>
        <v>2023.007D.Parvoviridae_12nsp.zip</v>
      </c>
      <c r="U5402" s="29" t="str">
        <f>HYPERLINK("https://ictv.global/taxonomy/taxondetails?taxnode_id=202317838","ictv.global=202317838")</f>
        <v>ictv.global=202317838</v>
      </c>
    </row>
    <row r="5403" spans="1:21">
      <c r="A5403">
        <v>5402</v>
      </c>
      <c r="B5403" s="30" t="s">
        <v>1956</v>
      </c>
      <c r="D5403" s="30" t="s">
        <v>1985</v>
      </c>
      <c r="F5403" s="30" t="s">
        <v>1986</v>
      </c>
      <c r="H5403" s="30" t="s">
        <v>1992</v>
      </c>
      <c r="J5403" s="30" t="s">
        <v>1993</v>
      </c>
      <c r="L5403" s="30" t="s">
        <v>453</v>
      </c>
      <c r="M5403" s="30" t="s">
        <v>2003</v>
      </c>
      <c r="N5403" s="30" t="s">
        <v>2005</v>
      </c>
      <c r="P5403" s="30" t="s">
        <v>12746</v>
      </c>
      <c r="Q5403" t="s">
        <v>13939</v>
      </c>
      <c r="R5403" t="s">
        <v>917</v>
      </c>
      <c r="S5403">
        <v>39</v>
      </c>
      <c r="T5403" s="29" t="str">
        <f>HYPERLINK("https://ictv.global/ictv/proposals/2023.007D.Parvoviridae_12nsp.zip","2023.007D.Parvoviridae_12nsp.zip")</f>
        <v>2023.007D.Parvoviridae_12nsp.zip</v>
      </c>
      <c r="U5403" s="29" t="str">
        <f>HYPERLINK("https://ictv.global/taxonomy/taxondetails?taxnode_id=202317839","ictv.global=202317839")</f>
        <v>ictv.global=202317839</v>
      </c>
    </row>
    <row r="5404" spans="1:21">
      <c r="A5404">
        <v>5403</v>
      </c>
      <c r="B5404" s="30" t="s">
        <v>1956</v>
      </c>
      <c r="D5404" s="30" t="s">
        <v>1985</v>
      </c>
      <c r="F5404" s="30" t="s">
        <v>1986</v>
      </c>
      <c r="H5404" s="30" t="s">
        <v>1992</v>
      </c>
      <c r="J5404" s="30" t="s">
        <v>1993</v>
      </c>
      <c r="L5404" s="30" t="s">
        <v>453</v>
      </c>
      <c r="M5404" s="30" t="s">
        <v>2003</v>
      </c>
      <c r="N5404" s="30" t="s">
        <v>2005</v>
      </c>
      <c r="P5404" s="30" t="s">
        <v>8762</v>
      </c>
      <c r="Q5404" t="s">
        <v>735</v>
      </c>
      <c r="R5404" t="s">
        <v>917</v>
      </c>
      <c r="S5404">
        <v>38</v>
      </c>
      <c r="T5404" s="29" t="str">
        <f>HYPERLINK("https://ictv.global/ictv/proposals/2022.005D.Parvoviridae_2ngen_49nsp_125rensp.zip","2022.005D.Parvoviridae_2ngen_49nsp_125rensp.zip")</f>
        <v>2022.005D.Parvoviridae_2ngen_49nsp_125rensp.zip</v>
      </c>
      <c r="U5404" s="29" t="str">
        <f>HYPERLINK("https://ictv.global/taxonomy/taxondetails?taxnode_id=202314071","ictv.global=202314071")</f>
        <v>ictv.global=202314071</v>
      </c>
    </row>
    <row r="5405" spans="1:21">
      <c r="A5405">
        <v>5404</v>
      </c>
      <c r="B5405" s="30" t="s">
        <v>1956</v>
      </c>
      <c r="D5405" s="30" t="s">
        <v>1985</v>
      </c>
      <c r="F5405" s="30" t="s">
        <v>1986</v>
      </c>
      <c r="H5405" s="30" t="s">
        <v>1992</v>
      </c>
      <c r="J5405" s="30" t="s">
        <v>1993</v>
      </c>
      <c r="L5405" s="30" t="s">
        <v>453</v>
      </c>
      <c r="M5405" s="30" t="s">
        <v>2003</v>
      </c>
      <c r="N5405" s="30" t="s">
        <v>2005</v>
      </c>
      <c r="P5405" s="30" t="s">
        <v>8763</v>
      </c>
      <c r="Q5405" t="s">
        <v>735</v>
      </c>
      <c r="R5405" t="s">
        <v>917</v>
      </c>
      <c r="S5405">
        <v>38</v>
      </c>
      <c r="T5405" s="29" t="str">
        <f>HYPERLINK("https://ictv.global/ictv/proposals/2022.005D.Parvoviridae_2ngen_49nsp_125rensp.zip","2022.005D.Parvoviridae_2ngen_49nsp_125rensp.zip")</f>
        <v>2022.005D.Parvoviridae_2ngen_49nsp_125rensp.zip</v>
      </c>
      <c r="U5405" s="29" t="str">
        <f>HYPERLINK("https://ictv.global/taxonomy/taxondetails?taxnode_id=202314072","ictv.global=202314072")</f>
        <v>ictv.global=202314072</v>
      </c>
    </row>
    <row r="5406" spans="1:21">
      <c r="A5406">
        <v>5405</v>
      </c>
      <c r="B5406" s="30" t="s">
        <v>1956</v>
      </c>
      <c r="D5406" s="30" t="s">
        <v>1985</v>
      </c>
      <c r="F5406" s="30" t="s">
        <v>1986</v>
      </c>
      <c r="H5406" s="30" t="s">
        <v>1992</v>
      </c>
      <c r="J5406" s="30" t="s">
        <v>1993</v>
      </c>
      <c r="L5406" s="30" t="s">
        <v>453</v>
      </c>
      <c r="M5406" s="30" t="s">
        <v>2003</v>
      </c>
      <c r="N5406" s="30" t="s">
        <v>2005</v>
      </c>
      <c r="P5406" s="30" t="s">
        <v>8764</v>
      </c>
      <c r="Q5406" t="s">
        <v>735</v>
      </c>
      <c r="R5406" t="s">
        <v>917</v>
      </c>
      <c r="S5406">
        <v>38</v>
      </c>
      <c r="T5406" s="29" t="str">
        <f>HYPERLINK("https://ictv.global/ictv/proposals/2022.005D.Parvoviridae_2ngen_49nsp_125rensp.zip","2022.005D.Parvoviridae_2ngen_49nsp_125rensp.zip")</f>
        <v>2022.005D.Parvoviridae_2ngen_49nsp_125rensp.zip</v>
      </c>
      <c r="U5406" s="29" t="str">
        <f>HYPERLINK("https://ictv.global/taxonomy/taxondetails?taxnode_id=202314073","ictv.global=202314073")</f>
        <v>ictv.global=202314073</v>
      </c>
    </row>
    <row r="5407" spans="1:21">
      <c r="A5407">
        <v>5406</v>
      </c>
      <c r="B5407" s="30" t="s">
        <v>1956</v>
      </c>
      <c r="D5407" s="30" t="s">
        <v>1985</v>
      </c>
      <c r="F5407" s="30" t="s">
        <v>1986</v>
      </c>
      <c r="H5407" s="30" t="s">
        <v>1992</v>
      </c>
      <c r="J5407" s="30" t="s">
        <v>1993</v>
      </c>
      <c r="L5407" s="30" t="s">
        <v>453</v>
      </c>
      <c r="M5407" s="30" t="s">
        <v>2003</v>
      </c>
      <c r="N5407" s="30" t="s">
        <v>2005</v>
      </c>
      <c r="P5407" s="30" t="s">
        <v>8765</v>
      </c>
      <c r="Q5407" t="s">
        <v>735</v>
      </c>
      <c r="R5407" t="s">
        <v>917</v>
      </c>
      <c r="S5407">
        <v>38</v>
      </c>
      <c r="T5407" s="29" t="str">
        <f>HYPERLINK("https://ictv.global/ictv/proposals/2022.005D.Parvoviridae_2ngen_49nsp_125rensp.zip","2022.005D.Parvoviridae_2ngen_49nsp_125rensp.zip")</f>
        <v>2022.005D.Parvoviridae_2ngen_49nsp_125rensp.zip</v>
      </c>
      <c r="U5407" s="29" t="str">
        <f>HYPERLINK("https://ictv.global/taxonomy/taxondetails?taxnode_id=202314074","ictv.global=202314074")</f>
        <v>ictv.global=202314074</v>
      </c>
    </row>
    <row r="5408" spans="1:21">
      <c r="A5408">
        <v>5407</v>
      </c>
      <c r="B5408" s="30" t="s">
        <v>1956</v>
      </c>
      <c r="D5408" s="30" t="s">
        <v>1985</v>
      </c>
      <c r="F5408" s="30" t="s">
        <v>1986</v>
      </c>
      <c r="H5408" s="30" t="s">
        <v>1992</v>
      </c>
      <c r="J5408" s="30" t="s">
        <v>1993</v>
      </c>
      <c r="L5408" s="30" t="s">
        <v>453</v>
      </c>
      <c r="M5408" s="30" t="s">
        <v>2003</v>
      </c>
      <c r="N5408" s="30" t="s">
        <v>2005</v>
      </c>
      <c r="P5408" s="30" t="s">
        <v>8766</v>
      </c>
      <c r="Q5408" t="s">
        <v>735</v>
      </c>
      <c r="R5408" t="s">
        <v>917</v>
      </c>
      <c r="S5408">
        <v>38</v>
      </c>
      <c r="T5408" s="29" t="str">
        <f>HYPERLINK("https://ictv.global/ictv/proposals/2022.005D.Parvoviridae_2ngen_49nsp_125rensp.zip","2022.005D.Parvoviridae_2ngen_49nsp_125rensp.zip")</f>
        <v>2022.005D.Parvoviridae_2ngen_49nsp_125rensp.zip</v>
      </c>
      <c r="U5408" s="29" t="str">
        <f>HYPERLINK("https://ictv.global/taxonomy/taxondetails?taxnode_id=202314062","ictv.global=202314062")</f>
        <v>ictv.global=202314062</v>
      </c>
    </row>
    <row r="5409" spans="1:21">
      <c r="A5409">
        <v>5408</v>
      </c>
      <c r="B5409" s="30" t="s">
        <v>1956</v>
      </c>
      <c r="D5409" s="30" t="s">
        <v>1985</v>
      </c>
      <c r="F5409" s="30" t="s">
        <v>1986</v>
      </c>
      <c r="H5409" s="30" t="s">
        <v>1992</v>
      </c>
      <c r="J5409" s="30" t="s">
        <v>1993</v>
      </c>
      <c r="L5409" s="30" t="s">
        <v>453</v>
      </c>
      <c r="M5409" s="30" t="s">
        <v>2003</v>
      </c>
      <c r="N5409" s="30" t="s">
        <v>2005</v>
      </c>
      <c r="P5409" s="30" t="s">
        <v>12747</v>
      </c>
      <c r="Q5409" t="s">
        <v>13939</v>
      </c>
      <c r="R5409" t="s">
        <v>917</v>
      </c>
      <c r="S5409">
        <v>39</v>
      </c>
      <c r="T5409" s="29" t="str">
        <f>HYPERLINK("https://ictv.global/ictv/proposals/2023.007D.Parvoviridae_12nsp.zip","2023.007D.Parvoviridae_12nsp.zip")</f>
        <v>2023.007D.Parvoviridae_12nsp.zip</v>
      </c>
      <c r="U5409" s="29" t="str">
        <f>HYPERLINK("https://ictv.global/taxonomy/taxondetails?taxnode_id=202317840","ictv.global=202317840")</f>
        <v>ictv.global=202317840</v>
      </c>
    </row>
    <row r="5410" spans="1:21">
      <c r="A5410">
        <v>5409</v>
      </c>
      <c r="B5410" s="30" t="s">
        <v>1956</v>
      </c>
      <c r="D5410" s="30" t="s">
        <v>1985</v>
      </c>
      <c r="F5410" s="30" t="s">
        <v>1986</v>
      </c>
      <c r="H5410" s="30" t="s">
        <v>1992</v>
      </c>
      <c r="J5410" s="30" t="s">
        <v>1993</v>
      </c>
      <c r="L5410" s="30" t="s">
        <v>453</v>
      </c>
      <c r="M5410" s="30" t="s">
        <v>2003</v>
      </c>
      <c r="N5410" s="30" t="s">
        <v>2005</v>
      </c>
      <c r="P5410" s="30" t="s">
        <v>8767</v>
      </c>
      <c r="Q5410" t="s">
        <v>735</v>
      </c>
      <c r="R5410" t="s">
        <v>920</v>
      </c>
      <c r="S5410">
        <v>38</v>
      </c>
      <c r="T5410" s="29" t="str">
        <f t="shared" ref="T5410:T5420" si="251">HYPERLINK("https://ictv.global/ictv/proposals/2022.005D.Parvoviridae_2ngen_49nsp_125rensp.zip","2022.005D.Parvoviridae_2ngen_49nsp_125rensp.zip")</f>
        <v>2022.005D.Parvoviridae_2ngen_49nsp_125rensp.zip</v>
      </c>
      <c r="U5410" s="29" t="str">
        <f>HYPERLINK("https://ictv.global/taxonomy/taxondetails?taxnode_id=202309277","ictv.global=202309277")</f>
        <v>ictv.global=202309277</v>
      </c>
    </row>
    <row r="5411" spans="1:21">
      <c r="A5411">
        <v>5410</v>
      </c>
      <c r="B5411" s="30" t="s">
        <v>1956</v>
      </c>
      <c r="D5411" s="30" t="s">
        <v>1985</v>
      </c>
      <c r="F5411" s="30" t="s">
        <v>1986</v>
      </c>
      <c r="H5411" s="30" t="s">
        <v>1992</v>
      </c>
      <c r="J5411" s="30" t="s">
        <v>1993</v>
      </c>
      <c r="L5411" s="30" t="s">
        <v>453</v>
      </c>
      <c r="M5411" s="30" t="s">
        <v>2003</v>
      </c>
      <c r="N5411" s="30" t="s">
        <v>2005</v>
      </c>
      <c r="P5411" s="30" t="s">
        <v>8768</v>
      </c>
      <c r="Q5411" t="s">
        <v>735</v>
      </c>
      <c r="R5411" t="s">
        <v>917</v>
      </c>
      <c r="S5411">
        <v>38</v>
      </c>
      <c r="T5411" s="29" t="str">
        <f t="shared" si="251"/>
        <v>2022.005D.Parvoviridae_2ngen_49nsp_125rensp.zip</v>
      </c>
      <c r="U5411" s="29" t="str">
        <f>HYPERLINK("https://ictv.global/taxonomy/taxondetails?taxnode_id=202314063","ictv.global=202314063")</f>
        <v>ictv.global=202314063</v>
      </c>
    </row>
    <row r="5412" spans="1:21">
      <c r="A5412">
        <v>5411</v>
      </c>
      <c r="B5412" s="30" t="s">
        <v>1956</v>
      </c>
      <c r="D5412" s="30" t="s">
        <v>1985</v>
      </c>
      <c r="F5412" s="30" t="s">
        <v>1986</v>
      </c>
      <c r="H5412" s="30" t="s">
        <v>1992</v>
      </c>
      <c r="J5412" s="30" t="s">
        <v>1993</v>
      </c>
      <c r="L5412" s="30" t="s">
        <v>453</v>
      </c>
      <c r="M5412" s="30" t="s">
        <v>2003</v>
      </c>
      <c r="N5412" s="30" t="s">
        <v>2005</v>
      </c>
      <c r="P5412" s="30" t="s">
        <v>8769</v>
      </c>
      <c r="Q5412" t="s">
        <v>735</v>
      </c>
      <c r="R5412" t="s">
        <v>920</v>
      </c>
      <c r="S5412">
        <v>38</v>
      </c>
      <c r="T5412" s="29" t="str">
        <f t="shared" si="251"/>
        <v>2022.005D.Parvoviridae_2ngen_49nsp_125rensp.zip</v>
      </c>
      <c r="U5412" s="29" t="str">
        <f>HYPERLINK("https://ictv.global/taxonomy/taxondetails?taxnode_id=202309278","ictv.global=202309278")</f>
        <v>ictv.global=202309278</v>
      </c>
    </row>
    <row r="5413" spans="1:21">
      <c r="A5413">
        <v>5412</v>
      </c>
      <c r="B5413" s="30" t="s">
        <v>1956</v>
      </c>
      <c r="D5413" s="30" t="s">
        <v>1985</v>
      </c>
      <c r="F5413" s="30" t="s">
        <v>1986</v>
      </c>
      <c r="H5413" s="30" t="s">
        <v>1992</v>
      </c>
      <c r="J5413" s="30" t="s">
        <v>1993</v>
      </c>
      <c r="L5413" s="30" t="s">
        <v>453</v>
      </c>
      <c r="M5413" s="30" t="s">
        <v>2003</v>
      </c>
      <c r="N5413" s="30" t="s">
        <v>2005</v>
      </c>
      <c r="P5413" s="30" t="s">
        <v>8770</v>
      </c>
      <c r="Q5413" t="s">
        <v>735</v>
      </c>
      <c r="R5413" t="s">
        <v>917</v>
      </c>
      <c r="S5413">
        <v>38</v>
      </c>
      <c r="T5413" s="29" t="str">
        <f t="shared" si="251"/>
        <v>2022.005D.Parvoviridae_2ngen_49nsp_125rensp.zip</v>
      </c>
      <c r="U5413" s="29" t="str">
        <f>HYPERLINK("https://ictv.global/taxonomy/taxondetails?taxnode_id=202314076","ictv.global=202314076")</f>
        <v>ictv.global=202314076</v>
      </c>
    </row>
    <row r="5414" spans="1:21">
      <c r="A5414">
        <v>5413</v>
      </c>
      <c r="B5414" s="30" t="s">
        <v>1956</v>
      </c>
      <c r="D5414" s="30" t="s">
        <v>1985</v>
      </c>
      <c r="F5414" s="30" t="s">
        <v>1986</v>
      </c>
      <c r="H5414" s="30" t="s">
        <v>1992</v>
      </c>
      <c r="J5414" s="30" t="s">
        <v>1993</v>
      </c>
      <c r="L5414" s="30" t="s">
        <v>453</v>
      </c>
      <c r="M5414" s="30" t="s">
        <v>2003</v>
      </c>
      <c r="N5414" s="30" t="s">
        <v>2005</v>
      </c>
      <c r="P5414" s="30" t="s">
        <v>8771</v>
      </c>
      <c r="Q5414" t="s">
        <v>735</v>
      </c>
      <c r="R5414" t="s">
        <v>920</v>
      </c>
      <c r="S5414">
        <v>38</v>
      </c>
      <c r="T5414" s="29" t="str">
        <f t="shared" si="251"/>
        <v>2022.005D.Parvoviridae_2ngen_49nsp_125rensp.zip</v>
      </c>
      <c r="U5414" s="29" t="str">
        <f>HYPERLINK("https://ictv.global/taxonomy/taxondetails?taxnode_id=202307329","ictv.global=202307329")</f>
        <v>ictv.global=202307329</v>
      </c>
    </row>
    <row r="5415" spans="1:21">
      <c r="A5415">
        <v>5414</v>
      </c>
      <c r="B5415" s="30" t="s">
        <v>1956</v>
      </c>
      <c r="D5415" s="30" t="s">
        <v>1985</v>
      </c>
      <c r="F5415" s="30" t="s">
        <v>1986</v>
      </c>
      <c r="H5415" s="30" t="s">
        <v>1992</v>
      </c>
      <c r="J5415" s="30" t="s">
        <v>1993</v>
      </c>
      <c r="L5415" s="30" t="s">
        <v>453</v>
      </c>
      <c r="M5415" s="30" t="s">
        <v>2003</v>
      </c>
      <c r="N5415" s="30" t="s">
        <v>2005</v>
      </c>
      <c r="P5415" s="30" t="s">
        <v>8772</v>
      </c>
      <c r="Q5415" t="s">
        <v>735</v>
      </c>
      <c r="R5415" t="s">
        <v>920</v>
      </c>
      <c r="S5415">
        <v>38</v>
      </c>
      <c r="T5415" s="29" t="str">
        <f t="shared" si="251"/>
        <v>2022.005D.Parvoviridae_2ngen_49nsp_125rensp.zip</v>
      </c>
      <c r="U5415" s="29" t="str">
        <f>HYPERLINK("https://ictv.global/taxonomy/taxondetails?taxnode_id=202307330","ictv.global=202307330")</f>
        <v>ictv.global=202307330</v>
      </c>
    </row>
    <row r="5416" spans="1:21">
      <c r="A5416">
        <v>5415</v>
      </c>
      <c r="B5416" s="30" t="s">
        <v>1956</v>
      </c>
      <c r="D5416" s="30" t="s">
        <v>1985</v>
      </c>
      <c r="F5416" s="30" t="s">
        <v>1986</v>
      </c>
      <c r="H5416" s="30" t="s">
        <v>1992</v>
      </c>
      <c r="J5416" s="30" t="s">
        <v>1993</v>
      </c>
      <c r="L5416" s="30" t="s">
        <v>453</v>
      </c>
      <c r="M5416" s="30" t="s">
        <v>2003</v>
      </c>
      <c r="N5416" s="30" t="s">
        <v>2005</v>
      </c>
      <c r="P5416" s="30" t="s">
        <v>8773</v>
      </c>
      <c r="Q5416" t="s">
        <v>735</v>
      </c>
      <c r="R5416" t="s">
        <v>917</v>
      </c>
      <c r="S5416">
        <v>38</v>
      </c>
      <c r="T5416" s="29" t="str">
        <f t="shared" si="251"/>
        <v>2022.005D.Parvoviridae_2ngen_49nsp_125rensp.zip</v>
      </c>
      <c r="U5416" s="29" t="str">
        <f>HYPERLINK("https://ictv.global/taxonomy/taxondetails?taxnode_id=202314075","ictv.global=202314075")</f>
        <v>ictv.global=202314075</v>
      </c>
    </row>
    <row r="5417" spans="1:21">
      <c r="A5417">
        <v>5416</v>
      </c>
      <c r="B5417" s="30" t="s">
        <v>1956</v>
      </c>
      <c r="D5417" s="30" t="s">
        <v>1985</v>
      </c>
      <c r="F5417" s="30" t="s">
        <v>1986</v>
      </c>
      <c r="H5417" s="30" t="s">
        <v>1992</v>
      </c>
      <c r="J5417" s="30" t="s">
        <v>1993</v>
      </c>
      <c r="L5417" s="30" t="s">
        <v>453</v>
      </c>
      <c r="M5417" s="30" t="s">
        <v>2003</v>
      </c>
      <c r="N5417" s="30" t="s">
        <v>2005</v>
      </c>
      <c r="P5417" s="30" t="s">
        <v>8774</v>
      </c>
      <c r="Q5417" t="s">
        <v>735</v>
      </c>
      <c r="R5417" t="s">
        <v>920</v>
      </c>
      <c r="S5417">
        <v>38</v>
      </c>
      <c r="T5417" s="29" t="str">
        <f t="shared" si="251"/>
        <v>2022.005D.Parvoviridae_2ngen_49nsp_125rensp.zip</v>
      </c>
      <c r="U5417" s="29" t="str">
        <f>HYPERLINK("https://ictv.global/taxonomy/taxondetails?taxnode_id=202307328","ictv.global=202307328")</f>
        <v>ictv.global=202307328</v>
      </c>
    </row>
    <row r="5418" spans="1:21">
      <c r="A5418">
        <v>5417</v>
      </c>
      <c r="B5418" s="30" t="s">
        <v>1956</v>
      </c>
      <c r="D5418" s="30" t="s">
        <v>1985</v>
      </c>
      <c r="F5418" s="30" t="s">
        <v>1986</v>
      </c>
      <c r="H5418" s="30" t="s">
        <v>1992</v>
      </c>
      <c r="J5418" s="30" t="s">
        <v>1993</v>
      </c>
      <c r="L5418" s="30" t="s">
        <v>453</v>
      </c>
      <c r="M5418" s="30" t="s">
        <v>2003</v>
      </c>
      <c r="N5418" s="30" t="s">
        <v>2006</v>
      </c>
      <c r="P5418" s="30" t="s">
        <v>8775</v>
      </c>
      <c r="Q5418" t="s">
        <v>735</v>
      </c>
      <c r="R5418" t="s">
        <v>920</v>
      </c>
      <c r="S5418">
        <v>38</v>
      </c>
      <c r="T5418" s="29" t="str">
        <f t="shared" si="251"/>
        <v>2022.005D.Parvoviridae_2ngen_49nsp_125rensp.zip</v>
      </c>
      <c r="U5418" s="29" t="str">
        <f>HYPERLINK("https://ictv.global/taxonomy/taxondetails?taxnode_id=202304224","ictv.global=202304224")</f>
        <v>ictv.global=202304224</v>
      </c>
    </row>
    <row r="5419" spans="1:21">
      <c r="A5419">
        <v>5418</v>
      </c>
      <c r="B5419" s="30" t="s">
        <v>1956</v>
      </c>
      <c r="D5419" s="30" t="s">
        <v>1985</v>
      </c>
      <c r="F5419" s="30" t="s">
        <v>1986</v>
      </c>
      <c r="H5419" s="30" t="s">
        <v>1992</v>
      </c>
      <c r="J5419" s="30" t="s">
        <v>1993</v>
      </c>
      <c r="L5419" s="30" t="s">
        <v>453</v>
      </c>
      <c r="M5419" s="30" t="s">
        <v>2003</v>
      </c>
      <c r="N5419" s="30" t="s">
        <v>8776</v>
      </c>
      <c r="P5419" s="30" t="s">
        <v>8777</v>
      </c>
      <c r="Q5419" t="s">
        <v>735</v>
      </c>
      <c r="R5419" t="s">
        <v>920</v>
      </c>
      <c r="S5419">
        <v>38</v>
      </c>
      <c r="T5419" s="29" t="str">
        <f t="shared" si="251"/>
        <v>2022.005D.Parvoviridae_2ngen_49nsp_125rensp.zip</v>
      </c>
      <c r="U5419" s="29" t="str">
        <f>HYPERLINK("https://ictv.global/taxonomy/taxondetails?taxnode_id=202307326","ictv.global=202307326")</f>
        <v>ictv.global=202307326</v>
      </c>
    </row>
    <row r="5420" spans="1:21">
      <c r="A5420">
        <v>5419</v>
      </c>
      <c r="B5420" s="30" t="s">
        <v>1956</v>
      </c>
      <c r="D5420" s="30" t="s">
        <v>1985</v>
      </c>
      <c r="F5420" s="30" t="s">
        <v>1986</v>
      </c>
      <c r="H5420" s="30" t="s">
        <v>1992</v>
      </c>
      <c r="J5420" s="30" t="s">
        <v>1993</v>
      </c>
      <c r="L5420" s="30" t="s">
        <v>453</v>
      </c>
      <c r="M5420" s="30" t="s">
        <v>2003</v>
      </c>
      <c r="N5420" s="30" t="s">
        <v>2000</v>
      </c>
      <c r="P5420" s="30" t="s">
        <v>8778</v>
      </c>
      <c r="Q5420" t="s">
        <v>735</v>
      </c>
      <c r="R5420" t="s">
        <v>920</v>
      </c>
      <c r="S5420">
        <v>38</v>
      </c>
      <c r="T5420" s="29" t="str">
        <f t="shared" si="251"/>
        <v>2022.005D.Parvoviridae_2ngen_49nsp_125rensp.zip</v>
      </c>
      <c r="U5420" s="29" t="str">
        <f>HYPERLINK("https://ictv.global/taxonomy/taxondetails?taxnode_id=202304232","ictv.global=202304232")</f>
        <v>ictv.global=202304232</v>
      </c>
    </row>
    <row r="5421" spans="1:21">
      <c r="A5421">
        <v>5420</v>
      </c>
      <c r="B5421" s="30" t="s">
        <v>1956</v>
      </c>
      <c r="D5421" s="30" t="s">
        <v>1985</v>
      </c>
      <c r="F5421" s="30" t="s">
        <v>1986</v>
      </c>
      <c r="H5421" s="30" t="s">
        <v>1992</v>
      </c>
      <c r="J5421" s="30" t="s">
        <v>1993</v>
      </c>
      <c r="L5421" s="30" t="s">
        <v>453</v>
      </c>
      <c r="M5421" s="30" t="s">
        <v>390</v>
      </c>
      <c r="N5421" s="30" t="s">
        <v>596</v>
      </c>
      <c r="P5421" s="30" t="s">
        <v>8779</v>
      </c>
      <c r="Q5421" t="s">
        <v>622</v>
      </c>
      <c r="R5421" t="s">
        <v>12748</v>
      </c>
      <c r="S5421">
        <v>39</v>
      </c>
      <c r="T5421" s="29" t="str">
        <f>HYPERLINK("https://ictv.global/ictv/proposals/2023.007D.Parvoviridae_12nsp.zip","2023.007D.Parvoviridae_12nsp.zip")</f>
        <v>2023.007D.Parvoviridae_12nsp.zip</v>
      </c>
      <c r="U5421" s="29" t="str">
        <f>HYPERLINK("https://ictv.global/taxonomy/taxondetails?taxnode_id=202304237","ictv.global=202304237")</f>
        <v>ictv.global=202304237</v>
      </c>
    </row>
    <row r="5422" spans="1:21">
      <c r="A5422">
        <v>5421</v>
      </c>
      <c r="B5422" s="30" t="s">
        <v>1956</v>
      </c>
      <c r="D5422" s="30" t="s">
        <v>1985</v>
      </c>
      <c r="F5422" s="30" t="s">
        <v>1986</v>
      </c>
      <c r="H5422" s="30" t="s">
        <v>1992</v>
      </c>
      <c r="J5422" s="30" t="s">
        <v>1993</v>
      </c>
      <c r="L5422" s="30" t="s">
        <v>453</v>
      </c>
      <c r="M5422" s="30" t="s">
        <v>390</v>
      </c>
      <c r="N5422" s="30" t="s">
        <v>596</v>
      </c>
      <c r="P5422" s="30" t="s">
        <v>8780</v>
      </c>
      <c r="Q5422" t="s">
        <v>622</v>
      </c>
      <c r="R5422" t="s">
        <v>920</v>
      </c>
      <c r="S5422">
        <v>38</v>
      </c>
      <c r="T5422" s="29" t="str">
        <f t="shared" ref="T5422:T5427" si="252">HYPERLINK("https://ictv.global/ictv/proposals/2022.005D.Parvoviridae_2ngen_49nsp_125rensp.zip","2022.005D.Parvoviridae_2ngen_49nsp_125rensp.zip")</f>
        <v>2022.005D.Parvoviridae_2ngen_49nsp_125rensp.zip</v>
      </c>
      <c r="U5422" s="29" t="str">
        <f>HYPERLINK("https://ictv.global/taxonomy/taxondetails?taxnode_id=202304238","ictv.global=202304238")</f>
        <v>ictv.global=202304238</v>
      </c>
    </row>
    <row r="5423" spans="1:21">
      <c r="A5423">
        <v>5422</v>
      </c>
      <c r="B5423" s="30" t="s">
        <v>1956</v>
      </c>
      <c r="D5423" s="30" t="s">
        <v>1985</v>
      </c>
      <c r="F5423" s="30" t="s">
        <v>1986</v>
      </c>
      <c r="H5423" s="30" t="s">
        <v>1992</v>
      </c>
      <c r="J5423" s="30" t="s">
        <v>1993</v>
      </c>
      <c r="L5423" s="30" t="s">
        <v>453</v>
      </c>
      <c r="M5423" s="30" t="s">
        <v>390</v>
      </c>
      <c r="N5423" s="30" t="s">
        <v>596</v>
      </c>
      <c r="P5423" s="30" t="s">
        <v>8781</v>
      </c>
      <c r="Q5423" t="s">
        <v>622</v>
      </c>
      <c r="R5423" t="s">
        <v>920</v>
      </c>
      <c r="S5423">
        <v>38</v>
      </c>
      <c r="T5423" s="29" t="str">
        <f t="shared" si="252"/>
        <v>2022.005D.Parvoviridae_2ngen_49nsp_125rensp.zip</v>
      </c>
      <c r="U5423" s="29" t="str">
        <f>HYPERLINK("https://ictv.global/taxonomy/taxondetails?taxnode_id=202305887","ictv.global=202305887")</f>
        <v>ictv.global=202305887</v>
      </c>
    </row>
    <row r="5424" spans="1:21">
      <c r="A5424">
        <v>5423</v>
      </c>
      <c r="B5424" s="30" t="s">
        <v>1956</v>
      </c>
      <c r="D5424" s="30" t="s">
        <v>1985</v>
      </c>
      <c r="F5424" s="30" t="s">
        <v>1986</v>
      </c>
      <c r="H5424" s="30" t="s">
        <v>1992</v>
      </c>
      <c r="J5424" s="30" t="s">
        <v>1993</v>
      </c>
      <c r="L5424" s="30" t="s">
        <v>453</v>
      </c>
      <c r="M5424" s="30" t="s">
        <v>390</v>
      </c>
      <c r="N5424" s="30" t="s">
        <v>596</v>
      </c>
      <c r="P5424" s="30" t="s">
        <v>8782</v>
      </c>
      <c r="Q5424" t="s">
        <v>622</v>
      </c>
      <c r="R5424" t="s">
        <v>920</v>
      </c>
      <c r="S5424">
        <v>38</v>
      </c>
      <c r="T5424" s="29" t="str">
        <f t="shared" si="252"/>
        <v>2022.005D.Parvoviridae_2ngen_49nsp_125rensp.zip</v>
      </c>
      <c r="U5424" s="29" t="str">
        <f>HYPERLINK("https://ictv.global/taxonomy/taxondetails?taxnode_id=202305888","ictv.global=202305888")</f>
        <v>ictv.global=202305888</v>
      </c>
    </row>
    <row r="5425" spans="1:21">
      <c r="A5425">
        <v>5424</v>
      </c>
      <c r="B5425" s="30" t="s">
        <v>1956</v>
      </c>
      <c r="D5425" s="30" t="s">
        <v>1985</v>
      </c>
      <c r="F5425" s="30" t="s">
        <v>1986</v>
      </c>
      <c r="H5425" s="30" t="s">
        <v>1992</v>
      </c>
      <c r="J5425" s="30" t="s">
        <v>1993</v>
      </c>
      <c r="L5425" s="30" t="s">
        <v>453</v>
      </c>
      <c r="M5425" s="30" t="s">
        <v>390</v>
      </c>
      <c r="N5425" s="30" t="s">
        <v>596</v>
      </c>
      <c r="P5425" s="30" t="s">
        <v>8783</v>
      </c>
      <c r="Q5425" t="s">
        <v>735</v>
      </c>
      <c r="R5425" t="s">
        <v>920</v>
      </c>
      <c r="S5425">
        <v>38</v>
      </c>
      <c r="T5425" s="29" t="str">
        <f t="shared" si="252"/>
        <v>2022.005D.Parvoviridae_2ngen_49nsp_125rensp.zip</v>
      </c>
      <c r="U5425" s="29" t="str">
        <f>HYPERLINK("https://ictv.global/taxonomy/taxondetails?taxnode_id=202307355","ictv.global=202307355")</f>
        <v>ictv.global=202307355</v>
      </c>
    </row>
    <row r="5426" spans="1:21">
      <c r="A5426">
        <v>5425</v>
      </c>
      <c r="B5426" s="30" t="s">
        <v>1956</v>
      </c>
      <c r="D5426" s="30" t="s">
        <v>1985</v>
      </c>
      <c r="F5426" s="30" t="s">
        <v>1986</v>
      </c>
      <c r="H5426" s="30" t="s">
        <v>1992</v>
      </c>
      <c r="J5426" s="30" t="s">
        <v>1993</v>
      </c>
      <c r="L5426" s="30" t="s">
        <v>453</v>
      </c>
      <c r="M5426" s="30" t="s">
        <v>390</v>
      </c>
      <c r="N5426" s="30" t="s">
        <v>596</v>
      </c>
      <c r="P5426" s="30" t="s">
        <v>8784</v>
      </c>
      <c r="Q5426" t="s">
        <v>735</v>
      </c>
      <c r="R5426" t="s">
        <v>917</v>
      </c>
      <c r="S5426">
        <v>38</v>
      </c>
      <c r="T5426" s="29" t="str">
        <f t="shared" si="252"/>
        <v>2022.005D.Parvoviridae_2ngen_49nsp_125rensp.zip</v>
      </c>
      <c r="U5426" s="29" t="str">
        <f>HYPERLINK("https://ictv.global/taxonomy/taxondetails?taxnode_id=202314030","ictv.global=202314030")</f>
        <v>ictv.global=202314030</v>
      </c>
    </row>
    <row r="5427" spans="1:21">
      <c r="A5427">
        <v>5426</v>
      </c>
      <c r="B5427" s="30" t="s">
        <v>1956</v>
      </c>
      <c r="D5427" s="30" t="s">
        <v>1985</v>
      </c>
      <c r="F5427" s="30" t="s">
        <v>1986</v>
      </c>
      <c r="H5427" s="30" t="s">
        <v>1992</v>
      </c>
      <c r="J5427" s="30" t="s">
        <v>1993</v>
      </c>
      <c r="L5427" s="30" t="s">
        <v>453</v>
      </c>
      <c r="M5427" s="30" t="s">
        <v>390</v>
      </c>
      <c r="N5427" s="30" t="s">
        <v>596</v>
      </c>
      <c r="P5427" s="30" t="s">
        <v>8785</v>
      </c>
      <c r="Q5427" t="s">
        <v>735</v>
      </c>
      <c r="R5427" t="s">
        <v>917</v>
      </c>
      <c r="S5427">
        <v>38</v>
      </c>
      <c r="T5427" s="29" t="str">
        <f t="shared" si="252"/>
        <v>2022.005D.Parvoviridae_2ngen_49nsp_125rensp.zip</v>
      </c>
      <c r="U5427" s="29" t="str">
        <f>HYPERLINK("https://ictv.global/taxonomy/taxondetails?taxnode_id=202314031","ictv.global=202314031")</f>
        <v>ictv.global=202314031</v>
      </c>
    </row>
    <row r="5428" spans="1:21">
      <c r="A5428">
        <v>5427</v>
      </c>
      <c r="B5428" s="30" t="s">
        <v>1956</v>
      </c>
      <c r="D5428" s="30" t="s">
        <v>1985</v>
      </c>
      <c r="F5428" s="30" t="s">
        <v>1986</v>
      </c>
      <c r="H5428" s="30" t="s">
        <v>1992</v>
      </c>
      <c r="J5428" s="30" t="s">
        <v>1993</v>
      </c>
      <c r="L5428" s="30" t="s">
        <v>453</v>
      </c>
      <c r="M5428" s="30" t="s">
        <v>390</v>
      </c>
      <c r="N5428" s="30" t="s">
        <v>596</v>
      </c>
      <c r="P5428" s="30" t="s">
        <v>12749</v>
      </c>
      <c r="Q5428" t="s">
        <v>13939</v>
      </c>
      <c r="R5428" t="s">
        <v>917</v>
      </c>
      <c r="S5428">
        <v>39</v>
      </c>
      <c r="T5428" s="29" t="str">
        <f>HYPERLINK("https://ictv.global/ictv/proposals/2023.007D.Parvoviridae_12nsp.zip","2023.007D.Parvoviridae_12nsp.zip")</f>
        <v>2023.007D.Parvoviridae_12nsp.zip</v>
      </c>
      <c r="U5428" s="29" t="str">
        <f>HYPERLINK("https://ictv.global/taxonomy/taxondetails?taxnode_id=202317843","ictv.global=202317843")</f>
        <v>ictv.global=202317843</v>
      </c>
    </row>
    <row r="5429" spans="1:21">
      <c r="A5429">
        <v>5428</v>
      </c>
      <c r="B5429" s="30" t="s">
        <v>1956</v>
      </c>
      <c r="D5429" s="30" t="s">
        <v>1985</v>
      </c>
      <c r="F5429" s="30" t="s">
        <v>1986</v>
      </c>
      <c r="H5429" s="30" t="s">
        <v>1992</v>
      </c>
      <c r="J5429" s="30" t="s">
        <v>1993</v>
      </c>
      <c r="L5429" s="30" t="s">
        <v>453</v>
      </c>
      <c r="M5429" s="30" t="s">
        <v>390</v>
      </c>
      <c r="N5429" s="30" t="s">
        <v>596</v>
      </c>
      <c r="P5429" s="30" t="s">
        <v>12750</v>
      </c>
      <c r="Q5429" t="s">
        <v>622</v>
      </c>
      <c r="R5429" t="s">
        <v>12748</v>
      </c>
      <c r="S5429">
        <v>39</v>
      </c>
      <c r="T5429" s="29" t="str">
        <f>HYPERLINK("https://ictv.global/ictv/proposals/2023.007D.Parvoviridae_12nsp.zip","2023.007D.Parvoviridae_12nsp.zip")</f>
        <v>2023.007D.Parvoviridae_12nsp.zip</v>
      </c>
      <c r="U5429" s="29" t="str">
        <f>HYPERLINK("https://ictv.global/taxonomy/taxondetails?taxnode_id=202317844","ictv.global=202317844")</f>
        <v>ictv.global=202317844</v>
      </c>
    </row>
    <row r="5430" spans="1:21">
      <c r="A5430">
        <v>5429</v>
      </c>
      <c r="B5430" s="30" t="s">
        <v>1956</v>
      </c>
      <c r="D5430" s="30" t="s">
        <v>1985</v>
      </c>
      <c r="F5430" s="30" t="s">
        <v>1986</v>
      </c>
      <c r="H5430" s="30" t="s">
        <v>1992</v>
      </c>
      <c r="J5430" s="30" t="s">
        <v>1993</v>
      </c>
      <c r="L5430" s="30" t="s">
        <v>453</v>
      </c>
      <c r="M5430" s="30" t="s">
        <v>390</v>
      </c>
      <c r="N5430" s="30" t="s">
        <v>596</v>
      </c>
      <c r="P5430" s="30" t="s">
        <v>12751</v>
      </c>
      <c r="Q5430" t="s">
        <v>622</v>
      </c>
      <c r="R5430" t="s">
        <v>12748</v>
      </c>
      <c r="S5430">
        <v>39</v>
      </c>
      <c r="T5430" s="29" t="str">
        <f>HYPERLINK("https://ictv.global/ictv/proposals/2023.007D.Parvoviridae_12nsp.zip","2023.007D.Parvoviridae_12nsp.zip")</f>
        <v>2023.007D.Parvoviridae_12nsp.zip</v>
      </c>
      <c r="U5430" s="29" t="str">
        <f>HYPERLINK("https://ictv.global/taxonomy/taxondetails?taxnode_id=202317845","ictv.global=202317845")</f>
        <v>ictv.global=202317845</v>
      </c>
    </row>
    <row r="5431" spans="1:21">
      <c r="A5431">
        <v>5430</v>
      </c>
      <c r="B5431" s="30" t="s">
        <v>1956</v>
      </c>
      <c r="D5431" s="30" t="s">
        <v>1985</v>
      </c>
      <c r="F5431" s="30" t="s">
        <v>1986</v>
      </c>
      <c r="H5431" s="30" t="s">
        <v>1992</v>
      </c>
      <c r="J5431" s="30" t="s">
        <v>1993</v>
      </c>
      <c r="L5431" s="30" t="s">
        <v>453</v>
      </c>
      <c r="M5431" s="30" t="s">
        <v>390</v>
      </c>
      <c r="N5431" s="30" t="s">
        <v>596</v>
      </c>
      <c r="P5431" s="30" t="s">
        <v>12752</v>
      </c>
      <c r="Q5431" t="s">
        <v>13939</v>
      </c>
      <c r="R5431" t="s">
        <v>917</v>
      </c>
      <c r="S5431">
        <v>39</v>
      </c>
      <c r="T5431" s="29" t="str">
        <f>HYPERLINK("https://ictv.global/ictv/proposals/2023.007D.Parvoviridae_12nsp.zip","2023.007D.Parvoviridae_12nsp.zip")</f>
        <v>2023.007D.Parvoviridae_12nsp.zip</v>
      </c>
      <c r="U5431" s="29" t="str">
        <f>HYPERLINK("https://ictv.global/taxonomy/taxondetails?taxnode_id=202317846","ictv.global=202317846")</f>
        <v>ictv.global=202317846</v>
      </c>
    </row>
    <row r="5432" spans="1:21">
      <c r="A5432">
        <v>5431</v>
      </c>
      <c r="B5432" s="30" t="s">
        <v>1956</v>
      </c>
      <c r="D5432" s="30" t="s">
        <v>1985</v>
      </c>
      <c r="F5432" s="30" t="s">
        <v>1986</v>
      </c>
      <c r="H5432" s="30" t="s">
        <v>1992</v>
      </c>
      <c r="J5432" s="30" t="s">
        <v>1993</v>
      </c>
      <c r="L5432" s="30" t="s">
        <v>453</v>
      </c>
      <c r="M5432" s="30" t="s">
        <v>390</v>
      </c>
      <c r="N5432" s="30" t="s">
        <v>2007</v>
      </c>
      <c r="P5432" s="30" t="s">
        <v>8786</v>
      </c>
      <c r="Q5432" t="s">
        <v>735</v>
      </c>
      <c r="R5432" t="s">
        <v>920</v>
      </c>
      <c r="S5432">
        <v>38</v>
      </c>
      <c r="T5432" s="29" t="str">
        <f t="shared" ref="T5432:T5476" si="253">HYPERLINK("https://ictv.global/ictv/proposals/2022.005D.Parvoviridae_2ngen_49nsp_125rensp.zip","2022.005D.Parvoviridae_2ngen_49nsp_125rensp.zip")</f>
        <v>2022.005D.Parvoviridae_2ngen_49nsp_125rensp.zip</v>
      </c>
      <c r="U5432" s="29" t="str">
        <f>HYPERLINK("https://ictv.global/taxonomy/taxondetails?taxnode_id=202307337","ictv.global=202307337")</f>
        <v>ictv.global=202307337</v>
      </c>
    </row>
    <row r="5433" spans="1:21">
      <c r="A5433">
        <v>5432</v>
      </c>
      <c r="B5433" s="30" t="s">
        <v>1956</v>
      </c>
      <c r="D5433" s="30" t="s">
        <v>1985</v>
      </c>
      <c r="F5433" s="30" t="s">
        <v>1986</v>
      </c>
      <c r="H5433" s="30" t="s">
        <v>1992</v>
      </c>
      <c r="J5433" s="30" t="s">
        <v>1993</v>
      </c>
      <c r="L5433" s="30" t="s">
        <v>453</v>
      </c>
      <c r="M5433" s="30" t="s">
        <v>390</v>
      </c>
      <c r="N5433" s="30" t="s">
        <v>597</v>
      </c>
      <c r="P5433" s="30" t="s">
        <v>8787</v>
      </c>
      <c r="Q5433" t="s">
        <v>735</v>
      </c>
      <c r="R5433" t="s">
        <v>920</v>
      </c>
      <c r="S5433">
        <v>38</v>
      </c>
      <c r="T5433" s="29" t="str">
        <f t="shared" si="253"/>
        <v>2022.005D.Parvoviridae_2ngen_49nsp_125rensp.zip</v>
      </c>
      <c r="U5433" s="29" t="str">
        <f>HYPERLINK("https://ictv.global/taxonomy/taxondetails?taxnode_id=202309279","ictv.global=202309279")</f>
        <v>ictv.global=202309279</v>
      </c>
    </row>
    <row r="5434" spans="1:21">
      <c r="A5434">
        <v>5433</v>
      </c>
      <c r="B5434" s="30" t="s">
        <v>1956</v>
      </c>
      <c r="D5434" s="30" t="s">
        <v>1985</v>
      </c>
      <c r="F5434" s="30" t="s">
        <v>1986</v>
      </c>
      <c r="H5434" s="30" t="s">
        <v>1992</v>
      </c>
      <c r="J5434" s="30" t="s">
        <v>1993</v>
      </c>
      <c r="L5434" s="30" t="s">
        <v>453</v>
      </c>
      <c r="M5434" s="30" t="s">
        <v>390</v>
      </c>
      <c r="N5434" s="30" t="s">
        <v>597</v>
      </c>
      <c r="P5434" s="30" t="s">
        <v>8788</v>
      </c>
      <c r="Q5434" t="s">
        <v>622</v>
      </c>
      <c r="R5434" t="s">
        <v>920</v>
      </c>
      <c r="S5434">
        <v>38</v>
      </c>
      <c r="T5434" s="29" t="str">
        <f t="shared" si="253"/>
        <v>2022.005D.Parvoviridae_2ngen_49nsp_125rensp.zip</v>
      </c>
      <c r="U5434" s="29" t="str">
        <f>HYPERLINK("https://ictv.global/taxonomy/taxondetails?taxnode_id=202304240","ictv.global=202304240")</f>
        <v>ictv.global=202304240</v>
      </c>
    </row>
    <row r="5435" spans="1:21">
      <c r="A5435">
        <v>5434</v>
      </c>
      <c r="B5435" s="30" t="s">
        <v>1956</v>
      </c>
      <c r="D5435" s="30" t="s">
        <v>1985</v>
      </c>
      <c r="F5435" s="30" t="s">
        <v>1986</v>
      </c>
      <c r="H5435" s="30" t="s">
        <v>1992</v>
      </c>
      <c r="J5435" s="30" t="s">
        <v>1993</v>
      </c>
      <c r="L5435" s="30" t="s">
        <v>453</v>
      </c>
      <c r="M5435" s="30" t="s">
        <v>390</v>
      </c>
      <c r="N5435" s="30" t="s">
        <v>597</v>
      </c>
      <c r="P5435" s="30" t="s">
        <v>8789</v>
      </c>
      <c r="Q5435" t="s">
        <v>735</v>
      </c>
      <c r="R5435" t="s">
        <v>920</v>
      </c>
      <c r="S5435">
        <v>38</v>
      </c>
      <c r="T5435" s="29" t="str">
        <f t="shared" si="253"/>
        <v>2022.005D.Parvoviridae_2ngen_49nsp_125rensp.zip</v>
      </c>
      <c r="U5435" s="29" t="str">
        <f>HYPERLINK("https://ictv.global/taxonomy/taxondetails?taxnode_id=202307350","ictv.global=202307350")</f>
        <v>ictv.global=202307350</v>
      </c>
    </row>
    <row r="5436" spans="1:21">
      <c r="A5436">
        <v>5435</v>
      </c>
      <c r="B5436" s="30" t="s">
        <v>1956</v>
      </c>
      <c r="D5436" s="30" t="s">
        <v>1985</v>
      </c>
      <c r="F5436" s="30" t="s">
        <v>1986</v>
      </c>
      <c r="H5436" s="30" t="s">
        <v>1992</v>
      </c>
      <c r="J5436" s="30" t="s">
        <v>1993</v>
      </c>
      <c r="L5436" s="30" t="s">
        <v>453</v>
      </c>
      <c r="M5436" s="30" t="s">
        <v>390</v>
      </c>
      <c r="N5436" s="30" t="s">
        <v>597</v>
      </c>
      <c r="P5436" s="30" t="s">
        <v>8790</v>
      </c>
      <c r="Q5436" t="s">
        <v>735</v>
      </c>
      <c r="R5436" t="s">
        <v>917</v>
      </c>
      <c r="S5436">
        <v>38</v>
      </c>
      <c r="T5436" s="29" t="str">
        <f t="shared" si="253"/>
        <v>2022.005D.Parvoviridae_2ngen_49nsp_125rensp.zip</v>
      </c>
      <c r="U5436" s="29" t="str">
        <f>HYPERLINK("https://ictv.global/taxonomy/taxondetails?taxnode_id=202314032","ictv.global=202314032")</f>
        <v>ictv.global=202314032</v>
      </c>
    </row>
    <row r="5437" spans="1:21">
      <c r="A5437">
        <v>5436</v>
      </c>
      <c r="B5437" s="30" t="s">
        <v>1956</v>
      </c>
      <c r="D5437" s="30" t="s">
        <v>1985</v>
      </c>
      <c r="F5437" s="30" t="s">
        <v>1986</v>
      </c>
      <c r="H5437" s="30" t="s">
        <v>1992</v>
      </c>
      <c r="J5437" s="30" t="s">
        <v>1993</v>
      </c>
      <c r="L5437" s="30" t="s">
        <v>453</v>
      </c>
      <c r="M5437" s="30" t="s">
        <v>390</v>
      </c>
      <c r="N5437" s="30" t="s">
        <v>598</v>
      </c>
      <c r="P5437" s="30" t="s">
        <v>8791</v>
      </c>
      <c r="Q5437" t="s">
        <v>622</v>
      </c>
      <c r="R5437" t="s">
        <v>920</v>
      </c>
      <c r="S5437">
        <v>38</v>
      </c>
      <c r="T5437" s="29" t="str">
        <f t="shared" si="253"/>
        <v>2022.005D.Parvoviridae_2ngen_49nsp_125rensp.zip</v>
      </c>
      <c r="U5437" s="29" t="str">
        <f>HYPERLINK("https://ictv.global/taxonomy/taxondetails?taxnode_id=202304242","ictv.global=202304242")</f>
        <v>ictv.global=202304242</v>
      </c>
    </row>
    <row r="5438" spans="1:21">
      <c r="A5438">
        <v>5437</v>
      </c>
      <c r="B5438" s="30" t="s">
        <v>1956</v>
      </c>
      <c r="D5438" s="30" t="s">
        <v>1985</v>
      </c>
      <c r="F5438" s="30" t="s">
        <v>1986</v>
      </c>
      <c r="H5438" s="30" t="s">
        <v>1992</v>
      </c>
      <c r="J5438" s="30" t="s">
        <v>1993</v>
      </c>
      <c r="L5438" s="30" t="s">
        <v>453</v>
      </c>
      <c r="M5438" s="30" t="s">
        <v>390</v>
      </c>
      <c r="N5438" s="30" t="s">
        <v>598</v>
      </c>
      <c r="P5438" s="30" t="s">
        <v>8792</v>
      </c>
      <c r="Q5438" t="s">
        <v>622</v>
      </c>
      <c r="R5438" t="s">
        <v>920</v>
      </c>
      <c r="S5438">
        <v>38</v>
      </c>
      <c r="T5438" s="29" t="str">
        <f t="shared" si="253"/>
        <v>2022.005D.Parvoviridae_2ngen_49nsp_125rensp.zip</v>
      </c>
      <c r="U5438" s="29" t="str">
        <f>HYPERLINK("https://ictv.global/taxonomy/taxondetails?taxnode_id=202304243","ictv.global=202304243")</f>
        <v>ictv.global=202304243</v>
      </c>
    </row>
    <row r="5439" spans="1:21">
      <c r="A5439">
        <v>5438</v>
      </c>
      <c r="B5439" s="30" t="s">
        <v>1956</v>
      </c>
      <c r="D5439" s="30" t="s">
        <v>1985</v>
      </c>
      <c r="F5439" s="30" t="s">
        <v>1986</v>
      </c>
      <c r="H5439" s="30" t="s">
        <v>1992</v>
      </c>
      <c r="J5439" s="30" t="s">
        <v>1993</v>
      </c>
      <c r="L5439" s="30" t="s">
        <v>453</v>
      </c>
      <c r="M5439" s="30" t="s">
        <v>390</v>
      </c>
      <c r="N5439" s="30" t="s">
        <v>598</v>
      </c>
      <c r="P5439" s="30" t="s">
        <v>8793</v>
      </c>
      <c r="Q5439" t="s">
        <v>622</v>
      </c>
      <c r="R5439" t="s">
        <v>920</v>
      </c>
      <c r="S5439">
        <v>38</v>
      </c>
      <c r="T5439" s="29" t="str">
        <f t="shared" si="253"/>
        <v>2022.005D.Parvoviridae_2ngen_49nsp_125rensp.zip</v>
      </c>
      <c r="U5439" s="29" t="str">
        <f>HYPERLINK("https://ictv.global/taxonomy/taxondetails?taxnode_id=202304244","ictv.global=202304244")</f>
        <v>ictv.global=202304244</v>
      </c>
    </row>
    <row r="5440" spans="1:21">
      <c r="A5440">
        <v>5439</v>
      </c>
      <c r="B5440" s="30" t="s">
        <v>1956</v>
      </c>
      <c r="D5440" s="30" t="s">
        <v>1985</v>
      </c>
      <c r="F5440" s="30" t="s">
        <v>1986</v>
      </c>
      <c r="H5440" s="30" t="s">
        <v>1992</v>
      </c>
      <c r="J5440" s="30" t="s">
        <v>1993</v>
      </c>
      <c r="L5440" s="30" t="s">
        <v>453</v>
      </c>
      <c r="M5440" s="30" t="s">
        <v>390</v>
      </c>
      <c r="N5440" s="30" t="s">
        <v>598</v>
      </c>
      <c r="P5440" s="30" t="s">
        <v>8794</v>
      </c>
      <c r="Q5440" t="s">
        <v>622</v>
      </c>
      <c r="R5440" t="s">
        <v>920</v>
      </c>
      <c r="S5440">
        <v>38</v>
      </c>
      <c r="T5440" s="29" t="str">
        <f t="shared" si="253"/>
        <v>2022.005D.Parvoviridae_2ngen_49nsp_125rensp.zip</v>
      </c>
      <c r="U5440" s="29" t="str">
        <f>HYPERLINK("https://ictv.global/taxonomy/taxondetails?taxnode_id=202305889","ictv.global=202305889")</f>
        <v>ictv.global=202305889</v>
      </c>
    </row>
    <row r="5441" spans="1:21">
      <c r="A5441">
        <v>5440</v>
      </c>
      <c r="B5441" s="30" t="s">
        <v>1956</v>
      </c>
      <c r="D5441" s="30" t="s">
        <v>1985</v>
      </c>
      <c r="F5441" s="30" t="s">
        <v>1986</v>
      </c>
      <c r="H5441" s="30" t="s">
        <v>1992</v>
      </c>
      <c r="J5441" s="30" t="s">
        <v>1993</v>
      </c>
      <c r="L5441" s="30" t="s">
        <v>453</v>
      </c>
      <c r="M5441" s="30" t="s">
        <v>390</v>
      </c>
      <c r="N5441" s="30" t="s">
        <v>598</v>
      </c>
      <c r="P5441" s="30" t="s">
        <v>8795</v>
      </c>
      <c r="Q5441" t="s">
        <v>622</v>
      </c>
      <c r="R5441" t="s">
        <v>920</v>
      </c>
      <c r="S5441">
        <v>38</v>
      </c>
      <c r="T5441" s="29" t="str">
        <f t="shared" si="253"/>
        <v>2022.005D.Parvoviridae_2ngen_49nsp_125rensp.zip</v>
      </c>
      <c r="U5441" s="29" t="str">
        <f>HYPERLINK("https://ictv.global/taxonomy/taxondetails?taxnode_id=202305890","ictv.global=202305890")</f>
        <v>ictv.global=202305890</v>
      </c>
    </row>
    <row r="5442" spans="1:21">
      <c r="A5442">
        <v>5441</v>
      </c>
      <c r="B5442" s="30" t="s">
        <v>1956</v>
      </c>
      <c r="D5442" s="30" t="s">
        <v>1985</v>
      </c>
      <c r="F5442" s="30" t="s">
        <v>1986</v>
      </c>
      <c r="H5442" s="30" t="s">
        <v>1992</v>
      </c>
      <c r="J5442" s="30" t="s">
        <v>1993</v>
      </c>
      <c r="L5442" s="30" t="s">
        <v>453</v>
      </c>
      <c r="M5442" s="30" t="s">
        <v>390</v>
      </c>
      <c r="N5442" s="30" t="s">
        <v>598</v>
      </c>
      <c r="P5442" s="30" t="s">
        <v>8796</v>
      </c>
      <c r="Q5442" t="s">
        <v>622</v>
      </c>
      <c r="R5442" t="s">
        <v>920</v>
      </c>
      <c r="S5442">
        <v>38</v>
      </c>
      <c r="T5442" s="29" t="str">
        <f t="shared" si="253"/>
        <v>2022.005D.Parvoviridae_2ngen_49nsp_125rensp.zip</v>
      </c>
      <c r="U5442" s="29" t="str">
        <f>HYPERLINK("https://ictv.global/taxonomy/taxondetails?taxnode_id=202305891","ictv.global=202305891")</f>
        <v>ictv.global=202305891</v>
      </c>
    </row>
    <row r="5443" spans="1:21">
      <c r="A5443">
        <v>5442</v>
      </c>
      <c r="B5443" s="30" t="s">
        <v>1956</v>
      </c>
      <c r="D5443" s="30" t="s">
        <v>1985</v>
      </c>
      <c r="F5443" s="30" t="s">
        <v>1986</v>
      </c>
      <c r="H5443" s="30" t="s">
        <v>1992</v>
      </c>
      <c r="J5443" s="30" t="s">
        <v>1993</v>
      </c>
      <c r="L5443" s="30" t="s">
        <v>453</v>
      </c>
      <c r="M5443" s="30" t="s">
        <v>390</v>
      </c>
      <c r="N5443" s="30" t="s">
        <v>598</v>
      </c>
      <c r="P5443" s="30" t="s">
        <v>8797</v>
      </c>
      <c r="Q5443" t="s">
        <v>735</v>
      </c>
      <c r="R5443" t="s">
        <v>917</v>
      </c>
      <c r="S5443">
        <v>38</v>
      </c>
      <c r="T5443" s="29" t="str">
        <f t="shared" si="253"/>
        <v>2022.005D.Parvoviridae_2ngen_49nsp_125rensp.zip</v>
      </c>
      <c r="U5443" s="29" t="str">
        <f>HYPERLINK("https://ictv.global/taxonomy/taxondetails?taxnode_id=202314033","ictv.global=202314033")</f>
        <v>ictv.global=202314033</v>
      </c>
    </row>
    <row r="5444" spans="1:21">
      <c r="A5444">
        <v>5443</v>
      </c>
      <c r="B5444" s="30" t="s">
        <v>1956</v>
      </c>
      <c r="D5444" s="30" t="s">
        <v>1985</v>
      </c>
      <c r="F5444" s="30" t="s">
        <v>1986</v>
      </c>
      <c r="H5444" s="30" t="s">
        <v>1992</v>
      </c>
      <c r="J5444" s="30" t="s">
        <v>1993</v>
      </c>
      <c r="L5444" s="30" t="s">
        <v>453</v>
      </c>
      <c r="M5444" s="30" t="s">
        <v>390</v>
      </c>
      <c r="N5444" s="30" t="s">
        <v>598</v>
      </c>
      <c r="P5444" s="30" t="s">
        <v>8798</v>
      </c>
      <c r="Q5444" t="s">
        <v>622</v>
      </c>
      <c r="R5444" t="s">
        <v>920</v>
      </c>
      <c r="S5444">
        <v>38</v>
      </c>
      <c r="T5444" s="29" t="str">
        <f t="shared" si="253"/>
        <v>2022.005D.Parvoviridae_2ngen_49nsp_125rensp.zip</v>
      </c>
      <c r="U5444" s="29" t="str">
        <f>HYPERLINK("https://ictv.global/taxonomy/taxondetails?taxnode_id=202305892","ictv.global=202305892")</f>
        <v>ictv.global=202305892</v>
      </c>
    </row>
    <row r="5445" spans="1:21">
      <c r="A5445">
        <v>5444</v>
      </c>
      <c r="B5445" s="30" t="s">
        <v>1956</v>
      </c>
      <c r="D5445" s="30" t="s">
        <v>1985</v>
      </c>
      <c r="F5445" s="30" t="s">
        <v>1986</v>
      </c>
      <c r="H5445" s="30" t="s">
        <v>1992</v>
      </c>
      <c r="J5445" s="30" t="s">
        <v>1993</v>
      </c>
      <c r="L5445" s="30" t="s">
        <v>453</v>
      </c>
      <c r="M5445" s="30" t="s">
        <v>390</v>
      </c>
      <c r="N5445" s="30" t="s">
        <v>598</v>
      </c>
      <c r="P5445" s="30" t="s">
        <v>8799</v>
      </c>
      <c r="Q5445" t="s">
        <v>622</v>
      </c>
      <c r="R5445" t="s">
        <v>920</v>
      </c>
      <c r="S5445">
        <v>38</v>
      </c>
      <c r="T5445" s="29" t="str">
        <f t="shared" si="253"/>
        <v>2022.005D.Parvoviridae_2ngen_49nsp_125rensp.zip</v>
      </c>
      <c r="U5445" s="29" t="str">
        <f>HYPERLINK("https://ictv.global/taxonomy/taxondetails?taxnode_id=202305893","ictv.global=202305893")</f>
        <v>ictv.global=202305893</v>
      </c>
    </row>
    <row r="5446" spans="1:21">
      <c r="A5446">
        <v>5445</v>
      </c>
      <c r="B5446" s="30" t="s">
        <v>1956</v>
      </c>
      <c r="D5446" s="30" t="s">
        <v>1985</v>
      </c>
      <c r="F5446" s="30" t="s">
        <v>1986</v>
      </c>
      <c r="H5446" s="30" t="s">
        <v>1992</v>
      </c>
      <c r="J5446" s="30" t="s">
        <v>1993</v>
      </c>
      <c r="L5446" s="30" t="s">
        <v>453</v>
      </c>
      <c r="M5446" s="30" t="s">
        <v>390</v>
      </c>
      <c r="N5446" s="30" t="s">
        <v>598</v>
      </c>
      <c r="P5446" s="30" t="s">
        <v>8800</v>
      </c>
      <c r="Q5446" t="s">
        <v>622</v>
      </c>
      <c r="R5446" t="s">
        <v>920</v>
      </c>
      <c r="S5446">
        <v>38</v>
      </c>
      <c r="T5446" s="29" t="str">
        <f t="shared" si="253"/>
        <v>2022.005D.Parvoviridae_2ngen_49nsp_125rensp.zip</v>
      </c>
      <c r="U5446" s="29" t="str">
        <f>HYPERLINK("https://ictv.global/taxonomy/taxondetails?taxnode_id=202305894","ictv.global=202305894")</f>
        <v>ictv.global=202305894</v>
      </c>
    </row>
    <row r="5447" spans="1:21">
      <c r="A5447">
        <v>5446</v>
      </c>
      <c r="B5447" s="30" t="s">
        <v>1956</v>
      </c>
      <c r="D5447" s="30" t="s">
        <v>1985</v>
      </c>
      <c r="F5447" s="30" t="s">
        <v>1986</v>
      </c>
      <c r="H5447" s="30" t="s">
        <v>1992</v>
      </c>
      <c r="J5447" s="30" t="s">
        <v>1993</v>
      </c>
      <c r="L5447" s="30" t="s">
        <v>453</v>
      </c>
      <c r="M5447" s="30" t="s">
        <v>390</v>
      </c>
      <c r="N5447" s="30" t="s">
        <v>598</v>
      </c>
      <c r="P5447" s="30" t="s">
        <v>8801</v>
      </c>
      <c r="Q5447" t="s">
        <v>622</v>
      </c>
      <c r="R5447" t="s">
        <v>920</v>
      </c>
      <c r="S5447">
        <v>38</v>
      </c>
      <c r="T5447" s="29" t="str">
        <f t="shared" si="253"/>
        <v>2022.005D.Parvoviridae_2ngen_49nsp_125rensp.zip</v>
      </c>
      <c r="U5447" s="29" t="str">
        <f>HYPERLINK("https://ictv.global/taxonomy/taxondetails?taxnode_id=202305895","ictv.global=202305895")</f>
        <v>ictv.global=202305895</v>
      </c>
    </row>
    <row r="5448" spans="1:21">
      <c r="A5448">
        <v>5447</v>
      </c>
      <c r="B5448" s="30" t="s">
        <v>1956</v>
      </c>
      <c r="D5448" s="30" t="s">
        <v>1985</v>
      </c>
      <c r="F5448" s="30" t="s">
        <v>1986</v>
      </c>
      <c r="H5448" s="30" t="s">
        <v>1992</v>
      </c>
      <c r="J5448" s="30" t="s">
        <v>1993</v>
      </c>
      <c r="L5448" s="30" t="s">
        <v>453</v>
      </c>
      <c r="M5448" s="30" t="s">
        <v>390</v>
      </c>
      <c r="N5448" s="30" t="s">
        <v>598</v>
      </c>
      <c r="P5448" s="30" t="s">
        <v>8802</v>
      </c>
      <c r="Q5448" t="s">
        <v>735</v>
      </c>
      <c r="R5448" t="s">
        <v>920</v>
      </c>
      <c r="S5448">
        <v>38</v>
      </c>
      <c r="T5448" s="29" t="str">
        <f t="shared" si="253"/>
        <v>2022.005D.Parvoviridae_2ngen_49nsp_125rensp.zip</v>
      </c>
      <c r="U5448" s="29" t="str">
        <f>HYPERLINK("https://ictv.global/taxonomy/taxondetails?taxnode_id=202309280","ictv.global=202309280")</f>
        <v>ictv.global=202309280</v>
      </c>
    </row>
    <row r="5449" spans="1:21">
      <c r="A5449">
        <v>5448</v>
      </c>
      <c r="B5449" s="30" t="s">
        <v>1956</v>
      </c>
      <c r="D5449" s="30" t="s">
        <v>1985</v>
      </c>
      <c r="F5449" s="30" t="s">
        <v>1986</v>
      </c>
      <c r="H5449" s="30" t="s">
        <v>1992</v>
      </c>
      <c r="J5449" s="30" t="s">
        <v>1993</v>
      </c>
      <c r="L5449" s="30" t="s">
        <v>453</v>
      </c>
      <c r="M5449" s="30" t="s">
        <v>390</v>
      </c>
      <c r="N5449" s="30" t="s">
        <v>598</v>
      </c>
      <c r="P5449" s="30" t="s">
        <v>8803</v>
      </c>
      <c r="Q5449" t="s">
        <v>739</v>
      </c>
      <c r="R5449" t="s">
        <v>917</v>
      </c>
      <c r="S5449">
        <v>38</v>
      </c>
      <c r="T5449" s="29" t="str">
        <f t="shared" si="253"/>
        <v>2022.005D.Parvoviridae_2ngen_49nsp_125rensp.zip</v>
      </c>
      <c r="U5449" s="29" t="str">
        <f>HYPERLINK("https://ictv.global/taxonomy/taxondetails?taxnode_id=202314034","ictv.global=202314034")</f>
        <v>ictv.global=202314034</v>
      </c>
    </row>
    <row r="5450" spans="1:21">
      <c r="A5450">
        <v>5449</v>
      </c>
      <c r="B5450" s="30" t="s">
        <v>1956</v>
      </c>
      <c r="D5450" s="30" t="s">
        <v>1985</v>
      </c>
      <c r="F5450" s="30" t="s">
        <v>1986</v>
      </c>
      <c r="H5450" s="30" t="s">
        <v>1992</v>
      </c>
      <c r="J5450" s="30" t="s">
        <v>1993</v>
      </c>
      <c r="L5450" s="30" t="s">
        <v>453</v>
      </c>
      <c r="M5450" s="30" t="s">
        <v>390</v>
      </c>
      <c r="N5450" s="30" t="s">
        <v>598</v>
      </c>
      <c r="P5450" s="30" t="s">
        <v>8804</v>
      </c>
      <c r="Q5450" t="s">
        <v>622</v>
      </c>
      <c r="R5450" t="s">
        <v>920</v>
      </c>
      <c r="S5450">
        <v>38</v>
      </c>
      <c r="T5450" s="29" t="str">
        <f t="shared" si="253"/>
        <v>2022.005D.Parvoviridae_2ngen_49nsp_125rensp.zip</v>
      </c>
      <c r="U5450" s="29" t="str">
        <f>HYPERLINK("https://ictv.global/taxonomy/taxondetails?taxnode_id=202305896","ictv.global=202305896")</f>
        <v>ictv.global=202305896</v>
      </c>
    </row>
    <row r="5451" spans="1:21">
      <c r="A5451">
        <v>5450</v>
      </c>
      <c r="B5451" s="30" t="s">
        <v>1956</v>
      </c>
      <c r="D5451" s="30" t="s">
        <v>1985</v>
      </c>
      <c r="F5451" s="30" t="s">
        <v>1986</v>
      </c>
      <c r="H5451" s="30" t="s">
        <v>1992</v>
      </c>
      <c r="J5451" s="30" t="s">
        <v>1993</v>
      </c>
      <c r="L5451" s="30" t="s">
        <v>453</v>
      </c>
      <c r="M5451" s="30" t="s">
        <v>390</v>
      </c>
      <c r="N5451" s="30" t="s">
        <v>598</v>
      </c>
      <c r="P5451" s="30" t="s">
        <v>8805</v>
      </c>
      <c r="Q5451" t="s">
        <v>622</v>
      </c>
      <c r="R5451" t="s">
        <v>920</v>
      </c>
      <c r="S5451">
        <v>38</v>
      </c>
      <c r="T5451" s="29" t="str">
        <f t="shared" si="253"/>
        <v>2022.005D.Parvoviridae_2ngen_49nsp_125rensp.zip</v>
      </c>
      <c r="U5451" s="29" t="str">
        <f>HYPERLINK("https://ictv.global/taxonomy/taxondetails?taxnode_id=202304245","ictv.global=202304245")</f>
        <v>ictv.global=202304245</v>
      </c>
    </row>
    <row r="5452" spans="1:21">
      <c r="A5452">
        <v>5451</v>
      </c>
      <c r="B5452" s="30" t="s">
        <v>1956</v>
      </c>
      <c r="D5452" s="30" t="s">
        <v>1985</v>
      </c>
      <c r="F5452" s="30" t="s">
        <v>1986</v>
      </c>
      <c r="H5452" s="30" t="s">
        <v>1992</v>
      </c>
      <c r="J5452" s="30" t="s">
        <v>1993</v>
      </c>
      <c r="L5452" s="30" t="s">
        <v>453</v>
      </c>
      <c r="M5452" s="30" t="s">
        <v>390</v>
      </c>
      <c r="N5452" s="30" t="s">
        <v>598</v>
      </c>
      <c r="P5452" s="30" t="s">
        <v>8806</v>
      </c>
      <c r="Q5452" t="s">
        <v>622</v>
      </c>
      <c r="R5452" t="s">
        <v>920</v>
      </c>
      <c r="S5452">
        <v>38</v>
      </c>
      <c r="T5452" s="29" t="str">
        <f t="shared" si="253"/>
        <v>2022.005D.Parvoviridae_2ngen_49nsp_125rensp.zip</v>
      </c>
      <c r="U5452" s="29" t="str">
        <f>HYPERLINK("https://ictv.global/taxonomy/taxondetails?taxnode_id=202304246","ictv.global=202304246")</f>
        <v>ictv.global=202304246</v>
      </c>
    </row>
    <row r="5453" spans="1:21">
      <c r="A5453">
        <v>5452</v>
      </c>
      <c r="B5453" s="30" t="s">
        <v>1956</v>
      </c>
      <c r="D5453" s="30" t="s">
        <v>1985</v>
      </c>
      <c r="F5453" s="30" t="s">
        <v>1986</v>
      </c>
      <c r="H5453" s="30" t="s">
        <v>1992</v>
      </c>
      <c r="J5453" s="30" t="s">
        <v>1993</v>
      </c>
      <c r="L5453" s="30" t="s">
        <v>453</v>
      </c>
      <c r="M5453" s="30" t="s">
        <v>390</v>
      </c>
      <c r="N5453" s="30" t="s">
        <v>598</v>
      </c>
      <c r="P5453" s="30" t="s">
        <v>8807</v>
      </c>
      <c r="Q5453" t="s">
        <v>622</v>
      </c>
      <c r="R5453" t="s">
        <v>920</v>
      </c>
      <c r="S5453">
        <v>38</v>
      </c>
      <c r="T5453" s="29" t="str">
        <f t="shared" si="253"/>
        <v>2022.005D.Parvoviridae_2ngen_49nsp_125rensp.zip</v>
      </c>
      <c r="U5453" s="29" t="str">
        <f>HYPERLINK("https://ictv.global/taxonomy/taxondetails?taxnode_id=202304247","ictv.global=202304247")</f>
        <v>ictv.global=202304247</v>
      </c>
    </row>
    <row r="5454" spans="1:21">
      <c r="A5454">
        <v>5453</v>
      </c>
      <c r="B5454" s="30" t="s">
        <v>1956</v>
      </c>
      <c r="D5454" s="30" t="s">
        <v>1985</v>
      </c>
      <c r="F5454" s="30" t="s">
        <v>1986</v>
      </c>
      <c r="H5454" s="30" t="s">
        <v>1992</v>
      </c>
      <c r="J5454" s="30" t="s">
        <v>1993</v>
      </c>
      <c r="L5454" s="30" t="s">
        <v>453</v>
      </c>
      <c r="M5454" s="30" t="s">
        <v>390</v>
      </c>
      <c r="N5454" s="30" t="s">
        <v>598</v>
      </c>
      <c r="P5454" s="30" t="s">
        <v>8808</v>
      </c>
      <c r="Q5454" t="s">
        <v>622</v>
      </c>
      <c r="R5454" t="s">
        <v>920</v>
      </c>
      <c r="S5454">
        <v>38</v>
      </c>
      <c r="T5454" s="29" t="str">
        <f t="shared" si="253"/>
        <v>2022.005D.Parvoviridae_2ngen_49nsp_125rensp.zip</v>
      </c>
      <c r="U5454" s="29" t="str">
        <f>HYPERLINK("https://ictv.global/taxonomy/taxondetails?taxnode_id=202304248","ictv.global=202304248")</f>
        <v>ictv.global=202304248</v>
      </c>
    </row>
    <row r="5455" spans="1:21">
      <c r="A5455">
        <v>5454</v>
      </c>
      <c r="B5455" s="30" t="s">
        <v>1956</v>
      </c>
      <c r="D5455" s="30" t="s">
        <v>1985</v>
      </c>
      <c r="F5455" s="30" t="s">
        <v>1986</v>
      </c>
      <c r="H5455" s="30" t="s">
        <v>1992</v>
      </c>
      <c r="J5455" s="30" t="s">
        <v>1993</v>
      </c>
      <c r="L5455" s="30" t="s">
        <v>453</v>
      </c>
      <c r="M5455" s="30" t="s">
        <v>390</v>
      </c>
      <c r="N5455" s="30" t="s">
        <v>598</v>
      </c>
      <c r="P5455" s="30" t="s">
        <v>8809</v>
      </c>
      <c r="Q5455" t="s">
        <v>735</v>
      </c>
      <c r="R5455" t="s">
        <v>920</v>
      </c>
      <c r="S5455">
        <v>38</v>
      </c>
      <c r="T5455" s="29" t="str">
        <f t="shared" si="253"/>
        <v>2022.005D.Parvoviridae_2ngen_49nsp_125rensp.zip</v>
      </c>
      <c r="U5455" s="29" t="str">
        <f>HYPERLINK("https://ictv.global/taxonomy/taxondetails?taxnode_id=202309281","ictv.global=202309281")</f>
        <v>ictv.global=202309281</v>
      </c>
    </row>
    <row r="5456" spans="1:21">
      <c r="A5456">
        <v>5455</v>
      </c>
      <c r="B5456" s="30" t="s">
        <v>1956</v>
      </c>
      <c r="D5456" s="30" t="s">
        <v>1985</v>
      </c>
      <c r="F5456" s="30" t="s">
        <v>1986</v>
      </c>
      <c r="H5456" s="30" t="s">
        <v>1992</v>
      </c>
      <c r="J5456" s="30" t="s">
        <v>1993</v>
      </c>
      <c r="L5456" s="30" t="s">
        <v>453</v>
      </c>
      <c r="M5456" s="30" t="s">
        <v>390</v>
      </c>
      <c r="N5456" s="30" t="s">
        <v>598</v>
      </c>
      <c r="P5456" s="30" t="s">
        <v>8810</v>
      </c>
      <c r="Q5456" t="s">
        <v>735</v>
      </c>
      <c r="R5456" t="s">
        <v>920</v>
      </c>
      <c r="S5456">
        <v>38</v>
      </c>
      <c r="T5456" s="29" t="str">
        <f t="shared" si="253"/>
        <v>2022.005D.Parvoviridae_2ngen_49nsp_125rensp.zip</v>
      </c>
      <c r="U5456" s="29" t="str">
        <f>HYPERLINK("https://ictv.global/taxonomy/taxondetails?taxnode_id=202307348","ictv.global=202307348")</f>
        <v>ictv.global=202307348</v>
      </c>
    </row>
    <row r="5457" spans="1:21">
      <c r="A5457">
        <v>5456</v>
      </c>
      <c r="B5457" s="30" t="s">
        <v>1956</v>
      </c>
      <c r="D5457" s="30" t="s">
        <v>1985</v>
      </c>
      <c r="F5457" s="30" t="s">
        <v>1986</v>
      </c>
      <c r="H5457" s="30" t="s">
        <v>1992</v>
      </c>
      <c r="J5457" s="30" t="s">
        <v>1993</v>
      </c>
      <c r="L5457" s="30" t="s">
        <v>453</v>
      </c>
      <c r="M5457" s="30" t="s">
        <v>390</v>
      </c>
      <c r="N5457" s="30" t="s">
        <v>598</v>
      </c>
      <c r="P5457" s="30" t="s">
        <v>8811</v>
      </c>
      <c r="Q5457" t="s">
        <v>735</v>
      </c>
      <c r="R5457" t="s">
        <v>920</v>
      </c>
      <c r="S5457">
        <v>38</v>
      </c>
      <c r="T5457" s="29" t="str">
        <f t="shared" si="253"/>
        <v>2022.005D.Parvoviridae_2ngen_49nsp_125rensp.zip</v>
      </c>
      <c r="U5457" s="29" t="str">
        <f>HYPERLINK("https://ictv.global/taxonomy/taxondetails?taxnode_id=202307349","ictv.global=202307349")</f>
        <v>ictv.global=202307349</v>
      </c>
    </row>
    <row r="5458" spans="1:21">
      <c r="A5458">
        <v>5457</v>
      </c>
      <c r="B5458" s="30" t="s">
        <v>1956</v>
      </c>
      <c r="D5458" s="30" t="s">
        <v>1985</v>
      </c>
      <c r="F5458" s="30" t="s">
        <v>1986</v>
      </c>
      <c r="H5458" s="30" t="s">
        <v>1992</v>
      </c>
      <c r="J5458" s="30" t="s">
        <v>1993</v>
      </c>
      <c r="L5458" s="30" t="s">
        <v>453</v>
      </c>
      <c r="M5458" s="30" t="s">
        <v>390</v>
      </c>
      <c r="N5458" s="30" t="s">
        <v>598</v>
      </c>
      <c r="P5458" s="30" t="s">
        <v>8812</v>
      </c>
      <c r="Q5458" t="s">
        <v>739</v>
      </c>
      <c r="R5458" t="s">
        <v>917</v>
      </c>
      <c r="S5458">
        <v>38</v>
      </c>
      <c r="T5458" s="29" t="str">
        <f t="shared" si="253"/>
        <v>2022.005D.Parvoviridae_2ngen_49nsp_125rensp.zip</v>
      </c>
      <c r="U5458" s="29" t="str">
        <f>HYPERLINK("https://ictv.global/taxonomy/taxondetails?taxnode_id=202314035","ictv.global=202314035")</f>
        <v>ictv.global=202314035</v>
      </c>
    </row>
    <row r="5459" spans="1:21">
      <c r="A5459">
        <v>5458</v>
      </c>
      <c r="B5459" s="30" t="s">
        <v>1956</v>
      </c>
      <c r="D5459" s="30" t="s">
        <v>1985</v>
      </c>
      <c r="F5459" s="30" t="s">
        <v>1986</v>
      </c>
      <c r="H5459" s="30" t="s">
        <v>1992</v>
      </c>
      <c r="J5459" s="30" t="s">
        <v>1993</v>
      </c>
      <c r="L5459" s="30" t="s">
        <v>453</v>
      </c>
      <c r="M5459" s="30" t="s">
        <v>390</v>
      </c>
      <c r="N5459" s="30" t="s">
        <v>598</v>
      </c>
      <c r="P5459" s="30" t="s">
        <v>8813</v>
      </c>
      <c r="Q5459" t="s">
        <v>622</v>
      </c>
      <c r="R5459" t="s">
        <v>920</v>
      </c>
      <c r="S5459">
        <v>38</v>
      </c>
      <c r="T5459" s="29" t="str">
        <f t="shared" si="253"/>
        <v>2022.005D.Parvoviridae_2ngen_49nsp_125rensp.zip</v>
      </c>
      <c r="U5459" s="29" t="str">
        <f>HYPERLINK("https://ictv.global/taxonomy/taxondetails?taxnode_id=202304249","ictv.global=202304249")</f>
        <v>ictv.global=202304249</v>
      </c>
    </row>
    <row r="5460" spans="1:21">
      <c r="A5460">
        <v>5459</v>
      </c>
      <c r="B5460" s="30" t="s">
        <v>1956</v>
      </c>
      <c r="D5460" s="30" t="s">
        <v>1985</v>
      </c>
      <c r="F5460" s="30" t="s">
        <v>1986</v>
      </c>
      <c r="H5460" s="30" t="s">
        <v>1992</v>
      </c>
      <c r="J5460" s="30" t="s">
        <v>1993</v>
      </c>
      <c r="L5460" s="30" t="s">
        <v>453</v>
      </c>
      <c r="M5460" s="30" t="s">
        <v>390</v>
      </c>
      <c r="N5460" s="30" t="s">
        <v>598</v>
      </c>
      <c r="P5460" s="30" t="s">
        <v>8814</v>
      </c>
      <c r="Q5460" t="s">
        <v>622</v>
      </c>
      <c r="R5460" t="s">
        <v>920</v>
      </c>
      <c r="S5460">
        <v>38</v>
      </c>
      <c r="T5460" s="29" t="str">
        <f t="shared" si="253"/>
        <v>2022.005D.Parvoviridae_2ngen_49nsp_125rensp.zip</v>
      </c>
      <c r="U5460" s="29" t="str">
        <f>HYPERLINK("https://ictv.global/taxonomy/taxondetails?taxnode_id=202304250","ictv.global=202304250")</f>
        <v>ictv.global=202304250</v>
      </c>
    </row>
    <row r="5461" spans="1:21">
      <c r="A5461">
        <v>5460</v>
      </c>
      <c r="B5461" s="30" t="s">
        <v>1956</v>
      </c>
      <c r="D5461" s="30" t="s">
        <v>1985</v>
      </c>
      <c r="F5461" s="30" t="s">
        <v>1986</v>
      </c>
      <c r="H5461" s="30" t="s">
        <v>1992</v>
      </c>
      <c r="J5461" s="30" t="s">
        <v>1993</v>
      </c>
      <c r="L5461" s="30" t="s">
        <v>453</v>
      </c>
      <c r="M5461" s="30" t="s">
        <v>390</v>
      </c>
      <c r="N5461" s="30" t="s">
        <v>598</v>
      </c>
      <c r="P5461" s="30" t="s">
        <v>8815</v>
      </c>
      <c r="Q5461" t="s">
        <v>622</v>
      </c>
      <c r="R5461" t="s">
        <v>920</v>
      </c>
      <c r="S5461">
        <v>38</v>
      </c>
      <c r="T5461" s="29" t="str">
        <f t="shared" si="253"/>
        <v>2022.005D.Parvoviridae_2ngen_49nsp_125rensp.zip</v>
      </c>
      <c r="U5461" s="29" t="str">
        <f>HYPERLINK("https://ictv.global/taxonomy/taxondetails?taxnode_id=202304251","ictv.global=202304251")</f>
        <v>ictv.global=202304251</v>
      </c>
    </row>
    <row r="5462" spans="1:21">
      <c r="A5462">
        <v>5461</v>
      </c>
      <c r="B5462" s="30" t="s">
        <v>1956</v>
      </c>
      <c r="D5462" s="30" t="s">
        <v>1985</v>
      </c>
      <c r="F5462" s="30" t="s">
        <v>1986</v>
      </c>
      <c r="H5462" s="30" t="s">
        <v>1992</v>
      </c>
      <c r="J5462" s="30" t="s">
        <v>1993</v>
      </c>
      <c r="L5462" s="30" t="s">
        <v>453</v>
      </c>
      <c r="M5462" s="30" t="s">
        <v>390</v>
      </c>
      <c r="N5462" s="30" t="s">
        <v>598</v>
      </c>
      <c r="P5462" s="30" t="s">
        <v>8816</v>
      </c>
      <c r="Q5462" t="s">
        <v>622</v>
      </c>
      <c r="R5462" t="s">
        <v>920</v>
      </c>
      <c r="S5462">
        <v>38</v>
      </c>
      <c r="T5462" s="29" t="str">
        <f t="shared" si="253"/>
        <v>2022.005D.Parvoviridae_2ngen_49nsp_125rensp.zip</v>
      </c>
      <c r="U5462" s="29" t="str">
        <f>HYPERLINK("https://ictv.global/taxonomy/taxondetails?taxnode_id=202304252","ictv.global=202304252")</f>
        <v>ictv.global=202304252</v>
      </c>
    </row>
    <row r="5463" spans="1:21">
      <c r="A5463">
        <v>5462</v>
      </c>
      <c r="B5463" s="30" t="s">
        <v>1956</v>
      </c>
      <c r="D5463" s="30" t="s">
        <v>1985</v>
      </c>
      <c r="F5463" s="30" t="s">
        <v>1986</v>
      </c>
      <c r="H5463" s="30" t="s">
        <v>1992</v>
      </c>
      <c r="J5463" s="30" t="s">
        <v>1993</v>
      </c>
      <c r="L5463" s="30" t="s">
        <v>453</v>
      </c>
      <c r="M5463" s="30" t="s">
        <v>390</v>
      </c>
      <c r="N5463" s="30" t="s">
        <v>598</v>
      </c>
      <c r="P5463" s="30" t="s">
        <v>8817</v>
      </c>
      <c r="Q5463" t="s">
        <v>622</v>
      </c>
      <c r="R5463" t="s">
        <v>920</v>
      </c>
      <c r="S5463">
        <v>38</v>
      </c>
      <c r="T5463" s="29" t="str">
        <f t="shared" si="253"/>
        <v>2022.005D.Parvoviridae_2ngen_49nsp_125rensp.zip</v>
      </c>
      <c r="U5463" s="29" t="str">
        <f>HYPERLINK("https://ictv.global/taxonomy/taxondetails?taxnode_id=202304253","ictv.global=202304253")</f>
        <v>ictv.global=202304253</v>
      </c>
    </row>
    <row r="5464" spans="1:21">
      <c r="A5464">
        <v>5463</v>
      </c>
      <c r="B5464" s="30" t="s">
        <v>1956</v>
      </c>
      <c r="D5464" s="30" t="s">
        <v>1985</v>
      </c>
      <c r="F5464" s="30" t="s">
        <v>1986</v>
      </c>
      <c r="H5464" s="30" t="s">
        <v>1992</v>
      </c>
      <c r="J5464" s="30" t="s">
        <v>1993</v>
      </c>
      <c r="L5464" s="30" t="s">
        <v>453</v>
      </c>
      <c r="M5464" s="30" t="s">
        <v>390</v>
      </c>
      <c r="N5464" s="30" t="s">
        <v>598</v>
      </c>
      <c r="P5464" s="30" t="s">
        <v>8818</v>
      </c>
      <c r="Q5464" t="s">
        <v>622</v>
      </c>
      <c r="R5464" t="s">
        <v>920</v>
      </c>
      <c r="S5464">
        <v>38</v>
      </c>
      <c r="T5464" s="29" t="str">
        <f t="shared" si="253"/>
        <v>2022.005D.Parvoviridae_2ngen_49nsp_125rensp.zip</v>
      </c>
      <c r="U5464" s="29" t="str">
        <f>HYPERLINK("https://ictv.global/taxonomy/taxondetails?taxnode_id=202305897","ictv.global=202305897")</f>
        <v>ictv.global=202305897</v>
      </c>
    </row>
    <row r="5465" spans="1:21">
      <c r="A5465">
        <v>5464</v>
      </c>
      <c r="B5465" s="30" t="s">
        <v>1956</v>
      </c>
      <c r="D5465" s="30" t="s">
        <v>1985</v>
      </c>
      <c r="F5465" s="30" t="s">
        <v>1986</v>
      </c>
      <c r="H5465" s="30" t="s">
        <v>1992</v>
      </c>
      <c r="J5465" s="30" t="s">
        <v>1993</v>
      </c>
      <c r="L5465" s="30" t="s">
        <v>453</v>
      </c>
      <c r="M5465" s="30" t="s">
        <v>390</v>
      </c>
      <c r="N5465" s="30" t="s">
        <v>598</v>
      </c>
      <c r="P5465" s="30" t="s">
        <v>8819</v>
      </c>
      <c r="Q5465" t="s">
        <v>735</v>
      </c>
      <c r="R5465" t="s">
        <v>920</v>
      </c>
      <c r="S5465">
        <v>38</v>
      </c>
      <c r="T5465" s="29" t="str">
        <f t="shared" si="253"/>
        <v>2022.005D.Parvoviridae_2ngen_49nsp_125rensp.zip</v>
      </c>
      <c r="U5465" s="29" t="str">
        <f>HYPERLINK("https://ictv.global/taxonomy/taxondetails?taxnode_id=202307346","ictv.global=202307346")</f>
        <v>ictv.global=202307346</v>
      </c>
    </row>
    <row r="5466" spans="1:21">
      <c r="A5466">
        <v>5465</v>
      </c>
      <c r="B5466" s="30" t="s">
        <v>1956</v>
      </c>
      <c r="D5466" s="30" t="s">
        <v>1985</v>
      </c>
      <c r="F5466" s="30" t="s">
        <v>1986</v>
      </c>
      <c r="H5466" s="30" t="s">
        <v>1992</v>
      </c>
      <c r="J5466" s="30" t="s">
        <v>1993</v>
      </c>
      <c r="L5466" s="30" t="s">
        <v>453</v>
      </c>
      <c r="M5466" s="30" t="s">
        <v>390</v>
      </c>
      <c r="N5466" s="30" t="s">
        <v>598</v>
      </c>
      <c r="P5466" s="30" t="s">
        <v>8820</v>
      </c>
      <c r="Q5466" t="s">
        <v>735</v>
      </c>
      <c r="R5466" t="s">
        <v>920</v>
      </c>
      <c r="S5466">
        <v>38</v>
      </c>
      <c r="T5466" s="29" t="str">
        <f t="shared" si="253"/>
        <v>2022.005D.Parvoviridae_2ngen_49nsp_125rensp.zip</v>
      </c>
      <c r="U5466" s="29" t="str">
        <f>HYPERLINK("https://ictv.global/taxonomy/taxondetails?taxnode_id=202307347","ictv.global=202307347")</f>
        <v>ictv.global=202307347</v>
      </c>
    </row>
    <row r="5467" spans="1:21">
      <c r="A5467">
        <v>5466</v>
      </c>
      <c r="B5467" s="30" t="s">
        <v>1956</v>
      </c>
      <c r="D5467" s="30" t="s">
        <v>1985</v>
      </c>
      <c r="F5467" s="30" t="s">
        <v>1986</v>
      </c>
      <c r="H5467" s="30" t="s">
        <v>1992</v>
      </c>
      <c r="J5467" s="30" t="s">
        <v>1993</v>
      </c>
      <c r="L5467" s="30" t="s">
        <v>453</v>
      </c>
      <c r="M5467" s="30" t="s">
        <v>390</v>
      </c>
      <c r="N5467" s="30" t="s">
        <v>598</v>
      </c>
      <c r="P5467" s="30" t="s">
        <v>8821</v>
      </c>
      <c r="Q5467" t="s">
        <v>735</v>
      </c>
      <c r="R5467" t="s">
        <v>920</v>
      </c>
      <c r="S5467">
        <v>38</v>
      </c>
      <c r="T5467" s="29" t="str">
        <f t="shared" si="253"/>
        <v>2022.005D.Parvoviridae_2ngen_49nsp_125rensp.zip</v>
      </c>
      <c r="U5467" s="29" t="str">
        <f>HYPERLINK("https://ictv.global/taxonomy/taxondetails?taxnode_id=202309282","ictv.global=202309282")</f>
        <v>ictv.global=202309282</v>
      </c>
    </row>
    <row r="5468" spans="1:21">
      <c r="A5468">
        <v>5467</v>
      </c>
      <c r="B5468" s="30" t="s">
        <v>1956</v>
      </c>
      <c r="D5468" s="30" t="s">
        <v>1985</v>
      </c>
      <c r="F5468" s="30" t="s">
        <v>1986</v>
      </c>
      <c r="H5468" s="30" t="s">
        <v>1992</v>
      </c>
      <c r="J5468" s="30" t="s">
        <v>1993</v>
      </c>
      <c r="L5468" s="30" t="s">
        <v>453</v>
      </c>
      <c r="M5468" s="30" t="s">
        <v>390</v>
      </c>
      <c r="N5468" s="30" t="s">
        <v>599</v>
      </c>
      <c r="P5468" s="30" t="s">
        <v>8822</v>
      </c>
      <c r="Q5468" t="s">
        <v>735</v>
      </c>
      <c r="R5468" t="s">
        <v>920</v>
      </c>
      <c r="S5468">
        <v>38</v>
      </c>
      <c r="T5468" s="29" t="str">
        <f t="shared" si="253"/>
        <v>2022.005D.Parvoviridae_2ngen_49nsp_125rensp.zip</v>
      </c>
      <c r="U5468" s="29" t="str">
        <f>HYPERLINK("https://ictv.global/taxonomy/taxondetails?taxnode_id=202307344","ictv.global=202307344")</f>
        <v>ictv.global=202307344</v>
      </c>
    </row>
    <row r="5469" spans="1:21">
      <c r="A5469">
        <v>5468</v>
      </c>
      <c r="B5469" s="30" t="s">
        <v>1956</v>
      </c>
      <c r="D5469" s="30" t="s">
        <v>1985</v>
      </c>
      <c r="F5469" s="30" t="s">
        <v>1986</v>
      </c>
      <c r="H5469" s="30" t="s">
        <v>1992</v>
      </c>
      <c r="J5469" s="30" t="s">
        <v>1993</v>
      </c>
      <c r="L5469" s="30" t="s">
        <v>453</v>
      </c>
      <c r="M5469" s="30" t="s">
        <v>390</v>
      </c>
      <c r="N5469" s="30" t="s">
        <v>599</v>
      </c>
      <c r="P5469" s="30" t="s">
        <v>8823</v>
      </c>
      <c r="Q5469" t="s">
        <v>622</v>
      </c>
      <c r="R5469" t="s">
        <v>920</v>
      </c>
      <c r="S5469">
        <v>38</v>
      </c>
      <c r="T5469" s="29" t="str">
        <f t="shared" si="253"/>
        <v>2022.005D.Parvoviridae_2ngen_49nsp_125rensp.zip</v>
      </c>
      <c r="U5469" s="29" t="str">
        <f>HYPERLINK("https://ictv.global/taxonomy/taxondetails?taxnode_id=202304255","ictv.global=202304255")</f>
        <v>ictv.global=202304255</v>
      </c>
    </row>
    <row r="5470" spans="1:21">
      <c r="A5470">
        <v>5469</v>
      </c>
      <c r="B5470" s="30" t="s">
        <v>1956</v>
      </c>
      <c r="D5470" s="30" t="s">
        <v>1985</v>
      </c>
      <c r="F5470" s="30" t="s">
        <v>1986</v>
      </c>
      <c r="H5470" s="30" t="s">
        <v>1992</v>
      </c>
      <c r="J5470" s="30" t="s">
        <v>1993</v>
      </c>
      <c r="L5470" s="30" t="s">
        <v>453</v>
      </c>
      <c r="M5470" s="30" t="s">
        <v>390</v>
      </c>
      <c r="N5470" s="30" t="s">
        <v>599</v>
      </c>
      <c r="P5470" s="30" t="s">
        <v>8824</v>
      </c>
      <c r="Q5470" t="s">
        <v>622</v>
      </c>
      <c r="R5470" t="s">
        <v>920</v>
      </c>
      <c r="S5470">
        <v>38</v>
      </c>
      <c r="T5470" s="29" t="str">
        <f t="shared" si="253"/>
        <v>2022.005D.Parvoviridae_2ngen_49nsp_125rensp.zip</v>
      </c>
      <c r="U5470" s="29" t="str">
        <f>HYPERLINK("https://ictv.global/taxonomy/taxondetails?taxnode_id=202304256","ictv.global=202304256")</f>
        <v>ictv.global=202304256</v>
      </c>
    </row>
    <row r="5471" spans="1:21">
      <c r="A5471">
        <v>5470</v>
      </c>
      <c r="B5471" s="30" t="s">
        <v>1956</v>
      </c>
      <c r="D5471" s="30" t="s">
        <v>1985</v>
      </c>
      <c r="F5471" s="30" t="s">
        <v>1986</v>
      </c>
      <c r="H5471" s="30" t="s">
        <v>1992</v>
      </c>
      <c r="J5471" s="30" t="s">
        <v>1993</v>
      </c>
      <c r="L5471" s="30" t="s">
        <v>453</v>
      </c>
      <c r="M5471" s="30" t="s">
        <v>390</v>
      </c>
      <c r="N5471" s="30" t="s">
        <v>599</v>
      </c>
      <c r="P5471" s="30" t="s">
        <v>8825</v>
      </c>
      <c r="Q5471" t="s">
        <v>735</v>
      </c>
      <c r="R5471" t="s">
        <v>920</v>
      </c>
      <c r="S5471">
        <v>38</v>
      </c>
      <c r="T5471" s="29" t="str">
        <f t="shared" si="253"/>
        <v>2022.005D.Parvoviridae_2ngen_49nsp_125rensp.zip</v>
      </c>
      <c r="U5471" s="29" t="str">
        <f>HYPERLINK("https://ictv.global/taxonomy/taxondetails?taxnode_id=202307340","ictv.global=202307340")</f>
        <v>ictv.global=202307340</v>
      </c>
    </row>
    <row r="5472" spans="1:21">
      <c r="A5472">
        <v>5471</v>
      </c>
      <c r="B5472" s="30" t="s">
        <v>1956</v>
      </c>
      <c r="D5472" s="30" t="s">
        <v>1985</v>
      </c>
      <c r="F5472" s="30" t="s">
        <v>1986</v>
      </c>
      <c r="H5472" s="30" t="s">
        <v>1992</v>
      </c>
      <c r="J5472" s="30" t="s">
        <v>1993</v>
      </c>
      <c r="L5472" s="30" t="s">
        <v>453</v>
      </c>
      <c r="M5472" s="30" t="s">
        <v>390</v>
      </c>
      <c r="N5472" s="30" t="s">
        <v>599</v>
      </c>
      <c r="P5472" s="30" t="s">
        <v>8826</v>
      </c>
      <c r="Q5472" t="s">
        <v>735</v>
      </c>
      <c r="R5472" t="s">
        <v>920</v>
      </c>
      <c r="S5472">
        <v>38</v>
      </c>
      <c r="T5472" s="29" t="str">
        <f t="shared" si="253"/>
        <v>2022.005D.Parvoviridae_2ngen_49nsp_125rensp.zip</v>
      </c>
      <c r="U5472" s="29" t="str">
        <f>HYPERLINK("https://ictv.global/taxonomy/taxondetails?taxnode_id=202307341","ictv.global=202307341")</f>
        <v>ictv.global=202307341</v>
      </c>
    </row>
    <row r="5473" spans="1:21">
      <c r="A5473">
        <v>5472</v>
      </c>
      <c r="B5473" s="30" t="s">
        <v>1956</v>
      </c>
      <c r="D5473" s="30" t="s">
        <v>1985</v>
      </c>
      <c r="F5473" s="30" t="s">
        <v>1986</v>
      </c>
      <c r="H5473" s="30" t="s">
        <v>1992</v>
      </c>
      <c r="J5473" s="30" t="s">
        <v>1993</v>
      </c>
      <c r="L5473" s="30" t="s">
        <v>453</v>
      </c>
      <c r="M5473" s="30" t="s">
        <v>390</v>
      </c>
      <c r="N5473" s="30" t="s">
        <v>599</v>
      </c>
      <c r="P5473" s="30" t="s">
        <v>8827</v>
      </c>
      <c r="Q5473" t="s">
        <v>735</v>
      </c>
      <c r="R5473" t="s">
        <v>920</v>
      </c>
      <c r="S5473">
        <v>38</v>
      </c>
      <c r="T5473" s="29" t="str">
        <f t="shared" si="253"/>
        <v>2022.005D.Parvoviridae_2ngen_49nsp_125rensp.zip</v>
      </c>
      <c r="U5473" s="29" t="str">
        <f>HYPERLINK("https://ictv.global/taxonomy/taxondetails?taxnode_id=202307342","ictv.global=202307342")</f>
        <v>ictv.global=202307342</v>
      </c>
    </row>
    <row r="5474" spans="1:21">
      <c r="A5474">
        <v>5473</v>
      </c>
      <c r="B5474" s="30" t="s">
        <v>1956</v>
      </c>
      <c r="D5474" s="30" t="s">
        <v>1985</v>
      </c>
      <c r="F5474" s="30" t="s">
        <v>1986</v>
      </c>
      <c r="H5474" s="30" t="s">
        <v>1992</v>
      </c>
      <c r="J5474" s="30" t="s">
        <v>1993</v>
      </c>
      <c r="L5474" s="30" t="s">
        <v>453</v>
      </c>
      <c r="M5474" s="30" t="s">
        <v>390</v>
      </c>
      <c r="N5474" s="30" t="s">
        <v>599</v>
      </c>
      <c r="P5474" s="30" t="s">
        <v>8828</v>
      </c>
      <c r="Q5474" t="s">
        <v>735</v>
      </c>
      <c r="R5474" t="s">
        <v>920</v>
      </c>
      <c r="S5474">
        <v>38</v>
      </c>
      <c r="T5474" s="29" t="str">
        <f t="shared" si="253"/>
        <v>2022.005D.Parvoviridae_2ngen_49nsp_125rensp.zip</v>
      </c>
      <c r="U5474" s="29" t="str">
        <f>HYPERLINK("https://ictv.global/taxonomy/taxondetails?taxnode_id=202307343","ictv.global=202307343")</f>
        <v>ictv.global=202307343</v>
      </c>
    </row>
    <row r="5475" spans="1:21">
      <c r="A5475">
        <v>5474</v>
      </c>
      <c r="B5475" s="30" t="s">
        <v>1956</v>
      </c>
      <c r="D5475" s="30" t="s">
        <v>1985</v>
      </c>
      <c r="F5475" s="30" t="s">
        <v>1986</v>
      </c>
      <c r="H5475" s="30" t="s">
        <v>1992</v>
      </c>
      <c r="J5475" s="30" t="s">
        <v>1993</v>
      </c>
      <c r="L5475" s="30" t="s">
        <v>453</v>
      </c>
      <c r="M5475" s="30" t="s">
        <v>390</v>
      </c>
      <c r="N5475" s="30" t="s">
        <v>599</v>
      </c>
      <c r="P5475" s="30" t="s">
        <v>8829</v>
      </c>
      <c r="Q5475" t="s">
        <v>735</v>
      </c>
      <c r="R5475" t="s">
        <v>917</v>
      </c>
      <c r="S5475">
        <v>38</v>
      </c>
      <c r="T5475" s="29" t="str">
        <f t="shared" si="253"/>
        <v>2022.005D.Parvoviridae_2ngen_49nsp_125rensp.zip</v>
      </c>
      <c r="U5475" s="29" t="str">
        <f>HYPERLINK("https://ictv.global/taxonomy/taxondetails?taxnode_id=202314036","ictv.global=202314036")</f>
        <v>ictv.global=202314036</v>
      </c>
    </row>
    <row r="5476" spans="1:21">
      <c r="A5476">
        <v>5475</v>
      </c>
      <c r="B5476" s="30" t="s">
        <v>1956</v>
      </c>
      <c r="D5476" s="30" t="s">
        <v>1985</v>
      </c>
      <c r="F5476" s="30" t="s">
        <v>1986</v>
      </c>
      <c r="H5476" s="30" t="s">
        <v>1992</v>
      </c>
      <c r="J5476" s="30" t="s">
        <v>1993</v>
      </c>
      <c r="L5476" s="30" t="s">
        <v>453</v>
      </c>
      <c r="M5476" s="30" t="s">
        <v>390</v>
      </c>
      <c r="N5476" s="30" t="s">
        <v>599</v>
      </c>
      <c r="P5476" s="30" t="s">
        <v>8830</v>
      </c>
      <c r="Q5476" t="s">
        <v>735</v>
      </c>
      <c r="R5476" t="s">
        <v>917</v>
      </c>
      <c r="S5476">
        <v>38</v>
      </c>
      <c r="T5476" s="29" t="str">
        <f t="shared" si="253"/>
        <v>2022.005D.Parvoviridae_2ngen_49nsp_125rensp.zip</v>
      </c>
      <c r="U5476" s="29" t="str">
        <f>HYPERLINK("https://ictv.global/taxonomy/taxondetails?taxnode_id=202314037","ictv.global=202314037")</f>
        <v>ictv.global=202314037</v>
      </c>
    </row>
    <row r="5477" spans="1:21">
      <c r="A5477">
        <v>5476</v>
      </c>
      <c r="B5477" s="30" t="s">
        <v>1956</v>
      </c>
      <c r="D5477" s="30" t="s">
        <v>1985</v>
      </c>
      <c r="F5477" s="30" t="s">
        <v>1986</v>
      </c>
      <c r="H5477" s="30" t="s">
        <v>1992</v>
      </c>
      <c r="J5477" s="30" t="s">
        <v>1993</v>
      </c>
      <c r="L5477" s="30" t="s">
        <v>453</v>
      </c>
      <c r="M5477" s="30" t="s">
        <v>390</v>
      </c>
      <c r="N5477" s="30" t="s">
        <v>599</v>
      </c>
      <c r="P5477" s="30" t="s">
        <v>12753</v>
      </c>
      <c r="Q5477" t="s">
        <v>13939</v>
      </c>
      <c r="R5477" t="s">
        <v>917</v>
      </c>
      <c r="S5477">
        <v>39</v>
      </c>
      <c r="T5477" s="29" t="str">
        <f>HYPERLINK("https://ictv.global/ictv/proposals/2023.007D.Parvoviridae_12nsp.zip","2023.007D.Parvoviridae_12nsp.zip")</f>
        <v>2023.007D.Parvoviridae_12nsp.zip</v>
      </c>
      <c r="U5477" s="29" t="str">
        <f>HYPERLINK("https://ictv.global/taxonomy/taxondetails?taxnode_id=202317848","ictv.global=202317848")</f>
        <v>ictv.global=202317848</v>
      </c>
    </row>
    <row r="5478" spans="1:21">
      <c r="A5478">
        <v>5477</v>
      </c>
      <c r="B5478" s="30" t="s">
        <v>1956</v>
      </c>
      <c r="D5478" s="30" t="s">
        <v>1985</v>
      </c>
      <c r="F5478" s="30" t="s">
        <v>1986</v>
      </c>
      <c r="H5478" s="30" t="s">
        <v>1992</v>
      </c>
      <c r="J5478" s="30" t="s">
        <v>1993</v>
      </c>
      <c r="L5478" s="30" t="s">
        <v>453</v>
      </c>
      <c r="M5478" s="30" t="s">
        <v>390</v>
      </c>
      <c r="N5478" s="30" t="s">
        <v>600</v>
      </c>
      <c r="P5478" s="30" t="s">
        <v>8831</v>
      </c>
      <c r="Q5478" t="s">
        <v>622</v>
      </c>
      <c r="R5478" t="s">
        <v>920</v>
      </c>
      <c r="S5478">
        <v>38</v>
      </c>
      <c r="T5478" s="29" t="str">
        <f>HYPERLINK("https://ictv.global/ictv/proposals/2022.005D.Parvoviridae_2ngen_49nsp_125rensp.zip","2022.005D.Parvoviridae_2ngen_49nsp_125rensp.zip")</f>
        <v>2022.005D.Parvoviridae_2ngen_49nsp_125rensp.zip</v>
      </c>
      <c r="U5478" s="29" t="str">
        <f>HYPERLINK("https://ictv.global/taxonomy/taxondetails?taxnode_id=202304260","ictv.global=202304260")</f>
        <v>ictv.global=202304260</v>
      </c>
    </row>
    <row r="5479" spans="1:21">
      <c r="A5479">
        <v>5478</v>
      </c>
      <c r="B5479" s="30" t="s">
        <v>1956</v>
      </c>
      <c r="D5479" s="30" t="s">
        <v>1985</v>
      </c>
      <c r="F5479" s="30" t="s">
        <v>1986</v>
      </c>
      <c r="H5479" s="30" t="s">
        <v>1992</v>
      </c>
      <c r="J5479" s="30" t="s">
        <v>1993</v>
      </c>
      <c r="L5479" s="30" t="s">
        <v>453</v>
      </c>
      <c r="M5479" s="30" t="s">
        <v>390</v>
      </c>
      <c r="N5479" s="30" t="s">
        <v>600</v>
      </c>
      <c r="P5479" s="30" t="s">
        <v>8832</v>
      </c>
      <c r="Q5479" t="s">
        <v>622</v>
      </c>
      <c r="R5479" t="s">
        <v>920</v>
      </c>
      <c r="S5479">
        <v>38</v>
      </c>
      <c r="T5479" s="29" t="str">
        <f>HYPERLINK("https://ictv.global/ictv/proposals/2022.005D.Parvoviridae_2ngen_49nsp_125rensp.zip","2022.005D.Parvoviridae_2ngen_49nsp_125rensp.zip")</f>
        <v>2022.005D.Parvoviridae_2ngen_49nsp_125rensp.zip</v>
      </c>
      <c r="U5479" s="29" t="str">
        <f>HYPERLINK("https://ictv.global/taxonomy/taxondetails?taxnode_id=202304261","ictv.global=202304261")</f>
        <v>ictv.global=202304261</v>
      </c>
    </row>
    <row r="5480" spans="1:21">
      <c r="A5480">
        <v>5479</v>
      </c>
      <c r="B5480" s="30" t="s">
        <v>1956</v>
      </c>
      <c r="D5480" s="30" t="s">
        <v>1985</v>
      </c>
      <c r="F5480" s="30" t="s">
        <v>1986</v>
      </c>
      <c r="H5480" s="30" t="s">
        <v>1992</v>
      </c>
      <c r="J5480" s="30" t="s">
        <v>1993</v>
      </c>
      <c r="L5480" s="30" t="s">
        <v>453</v>
      </c>
      <c r="M5480" s="30" t="s">
        <v>390</v>
      </c>
      <c r="N5480" s="30" t="s">
        <v>600</v>
      </c>
      <c r="P5480" s="30" t="s">
        <v>8833</v>
      </c>
      <c r="Q5480" t="s">
        <v>731</v>
      </c>
      <c r="R5480" t="s">
        <v>917</v>
      </c>
      <c r="S5480">
        <v>38</v>
      </c>
      <c r="T5480" s="29" t="str">
        <f>HYPERLINK("https://ictv.global/ictv/proposals/2022.006D.Parvoviridae_2nsp.zip","2022.006D.Parvoviridae_2nsp.zip")</f>
        <v>2022.006D.Parvoviridae_2nsp.zip</v>
      </c>
      <c r="U5480" s="29" t="str">
        <f>HYPERLINK("https://ictv.global/taxonomy/taxondetails?taxnode_id=202314078","ictv.global=202314078")</f>
        <v>ictv.global=202314078</v>
      </c>
    </row>
    <row r="5481" spans="1:21">
      <c r="A5481">
        <v>5480</v>
      </c>
      <c r="B5481" s="30" t="s">
        <v>1956</v>
      </c>
      <c r="D5481" s="30" t="s">
        <v>1985</v>
      </c>
      <c r="F5481" s="30" t="s">
        <v>1986</v>
      </c>
      <c r="H5481" s="30" t="s">
        <v>1992</v>
      </c>
      <c r="J5481" s="30" t="s">
        <v>1993</v>
      </c>
      <c r="L5481" s="30" t="s">
        <v>453</v>
      </c>
      <c r="M5481" s="30" t="s">
        <v>390</v>
      </c>
      <c r="N5481" s="30" t="s">
        <v>600</v>
      </c>
      <c r="P5481" s="30" t="s">
        <v>8834</v>
      </c>
      <c r="Q5481" t="s">
        <v>735</v>
      </c>
      <c r="R5481" t="s">
        <v>920</v>
      </c>
      <c r="S5481">
        <v>38</v>
      </c>
      <c r="T5481" s="29" t="str">
        <f t="shared" ref="T5481:T5486" si="254">HYPERLINK("https://ictv.global/ictv/proposals/2022.005D.Parvoviridae_2ngen_49nsp_125rensp.zip","2022.005D.Parvoviridae_2ngen_49nsp_125rensp.zip")</f>
        <v>2022.005D.Parvoviridae_2ngen_49nsp_125rensp.zip</v>
      </c>
      <c r="U5481" s="29" t="str">
        <f>HYPERLINK("https://ictv.global/taxonomy/taxondetails?taxnode_id=202309283","ictv.global=202309283")</f>
        <v>ictv.global=202309283</v>
      </c>
    </row>
    <row r="5482" spans="1:21">
      <c r="A5482">
        <v>5481</v>
      </c>
      <c r="B5482" s="30" t="s">
        <v>1956</v>
      </c>
      <c r="D5482" s="30" t="s">
        <v>1985</v>
      </c>
      <c r="F5482" s="30" t="s">
        <v>1986</v>
      </c>
      <c r="H5482" s="30" t="s">
        <v>1992</v>
      </c>
      <c r="J5482" s="30" t="s">
        <v>1993</v>
      </c>
      <c r="L5482" s="30" t="s">
        <v>453</v>
      </c>
      <c r="M5482" s="30" t="s">
        <v>390</v>
      </c>
      <c r="N5482" s="30" t="s">
        <v>600</v>
      </c>
      <c r="P5482" s="30" t="s">
        <v>8835</v>
      </c>
      <c r="Q5482" t="s">
        <v>622</v>
      </c>
      <c r="R5482" t="s">
        <v>920</v>
      </c>
      <c r="S5482">
        <v>38</v>
      </c>
      <c r="T5482" s="29" t="str">
        <f t="shared" si="254"/>
        <v>2022.005D.Parvoviridae_2ngen_49nsp_125rensp.zip</v>
      </c>
      <c r="U5482" s="29" t="str">
        <f>HYPERLINK("https://ictv.global/taxonomy/taxondetails?taxnode_id=202304262","ictv.global=202304262")</f>
        <v>ictv.global=202304262</v>
      </c>
    </row>
    <row r="5483" spans="1:21">
      <c r="A5483">
        <v>5482</v>
      </c>
      <c r="B5483" s="30" t="s">
        <v>1956</v>
      </c>
      <c r="D5483" s="30" t="s">
        <v>1985</v>
      </c>
      <c r="F5483" s="30" t="s">
        <v>1986</v>
      </c>
      <c r="H5483" s="30" t="s">
        <v>1992</v>
      </c>
      <c r="J5483" s="30" t="s">
        <v>1993</v>
      </c>
      <c r="L5483" s="30" t="s">
        <v>453</v>
      </c>
      <c r="M5483" s="30" t="s">
        <v>390</v>
      </c>
      <c r="N5483" s="30" t="s">
        <v>600</v>
      </c>
      <c r="P5483" s="30" t="s">
        <v>8836</v>
      </c>
      <c r="Q5483" t="s">
        <v>735</v>
      </c>
      <c r="R5483" t="s">
        <v>917</v>
      </c>
      <c r="S5483">
        <v>38</v>
      </c>
      <c r="T5483" s="29" t="str">
        <f t="shared" si="254"/>
        <v>2022.005D.Parvoviridae_2ngen_49nsp_125rensp.zip</v>
      </c>
      <c r="U5483" s="29" t="str">
        <f>HYPERLINK("https://ictv.global/taxonomy/taxondetails?taxnode_id=202314038","ictv.global=202314038")</f>
        <v>ictv.global=202314038</v>
      </c>
    </row>
    <row r="5484" spans="1:21">
      <c r="A5484">
        <v>5483</v>
      </c>
      <c r="B5484" s="30" t="s">
        <v>1956</v>
      </c>
      <c r="D5484" s="30" t="s">
        <v>1985</v>
      </c>
      <c r="F5484" s="30" t="s">
        <v>1986</v>
      </c>
      <c r="H5484" s="30" t="s">
        <v>1992</v>
      </c>
      <c r="J5484" s="30" t="s">
        <v>1993</v>
      </c>
      <c r="L5484" s="30" t="s">
        <v>453</v>
      </c>
      <c r="M5484" s="30" t="s">
        <v>390</v>
      </c>
      <c r="N5484" s="30" t="s">
        <v>600</v>
      </c>
      <c r="P5484" s="30" t="s">
        <v>8837</v>
      </c>
      <c r="Q5484" t="s">
        <v>622</v>
      </c>
      <c r="R5484" t="s">
        <v>920</v>
      </c>
      <c r="S5484">
        <v>38</v>
      </c>
      <c r="T5484" s="29" t="str">
        <f t="shared" si="254"/>
        <v>2022.005D.Parvoviridae_2ngen_49nsp_125rensp.zip</v>
      </c>
      <c r="U5484" s="29" t="str">
        <f>HYPERLINK("https://ictv.global/taxonomy/taxondetails?taxnode_id=202304259","ictv.global=202304259")</f>
        <v>ictv.global=202304259</v>
      </c>
    </row>
    <row r="5485" spans="1:21">
      <c r="A5485">
        <v>5484</v>
      </c>
      <c r="B5485" s="30" t="s">
        <v>1956</v>
      </c>
      <c r="D5485" s="30" t="s">
        <v>1985</v>
      </c>
      <c r="F5485" s="30" t="s">
        <v>1986</v>
      </c>
      <c r="H5485" s="30" t="s">
        <v>1992</v>
      </c>
      <c r="J5485" s="30" t="s">
        <v>1993</v>
      </c>
      <c r="L5485" s="30" t="s">
        <v>453</v>
      </c>
      <c r="M5485" s="30" t="s">
        <v>390</v>
      </c>
      <c r="N5485" s="30" t="s">
        <v>600</v>
      </c>
      <c r="P5485" s="30" t="s">
        <v>8838</v>
      </c>
      <c r="Q5485" t="s">
        <v>622</v>
      </c>
      <c r="R5485" t="s">
        <v>920</v>
      </c>
      <c r="S5485">
        <v>38</v>
      </c>
      <c r="T5485" s="29" t="str">
        <f t="shared" si="254"/>
        <v>2022.005D.Parvoviridae_2ngen_49nsp_125rensp.zip</v>
      </c>
      <c r="U5485" s="29" t="str">
        <f>HYPERLINK("https://ictv.global/taxonomy/taxondetails?taxnode_id=202304263","ictv.global=202304263")</f>
        <v>ictv.global=202304263</v>
      </c>
    </row>
    <row r="5486" spans="1:21">
      <c r="A5486">
        <v>5485</v>
      </c>
      <c r="B5486" s="30" t="s">
        <v>1956</v>
      </c>
      <c r="D5486" s="30" t="s">
        <v>1985</v>
      </c>
      <c r="F5486" s="30" t="s">
        <v>1986</v>
      </c>
      <c r="H5486" s="30" t="s">
        <v>1992</v>
      </c>
      <c r="J5486" s="30" t="s">
        <v>1993</v>
      </c>
      <c r="L5486" s="30" t="s">
        <v>453</v>
      </c>
      <c r="M5486" s="30" t="s">
        <v>390</v>
      </c>
      <c r="N5486" s="30" t="s">
        <v>600</v>
      </c>
      <c r="P5486" s="30" t="s">
        <v>8839</v>
      </c>
      <c r="Q5486" t="s">
        <v>622</v>
      </c>
      <c r="R5486" t="s">
        <v>920</v>
      </c>
      <c r="S5486">
        <v>38</v>
      </c>
      <c r="T5486" s="29" t="str">
        <f t="shared" si="254"/>
        <v>2022.005D.Parvoviridae_2ngen_49nsp_125rensp.zip</v>
      </c>
      <c r="U5486" s="29" t="str">
        <f>HYPERLINK("https://ictv.global/taxonomy/taxondetails?taxnode_id=202304258","ictv.global=202304258")</f>
        <v>ictv.global=202304258</v>
      </c>
    </row>
    <row r="5487" spans="1:21">
      <c r="A5487">
        <v>5486</v>
      </c>
      <c r="B5487" s="30" t="s">
        <v>1956</v>
      </c>
      <c r="D5487" s="30" t="s">
        <v>1985</v>
      </c>
      <c r="F5487" s="30" t="s">
        <v>1986</v>
      </c>
      <c r="H5487" s="30" t="s">
        <v>1992</v>
      </c>
      <c r="J5487" s="30" t="s">
        <v>1993</v>
      </c>
      <c r="L5487" s="30" t="s">
        <v>453</v>
      </c>
      <c r="M5487" s="30" t="s">
        <v>390</v>
      </c>
      <c r="N5487" s="30" t="s">
        <v>600</v>
      </c>
      <c r="P5487" s="30" t="s">
        <v>12754</v>
      </c>
      <c r="Q5487" t="s">
        <v>13939</v>
      </c>
      <c r="R5487" t="s">
        <v>917</v>
      </c>
      <c r="S5487">
        <v>39</v>
      </c>
      <c r="T5487" s="29" t="str">
        <f>HYPERLINK("https://ictv.global/ictv/proposals/2023.007D.Parvoviridae_12nsp.zip","2023.007D.Parvoviridae_12nsp.zip")</f>
        <v>2023.007D.Parvoviridae_12nsp.zip</v>
      </c>
      <c r="U5487" s="29" t="str">
        <f>HYPERLINK("https://ictv.global/taxonomy/taxondetails?taxnode_id=202317849","ictv.global=202317849")</f>
        <v>ictv.global=202317849</v>
      </c>
    </row>
    <row r="5488" spans="1:21">
      <c r="A5488">
        <v>5487</v>
      </c>
      <c r="B5488" s="30" t="s">
        <v>1956</v>
      </c>
      <c r="D5488" s="30" t="s">
        <v>1985</v>
      </c>
      <c r="F5488" s="30" t="s">
        <v>1986</v>
      </c>
      <c r="H5488" s="30" t="s">
        <v>1992</v>
      </c>
      <c r="J5488" s="30" t="s">
        <v>1993</v>
      </c>
      <c r="L5488" s="30" t="s">
        <v>453</v>
      </c>
      <c r="M5488" s="30" t="s">
        <v>390</v>
      </c>
      <c r="N5488" s="30" t="s">
        <v>600</v>
      </c>
      <c r="P5488" s="30" t="s">
        <v>8840</v>
      </c>
      <c r="Q5488" t="s">
        <v>735</v>
      </c>
      <c r="R5488" t="s">
        <v>920</v>
      </c>
      <c r="S5488">
        <v>38</v>
      </c>
      <c r="T5488" s="29" t="str">
        <f t="shared" ref="T5488:T5517" si="255">HYPERLINK("https://ictv.global/ictv/proposals/2022.005D.Parvoviridae_2ngen_49nsp_125rensp.zip","2022.005D.Parvoviridae_2ngen_49nsp_125rensp.zip")</f>
        <v>2022.005D.Parvoviridae_2ngen_49nsp_125rensp.zip</v>
      </c>
      <c r="U5488" s="29" t="str">
        <f>HYPERLINK("https://ictv.global/taxonomy/taxondetails?taxnode_id=202307353","ictv.global=202307353")</f>
        <v>ictv.global=202307353</v>
      </c>
    </row>
    <row r="5489" spans="1:21">
      <c r="A5489">
        <v>5488</v>
      </c>
      <c r="B5489" s="30" t="s">
        <v>1956</v>
      </c>
      <c r="D5489" s="30" t="s">
        <v>1985</v>
      </c>
      <c r="F5489" s="30" t="s">
        <v>1986</v>
      </c>
      <c r="H5489" s="30" t="s">
        <v>1992</v>
      </c>
      <c r="J5489" s="30" t="s">
        <v>1993</v>
      </c>
      <c r="L5489" s="30" t="s">
        <v>453</v>
      </c>
      <c r="M5489" s="30" t="s">
        <v>390</v>
      </c>
      <c r="N5489" s="30" t="s">
        <v>600</v>
      </c>
      <c r="P5489" s="30" t="s">
        <v>8841</v>
      </c>
      <c r="Q5489" t="s">
        <v>735</v>
      </c>
      <c r="R5489" t="s">
        <v>920</v>
      </c>
      <c r="S5489">
        <v>38</v>
      </c>
      <c r="T5489" s="29" t="str">
        <f t="shared" si="255"/>
        <v>2022.005D.Parvoviridae_2ngen_49nsp_125rensp.zip</v>
      </c>
      <c r="U5489" s="29" t="str">
        <f>HYPERLINK("https://ictv.global/taxonomy/taxondetails?taxnode_id=202307354","ictv.global=202307354")</f>
        <v>ictv.global=202307354</v>
      </c>
    </row>
    <row r="5490" spans="1:21">
      <c r="A5490">
        <v>5489</v>
      </c>
      <c r="B5490" s="30" t="s">
        <v>1956</v>
      </c>
      <c r="D5490" s="30" t="s">
        <v>1985</v>
      </c>
      <c r="F5490" s="30" t="s">
        <v>1986</v>
      </c>
      <c r="H5490" s="30" t="s">
        <v>1992</v>
      </c>
      <c r="J5490" s="30" t="s">
        <v>1993</v>
      </c>
      <c r="L5490" s="30" t="s">
        <v>453</v>
      </c>
      <c r="M5490" s="30" t="s">
        <v>390</v>
      </c>
      <c r="N5490" s="30" t="s">
        <v>600</v>
      </c>
      <c r="P5490" s="30" t="s">
        <v>8842</v>
      </c>
      <c r="Q5490" t="s">
        <v>622</v>
      </c>
      <c r="R5490" t="s">
        <v>920</v>
      </c>
      <c r="S5490">
        <v>38</v>
      </c>
      <c r="T5490" s="29" t="str">
        <f t="shared" si="255"/>
        <v>2022.005D.Parvoviridae_2ngen_49nsp_125rensp.zip</v>
      </c>
      <c r="U5490" s="29" t="str">
        <f>HYPERLINK("https://ictv.global/taxonomy/taxondetails?taxnode_id=202304264","ictv.global=202304264")</f>
        <v>ictv.global=202304264</v>
      </c>
    </row>
    <row r="5491" spans="1:21">
      <c r="A5491">
        <v>5490</v>
      </c>
      <c r="B5491" s="30" t="s">
        <v>1956</v>
      </c>
      <c r="D5491" s="30" t="s">
        <v>1985</v>
      </c>
      <c r="F5491" s="30" t="s">
        <v>1986</v>
      </c>
      <c r="H5491" s="30" t="s">
        <v>1992</v>
      </c>
      <c r="J5491" s="30" t="s">
        <v>1993</v>
      </c>
      <c r="L5491" s="30" t="s">
        <v>453</v>
      </c>
      <c r="M5491" s="30" t="s">
        <v>390</v>
      </c>
      <c r="N5491" s="30" t="s">
        <v>600</v>
      </c>
      <c r="P5491" s="30" t="s">
        <v>8843</v>
      </c>
      <c r="Q5491" t="s">
        <v>622</v>
      </c>
      <c r="R5491" t="s">
        <v>920</v>
      </c>
      <c r="S5491">
        <v>38</v>
      </c>
      <c r="T5491" s="29" t="str">
        <f t="shared" si="255"/>
        <v>2022.005D.Parvoviridae_2ngen_49nsp_125rensp.zip</v>
      </c>
      <c r="U5491" s="29" t="str">
        <f>HYPERLINK("https://ictv.global/taxonomy/taxondetails?taxnode_id=202306425","ictv.global=202306425")</f>
        <v>ictv.global=202306425</v>
      </c>
    </row>
    <row r="5492" spans="1:21">
      <c r="A5492">
        <v>5491</v>
      </c>
      <c r="B5492" s="30" t="s">
        <v>1956</v>
      </c>
      <c r="D5492" s="30" t="s">
        <v>1985</v>
      </c>
      <c r="F5492" s="30" t="s">
        <v>1986</v>
      </c>
      <c r="H5492" s="30" t="s">
        <v>1992</v>
      </c>
      <c r="J5492" s="30" t="s">
        <v>1993</v>
      </c>
      <c r="L5492" s="30" t="s">
        <v>453</v>
      </c>
      <c r="M5492" s="30" t="s">
        <v>390</v>
      </c>
      <c r="N5492" s="30" t="s">
        <v>601</v>
      </c>
      <c r="P5492" s="30" t="s">
        <v>8844</v>
      </c>
      <c r="Q5492" t="s">
        <v>735</v>
      </c>
      <c r="R5492" t="s">
        <v>920</v>
      </c>
      <c r="S5492">
        <v>38</v>
      </c>
      <c r="T5492" s="29" t="str">
        <f t="shared" si="255"/>
        <v>2022.005D.Parvoviridae_2ngen_49nsp_125rensp.zip</v>
      </c>
      <c r="U5492" s="29" t="str">
        <f>HYPERLINK("https://ictv.global/taxonomy/taxondetails?taxnode_id=202307345","ictv.global=202307345")</f>
        <v>ictv.global=202307345</v>
      </c>
    </row>
    <row r="5493" spans="1:21">
      <c r="A5493">
        <v>5492</v>
      </c>
      <c r="B5493" s="30" t="s">
        <v>1956</v>
      </c>
      <c r="D5493" s="30" t="s">
        <v>1985</v>
      </c>
      <c r="F5493" s="30" t="s">
        <v>1986</v>
      </c>
      <c r="H5493" s="30" t="s">
        <v>1992</v>
      </c>
      <c r="J5493" s="30" t="s">
        <v>1993</v>
      </c>
      <c r="L5493" s="30" t="s">
        <v>453</v>
      </c>
      <c r="M5493" s="30" t="s">
        <v>390</v>
      </c>
      <c r="N5493" s="30" t="s">
        <v>601</v>
      </c>
      <c r="P5493" s="30" t="s">
        <v>8845</v>
      </c>
      <c r="Q5493" t="s">
        <v>622</v>
      </c>
      <c r="R5493" t="s">
        <v>920</v>
      </c>
      <c r="S5493">
        <v>38</v>
      </c>
      <c r="T5493" s="29" t="str">
        <f t="shared" si="255"/>
        <v>2022.005D.Parvoviridae_2ngen_49nsp_125rensp.zip</v>
      </c>
      <c r="U5493" s="29" t="str">
        <f>HYPERLINK("https://ictv.global/taxonomy/taxondetails?taxnode_id=202304266","ictv.global=202304266")</f>
        <v>ictv.global=202304266</v>
      </c>
    </row>
    <row r="5494" spans="1:21">
      <c r="A5494">
        <v>5493</v>
      </c>
      <c r="B5494" s="30" t="s">
        <v>1956</v>
      </c>
      <c r="D5494" s="30" t="s">
        <v>1985</v>
      </c>
      <c r="F5494" s="30" t="s">
        <v>1986</v>
      </c>
      <c r="H5494" s="30" t="s">
        <v>1992</v>
      </c>
      <c r="J5494" s="30" t="s">
        <v>1993</v>
      </c>
      <c r="L5494" s="30" t="s">
        <v>453</v>
      </c>
      <c r="M5494" s="30" t="s">
        <v>390</v>
      </c>
      <c r="N5494" s="30" t="s">
        <v>601</v>
      </c>
      <c r="P5494" s="30" t="s">
        <v>8846</v>
      </c>
      <c r="Q5494" t="s">
        <v>622</v>
      </c>
      <c r="R5494" t="s">
        <v>920</v>
      </c>
      <c r="S5494">
        <v>38</v>
      </c>
      <c r="T5494" s="29" t="str">
        <f t="shared" si="255"/>
        <v>2022.005D.Parvoviridae_2ngen_49nsp_125rensp.zip</v>
      </c>
      <c r="U5494" s="29" t="str">
        <f>HYPERLINK("https://ictv.global/taxonomy/taxondetails?taxnode_id=202304267","ictv.global=202304267")</f>
        <v>ictv.global=202304267</v>
      </c>
    </row>
    <row r="5495" spans="1:21">
      <c r="A5495">
        <v>5494</v>
      </c>
      <c r="B5495" s="30" t="s">
        <v>1956</v>
      </c>
      <c r="D5495" s="30" t="s">
        <v>1985</v>
      </c>
      <c r="F5495" s="30" t="s">
        <v>1986</v>
      </c>
      <c r="H5495" s="30" t="s">
        <v>1992</v>
      </c>
      <c r="J5495" s="30" t="s">
        <v>1993</v>
      </c>
      <c r="L5495" s="30" t="s">
        <v>453</v>
      </c>
      <c r="M5495" s="30" t="s">
        <v>390</v>
      </c>
      <c r="N5495" s="30" t="s">
        <v>601</v>
      </c>
      <c r="P5495" s="30" t="s">
        <v>8847</v>
      </c>
      <c r="Q5495" t="s">
        <v>622</v>
      </c>
      <c r="R5495" t="s">
        <v>920</v>
      </c>
      <c r="S5495">
        <v>38</v>
      </c>
      <c r="T5495" s="29" t="str">
        <f t="shared" si="255"/>
        <v>2022.005D.Parvoviridae_2ngen_49nsp_125rensp.zip</v>
      </c>
      <c r="U5495" s="29" t="str">
        <f>HYPERLINK("https://ictv.global/taxonomy/taxondetails?taxnode_id=202304268","ictv.global=202304268")</f>
        <v>ictv.global=202304268</v>
      </c>
    </row>
    <row r="5496" spans="1:21">
      <c r="A5496">
        <v>5495</v>
      </c>
      <c r="B5496" s="30" t="s">
        <v>1956</v>
      </c>
      <c r="D5496" s="30" t="s">
        <v>1985</v>
      </c>
      <c r="F5496" s="30" t="s">
        <v>1986</v>
      </c>
      <c r="H5496" s="30" t="s">
        <v>1992</v>
      </c>
      <c r="J5496" s="30" t="s">
        <v>1993</v>
      </c>
      <c r="L5496" s="30" t="s">
        <v>453</v>
      </c>
      <c r="M5496" s="30" t="s">
        <v>390</v>
      </c>
      <c r="N5496" s="30" t="s">
        <v>601</v>
      </c>
      <c r="P5496" s="30" t="s">
        <v>8848</v>
      </c>
      <c r="Q5496" t="s">
        <v>622</v>
      </c>
      <c r="R5496" t="s">
        <v>920</v>
      </c>
      <c r="S5496">
        <v>38</v>
      </c>
      <c r="T5496" s="29" t="str">
        <f t="shared" si="255"/>
        <v>2022.005D.Parvoviridae_2ngen_49nsp_125rensp.zip</v>
      </c>
      <c r="U5496" s="29" t="str">
        <f>HYPERLINK("https://ictv.global/taxonomy/taxondetails?taxnode_id=202304269","ictv.global=202304269")</f>
        <v>ictv.global=202304269</v>
      </c>
    </row>
    <row r="5497" spans="1:21">
      <c r="A5497">
        <v>5496</v>
      </c>
      <c r="B5497" s="30" t="s">
        <v>1956</v>
      </c>
      <c r="D5497" s="30" t="s">
        <v>1985</v>
      </c>
      <c r="F5497" s="30" t="s">
        <v>1986</v>
      </c>
      <c r="H5497" s="30" t="s">
        <v>1992</v>
      </c>
      <c r="J5497" s="30" t="s">
        <v>1993</v>
      </c>
      <c r="L5497" s="30" t="s">
        <v>453</v>
      </c>
      <c r="M5497" s="30" t="s">
        <v>390</v>
      </c>
      <c r="N5497" s="30" t="s">
        <v>601</v>
      </c>
      <c r="P5497" s="30" t="s">
        <v>8849</v>
      </c>
      <c r="Q5497" t="s">
        <v>622</v>
      </c>
      <c r="R5497" t="s">
        <v>920</v>
      </c>
      <c r="S5497">
        <v>38</v>
      </c>
      <c r="T5497" s="29" t="str">
        <f t="shared" si="255"/>
        <v>2022.005D.Parvoviridae_2ngen_49nsp_125rensp.zip</v>
      </c>
      <c r="U5497" s="29" t="str">
        <f>HYPERLINK("https://ictv.global/taxonomy/taxondetails?taxnode_id=202304270","ictv.global=202304270")</f>
        <v>ictv.global=202304270</v>
      </c>
    </row>
    <row r="5498" spans="1:21">
      <c r="A5498">
        <v>5497</v>
      </c>
      <c r="B5498" s="30" t="s">
        <v>1956</v>
      </c>
      <c r="D5498" s="30" t="s">
        <v>1985</v>
      </c>
      <c r="F5498" s="30" t="s">
        <v>1986</v>
      </c>
      <c r="H5498" s="30" t="s">
        <v>1992</v>
      </c>
      <c r="J5498" s="30" t="s">
        <v>1993</v>
      </c>
      <c r="L5498" s="30" t="s">
        <v>453</v>
      </c>
      <c r="M5498" s="30" t="s">
        <v>390</v>
      </c>
      <c r="N5498" s="30" t="s">
        <v>601</v>
      </c>
      <c r="P5498" s="30" t="s">
        <v>8850</v>
      </c>
      <c r="Q5498" t="s">
        <v>622</v>
      </c>
      <c r="R5498" t="s">
        <v>920</v>
      </c>
      <c r="S5498">
        <v>38</v>
      </c>
      <c r="T5498" s="29" t="str">
        <f t="shared" si="255"/>
        <v>2022.005D.Parvoviridae_2ngen_49nsp_125rensp.zip</v>
      </c>
      <c r="U5498" s="29" t="str">
        <f>HYPERLINK("https://ictv.global/taxonomy/taxondetails?taxnode_id=202304271","ictv.global=202304271")</f>
        <v>ictv.global=202304271</v>
      </c>
    </row>
    <row r="5499" spans="1:21">
      <c r="A5499">
        <v>5498</v>
      </c>
      <c r="B5499" s="30" t="s">
        <v>1956</v>
      </c>
      <c r="D5499" s="30" t="s">
        <v>1985</v>
      </c>
      <c r="F5499" s="30" t="s">
        <v>1986</v>
      </c>
      <c r="H5499" s="30" t="s">
        <v>1992</v>
      </c>
      <c r="J5499" s="30" t="s">
        <v>1993</v>
      </c>
      <c r="L5499" s="30" t="s">
        <v>453</v>
      </c>
      <c r="M5499" s="30" t="s">
        <v>390</v>
      </c>
      <c r="N5499" s="30" t="s">
        <v>2008</v>
      </c>
      <c r="P5499" s="30" t="s">
        <v>8851</v>
      </c>
      <c r="Q5499" t="s">
        <v>735</v>
      </c>
      <c r="R5499" t="s">
        <v>920</v>
      </c>
      <c r="S5499">
        <v>38</v>
      </c>
      <c r="T5499" s="29" t="str">
        <f t="shared" si="255"/>
        <v>2022.005D.Parvoviridae_2ngen_49nsp_125rensp.zip</v>
      </c>
      <c r="U5499" s="29" t="str">
        <f>HYPERLINK("https://ictv.global/taxonomy/taxondetails?taxnode_id=202307339","ictv.global=202307339")</f>
        <v>ictv.global=202307339</v>
      </c>
    </row>
    <row r="5500" spans="1:21">
      <c r="A5500">
        <v>5499</v>
      </c>
      <c r="B5500" s="30" t="s">
        <v>1956</v>
      </c>
      <c r="D5500" s="30" t="s">
        <v>1985</v>
      </c>
      <c r="F5500" s="30" t="s">
        <v>1986</v>
      </c>
      <c r="H5500" s="30" t="s">
        <v>1992</v>
      </c>
      <c r="J5500" s="30" t="s">
        <v>1993</v>
      </c>
      <c r="L5500" s="30" t="s">
        <v>453</v>
      </c>
      <c r="M5500" s="30" t="s">
        <v>390</v>
      </c>
      <c r="N5500" s="30" t="s">
        <v>602</v>
      </c>
      <c r="P5500" s="30" t="s">
        <v>8852</v>
      </c>
      <c r="Q5500" t="s">
        <v>622</v>
      </c>
      <c r="R5500" t="s">
        <v>920</v>
      </c>
      <c r="S5500">
        <v>38</v>
      </c>
      <c r="T5500" s="29" t="str">
        <f t="shared" si="255"/>
        <v>2022.005D.Parvoviridae_2ngen_49nsp_125rensp.zip</v>
      </c>
      <c r="U5500" s="29" t="str">
        <f>HYPERLINK("https://ictv.global/taxonomy/taxondetails?taxnode_id=202304273","ictv.global=202304273")</f>
        <v>ictv.global=202304273</v>
      </c>
    </row>
    <row r="5501" spans="1:21">
      <c r="A5501">
        <v>5500</v>
      </c>
      <c r="B5501" s="30" t="s">
        <v>1956</v>
      </c>
      <c r="D5501" s="30" t="s">
        <v>1985</v>
      </c>
      <c r="F5501" s="30" t="s">
        <v>1986</v>
      </c>
      <c r="H5501" s="30" t="s">
        <v>1992</v>
      </c>
      <c r="J5501" s="30" t="s">
        <v>1993</v>
      </c>
      <c r="L5501" s="30" t="s">
        <v>453</v>
      </c>
      <c r="M5501" s="30" t="s">
        <v>390</v>
      </c>
      <c r="N5501" s="30" t="s">
        <v>602</v>
      </c>
      <c r="P5501" s="30" t="s">
        <v>8853</v>
      </c>
      <c r="Q5501" t="s">
        <v>735</v>
      </c>
      <c r="R5501" t="s">
        <v>920</v>
      </c>
      <c r="S5501">
        <v>38</v>
      </c>
      <c r="T5501" s="29" t="str">
        <f t="shared" si="255"/>
        <v>2022.005D.Parvoviridae_2ngen_49nsp_125rensp.zip</v>
      </c>
      <c r="U5501" s="29" t="str">
        <f>HYPERLINK("https://ictv.global/taxonomy/taxondetails?taxnode_id=202307352","ictv.global=202307352")</f>
        <v>ictv.global=202307352</v>
      </c>
    </row>
    <row r="5502" spans="1:21">
      <c r="A5502">
        <v>5501</v>
      </c>
      <c r="B5502" s="30" t="s">
        <v>1956</v>
      </c>
      <c r="D5502" s="30" t="s">
        <v>1985</v>
      </c>
      <c r="F5502" s="30" t="s">
        <v>1986</v>
      </c>
      <c r="H5502" s="30" t="s">
        <v>1992</v>
      </c>
      <c r="J5502" s="30" t="s">
        <v>1993</v>
      </c>
      <c r="L5502" s="30" t="s">
        <v>453</v>
      </c>
      <c r="M5502" s="30" t="s">
        <v>390</v>
      </c>
      <c r="N5502" s="30" t="s">
        <v>602</v>
      </c>
      <c r="P5502" s="30" t="s">
        <v>8854</v>
      </c>
      <c r="Q5502" t="s">
        <v>735</v>
      </c>
      <c r="R5502" t="s">
        <v>920</v>
      </c>
      <c r="S5502">
        <v>38</v>
      </c>
      <c r="T5502" s="29" t="str">
        <f t="shared" si="255"/>
        <v>2022.005D.Parvoviridae_2ngen_49nsp_125rensp.zip</v>
      </c>
      <c r="U5502" s="29" t="str">
        <f>HYPERLINK("https://ictv.global/taxonomy/taxondetails?taxnode_id=202309284","ictv.global=202309284")</f>
        <v>ictv.global=202309284</v>
      </c>
    </row>
    <row r="5503" spans="1:21">
      <c r="A5503">
        <v>5502</v>
      </c>
      <c r="B5503" s="30" t="s">
        <v>1956</v>
      </c>
      <c r="D5503" s="30" t="s">
        <v>1985</v>
      </c>
      <c r="F5503" s="30" t="s">
        <v>1986</v>
      </c>
      <c r="H5503" s="30" t="s">
        <v>1992</v>
      </c>
      <c r="J5503" s="30" t="s">
        <v>1993</v>
      </c>
      <c r="L5503" s="30" t="s">
        <v>453</v>
      </c>
      <c r="M5503" s="30" t="s">
        <v>390</v>
      </c>
      <c r="N5503" s="30" t="s">
        <v>602</v>
      </c>
      <c r="P5503" s="30" t="s">
        <v>8855</v>
      </c>
      <c r="Q5503" t="s">
        <v>735</v>
      </c>
      <c r="R5503" t="s">
        <v>920</v>
      </c>
      <c r="S5503">
        <v>38</v>
      </c>
      <c r="T5503" s="29" t="str">
        <f t="shared" si="255"/>
        <v>2022.005D.Parvoviridae_2ngen_49nsp_125rensp.zip</v>
      </c>
      <c r="U5503" s="29" t="str">
        <f>HYPERLINK("https://ictv.global/taxonomy/taxondetails?taxnode_id=202309285","ictv.global=202309285")</f>
        <v>ictv.global=202309285</v>
      </c>
    </row>
    <row r="5504" spans="1:21">
      <c r="A5504">
        <v>5503</v>
      </c>
      <c r="B5504" s="30" t="s">
        <v>1956</v>
      </c>
      <c r="D5504" s="30" t="s">
        <v>1985</v>
      </c>
      <c r="F5504" s="30" t="s">
        <v>1986</v>
      </c>
      <c r="H5504" s="30" t="s">
        <v>1992</v>
      </c>
      <c r="J5504" s="30" t="s">
        <v>1993</v>
      </c>
      <c r="L5504" s="30" t="s">
        <v>453</v>
      </c>
      <c r="M5504" s="30" t="s">
        <v>390</v>
      </c>
      <c r="N5504" s="30" t="s">
        <v>602</v>
      </c>
      <c r="P5504" s="30" t="s">
        <v>8856</v>
      </c>
      <c r="Q5504" t="s">
        <v>735</v>
      </c>
      <c r="R5504" t="s">
        <v>917</v>
      </c>
      <c r="S5504">
        <v>38</v>
      </c>
      <c r="T5504" s="29" t="str">
        <f t="shared" si="255"/>
        <v>2022.005D.Parvoviridae_2ngen_49nsp_125rensp.zip</v>
      </c>
      <c r="U5504" s="29" t="str">
        <f>HYPERLINK("https://ictv.global/taxonomy/taxondetails?taxnode_id=202314040","ictv.global=202314040")</f>
        <v>ictv.global=202314040</v>
      </c>
    </row>
    <row r="5505" spans="1:21">
      <c r="A5505">
        <v>5504</v>
      </c>
      <c r="B5505" s="30" t="s">
        <v>1956</v>
      </c>
      <c r="D5505" s="30" t="s">
        <v>1985</v>
      </c>
      <c r="F5505" s="30" t="s">
        <v>1986</v>
      </c>
      <c r="H5505" s="30" t="s">
        <v>1992</v>
      </c>
      <c r="J5505" s="30" t="s">
        <v>1993</v>
      </c>
      <c r="L5505" s="30" t="s">
        <v>453</v>
      </c>
      <c r="M5505" s="30" t="s">
        <v>390</v>
      </c>
      <c r="N5505" s="30" t="s">
        <v>602</v>
      </c>
      <c r="P5505" s="30" t="s">
        <v>8857</v>
      </c>
      <c r="Q5505" t="s">
        <v>622</v>
      </c>
      <c r="R5505" t="s">
        <v>920</v>
      </c>
      <c r="S5505">
        <v>38</v>
      </c>
      <c r="T5505" s="29" t="str">
        <f t="shared" si="255"/>
        <v>2022.005D.Parvoviridae_2ngen_49nsp_125rensp.zip</v>
      </c>
      <c r="U5505" s="29" t="str">
        <f>HYPERLINK("https://ictv.global/taxonomy/taxondetails?taxnode_id=202305898","ictv.global=202305898")</f>
        <v>ictv.global=202305898</v>
      </c>
    </row>
    <row r="5506" spans="1:21">
      <c r="A5506">
        <v>5505</v>
      </c>
      <c r="B5506" s="30" t="s">
        <v>1956</v>
      </c>
      <c r="D5506" s="30" t="s">
        <v>1985</v>
      </c>
      <c r="F5506" s="30" t="s">
        <v>1986</v>
      </c>
      <c r="H5506" s="30" t="s">
        <v>1992</v>
      </c>
      <c r="J5506" s="30" t="s">
        <v>1993</v>
      </c>
      <c r="L5506" s="30" t="s">
        <v>453</v>
      </c>
      <c r="M5506" s="30" t="s">
        <v>390</v>
      </c>
      <c r="N5506" s="30" t="s">
        <v>602</v>
      </c>
      <c r="P5506" s="30" t="s">
        <v>8858</v>
      </c>
      <c r="Q5506" t="s">
        <v>622</v>
      </c>
      <c r="R5506" t="s">
        <v>920</v>
      </c>
      <c r="S5506">
        <v>38</v>
      </c>
      <c r="T5506" s="29" t="str">
        <f t="shared" si="255"/>
        <v>2022.005D.Parvoviridae_2ngen_49nsp_125rensp.zip</v>
      </c>
      <c r="U5506" s="29" t="str">
        <f>HYPERLINK("https://ictv.global/taxonomy/taxondetails?taxnode_id=202305899","ictv.global=202305899")</f>
        <v>ictv.global=202305899</v>
      </c>
    </row>
    <row r="5507" spans="1:21">
      <c r="A5507">
        <v>5506</v>
      </c>
      <c r="B5507" s="30" t="s">
        <v>1956</v>
      </c>
      <c r="D5507" s="30" t="s">
        <v>1985</v>
      </c>
      <c r="F5507" s="30" t="s">
        <v>1986</v>
      </c>
      <c r="H5507" s="30" t="s">
        <v>1992</v>
      </c>
      <c r="J5507" s="30" t="s">
        <v>1993</v>
      </c>
      <c r="L5507" s="30" t="s">
        <v>453</v>
      </c>
      <c r="M5507" s="30" t="s">
        <v>390</v>
      </c>
      <c r="N5507" s="30" t="s">
        <v>602</v>
      </c>
      <c r="P5507" s="30" t="s">
        <v>8859</v>
      </c>
      <c r="Q5507" t="s">
        <v>735</v>
      </c>
      <c r="R5507" t="s">
        <v>920</v>
      </c>
      <c r="S5507">
        <v>38</v>
      </c>
      <c r="T5507" s="29" t="str">
        <f t="shared" si="255"/>
        <v>2022.005D.Parvoviridae_2ngen_49nsp_125rensp.zip</v>
      </c>
      <c r="U5507" s="29" t="str">
        <f>HYPERLINK("https://ictv.global/taxonomy/taxondetails?taxnode_id=202307351","ictv.global=202307351")</f>
        <v>ictv.global=202307351</v>
      </c>
    </row>
    <row r="5508" spans="1:21">
      <c r="A5508">
        <v>5507</v>
      </c>
      <c r="B5508" s="30" t="s">
        <v>1956</v>
      </c>
      <c r="D5508" s="30" t="s">
        <v>1985</v>
      </c>
      <c r="F5508" s="30" t="s">
        <v>1986</v>
      </c>
      <c r="H5508" s="30" t="s">
        <v>1992</v>
      </c>
      <c r="J5508" s="30" t="s">
        <v>1993</v>
      </c>
      <c r="L5508" s="30" t="s">
        <v>453</v>
      </c>
      <c r="M5508" s="30" t="s">
        <v>390</v>
      </c>
      <c r="N5508" s="30" t="s">
        <v>602</v>
      </c>
      <c r="P5508" s="30" t="s">
        <v>8860</v>
      </c>
      <c r="Q5508" t="s">
        <v>735</v>
      </c>
      <c r="R5508" t="s">
        <v>917</v>
      </c>
      <c r="S5508">
        <v>38</v>
      </c>
      <c r="T5508" s="29" t="str">
        <f t="shared" si="255"/>
        <v>2022.005D.Parvoviridae_2ngen_49nsp_125rensp.zip</v>
      </c>
      <c r="U5508" s="29" t="str">
        <f>HYPERLINK("https://ictv.global/taxonomy/taxondetails?taxnode_id=202314039","ictv.global=202314039")</f>
        <v>ictv.global=202314039</v>
      </c>
    </row>
    <row r="5509" spans="1:21">
      <c r="A5509">
        <v>5508</v>
      </c>
      <c r="B5509" s="30" t="s">
        <v>1956</v>
      </c>
      <c r="D5509" s="30" t="s">
        <v>1985</v>
      </c>
      <c r="F5509" s="30" t="s">
        <v>1986</v>
      </c>
      <c r="H5509" s="30" t="s">
        <v>1992</v>
      </c>
      <c r="J5509" s="30" t="s">
        <v>1993</v>
      </c>
      <c r="L5509" s="30" t="s">
        <v>453</v>
      </c>
      <c r="M5509" s="30" t="s">
        <v>390</v>
      </c>
      <c r="N5509" s="30" t="s">
        <v>602</v>
      </c>
      <c r="P5509" s="30" t="s">
        <v>8861</v>
      </c>
      <c r="Q5509" t="s">
        <v>622</v>
      </c>
      <c r="R5509" t="s">
        <v>920</v>
      </c>
      <c r="S5509">
        <v>38</v>
      </c>
      <c r="T5509" s="29" t="str">
        <f t="shared" si="255"/>
        <v>2022.005D.Parvoviridae_2ngen_49nsp_125rensp.zip</v>
      </c>
      <c r="U5509" s="29" t="str">
        <f>HYPERLINK("https://ictv.global/taxonomy/taxondetails?taxnode_id=202304274","ictv.global=202304274")</f>
        <v>ictv.global=202304274</v>
      </c>
    </row>
    <row r="5510" spans="1:21">
      <c r="A5510">
        <v>5509</v>
      </c>
      <c r="B5510" s="30" t="s">
        <v>1956</v>
      </c>
      <c r="D5510" s="30" t="s">
        <v>1985</v>
      </c>
      <c r="F5510" s="30" t="s">
        <v>1986</v>
      </c>
      <c r="H5510" s="30" t="s">
        <v>1992</v>
      </c>
      <c r="J5510" s="30" t="s">
        <v>1993</v>
      </c>
      <c r="L5510" s="30" t="s">
        <v>453</v>
      </c>
      <c r="M5510" s="30" t="s">
        <v>390</v>
      </c>
      <c r="N5510" s="30" t="s">
        <v>602</v>
      </c>
      <c r="P5510" s="30" t="s">
        <v>8862</v>
      </c>
      <c r="Q5510" t="s">
        <v>622</v>
      </c>
      <c r="R5510" t="s">
        <v>920</v>
      </c>
      <c r="S5510">
        <v>38</v>
      </c>
      <c r="T5510" s="29" t="str">
        <f t="shared" si="255"/>
        <v>2022.005D.Parvoviridae_2ngen_49nsp_125rensp.zip</v>
      </c>
      <c r="U5510" s="29" t="str">
        <f>HYPERLINK("https://ictv.global/taxonomy/taxondetails?taxnode_id=202305900","ictv.global=202305900")</f>
        <v>ictv.global=202305900</v>
      </c>
    </row>
    <row r="5511" spans="1:21">
      <c r="A5511">
        <v>5510</v>
      </c>
      <c r="B5511" s="30" t="s">
        <v>1956</v>
      </c>
      <c r="D5511" s="30" t="s">
        <v>1985</v>
      </c>
      <c r="F5511" s="30" t="s">
        <v>1986</v>
      </c>
      <c r="H5511" s="30" t="s">
        <v>1992</v>
      </c>
      <c r="J5511" s="30" t="s">
        <v>1993</v>
      </c>
      <c r="L5511" s="30" t="s">
        <v>453</v>
      </c>
      <c r="M5511" s="30" t="s">
        <v>390</v>
      </c>
      <c r="N5511" s="30" t="s">
        <v>602</v>
      </c>
      <c r="P5511" s="30" t="s">
        <v>8863</v>
      </c>
      <c r="Q5511" t="s">
        <v>622</v>
      </c>
      <c r="R5511" t="s">
        <v>920</v>
      </c>
      <c r="S5511">
        <v>38</v>
      </c>
      <c r="T5511" s="29" t="str">
        <f t="shared" si="255"/>
        <v>2022.005D.Parvoviridae_2ngen_49nsp_125rensp.zip</v>
      </c>
      <c r="U5511" s="29" t="str">
        <f>HYPERLINK("https://ictv.global/taxonomy/taxondetails?taxnode_id=202305901","ictv.global=202305901")</f>
        <v>ictv.global=202305901</v>
      </c>
    </row>
    <row r="5512" spans="1:21">
      <c r="A5512">
        <v>5511</v>
      </c>
      <c r="B5512" s="30" t="s">
        <v>1956</v>
      </c>
      <c r="D5512" s="30" t="s">
        <v>1985</v>
      </c>
      <c r="F5512" s="30" t="s">
        <v>1986</v>
      </c>
      <c r="H5512" s="30" t="s">
        <v>1992</v>
      </c>
      <c r="J5512" s="30" t="s">
        <v>1993</v>
      </c>
      <c r="L5512" s="30" t="s">
        <v>453</v>
      </c>
      <c r="M5512" s="30" t="s">
        <v>390</v>
      </c>
      <c r="N5512" s="30" t="s">
        <v>602</v>
      </c>
      <c r="P5512" s="30" t="s">
        <v>8864</v>
      </c>
      <c r="Q5512" t="s">
        <v>622</v>
      </c>
      <c r="R5512" t="s">
        <v>920</v>
      </c>
      <c r="S5512">
        <v>38</v>
      </c>
      <c r="T5512" s="29" t="str">
        <f t="shared" si="255"/>
        <v>2022.005D.Parvoviridae_2ngen_49nsp_125rensp.zip</v>
      </c>
      <c r="U5512" s="29" t="str">
        <f>HYPERLINK("https://ictv.global/taxonomy/taxondetails?taxnode_id=202304275","ictv.global=202304275")</f>
        <v>ictv.global=202304275</v>
      </c>
    </row>
    <row r="5513" spans="1:21">
      <c r="A5513">
        <v>5512</v>
      </c>
      <c r="B5513" s="30" t="s">
        <v>1956</v>
      </c>
      <c r="D5513" s="30" t="s">
        <v>1985</v>
      </c>
      <c r="F5513" s="30" t="s">
        <v>1986</v>
      </c>
      <c r="H5513" s="30" t="s">
        <v>1992</v>
      </c>
      <c r="J5513" s="30" t="s">
        <v>1993</v>
      </c>
      <c r="L5513" s="30" t="s">
        <v>453</v>
      </c>
      <c r="M5513" s="30" t="s">
        <v>390</v>
      </c>
      <c r="N5513" s="30" t="s">
        <v>602</v>
      </c>
      <c r="P5513" s="30" t="s">
        <v>8865</v>
      </c>
      <c r="Q5513" t="s">
        <v>622</v>
      </c>
      <c r="R5513" t="s">
        <v>920</v>
      </c>
      <c r="S5513">
        <v>38</v>
      </c>
      <c r="T5513" s="29" t="str">
        <f t="shared" si="255"/>
        <v>2022.005D.Parvoviridae_2ngen_49nsp_125rensp.zip</v>
      </c>
      <c r="U5513" s="29" t="str">
        <f>HYPERLINK("https://ictv.global/taxonomy/taxondetails?taxnode_id=202304276","ictv.global=202304276")</f>
        <v>ictv.global=202304276</v>
      </c>
    </row>
    <row r="5514" spans="1:21">
      <c r="A5514">
        <v>5513</v>
      </c>
      <c r="B5514" s="30" t="s">
        <v>1956</v>
      </c>
      <c r="D5514" s="30" t="s">
        <v>1985</v>
      </c>
      <c r="F5514" s="30" t="s">
        <v>1986</v>
      </c>
      <c r="H5514" s="30" t="s">
        <v>1992</v>
      </c>
      <c r="J5514" s="30" t="s">
        <v>1993</v>
      </c>
      <c r="L5514" s="30" t="s">
        <v>453</v>
      </c>
      <c r="M5514" s="30" t="s">
        <v>390</v>
      </c>
      <c r="N5514" s="30" t="s">
        <v>602</v>
      </c>
      <c r="P5514" s="30" t="s">
        <v>8866</v>
      </c>
      <c r="Q5514" t="s">
        <v>622</v>
      </c>
      <c r="R5514" t="s">
        <v>920</v>
      </c>
      <c r="S5514">
        <v>38</v>
      </c>
      <c r="T5514" s="29" t="str">
        <f t="shared" si="255"/>
        <v>2022.005D.Parvoviridae_2ngen_49nsp_125rensp.zip</v>
      </c>
      <c r="U5514" s="29" t="str">
        <f>HYPERLINK("https://ictv.global/taxonomy/taxondetails?taxnode_id=202305902","ictv.global=202305902")</f>
        <v>ictv.global=202305902</v>
      </c>
    </row>
    <row r="5515" spans="1:21">
      <c r="A5515">
        <v>5514</v>
      </c>
      <c r="B5515" s="30" t="s">
        <v>1956</v>
      </c>
      <c r="D5515" s="30" t="s">
        <v>1985</v>
      </c>
      <c r="F5515" s="30" t="s">
        <v>1986</v>
      </c>
      <c r="H5515" s="30" t="s">
        <v>1992</v>
      </c>
      <c r="J5515" s="30" t="s">
        <v>1993</v>
      </c>
      <c r="L5515" s="30" t="s">
        <v>453</v>
      </c>
      <c r="M5515" s="30" t="s">
        <v>390</v>
      </c>
      <c r="N5515" s="30" t="s">
        <v>602</v>
      </c>
      <c r="P5515" s="30" t="s">
        <v>8867</v>
      </c>
      <c r="Q5515" t="s">
        <v>622</v>
      </c>
      <c r="R5515" t="s">
        <v>920</v>
      </c>
      <c r="S5515">
        <v>38</v>
      </c>
      <c r="T5515" s="29" t="str">
        <f t="shared" si="255"/>
        <v>2022.005D.Parvoviridae_2ngen_49nsp_125rensp.zip</v>
      </c>
      <c r="U5515" s="29" t="str">
        <f>HYPERLINK("https://ictv.global/taxonomy/taxondetails?taxnode_id=202304277","ictv.global=202304277")</f>
        <v>ictv.global=202304277</v>
      </c>
    </row>
    <row r="5516" spans="1:21">
      <c r="A5516">
        <v>5515</v>
      </c>
      <c r="B5516" s="30" t="s">
        <v>1956</v>
      </c>
      <c r="D5516" s="30" t="s">
        <v>1985</v>
      </c>
      <c r="F5516" s="30" t="s">
        <v>1986</v>
      </c>
      <c r="H5516" s="30" t="s">
        <v>1992</v>
      </c>
      <c r="J5516" s="30" t="s">
        <v>1993</v>
      </c>
      <c r="L5516" s="30" t="s">
        <v>453</v>
      </c>
      <c r="M5516" s="30" t="s">
        <v>390</v>
      </c>
      <c r="N5516" s="30" t="s">
        <v>602</v>
      </c>
      <c r="P5516" s="30" t="s">
        <v>8868</v>
      </c>
      <c r="Q5516" t="s">
        <v>622</v>
      </c>
      <c r="R5516" t="s">
        <v>920</v>
      </c>
      <c r="S5516">
        <v>38</v>
      </c>
      <c r="T5516" s="29" t="str">
        <f t="shared" si="255"/>
        <v>2022.005D.Parvoviridae_2ngen_49nsp_125rensp.zip</v>
      </c>
      <c r="U5516" s="29" t="str">
        <f>HYPERLINK("https://ictv.global/taxonomy/taxondetails?taxnode_id=202305903","ictv.global=202305903")</f>
        <v>ictv.global=202305903</v>
      </c>
    </row>
    <row r="5517" spans="1:21">
      <c r="A5517">
        <v>5516</v>
      </c>
      <c r="B5517" s="30" t="s">
        <v>1956</v>
      </c>
      <c r="D5517" s="30" t="s">
        <v>1985</v>
      </c>
      <c r="F5517" s="30" t="s">
        <v>1986</v>
      </c>
      <c r="H5517" s="30" t="s">
        <v>1992</v>
      </c>
      <c r="J5517" s="30" t="s">
        <v>1993</v>
      </c>
      <c r="L5517" s="30" t="s">
        <v>453</v>
      </c>
      <c r="M5517" s="30" t="s">
        <v>390</v>
      </c>
      <c r="N5517" s="30" t="s">
        <v>602</v>
      </c>
      <c r="P5517" s="30" t="s">
        <v>8869</v>
      </c>
      <c r="Q5517" t="s">
        <v>735</v>
      </c>
      <c r="R5517" t="s">
        <v>917</v>
      </c>
      <c r="S5517">
        <v>38</v>
      </c>
      <c r="T5517" s="29" t="str">
        <f t="shared" si="255"/>
        <v>2022.005D.Parvoviridae_2ngen_49nsp_125rensp.zip</v>
      </c>
      <c r="U5517" s="29" t="str">
        <f>HYPERLINK("https://ictv.global/taxonomy/taxondetails?taxnode_id=202314041","ictv.global=202314041")</f>
        <v>ictv.global=202314041</v>
      </c>
    </row>
    <row r="5518" spans="1:21">
      <c r="A5518">
        <v>5517</v>
      </c>
      <c r="B5518" s="30" t="s">
        <v>1956</v>
      </c>
      <c r="D5518" s="30" t="s">
        <v>1985</v>
      </c>
      <c r="F5518" s="30" t="s">
        <v>1986</v>
      </c>
      <c r="H5518" s="30" t="s">
        <v>1992</v>
      </c>
      <c r="J5518" s="30" t="s">
        <v>1993</v>
      </c>
      <c r="L5518" s="30" t="s">
        <v>453</v>
      </c>
      <c r="M5518" s="30" t="s">
        <v>390</v>
      </c>
      <c r="N5518" s="30" t="s">
        <v>602</v>
      </c>
      <c r="P5518" s="30" t="s">
        <v>12755</v>
      </c>
      <c r="Q5518" t="s">
        <v>13939</v>
      </c>
      <c r="R5518" t="s">
        <v>917</v>
      </c>
      <c r="S5518">
        <v>39</v>
      </c>
      <c r="T5518" s="29" t="str">
        <f>HYPERLINK("https://ictv.global/ictv/proposals/2023.007D.Parvoviridae_12nsp.zip","2023.007D.Parvoviridae_12nsp.zip")</f>
        <v>2023.007D.Parvoviridae_12nsp.zip</v>
      </c>
      <c r="U5518" s="29" t="str">
        <f>HYPERLINK("https://ictv.global/taxonomy/taxondetails?taxnode_id=202317847","ictv.global=202317847")</f>
        <v>ictv.global=202317847</v>
      </c>
    </row>
    <row r="5519" spans="1:21">
      <c r="A5519">
        <v>5518</v>
      </c>
      <c r="B5519" s="30" t="s">
        <v>1956</v>
      </c>
      <c r="D5519" s="30" t="s">
        <v>1985</v>
      </c>
      <c r="F5519" s="30" t="s">
        <v>1986</v>
      </c>
      <c r="H5519" s="30" t="s">
        <v>1992</v>
      </c>
      <c r="J5519" s="30" t="s">
        <v>1993</v>
      </c>
      <c r="L5519" s="30" t="s">
        <v>453</v>
      </c>
      <c r="M5519" s="30" t="s">
        <v>390</v>
      </c>
      <c r="N5519" s="30" t="s">
        <v>8870</v>
      </c>
      <c r="P5519" s="30" t="s">
        <v>8871</v>
      </c>
      <c r="Q5519" t="s">
        <v>735</v>
      </c>
      <c r="R5519" t="s">
        <v>917</v>
      </c>
      <c r="S5519">
        <v>38</v>
      </c>
      <c r="T5519" s="29" t="str">
        <f t="shared" ref="T5519:T5528" si="256">HYPERLINK("https://ictv.global/ictv/proposals/2022.005D.Parvoviridae_2ngen_49nsp_125rensp.zip","2022.005D.Parvoviridae_2ngen_49nsp_125rensp.zip")</f>
        <v>2022.005D.Parvoviridae_2ngen_49nsp_125rensp.zip</v>
      </c>
      <c r="U5519" s="29" t="str">
        <f>HYPERLINK("https://ictv.global/taxonomy/taxondetails?taxnode_id=202314044","ictv.global=202314044")</f>
        <v>ictv.global=202314044</v>
      </c>
    </row>
    <row r="5520" spans="1:21">
      <c r="A5520">
        <v>5519</v>
      </c>
      <c r="B5520" s="30" t="s">
        <v>1956</v>
      </c>
      <c r="D5520" s="30" t="s">
        <v>1985</v>
      </c>
      <c r="F5520" s="30" t="s">
        <v>1986</v>
      </c>
      <c r="H5520" s="30" t="s">
        <v>1992</v>
      </c>
      <c r="J5520" s="30" t="s">
        <v>1993</v>
      </c>
      <c r="L5520" s="30" t="s">
        <v>453</v>
      </c>
      <c r="M5520" s="30" t="s">
        <v>390</v>
      </c>
      <c r="N5520" s="30" t="s">
        <v>603</v>
      </c>
      <c r="P5520" s="30" t="s">
        <v>8872</v>
      </c>
      <c r="Q5520" t="s">
        <v>622</v>
      </c>
      <c r="R5520" t="s">
        <v>920</v>
      </c>
      <c r="S5520">
        <v>38</v>
      </c>
      <c r="T5520" s="29" t="str">
        <f t="shared" si="256"/>
        <v>2022.005D.Parvoviridae_2ngen_49nsp_125rensp.zip</v>
      </c>
      <c r="U5520" s="29" t="str">
        <f>HYPERLINK("https://ictv.global/taxonomy/taxondetails?taxnode_id=202304279","ictv.global=202304279")</f>
        <v>ictv.global=202304279</v>
      </c>
    </row>
    <row r="5521" spans="1:21">
      <c r="A5521">
        <v>5520</v>
      </c>
      <c r="B5521" s="30" t="s">
        <v>1956</v>
      </c>
      <c r="D5521" s="30" t="s">
        <v>1985</v>
      </c>
      <c r="F5521" s="30" t="s">
        <v>1986</v>
      </c>
      <c r="H5521" s="30" t="s">
        <v>1992</v>
      </c>
      <c r="J5521" s="30" t="s">
        <v>1993</v>
      </c>
      <c r="L5521" s="30" t="s">
        <v>453</v>
      </c>
      <c r="M5521" s="30" t="s">
        <v>390</v>
      </c>
      <c r="N5521" s="30" t="s">
        <v>603</v>
      </c>
      <c r="P5521" s="30" t="s">
        <v>8873</v>
      </c>
      <c r="Q5521" t="s">
        <v>735</v>
      </c>
      <c r="R5521" t="s">
        <v>917</v>
      </c>
      <c r="S5521">
        <v>38</v>
      </c>
      <c r="T5521" s="29" t="str">
        <f t="shared" si="256"/>
        <v>2022.005D.Parvoviridae_2ngen_49nsp_125rensp.zip</v>
      </c>
      <c r="U5521" s="29" t="str">
        <f>HYPERLINK("https://ictv.global/taxonomy/taxondetails?taxnode_id=202314042","ictv.global=202314042")</f>
        <v>ictv.global=202314042</v>
      </c>
    </row>
    <row r="5522" spans="1:21">
      <c r="A5522">
        <v>5521</v>
      </c>
      <c r="B5522" s="30" t="s">
        <v>1956</v>
      </c>
      <c r="D5522" s="30" t="s">
        <v>1985</v>
      </c>
      <c r="F5522" s="30" t="s">
        <v>1986</v>
      </c>
      <c r="H5522" s="30" t="s">
        <v>1992</v>
      </c>
      <c r="J5522" s="30" t="s">
        <v>1993</v>
      </c>
      <c r="L5522" s="30" t="s">
        <v>453</v>
      </c>
      <c r="M5522" s="30" t="s">
        <v>390</v>
      </c>
      <c r="N5522" s="30" t="s">
        <v>603</v>
      </c>
      <c r="P5522" s="30" t="s">
        <v>8874</v>
      </c>
      <c r="Q5522" t="s">
        <v>622</v>
      </c>
      <c r="R5522" t="s">
        <v>920</v>
      </c>
      <c r="S5522">
        <v>38</v>
      </c>
      <c r="T5522" s="29" t="str">
        <f t="shared" si="256"/>
        <v>2022.005D.Parvoviridae_2ngen_49nsp_125rensp.zip</v>
      </c>
      <c r="U5522" s="29" t="str">
        <f>HYPERLINK("https://ictv.global/taxonomy/taxondetails?taxnode_id=202304280","ictv.global=202304280")</f>
        <v>ictv.global=202304280</v>
      </c>
    </row>
    <row r="5523" spans="1:21">
      <c r="A5523">
        <v>5522</v>
      </c>
      <c r="B5523" s="30" t="s">
        <v>1956</v>
      </c>
      <c r="D5523" s="30" t="s">
        <v>1985</v>
      </c>
      <c r="F5523" s="30" t="s">
        <v>1986</v>
      </c>
      <c r="H5523" s="30" t="s">
        <v>1992</v>
      </c>
      <c r="J5523" s="30" t="s">
        <v>1993</v>
      </c>
      <c r="L5523" s="30" t="s">
        <v>453</v>
      </c>
      <c r="M5523" s="30" t="s">
        <v>390</v>
      </c>
      <c r="N5523" s="30" t="s">
        <v>603</v>
      </c>
      <c r="P5523" s="30" t="s">
        <v>8875</v>
      </c>
      <c r="Q5523" t="s">
        <v>735</v>
      </c>
      <c r="R5523" t="s">
        <v>917</v>
      </c>
      <c r="S5523">
        <v>38</v>
      </c>
      <c r="T5523" s="29" t="str">
        <f t="shared" si="256"/>
        <v>2022.005D.Parvoviridae_2ngen_49nsp_125rensp.zip</v>
      </c>
      <c r="U5523" s="29" t="str">
        <f>HYPERLINK("https://ictv.global/taxonomy/taxondetails?taxnode_id=202314043","ictv.global=202314043")</f>
        <v>ictv.global=202314043</v>
      </c>
    </row>
    <row r="5524" spans="1:21">
      <c r="A5524">
        <v>5523</v>
      </c>
      <c r="B5524" s="30" t="s">
        <v>1956</v>
      </c>
      <c r="D5524" s="30" t="s">
        <v>1985</v>
      </c>
      <c r="F5524" s="30" t="s">
        <v>1986</v>
      </c>
      <c r="H5524" s="30" t="s">
        <v>1992</v>
      </c>
      <c r="J5524" s="30" t="s">
        <v>1993</v>
      </c>
      <c r="L5524" s="30" t="s">
        <v>453</v>
      </c>
      <c r="M5524" s="30" t="s">
        <v>390</v>
      </c>
      <c r="N5524" s="30" t="s">
        <v>603</v>
      </c>
      <c r="P5524" s="30" t="s">
        <v>8876</v>
      </c>
      <c r="Q5524" t="s">
        <v>622</v>
      </c>
      <c r="R5524" t="s">
        <v>920</v>
      </c>
      <c r="S5524">
        <v>38</v>
      </c>
      <c r="T5524" s="29" t="str">
        <f t="shared" si="256"/>
        <v>2022.005D.Parvoviridae_2ngen_49nsp_125rensp.zip</v>
      </c>
      <c r="U5524" s="29" t="str">
        <f>HYPERLINK("https://ictv.global/taxonomy/taxondetails?taxnode_id=202304281","ictv.global=202304281")</f>
        <v>ictv.global=202304281</v>
      </c>
    </row>
    <row r="5525" spans="1:21">
      <c r="A5525">
        <v>5524</v>
      </c>
      <c r="B5525" s="30" t="s">
        <v>1956</v>
      </c>
      <c r="D5525" s="30" t="s">
        <v>1985</v>
      </c>
      <c r="F5525" s="30" t="s">
        <v>1986</v>
      </c>
      <c r="H5525" s="30" t="s">
        <v>1992</v>
      </c>
      <c r="J5525" s="30" t="s">
        <v>1993</v>
      </c>
      <c r="L5525" s="30" t="s">
        <v>453</v>
      </c>
      <c r="M5525" s="30" t="s">
        <v>390</v>
      </c>
      <c r="N5525" s="30" t="s">
        <v>603</v>
      </c>
      <c r="P5525" s="30" t="s">
        <v>8877</v>
      </c>
      <c r="Q5525" t="s">
        <v>622</v>
      </c>
      <c r="R5525" t="s">
        <v>920</v>
      </c>
      <c r="S5525">
        <v>38</v>
      </c>
      <c r="T5525" s="29" t="str">
        <f t="shared" si="256"/>
        <v>2022.005D.Parvoviridae_2ngen_49nsp_125rensp.zip</v>
      </c>
      <c r="U5525" s="29" t="str">
        <f>HYPERLINK("https://ictv.global/taxonomy/taxondetails?taxnode_id=202304282","ictv.global=202304282")</f>
        <v>ictv.global=202304282</v>
      </c>
    </row>
    <row r="5526" spans="1:21">
      <c r="A5526">
        <v>5525</v>
      </c>
      <c r="B5526" s="30" t="s">
        <v>1956</v>
      </c>
      <c r="D5526" s="30" t="s">
        <v>1985</v>
      </c>
      <c r="F5526" s="30" t="s">
        <v>1986</v>
      </c>
      <c r="H5526" s="30" t="s">
        <v>1992</v>
      </c>
      <c r="J5526" s="30" t="s">
        <v>1993</v>
      </c>
      <c r="L5526" s="30" t="s">
        <v>453</v>
      </c>
      <c r="M5526" s="30" t="s">
        <v>390</v>
      </c>
      <c r="N5526" s="30" t="s">
        <v>603</v>
      </c>
      <c r="P5526" s="30" t="s">
        <v>8878</v>
      </c>
      <c r="Q5526" t="s">
        <v>622</v>
      </c>
      <c r="R5526" t="s">
        <v>920</v>
      </c>
      <c r="S5526">
        <v>38</v>
      </c>
      <c r="T5526" s="29" t="str">
        <f t="shared" si="256"/>
        <v>2022.005D.Parvoviridae_2ngen_49nsp_125rensp.zip</v>
      </c>
      <c r="U5526" s="29" t="str">
        <f>HYPERLINK("https://ictv.global/taxonomy/taxondetails?taxnode_id=202304283","ictv.global=202304283")</f>
        <v>ictv.global=202304283</v>
      </c>
    </row>
    <row r="5527" spans="1:21">
      <c r="A5527">
        <v>5526</v>
      </c>
      <c r="B5527" s="30" t="s">
        <v>1956</v>
      </c>
      <c r="D5527" s="30" t="s">
        <v>1985</v>
      </c>
      <c r="F5527" s="30" t="s">
        <v>1986</v>
      </c>
      <c r="H5527" s="30" t="s">
        <v>1992</v>
      </c>
      <c r="J5527" s="30" t="s">
        <v>1993</v>
      </c>
      <c r="L5527" s="30" t="s">
        <v>453</v>
      </c>
      <c r="M5527" s="30" t="s">
        <v>390</v>
      </c>
      <c r="N5527" s="30" t="s">
        <v>603</v>
      </c>
      <c r="P5527" s="30" t="s">
        <v>8879</v>
      </c>
      <c r="Q5527" t="s">
        <v>622</v>
      </c>
      <c r="R5527" t="s">
        <v>920</v>
      </c>
      <c r="S5527">
        <v>38</v>
      </c>
      <c r="T5527" s="29" t="str">
        <f t="shared" si="256"/>
        <v>2022.005D.Parvoviridae_2ngen_49nsp_125rensp.zip</v>
      </c>
      <c r="U5527" s="29" t="str">
        <f>HYPERLINK("https://ictv.global/taxonomy/taxondetails?taxnode_id=202304284","ictv.global=202304284")</f>
        <v>ictv.global=202304284</v>
      </c>
    </row>
    <row r="5528" spans="1:21">
      <c r="A5528">
        <v>5527</v>
      </c>
      <c r="B5528" s="30" t="s">
        <v>1956</v>
      </c>
      <c r="D5528" s="30" t="s">
        <v>1985</v>
      </c>
      <c r="F5528" s="30" t="s">
        <v>1986</v>
      </c>
      <c r="H5528" s="30" t="s">
        <v>1992</v>
      </c>
      <c r="J5528" s="30" t="s">
        <v>1993</v>
      </c>
      <c r="L5528" s="30" t="s">
        <v>453</v>
      </c>
      <c r="N5528" s="30" t="s">
        <v>8880</v>
      </c>
      <c r="P5528" s="30" t="s">
        <v>8881</v>
      </c>
      <c r="Q5528" t="s">
        <v>735</v>
      </c>
      <c r="R5528" t="s">
        <v>917</v>
      </c>
      <c r="S5528">
        <v>38</v>
      </c>
      <c r="T5528" s="29" t="str">
        <f t="shared" si="256"/>
        <v>2022.005D.Parvoviridae_2ngen_49nsp_125rensp.zip</v>
      </c>
      <c r="U5528" s="29" t="str">
        <f>HYPERLINK("https://ictv.global/taxonomy/taxondetails?taxnode_id=202314061","ictv.global=202314061")</f>
        <v>ictv.global=202314061</v>
      </c>
    </row>
    <row r="5529" spans="1:21">
      <c r="A5529">
        <v>5528</v>
      </c>
      <c r="B5529" s="30" t="s">
        <v>1956</v>
      </c>
      <c r="D5529" s="30" t="s">
        <v>1985</v>
      </c>
      <c r="F5529" s="30" t="s">
        <v>2009</v>
      </c>
      <c r="H5529" s="30" t="s">
        <v>2010</v>
      </c>
      <c r="J5529" s="30" t="s">
        <v>2011</v>
      </c>
      <c r="L5529" s="30" t="s">
        <v>985</v>
      </c>
      <c r="N5529" s="30" t="s">
        <v>8882</v>
      </c>
      <c r="P5529" s="30" t="s">
        <v>8883</v>
      </c>
      <c r="Q5529" t="s">
        <v>735</v>
      </c>
      <c r="R5529" t="s">
        <v>917</v>
      </c>
      <c r="S5529">
        <v>38</v>
      </c>
      <c r="T5529" s="29" t="str">
        <f>HYPERLINK("https://ictv.global/ictv/proposals/2022.002F.Bacilladnaviridae_reorg.zip","2022.002F.Bacilladnaviridae_reorg.zip")</f>
        <v>2022.002F.Bacilladnaviridae_reorg.zip</v>
      </c>
      <c r="U5529" s="29" t="str">
        <f>HYPERLINK("https://ictv.global/taxonomy/taxondetails?taxnode_id=202314992","ictv.global=202314992")</f>
        <v>ictv.global=202314992</v>
      </c>
    </row>
    <row r="5530" spans="1:21">
      <c r="A5530">
        <v>5529</v>
      </c>
      <c r="B5530" s="30" t="s">
        <v>1956</v>
      </c>
      <c r="D5530" s="30" t="s">
        <v>1985</v>
      </c>
      <c r="F5530" s="30" t="s">
        <v>2009</v>
      </c>
      <c r="H5530" s="30" t="s">
        <v>2010</v>
      </c>
      <c r="J5530" s="30" t="s">
        <v>2011</v>
      </c>
      <c r="L5530" s="30" t="s">
        <v>985</v>
      </c>
      <c r="N5530" s="30" t="s">
        <v>986</v>
      </c>
      <c r="P5530" s="30" t="s">
        <v>8884</v>
      </c>
      <c r="Q5530" t="s">
        <v>622</v>
      </c>
      <c r="R5530" t="s">
        <v>920</v>
      </c>
      <c r="S5530">
        <v>38</v>
      </c>
      <c r="T5530" s="29" t="str">
        <f>HYPERLINK("https://ictv.global/ictv/proposals/2022.002F.Bacilladnaviridae_reorg.zip","2022.002F.Bacilladnaviridae_reorg.zip")</f>
        <v>2022.002F.Bacilladnaviridae_reorg.zip</v>
      </c>
      <c r="U5530" s="29" t="str">
        <f>HYPERLINK("https://ictv.global/taxonomy/taxondetails?taxnode_id=202305746","ictv.global=202305746")</f>
        <v>ictv.global=202305746</v>
      </c>
    </row>
    <row r="5531" spans="1:21">
      <c r="A5531">
        <v>5530</v>
      </c>
      <c r="B5531" s="30" t="s">
        <v>1956</v>
      </c>
      <c r="D5531" s="30" t="s">
        <v>1985</v>
      </c>
      <c r="F5531" s="30" t="s">
        <v>2009</v>
      </c>
      <c r="H5531" s="30" t="s">
        <v>2010</v>
      </c>
      <c r="J5531" s="30" t="s">
        <v>2011</v>
      </c>
      <c r="L5531" s="30" t="s">
        <v>985</v>
      </c>
      <c r="N5531" s="30" t="s">
        <v>8885</v>
      </c>
      <c r="P5531" s="30" t="s">
        <v>8886</v>
      </c>
      <c r="Q5531" t="s">
        <v>735</v>
      </c>
      <c r="R5531" t="s">
        <v>917</v>
      </c>
      <c r="S5531">
        <v>38</v>
      </c>
      <c r="T5531" s="29" t="str">
        <f>HYPERLINK("https://ictv.global/ictv/proposals/2022.002F.Bacilladnaviridae_reorg.zip","2022.002F.Bacilladnaviridae_reorg.zip")</f>
        <v>2022.002F.Bacilladnaviridae_reorg.zip</v>
      </c>
      <c r="U5531" s="29" t="str">
        <f>HYPERLINK("https://ictv.global/taxonomy/taxondetails?taxnode_id=202314995","ictv.global=202314995")</f>
        <v>ictv.global=202314995</v>
      </c>
    </row>
    <row r="5532" spans="1:21">
      <c r="A5532">
        <v>5531</v>
      </c>
      <c r="B5532" s="30" t="s">
        <v>1956</v>
      </c>
      <c r="D5532" s="30" t="s">
        <v>1985</v>
      </c>
      <c r="F5532" s="30" t="s">
        <v>2009</v>
      </c>
      <c r="H5532" s="30" t="s">
        <v>2010</v>
      </c>
      <c r="J5532" s="30" t="s">
        <v>2011</v>
      </c>
      <c r="L5532" s="30" t="s">
        <v>985</v>
      </c>
      <c r="N5532" s="30" t="s">
        <v>987</v>
      </c>
      <c r="P5532" s="30" t="s">
        <v>8887</v>
      </c>
      <c r="Q5532" t="s">
        <v>622</v>
      </c>
      <c r="R5532" t="s">
        <v>920</v>
      </c>
      <c r="S5532">
        <v>38</v>
      </c>
      <c r="T5532" s="29" t="str">
        <f>HYPERLINK("https://ictv.global/ictv/proposals/2022.002F.Bacilladnaviridae_reorg.zip","2022.002F.Bacilladnaviridae_reorg.zip")</f>
        <v>2022.002F.Bacilladnaviridae_reorg.zip</v>
      </c>
      <c r="U5532" s="29" t="str">
        <f>HYPERLINK("https://ictv.global/taxonomy/taxondetails?taxnode_id=202305748","ictv.global=202305748")</f>
        <v>ictv.global=202305748</v>
      </c>
    </row>
    <row r="5533" spans="1:21">
      <c r="A5533">
        <v>5532</v>
      </c>
      <c r="B5533" s="30" t="s">
        <v>1956</v>
      </c>
      <c r="D5533" s="30" t="s">
        <v>1985</v>
      </c>
      <c r="F5533" s="30" t="s">
        <v>2009</v>
      </c>
      <c r="H5533" s="30" t="s">
        <v>2010</v>
      </c>
      <c r="J5533" s="30" t="s">
        <v>2011</v>
      </c>
      <c r="L5533" s="30" t="s">
        <v>985</v>
      </c>
      <c r="N5533" s="30" t="s">
        <v>987</v>
      </c>
      <c r="P5533" s="30" t="s">
        <v>8888</v>
      </c>
      <c r="Q5533" t="s">
        <v>735</v>
      </c>
      <c r="R5533" t="s">
        <v>917</v>
      </c>
      <c r="S5533">
        <v>38</v>
      </c>
      <c r="T5533" s="29" t="str">
        <f>HYPERLINK("https://ictv.global/ictv/proposals/2022.002F.Bacilladnaviridae_reorg.zip","2022.002F.Bacilladnaviridae_reorg.zip")</f>
        <v>2022.002F.Bacilladnaviridae_reorg.zip</v>
      </c>
      <c r="U5533" s="29" t="str">
        <f>HYPERLINK("https://ictv.global/taxonomy/taxondetails?taxnode_id=202314994","ictv.global=202314994")</f>
        <v>ictv.global=202314994</v>
      </c>
    </row>
    <row r="5534" spans="1:21">
      <c r="A5534">
        <v>5533</v>
      </c>
      <c r="B5534" s="30" t="s">
        <v>1956</v>
      </c>
      <c r="D5534" s="30" t="s">
        <v>1985</v>
      </c>
      <c r="F5534" s="30" t="s">
        <v>2009</v>
      </c>
      <c r="H5534" s="30" t="s">
        <v>2010</v>
      </c>
      <c r="J5534" s="30" t="s">
        <v>2011</v>
      </c>
      <c r="L5534" s="30" t="s">
        <v>985</v>
      </c>
      <c r="N5534" s="30" t="s">
        <v>987</v>
      </c>
      <c r="P5534" s="30" t="s">
        <v>11715</v>
      </c>
      <c r="Q5534" t="s">
        <v>735</v>
      </c>
      <c r="R5534" t="s">
        <v>917</v>
      </c>
      <c r="S5534">
        <v>38</v>
      </c>
      <c r="T5534" s="29" t="str">
        <f>HYPERLINK("https://ictv.global/ictv/proposals/2022.002F.Bacilladnaviridae_reorg.zip","2022.002F.Bacilladnaviridae_reorg.zip;2023.FX001.Bacilladnaviridae_correction_2sp.zip")</f>
        <v>2022.002F.Bacilladnaviridae_reorg.zip;2023.FX001.Bacilladnaviridae_correction_2sp.zip</v>
      </c>
      <c r="U5534" s="29" t="str">
        <f>HYPERLINK("https://ictv.global/taxonomy/taxondetails?taxnode_id=202315004","ictv.global=202315004")</f>
        <v>ictv.global=202315004</v>
      </c>
    </row>
    <row r="5535" spans="1:21">
      <c r="A5535">
        <v>5534</v>
      </c>
      <c r="B5535" s="30" t="s">
        <v>1956</v>
      </c>
      <c r="D5535" s="30" t="s">
        <v>1985</v>
      </c>
      <c r="F5535" s="30" t="s">
        <v>2009</v>
      </c>
      <c r="H5535" s="30" t="s">
        <v>2010</v>
      </c>
      <c r="J5535" s="30" t="s">
        <v>2011</v>
      </c>
      <c r="L5535" s="30" t="s">
        <v>985</v>
      </c>
      <c r="N5535" s="30" t="s">
        <v>987</v>
      </c>
      <c r="P5535" s="30" t="s">
        <v>8889</v>
      </c>
      <c r="Q5535" t="s">
        <v>735</v>
      </c>
      <c r="R5535" t="s">
        <v>917</v>
      </c>
      <c r="S5535">
        <v>38</v>
      </c>
      <c r="T5535" s="29" t="str">
        <f t="shared" ref="T5535:T5548" si="257">HYPERLINK("https://ictv.global/ictv/proposals/2022.002F.Bacilladnaviridae_reorg.zip","2022.002F.Bacilladnaviridae_reorg.zip")</f>
        <v>2022.002F.Bacilladnaviridae_reorg.zip</v>
      </c>
      <c r="U5535" s="29" t="str">
        <f>HYPERLINK("https://ictv.global/taxonomy/taxondetails?taxnode_id=202314993","ictv.global=202314993")</f>
        <v>ictv.global=202314993</v>
      </c>
    </row>
    <row r="5536" spans="1:21">
      <c r="A5536">
        <v>5535</v>
      </c>
      <c r="B5536" s="30" t="s">
        <v>1956</v>
      </c>
      <c r="D5536" s="30" t="s">
        <v>1985</v>
      </c>
      <c r="F5536" s="30" t="s">
        <v>2009</v>
      </c>
      <c r="H5536" s="30" t="s">
        <v>2010</v>
      </c>
      <c r="J5536" s="30" t="s">
        <v>2011</v>
      </c>
      <c r="L5536" s="30" t="s">
        <v>985</v>
      </c>
      <c r="N5536" s="30" t="s">
        <v>988</v>
      </c>
      <c r="P5536" s="30" t="s">
        <v>8890</v>
      </c>
      <c r="Q5536" t="s">
        <v>622</v>
      </c>
      <c r="R5536" t="s">
        <v>920</v>
      </c>
      <c r="S5536">
        <v>38</v>
      </c>
      <c r="T5536" s="29" t="str">
        <f t="shared" si="257"/>
        <v>2022.002F.Bacilladnaviridae_reorg.zip</v>
      </c>
      <c r="U5536" s="29" t="str">
        <f>HYPERLINK("https://ictv.global/taxonomy/taxondetails?taxnode_id=202305751","ictv.global=202305751")</f>
        <v>ictv.global=202305751</v>
      </c>
    </row>
    <row r="5537" spans="1:21">
      <c r="A5537">
        <v>5536</v>
      </c>
      <c r="B5537" s="30" t="s">
        <v>1956</v>
      </c>
      <c r="D5537" s="30" t="s">
        <v>1985</v>
      </c>
      <c r="F5537" s="30" t="s">
        <v>2009</v>
      </c>
      <c r="H5537" s="30" t="s">
        <v>2010</v>
      </c>
      <c r="J5537" s="30" t="s">
        <v>2011</v>
      </c>
      <c r="L5537" s="30" t="s">
        <v>985</v>
      </c>
      <c r="N5537" s="30" t="s">
        <v>988</v>
      </c>
      <c r="P5537" s="30" t="s">
        <v>8891</v>
      </c>
      <c r="Q5537" t="s">
        <v>622</v>
      </c>
      <c r="R5537" t="s">
        <v>920</v>
      </c>
      <c r="S5537">
        <v>38</v>
      </c>
      <c r="T5537" s="29" t="str">
        <f t="shared" si="257"/>
        <v>2022.002F.Bacilladnaviridae_reorg.zip</v>
      </c>
      <c r="U5537" s="29" t="str">
        <f>HYPERLINK("https://ictv.global/taxonomy/taxondetails?taxnode_id=202305750","ictv.global=202305750")</f>
        <v>ictv.global=202305750</v>
      </c>
    </row>
    <row r="5538" spans="1:21">
      <c r="A5538">
        <v>5537</v>
      </c>
      <c r="B5538" s="30" t="s">
        <v>1956</v>
      </c>
      <c r="D5538" s="30" t="s">
        <v>1985</v>
      </c>
      <c r="F5538" s="30" t="s">
        <v>2009</v>
      </c>
      <c r="H5538" s="30" t="s">
        <v>2010</v>
      </c>
      <c r="J5538" s="30" t="s">
        <v>2011</v>
      </c>
      <c r="L5538" s="30" t="s">
        <v>985</v>
      </c>
      <c r="N5538" s="30" t="s">
        <v>988</v>
      </c>
      <c r="P5538" s="30" t="s">
        <v>8892</v>
      </c>
      <c r="Q5538" t="s">
        <v>622</v>
      </c>
      <c r="R5538" t="s">
        <v>920</v>
      </c>
      <c r="S5538">
        <v>38</v>
      </c>
      <c r="T5538" s="29" t="str">
        <f t="shared" si="257"/>
        <v>2022.002F.Bacilladnaviridae_reorg.zip</v>
      </c>
      <c r="U5538" s="29" t="str">
        <f>HYPERLINK("https://ictv.global/taxonomy/taxondetails?taxnode_id=202305339","ictv.global=202305339")</f>
        <v>ictv.global=202305339</v>
      </c>
    </row>
    <row r="5539" spans="1:21">
      <c r="A5539">
        <v>5538</v>
      </c>
      <c r="B5539" s="30" t="s">
        <v>1956</v>
      </c>
      <c r="D5539" s="30" t="s">
        <v>1985</v>
      </c>
      <c r="F5539" s="30" t="s">
        <v>2009</v>
      </c>
      <c r="H5539" s="30" t="s">
        <v>2010</v>
      </c>
      <c r="J5539" s="30" t="s">
        <v>2011</v>
      </c>
      <c r="L5539" s="30" t="s">
        <v>985</v>
      </c>
      <c r="N5539" s="30" t="s">
        <v>988</v>
      </c>
      <c r="P5539" s="30" t="s">
        <v>8893</v>
      </c>
      <c r="Q5539" t="s">
        <v>622</v>
      </c>
      <c r="R5539" t="s">
        <v>920</v>
      </c>
      <c r="S5539">
        <v>38</v>
      </c>
      <c r="T5539" s="29" t="str">
        <f t="shared" si="257"/>
        <v>2022.002F.Bacilladnaviridae_reorg.zip</v>
      </c>
      <c r="U5539" s="29" t="str">
        <f>HYPERLINK("https://ictv.global/taxonomy/taxondetails?taxnode_id=202305755","ictv.global=202305755")</f>
        <v>ictv.global=202305755</v>
      </c>
    </row>
    <row r="5540" spans="1:21">
      <c r="A5540">
        <v>5539</v>
      </c>
      <c r="B5540" s="30" t="s">
        <v>1956</v>
      </c>
      <c r="D5540" s="30" t="s">
        <v>1985</v>
      </c>
      <c r="F5540" s="30" t="s">
        <v>2009</v>
      </c>
      <c r="H5540" s="30" t="s">
        <v>2010</v>
      </c>
      <c r="J5540" s="30" t="s">
        <v>2011</v>
      </c>
      <c r="L5540" s="30" t="s">
        <v>985</v>
      </c>
      <c r="N5540" s="30" t="s">
        <v>988</v>
      </c>
      <c r="P5540" s="30" t="s">
        <v>8894</v>
      </c>
      <c r="Q5540" t="s">
        <v>622</v>
      </c>
      <c r="R5540" t="s">
        <v>920</v>
      </c>
      <c r="S5540">
        <v>38</v>
      </c>
      <c r="T5540" s="29" t="str">
        <f t="shared" si="257"/>
        <v>2022.002F.Bacilladnaviridae_reorg.zip</v>
      </c>
      <c r="U5540" s="29" t="str">
        <f>HYPERLINK("https://ictv.global/taxonomy/taxondetails?taxnode_id=202305754","ictv.global=202305754")</f>
        <v>ictv.global=202305754</v>
      </c>
    </row>
    <row r="5541" spans="1:21">
      <c r="A5541">
        <v>5540</v>
      </c>
      <c r="B5541" s="30" t="s">
        <v>1956</v>
      </c>
      <c r="D5541" s="30" t="s">
        <v>1985</v>
      </c>
      <c r="F5541" s="30" t="s">
        <v>2009</v>
      </c>
      <c r="H5541" s="30" t="s">
        <v>2010</v>
      </c>
      <c r="J5541" s="30" t="s">
        <v>2011</v>
      </c>
      <c r="L5541" s="30" t="s">
        <v>985</v>
      </c>
      <c r="N5541" s="30" t="s">
        <v>988</v>
      </c>
      <c r="P5541" s="30" t="s">
        <v>8895</v>
      </c>
      <c r="Q5541" t="s">
        <v>735</v>
      </c>
      <c r="R5541" t="s">
        <v>917</v>
      </c>
      <c r="S5541">
        <v>38</v>
      </c>
      <c r="T5541" s="29" t="str">
        <f t="shared" si="257"/>
        <v>2022.002F.Bacilladnaviridae_reorg.zip</v>
      </c>
      <c r="U5541" s="29" t="str">
        <f>HYPERLINK("https://ictv.global/taxonomy/taxondetails?taxnode_id=202314997","ictv.global=202314997")</f>
        <v>ictv.global=202314997</v>
      </c>
    </row>
    <row r="5542" spans="1:21">
      <c r="A5542">
        <v>5541</v>
      </c>
      <c r="B5542" s="30" t="s">
        <v>1956</v>
      </c>
      <c r="D5542" s="30" t="s">
        <v>1985</v>
      </c>
      <c r="F5542" s="30" t="s">
        <v>2009</v>
      </c>
      <c r="H5542" s="30" t="s">
        <v>2010</v>
      </c>
      <c r="J5542" s="30" t="s">
        <v>2011</v>
      </c>
      <c r="L5542" s="30" t="s">
        <v>985</v>
      </c>
      <c r="N5542" s="30" t="s">
        <v>988</v>
      </c>
      <c r="P5542" s="30" t="s">
        <v>8896</v>
      </c>
      <c r="Q5542" t="s">
        <v>735</v>
      </c>
      <c r="R5542" t="s">
        <v>917</v>
      </c>
      <c r="S5542">
        <v>38</v>
      </c>
      <c r="T5542" s="29" t="str">
        <f t="shared" si="257"/>
        <v>2022.002F.Bacilladnaviridae_reorg.zip</v>
      </c>
      <c r="U5542" s="29" t="str">
        <f>HYPERLINK("https://ictv.global/taxonomy/taxondetails?taxnode_id=202314996","ictv.global=202314996")</f>
        <v>ictv.global=202314996</v>
      </c>
    </row>
    <row r="5543" spans="1:21">
      <c r="A5543">
        <v>5542</v>
      </c>
      <c r="B5543" s="30" t="s">
        <v>1956</v>
      </c>
      <c r="D5543" s="30" t="s">
        <v>1985</v>
      </c>
      <c r="F5543" s="30" t="s">
        <v>2009</v>
      </c>
      <c r="H5543" s="30" t="s">
        <v>2010</v>
      </c>
      <c r="J5543" s="30" t="s">
        <v>2011</v>
      </c>
      <c r="L5543" s="30" t="s">
        <v>985</v>
      </c>
      <c r="N5543" s="30" t="s">
        <v>988</v>
      </c>
      <c r="P5543" s="30" t="s">
        <v>8897</v>
      </c>
      <c r="Q5543" t="s">
        <v>622</v>
      </c>
      <c r="R5543" t="s">
        <v>920</v>
      </c>
      <c r="S5543">
        <v>38</v>
      </c>
      <c r="T5543" s="29" t="str">
        <f t="shared" si="257"/>
        <v>2022.002F.Bacilladnaviridae_reorg.zip</v>
      </c>
      <c r="U5543" s="29" t="str">
        <f>HYPERLINK("https://ictv.global/taxonomy/taxondetails?taxnode_id=202305752","ictv.global=202305752")</f>
        <v>ictv.global=202305752</v>
      </c>
    </row>
    <row r="5544" spans="1:21">
      <c r="A5544">
        <v>5543</v>
      </c>
      <c r="B5544" s="30" t="s">
        <v>1956</v>
      </c>
      <c r="D5544" s="30" t="s">
        <v>1985</v>
      </c>
      <c r="F5544" s="30" t="s">
        <v>2009</v>
      </c>
      <c r="H5544" s="30" t="s">
        <v>2010</v>
      </c>
      <c r="J5544" s="30" t="s">
        <v>2011</v>
      </c>
      <c r="L5544" s="30" t="s">
        <v>985</v>
      </c>
      <c r="N5544" s="30" t="s">
        <v>8898</v>
      </c>
      <c r="P5544" s="30" t="s">
        <v>8899</v>
      </c>
      <c r="Q5544" t="s">
        <v>735</v>
      </c>
      <c r="R5544" t="s">
        <v>917</v>
      </c>
      <c r="S5544">
        <v>38</v>
      </c>
      <c r="T5544" s="29" t="str">
        <f t="shared" si="257"/>
        <v>2022.002F.Bacilladnaviridae_reorg.zip</v>
      </c>
      <c r="U5544" s="29" t="str">
        <f>HYPERLINK("https://ictv.global/taxonomy/taxondetails?taxnode_id=202314998","ictv.global=202314998")</f>
        <v>ictv.global=202314998</v>
      </c>
    </row>
    <row r="5545" spans="1:21">
      <c r="A5545">
        <v>5544</v>
      </c>
      <c r="B5545" s="30" t="s">
        <v>1956</v>
      </c>
      <c r="D5545" s="30" t="s">
        <v>1985</v>
      </c>
      <c r="F5545" s="30" t="s">
        <v>2009</v>
      </c>
      <c r="H5545" s="30" t="s">
        <v>2010</v>
      </c>
      <c r="J5545" s="30" t="s">
        <v>2011</v>
      </c>
      <c r="L5545" s="30" t="s">
        <v>985</v>
      </c>
      <c r="N5545" s="30" t="s">
        <v>8898</v>
      </c>
      <c r="P5545" s="30" t="s">
        <v>8900</v>
      </c>
      <c r="Q5545" t="s">
        <v>735</v>
      </c>
      <c r="R5545" t="s">
        <v>917</v>
      </c>
      <c r="S5545">
        <v>38</v>
      </c>
      <c r="T5545" s="29" t="str">
        <f t="shared" si="257"/>
        <v>2022.002F.Bacilladnaviridae_reorg.zip</v>
      </c>
      <c r="U5545" s="29" t="str">
        <f>HYPERLINK("https://ictv.global/taxonomy/taxondetails?taxnode_id=202315000","ictv.global=202315000")</f>
        <v>ictv.global=202315000</v>
      </c>
    </row>
    <row r="5546" spans="1:21">
      <c r="A5546">
        <v>5545</v>
      </c>
      <c r="B5546" s="30" t="s">
        <v>1956</v>
      </c>
      <c r="D5546" s="30" t="s">
        <v>1985</v>
      </c>
      <c r="F5546" s="30" t="s">
        <v>2009</v>
      </c>
      <c r="H5546" s="30" t="s">
        <v>2010</v>
      </c>
      <c r="J5546" s="30" t="s">
        <v>2011</v>
      </c>
      <c r="L5546" s="30" t="s">
        <v>985</v>
      </c>
      <c r="N5546" s="30" t="s">
        <v>8898</v>
      </c>
      <c r="P5546" s="30" t="s">
        <v>8901</v>
      </c>
      <c r="Q5546" t="s">
        <v>735</v>
      </c>
      <c r="R5546" t="s">
        <v>917</v>
      </c>
      <c r="S5546">
        <v>38</v>
      </c>
      <c r="T5546" s="29" t="str">
        <f t="shared" si="257"/>
        <v>2022.002F.Bacilladnaviridae_reorg.zip</v>
      </c>
      <c r="U5546" s="29" t="str">
        <f>HYPERLINK("https://ictv.global/taxonomy/taxondetails?taxnode_id=202315001","ictv.global=202315001")</f>
        <v>ictv.global=202315001</v>
      </c>
    </row>
    <row r="5547" spans="1:21">
      <c r="A5547">
        <v>5546</v>
      </c>
      <c r="B5547" s="30" t="s">
        <v>1956</v>
      </c>
      <c r="D5547" s="30" t="s">
        <v>1985</v>
      </c>
      <c r="F5547" s="30" t="s">
        <v>2009</v>
      </c>
      <c r="H5547" s="30" t="s">
        <v>2010</v>
      </c>
      <c r="J5547" s="30" t="s">
        <v>2011</v>
      </c>
      <c r="L5547" s="30" t="s">
        <v>985</v>
      </c>
      <c r="N5547" s="30" t="s">
        <v>8898</v>
      </c>
      <c r="P5547" s="30" t="s">
        <v>8902</v>
      </c>
      <c r="Q5547" t="s">
        <v>735</v>
      </c>
      <c r="R5547" t="s">
        <v>917</v>
      </c>
      <c r="S5547">
        <v>38</v>
      </c>
      <c r="T5547" s="29" t="str">
        <f t="shared" si="257"/>
        <v>2022.002F.Bacilladnaviridae_reorg.zip</v>
      </c>
      <c r="U5547" s="29" t="str">
        <f>HYPERLINK("https://ictv.global/taxonomy/taxondetails?taxnode_id=202315002","ictv.global=202315002")</f>
        <v>ictv.global=202315002</v>
      </c>
    </row>
    <row r="5548" spans="1:21">
      <c r="A5548">
        <v>5547</v>
      </c>
      <c r="B5548" s="30" t="s">
        <v>1956</v>
      </c>
      <c r="D5548" s="30" t="s">
        <v>1985</v>
      </c>
      <c r="F5548" s="30" t="s">
        <v>2009</v>
      </c>
      <c r="H5548" s="30" t="s">
        <v>2010</v>
      </c>
      <c r="J5548" s="30" t="s">
        <v>2011</v>
      </c>
      <c r="L5548" s="30" t="s">
        <v>985</v>
      </c>
      <c r="N5548" s="30" t="s">
        <v>8903</v>
      </c>
      <c r="P5548" s="30" t="s">
        <v>8904</v>
      </c>
      <c r="Q5548" t="s">
        <v>735</v>
      </c>
      <c r="R5548" t="s">
        <v>917</v>
      </c>
      <c r="S5548">
        <v>38</v>
      </c>
      <c r="T5548" s="29" t="str">
        <f t="shared" si="257"/>
        <v>2022.002F.Bacilladnaviridae_reorg.zip</v>
      </c>
      <c r="U5548" s="29" t="str">
        <f>HYPERLINK("https://ictv.global/taxonomy/taxondetails?taxnode_id=202315003","ictv.global=202315003")</f>
        <v>ictv.global=202315003</v>
      </c>
    </row>
    <row r="5549" spans="1:21">
      <c r="A5549">
        <v>5548</v>
      </c>
      <c r="B5549" s="30" t="s">
        <v>1956</v>
      </c>
      <c r="D5549" s="30" t="s">
        <v>1985</v>
      </c>
      <c r="F5549" s="30" t="s">
        <v>2009</v>
      </c>
      <c r="H5549" s="30" t="s">
        <v>2010</v>
      </c>
      <c r="J5549" s="30" t="s">
        <v>2011</v>
      </c>
      <c r="L5549" s="30" t="s">
        <v>985</v>
      </c>
      <c r="N5549" s="30" t="s">
        <v>8903</v>
      </c>
      <c r="P5549" s="30" t="s">
        <v>11716</v>
      </c>
      <c r="Q5549" t="s">
        <v>735</v>
      </c>
      <c r="R5549" t="s">
        <v>917</v>
      </c>
      <c r="S5549">
        <v>38</v>
      </c>
      <c r="T5549" s="29" t="str">
        <f>HYPERLINK("https://ictv.global/ictv/proposals/2022.002F.Bacilladnaviridae_reorg.zip","2022.002F.Bacilladnaviridae_reorg.zip;2023.FX001.Bacilladnaviridae_correction_2sp.zip")</f>
        <v>2022.002F.Bacilladnaviridae_reorg.zip;2023.FX001.Bacilladnaviridae_correction_2sp.zip</v>
      </c>
      <c r="U5549" s="29" t="str">
        <f>HYPERLINK("https://ictv.global/taxonomy/taxondetails?taxnode_id=202314999","ictv.global=202314999")</f>
        <v>ictv.global=202314999</v>
      </c>
    </row>
    <row r="5550" spans="1:21">
      <c r="A5550">
        <v>5549</v>
      </c>
      <c r="B5550" s="30" t="s">
        <v>1956</v>
      </c>
      <c r="D5550" s="30" t="s">
        <v>1985</v>
      </c>
      <c r="F5550" s="30" t="s">
        <v>2009</v>
      </c>
      <c r="H5550" s="30" t="s">
        <v>2010</v>
      </c>
      <c r="J5550" s="30" t="s">
        <v>2011</v>
      </c>
      <c r="L5550" s="30" t="s">
        <v>985</v>
      </c>
      <c r="N5550" s="30" t="s">
        <v>8903</v>
      </c>
      <c r="P5550" s="30" t="s">
        <v>8905</v>
      </c>
      <c r="Q5550" t="s">
        <v>735</v>
      </c>
      <c r="R5550" t="s">
        <v>918</v>
      </c>
      <c r="S5550">
        <v>38</v>
      </c>
      <c r="T5550" s="29" t="str">
        <f>HYPERLINK("https://ictv.global/ictv/proposals/2022.002F.Bacilladnaviridae_reorg.zip","2022.002F.Bacilladnaviridae_reorg.zip")</f>
        <v>2022.002F.Bacilladnaviridae_reorg.zip</v>
      </c>
      <c r="U5550" s="29" t="str">
        <f>HYPERLINK("https://ictv.global/taxonomy/taxondetails?taxnode_id=202305753","ictv.global=202305753")</f>
        <v>ictv.global=202305753</v>
      </c>
    </row>
    <row r="5551" spans="1:21">
      <c r="A5551">
        <v>5550</v>
      </c>
      <c r="B5551" s="30" t="s">
        <v>1956</v>
      </c>
      <c r="D5551" s="30" t="s">
        <v>1985</v>
      </c>
      <c r="F5551" s="30" t="s">
        <v>2009</v>
      </c>
      <c r="H5551" s="30" t="s">
        <v>2010</v>
      </c>
      <c r="J5551" s="30" t="s">
        <v>2012</v>
      </c>
      <c r="L5551" s="30" t="s">
        <v>210</v>
      </c>
      <c r="N5551" s="30" t="s">
        <v>211</v>
      </c>
      <c r="P5551" s="30" t="s">
        <v>12756</v>
      </c>
      <c r="Q5551" t="s">
        <v>739</v>
      </c>
      <c r="R5551" t="s">
        <v>917</v>
      </c>
      <c r="S5551">
        <v>39</v>
      </c>
      <c r="T5551" s="29" t="str">
        <f>HYPERLINK("https://ictv.global/ictv/proposals/2023.002D.Circoviridae_3nsp.zip","2023.002D.Circoviridae_3nsp.zip")</f>
        <v>2023.002D.Circoviridae_3nsp.zip</v>
      </c>
      <c r="U5551" s="29" t="str">
        <f>HYPERLINK("https://ictv.global/taxonomy/taxondetails?taxnode_id=202317747","ictv.global=202317747")</f>
        <v>ictv.global=202317747</v>
      </c>
    </row>
    <row r="5552" spans="1:21">
      <c r="A5552">
        <v>5551</v>
      </c>
      <c r="B5552" s="30" t="s">
        <v>1956</v>
      </c>
      <c r="D5552" s="30" t="s">
        <v>1985</v>
      </c>
      <c r="F5552" s="30" t="s">
        <v>2009</v>
      </c>
      <c r="H5552" s="30" t="s">
        <v>2010</v>
      </c>
      <c r="J5552" s="30" t="s">
        <v>2012</v>
      </c>
      <c r="L5552" s="30" t="s">
        <v>210</v>
      </c>
      <c r="N5552" s="30" t="s">
        <v>211</v>
      </c>
      <c r="P5552" s="30" t="s">
        <v>8906</v>
      </c>
      <c r="Q5552" t="s">
        <v>622</v>
      </c>
      <c r="R5552" t="s">
        <v>920</v>
      </c>
      <c r="S5552">
        <v>38</v>
      </c>
      <c r="T5552" s="29" t="str">
        <f t="shared" ref="T5552:T5571" si="258">HYPERLINK("https://ictv.global/ictv/proposals/2022.009D.Circoviridae_rensp101_nsp48.zip","2022.009D.Circoviridae_rensp101_nsp48.zip")</f>
        <v>2022.009D.Circoviridae_rensp101_nsp48.zip</v>
      </c>
      <c r="U5552" s="29" t="str">
        <f>HYPERLINK("https://ictv.global/taxonomy/taxondetails?taxnode_id=202302903","ictv.global=202302903")</f>
        <v>ictv.global=202302903</v>
      </c>
    </row>
    <row r="5553" spans="1:21">
      <c r="A5553">
        <v>5552</v>
      </c>
      <c r="B5553" s="30" t="s">
        <v>1956</v>
      </c>
      <c r="D5553" s="30" t="s">
        <v>1985</v>
      </c>
      <c r="F5553" s="30" t="s">
        <v>2009</v>
      </c>
      <c r="H5553" s="30" t="s">
        <v>2010</v>
      </c>
      <c r="J5553" s="30" t="s">
        <v>2012</v>
      </c>
      <c r="L5553" s="30" t="s">
        <v>210</v>
      </c>
      <c r="N5553" s="30" t="s">
        <v>211</v>
      </c>
      <c r="P5553" s="30" t="s">
        <v>8907</v>
      </c>
      <c r="Q5553" t="s">
        <v>622</v>
      </c>
      <c r="R5553" t="s">
        <v>920</v>
      </c>
      <c r="S5553">
        <v>38</v>
      </c>
      <c r="T5553" s="29" t="str">
        <f t="shared" si="258"/>
        <v>2022.009D.Circoviridae_rensp101_nsp48.zip</v>
      </c>
      <c r="U5553" s="29" t="str">
        <f>HYPERLINK("https://ictv.global/taxonomy/taxondetails?taxnode_id=202302907","ictv.global=202302907")</f>
        <v>ictv.global=202302907</v>
      </c>
    </row>
    <row r="5554" spans="1:21">
      <c r="A5554">
        <v>5553</v>
      </c>
      <c r="B5554" s="30" t="s">
        <v>1956</v>
      </c>
      <c r="D5554" s="30" t="s">
        <v>1985</v>
      </c>
      <c r="F5554" s="30" t="s">
        <v>2009</v>
      </c>
      <c r="H5554" s="30" t="s">
        <v>2010</v>
      </c>
      <c r="J5554" s="30" t="s">
        <v>2012</v>
      </c>
      <c r="L5554" s="30" t="s">
        <v>210</v>
      </c>
      <c r="N5554" s="30" t="s">
        <v>211</v>
      </c>
      <c r="P5554" s="30" t="s">
        <v>8908</v>
      </c>
      <c r="Q5554" t="s">
        <v>735</v>
      </c>
      <c r="R5554" t="s">
        <v>920</v>
      </c>
      <c r="S5554">
        <v>38</v>
      </c>
      <c r="T5554" s="29" t="str">
        <f t="shared" si="258"/>
        <v>2022.009D.Circoviridae_rensp101_nsp48.zip</v>
      </c>
      <c r="U5554" s="29" t="str">
        <f>HYPERLINK("https://ictv.global/taxonomy/taxondetails?taxnode_id=202309254","ictv.global=202309254")</f>
        <v>ictv.global=202309254</v>
      </c>
    </row>
    <row r="5555" spans="1:21">
      <c r="A5555">
        <v>5554</v>
      </c>
      <c r="B5555" s="30" t="s">
        <v>1956</v>
      </c>
      <c r="D5555" s="30" t="s">
        <v>1985</v>
      </c>
      <c r="F5555" s="30" t="s">
        <v>2009</v>
      </c>
      <c r="H5555" s="30" t="s">
        <v>2010</v>
      </c>
      <c r="J5555" s="30" t="s">
        <v>2012</v>
      </c>
      <c r="L5555" s="30" t="s">
        <v>210</v>
      </c>
      <c r="N5555" s="30" t="s">
        <v>211</v>
      </c>
      <c r="P5555" s="30" t="s">
        <v>8909</v>
      </c>
      <c r="Q5555" t="s">
        <v>622</v>
      </c>
      <c r="R5555" t="s">
        <v>920</v>
      </c>
      <c r="S5555">
        <v>38</v>
      </c>
      <c r="T5555" s="29" t="str">
        <f t="shared" si="258"/>
        <v>2022.009D.Circoviridae_rensp101_nsp48.zip</v>
      </c>
      <c r="U5555" s="29" t="str">
        <f>HYPERLINK("https://ictv.global/taxonomy/taxondetails?taxnode_id=202302906","ictv.global=202302906")</f>
        <v>ictv.global=202302906</v>
      </c>
    </row>
    <row r="5556" spans="1:21">
      <c r="A5556">
        <v>5555</v>
      </c>
      <c r="B5556" s="30" t="s">
        <v>1956</v>
      </c>
      <c r="D5556" s="30" t="s">
        <v>1985</v>
      </c>
      <c r="F5556" s="30" t="s">
        <v>2009</v>
      </c>
      <c r="H5556" s="30" t="s">
        <v>2010</v>
      </c>
      <c r="J5556" s="30" t="s">
        <v>2012</v>
      </c>
      <c r="L5556" s="30" t="s">
        <v>210</v>
      </c>
      <c r="N5556" s="30" t="s">
        <v>211</v>
      </c>
      <c r="P5556" s="30" t="s">
        <v>8910</v>
      </c>
      <c r="Q5556" t="s">
        <v>622</v>
      </c>
      <c r="R5556" t="s">
        <v>920</v>
      </c>
      <c r="S5556">
        <v>38</v>
      </c>
      <c r="T5556" s="29" t="str">
        <f t="shared" si="258"/>
        <v>2022.009D.Circoviridae_rensp101_nsp48.zip</v>
      </c>
      <c r="U5556" s="29" t="str">
        <f>HYPERLINK("https://ictv.global/taxonomy/taxondetails?taxnode_id=202302913","ictv.global=202302913")</f>
        <v>ictv.global=202302913</v>
      </c>
    </row>
    <row r="5557" spans="1:21">
      <c r="A5557">
        <v>5556</v>
      </c>
      <c r="B5557" s="30" t="s">
        <v>1956</v>
      </c>
      <c r="D5557" s="30" t="s">
        <v>1985</v>
      </c>
      <c r="F5557" s="30" t="s">
        <v>2009</v>
      </c>
      <c r="H5557" s="30" t="s">
        <v>2010</v>
      </c>
      <c r="J5557" s="30" t="s">
        <v>2012</v>
      </c>
      <c r="L5557" s="30" t="s">
        <v>210</v>
      </c>
      <c r="N5557" s="30" t="s">
        <v>211</v>
      </c>
      <c r="P5557" s="30" t="s">
        <v>8911</v>
      </c>
      <c r="Q5557" t="s">
        <v>622</v>
      </c>
      <c r="R5557" t="s">
        <v>920</v>
      </c>
      <c r="S5557">
        <v>38</v>
      </c>
      <c r="T5557" s="29" t="str">
        <f t="shared" si="258"/>
        <v>2022.009D.Circoviridae_rensp101_nsp48.zip</v>
      </c>
      <c r="U5557" s="29" t="str">
        <f>HYPERLINK("https://ictv.global/taxonomy/taxondetails?taxnode_id=202302914","ictv.global=202302914")</f>
        <v>ictv.global=202302914</v>
      </c>
    </row>
    <row r="5558" spans="1:21">
      <c r="A5558">
        <v>5557</v>
      </c>
      <c r="B5558" s="30" t="s">
        <v>1956</v>
      </c>
      <c r="D5558" s="30" t="s">
        <v>1985</v>
      </c>
      <c r="F5558" s="30" t="s">
        <v>2009</v>
      </c>
      <c r="H5558" s="30" t="s">
        <v>2010</v>
      </c>
      <c r="J5558" s="30" t="s">
        <v>2012</v>
      </c>
      <c r="L5558" s="30" t="s">
        <v>210</v>
      </c>
      <c r="N5558" s="30" t="s">
        <v>211</v>
      </c>
      <c r="P5558" s="30" t="s">
        <v>8912</v>
      </c>
      <c r="Q5558" t="s">
        <v>622</v>
      </c>
      <c r="R5558" t="s">
        <v>920</v>
      </c>
      <c r="S5558">
        <v>38</v>
      </c>
      <c r="T5558" s="29" t="str">
        <f t="shared" si="258"/>
        <v>2022.009D.Circoviridae_rensp101_nsp48.zip</v>
      </c>
      <c r="U5558" s="29" t="str">
        <f>HYPERLINK("https://ictv.global/taxonomy/taxondetails?taxnode_id=202302917","ictv.global=202302917")</f>
        <v>ictv.global=202302917</v>
      </c>
    </row>
    <row r="5559" spans="1:21">
      <c r="A5559">
        <v>5558</v>
      </c>
      <c r="B5559" s="30" t="s">
        <v>1956</v>
      </c>
      <c r="D5559" s="30" t="s">
        <v>1985</v>
      </c>
      <c r="F5559" s="30" t="s">
        <v>2009</v>
      </c>
      <c r="H5559" s="30" t="s">
        <v>2010</v>
      </c>
      <c r="J5559" s="30" t="s">
        <v>2012</v>
      </c>
      <c r="L5559" s="30" t="s">
        <v>210</v>
      </c>
      <c r="N5559" s="30" t="s">
        <v>211</v>
      </c>
      <c r="P5559" s="30" t="s">
        <v>8913</v>
      </c>
      <c r="Q5559" t="s">
        <v>622</v>
      </c>
      <c r="R5559" t="s">
        <v>920</v>
      </c>
      <c r="S5559">
        <v>38</v>
      </c>
      <c r="T5559" s="29" t="str">
        <f t="shared" si="258"/>
        <v>2022.009D.Circoviridae_rensp101_nsp48.zip</v>
      </c>
      <c r="U5559" s="29" t="str">
        <f>HYPERLINK("https://ictv.global/taxonomy/taxondetails?taxnode_id=202302904","ictv.global=202302904")</f>
        <v>ictv.global=202302904</v>
      </c>
    </row>
    <row r="5560" spans="1:21">
      <c r="A5560">
        <v>5559</v>
      </c>
      <c r="B5560" s="30" t="s">
        <v>1956</v>
      </c>
      <c r="D5560" s="30" t="s">
        <v>1985</v>
      </c>
      <c r="F5560" s="30" t="s">
        <v>2009</v>
      </c>
      <c r="H5560" s="30" t="s">
        <v>2010</v>
      </c>
      <c r="J5560" s="30" t="s">
        <v>2012</v>
      </c>
      <c r="L5560" s="30" t="s">
        <v>210</v>
      </c>
      <c r="N5560" s="30" t="s">
        <v>211</v>
      </c>
      <c r="P5560" s="30" t="s">
        <v>8914</v>
      </c>
      <c r="Q5560" t="s">
        <v>739</v>
      </c>
      <c r="R5560" t="s">
        <v>920</v>
      </c>
      <c r="S5560">
        <v>38</v>
      </c>
      <c r="T5560" s="29" t="str">
        <f t="shared" si="258"/>
        <v>2022.009D.Circoviridae_rensp101_nsp48.zip</v>
      </c>
      <c r="U5560" s="29" t="str">
        <f>HYPERLINK("https://ictv.global/taxonomy/taxondetails?taxnode_id=202308676","ictv.global=202308676")</f>
        <v>ictv.global=202308676</v>
      </c>
    </row>
    <row r="5561" spans="1:21">
      <c r="A5561">
        <v>5560</v>
      </c>
      <c r="B5561" s="30" t="s">
        <v>1956</v>
      </c>
      <c r="D5561" s="30" t="s">
        <v>1985</v>
      </c>
      <c r="F5561" s="30" t="s">
        <v>2009</v>
      </c>
      <c r="H5561" s="30" t="s">
        <v>2010</v>
      </c>
      <c r="J5561" s="30" t="s">
        <v>2012</v>
      </c>
      <c r="L5561" s="30" t="s">
        <v>210</v>
      </c>
      <c r="N5561" s="30" t="s">
        <v>211</v>
      </c>
      <c r="P5561" s="30" t="s">
        <v>8915</v>
      </c>
      <c r="Q5561" t="s">
        <v>739</v>
      </c>
      <c r="R5561" t="s">
        <v>920</v>
      </c>
      <c r="S5561">
        <v>38</v>
      </c>
      <c r="T5561" s="29" t="str">
        <f t="shared" si="258"/>
        <v>2022.009D.Circoviridae_rensp101_nsp48.zip</v>
      </c>
      <c r="U5561" s="29" t="str">
        <f>HYPERLINK("https://ictv.global/taxonomy/taxondetails?taxnode_id=202308677","ictv.global=202308677")</f>
        <v>ictv.global=202308677</v>
      </c>
    </row>
    <row r="5562" spans="1:21">
      <c r="A5562">
        <v>5561</v>
      </c>
      <c r="B5562" s="30" t="s">
        <v>1956</v>
      </c>
      <c r="D5562" s="30" t="s">
        <v>1985</v>
      </c>
      <c r="F5562" s="30" t="s">
        <v>2009</v>
      </c>
      <c r="H5562" s="30" t="s">
        <v>2010</v>
      </c>
      <c r="J5562" s="30" t="s">
        <v>2012</v>
      </c>
      <c r="L5562" s="30" t="s">
        <v>210</v>
      </c>
      <c r="N5562" s="30" t="s">
        <v>211</v>
      </c>
      <c r="P5562" s="30" t="s">
        <v>8916</v>
      </c>
      <c r="Q5562" t="s">
        <v>622</v>
      </c>
      <c r="R5562" t="s">
        <v>920</v>
      </c>
      <c r="S5562">
        <v>38</v>
      </c>
      <c r="T5562" s="29" t="str">
        <f t="shared" si="258"/>
        <v>2022.009D.Circoviridae_rensp101_nsp48.zip</v>
      </c>
      <c r="U5562" s="29" t="str">
        <f>HYPERLINK("https://ictv.global/taxonomy/taxondetails?taxnode_id=202306568","ictv.global=202306568")</f>
        <v>ictv.global=202306568</v>
      </c>
    </row>
    <row r="5563" spans="1:21">
      <c r="A5563">
        <v>5562</v>
      </c>
      <c r="B5563" s="30" t="s">
        <v>1956</v>
      </c>
      <c r="D5563" s="30" t="s">
        <v>1985</v>
      </c>
      <c r="F5563" s="30" t="s">
        <v>2009</v>
      </c>
      <c r="H5563" s="30" t="s">
        <v>2010</v>
      </c>
      <c r="J5563" s="30" t="s">
        <v>2012</v>
      </c>
      <c r="L5563" s="30" t="s">
        <v>210</v>
      </c>
      <c r="N5563" s="30" t="s">
        <v>211</v>
      </c>
      <c r="P5563" s="30" t="s">
        <v>8917</v>
      </c>
      <c r="Q5563" t="s">
        <v>622</v>
      </c>
      <c r="R5563" t="s">
        <v>920</v>
      </c>
      <c r="S5563">
        <v>38</v>
      </c>
      <c r="T5563" s="29" t="str">
        <f t="shared" si="258"/>
        <v>2022.009D.Circoviridae_rensp101_nsp48.zip</v>
      </c>
      <c r="U5563" s="29" t="str">
        <f>HYPERLINK("https://ictv.global/taxonomy/taxondetails?taxnode_id=202302916","ictv.global=202302916")</f>
        <v>ictv.global=202302916</v>
      </c>
    </row>
    <row r="5564" spans="1:21">
      <c r="A5564">
        <v>5563</v>
      </c>
      <c r="B5564" s="30" t="s">
        <v>1956</v>
      </c>
      <c r="D5564" s="30" t="s">
        <v>1985</v>
      </c>
      <c r="F5564" s="30" t="s">
        <v>2009</v>
      </c>
      <c r="H5564" s="30" t="s">
        <v>2010</v>
      </c>
      <c r="J5564" s="30" t="s">
        <v>2012</v>
      </c>
      <c r="L5564" s="30" t="s">
        <v>210</v>
      </c>
      <c r="N5564" s="30" t="s">
        <v>211</v>
      </c>
      <c r="P5564" s="30" t="s">
        <v>8918</v>
      </c>
      <c r="Q5564" t="s">
        <v>735</v>
      </c>
      <c r="R5564" t="s">
        <v>920</v>
      </c>
      <c r="S5564">
        <v>38</v>
      </c>
      <c r="T5564" s="29" t="str">
        <f t="shared" si="258"/>
        <v>2022.009D.Circoviridae_rensp101_nsp48.zip</v>
      </c>
      <c r="U5564" s="29" t="str">
        <f>HYPERLINK("https://ictv.global/taxonomy/taxondetails?taxnode_id=202309185","ictv.global=202309185")</f>
        <v>ictv.global=202309185</v>
      </c>
    </row>
    <row r="5565" spans="1:21">
      <c r="A5565">
        <v>5564</v>
      </c>
      <c r="B5565" s="30" t="s">
        <v>1956</v>
      </c>
      <c r="D5565" s="30" t="s">
        <v>1985</v>
      </c>
      <c r="F5565" s="30" t="s">
        <v>2009</v>
      </c>
      <c r="H5565" s="30" t="s">
        <v>2010</v>
      </c>
      <c r="J5565" s="30" t="s">
        <v>2012</v>
      </c>
      <c r="L5565" s="30" t="s">
        <v>210</v>
      </c>
      <c r="N5565" s="30" t="s">
        <v>211</v>
      </c>
      <c r="P5565" s="30" t="s">
        <v>8919</v>
      </c>
      <c r="Q5565" t="s">
        <v>622</v>
      </c>
      <c r="R5565" t="s">
        <v>920</v>
      </c>
      <c r="S5565">
        <v>38</v>
      </c>
      <c r="T5565" s="29" t="str">
        <f t="shared" si="258"/>
        <v>2022.009D.Circoviridae_rensp101_nsp48.zip</v>
      </c>
      <c r="U5565" s="29" t="str">
        <f>HYPERLINK("https://ictv.global/taxonomy/taxondetails?taxnode_id=202302921","ictv.global=202302921")</f>
        <v>ictv.global=202302921</v>
      </c>
    </row>
    <row r="5566" spans="1:21">
      <c r="A5566">
        <v>5565</v>
      </c>
      <c r="B5566" s="30" t="s">
        <v>1956</v>
      </c>
      <c r="D5566" s="30" t="s">
        <v>1985</v>
      </c>
      <c r="F5566" s="30" t="s">
        <v>2009</v>
      </c>
      <c r="H5566" s="30" t="s">
        <v>2010</v>
      </c>
      <c r="J5566" s="30" t="s">
        <v>2012</v>
      </c>
      <c r="L5566" s="30" t="s">
        <v>210</v>
      </c>
      <c r="N5566" s="30" t="s">
        <v>211</v>
      </c>
      <c r="P5566" s="30" t="s">
        <v>8920</v>
      </c>
      <c r="Q5566" t="s">
        <v>622</v>
      </c>
      <c r="R5566" t="s">
        <v>920</v>
      </c>
      <c r="S5566">
        <v>38</v>
      </c>
      <c r="T5566" s="29" t="str">
        <f t="shared" si="258"/>
        <v>2022.009D.Circoviridae_rensp101_nsp48.zip</v>
      </c>
      <c r="U5566" s="29" t="str">
        <f>HYPERLINK("https://ictv.global/taxonomy/taxondetails?taxnode_id=202302918","ictv.global=202302918")</f>
        <v>ictv.global=202302918</v>
      </c>
    </row>
    <row r="5567" spans="1:21">
      <c r="A5567">
        <v>5566</v>
      </c>
      <c r="B5567" s="30" t="s">
        <v>1956</v>
      </c>
      <c r="D5567" s="30" t="s">
        <v>1985</v>
      </c>
      <c r="F5567" s="30" t="s">
        <v>2009</v>
      </c>
      <c r="H5567" s="30" t="s">
        <v>2010</v>
      </c>
      <c r="J5567" s="30" t="s">
        <v>2012</v>
      </c>
      <c r="L5567" s="30" t="s">
        <v>210</v>
      </c>
      <c r="N5567" s="30" t="s">
        <v>211</v>
      </c>
      <c r="P5567" s="30" t="s">
        <v>8921</v>
      </c>
      <c r="Q5567" t="s">
        <v>739</v>
      </c>
      <c r="R5567" t="s">
        <v>917</v>
      </c>
      <c r="S5567">
        <v>38</v>
      </c>
      <c r="T5567" s="29" t="str">
        <f t="shared" si="258"/>
        <v>2022.009D.Circoviridae_rensp101_nsp48.zip</v>
      </c>
      <c r="U5567" s="29" t="str">
        <f>HYPERLINK("https://ictv.global/taxonomy/taxondetails?taxnode_id=202314082","ictv.global=202314082")</f>
        <v>ictv.global=202314082</v>
      </c>
    </row>
    <row r="5568" spans="1:21">
      <c r="A5568">
        <v>5567</v>
      </c>
      <c r="B5568" s="30" t="s">
        <v>1956</v>
      </c>
      <c r="D5568" s="30" t="s">
        <v>1985</v>
      </c>
      <c r="F5568" s="30" t="s">
        <v>2009</v>
      </c>
      <c r="H5568" s="30" t="s">
        <v>2010</v>
      </c>
      <c r="J5568" s="30" t="s">
        <v>2012</v>
      </c>
      <c r="L5568" s="30" t="s">
        <v>210</v>
      </c>
      <c r="N5568" s="30" t="s">
        <v>211</v>
      </c>
      <c r="P5568" s="30" t="s">
        <v>8922</v>
      </c>
      <c r="Q5568" t="s">
        <v>622</v>
      </c>
      <c r="R5568" t="s">
        <v>920</v>
      </c>
      <c r="S5568">
        <v>38</v>
      </c>
      <c r="T5568" s="29" t="str">
        <f t="shared" si="258"/>
        <v>2022.009D.Circoviridae_rensp101_nsp48.zip</v>
      </c>
      <c r="U5568" s="29" t="str">
        <f>HYPERLINK("https://ictv.global/taxonomy/taxondetails?taxnode_id=202306567","ictv.global=202306567")</f>
        <v>ictv.global=202306567</v>
      </c>
    </row>
    <row r="5569" spans="1:21">
      <c r="A5569">
        <v>5568</v>
      </c>
      <c r="B5569" s="30" t="s">
        <v>1956</v>
      </c>
      <c r="D5569" s="30" t="s">
        <v>1985</v>
      </c>
      <c r="F5569" s="30" t="s">
        <v>2009</v>
      </c>
      <c r="H5569" s="30" t="s">
        <v>2010</v>
      </c>
      <c r="J5569" s="30" t="s">
        <v>2012</v>
      </c>
      <c r="L5569" s="30" t="s">
        <v>210</v>
      </c>
      <c r="N5569" s="30" t="s">
        <v>211</v>
      </c>
      <c r="P5569" s="30" t="s">
        <v>8923</v>
      </c>
      <c r="Q5569" t="s">
        <v>622</v>
      </c>
      <c r="R5569" t="s">
        <v>920</v>
      </c>
      <c r="S5569">
        <v>38</v>
      </c>
      <c r="T5569" s="29" t="str">
        <f t="shared" si="258"/>
        <v>2022.009D.Circoviridae_rensp101_nsp48.zip</v>
      </c>
      <c r="U5569" s="29" t="str">
        <f>HYPERLINK("https://ictv.global/taxonomy/taxondetails?taxnode_id=202302919","ictv.global=202302919")</f>
        <v>ictv.global=202302919</v>
      </c>
    </row>
    <row r="5570" spans="1:21">
      <c r="A5570">
        <v>5569</v>
      </c>
      <c r="B5570" s="30" t="s">
        <v>1956</v>
      </c>
      <c r="D5570" s="30" t="s">
        <v>1985</v>
      </c>
      <c r="F5570" s="30" t="s">
        <v>2009</v>
      </c>
      <c r="H5570" s="30" t="s">
        <v>2010</v>
      </c>
      <c r="J5570" s="30" t="s">
        <v>2012</v>
      </c>
      <c r="L5570" s="30" t="s">
        <v>210</v>
      </c>
      <c r="N5570" s="30" t="s">
        <v>211</v>
      </c>
      <c r="P5570" s="30" t="s">
        <v>8924</v>
      </c>
      <c r="Q5570" t="s">
        <v>739</v>
      </c>
      <c r="R5570" t="s">
        <v>920</v>
      </c>
      <c r="S5570">
        <v>38</v>
      </c>
      <c r="T5570" s="29" t="str">
        <f t="shared" si="258"/>
        <v>2022.009D.Circoviridae_rensp101_nsp48.zip</v>
      </c>
      <c r="U5570" s="29" t="str">
        <f>HYPERLINK("https://ictv.global/taxonomy/taxondetails?taxnode_id=202308678","ictv.global=202308678")</f>
        <v>ictv.global=202308678</v>
      </c>
    </row>
    <row r="5571" spans="1:21">
      <c r="A5571">
        <v>5570</v>
      </c>
      <c r="B5571" s="30" t="s">
        <v>1956</v>
      </c>
      <c r="D5571" s="30" t="s">
        <v>1985</v>
      </c>
      <c r="F5571" s="30" t="s">
        <v>2009</v>
      </c>
      <c r="H5571" s="30" t="s">
        <v>2010</v>
      </c>
      <c r="J5571" s="30" t="s">
        <v>2012</v>
      </c>
      <c r="L5571" s="30" t="s">
        <v>210</v>
      </c>
      <c r="N5571" s="30" t="s">
        <v>211</v>
      </c>
      <c r="P5571" s="30" t="s">
        <v>8925</v>
      </c>
      <c r="Q5571" t="s">
        <v>622</v>
      </c>
      <c r="R5571" t="s">
        <v>920</v>
      </c>
      <c r="S5571">
        <v>38</v>
      </c>
      <c r="T5571" s="29" t="str">
        <f t="shared" si="258"/>
        <v>2022.009D.Circoviridae_rensp101_nsp48.zip</v>
      </c>
      <c r="U5571" s="29" t="str">
        <f>HYPERLINK("https://ictv.global/taxonomy/taxondetails?taxnode_id=202302920","ictv.global=202302920")</f>
        <v>ictv.global=202302920</v>
      </c>
    </row>
    <row r="5572" spans="1:21">
      <c r="A5572">
        <v>5571</v>
      </c>
      <c r="B5572" s="30" t="s">
        <v>1956</v>
      </c>
      <c r="D5572" s="30" t="s">
        <v>1985</v>
      </c>
      <c r="F5572" s="30" t="s">
        <v>2009</v>
      </c>
      <c r="H5572" s="30" t="s">
        <v>2010</v>
      </c>
      <c r="J5572" s="30" t="s">
        <v>2012</v>
      </c>
      <c r="L5572" s="30" t="s">
        <v>210</v>
      </c>
      <c r="N5572" s="30" t="s">
        <v>211</v>
      </c>
      <c r="P5572" s="30" t="s">
        <v>12757</v>
      </c>
      <c r="Q5572" t="s">
        <v>735</v>
      </c>
      <c r="R5572" t="s">
        <v>917</v>
      </c>
      <c r="S5572">
        <v>39</v>
      </c>
      <c r="T5572" s="29" t="str">
        <f>HYPERLINK("https://ictv.global/ictv/proposals/2023.003D.Circoviridae_2nsp.zip","2023.003D.Circoviridae_2nsp.zip")</f>
        <v>2023.003D.Circoviridae_2nsp.zip</v>
      </c>
      <c r="U5572" s="29" t="str">
        <f>HYPERLINK("https://ictv.global/taxonomy/taxondetails?taxnode_id=202317777","ictv.global=202317777")</f>
        <v>ictv.global=202317777</v>
      </c>
    </row>
    <row r="5573" spans="1:21">
      <c r="A5573">
        <v>5572</v>
      </c>
      <c r="B5573" s="30" t="s">
        <v>1956</v>
      </c>
      <c r="D5573" s="30" t="s">
        <v>1985</v>
      </c>
      <c r="F5573" s="30" t="s">
        <v>2009</v>
      </c>
      <c r="H5573" s="30" t="s">
        <v>2010</v>
      </c>
      <c r="J5573" s="30" t="s">
        <v>2012</v>
      </c>
      <c r="L5573" s="30" t="s">
        <v>210</v>
      </c>
      <c r="N5573" s="30" t="s">
        <v>211</v>
      </c>
      <c r="P5573" s="30" t="s">
        <v>8926</v>
      </c>
      <c r="Q5573" t="s">
        <v>739</v>
      </c>
      <c r="R5573" t="s">
        <v>917</v>
      </c>
      <c r="S5573">
        <v>38</v>
      </c>
      <c r="T5573" s="29" t="str">
        <f>HYPERLINK("https://ictv.global/ictv/proposals/2022.009D.Circoviridae_rensp101_nsp48.zip","2022.009D.Circoviridae_rensp101_nsp48.zip")</f>
        <v>2022.009D.Circoviridae_rensp101_nsp48.zip</v>
      </c>
      <c r="U5573" s="29" t="str">
        <f>HYPERLINK("https://ictv.global/taxonomy/taxondetails?taxnode_id=202314088","ictv.global=202314088")</f>
        <v>ictv.global=202314088</v>
      </c>
    </row>
    <row r="5574" spans="1:21">
      <c r="A5574">
        <v>5573</v>
      </c>
      <c r="B5574" s="30" t="s">
        <v>1956</v>
      </c>
      <c r="D5574" s="30" t="s">
        <v>1985</v>
      </c>
      <c r="F5574" s="30" t="s">
        <v>2009</v>
      </c>
      <c r="H5574" s="30" t="s">
        <v>2010</v>
      </c>
      <c r="J5574" s="30" t="s">
        <v>2012</v>
      </c>
      <c r="L5574" s="30" t="s">
        <v>210</v>
      </c>
      <c r="N5574" s="30" t="s">
        <v>211</v>
      </c>
      <c r="P5574" s="30" t="s">
        <v>12758</v>
      </c>
      <c r="Q5574" t="s">
        <v>739</v>
      </c>
      <c r="R5574" t="s">
        <v>917</v>
      </c>
      <c r="S5574">
        <v>39</v>
      </c>
      <c r="T5574" s="29" t="str">
        <f>HYPERLINK("https://ictv.global/ictv/proposals/2023.002D.Circoviridae_3nsp.zip","2023.002D.Circoviridae_3nsp.zip")</f>
        <v>2023.002D.Circoviridae_3nsp.zip</v>
      </c>
      <c r="U5574" s="29" t="str">
        <f>HYPERLINK("https://ictv.global/taxonomy/taxondetails?taxnode_id=202317748","ictv.global=202317748")</f>
        <v>ictv.global=202317748</v>
      </c>
    </row>
    <row r="5575" spans="1:21">
      <c r="A5575">
        <v>5574</v>
      </c>
      <c r="B5575" s="30" t="s">
        <v>1956</v>
      </c>
      <c r="D5575" s="30" t="s">
        <v>1985</v>
      </c>
      <c r="F5575" s="30" t="s">
        <v>2009</v>
      </c>
      <c r="H5575" s="30" t="s">
        <v>2010</v>
      </c>
      <c r="J5575" s="30" t="s">
        <v>2012</v>
      </c>
      <c r="L5575" s="30" t="s">
        <v>210</v>
      </c>
      <c r="N5575" s="30" t="s">
        <v>211</v>
      </c>
      <c r="P5575" s="30" t="s">
        <v>8927</v>
      </c>
      <c r="Q5575" t="s">
        <v>622</v>
      </c>
      <c r="R5575" t="s">
        <v>920</v>
      </c>
      <c r="S5575">
        <v>38</v>
      </c>
      <c r="T5575" s="29" t="str">
        <f>HYPERLINK("https://ictv.global/ictv/proposals/2022.009D.Circoviridae_rensp101_nsp48.zip","2022.009D.Circoviridae_rensp101_nsp48.zip")</f>
        <v>2022.009D.Circoviridae_rensp101_nsp48.zip</v>
      </c>
      <c r="U5575" s="29" t="str">
        <f>HYPERLINK("https://ictv.global/taxonomy/taxondetails?taxnode_id=202306561","ictv.global=202306561")</f>
        <v>ictv.global=202306561</v>
      </c>
    </row>
    <row r="5576" spans="1:21">
      <c r="A5576">
        <v>5575</v>
      </c>
      <c r="B5576" s="30" t="s">
        <v>1956</v>
      </c>
      <c r="D5576" s="30" t="s">
        <v>1985</v>
      </c>
      <c r="F5576" s="30" t="s">
        <v>2009</v>
      </c>
      <c r="H5576" s="30" t="s">
        <v>2010</v>
      </c>
      <c r="J5576" s="30" t="s">
        <v>2012</v>
      </c>
      <c r="L5576" s="30" t="s">
        <v>210</v>
      </c>
      <c r="N5576" s="30" t="s">
        <v>211</v>
      </c>
      <c r="P5576" s="30" t="s">
        <v>8928</v>
      </c>
      <c r="Q5576" t="s">
        <v>622</v>
      </c>
      <c r="R5576" t="s">
        <v>920</v>
      </c>
      <c r="S5576">
        <v>38</v>
      </c>
      <c r="T5576" s="29" t="str">
        <f>HYPERLINK("https://ictv.global/ictv/proposals/2022.009D.Circoviridae_rensp101_nsp48.zip","2022.009D.Circoviridae_rensp101_nsp48.zip")</f>
        <v>2022.009D.Circoviridae_rensp101_nsp48.zip</v>
      </c>
      <c r="U5576" s="29" t="str">
        <f>HYPERLINK("https://ictv.global/taxonomy/taxondetails?taxnode_id=202302915","ictv.global=202302915")</f>
        <v>ictv.global=202302915</v>
      </c>
    </row>
    <row r="5577" spans="1:21">
      <c r="A5577">
        <v>5576</v>
      </c>
      <c r="B5577" s="30" t="s">
        <v>1956</v>
      </c>
      <c r="D5577" s="30" t="s">
        <v>1985</v>
      </c>
      <c r="F5577" s="30" t="s">
        <v>2009</v>
      </c>
      <c r="H5577" s="30" t="s">
        <v>2010</v>
      </c>
      <c r="J5577" s="30" t="s">
        <v>2012</v>
      </c>
      <c r="L5577" s="30" t="s">
        <v>210</v>
      </c>
      <c r="N5577" s="30" t="s">
        <v>211</v>
      </c>
      <c r="P5577" s="30" t="s">
        <v>8929</v>
      </c>
      <c r="Q5577" t="s">
        <v>622</v>
      </c>
      <c r="R5577" t="s">
        <v>920</v>
      </c>
      <c r="S5577">
        <v>38</v>
      </c>
      <c r="T5577" s="29" t="str">
        <f>HYPERLINK("https://ictv.global/ictv/proposals/2022.009D.Circoviridae_rensp101_nsp48.zip","2022.009D.Circoviridae_rensp101_nsp48.zip")</f>
        <v>2022.009D.Circoviridae_rensp101_nsp48.zip</v>
      </c>
      <c r="U5577" s="29" t="str">
        <f>HYPERLINK("https://ictv.global/taxonomy/taxondetails?taxnode_id=202305767","ictv.global=202305767")</f>
        <v>ictv.global=202305767</v>
      </c>
    </row>
    <row r="5578" spans="1:21">
      <c r="A5578">
        <v>5577</v>
      </c>
      <c r="B5578" s="30" t="s">
        <v>1956</v>
      </c>
      <c r="D5578" s="30" t="s">
        <v>1985</v>
      </c>
      <c r="F5578" s="30" t="s">
        <v>2009</v>
      </c>
      <c r="H5578" s="30" t="s">
        <v>2010</v>
      </c>
      <c r="J5578" s="30" t="s">
        <v>2012</v>
      </c>
      <c r="L5578" s="30" t="s">
        <v>210</v>
      </c>
      <c r="N5578" s="30" t="s">
        <v>211</v>
      </c>
      <c r="P5578" s="30" t="s">
        <v>8930</v>
      </c>
      <c r="Q5578" t="s">
        <v>622</v>
      </c>
      <c r="R5578" t="s">
        <v>920</v>
      </c>
      <c r="S5578">
        <v>38</v>
      </c>
      <c r="T5578" s="29" t="str">
        <f>HYPERLINK("https://ictv.global/ictv/proposals/2022.009D.Circoviridae_rensp101_nsp48.zip","2022.009D.Circoviridae_rensp101_nsp48.zip")</f>
        <v>2022.009D.Circoviridae_rensp101_nsp48.zip</v>
      </c>
      <c r="U5578" s="29" t="str">
        <f>HYPERLINK("https://ictv.global/taxonomy/taxondetails?taxnode_id=202306564","ictv.global=202306564")</f>
        <v>ictv.global=202306564</v>
      </c>
    </row>
    <row r="5579" spans="1:21">
      <c r="A5579">
        <v>5578</v>
      </c>
      <c r="B5579" s="30" t="s">
        <v>1956</v>
      </c>
      <c r="D5579" s="30" t="s">
        <v>1985</v>
      </c>
      <c r="F5579" s="30" t="s">
        <v>2009</v>
      </c>
      <c r="H5579" s="30" t="s">
        <v>2010</v>
      </c>
      <c r="J5579" s="30" t="s">
        <v>2012</v>
      </c>
      <c r="L5579" s="30" t="s">
        <v>210</v>
      </c>
      <c r="N5579" s="30" t="s">
        <v>211</v>
      </c>
      <c r="P5579" s="30" t="s">
        <v>12759</v>
      </c>
      <c r="Q5579" t="s">
        <v>739</v>
      </c>
      <c r="R5579" t="s">
        <v>917</v>
      </c>
      <c r="S5579">
        <v>39</v>
      </c>
      <c r="T5579" s="29" t="str">
        <f>HYPERLINK("https://ictv.global/ictv/proposals/2023.002D.Circoviridae_3nsp.zip","2023.002D.Circoviridae_3nsp.zip")</f>
        <v>2023.002D.Circoviridae_3nsp.zip</v>
      </c>
      <c r="U5579" s="29" t="str">
        <f>HYPERLINK("https://ictv.global/taxonomy/taxondetails?taxnode_id=202317746","ictv.global=202317746")</f>
        <v>ictv.global=202317746</v>
      </c>
    </row>
    <row r="5580" spans="1:21">
      <c r="A5580">
        <v>5579</v>
      </c>
      <c r="B5580" s="30" t="s">
        <v>1956</v>
      </c>
      <c r="D5580" s="30" t="s">
        <v>1985</v>
      </c>
      <c r="F5580" s="30" t="s">
        <v>2009</v>
      </c>
      <c r="H5580" s="30" t="s">
        <v>2010</v>
      </c>
      <c r="J5580" s="30" t="s">
        <v>2012</v>
      </c>
      <c r="L5580" s="30" t="s">
        <v>210</v>
      </c>
      <c r="N5580" s="30" t="s">
        <v>211</v>
      </c>
      <c r="P5580" s="30" t="s">
        <v>8931</v>
      </c>
      <c r="Q5580" t="s">
        <v>622</v>
      </c>
      <c r="R5580" t="s">
        <v>920</v>
      </c>
      <c r="S5580">
        <v>38</v>
      </c>
      <c r="T5580" s="29" t="str">
        <f t="shared" ref="T5580:T5608" si="259">HYPERLINK("https://ictv.global/ictv/proposals/2022.009D.Circoviridae_rensp101_nsp48.zip","2022.009D.Circoviridae_rensp101_nsp48.zip")</f>
        <v>2022.009D.Circoviridae_rensp101_nsp48.zip</v>
      </c>
      <c r="U5580" s="29" t="str">
        <f>HYPERLINK("https://ictv.global/taxonomy/taxondetails?taxnode_id=202302910","ictv.global=202302910")</f>
        <v>ictv.global=202302910</v>
      </c>
    </row>
    <row r="5581" spans="1:21">
      <c r="A5581">
        <v>5580</v>
      </c>
      <c r="B5581" s="30" t="s">
        <v>1956</v>
      </c>
      <c r="D5581" s="30" t="s">
        <v>1985</v>
      </c>
      <c r="F5581" s="30" t="s">
        <v>2009</v>
      </c>
      <c r="H5581" s="30" t="s">
        <v>2010</v>
      </c>
      <c r="J5581" s="30" t="s">
        <v>2012</v>
      </c>
      <c r="L5581" s="30" t="s">
        <v>210</v>
      </c>
      <c r="N5581" s="30" t="s">
        <v>211</v>
      </c>
      <c r="P5581" s="30" t="s">
        <v>8932</v>
      </c>
      <c r="Q5581" t="s">
        <v>739</v>
      </c>
      <c r="R5581" t="s">
        <v>917</v>
      </c>
      <c r="S5581">
        <v>38</v>
      </c>
      <c r="T5581" s="29" t="str">
        <f t="shared" si="259"/>
        <v>2022.009D.Circoviridae_rensp101_nsp48.zip</v>
      </c>
      <c r="U5581" s="29" t="str">
        <f>HYPERLINK("https://ictv.global/taxonomy/taxondetails?taxnode_id=202314083","ictv.global=202314083")</f>
        <v>ictv.global=202314083</v>
      </c>
    </row>
    <row r="5582" spans="1:21">
      <c r="A5582">
        <v>5581</v>
      </c>
      <c r="B5582" s="30" t="s">
        <v>1956</v>
      </c>
      <c r="D5582" s="30" t="s">
        <v>1985</v>
      </c>
      <c r="F5582" s="30" t="s">
        <v>2009</v>
      </c>
      <c r="H5582" s="30" t="s">
        <v>2010</v>
      </c>
      <c r="J5582" s="30" t="s">
        <v>2012</v>
      </c>
      <c r="L5582" s="30" t="s">
        <v>210</v>
      </c>
      <c r="N5582" s="30" t="s">
        <v>211</v>
      </c>
      <c r="P5582" s="30" t="s">
        <v>8933</v>
      </c>
      <c r="Q5582" t="s">
        <v>739</v>
      </c>
      <c r="R5582" t="s">
        <v>917</v>
      </c>
      <c r="S5582">
        <v>38</v>
      </c>
      <c r="T5582" s="29" t="str">
        <f t="shared" si="259"/>
        <v>2022.009D.Circoviridae_rensp101_nsp48.zip</v>
      </c>
      <c r="U5582" s="29" t="str">
        <f>HYPERLINK("https://ictv.global/taxonomy/taxondetails?taxnode_id=202314084","ictv.global=202314084")</f>
        <v>ictv.global=202314084</v>
      </c>
    </row>
    <row r="5583" spans="1:21">
      <c r="A5583">
        <v>5582</v>
      </c>
      <c r="B5583" s="30" t="s">
        <v>1956</v>
      </c>
      <c r="D5583" s="30" t="s">
        <v>1985</v>
      </c>
      <c r="F5583" s="30" t="s">
        <v>2009</v>
      </c>
      <c r="H5583" s="30" t="s">
        <v>2010</v>
      </c>
      <c r="J5583" s="30" t="s">
        <v>2012</v>
      </c>
      <c r="L5583" s="30" t="s">
        <v>210</v>
      </c>
      <c r="N5583" s="30" t="s">
        <v>211</v>
      </c>
      <c r="P5583" s="30" t="s">
        <v>8934</v>
      </c>
      <c r="Q5583" t="s">
        <v>622</v>
      </c>
      <c r="R5583" t="s">
        <v>920</v>
      </c>
      <c r="S5583">
        <v>38</v>
      </c>
      <c r="T5583" s="29" t="str">
        <f t="shared" si="259"/>
        <v>2022.009D.Circoviridae_rensp101_nsp48.zip</v>
      </c>
      <c r="U5583" s="29" t="str">
        <f>HYPERLINK("https://ictv.global/taxonomy/taxondetails?taxnode_id=202302922","ictv.global=202302922")</f>
        <v>ictv.global=202302922</v>
      </c>
    </row>
    <row r="5584" spans="1:21">
      <c r="A5584">
        <v>5583</v>
      </c>
      <c r="B5584" s="30" t="s">
        <v>1956</v>
      </c>
      <c r="D5584" s="30" t="s">
        <v>1985</v>
      </c>
      <c r="F5584" s="30" t="s">
        <v>2009</v>
      </c>
      <c r="H5584" s="30" t="s">
        <v>2010</v>
      </c>
      <c r="J5584" s="30" t="s">
        <v>2012</v>
      </c>
      <c r="L5584" s="30" t="s">
        <v>210</v>
      </c>
      <c r="N5584" s="30" t="s">
        <v>211</v>
      </c>
      <c r="P5584" s="30" t="s">
        <v>8935</v>
      </c>
      <c r="Q5584" t="s">
        <v>739</v>
      </c>
      <c r="R5584" t="s">
        <v>917</v>
      </c>
      <c r="S5584">
        <v>38</v>
      </c>
      <c r="T5584" s="29" t="str">
        <f t="shared" si="259"/>
        <v>2022.009D.Circoviridae_rensp101_nsp48.zip</v>
      </c>
      <c r="U5584" s="29" t="str">
        <f>HYPERLINK("https://ictv.global/taxonomy/taxondetails?taxnode_id=202314080","ictv.global=202314080")</f>
        <v>ictv.global=202314080</v>
      </c>
    </row>
    <row r="5585" spans="1:21">
      <c r="A5585">
        <v>5584</v>
      </c>
      <c r="B5585" s="30" t="s">
        <v>1956</v>
      </c>
      <c r="D5585" s="30" t="s">
        <v>1985</v>
      </c>
      <c r="F5585" s="30" t="s">
        <v>2009</v>
      </c>
      <c r="H5585" s="30" t="s">
        <v>2010</v>
      </c>
      <c r="J5585" s="30" t="s">
        <v>2012</v>
      </c>
      <c r="L5585" s="30" t="s">
        <v>210</v>
      </c>
      <c r="N5585" s="30" t="s">
        <v>211</v>
      </c>
      <c r="P5585" s="30" t="s">
        <v>8936</v>
      </c>
      <c r="Q5585" t="s">
        <v>739</v>
      </c>
      <c r="R5585" t="s">
        <v>917</v>
      </c>
      <c r="S5585">
        <v>38</v>
      </c>
      <c r="T5585" s="29" t="str">
        <f t="shared" si="259"/>
        <v>2022.009D.Circoviridae_rensp101_nsp48.zip</v>
      </c>
      <c r="U5585" s="29" t="str">
        <f>HYPERLINK("https://ictv.global/taxonomy/taxondetails?taxnode_id=202314081","ictv.global=202314081")</f>
        <v>ictv.global=202314081</v>
      </c>
    </row>
    <row r="5586" spans="1:21">
      <c r="A5586">
        <v>5585</v>
      </c>
      <c r="B5586" s="30" t="s">
        <v>1956</v>
      </c>
      <c r="D5586" s="30" t="s">
        <v>1985</v>
      </c>
      <c r="F5586" s="30" t="s">
        <v>2009</v>
      </c>
      <c r="H5586" s="30" t="s">
        <v>2010</v>
      </c>
      <c r="J5586" s="30" t="s">
        <v>2012</v>
      </c>
      <c r="L5586" s="30" t="s">
        <v>210</v>
      </c>
      <c r="N5586" s="30" t="s">
        <v>211</v>
      </c>
      <c r="P5586" s="30" t="s">
        <v>8937</v>
      </c>
      <c r="Q5586" t="s">
        <v>622</v>
      </c>
      <c r="R5586" t="s">
        <v>920</v>
      </c>
      <c r="S5586">
        <v>38</v>
      </c>
      <c r="T5586" s="29" t="str">
        <f t="shared" si="259"/>
        <v>2022.009D.Circoviridae_rensp101_nsp48.zip</v>
      </c>
      <c r="U5586" s="29" t="str">
        <f>HYPERLINK("https://ictv.global/taxonomy/taxondetails?taxnode_id=202302911","ictv.global=202302911")</f>
        <v>ictv.global=202302911</v>
      </c>
    </row>
    <row r="5587" spans="1:21">
      <c r="A5587">
        <v>5586</v>
      </c>
      <c r="B5587" s="30" t="s">
        <v>1956</v>
      </c>
      <c r="D5587" s="30" t="s">
        <v>1985</v>
      </c>
      <c r="F5587" s="30" t="s">
        <v>2009</v>
      </c>
      <c r="H5587" s="30" t="s">
        <v>2010</v>
      </c>
      <c r="J5587" s="30" t="s">
        <v>2012</v>
      </c>
      <c r="L5587" s="30" t="s">
        <v>210</v>
      </c>
      <c r="N5587" s="30" t="s">
        <v>211</v>
      </c>
      <c r="P5587" s="30" t="s">
        <v>8938</v>
      </c>
      <c r="Q5587" t="s">
        <v>739</v>
      </c>
      <c r="R5587" t="s">
        <v>920</v>
      </c>
      <c r="S5587">
        <v>38</v>
      </c>
      <c r="T5587" s="29" t="str">
        <f t="shared" si="259"/>
        <v>2022.009D.Circoviridae_rensp101_nsp48.zip</v>
      </c>
      <c r="U5587" s="29" t="str">
        <f>HYPERLINK("https://ictv.global/taxonomy/taxondetails?taxnode_id=202308679","ictv.global=202308679")</f>
        <v>ictv.global=202308679</v>
      </c>
    </row>
    <row r="5588" spans="1:21">
      <c r="A5588">
        <v>5587</v>
      </c>
      <c r="B5588" s="30" t="s">
        <v>1956</v>
      </c>
      <c r="D5588" s="30" t="s">
        <v>1985</v>
      </c>
      <c r="F5588" s="30" t="s">
        <v>2009</v>
      </c>
      <c r="H5588" s="30" t="s">
        <v>2010</v>
      </c>
      <c r="J5588" s="30" t="s">
        <v>2012</v>
      </c>
      <c r="L5588" s="30" t="s">
        <v>210</v>
      </c>
      <c r="N5588" s="30" t="s">
        <v>211</v>
      </c>
      <c r="P5588" s="30" t="s">
        <v>8939</v>
      </c>
      <c r="Q5588" t="s">
        <v>739</v>
      </c>
      <c r="R5588" t="s">
        <v>917</v>
      </c>
      <c r="S5588">
        <v>38</v>
      </c>
      <c r="T5588" s="29" t="str">
        <f t="shared" si="259"/>
        <v>2022.009D.Circoviridae_rensp101_nsp48.zip</v>
      </c>
      <c r="U5588" s="29" t="str">
        <f>HYPERLINK("https://ictv.global/taxonomy/taxondetails?taxnode_id=202314085","ictv.global=202314085")</f>
        <v>ictv.global=202314085</v>
      </c>
    </row>
    <row r="5589" spans="1:21">
      <c r="A5589">
        <v>5588</v>
      </c>
      <c r="B5589" s="30" t="s">
        <v>1956</v>
      </c>
      <c r="D5589" s="30" t="s">
        <v>1985</v>
      </c>
      <c r="F5589" s="30" t="s">
        <v>2009</v>
      </c>
      <c r="H5589" s="30" t="s">
        <v>2010</v>
      </c>
      <c r="J5589" s="30" t="s">
        <v>2012</v>
      </c>
      <c r="L5589" s="30" t="s">
        <v>210</v>
      </c>
      <c r="N5589" s="30" t="s">
        <v>211</v>
      </c>
      <c r="P5589" s="30" t="s">
        <v>8940</v>
      </c>
      <c r="Q5589" t="s">
        <v>622</v>
      </c>
      <c r="R5589" t="s">
        <v>920</v>
      </c>
      <c r="S5589">
        <v>38</v>
      </c>
      <c r="T5589" s="29" t="str">
        <f t="shared" si="259"/>
        <v>2022.009D.Circoviridae_rensp101_nsp48.zip</v>
      </c>
      <c r="U5589" s="29" t="str">
        <f>HYPERLINK("https://ictv.global/taxonomy/taxondetails?taxnode_id=202302912","ictv.global=202302912")</f>
        <v>ictv.global=202302912</v>
      </c>
    </row>
    <row r="5590" spans="1:21">
      <c r="A5590">
        <v>5589</v>
      </c>
      <c r="B5590" s="30" t="s">
        <v>1956</v>
      </c>
      <c r="D5590" s="30" t="s">
        <v>1985</v>
      </c>
      <c r="F5590" s="30" t="s">
        <v>2009</v>
      </c>
      <c r="H5590" s="30" t="s">
        <v>2010</v>
      </c>
      <c r="J5590" s="30" t="s">
        <v>2012</v>
      </c>
      <c r="L5590" s="30" t="s">
        <v>210</v>
      </c>
      <c r="N5590" s="30" t="s">
        <v>211</v>
      </c>
      <c r="P5590" s="30" t="s">
        <v>8941</v>
      </c>
      <c r="Q5590" t="s">
        <v>739</v>
      </c>
      <c r="R5590" t="s">
        <v>917</v>
      </c>
      <c r="S5590">
        <v>38</v>
      </c>
      <c r="T5590" s="29" t="str">
        <f t="shared" si="259"/>
        <v>2022.009D.Circoviridae_rensp101_nsp48.zip</v>
      </c>
      <c r="U5590" s="29" t="str">
        <f>HYPERLINK("https://ictv.global/taxonomy/taxondetails?taxnode_id=202314086","ictv.global=202314086")</f>
        <v>ictv.global=202314086</v>
      </c>
    </row>
    <row r="5591" spans="1:21">
      <c r="A5591">
        <v>5590</v>
      </c>
      <c r="B5591" s="30" t="s">
        <v>1956</v>
      </c>
      <c r="D5591" s="30" t="s">
        <v>1985</v>
      </c>
      <c r="F5591" s="30" t="s">
        <v>2009</v>
      </c>
      <c r="H5591" s="30" t="s">
        <v>2010</v>
      </c>
      <c r="J5591" s="30" t="s">
        <v>2012</v>
      </c>
      <c r="L5591" s="30" t="s">
        <v>210</v>
      </c>
      <c r="N5591" s="30" t="s">
        <v>211</v>
      </c>
      <c r="P5591" s="30" t="s">
        <v>8942</v>
      </c>
      <c r="Q5591" t="s">
        <v>735</v>
      </c>
      <c r="R5591" t="s">
        <v>920</v>
      </c>
      <c r="S5591">
        <v>38</v>
      </c>
      <c r="T5591" s="29" t="str">
        <f t="shared" si="259"/>
        <v>2022.009D.Circoviridae_rensp101_nsp48.zip</v>
      </c>
      <c r="U5591" s="29" t="str">
        <f>HYPERLINK("https://ictv.global/taxonomy/taxondetails?taxnode_id=202309256","ictv.global=202309256")</f>
        <v>ictv.global=202309256</v>
      </c>
    </row>
    <row r="5592" spans="1:21">
      <c r="A5592">
        <v>5591</v>
      </c>
      <c r="B5592" s="30" t="s">
        <v>1956</v>
      </c>
      <c r="D5592" s="30" t="s">
        <v>1985</v>
      </c>
      <c r="F5592" s="30" t="s">
        <v>2009</v>
      </c>
      <c r="H5592" s="30" t="s">
        <v>2010</v>
      </c>
      <c r="J5592" s="30" t="s">
        <v>2012</v>
      </c>
      <c r="L5592" s="30" t="s">
        <v>210</v>
      </c>
      <c r="N5592" s="30" t="s">
        <v>211</v>
      </c>
      <c r="P5592" s="30" t="s">
        <v>8943</v>
      </c>
      <c r="Q5592" t="s">
        <v>622</v>
      </c>
      <c r="R5592" t="s">
        <v>920</v>
      </c>
      <c r="S5592">
        <v>38</v>
      </c>
      <c r="T5592" s="29" t="str">
        <f t="shared" si="259"/>
        <v>2022.009D.Circoviridae_rensp101_nsp48.zip</v>
      </c>
      <c r="U5592" s="29" t="str">
        <f>HYPERLINK("https://ictv.global/taxonomy/taxondetails?taxnode_id=202306570","ictv.global=202306570")</f>
        <v>ictv.global=202306570</v>
      </c>
    </row>
    <row r="5593" spans="1:21">
      <c r="A5593">
        <v>5592</v>
      </c>
      <c r="B5593" s="30" t="s">
        <v>1956</v>
      </c>
      <c r="D5593" s="30" t="s">
        <v>1985</v>
      </c>
      <c r="F5593" s="30" t="s">
        <v>2009</v>
      </c>
      <c r="H5593" s="30" t="s">
        <v>2010</v>
      </c>
      <c r="J5593" s="30" t="s">
        <v>2012</v>
      </c>
      <c r="L5593" s="30" t="s">
        <v>210</v>
      </c>
      <c r="N5593" s="30" t="s">
        <v>211</v>
      </c>
      <c r="P5593" s="30" t="s">
        <v>8944</v>
      </c>
      <c r="Q5593" t="s">
        <v>622</v>
      </c>
      <c r="R5593" t="s">
        <v>920</v>
      </c>
      <c r="S5593">
        <v>38</v>
      </c>
      <c r="T5593" s="29" t="str">
        <f t="shared" si="259"/>
        <v>2022.009D.Circoviridae_rensp101_nsp48.zip</v>
      </c>
      <c r="U5593" s="29" t="str">
        <f>HYPERLINK("https://ictv.global/taxonomy/taxondetails?taxnode_id=202302923","ictv.global=202302923")</f>
        <v>ictv.global=202302923</v>
      </c>
    </row>
    <row r="5594" spans="1:21">
      <c r="A5594">
        <v>5593</v>
      </c>
      <c r="B5594" s="30" t="s">
        <v>1956</v>
      </c>
      <c r="D5594" s="30" t="s">
        <v>1985</v>
      </c>
      <c r="F5594" s="30" t="s">
        <v>2009</v>
      </c>
      <c r="H5594" s="30" t="s">
        <v>2010</v>
      </c>
      <c r="J5594" s="30" t="s">
        <v>2012</v>
      </c>
      <c r="L5594" s="30" t="s">
        <v>210</v>
      </c>
      <c r="N5594" s="30" t="s">
        <v>211</v>
      </c>
      <c r="P5594" s="30" t="s">
        <v>8945</v>
      </c>
      <c r="Q5594" t="s">
        <v>735</v>
      </c>
      <c r="R5594" t="s">
        <v>920</v>
      </c>
      <c r="S5594">
        <v>38</v>
      </c>
      <c r="T5594" s="29" t="str">
        <f t="shared" si="259"/>
        <v>2022.009D.Circoviridae_rensp101_nsp48.zip</v>
      </c>
      <c r="U5594" s="29" t="str">
        <f>HYPERLINK("https://ictv.global/taxonomy/taxondetails?taxnode_id=202309255","ictv.global=202309255")</f>
        <v>ictv.global=202309255</v>
      </c>
    </row>
    <row r="5595" spans="1:21">
      <c r="A5595">
        <v>5594</v>
      </c>
      <c r="B5595" s="30" t="s">
        <v>1956</v>
      </c>
      <c r="D5595" s="30" t="s">
        <v>1985</v>
      </c>
      <c r="F5595" s="30" t="s">
        <v>2009</v>
      </c>
      <c r="H5595" s="30" t="s">
        <v>2010</v>
      </c>
      <c r="J5595" s="30" t="s">
        <v>2012</v>
      </c>
      <c r="L5595" s="30" t="s">
        <v>210</v>
      </c>
      <c r="N5595" s="30" t="s">
        <v>211</v>
      </c>
      <c r="P5595" s="30" t="s">
        <v>8946</v>
      </c>
      <c r="Q5595" t="s">
        <v>622</v>
      </c>
      <c r="R5595" t="s">
        <v>920</v>
      </c>
      <c r="S5595">
        <v>38</v>
      </c>
      <c r="T5595" s="29" t="str">
        <f t="shared" si="259"/>
        <v>2022.009D.Circoviridae_rensp101_nsp48.zip</v>
      </c>
      <c r="U5595" s="29" t="str">
        <f>HYPERLINK("https://ictv.global/taxonomy/taxondetails?taxnode_id=202302924","ictv.global=202302924")</f>
        <v>ictv.global=202302924</v>
      </c>
    </row>
    <row r="5596" spans="1:21">
      <c r="A5596">
        <v>5595</v>
      </c>
      <c r="B5596" s="30" t="s">
        <v>1956</v>
      </c>
      <c r="D5596" s="30" t="s">
        <v>1985</v>
      </c>
      <c r="F5596" s="30" t="s">
        <v>2009</v>
      </c>
      <c r="H5596" s="30" t="s">
        <v>2010</v>
      </c>
      <c r="J5596" s="30" t="s">
        <v>2012</v>
      </c>
      <c r="L5596" s="30" t="s">
        <v>210</v>
      </c>
      <c r="N5596" s="30" t="s">
        <v>211</v>
      </c>
      <c r="P5596" s="30" t="s">
        <v>8947</v>
      </c>
      <c r="Q5596" t="s">
        <v>622</v>
      </c>
      <c r="R5596" t="s">
        <v>920</v>
      </c>
      <c r="S5596">
        <v>38</v>
      </c>
      <c r="T5596" s="29" t="str">
        <f t="shared" si="259"/>
        <v>2022.009D.Circoviridae_rensp101_nsp48.zip</v>
      </c>
      <c r="U5596" s="29" t="str">
        <f>HYPERLINK("https://ictv.global/taxonomy/taxondetails?taxnode_id=202302925","ictv.global=202302925")</f>
        <v>ictv.global=202302925</v>
      </c>
    </row>
    <row r="5597" spans="1:21">
      <c r="A5597">
        <v>5596</v>
      </c>
      <c r="B5597" s="30" t="s">
        <v>1956</v>
      </c>
      <c r="D5597" s="30" t="s">
        <v>1985</v>
      </c>
      <c r="F5597" s="30" t="s">
        <v>2009</v>
      </c>
      <c r="H5597" s="30" t="s">
        <v>2010</v>
      </c>
      <c r="J5597" s="30" t="s">
        <v>2012</v>
      </c>
      <c r="L5597" s="30" t="s">
        <v>210</v>
      </c>
      <c r="N5597" s="30" t="s">
        <v>211</v>
      </c>
      <c r="P5597" s="30" t="s">
        <v>8948</v>
      </c>
      <c r="Q5597" t="s">
        <v>622</v>
      </c>
      <c r="R5597" t="s">
        <v>920</v>
      </c>
      <c r="S5597">
        <v>38</v>
      </c>
      <c r="T5597" s="29" t="str">
        <f t="shared" si="259"/>
        <v>2022.009D.Circoviridae_rensp101_nsp48.zip</v>
      </c>
      <c r="U5597" s="29" t="str">
        <f>HYPERLINK("https://ictv.global/taxonomy/taxondetails?taxnode_id=202305768","ictv.global=202305768")</f>
        <v>ictv.global=202305768</v>
      </c>
    </row>
    <row r="5598" spans="1:21">
      <c r="A5598">
        <v>5597</v>
      </c>
      <c r="B5598" s="30" t="s">
        <v>1956</v>
      </c>
      <c r="D5598" s="30" t="s">
        <v>1985</v>
      </c>
      <c r="F5598" s="30" t="s">
        <v>2009</v>
      </c>
      <c r="H5598" s="30" t="s">
        <v>2010</v>
      </c>
      <c r="J5598" s="30" t="s">
        <v>2012</v>
      </c>
      <c r="L5598" s="30" t="s">
        <v>210</v>
      </c>
      <c r="N5598" s="30" t="s">
        <v>211</v>
      </c>
      <c r="P5598" s="30" t="s">
        <v>8949</v>
      </c>
      <c r="Q5598" t="s">
        <v>735</v>
      </c>
      <c r="R5598" t="s">
        <v>920</v>
      </c>
      <c r="S5598">
        <v>38</v>
      </c>
      <c r="T5598" s="29" t="str">
        <f t="shared" si="259"/>
        <v>2022.009D.Circoviridae_rensp101_nsp48.zip</v>
      </c>
      <c r="U5598" s="29" t="str">
        <f>HYPERLINK("https://ictv.global/taxonomy/taxondetails?taxnode_id=202309253","ictv.global=202309253")</f>
        <v>ictv.global=202309253</v>
      </c>
    </row>
    <row r="5599" spans="1:21">
      <c r="A5599">
        <v>5598</v>
      </c>
      <c r="B5599" s="30" t="s">
        <v>1956</v>
      </c>
      <c r="D5599" s="30" t="s">
        <v>1985</v>
      </c>
      <c r="F5599" s="30" t="s">
        <v>2009</v>
      </c>
      <c r="H5599" s="30" t="s">
        <v>2010</v>
      </c>
      <c r="J5599" s="30" t="s">
        <v>2012</v>
      </c>
      <c r="L5599" s="30" t="s">
        <v>210</v>
      </c>
      <c r="N5599" s="30" t="s">
        <v>211</v>
      </c>
      <c r="P5599" s="30" t="s">
        <v>8950</v>
      </c>
      <c r="Q5599" t="s">
        <v>622</v>
      </c>
      <c r="R5599" t="s">
        <v>920</v>
      </c>
      <c r="S5599">
        <v>38</v>
      </c>
      <c r="T5599" s="29" t="str">
        <f t="shared" si="259"/>
        <v>2022.009D.Circoviridae_rensp101_nsp48.zip</v>
      </c>
      <c r="U5599" s="29" t="str">
        <f>HYPERLINK("https://ictv.global/taxonomy/taxondetails?taxnode_id=202302909","ictv.global=202302909")</f>
        <v>ictv.global=202302909</v>
      </c>
    </row>
    <row r="5600" spans="1:21">
      <c r="A5600">
        <v>5599</v>
      </c>
      <c r="B5600" s="30" t="s">
        <v>1956</v>
      </c>
      <c r="D5600" s="30" t="s">
        <v>1985</v>
      </c>
      <c r="F5600" s="30" t="s">
        <v>2009</v>
      </c>
      <c r="H5600" s="30" t="s">
        <v>2010</v>
      </c>
      <c r="J5600" s="30" t="s">
        <v>2012</v>
      </c>
      <c r="L5600" s="30" t="s">
        <v>210</v>
      </c>
      <c r="N5600" s="30" t="s">
        <v>211</v>
      </c>
      <c r="P5600" s="30" t="s">
        <v>8951</v>
      </c>
      <c r="Q5600" t="s">
        <v>622</v>
      </c>
      <c r="R5600" t="s">
        <v>920</v>
      </c>
      <c r="S5600">
        <v>38</v>
      </c>
      <c r="T5600" s="29" t="str">
        <f t="shared" si="259"/>
        <v>2022.009D.Circoviridae_rensp101_nsp48.zip</v>
      </c>
      <c r="U5600" s="29" t="str">
        <f>HYPERLINK("https://ictv.global/taxonomy/taxondetails?taxnode_id=202302926","ictv.global=202302926")</f>
        <v>ictv.global=202302926</v>
      </c>
    </row>
    <row r="5601" spans="1:21">
      <c r="A5601">
        <v>5600</v>
      </c>
      <c r="B5601" s="30" t="s">
        <v>1956</v>
      </c>
      <c r="D5601" s="30" t="s">
        <v>1985</v>
      </c>
      <c r="F5601" s="30" t="s">
        <v>2009</v>
      </c>
      <c r="H5601" s="30" t="s">
        <v>2010</v>
      </c>
      <c r="J5601" s="30" t="s">
        <v>2012</v>
      </c>
      <c r="L5601" s="30" t="s">
        <v>210</v>
      </c>
      <c r="N5601" s="30" t="s">
        <v>211</v>
      </c>
      <c r="P5601" s="30" t="s">
        <v>8952</v>
      </c>
      <c r="Q5601" t="s">
        <v>622</v>
      </c>
      <c r="R5601" t="s">
        <v>920</v>
      </c>
      <c r="S5601">
        <v>38</v>
      </c>
      <c r="T5601" s="29" t="str">
        <f t="shared" si="259"/>
        <v>2022.009D.Circoviridae_rensp101_nsp48.zip</v>
      </c>
      <c r="U5601" s="29" t="str">
        <f>HYPERLINK("https://ictv.global/taxonomy/taxondetails?taxnode_id=202306565","ictv.global=202306565")</f>
        <v>ictv.global=202306565</v>
      </c>
    </row>
    <row r="5602" spans="1:21">
      <c r="A5602">
        <v>5601</v>
      </c>
      <c r="B5602" s="30" t="s">
        <v>1956</v>
      </c>
      <c r="D5602" s="30" t="s">
        <v>1985</v>
      </c>
      <c r="F5602" s="30" t="s">
        <v>2009</v>
      </c>
      <c r="H5602" s="30" t="s">
        <v>2010</v>
      </c>
      <c r="J5602" s="30" t="s">
        <v>2012</v>
      </c>
      <c r="L5602" s="30" t="s">
        <v>210</v>
      </c>
      <c r="N5602" s="30" t="s">
        <v>211</v>
      </c>
      <c r="P5602" s="30" t="s">
        <v>8953</v>
      </c>
      <c r="Q5602" t="s">
        <v>622</v>
      </c>
      <c r="R5602" t="s">
        <v>920</v>
      </c>
      <c r="S5602">
        <v>38</v>
      </c>
      <c r="T5602" s="29" t="str">
        <f t="shared" si="259"/>
        <v>2022.009D.Circoviridae_rensp101_nsp48.zip</v>
      </c>
      <c r="U5602" s="29" t="str">
        <f>HYPERLINK("https://ictv.global/taxonomy/taxondetails?taxnode_id=202306563","ictv.global=202306563")</f>
        <v>ictv.global=202306563</v>
      </c>
    </row>
    <row r="5603" spans="1:21">
      <c r="A5603">
        <v>5602</v>
      </c>
      <c r="B5603" s="30" t="s">
        <v>1956</v>
      </c>
      <c r="D5603" s="30" t="s">
        <v>1985</v>
      </c>
      <c r="F5603" s="30" t="s">
        <v>2009</v>
      </c>
      <c r="H5603" s="30" t="s">
        <v>2010</v>
      </c>
      <c r="J5603" s="30" t="s">
        <v>2012</v>
      </c>
      <c r="L5603" s="30" t="s">
        <v>210</v>
      </c>
      <c r="N5603" s="30" t="s">
        <v>211</v>
      </c>
      <c r="P5603" s="30" t="s">
        <v>8954</v>
      </c>
      <c r="Q5603" t="s">
        <v>622</v>
      </c>
      <c r="R5603" t="s">
        <v>920</v>
      </c>
      <c r="S5603">
        <v>38</v>
      </c>
      <c r="T5603" s="29" t="str">
        <f t="shared" si="259"/>
        <v>2022.009D.Circoviridae_rensp101_nsp48.zip</v>
      </c>
      <c r="U5603" s="29" t="str">
        <f>HYPERLINK("https://ictv.global/taxonomy/taxondetails?taxnode_id=202306566","ictv.global=202306566")</f>
        <v>ictv.global=202306566</v>
      </c>
    </row>
    <row r="5604" spans="1:21">
      <c r="A5604">
        <v>5603</v>
      </c>
      <c r="B5604" s="30" t="s">
        <v>1956</v>
      </c>
      <c r="D5604" s="30" t="s">
        <v>1985</v>
      </c>
      <c r="F5604" s="30" t="s">
        <v>2009</v>
      </c>
      <c r="H5604" s="30" t="s">
        <v>2010</v>
      </c>
      <c r="J5604" s="30" t="s">
        <v>2012</v>
      </c>
      <c r="L5604" s="30" t="s">
        <v>210</v>
      </c>
      <c r="N5604" s="30" t="s">
        <v>211</v>
      </c>
      <c r="P5604" s="30" t="s">
        <v>8955</v>
      </c>
      <c r="Q5604" t="s">
        <v>622</v>
      </c>
      <c r="R5604" t="s">
        <v>920</v>
      </c>
      <c r="S5604">
        <v>38</v>
      </c>
      <c r="T5604" s="29" t="str">
        <f t="shared" si="259"/>
        <v>2022.009D.Circoviridae_rensp101_nsp48.zip</v>
      </c>
      <c r="U5604" s="29" t="str">
        <f>HYPERLINK("https://ictv.global/taxonomy/taxondetails?taxnode_id=202302908","ictv.global=202302908")</f>
        <v>ictv.global=202302908</v>
      </c>
    </row>
    <row r="5605" spans="1:21">
      <c r="A5605">
        <v>5604</v>
      </c>
      <c r="B5605" s="30" t="s">
        <v>1956</v>
      </c>
      <c r="D5605" s="30" t="s">
        <v>1985</v>
      </c>
      <c r="F5605" s="30" t="s">
        <v>2009</v>
      </c>
      <c r="H5605" s="30" t="s">
        <v>2010</v>
      </c>
      <c r="J5605" s="30" t="s">
        <v>2012</v>
      </c>
      <c r="L5605" s="30" t="s">
        <v>210</v>
      </c>
      <c r="N5605" s="30" t="s">
        <v>211</v>
      </c>
      <c r="P5605" s="30" t="s">
        <v>8956</v>
      </c>
      <c r="Q5605" t="s">
        <v>622</v>
      </c>
      <c r="R5605" t="s">
        <v>920</v>
      </c>
      <c r="S5605">
        <v>38</v>
      </c>
      <c r="T5605" s="29" t="str">
        <f t="shared" si="259"/>
        <v>2022.009D.Circoviridae_rensp101_nsp48.zip</v>
      </c>
      <c r="U5605" s="29" t="str">
        <f>HYPERLINK("https://ictv.global/taxonomy/taxondetails?taxnode_id=202306562","ictv.global=202306562")</f>
        <v>ictv.global=202306562</v>
      </c>
    </row>
    <row r="5606" spans="1:21">
      <c r="A5606">
        <v>5605</v>
      </c>
      <c r="B5606" s="30" t="s">
        <v>1956</v>
      </c>
      <c r="D5606" s="30" t="s">
        <v>1985</v>
      </c>
      <c r="F5606" s="30" t="s">
        <v>2009</v>
      </c>
      <c r="H5606" s="30" t="s">
        <v>2010</v>
      </c>
      <c r="J5606" s="30" t="s">
        <v>2012</v>
      </c>
      <c r="L5606" s="30" t="s">
        <v>210</v>
      </c>
      <c r="N5606" s="30" t="s">
        <v>211</v>
      </c>
      <c r="P5606" s="30" t="s">
        <v>8957</v>
      </c>
      <c r="Q5606" t="s">
        <v>622</v>
      </c>
      <c r="R5606" t="s">
        <v>920</v>
      </c>
      <c r="S5606">
        <v>38</v>
      </c>
      <c r="T5606" s="29" t="str">
        <f t="shared" si="259"/>
        <v>2022.009D.Circoviridae_rensp101_nsp48.zip</v>
      </c>
      <c r="U5606" s="29" t="str">
        <f>HYPERLINK("https://ictv.global/taxonomy/taxondetails?taxnode_id=202302927","ictv.global=202302927")</f>
        <v>ictv.global=202302927</v>
      </c>
    </row>
    <row r="5607" spans="1:21">
      <c r="A5607">
        <v>5606</v>
      </c>
      <c r="B5607" s="30" t="s">
        <v>1956</v>
      </c>
      <c r="D5607" s="30" t="s">
        <v>1985</v>
      </c>
      <c r="F5607" s="30" t="s">
        <v>2009</v>
      </c>
      <c r="H5607" s="30" t="s">
        <v>2010</v>
      </c>
      <c r="J5607" s="30" t="s">
        <v>2012</v>
      </c>
      <c r="L5607" s="30" t="s">
        <v>210</v>
      </c>
      <c r="N5607" s="30" t="s">
        <v>211</v>
      </c>
      <c r="P5607" s="30" t="s">
        <v>8958</v>
      </c>
      <c r="Q5607" t="s">
        <v>622</v>
      </c>
      <c r="R5607" t="s">
        <v>920</v>
      </c>
      <c r="S5607">
        <v>38</v>
      </c>
      <c r="T5607" s="29" t="str">
        <f t="shared" si="259"/>
        <v>2022.009D.Circoviridae_rensp101_nsp48.zip</v>
      </c>
      <c r="U5607" s="29" t="str">
        <f>HYPERLINK("https://ictv.global/taxonomy/taxondetails?taxnode_id=202302928","ictv.global=202302928")</f>
        <v>ictv.global=202302928</v>
      </c>
    </row>
    <row r="5608" spans="1:21">
      <c r="A5608">
        <v>5607</v>
      </c>
      <c r="B5608" s="30" t="s">
        <v>1956</v>
      </c>
      <c r="D5608" s="30" t="s">
        <v>1985</v>
      </c>
      <c r="F5608" s="30" t="s">
        <v>2009</v>
      </c>
      <c r="H5608" s="30" t="s">
        <v>2010</v>
      </c>
      <c r="J5608" s="30" t="s">
        <v>2012</v>
      </c>
      <c r="L5608" s="30" t="s">
        <v>210</v>
      </c>
      <c r="N5608" s="30" t="s">
        <v>211</v>
      </c>
      <c r="P5608" s="30" t="s">
        <v>8959</v>
      </c>
      <c r="Q5608" t="s">
        <v>739</v>
      </c>
      <c r="R5608" t="s">
        <v>917</v>
      </c>
      <c r="S5608">
        <v>38</v>
      </c>
      <c r="T5608" s="29" t="str">
        <f t="shared" si="259"/>
        <v>2022.009D.Circoviridae_rensp101_nsp48.zip</v>
      </c>
      <c r="U5608" s="29" t="str">
        <f>HYPERLINK("https://ictv.global/taxonomy/taxondetails?taxnode_id=202314079","ictv.global=202314079")</f>
        <v>ictv.global=202314079</v>
      </c>
    </row>
    <row r="5609" spans="1:21">
      <c r="A5609">
        <v>5608</v>
      </c>
      <c r="B5609" s="30" t="s">
        <v>1956</v>
      </c>
      <c r="D5609" s="30" t="s">
        <v>1985</v>
      </c>
      <c r="F5609" s="30" t="s">
        <v>2009</v>
      </c>
      <c r="H5609" s="30" t="s">
        <v>2010</v>
      </c>
      <c r="J5609" s="30" t="s">
        <v>2012</v>
      </c>
      <c r="L5609" s="30" t="s">
        <v>210</v>
      </c>
      <c r="N5609" s="30" t="s">
        <v>211</v>
      </c>
      <c r="P5609" s="30" t="s">
        <v>12760</v>
      </c>
      <c r="Q5609" t="s">
        <v>735</v>
      </c>
      <c r="R5609" t="s">
        <v>917</v>
      </c>
      <c r="S5609">
        <v>39</v>
      </c>
      <c r="T5609" s="29" t="str">
        <f>HYPERLINK("https://ictv.global/ictv/proposals/2023.003D.Circoviridae_2nsp.zip","2023.003D.Circoviridae_2nsp.zip")</f>
        <v>2023.003D.Circoviridae_2nsp.zip</v>
      </c>
      <c r="U5609" s="29" t="str">
        <f>HYPERLINK("https://ictv.global/taxonomy/taxondetails?taxnode_id=202317776","ictv.global=202317776")</f>
        <v>ictv.global=202317776</v>
      </c>
    </row>
    <row r="5610" spans="1:21">
      <c r="A5610">
        <v>5609</v>
      </c>
      <c r="B5610" s="30" t="s">
        <v>1956</v>
      </c>
      <c r="D5610" s="30" t="s">
        <v>1985</v>
      </c>
      <c r="F5610" s="30" t="s">
        <v>2009</v>
      </c>
      <c r="H5610" s="30" t="s">
        <v>2010</v>
      </c>
      <c r="J5610" s="30" t="s">
        <v>2012</v>
      </c>
      <c r="L5610" s="30" t="s">
        <v>210</v>
      </c>
      <c r="N5610" s="30" t="s">
        <v>211</v>
      </c>
      <c r="P5610" s="30" t="s">
        <v>8960</v>
      </c>
      <c r="Q5610" t="s">
        <v>739</v>
      </c>
      <c r="R5610" t="s">
        <v>917</v>
      </c>
      <c r="S5610">
        <v>38</v>
      </c>
      <c r="T5610" s="29" t="str">
        <f t="shared" ref="T5610:T5627" si="260">HYPERLINK("https://ictv.global/ictv/proposals/2022.009D.Circoviridae_rensp101_nsp48.zip","2022.009D.Circoviridae_rensp101_nsp48.zip")</f>
        <v>2022.009D.Circoviridae_rensp101_nsp48.zip</v>
      </c>
      <c r="U5610" s="29" t="str">
        <f>HYPERLINK("https://ictv.global/taxonomy/taxondetails?taxnode_id=202314087","ictv.global=202314087")</f>
        <v>ictv.global=202314087</v>
      </c>
    </row>
    <row r="5611" spans="1:21">
      <c r="A5611">
        <v>5610</v>
      </c>
      <c r="B5611" s="30" t="s">
        <v>1956</v>
      </c>
      <c r="D5611" s="30" t="s">
        <v>1985</v>
      </c>
      <c r="F5611" s="30" t="s">
        <v>2009</v>
      </c>
      <c r="H5611" s="30" t="s">
        <v>2010</v>
      </c>
      <c r="J5611" s="30" t="s">
        <v>2012</v>
      </c>
      <c r="L5611" s="30" t="s">
        <v>210</v>
      </c>
      <c r="N5611" s="30" t="s">
        <v>211</v>
      </c>
      <c r="P5611" s="30" t="s">
        <v>8961</v>
      </c>
      <c r="Q5611" t="s">
        <v>622</v>
      </c>
      <c r="R5611" t="s">
        <v>920</v>
      </c>
      <c r="S5611">
        <v>38</v>
      </c>
      <c r="T5611" s="29" t="str">
        <f t="shared" si="260"/>
        <v>2022.009D.Circoviridae_rensp101_nsp48.zip</v>
      </c>
      <c r="U5611" s="29" t="str">
        <f>HYPERLINK("https://ictv.global/taxonomy/taxondetails?taxnode_id=202302905","ictv.global=202302905")</f>
        <v>ictv.global=202302905</v>
      </c>
    </row>
    <row r="5612" spans="1:21">
      <c r="A5612">
        <v>5611</v>
      </c>
      <c r="B5612" s="30" t="s">
        <v>1956</v>
      </c>
      <c r="D5612" s="30" t="s">
        <v>1985</v>
      </c>
      <c r="F5612" s="30" t="s">
        <v>2009</v>
      </c>
      <c r="H5612" s="30" t="s">
        <v>2010</v>
      </c>
      <c r="J5612" s="30" t="s">
        <v>2012</v>
      </c>
      <c r="L5612" s="30" t="s">
        <v>210</v>
      </c>
      <c r="N5612" s="30" t="s">
        <v>211</v>
      </c>
      <c r="P5612" s="30" t="s">
        <v>8962</v>
      </c>
      <c r="Q5612" t="s">
        <v>739</v>
      </c>
      <c r="R5612" t="s">
        <v>917</v>
      </c>
      <c r="S5612">
        <v>38</v>
      </c>
      <c r="T5612" s="29" t="str">
        <f t="shared" si="260"/>
        <v>2022.009D.Circoviridae_rensp101_nsp48.zip</v>
      </c>
      <c r="U5612" s="29" t="str">
        <f>HYPERLINK("https://ictv.global/taxonomy/taxondetails?taxnode_id=202314089","ictv.global=202314089")</f>
        <v>ictv.global=202314089</v>
      </c>
    </row>
    <row r="5613" spans="1:21">
      <c r="A5613">
        <v>5612</v>
      </c>
      <c r="B5613" s="30" t="s">
        <v>1956</v>
      </c>
      <c r="D5613" s="30" t="s">
        <v>1985</v>
      </c>
      <c r="F5613" s="30" t="s">
        <v>2009</v>
      </c>
      <c r="H5613" s="30" t="s">
        <v>2010</v>
      </c>
      <c r="J5613" s="30" t="s">
        <v>2012</v>
      </c>
      <c r="L5613" s="30" t="s">
        <v>210</v>
      </c>
      <c r="N5613" s="30" t="s">
        <v>211</v>
      </c>
      <c r="P5613" s="30" t="s">
        <v>8963</v>
      </c>
      <c r="Q5613" t="s">
        <v>735</v>
      </c>
      <c r="R5613" t="s">
        <v>920</v>
      </c>
      <c r="S5613">
        <v>38</v>
      </c>
      <c r="T5613" s="29" t="str">
        <f t="shared" si="260"/>
        <v>2022.009D.Circoviridae_rensp101_nsp48.zip</v>
      </c>
      <c r="U5613" s="29" t="str">
        <f>HYPERLINK("https://ictv.global/taxonomy/taxondetails?taxnode_id=202309252","ictv.global=202309252")</f>
        <v>ictv.global=202309252</v>
      </c>
    </row>
    <row r="5614" spans="1:21">
      <c r="A5614">
        <v>5613</v>
      </c>
      <c r="B5614" s="30" t="s">
        <v>1956</v>
      </c>
      <c r="D5614" s="30" t="s">
        <v>1985</v>
      </c>
      <c r="F5614" s="30" t="s">
        <v>2009</v>
      </c>
      <c r="H5614" s="30" t="s">
        <v>2010</v>
      </c>
      <c r="J5614" s="30" t="s">
        <v>2012</v>
      </c>
      <c r="L5614" s="30" t="s">
        <v>210</v>
      </c>
      <c r="N5614" s="30" t="s">
        <v>211</v>
      </c>
      <c r="P5614" s="30" t="s">
        <v>8964</v>
      </c>
      <c r="Q5614" t="s">
        <v>622</v>
      </c>
      <c r="R5614" t="s">
        <v>920</v>
      </c>
      <c r="S5614">
        <v>38</v>
      </c>
      <c r="T5614" s="29" t="str">
        <f t="shared" si="260"/>
        <v>2022.009D.Circoviridae_rensp101_nsp48.zip</v>
      </c>
      <c r="U5614" s="29" t="str">
        <f>HYPERLINK("https://ictv.global/taxonomy/taxondetails?taxnode_id=202306569","ictv.global=202306569")</f>
        <v>ictv.global=202306569</v>
      </c>
    </row>
    <row r="5615" spans="1:21">
      <c r="A5615">
        <v>5614</v>
      </c>
      <c r="B5615" s="30" t="s">
        <v>1956</v>
      </c>
      <c r="D5615" s="30" t="s">
        <v>1985</v>
      </c>
      <c r="F5615" s="30" t="s">
        <v>2009</v>
      </c>
      <c r="H5615" s="30" t="s">
        <v>2010</v>
      </c>
      <c r="J5615" s="30" t="s">
        <v>2012</v>
      </c>
      <c r="L5615" s="30" t="s">
        <v>210</v>
      </c>
      <c r="N5615" s="30" t="s">
        <v>211</v>
      </c>
      <c r="P5615" s="30" t="s">
        <v>8965</v>
      </c>
      <c r="Q5615" t="s">
        <v>622</v>
      </c>
      <c r="R5615" t="s">
        <v>920</v>
      </c>
      <c r="S5615">
        <v>38</v>
      </c>
      <c r="T5615" s="29" t="str">
        <f t="shared" si="260"/>
        <v>2022.009D.Circoviridae_rensp101_nsp48.zip</v>
      </c>
      <c r="U5615" s="29" t="str">
        <f>HYPERLINK("https://ictv.global/taxonomy/taxondetails?taxnode_id=202302929","ictv.global=202302929")</f>
        <v>ictv.global=202302929</v>
      </c>
    </row>
    <row r="5616" spans="1:21">
      <c r="A5616">
        <v>5615</v>
      </c>
      <c r="B5616" s="30" t="s">
        <v>1956</v>
      </c>
      <c r="D5616" s="30" t="s">
        <v>1985</v>
      </c>
      <c r="F5616" s="30" t="s">
        <v>2009</v>
      </c>
      <c r="H5616" s="30" t="s">
        <v>2010</v>
      </c>
      <c r="J5616" s="30" t="s">
        <v>2012</v>
      </c>
      <c r="L5616" s="30" t="s">
        <v>210</v>
      </c>
      <c r="N5616" s="30" t="s">
        <v>736</v>
      </c>
      <c r="P5616" s="30" t="s">
        <v>8966</v>
      </c>
      <c r="Q5616" t="s">
        <v>735</v>
      </c>
      <c r="R5616" t="s">
        <v>920</v>
      </c>
      <c r="S5616">
        <v>38</v>
      </c>
      <c r="T5616" s="29" t="str">
        <f t="shared" si="260"/>
        <v>2022.009D.Circoviridae_rensp101_nsp48.zip</v>
      </c>
      <c r="U5616" s="29" t="str">
        <f>HYPERLINK("https://ictv.global/taxonomy/taxondetails?taxnode_id=202308682","ictv.global=202308682")</f>
        <v>ictv.global=202308682</v>
      </c>
    </row>
    <row r="5617" spans="1:21">
      <c r="A5617">
        <v>5616</v>
      </c>
      <c r="B5617" s="30" t="s">
        <v>1956</v>
      </c>
      <c r="D5617" s="30" t="s">
        <v>1985</v>
      </c>
      <c r="F5617" s="30" t="s">
        <v>2009</v>
      </c>
      <c r="H5617" s="30" t="s">
        <v>2010</v>
      </c>
      <c r="J5617" s="30" t="s">
        <v>2012</v>
      </c>
      <c r="L5617" s="30" t="s">
        <v>210</v>
      </c>
      <c r="N5617" s="30" t="s">
        <v>736</v>
      </c>
      <c r="P5617" s="30" t="s">
        <v>8967</v>
      </c>
      <c r="Q5617" t="s">
        <v>622</v>
      </c>
      <c r="R5617" t="s">
        <v>920</v>
      </c>
      <c r="S5617">
        <v>38</v>
      </c>
      <c r="T5617" s="29" t="str">
        <f t="shared" si="260"/>
        <v>2022.009D.Circoviridae_rensp101_nsp48.zip</v>
      </c>
      <c r="U5617" s="29" t="str">
        <f>HYPERLINK("https://ictv.global/taxonomy/taxondetails?taxnode_id=202302948","ictv.global=202302948")</f>
        <v>ictv.global=202302948</v>
      </c>
    </row>
    <row r="5618" spans="1:21">
      <c r="A5618">
        <v>5617</v>
      </c>
      <c r="B5618" s="30" t="s">
        <v>1956</v>
      </c>
      <c r="D5618" s="30" t="s">
        <v>1985</v>
      </c>
      <c r="F5618" s="30" t="s">
        <v>2009</v>
      </c>
      <c r="H5618" s="30" t="s">
        <v>2010</v>
      </c>
      <c r="J5618" s="30" t="s">
        <v>2012</v>
      </c>
      <c r="L5618" s="30" t="s">
        <v>210</v>
      </c>
      <c r="N5618" s="30" t="s">
        <v>736</v>
      </c>
      <c r="P5618" s="30" t="s">
        <v>8968</v>
      </c>
      <c r="Q5618" t="s">
        <v>739</v>
      </c>
      <c r="R5618" t="s">
        <v>917</v>
      </c>
      <c r="S5618">
        <v>38</v>
      </c>
      <c r="T5618" s="29" t="str">
        <f t="shared" si="260"/>
        <v>2022.009D.Circoviridae_rensp101_nsp48.zip</v>
      </c>
      <c r="U5618" s="29" t="str">
        <f>HYPERLINK("https://ictv.global/taxonomy/taxondetails?taxnode_id=202314117","ictv.global=202314117")</f>
        <v>ictv.global=202314117</v>
      </c>
    </row>
    <row r="5619" spans="1:21">
      <c r="A5619">
        <v>5618</v>
      </c>
      <c r="B5619" s="30" t="s">
        <v>1956</v>
      </c>
      <c r="D5619" s="30" t="s">
        <v>1985</v>
      </c>
      <c r="F5619" s="30" t="s">
        <v>2009</v>
      </c>
      <c r="H5619" s="30" t="s">
        <v>2010</v>
      </c>
      <c r="J5619" s="30" t="s">
        <v>2012</v>
      </c>
      <c r="L5619" s="30" t="s">
        <v>210</v>
      </c>
      <c r="N5619" s="30" t="s">
        <v>736</v>
      </c>
      <c r="P5619" s="30" t="s">
        <v>8969</v>
      </c>
      <c r="Q5619" t="s">
        <v>622</v>
      </c>
      <c r="R5619" t="s">
        <v>920</v>
      </c>
      <c r="S5619">
        <v>38</v>
      </c>
      <c r="T5619" s="29" t="str">
        <f t="shared" si="260"/>
        <v>2022.009D.Circoviridae_rensp101_nsp48.zip</v>
      </c>
      <c r="U5619" s="29" t="str">
        <f>HYPERLINK("https://ictv.global/taxonomy/taxondetails?taxnode_id=202302956","ictv.global=202302956")</f>
        <v>ictv.global=202302956</v>
      </c>
    </row>
    <row r="5620" spans="1:21">
      <c r="A5620">
        <v>5619</v>
      </c>
      <c r="B5620" s="30" t="s">
        <v>1956</v>
      </c>
      <c r="D5620" s="30" t="s">
        <v>1985</v>
      </c>
      <c r="F5620" s="30" t="s">
        <v>2009</v>
      </c>
      <c r="H5620" s="30" t="s">
        <v>2010</v>
      </c>
      <c r="J5620" s="30" t="s">
        <v>2012</v>
      </c>
      <c r="L5620" s="30" t="s">
        <v>210</v>
      </c>
      <c r="N5620" s="30" t="s">
        <v>736</v>
      </c>
      <c r="P5620" s="30" t="s">
        <v>8970</v>
      </c>
      <c r="Q5620" t="s">
        <v>622</v>
      </c>
      <c r="R5620" t="s">
        <v>920</v>
      </c>
      <c r="S5620">
        <v>38</v>
      </c>
      <c r="T5620" s="29" t="str">
        <f t="shared" si="260"/>
        <v>2022.009D.Circoviridae_rensp101_nsp48.zip</v>
      </c>
      <c r="U5620" s="29" t="str">
        <f>HYPERLINK("https://ictv.global/taxonomy/taxondetails?taxnode_id=202302960","ictv.global=202302960")</f>
        <v>ictv.global=202302960</v>
      </c>
    </row>
    <row r="5621" spans="1:21">
      <c r="A5621">
        <v>5620</v>
      </c>
      <c r="B5621" s="30" t="s">
        <v>1956</v>
      </c>
      <c r="D5621" s="30" t="s">
        <v>1985</v>
      </c>
      <c r="F5621" s="30" t="s">
        <v>2009</v>
      </c>
      <c r="H5621" s="30" t="s">
        <v>2010</v>
      </c>
      <c r="J5621" s="30" t="s">
        <v>2012</v>
      </c>
      <c r="L5621" s="30" t="s">
        <v>210</v>
      </c>
      <c r="N5621" s="30" t="s">
        <v>736</v>
      </c>
      <c r="P5621" s="30" t="s">
        <v>8971</v>
      </c>
      <c r="Q5621" t="s">
        <v>622</v>
      </c>
      <c r="R5621" t="s">
        <v>920</v>
      </c>
      <c r="S5621">
        <v>38</v>
      </c>
      <c r="T5621" s="29" t="str">
        <f t="shared" si="260"/>
        <v>2022.009D.Circoviridae_rensp101_nsp48.zip</v>
      </c>
      <c r="U5621" s="29" t="str">
        <f>HYPERLINK("https://ictv.global/taxonomy/taxondetails?taxnode_id=202302965","ictv.global=202302965")</f>
        <v>ictv.global=202302965</v>
      </c>
    </row>
    <row r="5622" spans="1:21">
      <c r="A5622">
        <v>5621</v>
      </c>
      <c r="B5622" s="30" t="s">
        <v>1956</v>
      </c>
      <c r="D5622" s="30" t="s">
        <v>1985</v>
      </c>
      <c r="F5622" s="30" t="s">
        <v>2009</v>
      </c>
      <c r="H5622" s="30" t="s">
        <v>2010</v>
      </c>
      <c r="J5622" s="30" t="s">
        <v>2012</v>
      </c>
      <c r="L5622" s="30" t="s">
        <v>210</v>
      </c>
      <c r="N5622" s="30" t="s">
        <v>736</v>
      </c>
      <c r="P5622" s="30" t="s">
        <v>8972</v>
      </c>
      <c r="Q5622" t="s">
        <v>622</v>
      </c>
      <c r="R5622" t="s">
        <v>920</v>
      </c>
      <c r="S5622">
        <v>38</v>
      </c>
      <c r="T5622" s="29" t="str">
        <f t="shared" si="260"/>
        <v>2022.009D.Circoviridae_rensp101_nsp48.zip</v>
      </c>
      <c r="U5622" s="29" t="str">
        <f>HYPERLINK("https://ictv.global/taxonomy/taxondetails?taxnode_id=202302940","ictv.global=202302940")</f>
        <v>ictv.global=202302940</v>
      </c>
    </row>
    <row r="5623" spans="1:21">
      <c r="A5623">
        <v>5622</v>
      </c>
      <c r="B5623" s="30" t="s">
        <v>1956</v>
      </c>
      <c r="D5623" s="30" t="s">
        <v>1985</v>
      </c>
      <c r="F5623" s="30" t="s">
        <v>2009</v>
      </c>
      <c r="H5623" s="30" t="s">
        <v>2010</v>
      </c>
      <c r="J5623" s="30" t="s">
        <v>2012</v>
      </c>
      <c r="L5623" s="30" t="s">
        <v>210</v>
      </c>
      <c r="N5623" s="30" t="s">
        <v>736</v>
      </c>
      <c r="P5623" s="30" t="s">
        <v>8973</v>
      </c>
      <c r="Q5623" t="s">
        <v>739</v>
      </c>
      <c r="R5623" t="s">
        <v>917</v>
      </c>
      <c r="S5623">
        <v>38</v>
      </c>
      <c r="T5623" s="29" t="str">
        <f t="shared" si="260"/>
        <v>2022.009D.Circoviridae_rensp101_nsp48.zip</v>
      </c>
      <c r="U5623" s="29" t="str">
        <f>HYPERLINK("https://ictv.global/taxonomy/taxondetails?taxnode_id=202314120","ictv.global=202314120")</f>
        <v>ictv.global=202314120</v>
      </c>
    </row>
    <row r="5624" spans="1:21">
      <c r="A5624">
        <v>5623</v>
      </c>
      <c r="B5624" s="30" t="s">
        <v>1956</v>
      </c>
      <c r="D5624" s="30" t="s">
        <v>1985</v>
      </c>
      <c r="F5624" s="30" t="s">
        <v>2009</v>
      </c>
      <c r="H5624" s="30" t="s">
        <v>2010</v>
      </c>
      <c r="J5624" s="30" t="s">
        <v>2012</v>
      </c>
      <c r="L5624" s="30" t="s">
        <v>210</v>
      </c>
      <c r="N5624" s="30" t="s">
        <v>736</v>
      </c>
      <c r="P5624" s="30" t="s">
        <v>8974</v>
      </c>
      <c r="Q5624" t="s">
        <v>622</v>
      </c>
      <c r="R5624" t="s">
        <v>920</v>
      </c>
      <c r="S5624">
        <v>38</v>
      </c>
      <c r="T5624" s="29" t="str">
        <f t="shared" si="260"/>
        <v>2022.009D.Circoviridae_rensp101_nsp48.zip</v>
      </c>
      <c r="U5624" s="29" t="str">
        <f>HYPERLINK("https://ictv.global/taxonomy/taxondetails?taxnode_id=202302961","ictv.global=202302961")</f>
        <v>ictv.global=202302961</v>
      </c>
    </row>
    <row r="5625" spans="1:21">
      <c r="A5625">
        <v>5624</v>
      </c>
      <c r="B5625" s="30" t="s">
        <v>1956</v>
      </c>
      <c r="D5625" s="30" t="s">
        <v>1985</v>
      </c>
      <c r="F5625" s="30" t="s">
        <v>2009</v>
      </c>
      <c r="H5625" s="30" t="s">
        <v>2010</v>
      </c>
      <c r="J5625" s="30" t="s">
        <v>2012</v>
      </c>
      <c r="L5625" s="30" t="s">
        <v>210</v>
      </c>
      <c r="N5625" s="30" t="s">
        <v>736</v>
      </c>
      <c r="P5625" s="30" t="s">
        <v>8975</v>
      </c>
      <c r="Q5625" t="s">
        <v>739</v>
      </c>
      <c r="R5625" t="s">
        <v>917</v>
      </c>
      <c r="S5625">
        <v>38</v>
      </c>
      <c r="T5625" s="29" t="str">
        <f t="shared" si="260"/>
        <v>2022.009D.Circoviridae_rensp101_nsp48.zip</v>
      </c>
      <c r="U5625" s="29" t="str">
        <f>HYPERLINK("https://ictv.global/taxonomy/taxondetails?taxnode_id=202314099","ictv.global=202314099")</f>
        <v>ictv.global=202314099</v>
      </c>
    </row>
    <row r="5626" spans="1:21">
      <c r="A5626">
        <v>5625</v>
      </c>
      <c r="B5626" s="30" t="s">
        <v>1956</v>
      </c>
      <c r="D5626" s="30" t="s">
        <v>1985</v>
      </c>
      <c r="F5626" s="30" t="s">
        <v>2009</v>
      </c>
      <c r="H5626" s="30" t="s">
        <v>2010</v>
      </c>
      <c r="J5626" s="30" t="s">
        <v>2012</v>
      </c>
      <c r="L5626" s="30" t="s">
        <v>210</v>
      </c>
      <c r="N5626" s="30" t="s">
        <v>736</v>
      </c>
      <c r="P5626" s="30" t="s">
        <v>8976</v>
      </c>
      <c r="Q5626" t="s">
        <v>622</v>
      </c>
      <c r="R5626" t="s">
        <v>920</v>
      </c>
      <c r="S5626">
        <v>38</v>
      </c>
      <c r="T5626" s="29" t="str">
        <f t="shared" si="260"/>
        <v>2022.009D.Circoviridae_rensp101_nsp48.zip</v>
      </c>
      <c r="U5626" s="29" t="str">
        <f>HYPERLINK("https://ictv.global/taxonomy/taxondetails?taxnode_id=202302942","ictv.global=202302942")</f>
        <v>ictv.global=202302942</v>
      </c>
    </row>
    <row r="5627" spans="1:21">
      <c r="A5627">
        <v>5626</v>
      </c>
      <c r="B5627" s="30" t="s">
        <v>1956</v>
      </c>
      <c r="D5627" s="30" t="s">
        <v>1985</v>
      </c>
      <c r="F5627" s="30" t="s">
        <v>2009</v>
      </c>
      <c r="H5627" s="30" t="s">
        <v>2010</v>
      </c>
      <c r="J5627" s="30" t="s">
        <v>2012</v>
      </c>
      <c r="L5627" s="30" t="s">
        <v>210</v>
      </c>
      <c r="N5627" s="30" t="s">
        <v>736</v>
      </c>
      <c r="P5627" s="30" t="s">
        <v>8977</v>
      </c>
      <c r="Q5627" t="s">
        <v>739</v>
      </c>
      <c r="R5627" t="s">
        <v>917</v>
      </c>
      <c r="S5627">
        <v>38</v>
      </c>
      <c r="T5627" s="29" t="str">
        <f t="shared" si="260"/>
        <v>2022.009D.Circoviridae_rensp101_nsp48.zip</v>
      </c>
      <c r="U5627" s="29" t="str">
        <f>HYPERLINK("https://ictv.global/taxonomy/taxondetails?taxnode_id=202314122","ictv.global=202314122")</f>
        <v>ictv.global=202314122</v>
      </c>
    </row>
    <row r="5628" spans="1:21">
      <c r="A5628">
        <v>5627</v>
      </c>
      <c r="B5628" s="30" t="s">
        <v>1956</v>
      </c>
      <c r="D5628" s="30" t="s">
        <v>1985</v>
      </c>
      <c r="F5628" s="30" t="s">
        <v>2009</v>
      </c>
      <c r="H5628" s="30" t="s">
        <v>2010</v>
      </c>
      <c r="J5628" s="30" t="s">
        <v>2012</v>
      </c>
      <c r="L5628" s="30" t="s">
        <v>210</v>
      </c>
      <c r="N5628" s="30" t="s">
        <v>736</v>
      </c>
      <c r="P5628" s="30" t="s">
        <v>12761</v>
      </c>
      <c r="Q5628" t="s">
        <v>739</v>
      </c>
      <c r="R5628" t="s">
        <v>917</v>
      </c>
      <c r="S5628">
        <v>39</v>
      </c>
      <c r="T5628" s="29" t="str">
        <f>HYPERLINK("https://ictv.global/ictv/proposals/2023.001D.Circoviridae_1nsp.zip","2023.001D.Circoviridae_1nsp.zip")</f>
        <v>2023.001D.Circoviridae_1nsp.zip</v>
      </c>
      <c r="U5628" s="29" t="str">
        <f>HYPERLINK("https://ictv.global/taxonomy/taxondetails?taxnode_id=202317734","ictv.global=202317734")</f>
        <v>ictv.global=202317734</v>
      </c>
    </row>
    <row r="5629" spans="1:21">
      <c r="A5629">
        <v>5628</v>
      </c>
      <c r="B5629" s="30" t="s">
        <v>1956</v>
      </c>
      <c r="D5629" s="30" t="s">
        <v>1985</v>
      </c>
      <c r="F5629" s="30" t="s">
        <v>2009</v>
      </c>
      <c r="H5629" s="30" t="s">
        <v>2010</v>
      </c>
      <c r="J5629" s="30" t="s">
        <v>2012</v>
      </c>
      <c r="L5629" s="30" t="s">
        <v>210</v>
      </c>
      <c r="N5629" s="30" t="s">
        <v>736</v>
      </c>
      <c r="P5629" s="30" t="s">
        <v>8978</v>
      </c>
      <c r="Q5629" t="s">
        <v>622</v>
      </c>
      <c r="R5629" t="s">
        <v>920</v>
      </c>
      <c r="S5629">
        <v>38</v>
      </c>
      <c r="T5629" s="29" t="str">
        <f t="shared" ref="T5629:T5660" si="261">HYPERLINK("https://ictv.global/ictv/proposals/2022.009D.Circoviridae_rensp101_nsp48.zip","2022.009D.Circoviridae_rensp101_nsp48.zip")</f>
        <v>2022.009D.Circoviridae_rensp101_nsp48.zip</v>
      </c>
      <c r="U5629" s="29" t="str">
        <f>HYPERLINK("https://ictv.global/taxonomy/taxondetails?taxnode_id=202302935","ictv.global=202302935")</f>
        <v>ictv.global=202302935</v>
      </c>
    </row>
    <row r="5630" spans="1:21">
      <c r="A5630">
        <v>5629</v>
      </c>
      <c r="B5630" s="30" t="s">
        <v>1956</v>
      </c>
      <c r="D5630" s="30" t="s">
        <v>1985</v>
      </c>
      <c r="F5630" s="30" t="s">
        <v>2009</v>
      </c>
      <c r="H5630" s="30" t="s">
        <v>2010</v>
      </c>
      <c r="J5630" s="30" t="s">
        <v>2012</v>
      </c>
      <c r="L5630" s="30" t="s">
        <v>210</v>
      </c>
      <c r="N5630" s="30" t="s">
        <v>736</v>
      </c>
      <c r="P5630" s="30" t="s">
        <v>8979</v>
      </c>
      <c r="Q5630" t="s">
        <v>739</v>
      </c>
      <c r="R5630" t="s">
        <v>917</v>
      </c>
      <c r="S5630">
        <v>38</v>
      </c>
      <c r="T5630" s="29" t="str">
        <f t="shared" si="261"/>
        <v>2022.009D.Circoviridae_rensp101_nsp48.zip</v>
      </c>
      <c r="U5630" s="29" t="str">
        <f>HYPERLINK("https://ictv.global/taxonomy/taxondetails?taxnode_id=202314109","ictv.global=202314109")</f>
        <v>ictv.global=202314109</v>
      </c>
    </row>
    <row r="5631" spans="1:21">
      <c r="A5631">
        <v>5630</v>
      </c>
      <c r="B5631" s="30" t="s">
        <v>1956</v>
      </c>
      <c r="D5631" s="30" t="s">
        <v>1985</v>
      </c>
      <c r="F5631" s="30" t="s">
        <v>2009</v>
      </c>
      <c r="H5631" s="30" t="s">
        <v>2010</v>
      </c>
      <c r="J5631" s="30" t="s">
        <v>2012</v>
      </c>
      <c r="L5631" s="30" t="s">
        <v>210</v>
      </c>
      <c r="N5631" s="30" t="s">
        <v>736</v>
      </c>
      <c r="P5631" s="30" t="s">
        <v>8980</v>
      </c>
      <c r="Q5631" t="s">
        <v>739</v>
      </c>
      <c r="R5631" t="s">
        <v>917</v>
      </c>
      <c r="S5631">
        <v>38</v>
      </c>
      <c r="T5631" s="29" t="str">
        <f t="shared" si="261"/>
        <v>2022.009D.Circoviridae_rensp101_nsp48.zip</v>
      </c>
      <c r="U5631" s="29" t="str">
        <f>HYPERLINK("https://ictv.global/taxonomy/taxondetails?taxnode_id=202314090","ictv.global=202314090")</f>
        <v>ictv.global=202314090</v>
      </c>
    </row>
    <row r="5632" spans="1:21">
      <c r="A5632">
        <v>5631</v>
      </c>
      <c r="B5632" s="30" t="s">
        <v>1956</v>
      </c>
      <c r="D5632" s="30" t="s">
        <v>1985</v>
      </c>
      <c r="F5632" s="30" t="s">
        <v>2009</v>
      </c>
      <c r="H5632" s="30" t="s">
        <v>2010</v>
      </c>
      <c r="J5632" s="30" t="s">
        <v>2012</v>
      </c>
      <c r="L5632" s="30" t="s">
        <v>210</v>
      </c>
      <c r="N5632" s="30" t="s">
        <v>736</v>
      </c>
      <c r="P5632" s="30" t="s">
        <v>8981</v>
      </c>
      <c r="Q5632" t="s">
        <v>739</v>
      </c>
      <c r="R5632" t="s">
        <v>917</v>
      </c>
      <c r="S5632">
        <v>38</v>
      </c>
      <c r="T5632" s="29" t="str">
        <f t="shared" si="261"/>
        <v>2022.009D.Circoviridae_rensp101_nsp48.zip</v>
      </c>
      <c r="U5632" s="29" t="str">
        <f>HYPERLINK("https://ictv.global/taxonomy/taxondetails?taxnode_id=202314116","ictv.global=202314116")</f>
        <v>ictv.global=202314116</v>
      </c>
    </row>
    <row r="5633" spans="1:21">
      <c r="A5633">
        <v>5632</v>
      </c>
      <c r="B5633" s="30" t="s">
        <v>1956</v>
      </c>
      <c r="D5633" s="30" t="s">
        <v>1985</v>
      </c>
      <c r="F5633" s="30" t="s">
        <v>2009</v>
      </c>
      <c r="H5633" s="30" t="s">
        <v>2010</v>
      </c>
      <c r="J5633" s="30" t="s">
        <v>2012</v>
      </c>
      <c r="L5633" s="30" t="s">
        <v>210</v>
      </c>
      <c r="N5633" s="30" t="s">
        <v>736</v>
      </c>
      <c r="P5633" s="30" t="s">
        <v>8982</v>
      </c>
      <c r="Q5633" t="s">
        <v>622</v>
      </c>
      <c r="R5633" t="s">
        <v>920</v>
      </c>
      <c r="S5633">
        <v>38</v>
      </c>
      <c r="T5633" s="29" t="str">
        <f t="shared" si="261"/>
        <v>2022.009D.Circoviridae_rensp101_nsp48.zip</v>
      </c>
      <c r="U5633" s="29" t="str">
        <f>HYPERLINK("https://ictv.global/taxonomy/taxondetails?taxnode_id=202302947","ictv.global=202302947")</f>
        <v>ictv.global=202302947</v>
      </c>
    </row>
    <row r="5634" spans="1:21">
      <c r="A5634">
        <v>5633</v>
      </c>
      <c r="B5634" s="30" t="s">
        <v>1956</v>
      </c>
      <c r="D5634" s="30" t="s">
        <v>1985</v>
      </c>
      <c r="F5634" s="30" t="s">
        <v>2009</v>
      </c>
      <c r="H5634" s="30" t="s">
        <v>2010</v>
      </c>
      <c r="J5634" s="30" t="s">
        <v>2012</v>
      </c>
      <c r="L5634" s="30" t="s">
        <v>210</v>
      </c>
      <c r="N5634" s="30" t="s">
        <v>736</v>
      </c>
      <c r="P5634" s="30" t="s">
        <v>8983</v>
      </c>
      <c r="Q5634" t="s">
        <v>622</v>
      </c>
      <c r="R5634" t="s">
        <v>920</v>
      </c>
      <c r="S5634">
        <v>38</v>
      </c>
      <c r="T5634" s="29" t="str">
        <f t="shared" si="261"/>
        <v>2022.009D.Circoviridae_rensp101_nsp48.zip</v>
      </c>
      <c r="U5634" s="29" t="str">
        <f>HYPERLINK("https://ictv.global/taxonomy/taxondetails?taxnode_id=202302959","ictv.global=202302959")</f>
        <v>ictv.global=202302959</v>
      </c>
    </row>
    <row r="5635" spans="1:21">
      <c r="A5635">
        <v>5634</v>
      </c>
      <c r="B5635" s="30" t="s">
        <v>1956</v>
      </c>
      <c r="D5635" s="30" t="s">
        <v>1985</v>
      </c>
      <c r="F5635" s="30" t="s">
        <v>2009</v>
      </c>
      <c r="H5635" s="30" t="s">
        <v>2010</v>
      </c>
      <c r="J5635" s="30" t="s">
        <v>2012</v>
      </c>
      <c r="L5635" s="30" t="s">
        <v>210</v>
      </c>
      <c r="N5635" s="30" t="s">
        <v>736</v>
      </c>
      <c r="P5635" s="30" t="s">
        <v>8984</v>
      </c>
      <c r="Q5635" t="s">
        <v>622</v>
      </c>
      <c r="R5635" t="s">
        <v>920</v>
      </c>
      <c r="S5635">
        <v>38</v>
      </c>
      <c r="T5635" s="29" t="str">
        <f t="shared" si="261"/>
        <v>2022.009D.Circoviridae_rensp101_nsp48.zip</v>
      </c>
      <c r="U5635" s="29" t="str">
        <f>HYPERLINK("https://ictv.global/taxonomy/taxondetails?taxnode_id=202302966","ictv.global=202302966")</f>
        <v>ictv.global=202302966</v>
      </c>
    </row>
    <row r="5636" spans="1:21">
      <c r="A5636">
        <v>5635</v>
      </c>
      <c r="B5636" s="30" t="s">
        <v>1956</v>
      </c>
      <c r="D5636" s="30" t="s">
        <v>1985</v>
      </c>
      <c r="F5636" s="30" t="s">
        <v>2009</v>
      </c>
      <c r="H5636" s="30" t="s">
        <v>2010</v>
      </c>
      <c r="J5636" s="30" t="s">
        <v>2012</v>
      </c>
      <c r="L5636" s="30" t="s">
        <v>210</v>
      </c>
      <c r="N5636" s="30" t="s">
        <v>736</v>
      </c>
      <c r="P5636" s="30" t="s">
        <v>8985</v>
      </c>
      <c r="Q5636" t="s">
        <v>622</v>
      </c>
      <c r="R5636" t="s">
        <v>920</v>
      </c>
      <c r="S5636">
        <v>38</v>
      </c>
      <c r="T5636" s="29" t="str">
        <f t="shared" si="261"/>
        <v>2022.009D.Circoviridae_rensp101_nsp48.zip</v>
      </c>
      <c r="U5636" s="29" t="str">
        <f>HYPERLINK("https://ictv.global/taxonomy/taxondetails?taxnode_id=202302971","ictv.global=202302971")</f>
        <v>ictv.global=202302971</v>
      </c>
    </row>
    <row r="5637" spans="1:21">
      <c r="A5637">
        <v>5636</v>
      </c>
      <c r="B5637" s="30" t="s">
        <v>1956</v>
      </c>
      <c r="D5637" s="30" t="s">
        <v>1985</v>
      </c>
      <c r="F5637" s="30" t="s">
        <v>2009</v>
      </c>
      <c r="H5637" s="30" t="s">
        <v>2010</v>
      </c>
      <c r="J5637" s="30" t="s">
        <v>2012</v>
      </c>
      <c r="L5637" s="30" t="s">
        <v>210</v>
      </c>
      <c r="N5637" s="30" t="s">
        <v>736</v>
      </c>
      <c r="P5637" s="30" t="s">
        <v>8986</v>
      </c>
      <c r="Q5637" t="s">
        <v>739</v>
      </c>
      <c r="R5637" t="s">
        <v>917</v>
      </c>
      <c r="S5637">
        <v>38</v>
      </c>
      <c r="T5637" s="29" t="str">
        <f t="shared" si="261"/>
        <v>2022.009D.Circoviridae_rensp101_nsp48.zip</v>
      </c>
      <c r="U5637" s="29" t="str">
        <f>HYPERLINK("https://ictv.global/taxonomy/taxondetails?taxnode_id=202314115","ictv.global=202314115")</f>
        <v>ictv.global=202314115</v>
      </c>
    </row>
    <row r="5638" spans="1:21">
      <c r="A5638">
        <v>5637</v>
      </c>
      <c r="B5638" s="30" t="s">
        <v>1956</v>
      </c>
      <c r="D5638" s="30" t="s">
        <v>1985</v>
      </c>
      <c r="F5638" s="30" t="s">
        <v>2009</v>
      </c>
      <c r="H5638" s="30" t="s">
        <v>2010</v>
      </c>
      <c r="J5638" s="30" t="s">
        <v>2012</v>
      </c>
      <c r="L5638" s="30" t="s">
        <v>210</v>
      </c>
      <c r="N5638" s="30" t="s">
        <v>736</v>
      </c>
      <c r="P5638" s="30" t="s">
        <v>8987</v>
      </c>
      <c r="Q5638" t="s">
        <v>622</v>
      </c>
      <c r="R5638" t="s">
        <v>920</v>
      </c>
      <c r="S5638">
        <v>38</v>
      </c>
      <c r="T5638" s="29" t="str">
        <f t="shared" si="261"/>
        <v>2022.009D.Circoviridae_rensp101_nsp48.zip</v>
      </c>
      <c r="U5638" s="29" t="str">
        <f>HYPERLINK("https://ictv.global/taxonomy/taxondetails?taxnode_id=202302963","ictv.global=202302963")</f>
        <v>ictv.global=202302963</v>
      </c>
    </row>
    <row r="5639" spans="1:21">
      <c r="A5639">
        <v>5638</v>
      </c>
      <c r="B5639" s="30" t="s">
        <v>1956</v>
      </c>
      <c r="D5639" s="30" t="s">
        <v>1985</v>
      </c>
      <c r="F5639" s="30" t="s">
        <v>2009</v>
      </c>
      <c r="H5639" s="30" t="s">
        <v>2010</v>
      </c>
      <c r="J5639" s="30" t="s">
        <v>2012</v>
      </c>
      <c r="L5639" s="30" t="s">
        <v>210</v>
      </c>
      <c r="N5639" s="30" t="s">
        <v>736</v>
      </c>
      <c r="P5639" s="30" t="s">
        <v>8988</v>
      </c>
      <c r="Q5639" t="s">
        <v>622</v>
      </c>
      <c r="R5639" t="s">
        <v>920</v>
      </c>
      <c r="S5639">
        <v>38</v>
      </c>
      <c r="T5639" s="29" t="str">
        <f t="shared" si="261"/>
        <v>2022.009D.Circoviridae_rensp101_nsp48.zip</v>
      </c>
      <c r="U5639" s="29" t="str">
        <f>HYPERLINK("https://ictv.global/taxonomy/taxondetails?taxnode_id=202302931","ictv.global=202302931")</f>
        <v>ictv.global=202302931</v>
      </c>
    </row>
    <row r="5640" spans="1:21">
      <c r="A5640">
        <v>5639</v>
      </c>
      <c r="B5640" s="30" t="s">
        <v>1956</v>
      </c>
      <c r="D5640" s="30" t="s">
        <v>1985</v>
      </c>
      <c r="F5640" s="30" t="s">
        <v>2009</v>
      </c>
      <c r="H5640" s="30" t="s">
        <v>2010</v>
      </c>
      <c r="J5640" s="30" t="s">
        <v>2012</v>
      </c>
      <c r="L5640" s="30" t="s">
        <v>210</v>
      </c>
      <c r="N5640" s="30" t="s">
        <v>736</v>
      </c>
      <c r="P5640" s="30" t="s">
        <v>8989</v>
      </c>
      <c r="Q5640" t="s">
        <v>622</v>
      </c>
      <c r="R5640" t="s">
        <v>920</v>
      </c>
      <c r="S5640">
        <v>38</v>
      </c>
      <c r="T5640" s="29" t="str">
        <f t="shared" si="261"/>
        <v>2022.009D.Circoviridae_rensp101_nsp48.zip</v>
      </c>
      <c r="U5640" s="29" t="str">
        <f>HYPERLINK("https://ictv.global/taxonomy/taxondetails?taxnode_id=202302932","ictv.global=202302932")</f>
        <v>ictv.global=202302932</v>
      </c>
    </row>
    <row r="5641" spans="1:21">
      <c r="A5641">
        <v>5640</v>
      </c>
      <c r="B5641" s="30" t="s">
        <v>1956</v>
      </c>
      <c r="D5641" s="30" t="s">
        <v>1985</v>
      </c>
      <c r="F5641" s="30" t="s">
        <v>2009</v>
      </c>
      <c r="H5641" s="30" t="s">
        <v>2010</v>
      </c>
      <c r="J5641" s="30" t="s">
        <v>2012</v>
      </c>
      <c r="L5641" s="30" t="s">
        <v>210</v>
      </c>
      <c r="N5641" s="30" t="s">
        <v>736</v>
      </c>
      <c r="P5641" s="30" t="s">
        <v>8990</v>
      </c>
      <c r="Q5641" t="s">
        <v>622</v>
      </c>
      <c r="R5641" t="s">
        <v>920</v>
      </c>
      <c r="S5641">
        <v>38</v>
      </c>
      <c r="T5641" s="29" t="str">
        <f t="shared" si="261"/>
        <v>2022.009D.Circoviridae_rensp101_nsp48.zip</v>
      </c>
      <c r="U5641" s="29" t="str">
        <f>HYPERLINK("https://ictv.global/taxonomy/taxondetails?taxnode_id=202306318","ictv.global=202306318")</f>
        <v>ictv.global=202306318</v>
      </c>
    </row>
    <row r="5642" spans="1:21">
      <c r="A5642">
        <v>5641</v>
      </c>
      <c r="B5642" s="30" t="s">
        <v>1956</v>
      </c>
      <c r="D5642" s="30" t="s">
        <v>1985</v>
      </c>
      <c r="F5642" s="30" t="s">
        <v>2009</v>
      </c>
      <c r="H5642" s="30" t="s">
        <v>2010</v>
      </c>
      <c r="J5642" s="30" t="s">
        <v>2012</v>
      </c>
      <c r="L5642" s="30" t="s">
        <v>210</v>
      </c>
      <c r="N5642" s="30" t="s">
        <v>736</v>
      </c>
      <c r="P5642" s="30" t="s">
        <v>8991</v>
      </c>
      <c r="Q5642" t="s">
        <v>739</v>
      </c>
      <c r="R5642" t="s">
        <v>917</v>
      </c>
      <c r="S5642">
        <v>38</v>
      </c>
      <c r="T5642" s="29" t="str">
        <f t="shared" si="261"/>
        <v>2022.009D.Circoviridae_rensp101_nsp48.zip</v>
      </c>
      <c r="U5642" s="29" t="str">
        <f>HYPERLINK("https://ictv.global/taxonomy/taxondetails?taxnode_id=202314114","ictv.global=202314114")</f>
        <v>ictv.global=202314114</v>
      </c>
    </row>
    <row r="5643" spans="1:21">
      <c r="A5643">
        <v>5642</v>
      </c>
      <c r="B5643" s="30" t="s">
        <v>1956</v>
      </c>
      <c r="D5643" s="30" t="s">
        <v>1985</v>
      </c>
      <c r="F5643" s="30" t="s">
        <v>2009</v>
      </c>
      <c r="H5643" s="30" t="s">
        <v>2010</v>
      </c>
      <c r="J5643" s="30" t="s">
        <v>2012</v>
      </c>
      <c r="L5643" s="30" t="s">
        <v>210</v>
      </c>
      <c r="N5643" s="30" t="s">
        <v>736</v>
      </c>
      <c r="P5643" s="30" t="s">
        <v>8992</v>
      </c>
      <c r="Q5643" t="s">
        <v>622</v>
      </c>
      <c r="R5643" t="s">
        <v>920</v>
      </c>
      <c r="S5643">
        <v>38</v>
      </c>
      <c r="T5643" s="29" t="str">
        <f t="shared" si="261"/>
        <v>2022.009D.Circoviridae_rensp101_nsp48.zip</v>
      </c>
      <c r="U5643" s="29" t="str">
        <f>HYPERLINK("https://ictv.global/taxonomy/taxondetails?taxnode_id=202302939","ictv.global=202302939")</f>
        <v>ictv.global=202302939</v>
      </c>
    </row>
    <row r="5644" spans="1:21">
      <c r="A5644">
        <v>5643</v>
      </c>
      <c r="B5644" s="30" t="s">
        <v>1956</v>
      </c>
      <c r="D5644" s="30" t="s">
        <v>1985</v>
      </c>
      <c r="F5644" s="30" t="s">
        <v>2009</v>
      </c>
      <c r="H5644" s="30" t="s">
        <v>2010</v>
      </c>
      <c r="J5644" s="30" t="s">
        <v>2012</v>
      </c>
      <c r="L5644" s="30" t="s">
        <v>210</v>
      </c>
      <c r="N5644" s="30" t="s">
        <v>736</v>
      </c>
      <c r="P5644" s="30" t="s">
        <v>8993</v>
      </c>
      <c r="Q5644" t="s">
        <v>622</v>
      </c>
      <c r="R5644" t="s">
        <v>920</v>
      </c>
      <c r="S5644">
        <v>38</v>
      </c>
      <c r="T5644" s="29" t="str">
        <f t="shared" si="261"/>
        <v>2022.009D.Circoviridae_rensp101_nsp48.zip</v>
      </c>
      <c r="U5644" s="29" t="str">
        <f>HYPERLINK("https://ictv.global/taxonomy/taxondetails?taxnode_id=202302933","ictv.global=202302933")</f>
        <v>ictv.global=202302933</v>
      </c>
    </row>
    <row r="5645" spans="1:21">
      <c r="A5645">
        <v>5644</v>
      </c>
      <c r="B5645" s="30" t="s">
        <v>1956</v>
      </c>
      <c r="D5645" s="30" t="s">
        <v>1985</v>
      </c>
      <c r="F5645" s="30" t="s">
        <v>2009</v>
      </c>
      <c r="H5645" s="30" t="s">
        <v>2010</v>
      </c>
      <c r="J5645" s="30" t="s">
        <v>2012</v>
      </c>
      <c r="L5645" s="30" t="s">
        <v>210</v>
      </c>
      <c r="N5645" s="30" t="s">
        <v>736</v>
      </c>
      <c r="P5645" s="30" t="s">
        <v>8994</v>
      </c>
      <c r="Q5645" t="s">
        <v>622</v>
      </c>
      <c r="R5645" t="s">
        <v>920</v>
      </c>
      <c r="S5645">
        <v>38</v>
      </c>
      <c r="T5645" s="29" t="str">
        <f t="shared" si="261"/>
        <v>2022.009D.Circoviridae_rensp101_nsp48.zip</v>
      </c>
      <c r="U5645" s="29" t="str">
        <f>HYPERLINK("https://ictv.global/taxonomy/taxondetails?taxnode_id=202302951","ictv.global=202302951")</f>
        <v>ictv.global=202302951</v>
      </c>
    </row>
    <row r="5646" spans="1:21">
      <c r="A5646">
        <v>5645</v>
      </c>
      <c r="B5646" s="30" t="s">
        <v>1956</v>
      </c>
      <c r="D5646" s="30" t="s">
        <v>1985</v>
      </c>
      <c r="F5646" s="30" t="s">
        <v>2009</v>
      </c>
      <c r="H5646" s="30" t="s">
        <v>2010</v>
      </c>
      <c r="J5646" s="30" t="s">
        <v>2012</v>
      </c>
      <c r="L5646" s="30" t="s">
        <v>210</v>
      </c>
      <c r="N5646" s="30" t="s">
        <v>736</v>
      </c>
      <c r="P5646" s="30" t="s">
        <v>8995</v>
      </c>
      <c r="Q5646" t="s">
        <v>739</v>
      </c>
      <c r="R5646" t="s">
        <v>917</v>
      </c>
      <c r="S5646">
        <v>38</v>
      </c>
      <c r="T5646" s="29" t="str">
        <f t="shared" si="261"/>
        <v>2022.009D.Circoviridae_rensp101_nsp48.zip</v>
      </c>
      <c r="U5646" s="29" t="str">
        <f>HYPERLINK("https://ictv.global/taxonomy/taxondetails?taxnode_id=202314118","ictv.global=202314118")</f>
        <v>ictv.global=202314118</v>
      </c>
    </row>
    <row r="5647" spans="1:21">
      <c r="A5647">
        <v>5646</v>
      </c>
      <c r="B5647" s="30" t="s">
        <v>1956</v>
      </c>
      <c r="D5647" s="30" t="s">
        <v>1985</v>
      </c>
      <c r="F5647" s="30" t="s">
        <v>2009</v>
      </c>
      <c r="H5647" s="30" t="s">
        <v>2010</v>
      </c>
      <c r="J5647" s="30" t="s">
        <v>2012</v>
      </c>
      <c r="L5647" s="30" t="s">
        <v>210</v>
      </c>
      <c r="N5647" s="30" t="s">
        <v>736</v>
      </c>
      <c r="P5647" s="30" t="s">
        <v>8996</v>
      </c>
      <c r="Q5647" t="s">
        <v>622</v>
      </c>
      <c r="R5647" t="s">
        <v>920</v>
      </c>
      <c r="S5647">
        <v>38</v>
      </c>
      <c r="T5647" s="29" t="str">
        <f t="shared" si="261"/>
        <v>2022.009D.Circoviridae_rensp101_nsp48.zip</v>
      </c>
      <c r="U5647" s="29" t="str">
        <f>HYPERLINK("https://ictv.global/taxonomy/taxondetails?taxnode_id=202302955","ictv.global=202302955")</f>
        <v>ictv.global=202302955</v>
      </c>
    </row>
    <row r="5648" spans="1:21">
      <c r="A5648">
        <v>5647</v>
      </c>
      <c r="B5648" s="30" t="s">
        <v>1956</v>
      </c>
      <c r="D5648" s="30" t="s">
        <v>1985</v>
      </c>
      <c r="F5648" s="30" t="s">
        <v>2009</v>
      </c>
      <c r="H5648" s="30" t="s">
        <v>2010</v>
      </c>
      <c r="J5648" s="30" t="s">
        <v>2012</v>
      </c>
      <c r="L5648" s="30" t="s">
        <v>210</v>
      </c>
      <c r="N5648" s="30" t="s">
        <v>736</v>
      </c>
      <c r="P5648" s="30" t="s">
        <v>8997</v>
      </c>
      <c r="Q5648" t="s">
        <v>739</v>
      </c>
      <c r="R5648" t="s">
        <v>917</v>
      </c>
      <c r="S5648">
        <v>38</v>
      </c>
      <c r="T5648" s="29" t="str">
        <f t="shared" si="261"/>
        <v>2022.009D.Circoviridae_rensp101_nsp48.zip</v>
      </c>
      <c r="U5648" s="29" t="str">
        <f>HYPERLINK("https://ictv.global/taxonomy/taxondetails?taxnode_id=202314100","ictv.global=202314100")</f>
        <v>ictv.global=202314100</v>
      </c>
    </row>
    <row r="5649" spans="1:21">
      <c r="A5649">
        <v>5648</v>
      </c>
      <c r="B5649" s="30" t="s">
        <v>1956</v>
      </c>
      <c r="D5649" s="30" t="s">
        <v>1985</v>
      </c>
      <c r="F5649" s="30" t="s">
        <v>2009</v>
      </c>
      <c r="H5649" s="30" t="s">
        <v>2010</v>
      </c>
      <c r="J5649" s="30" t="s">
        <v>2012</v>
      </c>
      <c r="L5649" s="30" t="s">
        <v>210</v>
      </c>
      <c r="N5649" s="30" t="s">
        <v>736</v>
      </c>
      <c r="P5649" s="30" t="s">
        <v>8998</v>
      </c>
      <c r="Q5649" t="s">
        <v>622</v>
      </c>
      <c r="R5649" t="s">
        <v>920</v>
      </c>
      <c r="S5649">
        <v>38</v>
      </c>
      <c r="T5649" s="29" t="str">
        <f t="shared" si="261"/>
        <v>2022.009D.Circoviridae_rensp101_nsp48.zip</v>
      </c>
      <c r="U5649" s="29" t="str">
        <f>HYPERLINK("https://ictv.global/taxonomy/taxondetails?taxnode_id=202302937","ictv.global=202302937")</f>
        <v>ictv.global=202302937</v>
      </c>
    </row>
    <row r="5650" spans="1:21">
      <c r="A5650">
        <v>5649</v>
      </c>
      <c r="B5650" s="30" t="s">
        <v>1956</v>
      </c>
      <c r="D5650" s="30" t="s">
        <v>1985</v>
      </c>
      <c r="F5650" s="30" t="s">
        <v>2009</v>
      </c>
      <c r="H5650" s="30" t="s">
        <v>2010</v>
      </c>
      <c r="J5650" s="30" t="s">
        <v>2012</v>
      </c>
      <c r="L5650" s="30" t="s">
        <v>210</v>
      </c>
      <c r="N5650" s="30" t="s">
        <v>736</v>
      </c>
      <c r="P5650" s="30" t="s">
        <v>8999</v>
      </c>
      <c r="Q5650" t="s">
        <v>739</v>
      </c>
      <c r="R5650" t="s">
        <v>917</v>
      </c>
      <c r="S5650">
        <v>38</v>
      </c>
      <c r="T5650" s="29" t="str">
        <f t="shared" si="261"/>
        <v>2022.009D.Circoviridae_rensp101_nsp48.zip</v>
      </c>
      <c r="U5650" s="29" t="str">
        <f>HYPERLINK("https://ictv.global/taxonomy/taxondetails?taxnode_id=202314112","ictv.global=202314112")</f>
        <v>ictv.global=202314112</v>
      </c>
    </row>
    <row r="5651" spans="1:21">
      <c r="A5651">
        <v>5650</v>
      </c>
      <c r="B5651" s="30" t="s">
        <v>1956</v>
      </c>
      <c r="D5651" s="30" t="s">
        <v>1985</v>
      </c>
      <c r="F5651" s="30" t="s">
        <v>2009</v>
      </c>
      <c r="H5651" s="30" t="s">
        <v>2010</v>
      </c>
      <c r="J5651" s="30" t="s">
        <v>2012</v>
      </c>
      <c r="L5651" s="30" t="s">
        <v>210</v>
      </c>
      <c r="N5651" s="30" t="s">
        <v>736</v>
      </c>
      <c r="P5651" s="30" t="s">
        <v>9000</v>
      </c>
      <c r="Q5651" t="s">
        <v>622</v>
      </c>
      <c r="R5651" t="s">
        <v>920</v>
      </c>
      <c r="S5651">
        <v>38</v>
      </c>
      <c r="T5651" s="29" t="str">
        <f t="shared" si="261"/>
        <v>2022.009D.Circoviridae_rensp101_nsp48.zip</v>
      </c>
      <c r="U5651" s="29" t="str">
        <f>HYPERLINK("https://ictv.global/taxonomy/taxondetails?taxnode_id=202302962","ictv.global=202302962")</f>
        <v>ictv.global=202302962</v>
      </c>
    </row>
    <row r="5652" spans="1:21">
      <c r="A5652">
        <v>5651</v>
      </c>
      <c r="B5652" s="30" t="s">
        <v>1956</v>
      </c>
      <c r="D5652" s="30" t="s">
        <v>1985</v>
      </c>
      <c r="F5652" s="30" t="s">
        <v>2009</v>
      </c>
      <c r="H5652" s="30" t="s">
        <v>2010</v>
      </c>
      <c r="J5652" s="30" t="s">
        <v>2012</v>
      </c>
      <c r="L5652" s="30" t="s">
        <v>210</v>
      </c>
      <c r="N5652" s="30" t="s">
        <v>736</v>
      </c>
      <c r="P5652" s="30" t="s">
        <v>9001</v>
      </c>
      <c r="Q5652" t="s">
        <v>622</v>
      </c>
      <c r="R5652" t="s">
        <v>920</v>
      </c>
      <c r="S5652">
        <v>38</v>
      </c>
      <c r="T5652" s="29" t="str">
        <f t="shared" si="261"/>
        <v>2022.009D.Circoviridae_rensp101_nsp48.zip</v>
      </c>
      <c r="U5652" s="29" t="str">
        <f>HYPERLINK("https://ictv.global/taxonomy/taxondetails?taxnode_id=202302972","ictv.global=202302972")</f>
        <v>ictv.global=202302972</v>
      </c>
    </row>
    <row r="5653" spans="1:21">
      <c r="A5653">
        <v>5652</v>
      </c>
      <c r="B5653" s="30" t="s">
        <v>1956</v>
      </c>
      <c r="D5653" s="30" t="s">
        <v>1985</v>
      </c>
      <c r="F5653" s="30" t="s">
        <v>2009</v>
      </c>
      <c r="H5653" s="30" t="s">
        <v>2010</v>
      </c>
      <c r="J5653" s="30" t="s">
        <v>2012</v>
      </c>
      <c r="L5653" s="30" t="s">
        <v>210</v>
      </c>
      <c r="N5653" s="30" t="s">
        <v>736</v>
      </c>
      <c r="P5653" s="30" t="s">
        <v>9002</v>
      </c>
      <c r="Q5653" t="s">
        <v>622</v>
      </c>
      <c r="R5653" t="s">
        <v>920</v>
      </c>
      <c r="S5653">
        <v>38</v>
      </c>
      <c r="T5653" s="29" t="str">
        <f t="shared" si="261"/>
        <v>2022.009D.Circoviridae_rensp101_nsp48.zip</v>
      </c>
      <c r="U5653" s="29" t="str">
        <f>HYPERLINK("https://ictv.global/taxonomy/taxondetails?taxnode_id=202302964","ictv.global=202302964")</f>
        <v>ictv.global=202302964</v>
      </c>
    </row>
    <row r="5654" spans="1:21">
      <c r="A5654">
        <v>5653</v>
      </c>
      <c r="B5654" s="30" t="s">
        <v>1956</v>
      </c>
      <c r="D5654" s="30" t="s">
        <v>1985</v>
      </c>
      <c r="F5654" s="30" t="s">
        <v>2009</v>
      </c>
      <c r="H5654" s="30" t="s">
        <v>2010</v>
      </c>
      <c r="J5654" s="30" t="s">
        <v>2012</v>
      </c>
      <c r="L5654" s="30" t="s">
        <v>210</v>
      </c>
      <c r="N5654" s="30" t="s">
        <v>736</v>
      </c>
      <c r="P5654" s="30" t="s">
        <v>9003</v>
      </c>
      <c r="Q5654" t="s">
        <v>622</v>
      </c>
      <c r="R5654" t="s">
        <v>920</v>
      </c>
      <c r="S5654">
        <v>38</v>
      </c>
      <c r="T5654" s="29" t="str">
        <f t="shared" si="261"/>
        <v>2022.009D.Circoviridae_rensp101_nsp48.zip</v>
      </c>
      <c r="U5654" s="29" t="str">
        <f>HYPERLINK("https://ictv.global/taxonomy/taxondetails?taxnode_id=202305769","ictv.global=202305769")</f>
        <v>ictv.global=202305769</v>
      </c>
    </row>
    <row r="5655" spans="1:21">
      <c r="A5655">
        <v>5654</v>
      </c>
      <c r="B5655" s="30" t="s">
        <v>1956</v>
      </c>
      <c r="D5655" s="30" t="s">
        <v>1985</v>
      </c>
      <c r="F5655" s="30" t="s">
        <v>2009</v>
      </c>
      <c r="H5655" s="30" t="s">
        <v>2010</v>
      </c>
      <c r="J5655" s="30" t="s">
        <v>2012</v>
      </c>
      <c r="L5655" s="30" t="s">
        <v>210</v>
      </c>
      <c r="N5655" s="30" t="s">
        <v>736</v>
      </c>
      <c r="P5655" s="30" t="s">
        <v>9004</v>
      </c>
      <c r="Q5655" t="s">
        <v>735</v>
      </c>
      <c r="R5655" t="s">
        <v>920</v>
      </c>
      <c r="S5655">
        <v>38</v>
      </c>
      <c r="T5655" s="29" t="str">
        <f t="shared" si="261"/>
        <v>2022.009D.Circoviridae_rensp101_nsp48.zip</v>
      </c>
      <c r="U5655" s="29" t="str">
        <f>HYPERLINK("https://ictv.global/taxonomy/taxondetails?taxnode_id=202308681","ictv.global=202308681")</f>
        <v>ictv.global=202308681</v>
      </c>
    </row>
    <row r="5656" spans="1:21">
      <c r="A5656">
        <v>5655</v>
      </c>
      <c r="B5656" s="30" t="s">
        <v>1956</v>
      </c>
      <c r="D5656" s="30" t="s">
        <v>1985</v>
      </c>
      <c r="F5656" s="30" t="s">
        <v>2009</v>
      </c>
      <c r="H5656" s="30" t="s">
        <v>2010</v>
      </c>
      <c r="J5656" s="30" t="s">
        <v>2012</v>
      </c>
      <c r="L5656" s="30" t="s">
        <v>210</v>
      </c>
      <c r="N5656" s="30" t="s">
        <v>736</v>
      </c>
      <c r="P5656" s="30" t="s">
        <v>9005</v>
      </c>
      <c r="Q5656" t="s">
        <v>739</v>
      </c>
      <c r="R5656" t="s">
        <v>917</v>
      </c>
      <c r="S5656">
        <v>38</v>
      </c>
      <c r="T5656" s="29" t="str">
        <f t="shared" si="261"/>
        <v>2022.009D.Circoviridae_rensp101_nsp48.zip</v>
      </c>
      <c r="U5656" s="29" t="str">
        <f>HYPERLINK("https://ictv.global/taxonomy/taxondetails?taxnode_id=202314119","ictv.global=202314119")</f>
        <v>ictv.global=202314119</v>
      </c>
    </row>
    <row r="5657" spans="1:21">
      <c r="A5657">
        <v>5656</v>
      </c>
      <c r="B5657" s="30" t="s">
        <v>1956</v>
      </c>
      <c r="D5657" s="30" t="s">
        <v>1985</v>
      </c>
      <c r="F5657" s="30" t="s">
        <v>2009</v>
      </c>
      <c r="H5657" s="30" t="s">
        <v>2010</v>
      </c>
      <c r="J5657" s="30" t="s">
        <v>2012</v>
      </c>
      <c r="L5657" s="30" t="s">
        <v>210</v>
      </c>
      <c r="N5657" s="30" t="s">
        <v>736</v>
      </c>
      <c r="P5657" s="30" t="s">
        <v>9006</v>
      </c>
      <c r="Q5657" t="s">
        <v>739</v>
      </c>
      <c r="R5657" t="s">
        <v>917</v>
      </c>
      <c r="S5657">
        <v>38</v>
      </c>
      <c r="T5657" s="29" t="str">
        <f t="shared" si="261"/>
        <v>2022.009D.Circoviridae_rensp101_nsp48.zip</v>
      </c>
      <c r="U5657" s="29" t="str">
        <f>HYPERLINK("https://ictv.global/taxonomy/taxondetails?taxnode_id=202314125","ictv.global=202314125")</f>
        <v>ictv.global=202314125</v>
      </c>
    </row>
    <row r="5658" spans="1:21">
      <c r="A5658">
        <v>5657</v>
      </c>
      <c r="B5658" s="30" t="s">
        <v>1956</v>
      </c>
      <c r="D5658" s="30" t="s">
        <v>1985</v>
      </c>
      <c r="F5658" s="30" t="s">
        <v>2009</v>
      </c>
      <c r="H5658" s="30" t="s">
        <v>2010</v>
      </c>
      <c r="J5658" s="30" t="s">
        <v>2012</v>
      </c>
      <c r="L5658" s="30" t="s">
        <v>210</v>
      </c>
      <c r="N5658" s="30" t="s">
        <v>736</v>
      </c>
      <c r="P5658" s="30" t="s">
        <v>9007</v>
      </c>
      <c r="Q5658" t="s">
        <v>622</v>
      </c>
      <c r="R5658" t="s">
        <v>920</v>
      </c>
      <c r="S5658">
        <v>38</v>
      </c>
      <c r="T5658" s="29" t="str">
        <f t="shared" si="261"/>
        <v>2022.009D.Circoviridae_rensp101_nsp48.zip</v>
      </c>
      <c r="U5658" s="29" t="str">
        <f>HYPERLINK("https://ictv.global/taxonomy/taxondetails?taxnode_id=202302967","ictv.global=202302967")</f>
        <v>ictv.global=202302967</v>
      </c>
    </row>
    <row r="5659" spans="1:21">
      <c r="A5659">
        <v>5658</v>
      </c>
      <c r="B5659" s="30" t="s">
        <v>1956</v>
      </c>
      <c r="D5659" s="30" t="s">
        <v>1985</v>
      </c>
      <c r="F5659" s="30" t="s">
        <v>2009</v>
      </c>
      <c r="H5659" s="30" t="s">
        <v>2010</v>
      </c>
      <c r="J5659" s="30" t="s">
        <v>2012</v>
      </c>
      <c r="L5659" s="30" t="s">
        <v>210</v>
      </c>
      <c r="N5659" s="30" t="s">
        <v>736</v>
      </c>
      <c r="P5659" s="30" t="s">
        <v>9008</v>
      </c>
      <c r="Q5659" t="s">
        <v>739</v>
      </c>
      <c r="R5659" t="s">
        <v>917</v>
      </c>
      <c r="S5659">
        <v>38</v>
      </c>
      <c r="T5659" s="29" t="str">
        <f t="shared" si="261"/>
        <v>2022.009D.Circoviridae_rensp101_nsp48.zip</v>
      </c>
      <c r="U5659" s="29" t="str">
        <f>HYPERLINK("https://ictv.global/taxonomy/taxondetails?taxnode_id=202314126","ictv.global=202314126")</f>
        <v>ictv.global=202314126</v>
      </c>
    </row>
    <row r="5660" spans="1:21">
      <c r="A5660">
        <v>5659</v>
      </c>
      <c r="B5660" s="30" t="s">
        <v>1956</v>
      </c>
      <c r="D5660" s="30" t="s">
        <v>1985</v>
      </c>
      <c r="F5660" s="30" t="s">
        <v>2009</v>
      </c>
      <c r="H5660" s="30" t="s">
        <v>2010</v>
      </c>
      <c r="J5660" s="30" t="s">
        <v>2012</v>
      </c>
      <c r="L5660" s="30" t="s">
        <v>210</v>
      </c>
      <c r="N5660" s="30" t="s">
        <v>736</v>
      </c>
      <c r="P5660" s="30" t="s">
        <v>9009</v>
      </c>
      <c r="Q5660" t="s">
        <v>622</v>
      </c>
      <c r="R5660" t="s">
        <v>920</v>
      </c>
      <c r="S5660">
        <v>38</v>
      </c>
      <c r="T5660" s="29" t="str">
        <f t="shared" si="261"/>
        <v>2022.009D.Circoviridae_rensp101_nsp48.zip</v>
      </c>
      <c r="U5660" s="29" t="str">
        <f>HYPERLINK("https://ictv.global/taxonomy/taxondetails?taxnode_id=202302970","ictv.global=202302970")</f>
        <v>ictv.global=202302970</v>
      </c>
    </row>
    <row r="5661" spans="1:21">
      <c r="A5661">
        <v>5660</v>
      </c>
      <c r="B5661" s="30" t="s">
        <v>1956</v>
      </c>
      <c r="D5661" s="30" t="s">
        <v>1985</v>
      </c>
      <c r="F5661" s="30" t="s">
        <v>2009</v>
      </c>
      <c r="H5661" s="30" t="s">
        <v>2010</v>
      </c>
      <c r="J5661" s="30" t="s">
        <v>2012</v>
      </c>
      <c r="L5661" s="30" t="s">
        <v>210</v>
      </c>
      <c r="N5661" s="30" t="s">
        <v>736</v>
      </c>
      <c r="P5661" s="30" t="s">
        <v>9010</v>
      </c>
      <c r="Q5661" t="s">
        <v>739</v>
      </c>
      <c r="R5661" t="s">
        <v>917</v>
      </c>
      <c r="S5661">
        <v>38</v>
      </c>
      <c r="T5661" s="29" t="str">
        <f t="shared" ref="T5661:T5692" si="262">HYPERLINK("https://ictv.global/ictv/proposals/2022.009D.Circoviridae_rensp101_nsp48.zip","2022.009D.Circoviridae_rensp101_nsp48.zip")</f>
        <v>2022.009D.Circoviridae_rensp101_nsp48.zip</v>
      </c>
      <c r="U5661" s="29" t="str">
        <f>HYPERLINK("https://ictv.global/taxonomy/taxondetails?taxnode_id=202314103","ictv.global=202314103")</f>
        <v>ictv.global=202314103</v>
      </c>
    </row>
    <row r="5662" spans="1:21">
      <c r="A5662">
        <v>5661</v>
      </c>
      <c r="B5662" s="30" t="s">
        <v>1956</v>
      </c>
      <c r="D5662" s="30" t="s">
        <v>1985</v>
      </c>
      <c r="F5662" s="30" t="s">
        <v>2009</v>
      </c>
      <c r="H5662" s="30" t="s">
        <v>2010</v>
      </c>
      <c r="J5662" s="30" t="s">
        <v>2012</v>
      </c>
      <c r="L5662" s="30" t="s">
        <v>210</v>
      </c>
      <c r="N5662" s="30" t="s">
        <v>736</v>
      </c>
      <c r="P5662" s="30" t="s">
        <v>9011</v>
      </c>
      <c r="Q5662" t="s">
        <v>739</v>
      </c>
      <c r="R5662" t="s">
        <v>917</v>
      </c>
      <c r="S5662">
        <v>38</v>
      </c>
      <c r="T5662" s="29" t="str">
        <f t="shared" si="262"/>
        <v>2022.009D.Circoviridae_rensp101_nsp48.zip</v>
      </c>
      <c r="U5662" s="29" t="str">
        <f>HYPERLINK("https://ictv.global/taxonomy/taxondetails?taxnode_id=202314105","ictv.global=202314105")</f>
        <v>ictv.global=202314105</v>
      </c>
    </row>
    <row r="5663" spans="1:21">
      <c r="A5663">
        <v>5662</v>
      </c>
      <c r="B5663" s="30" t="s">
        <v>1956</v>
      </c>
      <c r="D5663" s="30" t="s">
        <v>1985</v>
      </c>
      <c r="F5663" s="30" t="s">
        <v>2009</v>
      </c>
      <c r="H5663" s="30" t="s">
        <v>2010</v>
      </c>
      <c r="J5663" s="30" t="s">
        <v>2012</v>
      </c>
      <c r="L5663" s="30" t="s">
        <v>210</v>
      </c>
      <c r="N5663" s="30" t="s">
        <v>736</v>
      </c>
      <c r="P5663" s="30" t="s">
        <v>9012</v>
      </c>
      <c r="Q5663" t="s">
        <v>622</v>
      </c>
      <c r="R5663" t="s">
        <v>920</v>
      </c>
      <c r="S5663">
        <v>38</v>
      </c>
      <c r="T5663" s="29" t="str">
        <f t="shared" si="262"/>
        <v>2022.009D.Circoviridae_rensp101_nsp48.zip</v>
      </c>
      <c r="U5663" s="29" t="str">
        <f>HYPERLINK("https://ictv.global/taxonomy/taxondetails?taxnode_id=202302968","ictv.global=202302968")</f>
        <v>ictv.global=202302968</v>
      </c>
    </row>
    <row r="5664" spans="1:21">
      <c r="A5664">
        <v>5663</v>
      </c>
      <c r="B5664" s="30" t="s">
        <v>1956</v>
      </c>
      <c r="D5664" s="30" t="s">
        <v>1985</v>
      </c>
      <c r="F5664" s="30" t="s">
        <v>2009</v>
      </c>
      <c r="H5664" s="30" t="s">
        <v>2010</v>
      </c>
      <c r="J5664" s="30" t="s">
        <v>2012</v>
      </c>
      <c r="L5664" s="30" t="s">
        <v>210</v>
      </c>
      <c r="N5664" s="30" t="s">
        <v>736</v>
      </c>
      <c r="P5664" s="30" t="s">
        <v>9013</v>
      </c>
      <c r="Q5664" t="s">
        <v>739</v>
      </c>
      <c r="R5664" t="s">
        <v>917</v>
      </c>
      <c r="S5664">
        <v>38</v>
      </c>
      <c r="T5664" s="29" t="str">
        <f t="shared" si="262"/>
        <v>2022.009D.Circoviridae_rensp101_nsp48.zip</v>
      </c>
      <c r="U5664" s="29" t="str">
        <f>HYPERLINK("https://ictv.global/taxonomy/taxondetails?taxnode_id=202314102","ictv.global=202314102")</f>
        <v>ictv.global=202314102</v>
      </c>
    </row>
    <row r="5665" spans="1:21">
      <c r="A5665">
        <v>5664</v>
      </c>
      <c r="B5665" s="30" t="s">
        <v>1956</v>
      </c>
      <c r="D5665" s="30" t="s">
        <v>1985</v>
      </c>
      <c r="F5665" s="30" t="s">
        <v>2009</v>
      </c>
      <c r="H5665" s="30" t="s">
        <v>2010</v>
      </c>
      <c r="J5665" s="30" t="s">
        <v>2012</v>
      </c>
      <c r="L5665" s="30" t="s">
        <v>210</v>
      </c>
      <c r="N5665" s="30" t="s">
        <v>736</v>
      </c>
      <c r="P5665" s="30" t="s">
        <v>9014</v>
      </c>
      <c r="Q5665" t="s">
        <v>735</v>
      </c>
      <c r="R5665" t="s">
        <v>920</v>
      </c>
      <c r="S5665">
        <v>38</v>
      </c>
      <c r="T5665" s="29" t="str">
        <f t="shared" si="262"/>
        <v>2022.009D.Circoviridae_rensp101_nsp48.zip</v>
      </c>
      <c r="U5665" s="29" t="str">
        <f>HYPERLINK("https://ictv.global/taxonomy/taxondetails?taxnode_id=202308680","ictv.global=202308680")</f>
        <v>ictv.global=202308680</v>
      </c>
    </row>
    <row r="5666" spans="1:21">
      <c r="A5666">
        <v>5665</v>
      </c>
      <c r="B5666" s="30" t="s">
        <v>1956</v>
      </c>
      <c r="D5666" s="30" t="s">
        <v>1985</v>
      </c>
      <c r="F5666" s="30" t="s">
        <v>2009</v>
      </c>
      <c r="H5666" s="30" t="s">
        <v>2010</v>
      </c>
      <c r="J5666" s="30" t="s">
        <v>2012</v>
      </c>
      <c r="L5666" s="30" t="s">
        <v>210</v>
      </c>
      <c r="N5666" s="30" t="s">
        <v>736</v>
      </c>
      <c r="P5666" s="30" t="s">
        <v>9015</v>
      </c>
      <c r="Q5666" t="s">
        <v>622</v>
      </c>
      <c r="R5666" t="s">
        <v>920</v>
      </c>
      <c r="S5666">
        <v>38</v>
      </c>
      <c r="T5666" s="29" t="str">
        <f t="shared" si="262"/>
        <v>2022.009D.Circoviridae_rensp101_nsp48.zip</v>
      </c>
      <c r="U5666" s="29" t="str">
        <f>HYPERLINK("https://ictv.global/taxonomy/taxondetails?taxnode_id=202305770","ictv.global=202305770")</f>
        <v>ictv.global=202305770</v>
      </c>
    </row>
    <row r="5667" spans="1:21">
      <c r="A5667">
        <v>5666</v>
      </c>
      <c r="B5667" s="30" t="s">
        <v>1956</v>
      </c>
      <c r="D5667" s="30" t="s">
        <v>1985</v>
      </c>
      <c r="F5667" s="30" t="s">
        <v>2009</v>
      </c>
      <c r="H5667" s="30" t="s">
        <v>2010</v>
      </c>
      <c r="J5667" s="30" t="s">
        <v>2012</v>
      </c>
      <c r="L5667" s="30" t="s">
        <v>210</v>
      </c>
      <c r="N5667" s="30" t="s">
        <v>736</v>
      </c>
      <c r="P5667" s="30" t="s">
        <v>9016</v>
      </c>
      <c r="Q5667" t="s">
        <v>622</v>
      </c>
      <c r="R5667" t="s">
        <v>920</v>
      </c>
      <c r="S5667">
        <v>38</v>
      </c>
      <c r="T5667" s="29" t="str">
        <f t="shared" si="262"/>
        <v>2022.009D.Circoviridae_rensp101_nsp48.zip</v>
      </c>
      <c r="U5667" s="29" t="str">
        <f>HYPERLINK("https://ictv.global/taxonomy/taxondetails?taxnode_id=202302938","ictv.global=202302938")</f>
        <v>ictv.global=202302938</v>
      </c>
    </row>
    <row r="5668" spans="1:21">
      <c r="A5668">
        <v>5667</v>
      </c>
      <c r="B5668" s="30" t="s">
        <v>1956</v>
      </c>
      <c r="D5668" s="30" t="s">
        <v>1985</v>
      </c>
      <c r="F5668" s="30" t="s">
        <v>2009</v>
      </c>
      <c r="H5668" s="30" t="s">
        <v>2010</v>
      </c>
      <c r="J5668" s="30" t="s">
        <v>2012</v>
      </c>
      <c r="L5668" s="30" t="s">
        <v>210</v>
      </c>
      <c r="N5668" s="30" t="s">
        <v>736</v>
      </c>
      <c r="P5668" s="30" t="s">
        <v>9017</v>
      </c>
      <c r="Q5668" t="s">
        <v>622</v>
      </c>
      <c r="R5668" t="s">
        <v>920</v>
      </c>
      <c r="S5668">
        <v>38</v>
      </c>
      <c r="T5668" s="29" t="str">
        <f t="shared" si="262"/>
        <v>2022.009D.Circoviridae_rensp101_nsp48.zip</v>
      </c>
      <c r="U5668" s="29" t="str">
        <f>HYPERLINK("https://ictv.global/taxonomy/taxondetails?taxnode_id=202302957","ictv.global=202302957")</f>
        <v>ictv.global=202302957</v>
      </c>
    </row>
    <row r="5669" spans="1:21">
      <c r="A5669">
        <v>5668</v>
      </c>
      <c r="B5669" s="30" t="s">
        <v>1956</v>
      </c>
      <c r="D5669" s="30" t="s">
        <v>1985</v>
      </c>
      <c r="F5669" s="30" t="s">
        <v>2009</v>
      </c>
      <c r="H5669" s="30" t="s">
        <v>2010</v>
      </c>
      <c r="J5669" s="30" t="s">
        <v>2012</v>
      </c>
      <c r="L5669" s="30" t="s">
        <v>210</v>
      </c>
      <c r="N5669" s="30" t="s">
        <v>736</v>
      </c>
      <c r="P5669" s="30" t="s">
        <v>9018</v>
      </c>
      <c r="Q5669" t="s">
        <v>739</v>
      </c>
      <c r="R5669" t="s">
        <v>917</v>
      </c>
      <c r="S5669">
        <v>38</v>
      </c>
      <c r="T5669" s="29" t="str">
        <f t="shared" si="262"/>
        <v>2022.009D.Circoviridae_rensp101_nsp48.zip</v>
      </c>
      <c r="U5669" s="29" t="str">
        <f>HYPERLINK("https://ictv.global/taxonomy/taxondetails?taxnode_id=202314123","ictv.global=202314123")</f>
        <v>ictv.global=202314123</v>
      </c>
    </row>
    <row r="5670" spans="1:21">
      <c r="A5670">
        <v>5669</v>
      </c>
      <c r="B5670" s="30" t="s">
        <v>1956</v>
      </c>
      <c r="D5670" s="30" t="s">
        <v>1985</v>
      </c>
      <c r="F5670" s="30" t="s">
        <v>2009</v>
      </c>
      <c r="H5670" s="30" t="s">
        <v>2010</v>
      </c>
      <c r="J5670" s="30" t="s">
        <v>2012</v>
      </c>
      <c r="L5670" s="30" t="s">
        <v>210</v>
      </c>
      <c r="N5670" s="30" t="s">
        <v>736</v>
      </c>
      <c r="P5670" s="30" t="s">
        <v>9019</v>
      </c>
      <c r="Q5670" t="s">
        <v>739</v>
      </c>
      <c r="R5670" t="s">
        <v>917</v>
      </c>
      <c r="S5670">
        <v>38</v>
      </c>
      <c r="T5670" s="29" t="str">
        <f t="shared" si="262"/>
        <v>2022.009D.Circoviridae_rensp101_nsp48.zip</v>
      </c>
      <c r="U5670" s="29" t="str">
        <f>HYPERLINK("https://ictv.global/taxonomy/taxondetails?taxnode_id=202314093","ictv.global=202314093")</f>
        <v>ictv.global=202314093</v>
      </c>
    </row>
    <row r="5671" spans="1:21">
      <c r="A5671">
        <v>5670</v>
      </c>
      <c r="B5671" s="30" t="s">
        <v>1956</v>
      </c>
      <c r="D5671" s="30" t="s">
        <v>1985</v>
      </c>
      <c r="F5671" s="30" t="s">
        <v>2009</v>
      </c>
      <c r="H5671" s="30" t="s">
        <v>2010</v>
      </c>
      <c r="J5671" s="30" t="s">
        <v>2012</v>
      </c>
      <c r="L5671" s="30" t="s">
        <v>210</v>
      </c>
      <c r="N5671" s="30" t="s">
        <v>736</v>
      </c>
      <c r="P5671" s="30" t="s">
        <v>9020</v>
      </c>
      <c r="Q5671" t="s">
        <v>739</v>
      </c>
      <c r="R5671" t="s">
        <v>917</v>
      </c>
      <c r="S5671">
        <v>38</v>
      </c>
      <c r="T5671" s="29" t="str">
        <f t="shared" si="262"/>
        <v>2022.009D.Circoviridae_rensp101_nsp48.zip</v>
      </c>
      <c r="U5671" s="29" t="str">
        <f>HYPERLINK("https://ictv.global/taxonomy/taxondetails?taxnode_id=202314101","ictv.global=202314101")</f>
        <v>ictv.global=202314101</v>
      </c>
    </row>
    <row r="5672" spans="1:21">
      <c r="A5672">
        <v>5671</v>
      </c>
      <c r="B5672" s="30" t="s">
        <v>1956</v>
      </c>
      <c r="D5672" s="30" t="s">
        <v>1985</v>
      </c>
      <c r="F5672" s="30" t="s">
        <v>2009</v>
      </c>
      <c r="H5672" s="30" t="s">
        <v>2010</v>
      </c>
      <c r="J5672" s="30" t="s">
        <v>2012</v>
      </c>
      <c r="L5672" s="30" t="s">
        <v>210</v>
      </c>
      <c r="N5672" s="30" t="s">
        <v>736</v>
      </c>
      <c r="P5672" s="30" t="s">
        <v>9021</v>
      </c>
      <c r="Q5672" t="s">
        <v>622</v>
      </c>
      <c r="R5672" t="s">
        <v>920</v>
      </c>
      <c r="S5672">
        <v>38</v>
      </c>
      <c r="T5672" s="29" t="str">
        <f t="shared" si="262"/>
        <v>2022.009D.Circoviridae_rensp101_nsp48.zip</v>
      </c>
      <c r="U5672" s="29" t="str">
        <f>HYPERLINK("https://ictv.global/taxonomy/taxondetails?taxnode_id=202302969","ictv.global=202302969")</f>
        <v>ictv.global=202302969</v>
      </c>
    </row>
    <row r="5673" spans="1:21">
      <c r="A5673">
        <v>5672</v>
      </c>
      <c r="B5673" s="30" t="s">
        <v>1956</v>
      </c>
      <c r="D5673" s="30" t="s">
        <v>1985</v>
      </c>
      <c r="F5673" s="30" t="s">
        <v>2009</v>
      </c>
      <c r="H5673" s="30" t="s">
        <v>2010</v>
      </c>
      <c r="J5673" s="30" t="s">
        <v>2012</v>
      </c>
      <c r="L5673" s="30" t="s">
        <v>210</v>
      </c>
      <c r="N5673" s="30" t="s">
        <v>736</v>
      </c>
      <c r="P5673" s="30" t="s">
        <v>9022</v>
      </c>
      <c r="Q5673" t="s">
        <v>622</v>
      </c>
      <c r="R5673" t="s">
        <v>920</v>
      </c>
      <c r="S5673">
        <v>38</v>
      </c>
      <c r="T5673" s="29" t="str">
        <f t="shared" si="262"/>
        <v>2022.009D.Circoviridae_rensp101_nsp48.zip</v>
      </c>
      <c r="U5673" s="29" t="str">
        <f>HYPERLINK("https://ictv.global/taxonomy/taxondetails?taxnode_id=202302943","ictv.global=202302943")</f>
        <v>ictv.global=202302943</v>
      </c>
    </row>
    <row r="5674" spans="1:21">
      <c r="A5674">
        <v>5673</v>
      </c>
      <c r="B5674" s="30" t="s">
        <v>1956</v>
      </c>
      <c r="D5674" s="30" t="s">
        <v>1985</v>
      </c>
      <c r="F5674" s="30" t="s">
        <v>2009</v>
      </c>
      <c r="H5674" s="30" t="s">
        <v>2010</v>
      </c>
      <c r="J5674" s="30" t="s">
        <v>2012</v>
      </c>
      <c r="L5674" s="30" t="s">
        <v>210</v>
      </c>
      <c r="N5674" s="30" t="s">
        <v>736</v>
      </c>
      <c r="P5674" s="30" t="s">
        <v>9023</v>
      </c>
      <c r="Q5674" t="s">
        <v>739</v>
      </c>
      <c r="R5674" t="s">
        <v>917</v>
      </c>
      <c r="S5674">
        <v>38</v>
      </c>
      <c r="T5674" s="29" t="str">
        <f t="shared" si="262"/>
        <v>2022.009D.Circoviridae_rensp101_nsp48.zip</v>
      </c>
      <c r="U5674" s="29" t="str">
        <f>HYPERLINK("https://ictv.global/taxonomy/taxondetails?taxnode_id=202314091","ictv.global=202314091")</f>
        <v>ictv.global=202314091</v>
      </c>
    </row>
    <row r="5675" spans="1:21">
      <c r="A5675">
        <v>5674</v>
      </c>
      <c r="B5675" s="30" t="s">
        <v>1956</v>
      </c>
      <c r="D5675" s="30" t="s">
        <v>1985</v>
      </c>
      <c r="F5675" s="30" t="s">
        <v>2009</v>
      </c>
      <c r="H5675" s="30" t="s">
        <v>2010</v>
      </c>
      <c r="J5675" s="30" t="s">
        <v>2012</v>
      </c>
      <c r="L5675" s="30" t="s">
        <v>210</v>
      </c>
      <c r="N5675" s="30" t="s">
        <v>736</v>
      </c>
      <c r="P5675" s="30" t="s">
        <v>9024</v>
      </c>
      <c r="Q5675" t="s">
        <v>622</v>
      </c>
      <c r="R5675" t="s">
        <v>920</v>
      </c>
      <c r="S5675">
        <v>38</v>
      </c>
      <c r="T5675" s="29" t="str">
        <f t="shared" si="262"/>
        <v>2022.009D.Circoviridae_rensp101_nsp48.zip</v>
      </c>
      <c r="U5675" s="29" t="str">
        <f>HYPERLINK("https://ictv.global/taxonomy/taxondetails?taxnode_id=202302945","ictv.global=202302945")</f>
        <v>ictv.global=202302945</v>
      </c>
    </row>
    <row r="5676" spans="1:21">
      <c r="A5676">
        <v>5675</v>
      </c>
      <c r="B5676" s="30" t="s">
        <v>1956</v>
      </c>
      <c r="D5676" s="30" t="s">
        <v>1985</v>
      </c>
      <c r="F5676" s="30" t="s">
        <v>2009</v>
      </c>
      <c r="H5676" s="30" t="s">
        <v>2010</v>
      </c>
      <c r="J5676" s="30" t="s">
        <v>2012</v>
      </c>
      <c r="L5676" s="30" t="s">
        <v>210</v>
      </c>
      <c r="N5676" s="30" t="s">
        <v>736</v>
      </c>
      <c r="P5676" s="30" t="s">
        <v>9025</v>
      </c>
      <c r="Q5676" t="s">
        <v>622</v>
      </c>
      <c r="R5676" t="s">
        <v>920</v>
      </c>
      <c r="S5676">
        <v>38</v>
      </c>
      <c r="T5676" s="29" t="str">
        <f t="shared" si="262"/>
        <v>2022.009D.Circoviridae_rensp101_nsp48.zip</v>
      </c>
      <c r="U5676" s="29" t="str">
        <f>HYPERLINK("https://ictv.global/taxonomy/taxondetails?taxnode_id=202302944","ictv.global=202302944")</f>
        <v>ictv.global=202302944</v>
      </c>
    </row>
    <row r="5677" spans="1:21">
      <c r="A5677">
        <v>5676</v>
      </c>
      <c r="B5677" s="30" t="s">
        <v>1956</v>
      </c>
      <c r="D5677" s="30" t="s">
        <v>1985</v>
      </c>
      <c r="F5677" s="30" t="s">
        <v>2009</v>
      </c>
      <c r="H5677" s="30" t="s">
        <v>2010</v>
      </c>
      <c r="J5677" s="30" t="s">
        <v>2012</v>
      </c>
      <c r="L5677" s="30" t="s">
        <v>210</v>
      </c>
      <c r="N5677" s="30" t="s">
        <v>736</v>
      </c>
      <c r="P5677" s="30" t="s">
        <v>9026</v>
      </c>
      <c r="Q5677" t="s">
        <v>622</v>
      </c>
      <c r="R5677" t="s">
        <v>920</v>
      </c>
      <c r="S5677">
        <v>38</v>
      </c>
      <c r="T5677" s="29" t="str">
        <f t="shared" si="262"/>
        <v>2022.009D.Circoviridae_rensp101_nsp48.zip</v>
      </c>
      <c r="U5677" s="29" t="str">
        <f>HYPERLINK("https://ictv.global/taxonomy/taxondetails?taxnode_id=202302946","ictv.global=202302946")</f>
        <v>ictv.global=202302946</v>
      </c>
    </row>
    <row r="5678" spans="1:21">
      <c r="A5678">
        <v>5677</v>
      </c>
      <c r="B5678" s="30" t="s">
        <v>1956</v>
      </c>
      <c r="D5678" s="30" t="s">
        <v>1985</v>
      </c>
      <c r="F5678" s="30" t="s">
        <v>2009</v>
      </c>
      <c r="H5678" s="30" t="s">
        <v>2010</v>
      </c>
      <c r="J5678" s="30" t="s">
        <v>2012</v>
      </c>
      <c r="L5678" s="30" t="s">
        <v>210</v>
      </c>
      <c r="N5678" s="30" t="s">
        <v>736</v>
      </c>
      <c r="P5678" s="30" t="s">
        <v>9027</v>
      </c>
      <c r="Q5678" t="s">
        <v>739</v>
      </c>
      <c r="R5678" t="s">
        <v>917</v>
      </c>
      <c r="S5678">
        <v>38</v>
      </c>
      <c r="T5678" s="29" t="str">
        <f t="shared" si="262"/>
        <v>2022.009D.Circoviridae_rensp101_nsp48.zip</v>
      </c>
      <c r="U5678" s="29" t="str">
        <f>HYPERLINK("https://ictv.global/taxonomy/taxondetails?taxnode_id=202314095","ictv.global=202314095")</f>
        <v>ictv.global=202314095</v>
      </c>
    </row>
    <row r="5679" spans="1:21">
      <c r="A5679">
        <v>5678</v>
      </c>
      <c r="B5679" s="30" t="s">
        <v>1956</v>
      </c>
      <c r="D5679" s="30" t="s">
        <v>1985</v>
      </c>
      <c r="F5679" s="30" t="s">
        <v>2009</v>
      </c>
      <c r="H5679" s="30" t="s">
        <v>2010</v>
      </c>
      <c r="J5679" s="30" t="s">
        <v>2012</v>
      </c>
      <c r="L5679" s="30" t="s">
        <v>210</v>
      </c>
      <c r="N5679" s="30" t="s">
        <v>736</v>
      </c>
      <c r="P5679" s="30" t="s">
        <v>9028</v>
      </c>
      <c r="Q5679" t="s">
        <v>622</v>
      </c>
      <c r="R5679" t="s">
        <v>920</v>
      </c>
      <c r="S5679">
        <v>38</v>
      </c>
      <c r="T5679" s="29" t="str">
        <f t="shared" si="262"/>
        <v>2022.009D.Circoviridae_rensp101_nsp48.zip</v>
      </c>
      <c r="U5679" s="29" t="str">
        <f>HYPERLINK("https://ictv.global/taxonomy/taxondetails?taxnode_id=202306572","ictv.global=202306572")</f>
        <v>ictv.global=202306572</v>
      </c>
    </row>
    <row r="5680" spans="1:21">
      <c r="A5680">
        <v>5679</v>
      </c>
      <c r="B5680" s="30" t="s">
        <v>1956</v>
      </c>
      <c r="D5680" s="30" t="s">
        <v>1985</v>
      </c>
      <c r="F5680" s="30" t="s">
        <v>2009</v>
      </c>
      <c r="H5680" s="30" t="s">
        <v>2010</v>
      </c>
      <c r="J5680" s="30" t="s">
        <v>2012</v>
      </c>
      <c r="L5680" s="30" t="s">
        <v>210</v>
      </c>
      <c r="N5680" s="30" t="s">
        <v>736</v>
      </c>
      <c r="P5680" s="30" t="s">
        <v>9029</v>
      </c>
      <c r="Q5680" t="s">
        <v>622</v>
      </c>
      <c r="R5680" t="s">
        <v>920</v>
      </c>
      <c r="S5680">
        <v>38</v>
      </c>
      <c r="T5680" s="29" t="str">
        <f t="shared" si="262"/>
        <v>2022.009D.Circoviridae_rensp101_nsp48.zip</v>
      </c>
      <c r="U5680" s="29" t="str">
        <f>HYPERLINK("https://ictv.global/taxonomy/taxondetails?taxnode_id=202302936","ictv.global=202302936")</f>
        <v>ictv.global=202302936</v>
      </c>
    </row>
    <row r="5681" spans="1:21">
      <c r="A5681">
        <v>5680</v>
      </c>
      <c r="B5681" s="30" t="s">
        <v>1956</v>
      </c>
      <c r="D5681" s="30" t="s">
        <v>1985</v>
      </c>
      <c r="F5681" s="30" t="s">
        <v>2009</v>
      </c>
      <c r="H5681" s="30" t="s">
        <v>2010</v>
      </c>
      <c r="J5681" s="30" t="s">
        <v>2012</v>
      </c>
      <c r="L5681" s="30" t="s">
        <v>210</v>
      </c>
      <c r="N5681" s="30" t="s">
        <v>736</v>
      </c>
      <c r="P5681" s="30" t="s">
        <v>9030</v>
      </c>
      <c r="Q5681" t="s">
        <v>739</v>
      </c>
      <c r="R5681" t="s">
        <v>917</v>
      </c>
      <c r="S5681">
        <v>38</v>
      </c>
      <c r="T5681" s="29" t="str">
        <f t="shared" si="262"/>
        <v>2022.009D.Circoviridae_rensp101_nsp48.zip</v>
      </c>
      <c r="U5681" s="29" t="str">
        <f>HYPERLINK("https://ictv.global/taxonomy/taxondetails?taxnode_id=202314124","ictv.global=202314124")</f>
        <v>ictv.global=202314124</v>
      </c>
    </row>
    <row r="5682" spans="1:21">
      <c r="A5682">
        <v>5681</v>
      </c>
      <c r="B5682" s="30" t="s">
        <v>1956</v>
      </c>
      <c r="D5682" s="30" t="s">
        <v>1985</v>
      </c>
      <c r="F5682" s="30" t="s">
        <v>2009</v>
      </c>
      <c r="H5682" s="30" t="s">
        <v>2010</v>
      </c>
      <c r="J5682" s="30" t="s">
        <v>2012</v>
      </c>
      <c r="L5682" s="30" t="s">
        <v>210</v>
      </c>
      <c r="N5682" s="30" t="s">
        <v>736</v>
      </c>
      <c r="P5682" s="30" t="s">
        <v>9031</v>
      </c>
      <c r="Q5682" t="s">
        <v>739</v>
      </c>
      <c r="R5682" t="s">
        <v>917</v>
      </c>
      <c r="S5682">
        <v>38</v>
      </c>
      <c r="T5682" s="29" t="str">
        <f t="shared" si="262"/>
        <v>2022.009D.Circoviridae_rensp101_nsp48.zip</v>
      </c>
      <c r="U5682" s="29" t="str">
        <f>HYPERLINK("https://ictv.global/taxonomy/taxondetails?taxnode_id=202314098","ictv.global=202314098")</f>
        <v>ictv.global=202314098</v>
      </c>
    </row>
    <row r="5683" spans="1:21">
      <c r="A5683">
        <v>5682</v>
      </c>
      <c r="B5683" s="30" t="s">
        <v>1956</v>
      </c>
      <c r="D5683" s="30" t="s">
        <v>1985</v>
      </c>
      <c r="F5683" s="30" t="s">
        <v>2009</v>
      </c>
      <c r="H5683" s="30" t="s">
        <v>2010</v>
      </c>
      <c r="J5683" s="30" t="s">
        <v>2012</v>
      </c>
      <c r="L5683" s="30" t="s">
        <v>210</v>
      </c>
      <c r="N5683" s="30" t="s">
        <v>736</v>
      </c>
      <c r="P5683" s="30" t="s">
        <v>9032</v>
      </c>
      <c r="Q5683" t="s">
        <v>739</v>
      </c>
      <c r="R5683" t="s">
        <v>917</v>
      </c>
      <c r="S5683">
        <v>38</v>
      </c>
      <c r="T5683" s="29" t="str">
        <f t="shared" si="262"/>
        <v>2022.009D.Circoviridae_rensp101_nsp48.zip</v>
      </c>
      <c r="U5683" s="29" t="str">
        <f>HYPERLINK("https://ictv.global/taxonomy/taxondetails?taxnode_id=202314108","ictv.global=202314108")</f>
        <v>ictv.global=202314108</v>
      </c>
    </row>
    <row r="5684" spans="1:21">
      <c r="A5684">
        <v>5683</v>
      </c>
      <c r="B5684" s="30" t="s">
        <v>1956</v>
      </c>
      <c r="D5684" s="30" t="s">
        <v>1985</v>
      </c>
      <c r="F5684" s="30" t="s">
        <v>2009</v>
      </c>
      <c r="H5684" s="30" t="s">
        <v>2010</v>
      </c>
      <c r="J5684" s="30" t="s">
        <v>2012</v>
      </c>
      <c r="L5684" s="30" t="s">
        <v>210</v>
      </c>
      <c r="N5684" s="30" t="s">
        <v>736</v>
      </c>
      <c r="P5684" s="30" t="s">
        <v>9033</v>
      </c>
      <c r="Q5684" t="s">
        <v>739</v>
      </c>
      <c r="R5684" t="s">
        <v>917</v>
      </c>
      <c r="S5684">
        <v>38</v>
      </c>
      <c r="T5684" s="29" t="str">
        <f t="shared" si="262"/>
        <v>2022.009D.Circoviridae_rensp101_nsp48.zip</v>
      </c>
      <c r="U5684" s="29" t="str">
        <f>HYPERLINK("https://ictv.global/taxonomy/taxondetails?taxnode_id=202314096","ictv.global=202314096")</f>
        <v>ictv.global=202314096</v>
      </c>
    </row>
    <row r="5685" spans="1:21">
      <c r="A5685">
        <v>5684</v>
      </c>
      <c r="B5685" s="30" t="s">
        <v>1956</v>
      </c>
      <c r="D5685" s="30" t="s">
        <v>1985</v>
      </c>
      <c r="F5685" s="30" t="s">
        <v>2009</v>
      </c>
      <c r="H5685" s="30" t="s">
        <v>2010</v>
      </c>
      <c r="J5685" s="30" t="s">
        <v>2012</v>
      </c>
      <c r="L5685" s="30" t="s">
        <v>210</v>
      </c>
      <c r="N5685" s="30" t="s">
        <v>736</v>
      </c>
      <c r="P5685" s="30" t="s">
        <v>9034</v>
      </c>
      <c r="Q5685" t="s">
        <v>622</v>
      </c>
      <c r="R5685" t="s">
        <v>920</v>
      </c>
      <c r="S5685">
        <v>38</v>
      </c>
      <c r="T5685" s="29" t="str">
        <f t="shared" si="262"/>
        <v>2022.009D.Circoviridae_rensp101_nsp48.zip</v>
      </c>
      <c r="U5685" s="29" t="str">
        <f>HYPERLINK("https://ictv.global/taxonomy/taxondetails?taxnode_id=202306571","ictv.global=202306571")</f>
        <v>ictv.global=202306571</v>
      </c>
    </row>
    <row r="5686" spans="1:21">
      <c r="A5686">
        <v>5685</v>
      </c>
      <c r="B5686" s="30" t="s">
        <v>1956</v>
      </c>
      <c r="D5686" s="30" t="s">
        <v>1985</v>
      </c>
      <c r="F5686" s="30" t="s">
        <v>2009</v>
      </c>
      <c r="H5686" s="30" t="s">
        <v>2010</v>
      </c>
      <c r="J5686" s="30" t="s">
        <v>2012</v>
      </c>
      <c r="L5686" s="30" t="s">
        <v>210</v>
      </c>
      <c r="N5686" s="30" t="s">
        <v>736</v>
      </c>
      <c r="P5686" s="30" t="s">
        <v>9035</v>
      </c>
      <c r="Q5686" t="s">
        <v>622</v>
      </c>
      <c r="R5686" t="s">
        <v>920</v>
      </c>
      <c r="S5686">
        <v>38</v>
      </c>
      <c r="T5686" s="29" t="str">
        <f t="shared" si="262"/>
        <v>2022.009D.Circoviridae_rensp101_nsp48.zip</v>
      </c>
      <c r="U5686" s="29" t="str">
        <f>HYPERLINK("https://ictv.global/taxonomy/taxondetails?taxnode_id=202302973","ictv.global=202302973")</f>
        <v>ictv.global=202302973</v>
      </c>
    </row>
    <row r="5687" spans="1:21">
      <c r="A5687">
        <v>5686</v>
      </c>
      <c r="B5687" s="30" t="s">
        <v>1956</v>
      </c>
      <c r="D5687" s="30" t="s">
        <v>1985</v>
      </c>
      <c r="F5687" s="30" t="s">
        <v>2009</v>
      </c>
      <c r="H5687" s="30" t="s">
        <v>2010</v>
      </c>
      <c r="J5687" s="30" t="s">
        <v>2012</v>
      </c>
      <c r="L5687" s="30" t="s">
        <v>210</v>
      </c>
      <c r="N5687" s="30" t="s">
        <v>736</v>
      </c>
      <c r="P5687" s="30" t="s">
        <v>9036</v>
      </c>
      <c r="Q5687" t="s">
        <v>622</v>
      </c>
      <c r="R5687" t="s">
        <v>920</v>
      </c>
      <c r="S5687">
        <v>38</v>
      </c>
      <c r="T5687" s="29" t="str">
        <f t="shared" si="262"/>
        <v>2022.009D.Circoviridae_rensp101_nsp48.zip</v>
      </c>
      <c r="U5687" s="29" t="str">
        <f>HYPERLINK("https://ictv.global/taxonomy/taxondetails?taxnode_id=202302950","ictv.global=202302950")</f>
        <v>ictv.global=202302950</v>
      </c>
    </row>
    <row r="5688" spans="1:21">
      <c r="A5688">
        <v>5687</v>
      </c>
      <c r="B5688" s="30" t="s">
        <v>1956</v>
      </c>
      <c r="D5688" s="30" t="s">
        <v>1985</v>
      </c>
      <c r="F5688" s="30" t="s">
        <v>2009</v>
      </c>
      <c r="H5688" s="30" t="s">
        <v>2010</v>
      </c>
      <c r="J5688" s="30" t="s">
        <v>2012</v>
      </c>
      <c r="L5688" s="30" t="s">
        <v>210</v>
      </c>
      <c r="N5688" s="30" t="s">
        <v>736</v>
      </c>
      <c r="P5688" s="30" t="s">
        <v>9037</v>
      </c>
      <c r="Q5688" t="s">
        <v>735</v>
      </c>
      <c r="R5688" t="s">
        <v>920</v>
      </c>
      <c r="S5688">
        <v>38</v>
      </c>
      <c r="T5688" s="29" t="str">
        <f t="shared" si="262"/>
        <v>2022.009D.Circoviridae_rensp101_nsp48.zip</v>
      </c>
      <c r="U5688" s="29" t="str">
        <f>HYPERLINK("https://ictv.global/taxonomy/taxondetails?taxnode_id=202309257","ictv.global=202309257")</f>
        <v>ictv.global=202309257</v>
      </c>
    </row>
    <row r="5689" spans="1:21">
      <c r="A5689">
        <v>5688</v>
      </c>
      <c r="B5689" s="30" t="s">
        <v>1956</v>
      </c>
      <c r="D5689" s="30" t="s">
        <v>1985</v>
      </c>
      <c r="F5689" s="30" t="s">
        <v>2009</v>
      </c>
      <c r="H5689" s="30" t="s">
        <v>2010</v>
      </c>
      <c r="J5689" s="30" t="s">
        <v>2012</v>
      </c>
      <c r="L5689" s="30" t="s">
        <v>210</v>
      </c>
      <c r="N5689" s="30" t="s">
        <v>736</v>
      </c>
      <c r="P5689" s="30" t="s">
        <v>9038</v>
      </c>
      <c r="Q5689" t="s">
        <v>739</v>
      </c>
      <c r="R5689" t="s">
        <v>917</v>
      </c>
      <c r="S5689">
        <v>38</v>
      </c>
      <c r="T5689" s="29" t="str">
        <f t="shared" si="262"/>
        <v>2022.009D.Circoviridae_rensp101_nsp48.zip</v>
      </c>
      <c r="U5689" s="29" t="str">
        <f>HYPERLINK("https://ictv.global/taxonomy/taxondetails?taxnode_id=202314113","ictv.global=202314113")</f>
        <v>ictv.global=202314113</v>
      </c>
    </row>
    <row r="5690" spans="1:21">
      <c r="A5690">
        <v>5689</v>
      </c>
      <c r="B5690" s="30" t="s">
        <v>1956</v>
      </c>
      <c r="D5690" s="30" t="s">
        <v>1985</v>
      </c>
      <c r="F5690" s="30" t="s">
        <v>2009</v>
      </c>
      <c r="H5690" s="30" t="s">
        <v>2010</v>
      </c>
      <c r="J5690" s="30" t="s">
        <v>2012</v>
      </c>
      <c r="L5690" s="30" t="s">
        <v>210</v>
      </c>
      <c r="N5690" s="30" t="s">
        <v>736</v>
      </c>
      <c r="P5690" s="30" t="s">
        <v>9039</v>
      </c>
      <c r="Q5690" t="s">
        <v>739</v>
      </c>
      <c r="R5690" t="s">
        <v>917</v>
      </c>
      <c r="S5690">
        <v>38</v>
      </c>
      <c r="T5690" s="29" t="str">
        <f t="shared" si="262"/>
        <v>2022.009D.Circoviridae_rensp101_nsp48.zip</v>
      </c>
      <c r="U5690" s="29" t="str">
        <f>HYPERLINK("https://ictv.global/taxonomy/taxondetails?taxnode_id=202314097","ictv.global=202314097")</f>
        <v>ictv.global=202314097</v>
      </c>
    </row>
    <row r="5691" spans="1:21">
      <c r="A5691">
        <v>5690</v>
      </c>
      <c r="B5691" s="30" t="s">
        <v>1956</v>
      </c>
      <c r="D5691" s="30" t="s">
        <v>1985</v>
      </c>
      <c r="F5691" s="30" t="s">
        <v>2009</v>
      </c>
      <c r="H5691" s="30" t="s">
        <v>2010</v>
      </c>
      <c r="J5691" s="30" t="s">
        <v>2012</v>
      </c>
      <c r="L5691" s="30" t="s">
        <v>210</v>
      </c>
      <c r="N5691" s="30" t="s">
        <v>736</v>
      </c>
      <c r="P5691" s="30" t="s">
        <v>9040</v>
      </c>
      <c r="Q5691" t="s">
        <v>739</v>
      </c>
      <c r="R5691" t="s">
        <v>917</v>
      </c>
      <c r="S5691">
        <v>38</v>
      </c>
      <c r="T5691" s="29" t="str">
        <f t="shared" si="262"/>
        <v>2022.009D.Circoviridae_rensp101_nsp48.zip</v>
      </c>
      <c r="U5691" s="29" t="str">
        <f>HYPERLINK("https://ictv.global/taxonomy/taxondetails?taxnode_id=202314106","ictv.global=202314106")</f>
        <v>ictv.global=202314106</v>
      </c>
    </row>
    <row r="5692" spans="1:21">
      <c r="A5692">
        <v>5691</v>
      </c>
      <c r="B5692" s="30" t="s">
        <v>1956</v>
      </c>
      <c r="D5692" s="30" t="s">
        <v>1985</v>
      </c>
      <c r="F5692" s="30" t="s">
        <v>2009</v>
      </c>
      <c r="H5692" s="30" t="s">
        <v>2010</v>
      </c>
      <c r="J5692" s="30" t="s">
        <v>2012</v>
      </c>
      <c r="L5692" s="30" t="s">
        <v>210</v>
      </c>
      <c r="N5692" s="30" t="s">
        <v>736</v>
      </c>
      <c r="P5692" s="30" t="s">
        <v>9041</v>
      </c>
      <c r="Q5692" t="s">
        <v>739</v>
      </c>
      <c r="R5692" t="s">
        <v>917</v>
      </c>
      <c r="S5692">
        <v>38</v>
      </c>
      <c r="T5692" s="29" t="str">
        <f t="shared" si="262"/>
        <v>2022.009D.Circoviridae_rensp101_nsp48.zip</v>
      </c>
      <c r="U5692" s="29" t="str">
        <f>HYPERLINK("https://ictv.global/taxonomy/taxondetails?taxnode_id=202314107","ictv.global=202314107")</f>
        <v>ictv.global=202314107</v>
      </c>
    </row>
    <row r="5693" spans="1:21">
      <c r="A5693">
        <v>5692</v>
      </c>
      <c r="B5693" s="30" t="s">
        <v>1956</v>
      </c>
      <c r="D5693" s="30" t="s">
        <v>1985</v>
      </c>
      <c r="F5693" s="30" t="s">
        <v>2009</v>
      </c>
      <c r="H5693" s="30" t="s">
        <v>2010</v>
      </c>
      <c r="J5693" s="30" t="s">
        <v>2012</v>
      </c>
      <c r="L5693" s="30" t="s">
        <v>210</v>
      </c>
      <c r="N5693" s="30" t="s">
        <v>736</v>
      </c>
      <c r="P5693" s="30" t="s">
        <v>9042</v>
      </c>
      <c r="Q5693" t="s">
        <v>622</v>
      </c>
      <c r="R5693" t="s">
        <v>920</v>
      </c>
      <c r="S5693">
        <v>38</v>
      </c>
      <c r="T5693" s="29" t="str">
        <f t="shared" ref="T5693:T5705" si="263">HYPERLINK("https://ictv.global/ictv/proposals/2022.009D.Circoviridae_rensp101_nsp48.zip","2022.009D.Circoviridae_rensp101_nsp48.zip")</f>
        <v>2022.009D.Circoviridae_rensp101_nsp48.zip</v>
      </c>
      <c r="U5693" s="29" t="str">
        <f>HYPERLINK("https://ictv.global/taxonomy/taxondetails?taxnode_id=202302934","ictv.global=202302934")</f>
        <v>ictv.global=202302934</v>
      </c>
    </row>
    <row r="5694" spans="1:21">
      <c r="A5694">
        <v>5693</v>
      </c>
      <c r="B5694" s="30" t="s">
        <v>1956</v>
      </c>
      <c r="D5694" s="30" t="s">
        <v>1985</v>
      </c>
      <c r="F5694" s="30" t="s">
        <v>2009</v>
      </c>
      <c r="H5694" s="30" t="s">
        <v>2010</v>
      </c>
      <c r="J5694" s="30" t="s">
        <v>2012</v>
      </c>
      <c r="L5694" s="30" t="s">
        <v>210</v>
      </c>
      <c r="N5694" s="30" t="s">
        <v>736</v>
      </c>
      <c r="P5694" s="30" t="s">
        <v>9043</v>
      </c>
      <c r="Q5694" t="s">
        <v>622</v>
      </c>
      <c r="R5694" t="s">
        <v>920</v>
      </c>
      <c r="S5694">
        <v>38</v>
      </c>
      <c r="T5694" s="29" t="str">
        <f t="shared" si="263"/>
        <v>2022.009D.Circoviridae_rensp101_nsp48.zip</v>
      </c>
      <c r="U5694" s="29" t="str">
        <f>HYPERLINK("https://ictv.global/taxonomy/taxondetails?taxnode_id=202302949","ictv.global=202302949")</f>
        <v>ictv.global=202302949</v>
      </c>
    </row>
    <row r="5695" spans="1:21">
      <c r="A5695">
        <v>5694</v>
      </c>
      <c r="B5695" s="30" t="s">
        <v>1956</v>
      </c>
      <c r="D5695" s="30" t="s">
        <v>1985</v>
      </c>
      <c r="F5695" s="30" t="s">
        <v>2009</v>
      </c>
      <c r="H5695" s="30" t="s">
        <v>2010</v>
      </c>
      <c r="J5695" s="30" t="s">
        <v>2012</v>
      </c>
      <c r="L5695" s="30" t="s">
        <v>210</v>
      </c>
      <c r="N5695" s="30" t="s">
        <v>736</v>
      </c>
      <c r="P5695" s="30" t="s">
        <v>9044</v>
      </c>
      <c r="Q5695" t="s">
        <v>739</v>
      </c>
      <c r="R5695" t="s">
        <v>917</v>
      </c>
      <c r="S5695">
        <v>38</v>
      </c>
      <c r="T5695" s="29" t="str">
        <f t="shared" si="263"/>
        <v>2022.009D.Circoviridae_rensp101_nsp48.zip</v>
      </c>
      <c r="U5695" s="29" t="str">
        <f>HYPERLINK("https://ictv.global/taxonomy/taxondetails?taxnode_id=202314121","ictv.global=202314121")</f>
        <v>ictv.global=202314121</v>
      </c>
    </row>
    <row r="5696" spans="1:21">
      <c r="A5696">
        <v>5695</v>
      </c>
      <c r="B5696" s="30" t="s">
        <v>1956</v>
      </c>
      <c r="D5696" s="30" t="s">
        <v>1985</v>
      </c>
      <c r="F5696" s="30" t="s">
        <v>2009</v>
      </c>
      <c r="H5696" s="30" t="s">
        <v>2010</v>
      </c>
      <c r="J5696" s="30" t="s">
        <v>2012</v>
      </c>
      <c r="L5696" s="30" t="s">
        <v>210</v>
      </c>
      <c r="N5696" s="30" t="s">
        <v>736</v>
      </c>
      <c r="P5696" s="30" t="s">
        <v>9045</v>
      </c>
      <c r="Q5696" t="s">
        <v>622</v>
      </c>
      <c r="R5696" t="s">
        <v>920</v>
      </c>
      <c r="S5696">
        <v>38</v>
      </c>
      <c r="T5696" s="29" t="str">
        <f t="shared" si="263"/>
        <v>2022.009D.Circoviridae_rensp101_nsp48.zip</v>
      </c>
      <c r="U5696" s="29" t="str">
        <f>HYPERLINK("https://ictv.global/taxonomy/taxondetails?taxnode_id=202302952","ictv.global=202302952")</f>
        <v>ictv.global=202302952</v>
      </c>
    </row>
    <row r="5697" spans="1:21">
      <c r="A5697">
        <v>5696</v>
      </c>
      <c r="B5697" s="30" t="s">
        <v>1956</v>
      </c>
      <c r="D5697" s="30" t="s">
        <v>1985</v>
      </c>
      <c r="F5697" s="30" t="s">
        <v>2009</v>
      </c>
      <c r="H5697" s="30" t="s">
        <v>2010</v>
      </c>
      <c r="J5697" s="30" t="s">
        <v>2012</v>
      </c>
      <c r="L5697" s="30" t="s">
        <v>210</v>
      </c>
      <c r="N5697" s="30" t="s">
        <v>736</v>
      </c>
      <c r="P5697" s="30" t="s">
        <v>9046</v>
      </c>
      <c r="Q5697" t="s">
        <v>622</v>
      </c>
      <c r="R5697" t="s">
        <v>920</v>
      </c>
      <c r="S5697">
        <v>38</v>
      </c>
      <c r="T5697" s="29" t="str">
        <f t="shared" si="263"/>
        <v>2022.009D.Circoviridae_rensp101_nsp48.zip</v>
      </c>
      <c r="U5697" s="29" t="str">
        <f>HYPERLINK("https://ictv.global/taxonomy/taxondetails?taxnode_id=202302958","ictv.global=202302958")</f>
        <v>ictv.global=202302958</v>
      </c>
    </row>
    <row r="5698" spans="1:21">
      <c r="A5698">
        <v>5697</v>
      </c>
      <c r="B5698" s="30" t="s">
        <v>1956</v>
      </c>
      <c r="D5698" s="30" t="s">
        <v>1985</v>
      </c>
      <c r="F5698" s="30" t="s">
        <v>2009</v>
      </c>
      <c r="H5698" s="30" t="s">
        <v>2010</v>
      </c>
      <c r="J5698" s="30" t="s">
        <v>2012</v>
      </c>
      <c r="L5698" s="30" t="s">
        <v>210</v>
      </c>
      <c r="N5698" s="30" t="s">
        <v>736</v>
      </c>
      <c r="P5698" s="30" t="s">
        <v>9047</v>
      </c>
      <c r="Q5698" t="s">
        <v>622</v>
      </c>
      <c r="R5698" t="s">
        <v>920</v>
      </c>
      <c r="S5698">
        <v>38</v>
      </c>
      <c r="T5698" s="29" t="str">
        <f t="shared" si="263"/>
        <v>2022.009D.Circoviridae_rensp101_nsp48.zip</v>
      </c>
      <c r="U5698" s="29" t="str">
        <f>HYPERLINK("https://ictv.global/taxonomy/taxondetails?taxnode_id=202302953","ictv.global=202302953")</f>
        <v>ictv.global=202302953</v>
      </c>
    </row>
    <row r="5699" spans="1:21">
      <c r="A5699">
        <v>5698</v>
      </c>
      <c r="B5699" s="30" t="s">
        <v>1956</v>
      </c>
      <c r="D5699" s="30" t="s">
        <v>1985</v>
      </c>
      <c r="F5699" s="30" t="s">
        <v>2009</v>
      </c>
      <c r="H5699" s="30" t="s">
        <v>2010</v>
      </c>
      <c r="J5699" s="30" t="s">
        <v>2012</v>
      </c>
      <c r="L5699" s="30" t="s">
        <v>210</v>
      </c>
      <c r="N5699" s="30" t="s">
        <v>736</v>
      </c>
      <c r="P5699" s="30" t="s">
        <v>9048</v>
      </c>
      <c r="Q5699" t="s">
        <v>739</v>
      </c>
      <c r="R5699" t="s">
        <v>917</v>
      </c>
      <c r="S5699">
        <v>38</v>
      </c>
      <c r="T5699" s="29" t="str">
        <f t="shared" si="263"/>
        <v>2022.009D.Circoviridae_rensp101_nsp48.zip</v>
      </c>
      <c r="U5699" s="29" t="str">
        <f>HYPERLINK("https://ictv.global/taxonomy/taxondetails?taxnode_id=202314094","ictv.global=202314094")</f>
        <v>ictv.global=202314094</v>
      </c>
    </row>
    <row r="5700" spans="1:21">
      <c r="A5700">
        <v>5699</v>
      </c>
      <c r="B5700" s="30" t="s">
        <v>1956</v>
      </c>
      <c r="D5700" s="30" t="s">
        <v>1985</v>
      </c>
      <c r="F5700" s="30" t="s">
        <v>2009</v>
      </c>
      <c r="H5700" s="30" t="s">
        <v>2010</v>
      </c>
      <c r="J5700" s="30" t="s">
        <v>2012</v>
      </c>
      <c r="L5700" s="30" t="s">
        <v>210</v>
      </c>
      <c r="N5700" s="30" t="s">
        <v>736</v>
      </c>
      <c r="P5700" s="30" t="s">
        <v>9049</v>
      </c>
      <c r="Q5700" t="s">
        <v>739</v>
      </c>
      <c r="R5700" t="s">
        <v>917</v>
      </c>
      <c r="S5700">
        <v>38</v>
      </c>
      <c r="T5700" s="29" t="str">
        <f t="shared" si="263"/>
        <v>2022.009D.Circoviridae_rensp101_nsp48.zip</v>
      </c>
      <c r="U5700" s="29" t="str">
        <f>HYPERLINK("https://ictv.global/taxonomy/taxondetails?taxnode_id=202314092","ictv.global=202314092")</f>
        <v>ictv.global=202314092</v>
      </c>
    </row>
    <row r="5701" spans="1:21">
      <c r="A5701">
        <v>5700</v>
      </c>
      <c r="B5701" s="30" t="s">
        <v>1956</v>
      </c>
      <c r="D5701" s="30" t="s">
        <v>1985</v>
      </c>
      <c r="F5701" s="30" t="s">
        <v>2009</v>
      </c>
      <c r="H5701" s="30" t="s">
        <v>2010</v>
      </c>
      <c r="J5701" s="30" t="s">
        <v>2012</v>
      </c>
      <c r="L5701" s="30" t="s">
        <v>210</v>
      </c>
      <c r="N5701" s="30" t="s">
        <v>736</v>
      </c>
      <c r="P5701" s="30" t="s">
        <v>9050</v>
      </c>
      <c r="Q5701" t="s">
        <v>622</v>
      </c>
      <c r="R5701" t="s">
        <v>920</v>
      </c>
      <c r="S5701">
        <v>38</v>
      </c>
      <c r="T5701" s="29" t="str">
        <f t="shared" si="263"/>
        <v>2022.009D.Circoviridae_rensp101_nsp48.zip</v>
      </c>
      <c r="U5701" s="29" t="str">
        <f>HYPERLINK("https://ictv.global/taxonomy/taxondetails?taxnode_id=202302954","ictv.global=202302954")</f>
        <v>ictv.global=202302954</v>
      </c>
    </row>
    <row r="5702" spans="1:21">
      <c r="A5702">
        <v>5701</v>
      </c>
      <c r="B5702" s="30" t="s">
        <v>1956</v>
      </c>
      <c r="D5702" s="30" t="s">
        <v>1985</v>
      </c>
      <c r="F5702" s="30" t="s">
        <v>2009</v>
      </c>
      <c r="H5702" s="30" t="s">
        <v>2010</v>
      </c>
      <c r="J5702" s="30" t="s">
        <v>2012</v>
      </c>
      <c r="L5702" s="30" t="s">
        <v>210</v>
      </c>
      <c r="N5702" s="30" t="s">
        <v>736</v>
      </c>
      <c r="P5702" s="30" t="s">
        <v>9051</v>
      </c>
      <c r="Q5702" t="s">
        <v>739</v>
      </c>
      <c r="R5702" t="s">
        <v>917</v>
      </c>
      <c r="S5702">
        <v>38</v>
      </c>
      <c r="T5702" s="29" t="str">
        <f t="shared" si="263"/>
        <v>2022.009D.Circoviridae_rensp101_nsp48.zip</v>
      </c>
      <c r="U5702" s="29" t="str">
        <f>HYPERLINK("https://ictv.global/taxonomy/taxondetails?taxnode_id=202314104","ictv.global=202314104")</f>
        <v>ictv.global=202314104</v>
      </c>
    </row>
    <row r="5703" spans="1:21">
      <c r="A5703">
        <v>5702</v>
      </c>
      <c r="B5703" s="30" t="s">
        <v>1956</v>
      </c>
      <c r="D5703" s="30" t="s">
        <v>1985</v>
      </c>
      <c r="F5703" s="30" t="s">
        <v>2009</v>
      </c>
      <c r="H5703" s="30" t="s">
        <v>2010</v>
      </c>
      <c r="J5703" s="30" t="s">
        <v>2012</v>
      </c>
      <c r="L5703" s="30" t="s">
        <v>210</v>
      </c>
      <c r="N5703" s="30" t="s">
        <v>736</v>
      </c>
      <c r="P5703" s="30" t="s">
        <v>9052</v>
      </c>
      <c r="Q5703" t="s">
        <v>739</v>
      </c>
      <c r="R5703" t="s">
        <v>917</v>
      </c>
      <c r="S5703">
        <v>38</v>
      </c>
      <c r="T5703" s="29" t="str">
        <f t="shared" si="263"/>
        <v>2022.009D.Circoviridae_rensp101_nsp48.zip</v>
      </c>
      <c r="U5703" s="29" t="str">
        <f>HYPERLINK("https://ictv.global/taxonomy/taxondetails?taxnode_id=202314110","ictv.global=202314110")</f>
        <v>ictv.global=202314110</v>
      </c>
    </row>
    <row r="5704" spans="1:21">
      <c r="A5704">
        <v>5703</v>
      </c>
      <c r="B5704" s="30" t="s">
        <v>1956</v>
      </c>
      <c r="D5704" s="30" t="s">
        <v>1985</v>
      </c>
      <c r="F5704" s="30" t="s">
        <v>2009</v>
      </c>
      <c r="H5704" s="30" t="s">
        <v>2010</v>
      </c>
      <c r="J5704" s="30" t="s">
        <v>2012</v>
      </c>
      <c r="L5704" s="30" t="s">
        <v>210</v>
      </c>
      <c r="N5704" s="30" t="s">
        <v>736</v>
      </c>
      <c r="P5704" s="30" t="s">
        <v>9053</v>
      </c>
      <c r="Q5704" t="s">
        <v>622</v>
      </c>
      <c r="R5704" t="s">
        <v>920</v>
      </c>
      <c r="S5704">
        <v>38</v>
      </c>
      <c r="T5704" s="29" t="str">
        <f t="shared" si="263"/>
        <v>2022.009D.Circoviridae_rensp101_nsp48.zip</v>
      </c>
      <c r="U5704" s="29" t="str">
        <f>HYPERLINK("https://ictv.global/taxonomy/taxondetails?taxnode_id=202302941","ictv.global=202302941")</f>
        <v>ictv.global=202302941</v>
      </c>
    </row>
    <row r="5705" spans="1:21">
      <c r="A5705">
        <v>5704</v>
      </c>
      <c r="B5705" s="30" t="s">
        <v>1956</v>
      </c>
      <c r="D5705" s="30" t="s">
        <v>1985</v>
      </c>
      <c r="F5705" s="30" t="s">
        <v>2009</v>
      </c>
      <c r="H5705" s="30" t="s">
        <v>2010</v>
      </c>
      <c r="J5705" s="30" t="s">
        <v>2012</v>
      </c>
      <c r="L5705" s="30" t="s">
        <v>210</v>
      </c>
      <c r="N5705" s="30" t="s">
        <v>736</v>
      </c>
      <c r="P5705" s="30" t="s">
        <v>9054</v>
      </c>
      <c r="Q5705" t="s">
        <v>739</v>
      </c>
      <c r="R5705" t="s">
        <v>917</v>
      </c>
      <c r="S5705">
        <v>38</v>
      </c>
      <c r="T5705" s="29" t="str">
        <f t="shared" si="263"/>
        <v>2022.009D.Circoviridae_rensp101_nsp48.zip</v>
      </c>
      <c r="U5705" s="29" t="str">
        <f>HYPERLINK("https://ictv.global/taxonomy/taxondetails?taxnode_id=202314111","ictv.global=202314111")</f>
        <v>ictv.global=202314111</v>
      </c>
    </row>
    <row r="5706" spans="1:21">
      <c r="A5706">
        <v>5705</v>
      </c>
      <c r="B5706" s="30" t="s">
        <v>1956</v>
      </c>
      <c r="D5706" s="30" t="s">
        <v>1985</v>
      </c>
      <c r="F5706" s="30" t="s">
        <v>2009</v>
      </c>
      <c r="H5706" s="30" t="s">
        <v>2010</v>
      </c>
      <c r="J5706" s="30" t="s">
        <v>2012</v>
      </c>
      <c r="L5706" s="30" t="s">
        <v>12762</v>
      </c>
      <c r="N5706" s="30" t="s">
        <v>12763</v>
      </c>
      <c r="P5706" s="30" t="s">
        <v>12764</v>
      </c>
      <c r="Q5706" t="s">
        <v>735</v>
      </c>
      <c r="R5706" t="s">
        <v>917</v>
      </c>
      <c r="S5706">
        <v>39</v>
      </c>
      <c r="T5706" s="29" t="str">
        <f t="shared" ref="T5706:T5715" si="264">HYPERLINK("https://ictv.global/ictv/proposals/2023.019D.Cirlivirales_1nf_4ng_10nsp.zip","2023.019D.Cirlivirales_1nf_4ng_10nsp.zip")</f>
        <v>2023.019D.Cirlivirales_1nf_4ng_10nsp.zip</v>
      </c>
      <c r="U5706" s="29" t="str">
        <f>HYPERLINK("https://ictv.global/taxonomy/taxondetails?taxnode_id=202318404","ictv.global=202318404")</f>
        <v>ictv.global=202318404</v>
      </c>
    </row>
    <row r="5707" spans="1:21">
      <c r="A5707">
        <v>5706</v>
      </c>
      <c r="B5707" s="30" t="s">
        <v>1956</v>
      </c>
      <c r="D5707" s="30" t="s">
        <v>1985</v>
      </c>
      <c r="F5707" s="30" t="s">
        <v>2009</v>
      </c>
      <c r="H5707" s="30" t="s">
        <v>2010</v>
      </c>
      <c r="J5707" s="30" t="s">
        <v>2012</v>
      </c>
      <c r="L5707" s="30" t="s">
        <v>12762</v>
      </c>
      <c r="N5707" s="30" t="s">
        <v>12765</v>
      </c>
      <c r="P5707" s="30" t="s">
        <v>12766</v>
      </c>
      <c r="Q5707" t="s">
        <v>735</v>
      </c>
      <c r="R5707" t="s">
        <v>917</v>
      </c>
      <c r="S5707">
        <v>39</v>
      </c>
      <c r="T5707" s="29" t="str">
        <f t="shared" si="264"/>
        <v>2023.019D.Cirlivirales_1nf_4ng_10nsp.zip</v>
      </c>
      <c r="U5707" s="29" t="str">
        <f>HYPERLINK("https://ictv.global/taxonomy/taxondetails?taxnode_id=202318407","ictv.global=202318407")</f>
        <v>ictv.global=202318407</v>
      </c>
    </row>
    <row r="5708" spans="1:21">
      <c r="A5708">
        <v>5707</v>
      </c>
      <c r="B5708" s="30" t="s">
        <v>1956</v>
      </c>
      <c r="D5708" s="30" t="s">
        <v>1985</v>
      </c>
      <c r="F5708" s="30" t="s">
        <v>2009</v>
      </c>
      <c r="H5708" s="30" t="s">
        <v>2010</v>
      </c>
      <c r="J5708" s="30" t="s">
        <v>2012</v>
      </c>
      <c r="L5708" s="30" t="s">
        <v>12762</v>
      </c>
      <c r="N5708" s="30" t="s">
        <v>12765</v>
      </c>
      <c r="P5708" s="30" t="s">
        <v>12767</v>
      </c>
      <c r="Q5708" t="s">
        <v>735</v>
      </c>
      <c r="R5708" t="s">
        <v>917</v>
      </c>
      <c r="S5708">
        <v>39</v>
      </c>
      <c r="T5708" s="29" t="str">
        <f t="shared" si="264"/>
        <v>2023.019D.Cirlivirales_1nf_4ng_10nsp.zip</v>
      </c>
      <c r="U5708" s="29" t="str">
        <f>HYPERLINK("https://ictv.global/taxonomy/taxondetails?taxnode_id=202318406","ictv.global=202318406")</f>
        <v>ictv.global=202318406</v>
      </c>
    </row>
    <row r="5709" spans="1:21">
      <c r="A5709">
        <v>5708</v>
      </c>
      <c r="B5709" s="30" t="s">
        <v>1956</v>
      </c>
      <c r="D5709" s="30" t="s">
        <v>1985</v>
      </c>
      <c r="F5709" s="30" t="s">
        <v>2009</v>
      </c>
      <c r="H5709" s="30" t="s">
        <v>2010</v>
      </c>
      <c r="J5709" s="30" t="s">
        <v>2012</v>
      </c>
      <c r="L5709" s="30" t="s">
        <v>12762</v>
      </c>
      <c r="N5709" s="30" t="s">
        <v>12765</v>
      </c>
      <c r="P5709" s="30" t="s">
        <v>12768</v>
      </c>
      <c r="Q5709" t="s">
        <v>735</v>
      </c>
      <c r="R5709" t="s">
        <v>917</v>
      </c>
      <c r="S5709">
        <v>39</v>
      </c>
      <c r="T5709" s="29" t="str">
        <f t="shared" si="264"/>
        <v>2023.019D.Cirlivirales_1nf_4ng_10nsp.zip</v>
      </c>
      <c r="U5709" s="29" t="str">
        <f>HYPERLINK("https://ictv.global/taxonomy/taxondetails?taxnode_id=202318408","ictv.global=202318408")</f>
        <v>ictv.global=202318408</v>
      </c>
    </row>
    <row r="5710" spans="1:21">
      <c r="A5710">
        <v>5709</v>
      </c>
      <c r="B5710" s="30" t="s">
        <v>1956</v>
      </c>
      <c r="D5710" s="30" t="s">
        <v>1985</v>
      </c>
      <c r="F5710" s="30" t="s">
        <v>2009</v>
      </c>
      <c r="H5710" s="30" t="s">
        <v>2010</v>
      </c>
      <c r="J5710" s="30" t="s">
        <v>2012</v>
      </c>
      <c r="L5710" s="30" t="s">
        <v>12762</v>
      </c>
      <c r="N5710" s="30" t="s">
        <v>12765</v>
      </c>
      <c r="P5710" s="30" t="s">
        <v>12769</v>
      </c>
      <c r="Q5710" t="s">
        <v>735</v>
      </c>
      <c r="R5710" t="s">
        <v>917</v>
      </c>
      <c r="S5710">
        <v>39</v>
      </c>
      <c r="T5710" s="29" t="str">
        <f t="shared" si="264"/>
        <v>2023.019D.Cirlivirales_1nf_4ng_10nsp.zip</v>
      </c>
      <c r="U5710" s="29" t="str">
        <f>HYPERLINK("https://ictv.global/taxonomy/taxondetails?taxnode_id=202318405","ictv.global=202318405")</f>
        <v>ictv.global=202318405</v>
      </c>
    </row>
    <row r="5711" spans="1:21">
      <c r="A5711">
        <v>5710</v>
      </c>
      <c r="B5711" s="30" t="s">
        <v>1956</v>
      </c>
      <c r="D5711" s="30" t="s">
        <v>1985</v>
      </c>
      <c r="F5711" s="30" t="s">
        <v>2009</v>
      </c>
      <c r="H5711" s="30" t="s">
        <v>2010</v>
      </c>
      <c r="J5711" s="30" t="s">
        <v>2012</v>
      </c>
      <c r="L5711" s="30" t="s">
        <v>12762</v>
      </c>
      <c r="N5711" s="30" t="s">
        <v>12770</v>
      </c>
      <c r="P5711" s="30" t="s">
        <v>12771</v>
      </c>
      <c r="Q5711" t="s">
        <v>735</v>
      </c>
      <c r="R5711" t="s">
        <v>917</v>
      </c>
      <c r="S5711">
        <v>39</v>
      </c>
      <c r="T5711" s="29" t="str">
        <f t="shared" si="264"/>
        <v>2023.019D.Cirlivirales_1nf_4ng_10nsp.zip</v>
      </c>
      <c r="U5711" s="29" t="str">
        <f>HYPERLINK("https://ictv.global/taxonomy/taxondetails?taxnode_id=202318410","ictv.global=202318410")</f>
        <v>ictv.global=202318410</v>
      </c>
    </row>
    <row r="5712" spans="1:21">
      <c r="A5712">
        <v>5711</v>
      </c>
      <c r="B5712" s="30" t="s">
        <v>1956</v>
      </c>
      <c r="D5712" s="30" t="s">
        <v>1985</v>
      </c>
      <c r="F5712" s="30" t="s">
        <v>2009</v>
      </c>
      <c r="H5712" s="30" t="s">
        <v>2010</v>
      </c>
      <c r="J5712" s="30" t="s">
        <v>2012</v>
      </c>
      <c r="L5712" s="30" t="s">
        <v>12762</v>
      </c>
      <c r="N5712" s="30" t="s">
        <v>12770</v>
      </c>
      <c r="P5712" s="30" t="s">
        <v>12772</v>
      </c>
      <c r="Q5712" t="s">
        <v>735</v>
      </c>
      <c r="R5712" t="s">
        <v>917</v>
      </c>
      <c r="S5712">
        <v>39</v>
      </c>
      <c r="T5712" s="29" t="str">
        <f t="shared" si="264"/>
        <v>2023.019D.Cirlivirales_1nf_4ng_10nsp.zip</v>
      </c>
      <c r="U5712" s="29" t="str">
        <f>HYPERLINK("https://ictv.global/taxonomy/taxondetails?taxnode_id=202318409","ictv.global=202318409")</f>
        <v>ictv.global=202318409</v>
      </c>
    </row>
    <row r="5713" spans="1:21">
      <c r="A5713">
        <v>5712</v>
      </c>
      <c r="B5713" s="30" t="s">
        <v>1956</v>
      </c>
      <c r="D5713" s="30" t="s">
        <v>1985</v>
      </c>
      <c r="F5713" s="30" t="s">
        <v>2009</v>
      </c>
      <c r="H5713" s="30" t="s">
        <v>2010</v>
      </c>
      <c r="J5713" s="30" t="s">
        <v>2012</v>
      </c>
      <c r="L5713" s="30" t="s">
        <v>12762</v>
      </c>
      <c r="N5713" s="30" t="s">
        <v>12773</v>
      </c>
      <c r="P5713" s="30" t="s">
        <v>12774</v>
      </c>
      <c r="Q5713" t="s">
        <v>735</v>
      </c>
      <c r="R5713" t="s">
        <v>917</v>
      </c>
      <c r="S5713">
        <v>39</v>
      </c>
      <c r="T5713" s="29" t="str">
        <f t="shared" si="264"/>
        <v>2023.019D.Cirlivirales_1nf_4ng_10nsp.zip</v>
      </c>
      <c r="U5713" s="29" t="str">
        <f>HYPERLINK("https://ictv.global/taxonomy/taxondetails?taxnode_id=202318413","ictv.global=202318413")</f>
        <v>ictv.global=202318413</v>
      </c>
    </row>
    <row r="5714" spans="1:21">
      <c r="A5714">
        <v>5713</v>
      </c>
      <c r="B5714" s="30" t="s">
        <v>1956</v>
      </c>
      <c r="D5714" s="30" t="s">
        <v>1985</v>
      </c>
      <c r="F5714" s="30" t="s">
        <v>2009</v>
      </c>
      <c r="H5714" s="30" t="s">
        <v>2010</v>
      </c>
      <c r="J5714" s="30" t="s">
        <v>2012</v>
      </c>
      <c r="L5714" s="30" t="s">
        <v>12762</v>
      </c>
      <c r="N5714" s="30" t="s">
        <v>12773</v>
      </c>
      <c r="P5714" s="30" t="s">
        <v>12775</v>
      </c>
      <c r="Q5714" t="s">
        <v>735</v>
      </c>
      <c r="R5714" t="s">
        <v>917</v>
      </c>
      <c r="S5714">
        <v>39</v>
      </c>
      <c r="T5714" s="29" t="str">
        <f t="shared" si="264"/>
        <v>2023.019D.Cirlivirales_1nf_4ng_10nsp.zip</v>
      </c>
      <c r="U5714" s="29" t="str">
        <f>HYPERLINK("https://ictv.global/taxonomy/taxondetails?taxnode_id=202318411","ictv.global=202318411")</f>
        <v>ictv.global=202318411</v>
      </c>
    </row>
    <row r="5715" spans="1:21">
      <c r="A5715">
        <v>5714</v>
      </c>
      <c r="B5715" s="30" t="s">
        <v>1956</v>
      </c>
      <c r="D5715" s="30" t="s">
        <v>1985</v>
      </c>
      <c r="F5715" s="30" t="s">
        <v>2009</v>
      </c>
      <c r="H5715" s="30" t="s">
        <v>2010</v>
      </c>
      <c r="J5715" s="30" t="s">
        <v>2012</v>
      </c>
      <c r="L5715" s="30" t="s">
        <v>12762</v>
      </c>
      <c r="N5715" s="30" t="s">
        <v>12773</v>
      </c>
      <c r="P5715" s="30" t="s">
        <v>12776</v>
      </c>
      <c r="Q5715" t="s">
        <v>735</v>
      </c>
      <c r="R5715" t="s">
        <v>917</v>
      </c>
      <c r="S5715">
        <v>39</v>
      </c>
      <c r="T5715" s="29" t="str">
        <f t="shared" si="264"/>
        <v>2023.019D.Cirlivirales_1nf_4ng_10nsp.zip</v>
      </c>
      <c r="U5715" s="29" t="str">
        <f>HYPERLINK("https://ictv.global/taxonomy/taxondetails?taxnode_id=202318412","ictv.global=202318412")</f>
        <v>ictv.global=202318412</v>
      </c>
    </row>
    <row r="5716" spans="1:21">
      <c r="A5716">
        <v>5715</v>
      </c>
      <c r="B5716" s="30" t="s">
        <v>1956</v>
      </c>
      <c r="D5716" s="30" t="s">
        <v>1985</v>
      </c>
      <c r="F5716" s="30" t="s">
        <v>2009</v>
      </c>
      <c r="H5716" s="30" t="s">
        <v>2010</v>
      </c>
      <c r="J5716" s="30" t="s">
        <v>2012</v>
      </c>
      <c r="L5716" s="30" t="s">
        <v>9055</v>
      </c>
      <c r="N5716" s="30" t="s">
        <v>12777</v>
      </c>
      <c r="P5716" s="30" t="s">
        <v>12778</v>
      </c>
      <c r="Q5716" t="s">
        <v>735</v>
      </c>
      <c r="R5716" t="s">
        <v>917</v>
      </c>
      <c r="S5716">
        <v>39</v>
      </c>
      <c r="T5716" s="29" t="str">
        <f>HYPERLINK("https://ictv.global/ictv/proposals/2023.008F.Arfiviricetes_11ng_19nsp.zip","2023.008F.Arfiviricetes_11ng_19nsp.zip")</f>
        <v>2023.008F.Arfiviricetes_11ng_19nsp.zip</v>
      </c>
      <c r="U5716" s="29" t="str">
        <f>HYPERLINK("https://ictv.global/taxonomy/taxondetails?taxnode_id=202317913","ictv.global=202317913")</f>
        <v>ictv.global=202317913</v>
      </c>
    </row>
    <row r="5717" spans="1:21">
      <c r="A5717">
        <v>5716</v>
      </c>
      <c r="B5717" s="30" t="s">
        <v>1956</v>
      </c>
      <c r="D5717" s="30" t="s">
        <v>1985</v>
      </c>
      <c r="F5717" s="30" t="s">
        <v>2009</v>
      </c>
      <c r="H5717" s="30" t="s">
        <v>2010</v>
      </c>
      <c r="J5717" s="30" t="s">
        <v>2012</v>
      </c>
      <c r="L5717" s="30" t="s">
        <v>9055</v>
      </c>
      <c r="N5717" s="30" t="s">
        <v>12777</v>
      </c>
      <c r="P5717" s="30" t="s">
        <v>12779</v>
      </c>
      <c r="Q5717" t="s">
        <v>735</v>
      </c>
      <c r="R5717" t="s">
        <v>917</v>
      </c>
      <c r="S5717">
        <v>39</v>
      </c>
      <c r="T5717" s="29" t="str">
        <f>HYPERLINK("https://ictv.global/ictv/proposals/2023.008F.Arfiviricetes_11ng_19nsp.zip","2023.008F.Arfiviricetes_11ng_19nsp.zip")</f>
        <v>2023.008F.Arfiviricetes_11ng_19nsp.zip</v>
      </c>
      <c r="U5717" s="29" t="str">
        <f>HYPERLINK("https://ictv.global/taxonomy/taxondetails?taxnode_id=202317912","ictv.global=202317912")</f>
        <v>ictv.global=202317912</v>
      </c>
    </row>
    <row r="5718" spans="1:21">
      <c r="A5718">
        <v>5717</v>
      </c>
      <c r="B5718" s="30" t="s">
        <v>1956</v>
      </c>
      <c r="D5718" s="30" t="s">
        <v>1985</v>
      </c>
      <c r="F5718" s="30" t="s">
        <v>2009</v>
      </c>
      <c r="H5718" s="30" t="s">
        <v>2010</v>
      </c>
      <c r="J5718" s="30" t="s">
        <v>2012</v>
      </c>
      <c r="L5718" s="30" t="s">
        <v>9055</v>
      </c>
      <c r="N5718" s="30" t="s">
        <v>9056</v>
      </c>
      <c r="P5718" s="30" t="s">
        <v>9057</v>
      </c>
      <c r="Q5718" t="s">
        <v>735</v>
      </c>
      <c r="R5718" t="s">
        <v>917</v>
      </c>
      <c r="S5718">
        <v>37</v>
      </c>
      <c r="T5718" s="29" t="str">
        <f t="shared" ref="T5718:T5723" si="265">HYPERLINK("https://ictv.global/ictv/proposals/2021.010F.R.Cressdna_2neword_3newfam_21newgen.zip","2021.010F.R.Cressdna_2neword_3newfam_21newgen.zip")</f>
        <v>2021.010F.R.Cressdna_2neword_3newfam_21newgen.zip</v>
      </c>
      <c r="U5718" s="29" t="str">
        <f>HYPERLINK("https://ictv.global/taxonomy/taxondetails?taxnode_id=202313253","ictv.global=202313253")</f>
        <v>ictv.global=202313253</v>
      </c>
    </row>
    <row r="5719" spans="1:21">
      <c r="A5719">
        <v>5718</v>
      </c>
      <c r="B5719" s="30" t="s">
        <v>1956</v>
      </c>
      <c r="D5719" s="30" t="s">
        <v>1985</v>
      </c>
      <c r="F5719" s="30" t="s">
        <v>2009</v>
      </c>
      <c r="H5719" s="30" t="s">
        <v>2010</v>
      </c>
      <c r="J5719" s="30" t="s">
        <v>2012</v>
      </c>
      <c r="L5719" s="30" t="s">
        <v>9055</v>
      </c>
      <c r="N5719" s="30" t="s">
        <v>9056</v>
      </c>
      <c r="P5719" s="30" t="s">
        <v>9058</v>
      </c>
      <c r="Q5719" t="s">
        <v>735</v>
      </c>
      <c r="R5719" t="s">
        <v>917</v>
      </c>
      <c r="S5719">
        <v>37</v>
      </c>
      <c r="T5719" s="29" t="str">
        <f t="shared" si="265"/>
        <v>2021.010F.R.Cressdna_2neword_3newfam_21newgen.zip</v>
      </c>
      <c r="U5719" s="29" t="str">
        <f>HYPERLINK("https://ictv.global/taxonomy/taxondetails?taxnode_id=202313254","ictv.global=202313254")</f>
        <v>ictv.global=202313254</v>
      </c>
    </row>
    <row r="5720" spans="1:21">
      <c r="A5720">
        <v>5719</v>
      </c>
      <c r="B5720" s="30" t="s">
        <v>1956</v>
      </c>
      <c r="D5720" s="30" t="s">
        <v>1985</v>
      </c>
      <c r="F5720" s="30" t="s">
        <v>2009</v>
      </c>
      <c r="H5720" s="30" t="s">
        <v>2010</v>
      </c>
      <c r="J5720" s="30" t="s">
        <v>2012</v>
      </c>
      <c r="L5720" s="30" t="s">
        <v>9055</v>
      </c>
      <c r="N5720" s="30" t="s">
        <v>9059</v>
      </c>
      <c r="P5720" s="30" t="s">
        <v>9060</v>
      </c>
      <c r="Q5720" t="s">
        <v>735</v>
      </c>
      <c r="R5720" t="s">
        <v>917</v>
      </c>
      <c r="S5720">
        <v>37</v>
      </c>
      <c r="T5720" s="29" t="str">
        <f t="shared" si="265"/>
        <v>2021.010F.R.Cressdna_2neword_3newfam_21newgen.zip</v>
      </c>
      <c r="U5720" s="29" t="str">
        <f>HYPERLINK("https://ictv.global/taxonomy/taxondetails?taxnode_id=202313257","ictv.global=202313257")</f>
        <v>ictv.global=202313257</v>
      </c>
    </row>
    <row r="5721" spans="1:21">
      <c r="A5721">
        <v>5720</v>
      </c>
      <c r="B5721" s="30" t="s">
        <v>1956</v>
      </c>
      <c r="D5721" s="30" t="s">
        <v>1985</v>
      </c>
      <c r="F5721" s="30" t="s">
        <v>2009</v>
      </c>
      <c r="H5721" s="30" t="s">
        <v>2010</v>
      </c>
      <c r="J5721" s="30" t="s">
        <v>2012</v>
      </c>
      <c r="L5721" s="30" t="s">
        <v>9055</v>
      </c>
      <c r="N5721" s="30" t="s">
        <v>9059</v>
      </c>
      <c r="P5721" s="30" t="s">
        <v>9061</v>
      </c>
      <c r="Q5721" t="s">
        <v>735</v>
      </c>
      <c r="R5721" t="s">
        <v>917</v>
      </c>
      <c r="S5721">
        <v>37</v>
      </c>
      <c r="T5721" s="29" t="str">
        <f t="shared" si="265"/>
        <v>2021.010F.R.Cressdna_2neword_3newfam_21newgen.zip</v>
      </c>
      <c r="U5721" s="29" t="str">
        <f>HYPERLINK("https://ictv.global/taxonomy/taxondetails?taxnode_id=202313256","ictv.global=202313256")</f>
        <v>ictv.global=202313256</v>
      </c>
    </row>
    <row r="5722" spans="1:21">
      <c r="A5722">
        <v>5721</v>
      </c>
      <c r="B5722" s="30" t="s">
        <v>1956</v>
      </c>
      <c r="D5722" s="30" t="s">
        <v>1985</v>
      </c>
      <c r="F5722" s="30" t="s">
        <v>2009</v>
      </c>
      <c r="H5722" s="30" t="s">
        <v>2010</v>
      </c>
      <c r="J5722" s="30" t="s">
        <v>2012</v>
      </c>
      <c r="L5722" s="30" t="s">
        <v>9055</v>
      </c>
      <c r="N5722" s="30" t="s">
        <v>9062</v>
      </c>
      <c r="P5722" s="30" t="s">
        <v>9063</v>
      </c>
      <c r="Q5722" t="s">
        <v>735</v>
      </c>
      <c r="R5722" t="s">
        <v>917</v>
      </c>
      <c r="S5722">
        <v>37</v>
      </c>
      <c r="T5722" s="29" t="str">
        <f t="shared" si="265"/>
        <v>2021.010F.R.Cressdna_2neword_3newfam_21newgen.zip</v>
      </c>
      <c r="U5722" s="29" t="str">
        <f>HYPERLINK("https://ictv.global/taxonomy/taxondetails?taxnode_id=202313259","ictv.global=202313259")</f>
        <v>ictv.global=202313259</v>
      </c>
    </row>
    <row r="5723" spans="1:21">
      <c r="A5723">
        <v>5722</v>
      </c>
      <c r="B5723" s="30" t="s">
        <v>1956</v>
      </c>
      <c r="D5723" s="30" t="s">
        <v>1985</v>
      </c>
      <c r="F5723" s="30" t="s">
        <v>2009</v>
      </c>
      <c r="H5723" s="30" t="s">
        <v>2010</v>
      </c>
      <c r="J5723" s="30" t="s">
        <v>2012</v>
      </c>
      <c r="L5723" s="30" t="s">
        <v>9055</v>
      </c>
      <c r="N5723" s="30" t="s">
        <v>9064</v>
      </c>
      <c r="P5723" s="30" t="s">
        <v>9065</v>
      </c>
      <c r="Q5723" t="s">
        <v>735</v>
      </c>
      <c r="R5723" t="s">
        <v>917</v>
      </c>
      <c r="S5723">
        <v>37</v>
      </c>
      <c r="T5723" s="29" t="str">
        <f t="shared" si="265"/>
        <v>2021.010F.R.Cressdna_2neword_3newfam_21newgen.zip</v>
      </c>
      <c r="U5723" s="29" t="str">
        <f>HYPERLINK("https://ictv.global/taxonomy/taxondetails?taxnode_id=202313261","ictv.global=202313261")</f>
        <v>ictv.global=202313261</v>
      </c>
    </row>
    <row r="5724" spans="1:21">
      <c r="A5724">
        <v>5723</v>
      </c>
      <c r="B5724" s="30" t="s">
        <v>1956</v>
      </c>
      <c r="D5724" s="30" t="s">
        <v>1985</v>
      </c>
      <c r="F5724" s="30" t="s">
        <v>2009</v>
      </c>
      <c r="H5724" s="30" t="s">
        <v>2010</v>
      </c>
      <c r="J5724" s="30" t="s">
        <v>2012</v>
      </c>
      <c r="L5724" s="30" t="s">
        <v>9055</v>
      </c>
      <c r="N5724" s="30" t="s">
        <v>12780</v>
      </c>
      <c r="P5724" s="30" t="s">
        <v>12781</v>
      </c>
      <c r="Q5724" t="s">
        <v>735</v>
      </c>
      <c r="R5724" t="s">
        <v>917</v>
      </c>
      <c r="S5724">
        <v>39</v>
      </c>
      <c r="T5724" s="29" t="str">
        <f>HYPERLINK("https://ictv.global/ictv/proposals/2023.008F.Arfiviricetes_11ng_19nsp.zip","2023.008F.Arfiviricetes_11ng_19nsp.zip")</f>
        <v>2023.008F.Arfiviricetes_11ng_19nsp.zip</v>
      </c>
      <c r="U5724" s="29" t="str">
        <f>HYPERLINK("https://ictv.global/taxonomy/taxondetails?taxnode_id=202317911","ictv.global=202317911")</f>
        <v>ictv.global=202317911</v>
      </c>
    </row>
    <row r="5725" spans="1:21">
      <c r="A5725">
        <v>5724</v>
      </c>
      <c r="B5725" s="30" t="s">
        <v>1956</v>
      </c>
      <c r="D5725" s="30" t="s">
        <v>1985</v>
      </c>
      <c r="F5725" s="30" t="s">
        <v>2009</v>
      </c>
      <c r="H5725" s="30" t="s">
        <v>2010</v>
      </c>
      <c r="J5725" s="30" t="s">
        <v>2012</v>
      </c>
      <c r="L5725" s="30" t="s">
        <v>9055</v>
      </c>
      <c r="N5725" s="30" t="s">
        <v>9066</v>
      </c>
      <c r="P5725" s="30" t="s">
        <v>9067</v>
      </c>
      <c r="Q5725" t="s">
        <v>735</v>
      </c>
      <c r="R5725" t="s">
        <v>917</v>
      </c>
      <c r="S5725">
        <v>37</v>
      </c>
      <c r="T5725" s="29" t="str">
        <f t="shared" ref="T5725:T5730" si="266">HYPERLINK("https://ictv.global/ictv/proposals/2021.010F.R.Cressdna_2neword_3newfam_21newgen.zip","2021.010F.R.Cressdna_2neword_3newfam_21newgen.zip")</f>
        <v>2021.010F.R.Cressdna_2neword_3newfam_21newgen.zip</v>
      </c>
      <c r="U5725" s="29" t="str">
        <f>HYPERLINK("https://ictv.global/taxonomy/taxondetails?taxnode_id=202313264","ictv.global=202313264")</f>
        <v>ictv.global=202313264</v>
      </c>
    </row>
    <row r="5726" spans="1:21">
      <c r="A5726">
        <v>5725</v>
      </c>
      <c r="B5726" s="30" t="s">
        <v>1956</v>
      </c>
      <c r="D5726" s="30" t="s">
        <v>1985</v>
      </c>
      <c r="F5726" s="30" t="s">
        <v>2009</v>
      </c>
      <c r="H5726" s="30" t="s">
        <v>2010</v>
      </c>
      <c r="J5726" s="30" t="s">
        <v>2012</v>
      </c>
      <c r="L5726" s="30" t="s">
        <v>9055</v>
      </c>
      <c r="N5726" s="30" t="s">
        <v>9066</v>
      </c>
      <c r="P5726" s="30" t="s">
        <v>9068</v>
      </c>
      <c r="Q5726" t="s">
        <v>735</v>
      </c>
      <c r="R5726" t="s">
        <v>917</v>
      </c>
      <c r="S5726">
        <v>37</v>
      </c>
      <c r="T5726" s="29" t="str">
        <f t="shared" si="266"/>
        <v>2021.010F.R.Cressdna_2neword_3newfam_21newgen.zip</v>
      </c>
      <c r="U5726" s="29" t="str">
        <f>HYPERLINK("https://ictv.global/taxonomy/taxondetails?taxnode_id=202313263","ictv.global=202313263")</f>
        <v>ictv.global=202313263</v>
      </c>
    </row>
    <row r="5727" spans="1:21">
      <c r="A5727">
        <v>5726</v>
      </c>
      <c r="B5727" s="30" t="s">
        <v>1956</v>
      </c>
      <c r="D5727" s="30" t="s">
        <v>1985</v>
      </c>
      <c r="F5727" s="30" t="s">
        <v>2009</v>
      </c>
      <c r="H5727" s="30" t="s">
        <v>2010</v>
      </c>
      <c r="J5727" s="30" t="s">
        <v>2012</v>
      </c>
      <c r="L5727" s="30" t="s">
        <v>9055</v>
      </c>
      <c r="N5727" s="30" t="s">
        <v>9069</v>
      </c>
      <c r="P5727" s="30" t="s">
        <v>9070</v>
      </c>
      <c r="Q5727" t="s">
        <v>735</v>
      </c>
      <c r="R5727" t="s">
        <v>917</v>
      </c>
      <c r="S5727">
        <v>37</v>
      </c>
      <c r="T5727" s="29" t="str">
        <f t="shared" si="266"/>
        <v>2021.010F.R.Cressdna_2neword_3newfam_21newgen.zip</v>
      </c>
      <c r="U5727" s="29" t="str">
        <f>HYPERLINK("https://ictv.global/taxonomy/taxondetails?taxnode_id=202313266","ictv.global=202313266")</f>
        <v>ictv.global=202313266</v>
      </c>
    </row>
    <row r="5728" spans="1:21">
      <c r="A5728">
        <v>5727</v>
      </c>
      <c r="B5728" s="30" t="s">
        <v>1956</v>
      </c>
      <c r="D5728" s="30" t="s">
        <v>1985</v>
      </c>
      <c r="F5728" s="30" t="s">
        <v>2009</v>
      </c>
      <c r="H5728" s="30" t="s">
        <v>2010</v>
      </c>
      <c r="J5728" s="30" t="s">
        <v>2012</v>
      </c>
      <c r="L5728" s="30" t="s">
        <v>9055</v>
      </c>
      <c r="N5728" s="30" t="s">
        <v>9071</v>
      </c>
      <c r="P5728" s="30" t="s">
        <v>9072</v>
      </c>
      <c r="Q5728" t="s">
        <v>735</v>
      </c>
      <c r="R5728" t="s">
        <v>917</v>
      </c>
      <c r="S5728">
        <v>37</v>
      </c>
      <c r="T5728" s="29" t="str">
        <f t="shared" si="266"/>
        <v>2021.010F.R.Cressdna_2neword_3newfam_21newgen.zip</v>
      </c>
      <c r="U5728" s="29" t="str">
        <f>HYPERLINK("https://ictv.global/taxonomy/taxondetails?taxnode_id=202313268","ictv.global=202313268")</f>
        <v>ictv.global=202313268</v>
      </c>
    </row>
    <row r="5729" spans="1:21">
      <c r="A5729">
        <v>5728</v>
      </c>
      <c r="B5729" s="30" t="s">
        <v>1956</v>
      </c>
      <c r="D5729" s="30" t="s">
        <v>1985</v>
      </c>
      <c r="F5729" s="30" t="s">
        <v>2009</v>
      </c>
      <c r="H5729" s="30" t="s">
        <v>2010</v>
      </c>
      <c r="J5729" s="30" t="s">
        <v>2012</v>
      </c>
      <c r="L5729" s="30" t="s">
        <v>9055</v>
      </c>
      <c r="N5729" s="30" t="s">
        <v>9073</v>
      </c>
      <c r="P5729" s="30" t="s">
        <v>9074</v>
      </c>
      <c r="Q5729" t="s">
        <v>735</v>
      </c>
      <c r="R5729" t="s">
        <v>917</v>
      </c>
      <c r="S5729">
        <v>37</v>
      </c>
      <c r="T5729" s="29" t="str">
        <f t="shared" si="266"/>
        <v>2021.010F.R.Cressdna_2neword_3newfam_21newgen.zip</v>
      </c>
      <c r="U5729" s="29" t="str">
        <f>HYPERLINK("https://ictv.global/taxonomy/taxondetails?taxnode_id=202313270","ictv.global=202313270")</f>
        <v>ictv.global=202313270</v>
      </c>
    </row>
    <row r="5730" spans="1:21">
      <c r="A5730">
        <v>5729</v>
      </c>
      <c r="B5730" s="30" t="s">
        <v>1956</v>
      </c>
      <c r="D5730" s="30" t="s">
        <v>1985</v>
      </c>
      <c r="F5730" s="30" t="s">
        <v>2009</v>
      </c>
      <c r="H5730" s="30" t="s">
        <v>2010</v>
      </c>
      <c r="J5730" s="30" t="s">
        <v>2012</v>
      </c>
      <c r="L5730" s="30" t="s">
        <v>9055</v>
      </c>
      <c r="N5730" s="30" t="s">
        <v>9075</v>
      </c>
      <c r="P5730" s="30" t="s">
        <v>9076</v>
      </c>
      <c r="Q5730" t="s">
        <v>735</v>
      </c>
      <c r="R5730" t="s">
        <v>917</v>
      </c>
      <c r="S5730">
        <v>37</v>
      </c>
      <c r="T5730" s="29" t="str">
        <f t="shared" si="266"/>
        <v>2021.010F.R.Cressdna_2neword_3newfam_21newgen.zip</v>
      </c>
      <c r="U5730" s="29" t="str">
        <f>HYPERLINK("https://ictv.global/taxonomy/taxondetails?taxnode_id=202313272","ictv.global=202313272")</f>
        <v>ictv.global=202313272</v>
      </c>
    </row>
    <row r="5731" spans="1:21">
      <c r="A5731">
        <v>5730</v>
      </c>
      <c r="B5731" s="30" t="s">
        <v>1956</v>
      </c>
      <c r="D5731" s="30" t="s">
        <v>1985</v>
      </c>
      <c r="F5731" s="30" t="s">
        <v>2009</v>
      </c>
      <c r="H5731" s="30" t="s">
        <v>2010</v>
      </c>
      <c r="J5731" s="30" t="s">
        <v>2012</v>
      </c>
      <c r="L5731" s="30" t="s">
        <v>9055</v>
      </c>
      <c r="N5731" s="30" t="s">
        <v>9075</v>
      </c>
      <c r="P5731" s="30" t="s">
        <v>12782</v>
      </c>
      <c r="Q5731" t="s">
        <v>735</v>
      </c>
      <c r="R5731" t="s">
        <v>917</v>
      </c>
      <c r="S5731">
        <v>39</v>
      </c>
      <c r="T5731" s="29" t="str">
        <f>HYPERLINK("https://ictv.global/ictv/proposals/2023.008F.Arfiviricetes_11ng_19nsp.zip","2023.008F.Arfiviricetes_11ng_19nsp.zip")</f>
        <v>2023.008F.Arfiviricetes_11ng_19nsp.zip</v>
      </c>
      <c r="U5731" s="29" t="str">
        <f>HYPERLINK("https://ictv.global/taxonomy/taxondetails?taxnode_id=202317906","ictv.global=202317906")</f>
        <v>ictv.global=202317906</v>
      </c>
    </row>
    <row r="5732" spans="1:21">
      <c r="A5732">
        <v>5731</v>
      </c>
      <c r="B5732" s="30" t="s">
        <v>1956</v>
      </c>
      <c r="D5732" s="30" t="s">
        <v>1985</v>
      </c>
      <c r="F5732" s="30" t="s">
        <v>2009</v>
      </c>
      <c r="H5732" s="30" t="s">
        <v>2010</v>
      </c>
      <c r="J5732" s="30" t="s">
        <v>2012</v>
      </c>
      <c r="L5732" s="30" t="s">
        <v>9055</v>
      </c>
      <c r="N5732" s="30" t="s">
        <v>9077</v>
      </c>
      <c r="P5732" s="30" t="s">
        <v>12783</v>
      </c>
      <c r="Q5732" t="s">
        <v>735</v>
      </c>
      <c r="R5732" t="s">
        <v>917</v>
      </c>
      <c r="S5732">
        <v>39</v>
      </c>
      <c r="T5732" s="29" t="str">
        <f>HYPERLINK("https://ictv.global/ictv/proposals/2023.008F.Arfiviricetes_11ng_19nsp.zip","2023.008F.Arfiviricetes_11ng_19nsp.zip")</f>
        <v>2023.008F.Arfiviricetes_11ng_19nsp.zip</v>
      </c>
      <c r="U5732" s="29" t="str">
        <f>HYPERLINK("https://ictv.global/taxonomy/taxondetails?taxnode_id=202317907","ictv.global=202317907")</f>
        <v>ictv.global=202317907</v>
      </c>
    </row>
    <row r="5733" spans="1:21">
      <c r="A5733">
        <v>5732</v>
      </c>
      <c r="B5733" s="30" t="s">
        <v>1956</v>
      </c>
      <c r="D5733" s="30" t="s">
        <v>1985</v>
      </c>
      <c r="F5733" s="30" t="s">
        <v>2009</v>
      </c>
      <c r="H5733" s="30" t="s">
        <v>2010</v>
      </c>
      <c r="J5733" s="30" t="s">
        <v>2012</v>
      </c>
      <c r="L5733" s="30" t="s">
        <v>9055</v>
      </c>
      <c r="N5733" s="30" t="s">
        <v>9077</v>
      </c>
      <c r="P5733" s="30" t="s">
        <v>9078</v>
      </c>
      <c r="Q5733" t="s">
        <v>735</v>
      </c>
      <c r="R5733" t="s">
        <v>917</v>
      </c>
      <c r="S5733">
        <v>37</v>
      </c>
      <c r="T5733" s="29" t="str">
        <f>HYPERLINK("https://ictv.global/ictv/proposals/2021.010F.R.Cressdna_2neword_3newfam_21newgen.zip","2021.010F.R.Cressdna_2neword_3newfam_21newgen.zip")</f>
        <v>2021.010F.R.Cressdna_2neword_3newfam_21newgen.zip</v>
      </c>
      <c r="U5733" s="29" t="str">
        <f>HYPERLINK("https://ictv.global/taxonomy/taxondetails?taxnode_id=202313274","ictv.global=202313274")</f>
        <v>ictv.global=202313274</v>
      </c>
    </row>
    <row r="5734" spans="1:21">
      <c r="A5734">
        <v>5733</v>
      </c>
      <c r="B5734" s="30" t="s">
        <v>1956</v>
      </c>
      <c r="D5734" s="30" t="s">
        <v>1985</v>
      </c>
      <c r="F5734" s="30" t="s">
        <v>2009</v>
      </c>
      <c r="H5734" s="30" t="s">
        <v>2010</v>
      </c>
      <c r="J5734" s="30" t="s">
        <v>2012</v>
      </c>
      <c r="L5734" s="30" t="s">
        <v>9055</v>
      </c>
      <c r="N5734" s="30" t="s">
        <v>9077</v>
      </c>
      <c r="P5734" s="30" t="s">
        <v>12784</v>
      </c>
      <c r="Q5734" t="s">
        <v>735</v>
      </c>
      <c r="R5734" t="s">
        <v>917</v>
      </c>
      <c r="S5734">
        <v>39</v>
      </c>
      <c r="T5734" s="29" t="str">
        <f>HYPERLINK("https://ictv.global/ictv/proposals/2023.008F.Arfiviricetes_11ng_19nsp.zip","2023.008F.Arfiviricetes_11ng_19nsp.zip")</f>
        <v>2023.008F.Arfiviricetes_11ng_19nsp.zip</v>
      </c>
      <c r="U5734" s="29" t="str">
        <f>HYPERLINK("https://ictv.global/taxonomy/taxondetails?taxnode_id=202317908","ictv.global=202317908")</f>
        <v>ictv.global=202317908</v>
      </c>
    </row>
    <row r="5735" spans="1:21">
      <c r="A5735">
        <v>5734</v>
      </c>
      <c r="B5735" s="30" t="s">
        <v>1956</v>
      </c>
      <c r="D5735" s="30" t="s">
        <v>1985</v>
      </c>
      <c r="F5735" s="30" t="s">
        <v>2009</v>
      </c>
      <c r="H5735" s="30" t="s">
        <v>2010</v>
      </c>
      <c r="J5735" s="30" t="s">
        <v>2012</v>
      </c>
      <c r="L5735" s="30" t="s">
        <v>9055</v>
      </c>
      <c r="N5735" s="30" t="s">
        <v>9077</v>
      </c>
      <c r="P5735" s="30" t="s">
        <v>12785</v>
      </c>
      <c r="Q5735" t="s">
        <v>735</v>
      </c>
      <c r="R5735" t="s">
        <v>917</v>
      </c>
      <c r="S5735">
        <v>39</v>
      </c>
      <c r="T5735" s="29" t="str">
        <f>HYPERLINK("https://ictv.global/ictv/proposals/2023.008F.Arfiviricetes_11ng_19nsp.zip","2023.008F.Arfiviricetes_11ng_19nsp.zip")</f>
        <v>2023.008F.Arfiviricetes_11ng_19nsp.zip</v>
      </c>
      <c r="U5735" s="29" t="str">
        <f>HYPERLINK("https://ictv.global/taxonomy/taxondetails?taxnode_id=202317909","ictv.global=202317909")</f>
        <v>ictv.global=202317909</v>
      </c>
    </row>
    <row r="5736" spans="1:21">
      <c r="A5736">
        <v>5735</v>
      </c>
      <c r="B5736" s="30" t="s">
        <v>1956</v>
      </c>
      <c r="D5736" s="30" t="s">
        <v>1985</v>
      </c>
      <c r="F5736" s="30" t="s">
        <v>2009</v>
      </c>
      <c r="H5736" s="30" t="s">
        <v>2010</v>
      </c>
      <c r="J5736" s="30" t="s">
        <v>2012</v>
      </c>
      <c r="L5736" s="30" t="s">
        <v>9055</v>
      </c>
      <c r="N5736" s="30" t="s">
        <v>9077</v>
      </c>
      <c r="P5736" s="30" t="s">
        <v>12786</v>
      </c>
      <c r="Q5736" t="s">
        <v>735</v>
      </c>
      <c r="R5736" t="s">
        <v>917</v>
      </c>
      <c r="S5736">
        <v>39</v>
      </c>
      <c r="T5736" s="29" t="str">
        <f>HYPERLINK("https://ictv.global/ictv/proposals/2023.008F.Arfiviricetes_11ng_19nsp.zip","2023.008F.Arfiviricetes_11ng_19nsp.zip")</f>
        <v>2023.008F.Arfiviricetes_11ng_19nsp.zip</v>
      </c>
      <c r="U5736" s="29" t="str">
        <f>HYPERLINK("https://ictv.global/taxonomy/taxondetails?taxnode_id=202317910","ictv.global=202317910")</f>
        <v>ictv.global=202317910</v>
      </c>
    </row>
    <row r="5737" spans="1:21">
      <c r="A5737">
        <v>5736</v>
      </c>
      <c r="B5737" s="30" t="s">
        <v>1956</v>
      </c>
      <c r="D5737" s="30" t="s">
        <v>1985</v>
      </c>
      <c r="F5737" s="30" t="s">
        <v>2009</v>
      </c>
      <c r="H5737" s="30" t="s">
        <v>2010</v>
      </c>
      <c r="J5737" s="30" t="s">
        <v>2012</v>
      </c>
      <c r="L5737" s="30" t="s">
        <v>9055</v>
      </c>
      <c r="N5737" s="30" t="s">
        <v>9079</v>
      </c>
      <c r="P5737" s="30" t="s">
        <v>9080</v>
      </c>
      <c r="Q5737" t="s">
        <v>735</v>
      </c>
      <c r="R5737" t="s">
        <v>917</v>
      </c>
      <c r="S5737">
        <v>37</v>
      </c>
      <c r="T5737" s="29" t="str">
        <f>HYPERLINK("https://ictv.global/ictv/proposals/2021.010F.R.Cressdna_2neword_3newfam_21newgen.zip","2021.010F.R.Cressdna_2neword_3newfam_21newgen.zip")</f>
        <v>2021.010F.R.Cressdna_2neword_3newfam_21newgen.zip</v>
      </c>
      <c r="U5737" s="29" t="str">
        <f>HYPERLINK("https://ictv.global/taxonomy/taxondetails?taxnode_id=202313277","ictv.global=202313277")</f>
        <v>ictv.global=202313277</v>
      </c>
    </row>
    <row r="5738" spans="1:21">
      <c r="A5738">
        <v>5737</v>
      </c>
      <c r="B5738" s="30" t="s">
        <v>1956</v>
      </c>
      <c r="D5738" s="30" t="s">
        <v>1985</v>
      </c>
      <c r="F5738" s="30" t="s">
        <v>2009</v>
      </c>
      <c r="H5738" s="30" t="s">
        <v>2010</v>
      </c>
      <c r="J5738" s="30" t="s">
        <v>2012</v>
      </c>
      <c r="L5738" s="30" t="s">
        <v>9055</v>
      </c>
      <c r="N5738" s="30" t="s">
        <v>9079</v>
      </c>
      <c r="P5738" s="30" t="s">
        <v>9081</v>
      </c>
      <c r="Q5738" t="s">
        <v>735</v>
      </c>
      <c r="R5738" t="s">
        <v>917</v>
      </c>
      <c r="S5738">
        <v>37</v>
      </c>
      <c r="T5738" s="29" t="str">
        <f>HYPERLINK("https://ictv.global/ictv/proposals/2021.010F.R.Cressdna_2neword_3newfam_21newgen.zip","2021.010F.R.Cressdna_2neword_3newfam_21newgen.zip")</f>
        <v>2021.010F.R.Cressdna_2neword_3newfam_21newgen.zip</v>
      </c>
      <c r="U5738" s="29" t="str">
        <f>HYPERLINK("https://ictv.global/taxonomy/taxondetails?taxnode_id=202313276","ictv.global=202313276")</f>
        <v>ictv.global=202313276</v>
      </c>
    </row>
    <row r="5739" spans="1:21">
      <c r="A5739">
        <v>5738</v>
      </c>
      <c r="B5739" s="30" t="s">
        <v>1956</v>
      </c>
      <c r="D5739" s="30" t="s">
        <v>1985</v>
      </c>
      <c r="F5739" s="30" t="s">
        <v>2009</v>
      </c>
      <c r="H5739" s="30" t="s">
        <v>2010</v>
      </c>
      <c r="J5739" s="30" t="s">
        <v>2012</v>
      </c>
      <c r="L5739" s="30" t="s">
        <v>9055</v>
      </c>
      <c r="N5739" s="30" t="s">
        <v>9079</v>
      </c>
      <c r="P5739" s="30" t="s">
        <v>9082</v>
      </c>
      <c r="Q5739" t="s">
        <v>735</v>
      </c>
      <c r="R5739" t="s">
        <v>917</v>
      </c>
      <c r="S5739">
        <v>37</v>
      </c>
      <c r="T5739" s="29" t="str">
        <f>HYPERLINK("https://ictv.global/ictv/proposals/2021.010F.R.Cressdna_2neword_3newfam_21newgen.zip","2021.010F.R.Cressdna_2neword_3newfam_21newgen.zip")</f>
        <v>2021.010F.R.Cressdna_2neword_3newfam_21newgen.zip</v>
      </c>
      <c r="U5739" s="29" t="str">
        <f>HYPERLINK("https://ictv.global/taxonomy/taxondetails?taxnode_id=202313278","ictv.global=202313278")</f>
        <v>ictv.global=202313278</v>
      </c>
    </row>
    <row r="5740" spans="1:21">
      <c r="A5740">
        <v>5739</v>
      </c>
      <c r="B5740" s="30" t="s">
        <v>1956</v>
      </c>
      <c r="D5740" s="30" t="s">
        <v>1985</v>
      </c>
      <c r="F5740" s="30" t="s">
        <v>2009</v>
      </c>
      <c r="H5740" s="30" t="s">
        <v>2010</v>
      </c>
      <c r="J5740" s="30" t="s">
        <v>2012</v>
      </c>
      <c r="L5740" s="30" t="s">
        <v>9055</v>
      </c>
      <c r="N5740" s="30" t="s">
        <v>12787</v>
      </c>
      <c r="P5740" s="30" t="s">
        <v>12788</v>
      </c>
      <c r="Q5740" t="s">
        <v>735</v>
      </c>
      <c r="R5740" t="s">
        <v>917</v>
      </c>
      <c r="S5740">
        <v>39</v>
      </c>
      <c r="T5740" s="29" t="str">
        <f>HYPERLINK("https://ictv.global/ictv/proposals/2023.008F.Arfiviricetes_11ng_19nsp.zip","2023.008F.Arfiviricetes_11ng_19nsp.zip")</f>
        <v>2023.008F.Arfiviricetes_11ng_19nsp.zip</v>
      </c>
      <c r="U5740" s="29" t="str">
        <f>HYPERLINK("https://ictv.global/taxonomy/taxondetails?taxnode_id=202317905","ictv.global=202317905")</f>
        <v>ictv.global=202317905</v>
      </c>
    </row>
    <row r="5741" spans="1:21">
      <c r="A5741">
        <v>5740</v>
      </c>
      <c r="B5741" s="30" t="s">
        <v>1956</v>
      </c>
      <c r="D5741" s="30" t="s">
        <v>1985</v>
      </c>
      <c r="F5741" s="30" t="s">
        <v>2009</v>
      </c>
      <c r="H5741" s="30" t="s">
        <v>2010</v>
      </c>
      <c r="J5741" s="30" t="s">
        <v>2012</v>
      </c>
      <c r="L5741" s="30" t="s">
        <v>9055</v>
      </c>
      <c r="N5741" s="30" t="s">
        <v>9083</v>
      </c>
      <c r="P5741" s="30" t="s">
        <v>9084</v>
      </c>
      <c r="Q5741" t="s">
        <v>735</v>
      </c>
      <c r="R5741" t="s">
        <v>917</v>
      </c>
      <c r="S5741">
        <v>37</v>
      </c>
      <c r="T5741" s="29" t="str">
        <f>HYPERLINK("https://ictv.global/ictv/proposals/2021.010F.R.Cressdna_2neword_3newfam_21newgen.zip","2021.010F.R.Cressdna_2neword_3newfam_21newgen.zip")</f>
        <v>2021.010F.R.Cressdna_2neword_3newfam_21newgen.zip</v>
      </c>
      <c r="U5741" s="29" t="str">
        <f>HYPERLINK("https://ictv.global/taxonomy/taxondetails?taxnode_id=202313281","ictv.global=202313281")</f>
        <v>ictv.global=202313281</v>
      </c>
    </row>
    <row r="5742" spans="1:21">
      <c r="A5742">
        <v>5741</v>
      </c>
      <c r="B5742" s="30" t="s">
        <v>1956</v>
      </c>
      <c r="D5742" s="30" t="s">
        <v>1985</v>
      </c>
      <c r="F5742" s="30" t="s">
        <v>2009</v>
      </c>
      <c r="H5742" s="30" t="s">
        <v>2010</v>
      </c>
      <c r="J5742" s="30" t="s">
        <v>2012</v>
      </c>
      <c r="L5742" s="30" t="s">
        <v>9055</v>
      </c>
      <c r="N5742" s="30" t="s">
        <v>9083</v>
      </c>
      <c r="P5742" s="30" t="s">
        <v>9085</v>
      </c>
      <c r="Q5742" t="s">
        <v>735</v>
      </c>
      <c r="R5742" t="s">
        <v>917</v>
      </c>
      <c r="S5742">
        <v>37</v>
      </c>
      <c r="T5742" s="29" t="str">
        <f>HYPERLINK("https://ictv.global/ictv/proposals/2021.010F.R.Cressdna_2neword_3newfam_21newgen.zip","2021.010F.R.Cressdna_2neword_3newfam_21newgen.zip")</f>
        <v>2021.010F.R.Cressdna_2neword_3newfam_21newgen.zip</v>
      </c>
      <c r="U5742" s="29" t="str">
        <f>HYPERLINK("https://ictv.global/taxonomy/taxondetails?taxnode_id=202313280","ictv.global=202313280")</f>
        <v>ictv.global=202313280</v>
      </c>
    </row>
    <row r="5743" spans="1:21">
      <c r="A5743">
        <v>5742</v>
      </c>
      <c r="B5743" s="30" t="s">
        <v>1956</v>
      </c>
      <c r="D5743" s="30" t="s">
        <v>1985</v>
      </c>
      <c r="F5743" s="30" t="s">
        <v>2009</v>
      </c>
      <c r="H5743" s="30" t="s">
        <v>2010</v>
      </c>
      <c r="J5743" s="30" t="s">
        <v>2013</v>
      </c>
      <c r="L5743" s="30" t="s">
        <v>1020</v>
      </c>
      <c r="N5743" s="30" t="s">
        <v>2520</v>
      </c>
      <c r="P5743" s="30" t="s">
        <v>2521</v>
      </c>
      <c r="Q5743" t="s">
        <v>735</v>
      </c>
      <c r="R5743" t="s">
        <v>917</v>
      </c>
      <c r="S5743">
        <v>36</v>
      </c>
      <c r="T5743" s="29" t="str">
        <f>HYPERLINK("https://ictv.global/ictv/proposals/2020.016D.R.Smacoviridae_6ngen_42nsp.zip","2020.016D.R.Smacoviridae_6ngen_42nsp.zip")</f>
        <v>2020.016D.R.Smacoviridae_6ngen_42nsp.zip</v>
      </c>
      <c r="U5743" s="29" t="str">
        <f>HYPERLINK("https://ictv.global/taxonomy/taxondetails?taxnode_id=202309507","ictv.global=202309507")</f>
        <v>ictv.global=202309507</v>
      </c>
    </row>
    <row r="5744" spans="1:21">
      <c r="A5744">
        <v>5743</v>
      </c>
      <c r="B5744" s="30" t="s">
        <v>1956</v>
      </c>
      <c r="D5744" s="30" t="s">
        <v>1985</v>
      </c>
      <c r="F5744" s="30" t="s">
        <v>2009</v>
      </c>
      <c r="H5744" s="30" t="s">
        <v>2010</v>
      </c>
      <c r="J5744" s="30" t="s">
        <v>2013</v>
      </c>
      <c r="L5744" s="30" t="s">
        <v>1020</v>
      </c>
      <c r="N5744" s="30" t="s">
        <v>2522</v>
      </c>
      <c r="P5744" s="30" t="s">
        <v>2523</v>
      </c>
      <c r="Q5744" t="s">
        <v>735</v>
      </c>
      <c r="R5744" t="s">
        <v>918</v>
      </c>
      <c r="S5744">
        <v>36</v>
      </c>
      <c r="T5744" s="29" t="str">
        <f>HYPERLINK("https://ictv.global/ictv/proposals/2020.016D.R.Smacoviridae_6ngen_42nsp.zip","2020.016D.R.Smacoviridae_6ngen_42nsp.zip")</f>
        <v>2020.016D.R.Smacoviridae_6ngen_42nsp.zip</v>
      </c>
      <c r="U5744" s="29" t="str">
        <f>HYPERLINK("https://ictv.global/taxonomy/taxondetails?taxnode_id=202305957","ictv.global=202305957")</f>
        <v>ictv.global=202305957</v>
      </c>
    </row>
    <row r="5745" spans="1:21">
      <c r="A5745">
        <v>5744</v>
      </c>
      <c r="B5745" s="30" t="s">
        <v>1956</v>
      </c>
      <c r="D5745" s="30" t="s">
        <v>1985</v>
      </c>
      <c r="F5745" s="30" t="s">
        <v>2009</v>
      </c>
      <c r="H5745" s="30" t="s">
        <v>2010</v>
      </c>
      <c r="J5745" s="30" t="s">
        <v>2013</v>
      </c>
      <c r="L5745" s="30" t="s">
        <v>1020</v>
      </c>
      <c r="N5745" s="30" t="s">
        <v>2522</v>
      </c>
      <c r="P5745" s="30" t="s">
        <v>12789</v>
      </c>
      <c r="Q5745" t="s">
        <v>735</v>
      </c>
      <c r="R5745" t="s">
        <v>917</v>
      </c>
      <c r="S5745">
        <v>39</v>
      </c>
      <c r="T5745" s="29" t="str">
        <f>HYPERLINK("https://ictv.global/ictv/proposals/2023.011D.Smacoviridae_59nsp.zip","2023.011D.Smacoviridae_59nsp.zip")</f>
        <v>2023.011D.Smacoviridae_59nsp.zip</v>
      </c>
      <c r="U5745" s="29" t="str">
        <f>HYPERLINK("https://ictv.global/taxonomy/taxondetails?taxnode_id=202317960","ictv.global=202317960")</f>
        <v>ictv.global=202317960</v>
      </c>
    </row>
    <row r="5746" spans="1:21">
      <c r="A5746">
        <v>5745</v>
      </c>
      <c r="B5746" s="30" t="s">
        <v>1956</v>
      </c>
      <c r="D5746" s="30" t="s">
        <v>1985</v>
      </c>
      <c r="F5746" s="30" t="s">
        <v>2009</v>
      </c>
      <c r="H5746" s="30" t="s">
        <v>2010</v>
      </c>
      <c r="J5746" s="30" t="s">
        <v>2013</v>
      </c>
      <c r="L5746" s="30" t="s">
        <v>1020</v>
      </c>
      <c r="N5746" s="30" t="s">
        <v>2524</v>
      </c>
      <c r="P5746" s="30" t="s">
        <v>2525</v>
      </c>
      <c r="Q5746" t="s">
        <v>735</v>
      </c>
      <c r="R5746" t="s">
        <v>918</v>
      </c>
      <c r="S5746">
        <v>36</v>
      </c>
      <c r="T5746" s="29" t="str">
        <f>HYPERLINK("https://ictv.global/ictv/proposals/2020.016D.R.Smacoviridae_6ngen_42nsp.zip","2020.016D.R.Smacoviridae_6ngen_42nsp.zip")</f>
        <v>2020.016D.R.Smacoviridae_6ngen_42nsp.zip</v>
      </c>
      <c r="U5746" s="29" t="str">
        <f>HYPERLINK("https://ictv.global/taxonomy/taxondetails?taxnode_id=202305958","ictv.global=202305958")</f>
        <v>ictv.global=202305958</v>
      </c>
    </row>
    <row r="5747" spans="1:21">
      <c r="A5747">
        <v>5746</v>
      </c>
      <c r="B5747" s="30" t="s">
        <v>1956</v>
      </c>
      <c r="D5747" s="30" t="s">
        <v>1985</v>
      </c>
      <c r="F5747" s="30" t="s">
        <v>2009</v>
      </c>
      <c r="H5747" s="30" t="s">
        <v>2010</v>
      </c>
      <c r="J5747" s="30" t="s">
        <v>2013</v>
      </c>
      <c r="L5747" s="30" t="s">
        <v>1020</v>
      </c>
      <c r="N5747" s="30" t="s">
        <v>1021</v>
      </c>
      <c r="P5747" s="30" t="s">
        <v>2526</v>
      </c>
      <c r="Q5747" t="s">
        <v>735</v>
      </c>
      <c r="R5747" t="s">
        <v>3895</v>
      </c>
      <c r="S5747">
        <v>36</v>
      </c>
      <c r="T5747" s="29" t="str">
        <f>HYPERLINK("https://ictv.global/ictv/proposals/2020.016D.R.Smacoviridae_6ngen_42nsp.zip","2020.016D.R.Smacoviridae_6ngen_42nsp.zip;2020.001G.R.Abolish_type_species.pdf")</f>
        <v>2020.016D.R.Smacoviridae_6ngen_42nsp.zip;2020.001G.R.Abolish_type_species.pdf</v>
      </c>
      <c r="U5747" s="29" t="str">
        <f>HYPERLINK("https://ictv.global/taxonomy/taxondetails?taxnode_id=202305945","ictv.global=202305945")</f>
        <v>ictv.global=202305945</v>
      </c>
    </row>
    <row r="5748" spans="1:21">
      <c r="A5748">
        <v>5747</v>
      </c>
      <c r="B5748" s="30" t="s">
        <v>1956</v>
      </c>
      <c r="D5748" s="30" t="s">
        <v>1985</v>
      </c>
      <c r="F5748" s="30" t="s">
        <v>2009</v>
      </c>
      <c r="H5748" s="30" t="s">
        <v>2010</v>
      </c>
      <c r="J5748" s="30" t="s">
        <v>2013</v>
      </c>
      <c r="L5748" s="30" t="s">
        <v>1020</v>
      </c>
      <c r="N5748" s="30" t="s">
        <v>1021</v>
      </c>
      <c r="P5748" s="30" t="s">
        <v>2527</v>
      </c>
      <c r="Q5748" t="s">
        <v>735</v>
      </c>
      <c r="R5748" t="s">
        <v>920</v>
      </c>
      <c r="S5748">
        <v>36</v>
      </c>
      <c r="T5748" s="29" t="str">
        <f>HYPERLINK("https://ictv.global/ictv/proposals/2020.016D.R.Smacoviridae_6ngen_42nsp.zip","2020.016D.R.Smacoviridae_6ngen_42nsp.zip")</f>
        <v>2020.016D.R.Smacoviridae_6ngen_42nsp.zip</v>
      </c>
      <c r="U5748" s="29" t="str">
        <f>HYPERLINK("https://ictv.global/taxonomy/taxondetails?taxnode_id=202305946","ictv.global=202305946")</f>
        <v>ictv.global=202305946</v>
      </c>
    </row>
    <row r="5749" spans="1:21">
      <c r="A5749">
        <v>5748</v>
      </c>
      <c r="B5749" s="30" t="s">
        <v>1956</v>
      </c>
      <c r="D5749" s="30" t="s">
        <v>1985</v>
      </c>
      <c r="F5749" s="30" t="s">
        <v>2009</v>
      </c>
      <c r="H5749" s="30" t="s">
        <v>2010</v>
      </c>
      <c r="J5749" s="30" t="s">
        <v>2013</v>
      </c>
      <c r="L5749" s="30" t="s">
        <v>1020</v>
      </c>
      <c r="N5749" s="30" t="s">
        <v>1021</v>
      </c>
      <c r="P5749" s="30" t="s">
        <v>12790</v>
      </c>
      <c r="Q5749" t="s">
        <v>735</v>
      </c>
      <c r="R5749" t="s">
        <v>917</v>
      </c>
      <c r="S5749">
        <v>39</v>
      </c>
      <c r="T5749" s="29" t="str">
        <f>HYPERLINK("https://ictv.global/ictv/proposals/2023.011D.Smacoviridae_59nsp.zip","2023.011D.Smacoviridae_59nsp.zip")</f>
        <v>2023.011D.Smacoviridae_59nsp.zip</v>
      </c>
      <c r="U5749" s="29" t="str">
        <f>HYPERLINK("https://ictv.global/taxonomy/taxondetails?taxnode_id=202317961","ictv.global=202317961")</f>
        <v>ictv.global=202317961</v>
      </c>
    </row>
    <row r="5750" spans="1:21">
      <c r="A5750">
        <v>5749</v>
      </c>
      <c r="B5750" s="30" t="s">
        <v>1956</v>
      </c>
      <c r="D5750" s="30" t="s">
        <v>1985</v>
      </c>
      <c r="F5750" s="30" t="s">
        <v>2009</v>
      </c>
      <c r="H5750" s="30" t="s">
        <v>2010</v>
      </c>
      <c r="J5750" s="30" t="s">
        <v>2013</v>
      </c>
      <c r="L5750" s="30" t="s">
        <v>1020</v>
      </c>
      <c r="N5750" s="30" t="s">
        <v>1021</v>
      </c>
      <c r="P5750" s="30" t="s">
        <v>12791</v>
      </c>
      <c r="Q5750" t="s">
        <v>735</v>
      </c>
      <c r="R5750" t="s">
        <v>917</v>
      </c>
      <c r="S5750">
        <v>39</v>
      </c>
      <c r="T5750" s="29" t="str">
        <f>HYPERLINK("https://ictv.global/ictv/proposals/2023.011D.Smacoviridae_59nsp.zip","2023.011D.Smacoviridae_59nsp.zip")</f>
        <v>2023.011D.Smacoviridae_59nsp.zip</v>
      </c>
      <c r="U5750" s="29" t="str">
        <f>HYPERLINK("https://ictv.global/taxonomy/taxondetails?taxnode_id=202317962","ictv.global=202317962")</f>
        <v>ictv.global=202317962</v>
      </c>
    </row>
    <row r="5751" spans="1:21">
      <c r="A5751">
        <v>5750</v>
      </c>
      <c r="B5751" s="30" t="s">
        <v>1956</v>
      </c>
      <c r="D5751" s="30" t="s">
        <v>1985</v>
      </c>
      <c r="F5751" s="30" t="s">
        <v>2009</v>
      </c>
      <c r="H5751" s="30" t="s">
        <v>2010</v>
      </c>
      <c r="J5751" s="30" t="s">
        <v>2013</v>
      </c>
      <c r="L5751" s="30" t="s">
        <v>1020</v>
      </c>
      <c r="N5751" s="30" t="s">
        <v>1021</v>
      </c>
      <c r="P5751" s="30" t="s">
        <v>2528</v>
      </c>
      <c r="Q5751" t="s">
        <v>735</v>
      </c>
      <c r="R5751" t="s">
        <v>920</v>
      </c>
      <c r="S5751">
        <v>36</v>
      </c>
      <c r="T5751" s="29" t="str">
        <f>HYPERLINK("https://ictv.global/ictv/proposals/2020.016D.R.Smacoviridae_6ngen_42nsp.zip","2020.016D.R.Smacoviridae_6ngen_42nsp.zip")</f>
        <v>2020.016D.R.Smacoviridae_6ngen_42nsp.zip</v>
      </c>
      <c r="U5751" s="29" t="str">
        <f>HYPERLINK("https://ictv.global/taxonomy/taxondetails?taxnode_id=202305947","ictv.global=202305947")</f>
        <v>ictv.global=202305947</v>
      </c>
    </row>
    <row r="5752" spans="1:21">
      <c r="A5752">
        <v>5751</v>
      </c>
      <c r="B5752" s="30" t="s">
        <v>1956</v>
      </c>
      <c r="D5752" s="30" t="s">
        <v>1985</v>
      </c>
      <c r="F5752" s="30" t="s">
        <v>2009</v>
      </c>
      <c r="H5752" s="30" t="s">
        <v>2010</v>
      </c>
      <c r="J5752" s="30" t="s">
        <v>2013</v>
      </c>
      <c r="L5752" s="30" t="s">
        <v>1020</v>
      </c>
      <c r="N5752" s="30" t="s">
        <v>1021</v>
      </c>
      <c r="P5752" s="30" t="s">
        <v>12792</v>
      </c>
      <c r="Q5752" t="s">
        <v>735</v>
      </c>
      <c r="R5752" t="s">
        <v>917</v>
      </c>
      <c r="S5752">
        <v>39</v>
      </c>
      <c r="T5752" s="29" t="str">
        <f>HYPERLINK("https://ictv.global/ictv/proposals/2023.011D.Smacoviridae_59nsp.zip","2023.011D.Smacoviridae_59nsp.zip")</f>
        <v>2023.011D.Smacoviridae_59nsp.zip</v>
      </c>
      <c r="U5752" s="29" t="str">
        <f>HYPERLINK("https://ictv.global/taxonomy/taxondetails?taxnode_id=202317963","ictv.global=202317963")</f>
        <v>ictv.global=202317963</v>
      </c>
    </row>
    <row r="5753" spans="1:21">
      <c r="A5753">
        <v>5752</v>
      </c>
      <c r="B5753" s="30" t="s">
        <v>1956</v>
      </c>
      <c r="D5753" s="30" t="s">
        <v>1985</v>
      </c>
      <c r="F5753" s="30" t="s">
        <v>2009</v>
      </c>
      <c r="H5753" s="30" t="s">
        <v>2010</v>
      </c>
      <c r="J5753" s="30" t="s">
        <v>2013</v>
      </c>
      <c r="L5753" s="30" t="s">
        <v>1020</v>
      </c>
      <c r="N5753" s="30" t="s">
        <v>1021</v>
      </c>
      <c r="P5753" s="30" t="s">
        <v>12793</v>
      </c>
      <c r="Q5753" t="s">
        <v>735</v>
      </c>
      <c r="R5753" t="s">
        <v>917</v>
      </c>
      <c r="S5753">
        <v>39</v>
      </c>
      <c r="T5753" s="29" t="str">
        <f>HYPERLINK("https://ictv.global/ictv/proposals/2023.011D.Smacoviridae_59nsp.zip","2023.011D.Smacoviridae_59nsp.zip")</f>
        <v>2023.011D.Smacoviridae_59nsp.zip</v>
      </c>
      <c r="U5753" s="29" t="str">
        <f>HYPERLINK("https://ictv.global/taxonomy/taxondetails?taxnode_id=202317964","ictv.global=202317964")</f>
        <v>ictv.global=202317964</v>
      </c>
    </row>
    <row r="5754" spans="1:21">
      <c r="A5754">
        <v>5753</v>
      </c>
      <c r="B5754" s="30" t="s">
        <v>1956</v>
      </c>
      <c r="D5754" s="30" t="s">
        <v>1985</v>
      </c>
      <c r="F5754" s="30" t="s">
        <v>2009</v>
      </c>
      <c r="H5754" s="30" t="s">
        <v>2010</v>
      </c>
      <c r="J5754" s="30" t="s">
        <v>2013</v>
      </c>
      <c r="L5754" s="30" t="s">
        <v>1020</v>
      </c>
      <c r="N5754" s="30" t="s">
        <v>1022</v>
      </c>
      <c r="P5754" s="30" t="s">
        <v>2529</v>
      </c>
      <c r="Q5754" t="s">
        <v>735</v>
      </c>
      <c r="R5754" t="s">
        <v>3895</v>
      </c>
      <c r="S5754">
        <v>36</v>
      </c>
      <c r="T5754" s="29" t="str">
        <f>HYPERLINK("https://ictv.global/ictv/proposals/2020.016D.R.Smacoviridae_6ngen_42nsp.zip","2020.016D.R.Smacoviridae_6ngen_42nsp.zip;2020.001G.R.Abolish_type_species.pdf")</f>
        <v>2020.016D.R.Smacoviridae_6ngen_42nsp.zip;2020.001G.R.Abolish_type_species.pdf</v>
      </c>
      <c r="U5754" s="29" t="str">
        <f>HYPERLINK("https://ictv.global/taxonomy/taxondetails?taxnode_id=202305949","ictv.global=202305949")</f>
        <v>ictv.global=202305949</v>
      </c>
    </row>
    <row r="5755" spans="1:21">
      <c r="A5755">
        <v>5754</v>
      </c>
      <c r="B5755" s="30" t="s">
        <v>1956</v>
      </c>
      <c r="D5755" s="30" t="s">
        <v>1985</v>
      </c>
      <c r="F5755" s="30" t="s">
        <v>2009</v>
      </c>
      <c r="H5755" s="30" t="s">
        <v>2010</v>
      </c>
      <c r="J5755" s="30" t="s">
        <v>2013</v>
      </c>
      <c r="L5755" s="30" t="s">
        <v>1020</v>
      </c>
      <c r="N5755" s="30" t="s">
        <v>1023</v>
      </c>
      <c r="P5755" s="30" t="s">
        <v>12794</v>
      </c>
      <c r="Q5755" t="s">
        <v>735</v>
      </c>
      <c r="R5755" t="s">
        <v>917</v>
      </c>
      <c r="S5755">
        <v>39</v>
      </c>
      <c r="T5755" s="29" t="str">
        <f>HYPERLINK("https://ictv.global/ictv/proposals/2023.011D.Smacoviridae_59nsp.zip","2023.011D.Smacoviridae_59nsp.zip")</f>
        <v>2023.011D.Smacoviridae_59nsp.zip</v>
      </c>
      <c r="U5755" s="29" t="str">
        <f>HYPERLINK("https://ictv.global/taxonomy/taxondetails?taxnode_id=202317965","ictv.global=202317965")</f>
        <v>ictv.global=202317965</v>
      </c>
    </row>
    <row r="5756" spans="1:21">
      <c r="A5756">
        <v>5755</v>
      </c>
      <c r="B5756" s="30" t="s">
        <v>1956</v>
      </c>
      <c r="D5756" s="30" t="s">
        <v>1985</v>
      </c>
      <c r="F5756" s="30" t="s">
        <v>2009</v>
      </c>
      <c r="H5756" s="30" t="s">
        <v>2010</v>
      </c>
      <c r="J5756" s="30" t="s">
        <v>2013</v>
      </c>
      <c r="L5756" s="30" t="s">
        <v>1020</v>
      </c>
      <c r="N5756" s="30" t="s">
        <v>1023</v>
      </c>
      <c r="P5756" s="30" t="s">
        <v>12795</v>
      </c>
      <c r="Q5756" t="s">
        <v>735</v>
      </c>
      <c r="R5756" t="s">
        <v>917</v>
      </c>
      <c r="S5756">
        <v>39</v>
      </c>
      <c r="T5756" s="29" t="str">
        <f>HYPERLINK("https://ictv.global/ictv/proposals/2023.011D.Smacoviridae_59nsp.zip","2023.011D.Smacoviridae_59nsp.zip")</f>
        <v>2023.011D.Smacoviridae_59nsp.zip</v>
      </c>
      <c r="U5756" s="29" t="str">
        <f>HYPERLINK("https://ictv.global/taxonomy/taxondetails?taxnode_id=202317966","ictv.global=202317966")</f>
        <v>ictv.global=202317966</v>
      </c>
    </row>
    <row r="5757" spans="1:21">
      <c r="A5757">
        <v>5756</v>
      </c>
      <c r="B5757" s="30" t="s">
        <v>1956</v>
      </c>
      <c r="D5757" s="30" t="s">
        <v>1985</v>
      </c>
      <c r="F5757" s="30" t="s">
        <v>2009</v>
      </c>
      <c r="H5757" s="30" t="s">
        <v>2010</v>
      </c>
      <c r="J5757" s="30" t="s">
        <v>2013</v>
      </c>
      <c r="L5757" s="30" t="s">
        <v>1020</v>
      </c>
      <c r="N5757" s="30" t="s">
        <v>1023</v>
      </c>
      <c r="P5757" s="30" t="s">
        <v>2530</v>
      </c>
      <c r="Q5757" t="s">
        <v>735</v>
      </c>
      <c r="R5757" t="s">
        <v>3895</v>
      </c>
      <c r="S5757">
        <v>36</v>
      </c>
      <c r="T5757" s="29" t="str">
        <f>HYPERLINK("https://ictv.global/ictv/proposals/2020.016D.R.Smacoviridae_6ngen_42nsp.zip","2020.016D.R.Smacoviridae_6ngen_42nsp.zip;2020.001G.R.Abolish_type_species.pdf")</f>
        <v>2020.016D.R.Smacoviridae_6ngen_42nsp.zip;2020.001G.R.Abolish_type_species.pdf</v>
      </c>
      <c r="U5757" s="29" t="str">
        <f>HYPERLINK("https://ictv.global/taxonomy/taxondetails?taxnode_id=202305951","ictv.global=202305951")</f>
        <v>ictv.global=202305951</v>
      </c>
    </row>
    <row r="5758" spans="1:21">
      <c r="A5758">
        <v>5757</v>
      </c>
      <c r="B5758" s="30" t="s">
        <v>1956</v>
      </c>
      <c r="D5758" s="30" t="s">
        <v>1985</v>
      </c>
      <c r="F5758" s="30" t="s">
        <v>2009</v>
      </c>
      <c r="H5758" s="30" t="s">
        <v>2010</v>
      </c>
      <c r="J5758" s="30" t="s">
        <v>2013</v>
      </c>
      <c r="L5758" s="30" t="s">
        <v>1020</v>
      </c>
      <c r="N5758" s="30" t="s">
        <v>1024</v>
      </c>
      <c r="P5758" s="30" t="s">
        <v>2531</v>
      </c>
      <c r="Q5758" t="s">
        <v>735</v>
      </c>
      <c r="R5758" t="s">
        <v>920</v>
      </c>
      <c r="S5758">
        <v>36</v>
      </c>
      <c r="T5758" s="29" t="str">
        <f>HYPERLINK("https://ictv.global/ictv/proposals/2020.016D.R.Smacoviridae_6ngen_42nsp.zip","2020.016D.R.Smacoviridae_6ngen_42nsp.zip")</f>
        <v>2020.016D.R.Smacoviridae_6ngen_42nsp.zip</v>
      </c>
      <c r="U5758" s="29" t="str">
        <f>HYPERLINK("https://ictv.global/taxonomy/taxondetails?taxnode_id=202305953","ictv.global=202305953")</f>
        <v>ictv.global=202305953</v>
      </c>
    </row>
    <row r="5759" spans="1:21">
      <c r="A5759">
        <v>5758</v>
      </c>
      <c r="B5759" s="30" t="s">
        <v>1956</v>
      </c>
      <c r="D5759" s="30" t="s">
        <v>1985</v>
      </c>
      <c r="F5759" s="30" t="s">
        <v>2009</v>
      </c>
      <c r="H5759" s="30" t="s">
        <v>2010</v>
      </c>
      <c r="J5759" s="30" t="s">
        <v>2013</v>
      </c>
      <c r="L5759" s="30" t="s">
        <v>1020</v>
      </c>
      <c r="N5759" s="30" t="s">
        <v>1024</v>
      </c>
      <c r="P5759" s="30" t="s">
        <v>2532</v>
      </c>
      <c r="Q5759" t="s">
        <v>735</v>
      </c>
      <c r="R5759" t="s">
        <v>3895</v>
      </c>
      <c r="S5759">
        <v>36</v>
      </c>
      <c r="T5759" s="29" t="str">
        <f>HYPERLINK("https://ictv.global/ictv/proposals/2020.016D.R.Smacoviridae_6ngen_42nsp.zip","2020.016D.R.Smacoviridae_6ngen_42nsp.zip;2020.001G.R.Abolish_type_species.pdf")</f>
        <v>2020.016D.R.Smacoviridae_6ngen_42nsp.zip;2020.001G.R.Abolish_type_species.pdf</v>
      </c>
      <c r="U5759" s="29" t="str">
        <f>HYPERLINK("https://ictv.global/taxonomy/taxondetails?taxnode_id=202305954","ictv.global=202305954")</f>
        <v>ictv.global=202305954</v>
      </c>
    </row>
    <row r="5760" spans="1:21">
      <c r="A5760">
        <v>5759</v>
      </c>
      <c r="B5760" s="30" t="s">
        <v>1956</v>
      </c>
      <c r="D5760" s="30" t="s">
        <v>1985</v>
      </c>
      <c r="F5760" s="30" t="s">
        <v>2009</v>
      </c>
      <c r="H5760" s="30" t="s">
        <v>2010</v>
      </c>
      <c r="J5760" s="30" t="s">
        <v>2013</v>
      </c>
      <c r="L5760" s="30" t="s">
        <v>1020</v>
      </c>
      <c r="N5760" s="30" t="s">
        <v>1024</v>
      </c>
      <c r="P5760" s="30" t="s">
        <v>2533</v>
      </c>
      <c r="Q5760" t="s">
        <v>735</v>
      </c>
      <c r="R5760" t="s">
        <v>920</v>
      </c>
      <c r="S5760">
        <v>36</v>
      </c>
      <c r="T5760" s="29" t="str">
        <f>HYPERLINK("https://ictv.global/ictv/proposals/2020.016D.R.Smacoviridae_6ngen_42nsp.zip","2020.016D.R.Smacoviridae_6ngen_42nsp.zip")</f>
        <v>2020.016D.R.Smacoviridae_6ngen_42nsp.zip</v>
      </c>
      <c r="U5760" s="29" t="str">
        <f>HYPERLINK("https://ictv.global/taxonomy/taxondetails?taxnode_id=202305955","ictv.global=202305955")</f>
        <v>ictv.global=202305955</v>
      </c>
    </row>
    <row r="5761" spans="1:21">
      <c r="A5761">
        <v>5760</v>
      </c>
      <c r="B5761" s="30" t="s">
        <v>1956</v>
      </c>
      <c r="D5761" s="30" t="s">
        <v>1985</v>
      </c>
      <c r="F5761" s="30" t="s">
        <v>2009</v>
      </c>
      <c r="H5761" s="30" t="s">
        <v>2010</v>
      </c>
      <c r="J5761" s="30" t="s">
        <v>2013</v>
      </c>
      <c r="L5761" s="30" t="s">
        <v>1020</v>
      </c>
      <c r="N5761" s="30" t="s">
        <v>1024</v>
      </c>
      <c r="P5761" s="30" t="s">
        <v>12796</v>
      </c>
      <c r="Q5761" t="s">
        <v>735</v>
      </c>
      <c r="R5761" t="s">
        <v>917</v>
      </c>
      <c r="S5761">
        <v>39</v>
      </c>
      <c r="T5761" s="29" t="str">
        <f t="shared" ref="T5761:T5772" si="267">HYPERLINK("https://ictv.global/ictv/proposals/2023.011D.Smacoviridae_59nsp.zip","2023.011D.Smacoviridae_59nsp.zip")</f>
        <v>2023.011D.Smacoviridae_59nsp.zip</v>
      </c>
      <c r="U5761" s="29" t="str">
        <f>HYPERLINK("https://ictv.global/taxonomy/taxondetails?taxnode_id=202317967","ictv.global=202317967")</f>
        <v>ictv.global=202317967</v>
      </c>
    </row>
    <row r="5762" spans="1:21">
      <c r="A5762">
        <v>5761</v>
      </c>
      <c r="B5762" s="30" t="s">
        <v>1956</v>
      </c>
      <c r="D5762" s="30" t="s">
        <v>1985</v>
      </c>
      <c r="F5762" s="30" t="s">
        <v>2009</v>
      </c>
      <c r="H5762" s="30" t="s">
        <v>2010</v>
      </c>
      <c r="J5762" s="30" t="s">
        <v>2013</v>
      </c>
      <c r="L5762" s="30" t="s">
        <v>1020</v>
      </c>
      <c r="N5762" s="30" t="s">
        <v>1024</v>
      </c>
      <c r="P5762" s="30" t="s">
        <v>12797</v>
      </c>
      <c r="Q5762" t="s">
        <v>735</v>
      </c>
      <c r="R5762" t="s">
        <v>917</v>
      </c>
      <c r="S5762">
        <v>39</v>
      </c>
      <c r="T5762" s="29" t="str">
        <f t="shared" si="267"/>
        <v>2023.011D.Smacoviridae_59nsp.zip</v>
      </c>
      <c r="U5762" s="29" t="str">
        <f>HYPERLINK("https://ictv.global/taxonomy/taxondetails?taxnode_id=202317968","ictv.global=202317968")</f>
        <v>ictv.global=202317968</v>
      </c>
    </row>
    <row r="5763" spans="1:21">
      <c r="A5763">
        <v>5762</v>
      </c>
      <c r="B5763" s="30" t="s">
        <v>1956</v>
      </c>
      <c r="D5763" s="30" t="s">
        <v>1985</v>
      </c>
      <c r="F5763" s="30" t="s">
        <v>2009</v>
      </c>
      <c r="H5763" s="30" t="s">
        <v>2010</v>
      </c>
      <c r="J5763" s="30" t="s">
        <v>2013</v>
      </c>
      <c r="L5763" s="30" t="s">
        <v>1020</v>
      </c>
      <c r="N5763" s="30" t="s">
        <v>1024</v>
      </c>
      <c r="P5763" s="30" t="s">
        <v>12798</v>
      </c>
      <c r="Q5763" t="s">
        <v>735</v>
      </c>
      <c r="R5763" t="s">
        <v>917</v>
      </c>
      <c r="S5763">
        <v>39</v>
      </c>
      <c r="T5763" s="29" t="str">
        <f t="shared" si="267"/>
        <v>2023.011D.Smacoviridae_59nsp.zip</v>
      </c>
      <c r="U5763" s="29" t="str">
        <f>HYPERLINK("https://ictv.global/taxonomy/taxondetails?taxnode_id=202317969","ictv.global=202317969")</f>
        <v>ictv.global=202317969</v>
      </c>
    </row>
    <row r="5764" spans="1:21">
      <c r="A5764">
        <v>5763</v>
      </c>
      <c r="B5764" s="30" t="s">
        <v>1956</v>
      </c>
      <c r="D5764" s="30" t="s">
        <v>1985</v>
      </c>
      <c r="F5764" s="30" t="s">
        <v>2009</v>
      </c>
      <c r="H5764" s="30" t="s">
        <v>2010</v>
      </c>
      <c r="J5764" s="30" t="s">
        <v>2013</v>
      </c>
      <c r="L5764" s="30" t="s">
        <v>1020</v>
      </c>
      <c r="N5764" s="30" t="s">
        <v>1024</v>
      </c>
      <c r="P5764" s="30" t="s">
        <v>12799</v>
      </c>
      <c r="Q5764" t="s">
        <v>735</v>
      </c>
      <c r="R5764" t="s">
        <v>917</v>
      </c>
      <c r="S5764">
        <v>39</v>
      </c>
      <c r="T5764" s="29" t="str">
        <f t="shared" si="267"/>
        <v>2023.011D.Smacoviridae_59nsp.zip</v>
      </c>
      <c r="U5764" s="29" t="str">
        <f>HYPERLINK("https://ictv.global/taxonomy/taxondetails?taxnode_id=202317970","ictv.global=202317970")</f>
        <v>ictv.global=202317970</v>
      </c>
    </row>
    <row r="5765" spans="1:21">
      <c r="A5765">
        <v>5764</v>
      </c>
      <c r="B5765" s="30" t="s">
        <v>1956</v>
      </c>
      <c r="D5765" s="30" t="s">
        <v>1985</v>
      </c>
      <c r="F5765" s="30" t="s">
        <v>2009</v>
      </c>
      <c r="H5765" s="30" t="s">
        <v>2010</v>
      </c>
      <c r="J5765" s="30" t="s">
        <v>2013</v>
      </c>
      <c r="L5765" s="30" t="s">
        <v>1020</v>
      </c>
      <c r="N5765" s="30" t="s">
        <v>2534</v>
      </c>
      <c r="P5765" s="30" t="s">
        <v>12800</v>
      </c>
      <c r="Q5765" t="s">
        <v>735</v>
      </c>
      <c r="R5765" t="s">
        <v>917</v>
      </c>
      <c r="S5765">
        <v>39</v>
      </c>
      <c r="T5765" s="29" t="str">
        <f t="shared" si="267"/>
        <v>2023.011D.Smacoviridae_59nsp.zip</v>
      </c>
      <c r="U5765" s="29" t="str">
        <f>HYPERLINK("https://ictv.global/taxonomy/taxondetails?taxnode_id=202317972","ictv.global=202317972")</f>
        <v>ictv.global=202317972</v>
      </c>
    </row>
    <row r="5766" spans="1:21">
      <c r="A5766">
        <v>5765</v>
      </c>
      <c r="B5766" s="30" t="s">
        <v>1956</v>
      </c>
      <c r="D5766" s="30" t="s">
        <v>1985</v>
      </c>
      <c r="F5766" s="30" t="s">
        <v>2009</v>
      </c>
      <c r="H5766" s="30" t="s">
        <v>2010</v>
      </c>
      <c r="J5766" s="30" t="s">
        <v>2013</v>
      </c>
      <c r="L5766" s="30" t="s">
        <v>1020</v>
      </c>
      <c r="N5766" s="30" t="s">
        <v>2534</v>
      </c>
      <c r="P5766" s="30" t="s">
        <v>12801</v>
      </c>
      <c r="Q5766" t="s">
        <v>735</v>
      </c>
      <c r="R5766" t="s">
        <v>917</v>
      </c>
      <c r="S5766">
        <v>39</v>
      </c>
      <c r="T5766" s="29" t="str">
        <f t="shared" si="267"/>
        <v>2023.011D.Smacoviridae_59nsp.zip</v>
      </c>
      <c r="U5766" s="29" t="str">
        <f>HYPERLINK("https://ictv.global/taxonomy/taxondetails?taxnode_id=202317971","ictv.global=202317971")</f>
        <v>ictv.global=202317971</v>
      </c>
    </row>
    <row r="5767" spans="1:21">
      <c r="A5767">
        <v>5766</v>
      </c>
      <c r="B5767" s="30" t="s">
        <v>1956</v>
      </c>
      <c r="D5767" s="30" t="s">
        <v>1985</v>
      </c>
      <c r="F5767" s="30" t="s">
        <v>2009</v>
      </c>
      <c r="H5767" s="30" t="s">
        <v>2010</v>
      </c>
      <c r="J5767" s="30" t="s">
        <v>2013</v>
      </c>
      <c r="L5767" s="30" t="s">
        <v>1020</v>
      </c>
      <c r="N5767" s="30" t="s">
        <v>2534</v>
      </c>
      <c r="P5767" s="30" t="s">
        <v>12802</v>
      </c>
      <c r="Q5767" t="s">
        <v>735</v>
      </c>
      <c r="R5767" t="s">
        <v>917</v>
      </c>
      <c r="S5767">
        <v>39</v>
      </c>
      <c r="T5767" s="29" t="str">
        <f t="shared" si="267"/>
        <v>2023.011D.Smacoviridae_59nsp.zip</v>
      </c>
      <c r="U5767" s="29" t="str">
        <f>HYPERLINK("https://ictv.global/taxonomy/taxondetails?taxnode_id=202317973","ictv.global=202317973")</f>
        <v>ictv.global=202317973</v>
      </c>
    </row>
    <row r="5768" spans="1:21">
      <c r="A5768">
        <v>5767</v>
      </c>
      <c r="B5768" s="30" t="s">
        <v>1956</v>
      </c>
      <c r="D5768" s="30" t="s">
        <v>1985</v>
      </c>
      <c r="F5768" s="30" t="s">
        <v>2009</v>
      </c>
      <c r="H5768" s="30" t="s">
        <v>2010</v>
      </c>
      <c r="J5768" s="30" t="s">
        <v>2013</v>
      </c>
      <c r="L5768" s="30" t="s">
        <v>1020</v>
      </c>
      <c r="N5768" s="30" t="s">
        <v>2534</v>
      </c>
      <c r="P5768" s="30" t="s">
        <v>12803</v>
      </c>
      <c r="Q5768" t="s">
        <v>735</v>
      </c>
      <c r="R5768" t="s">
        <v>917</v>
      </c>
      <c r="S5768">
        <v>39</v>
      </c>
      <c r="T5768" s="29" t="str">
        <f t="shared" si="267"/>
        <v>2023.011D.Smacoviridae_59nsp.zip</v>
      </c>
      <c r="U5768" s="29" t="str">
        <f>HYPERLINK("https://ictv.global/taxonomy/taxondetails?taxnode_id=202317974","ictv.global=202317974")</f>
        <v>ictv.global=202317974</v>
      </c>
    </row>
    <row r="5769" spans="1:21">
      <c r="A5769">
        <v>5768</v>
      </c>
      <c r="B5769" s="30" t="s">
        <v>1956</v>
      </c>
      <c r="D5769" s="30" t="s">
        <v>1985</v>
      </c>
      <c r="F5769" s="30" t="s">
        <v>2009</v>
      </c>
      <c r="H5769" s="30" t="s">
        <v>2010</v>
      </c>
      <c r="J5769" s="30" t="s">
        <v>2013</v>
      </c>
      <c r="L5769" s="30" t="s">
        <v>1020</v>
      </c>
      <c r="N5769" s="30" t="s">
        <v>2534</v>
      </c>
      <c r="P5769" s="30" t="s">
        <v>12804</v>
      </c>
      <c r="Q5769" t="s">
        <v>735</v>
      </c>
      <c r="R5769" t="s">
        <v>917</v>
      </c>
      <c r="S5769">
        <v>39</v>
      </c>
      <c r="T5769" s="29" t="str">
        <f t="shared" si="267"/>
        <v>2023.011D.Smacoviridae_59nsp.zip</v>
      </c>
      <c r="U5769" s="29" t="str">
        <f>HYPERLINK("https://ictv.global/taxonomy/taxondetails?taxnode_id=202317975","ictv.global=202317975")</f>
        <v>ictv.global=202317975</v>
      </c>
    </row>
    <row r="5770" spans="1:21">
      <c r="A5770">
        <v>5769</v>
      </c>
      <c r="B5770" s="30" t="s">
        <v>1956</v>
      </c>
      <c r="D5770" s="30" t="s">
        <v>1985</v>
      </c>
      <c r="F5770" s="30" t="s">
        <v>2009</v>
      </c>
      <c r="H5770" s="30" t="s">
        <v>2010</v>
      </c>
      <c r="J5770" s="30" t="s">
        <v>2013</v>
      </c>
      <c r="L5770" s="30" t="s">
        <v>1020</v>
      </c>
      <c r="N5770" s="30" t="s">
        <v>2534</v>
      </c>
      <c r="P5770" s="30" t="s">
        <v>12805</v>
      </c>
      <c r="Q5770" t="s">
        <v>735</v>
      </c>
      <c r="R5770" t="s">
        <v>917</v>
      </c>
      <c r="S5770">
        <v>39</v>
      </c>
      <c r="T5770" s="29" t="str">
        <f t="shared" si="267"/>
        <v>2023.011D.Smacoviridae_59nsp.zip</v>
      </c>
      <c r="U5770" s="29" t="str">
        <f>HYPERLINK("https://ictv.global/taxonomy/taxondetails?taxnode_id=202317976","ictv.global=202317976")</f>
        <v>ictv.global=202317976</v>
      </c>
    </row>
    <row r="5771" spans="1:21">
      <c r="A5771">
        <v>5770</v>
      </c>
      <c r="B5771" s="30" t="s">
        <v>1956</v>
      </c>
      <c r="D5771" s="30" t="s">
        <v>1985</v>
      </c>
      <c r="F5771" s="30" t="s">
        <v>2009</v>
      </c>
      <c r="H5771" s="30" t="s">
        <v>2010</v>
      </c>
      <c r="J5771" s="30" t="s">
        <v>2013</v>
      </c>
      <c r="L5771" s="30" t="s">
        <v>1020</v>
      </c>
      <c r="N5771" s="30" t="s">
        <v>2534</v>
      </c>
      <c r="P5771" s="30" t="s">
        <v>12806</v>
      </c>
      <c r="Q5771" t="s">
        <v>735</v>
      </c>
      <c r="R5771" t="s">
        <v>917</v>
      </c>
      <c r="S5771">
        <v>39</v>
      </c>
      <c r="T5771" s="29" t="str">
        <f t="shared" si="267"/>
        <v>2023.011D.Smacoviridae_59nsp.zip</v>
      </c>
      <c r="U5771" s="29" t="str">
        <f>HYPERLINK("https://ictv.global/taxonomy/taxondetails?taxnode_id=202317977","ictv.global=202317977")</f>
        <v>ictv.global=202317977</v>
      </c>
    </row>
    <row r="5772" spans="1:21">
      <c r="A5772">
        <v>5771</v>
      </c>
      <c r="B5772" s="30" t="s">
        <v>1956</v>
      </c>
      <c r="D5772" s="30" t="s">
        <v>1985</v>
      </c>
      <c r="F5772" s="30" t="s">
        <v>2009</v>
      </c>
      <c r="H5772" s="30" t="s">
        <v>2010</v>
      </c>
      <c r="J5772" s="30" t="s">
        <v>2013</v>
      </c>
      <c r="L5772" s="30" t="s">
        <v>1020</v>
      </c>
      <c r="N5772" s="30" t="s">
        <v>2534</v>
      </c>
      <c r="P5772" s="30" t="s">
        <v>12807</v>
      </c>
      <c r="Q5772" t="s">
        <v>735</v>
      </c>
      <c r="R5772" t="s">
        <v>917</v>
      </c>
      <c r="S5772">
        <v>39</v>
      </c>
      <c r="T5772" s="29" t="str">
        <f t="shared" si="267"/>
        <v>2023.011D.Smacoviridae_59nsp.zip</v>
      </c>
      <c r="U5772" s="29" t="str">
        <f>HYPERLINK("https://ictv.global/taxonomy/taxondetails?taxnode_id=202317978","ictv.global=202317978")</f>
        <v>ictv.global=202317978</v>
      </c>
    </row>
    <row r="5773" spans="1:21">
      <c r="A5773">
        <v>5772</v>
      </c>
      <c r="B5773" s="30" t="s">
        <v>1956</v>
      </c>
      <c r="D5773" s="30" t="s">
        <v>1985</v>
      </c>
      <c r="F5773" s="30" t="s">
        <v>2009</v>
      </c>
      <c r="H5773" s="30" t="s">
        <v>2010</v>
      </c>
      <c r="J5773" s="30" t="s">
        <v>2013</v>
      </c>
      <c r="L5773" s="30" t="s">
        <v>1020</v>
      </c>
      <c r="N5773" s="30" t="s">
        <v>2534</v>
      </c>
      <c r="P5773" s="30" t="s">
        <v>2535</v>
      </c>
      <c r="Q5773" t="s">
        <v>735</v>
      </c>
      <c r="R5773" t="s">
        <v>917</v>
      </c>
      <c r="S5773">
        <v>36</v>
      </c>
      <c r="T5773" s="29" t="str">
        <f>HYPERLINK("https://ictv.global/ictv/proposals/2020.016D.R.Smacoviridae_6ngen_42nsp.zip","2020.016D.R.Smacoviridae_6ngen_42nsp.zip")</f>
        <v>2020.016D.R.Smacoviridae_6ngen_42nsp.zip</v>
      </c>
      <c r="U5773" s="29" t="str">
        <f>HYPERLINK("https://ictv.global/taxonomy/taxondetails?taxnode_id=202309509","ictv.global=202309509")</f>
        <v>ictv.global=202309509</v>
      </c>
    </row>
    <row r="5774" spans="1:21">
      <c r="A5774">
        <v>5773</v>
      </c>
      <c r="B5774" s="30" t="s">
        <v>1956</v>
      </c>
      <c r="D5774" s="30" t="s">
        <v>1985</v>
      </c>
      <c r="F5774" s="30" t="s">
        <v>2009</v>
      </c>
      <c r="H5774" s="30" t="s">
        <v>2010</v>
      </c>
      <c r="J5774" s="30" t="s">
        <v>2013</v>
      </c>
      <c r="L5774" s="30" t="s">
        <v>1020</v>
      </c>
      <c r="N5774" s="30" t="s">
        <v>2534</v>
      </c>
      <c r="P5774" s="30" t="s">
        <v>12808</v>
      </c>
      <c r="Q5774" t="s">
        <v>735</v>
      </c>
      <c r="R5774" t="s">
        <v>917</v>
      </c>
      <c r="S5774">
        <v>39</v>
      </c>
      <c r="T5774" s="29" t="str">
        <f t="shared" ref="T5774:T5787" si="268">HYPERLINK("https://ictv.global/ictv/proposals/2023.011D.Smacoviridae_59nsp.zip","2023.011D.Smacoviridae_59nsp.zip")</f>
        <v>2023.011D.Smacoviridae_59nsp.zip</v>
      </c>
      <c r="U5774" s="29" t="str">
        <f>HYPERLINK("https://ictv.global/taxonomy/taxondetails?taxnode_id=202317979","ictv.global=202317979")</f>
        <v>ictv.global=202317979</v>
      </c>
    </row>
    <row r="5775" spans="1:21">
      <c r="A5775">
        <v>5774</v>
      </c>
      <c r="B5775" s="30" t="s">
        <v>1956</v>
      </c>
      <c r="D5775" s="30" t="s">
        <v>1985</v>
      </c>
      <c r="F5775" s="30" t="s">
        <v>2009</v>
      </c>
      <c r="H5775" s="30" t="s">
        <v>2010</v>
      </c>
      <c r="J5775" s="30" t="s">
        <v>2013</v>
      </c>
      <c r="L5775" s="30" t="s">
        <v>1020</v>
      </c>
      <c r="N5775" s="30" t="s">
        <v>2534</v>
      </c>
      <c r="P5775" s="30" t="s">
        <v>12809</v>
      </c>
      <c r="Q5775" t="s">
        <v>735</v>
      </c>
      <c r="R5775" t="s">
        <v>917</v>
      </c>
      <c r="S5775">
        <v>39</v>
      </c>
      <c r="T5775" s="29" t="str">
        <f t="shared" si="268"/>
        <v>2023.011D.Smacoviridae_59nsp.zip</v>
      </c>
      <c r="U5775" s="29" t="str">
        <f>HYPERLINK("https://ictv.global/taxonomy/taxondetails?taxnode_id=202317980","ictv.global=202317980")</f>
        <v>ictv.global=202317980</v>
      </c>
    </row>
    <row r="5776" spans="1:21">
      <c r="A5776">
        <v>5775</v>
      </c>
      <c r="B5776" s="30" t="s">
        <v>1956</v>
      </c>
      <c r="D5776" s="30" t="s">
        <v>1985</v>
      </c>
      <c r="F5776" s="30" t="s">
        <v>2009</v>
      </c>
      <c r="H5776" s="30" t="s">
        <v>2010</v>
      </c>
      <c r="J5776" s="30" t="s">
        <v>2013</v>
      </c>
      <c r="L5776" s="30" t="s">
        <v>1020</v>
      </c>
      <c r="N5776" s="30" t="s">
        <v>2534</v>
      </c>
      <c r="P5776" s="30" t="s">
        <v>12810</v>
      </c>
      <c r="Q5776" t="s">
        <v>735</v>
      </c>
      <c r="R5776" t="s">
        <v>917</v>
      </c>
      <c r="S5776">
        <v>39</v>
      </c>
      <c r="T5776" s="29" t="str">
        <f t="shared" si="268"/>
        <v>2023.011D.Smacoviridae_59nsp.zip</v>
      </c>
      <c r="U5776" s="29" t="str">
        <f>HYPERLINK("https://ictv.global/taxonomy/taxondetails?taxnode_id=202317981","ictv.global=202317981")</f>
        <v>ictv.global=202317981</v>
      </c>
    </row>
    <row r="5777" spans="1:21">
      <c r="A5777">
        <v>5776</v>
      </c>
      <c r="B5777" s="30" t="s">
        <v>1956</v>
      </c>
      <c r="D5777" s="30" t="s">
        <v>1985</v>
      </c>
      <c r="F5777" s="30" t="s">
        <v>2009</v>
      </c>
      <c r="H5777" s="30" t="s">
        <v>2010</v>
      </c>
      <c r="J5777" s="30" t="s">
        <v>2013</v>
      </c>
      <c r="L5777" s="30" t="s">
        <v>1020</v>
      </c>
      <c r="N5777" s="30" t="s">
        <v>2534</v>
      </c>
      <c r="P5777" s="30" t="s">
        <v>12811</v>
      </c>
      <c r="Q5777" t="s">
        <v>735</v>
      </c>
      <c r="R5777" t="s">
        <v>917</v>
      </c>
      <c r="S5777">
        <v>39</v>
      </c>
      <c r="T5777" s="29" t="str">
        <f t="shared" si="268"/>
        <v>2023.011D.Smacoviridae_59nsp.zip</v>
      </c>
      <c r="U5777" s="29" t="str">
        <f>HYPERLINK("https://ictv.global/taxonomy/taxondetails?taxnode_id=202317983","ictv.global=202317983")</f>
        <v>ictv.global=202317983</v>
      </c>
    </row>
    <row r="5778" spans="1:21">
      <c r="A5778">
        <v>5777</v>
      </c>
      <c r="B5778" s="30" t="s">
        <v>1956</v>
      </c>
      <c r="D5778" s="30" t="s">
        <v>1985</v>
      </c>
      <c r="F5778" s="30" t="s">
        <v>2009</v>
      </c>
      <c r="H5778" s="30" t="s">
        <v>2010</v>
      </c>
      <c r="J5778" s="30" t="s">
        <v>2013</v>
      </c>
      <c r="L5778" s="30" t="s">
        <v>1020</v>
      </c>
      <c r="N5778" s="30" t="s">
        <v>2534</v>
      </c>
      <c r="P5778" s="30" t="s">
        <v>12812</v>
      </c>
      <c r="Q5778" t="s">
        <v>735</v>
      </c>
      <c r="R5778" t="s">
        <v>917</v>
      </c>
      <c r="S5778">
        <v>39</v>
      </c>
      <c r="T5778" s="29" t="str">
        <f t="shared" si="268"/>
        <v>2023.011D.Smacoviridae_59nsp.zip</v>
      </c>
      <c r="U5778" s="29" t="str">
        <f>HYPERLINK("https://ictv.global/taxonomy/taxondetails?taxnode_id=202317984","ictv.global=202317984")</f>
        <v>ictv.global=202317984</v>
      </c>
    </row>
    <row r="5779" spans="1:21">
      <c r="A5779">
        <v>5778</v>
      </c>
      <c r="B5779" s="30" t="s">
        <v>1956</v>
      </c>
      <c r="D5779" s="30" t="s">
        <v>1985</v>
      </c>
      <c r="F5779" s="30" t="s">
        <v>2009</v>
      </c>
      <c r="H5779" s="30" t="s">
        <v>2010</v>
      </c>
      <c r="J5779" s="30" t="s">
        <v>2013</v>
      </c>
      <c r="L5779" s="30" t="s">
        <v>1020</v>
      </c>
      <c r="N5779" s="30" t="s">
        <v>2534</v>
      </c>
      <c r="P5779" s="30" t="s">
        <v>12813</v>
      </c>
      <c r="Q5779" t="s">
        <v>735</v>
      </c>
      <c r="R5779" t="s">
        <v>917</v>
      </c>
      <c r="S5779">
        <v>39</v>
      </c>
      <c r="T5779" s="29" t="str">
        <f t="shared" si="268"/>
        <v>2023.011D.Smacoviridae_59nsp.zip</v>
      </c>
      <c r="U5779" s="29" t="str">
        <f>HYPERLINK("https://ictv.global/taxonomy/taxondetails?taxnode_id=202317985","ictv.global=202317985")</f>
        <v>ictv.global=202317985</v>
      </c>
    </row>
    <row r="5780" spans="1:21">
      <c r="A5780">
        <v>5779</v>
      </c>
      <c r="B5780" s="30" t="s">
        <v>1956</v>
      </c>
      <c r="D5780" s="30" t="s">
        <v>1985</v>
      </c>
      <c r="F5780" s="30" t="s">
        <v>2009</v>
      </c>
      <c r="H5780" s="30" t="s">
        <v>2010</v>
      </c>
      <c r="J5780" s="30" t="s">
        <v>2013</v>
      </c>
      <c r="L5780" s="30" t="s">
        <v>1020</v>
      </c>
      <c r="N5780" s="30" t="s">
        <v>2534</v>
      </c>
      <c r="P5780" s="30" t="s">
        <v>12814</v>
      </c>
      <c r="Q5780" t="s">
        <v>735</v>
      </c>
      <c r="R5780" t="s">
        <v>917</v>
      </c>
      <c r="S5780">
        <v>39</v>
      </c>
      <c r="T5780" s="29" t="str">
        <f t="shared" si="268"/>
        <v>2023.011D.Smacoviridae_59nsp.zip</v>
      </c>
      <c r="U5780" s="29" t="str">
        <f>HYPERLINK("https://ictv.global/taxonomy/taxondetails?taxnode_id=202317986","ictv.global=202317986")</f>
        <v>ictv.global=202317986</v>
      </c>
    </row>
    <row r="5781" spans="1:21">
      <c r="A5781">
        <v>5780</v>
      </c>
      <c r="B5781" s="30" t="s">
        <v>1956</v>
      </c>
      <c r="D5781" s="30" t="s">
        <v>1985</v>
      </c>
      <c r="F5781" s="30" t="s">
        <v>2009</v>
      </c>
      <c r="H5781" s="30" t="s">
        <v>2010</v>
      </c>
      <c r="J5781" s="30" t="s">
        <v>2013</v>
      </c>
      <c r="L5781" s="30" t="s">
        <v>1020</v>
      </c>
      <c r="N5781" s="30" t="s">
        <v>2534</v>
      </c>
      <c r="P5781" s="30" t="s">
        <v>12815</v>
      </c>
      <c r="Q5781" t="s">
        <v>735</v>
      </c>
      <c r="R5781" t="s">
        <v>917</v>
      </c>
      <c r="S5781">
        <v>39</v>
      </c>
      <c r="T5781" s="29" t="str">
        <f t="shared" si="268"/>
        <v>2023.011D.Smacoviridae_59nsp.zip</v>
      </c>
      <c r="U5781" s="29" t="str">
        <f>HYPERLINK("https://ictv.global/taxonomy/taxondetails?taxnode_id=202317987","ictv.global=202317987")</f>
        <v>ictv.global=202317987</v>
      </c>
    </row>
    <row r="5782" spans="1:21">
      <c r="A5782">
        <v>5781</v>
      </c>
      <c r="B5782" s="30" t="s">
        <v>1956</v>
      </c>
      <c r="D5782" s="30" t="s">
        <v>1985</v>
      </c>
      <c r="F5782" s="30" t="s">
        <v>2009</v>
      </c>
      <c r="H5782" s="30" t="s">
        <v>2010</v>
      </c>
      <c r="J5782" s="30" t="s">
        <v>2013</v>
      </c>
      <c r="L5782" s="30" t="s">
        <v>1020</v>
      </c>
      <c r="N5782" s="30" t="s">
        <v>2534</v>
      </c>
      <c r="P5782" s="30" t="s">
        <v>12816</v>
      </c>
      <c r="Q5782" t="s">
        <v>735</v>
      </c>
      <c r="R5782" t="s">
        <v>917</v>
      </c>
      <c r="S5782">
        <v>39</v>
      </c>
      <c r="T5782" s="29" t="str">
        <f t="shared" si="268"/>
        <v>2023.011D.Smacoviridae_59nsp.zip</v>
      </c>
      <c r="U5782" s="29" t="str">
        <f>HYPERLINK("https://ictv.global/taxonomy/taxondetails?taxnode_id=202317988","ictv.global=202317988")</f>
        <v>ictv.global=202317988</v>
      </c>
    </row>
    <row r="5783" spans="1:21">
      <c r="A5783">
        <v>5782</v>
      </c>
      <c r="B5783" s="30" t="s">
        <v>1956</v>
      </c>
      <c r="D5783" s="30" t="s">
        <v>1985</v>
      </c>
      <c r="F5783" s="30" t="s">
        <v>2009</v>
      </c>
      <c r="H5783" s="30" t="s">
        <v>2010</v>
      </c>
      <c r="J5783" s="30" t="s">
        <v>2013</v>
      </c>
      <c r="L5783" s="30" t="s">
        <v>1020</v>
      </c>
      <c r="N5783" s="30" t="s">
        <v>2534</v>
      </c>
      <c r="P5783" s="30" t="s">
        <v>12817</v>
      </c>
      <c r="Q5783" t="s">
        <v>735</v>
      </c>
      <c r="R5783" t="s">
        <v>917</v>
      </c>
      <c r="S5783">
        <v>39</v>
      </c>
      <c r="T5783" s="29" t="str">
        <f t="shared" si="268"/>
        <v>2023.011D.Smacoviridae_59nsp.zip</v>
      </c>
      <c r="U5783" s="29" t="str">
        <f>HYPERLINK("https://ictv.global/taxonomy/taxondetails?taxnode_id=202317989","ictv.global=202317989")</f>
        <v>ictv.global=202317989</v>
      </c>
    </row>
    <row r="5784" spans="1:21">
      <c r="A5784">
        <v>5783</v>
      </c>
      <c r="B5784" s="30" t="s">
        <v>1956</v>
      </c>
      <c r="D5784" s="30" t="s">
        <v>1985</v>
      </c>
      <c r="F5784" s="30" t="s">
        <v>2009</v>
      </c>
      <c r="H5784" s="30" t="s">
        <v>2010</v>
      </c>
      <c r="J5784" s="30" t="s">
        <v>2013</v>
      </c>
      <c r="L5784" s="30" t="s">
        <v>1020</v>
      </c>
      <c r="N5784" s="30" t="s">
        <v>2534</v>
      </c>
      <c r="P5784" s="30" t="s">
        <v>12818</v>
      </c>
      <c r="Q5784" t="s">
        <v>735</v>
      </c>
      <c r="R5784" t="s">
        <v>917</v>
      </c>
      <c r="S5784">
        <v>39</v>
      </c>
      <c r="T5784" s="29" t="str">
        <f t="shared" si="268"/>
        <v>2023.011D.Smacoviridae_59nsp.zip</v>
      </c>
      <c r="U5784" s="29" t="str">
        <f>HYPERLINK("https://ictv.global/taxonomy/taxondetails?taxnode_id=202317990","ictv.global=202317990")</f>
        <v>ictv.global=202317990</v>
      </c>
    </row>
    <row r="5785" spans="1:21">
      <c r="A5785">
        <v>5784</v>
      </c>
      <c r="B5785" s="30" t="s">
        <v>1956</v>
      </c>
      <c r="D5785" s="30" t="s">
        <v>1985</v>
      </c>
      <c r="F5785" s="30" t="s">
        <v>2009</v>
      </c>
      <c r="H5785" s="30" t="s">
        <v>2010</v>
      </c>
      <c r="J5785" s="30" t="s">
        <v>2013</v>
      </c>
      <c r="L5785" s="30" t="s">
        <v>1020</v>
      </c>
      <c r="N5785" s="30" t="s">
        <v>2534</v>
      </c>
      <c r="P5785" s="30" t="s">
        <v>12819</v>
      </c>
      <c r="Q5785" t="s">
        <v>735</v>
      </c>
      <c r="R5785" t="s">
        <v>917</v>
      </c>
      <c r="S5785">
        <v>39</v>
      </c>
      <c r="T5785" s="29" t="str">
        <f t="shared" si="268"/>
        <v>2023.011D.Smacoviridae_59nsp.zip</v>
      </c>
      <c r="U5785" s="29" t="str">
        <f>HYPERLINK("https://ictv.global/taxonomy/taxondetails?taxnode_id=202317982","ictv.global=202317982")</f>
        <v>ictv.global=202317982</v>
      </c>
    </row>
    <row r="5786" spans="1:21">
      <c r="A5786">
        <v>5785</v>
      </c>
      <c r="B5786" s="30" t="s">
        <v>1956</v>
      </c>
      <c r="D5786" s="30" t="s">
        <v>1985</v>
      </c>
      <c r="F5786" s="30" t="s">
        <v>2009</v>
      </c>
      <c r="H5786" s="30" t="s">
        <v>2010</v>
      </c>
      <c r="J5786" s="30" t="s">
        <v>2013</v>
      </c>
      <c r="L5786" s="30" t="s">
        <v>1020</v>
      </c>
      <c r="N5786" s="30" t="s">
        <v>2534</v>
      </c>
      <c r="P5786" s="30" t="s">
        <v>12820</v>
      </c>
      <c r="Q5786" t="s">
        <v>735</v>
      </c>
      <c r="R5786" t="s">
        <v>917</v>
      </c>
      <c r="S5786">
        <v>39</v>
      </c>
      <c r="T5786" s="29" t="str">
        <f t="shared" si="268"/>
        <v>2023.011D.Smacoviridae_59nsp.zip</v>
      </c>
      <c r="U5786" s="29" t="str">
        <f>HYPERLINK("https://ictv.global/taxonomy/taxondetails?taxnode_id=202317991","ictv.global=202317991")</f>
        <v>ictv.global=202317991</v>
      </c>
    </row>
    <row r="5787" spans="1:21">
      <c r="A5787">
        <v>5786</v>
      </c>
      <c r="B5787" s="30" t="s">
        <v>1956</v>
      </c>
      <c r="D5787" s="30" t="s">
        <v>1985</v>
      </c>
      <c r="F5787" s="30" t="s">
        <v>2009</v>
      </c>
      <c r="H5787" s="30" t="s">
        <v>2010</v>
      </c>
      <c r="J5787" s="30" t="s">
        <v>2013</v>
      </c>
      <c r="L5787" s="30" t="s">
        <v>1020</v>
      </c>
      <c r="N5787" s="30" t="s">
        <v>2534</v>
      </c>
      <c r="P5787" s="30" t="s">
        <v>12821</v>
      </c>
      <c r="Q5787" t="s">
        <v>735</v>
      </c>
      <c r="R5787" t="s">
        <v>917</v>
      </c>
      <c r="S5787">
        <v>39</v>
      </c>
      <c r="T5787" s="29" t="str">
        <f t="shared" si="268"/>
        <v>2023.011D.Smacoviridae_59nsp.zip</v>
      </c>
      <c r="U5787" s="29" t="str">
        <f>HYPERLINK("https://ictv.global/taxonomy/taxondetails?taxnode_id=202317992","ictv.global=202317992")</f>
        <v>ictv.global=202317992</v>
      </c>
    </row>
    <row r="5788" spans="1:21">
      <c r="A5788">
        <v>5787</v>
      </c>
      <c r="B5788" s="30" t="s">
        <v>1956</v>
      </c>
      <c r="D5788" s="30" t="s">
        <v>1985</v>
      </c>
      <c r="F5788" s="30" t="s">
        <v>2009</v>
      </c>
      <c r="H5788" s="30" t="s">
        <v>2010</v>
      </c>
      <c r="J5788" s="30" t="s">
        <v>2013</v>
      </c>
      <c r="L5788" s="30" t="s">
        <v>1020</v>
      </c>
      <c r="N5788" s="30" t="s">
        <v>1025</v>
      </c>
      <c r="P5788" s="30" t="s">
        <v>2536</v>
      </c>
      <c r="Q5788" t="s">
        <v>735</v>
      </c>
      <c r="R5788" t="s">
        <v>920</v>
      </c>
      <c r="S5788">
        <v>36</v>
      </c>
      <c r="T5788" s="29" t="str">
        <f>HYPERLINK("https://ictv.global/ictv/proposals/2020.016D.R.Smacoviridae_6ngen_42nsp.zip","2020.016D.R.Smacoviridae_6ngen_42nsp.zip")</f>
        <v>2020.016D.R.Smacoviridae_6ngen_42nsp.zip</v>
      </c>
      <c r="U5788" s="29" t="str">
        <f>HYPERLINK("https://ictv.global/taxonomy/taxondetails?taxnode_id=202305959","ictv.global=202305959")</f>
        <v>ictv.global=202305959</v>
      </c>
    </row>
    <row r="5789" spans="1:21">
      <c r="A5789">
        <v>5788</v>
      </c>
      <c r="B5789" s="30" t="s">
        <v>1956</v>
      </c>
      <c r="D5789" s="30" t="s">
        <v>1985</v>
      </c>
      <c r="F5789" s="30" t="s">
        <v>2009</v>
      </c>
      <c r="H5789" s="30" t="s">
        <v>2010</v>
      </c>
      <c r="J5789" s="30" t="s">
        <v>2013</v>
      </c>
      <c r="L5789" s="30" t="s">
        <v>1020</v>
      </c>
      <c r="N5789" s="30" t="s">
        <v>1025</v>
      </c>
      <c r="P5789" s="30" t="s">
        <v>2537</v>
      </c>
      <c r="Q5789" t="s">
        <v>735</v>
      </c>
      <c r="R5789" t="s">
        <v>920</v>
      </c>
      <c r="S5789">
        <v>36</v>
      </c>
      <c r="T5789" s="29" t="str">
        <f>HYPERLINK("https://ictv.global/ictv/proposals/2020.016D.R.Smacoviridae_6ngen_42nsp.zip","2020.016D.R.Smacoviridae_6ngen_42nsp.zip")</f>
        <v>2020.016D.R.Smacoviridae_6ngen_42nsp.zip</v>
      </c>
      <c r="U5789" s="29" t="str">
        <f>HYPERLINK("https://ictv.global/taxonomy/taxondetails?taxnode_id=202305960","ictv.global=202305960")</f>
        <v>ictv.global=202305960</v>
      </c>
    </row>
    <row r="5790" spans="1:21">
      <c r="A5790">
        <v>5789</v>
      </c>
      <c r="B5790" s="30" t="s">
        <v>1956</v>
      </c>
      <c r="D5790" s="30" t="s">
        <v>1985</v>
      </c>
      <c r="F5790" s="30" t="s">
        <v>2009</v>
      </c>
      <c r="H5790" s="30" t="s">
        <v>2010</v>
      </c>
      <c r="J5790" s="30" t="s">
        <v>2013</v>
      </c>
      <c r="L5790" s="30" t="s">
        <v>1020</v>
      </c>
      <c r="N5790" s="30" t="s">
        <v>1025</v>
      </c>
      <c r="P5790" s="30" t="s">
        <v>2538</v>
      </c>
      <c r="Q5790" t="s">
        <v>735</v>
      </c>
      <c r="R5790" t="s">
        <v>3895</v>
      </c>
      <c r="S5790">
        <v>36</v>
      </c>
      <c r="T5790" s="29" t="str">
        <f>HYPERLINK("https://ictv.global/ictv/proposals/2020.016D.R.Smacoviridae_6ngen_42nsp.zip","2020.016D.R.Smacoviridae_6ngen_42nsp.zip;2020.001G.R.Abolish_type_species.pdf")</f>
        <v>2020.016D.R.Smacoviridae_6ngen_42nsp.zip;2020.001G.R.Abolish_type_species.pdf</v>
      </c>
      <c r="U5790" s="29" t="str">
        <f>HYPERLINK("https://ictv.global/taxonomy/taxondetails?taxnode_id=202305961","ictv.global=202305961")</f>
        <v>ictv.global=202305961</v>
      </c>
    </row>
    <row r="5791" spans="1:21">
      <c r="A5791">
        <v>5790</v>
      </c>
      <c r="B5791" s="30" t="s">
        <v>1956</v>
      </c>
      <c r="D5791" s="30" t="s">
        <v>1985</v>
      </c>
      <c r="F5791" s="30" t="s">
        <v>2009</v>
      </c>
      <c r="H5791" s="30" t="s">
        <v>2010</v>
      </c>
      <c r="J5791" s="30" t="s">
        <v>2013</v>
      </c>
      <c r="L5791" s="30" t="s">
        <v>1020</v>
      </c>
      <c r="N5791" s="30" t="s">
        <v>1025</v>
      </c>
      <c r="P5791" s="30" t="s">
        <v>2539</v>
      </c>
      <c r="Q5791" t="s">
        <v>735</v>
      </c>
      <c r="R5791" t="s">
        <v>920</v>
      </c>
      <c r="S5791">
        <v>36</v>
      </c>
      <c r="T5791" s="29" t="str">
        <f>HYPERLINK("https://ictv.global/ictv/proposals/2020.016D.R.Smacoviridae_6ngen_42nsp.zip","2020.016D.R.Smacoviridae_6ngen_42nsp.zip")</f>
        <v>2020.016D.R.Smacoviridae_6ngen_42nsp.zip</v>
      </c>
      <c r="U5791" s="29" t="str">
        <f>HYPERLINK("https://ictv.global/taxonomy/taxondetails?taxnode_id=202305962","ictv.global=202305962")</f>
        <v>ictv.global=202305962</v>
      </c>
    </row>
    <row r="5792" spans="1:21">
      <c r="A5792">
        <v>5791</v>
      </c>
      <c r="B5792" s="30" t="s">
        <v>1956</v>
      </c>
      <c r="D5792" s="30" t="s">
        <v>1985</v>
      </c>
      <c r="F5792" s="30" t="s">
        <v>2009</v>
      </c>
      <c r="H5792" s="30" t="s">
        <v>2010</v>
      </c>
      <c r="J5792" s="30" t="s">
        <v>2013</v>
      </c>
      <c r="L5792" s="30" t="s">
        <v>1020</v>
      </c>
      <c r="N5792" s="30" t="s">
        <v>1025</v>
      </c>
      <c r="P5792" s="30" t="s">
        <v>2540</v>
      </c>
      <c r="Q5792" t="s">
        <v>735</v>
      </c>
      <c r="R5792" t="s">
        <v>920</v>
      </c>
      <c r="S5792">
        <v>36</v>
      </c>
      <c r="T5792" s="29" t="str">
        <f>HYPERLINK("https://ictv.global/ictv/proposals/2020.016D.R.Smacoviridae_6ngen_42nsp.zip","2020.016D.R.Smacoviridae_6ngen_42nsp.zip")</f>
        <v>2020.016D.R.Smacoviridae_6ngen_42nsp.zip</v>
      </c>
      <c r="U5792" s="29" t="str">
        <f>HYPERLINK("https://ictv.global/taxonomy/taxondetails?taxnode_id=202305963","ictv.global=202305963")</f>
        <v>ictv.global=202305963</v>
      </c>
    </row>
    <row r="5793" spans="1:21">
      <c r="A5793">
        <v>5792</v>
      </c>
      <c r="B5793" s="30" t="s">
        <v>1956</v>
      </c>
      <c r="D5793" s="30" t="s">
        <v>1985</v>
      </c>
      <c r="F5793" s="30" t="s">
        <v>2009</v>
      </c>
      <c r="H5793" s="30" t="s">
        <v>2010</v>
      </c>
      <c r="J5793" s="30" t="s">
        <v>2013</v>
      </c>
      <c r="L5793" s="30" t="s">
        <v>1020</v>
      </c>
      <c r="N5793" s="30" t="s">
        <v>2541</v>
      </c>
      <c r="P5793" s="30" t="s">
        <v>12822</v>
      </c>
      <c r="Q5793" t="s">
        <v>735</v>
      </c>
      <c r="R5793" t="s">
        <v>917</v>
      </c>
      <c r="S5793">
        <v>39</v>
      </c>
      <c r="T5793" s="29" t="str">
        <f>HYPERLINK("https://ictv.global/ictv/proposals/2023.011D.Smacoviridae_59nsp.zip","2023.011D.Smacoviridae_59nsp.zip")</f>
        <v>2023.011D.Smacoviridae_59nsp.zip</v>
      </c>
      <c r="U5793" s="29" t="str">
        <f>HYPERLINK("https://ictv.global/taxonomy/taxondetails?taxnode_id=202317993","ictv.global=202317993")</f>
        <v>ictv.global=202317993</v>
      </c>
    </row>
    <row r="5794" spans="1:21">
      <c r="A5794">
        <v>5793</v>
      </c>
      <c r="B5794" s="30" t="s">
        <v>1956</v>
      </c>
      <c r="D5794" s="30" t="s">
        <v>1985</v>
      </c>
      <c r="F5794" s="30" t="s">
        <v>2009</v>
      </c>
      <c r="H5794" s="30" t="s">
        <v>2010</v>
      </c>
      <c r="J5794" s="30" t="s">
        <v>2013</v>
      </c>
      <c r="L5794" s="30" t="s">
        <v>1020</v>
      </c>
      <c r="N5794" s="30" t="s">
        <v>2541</v>
      </c>
      <c r="P5794" s="30" t="s">
        <v>2542</v>
      </c>
      <c r="Q5794" t="s">
        <v>735</v>
      </c>
      <c r="R5794" t="s">
        <v>917</v>
      </c>
      <c r="S5794">
        <v>36</v>
      </c>
      <c r="T5794" s="29" t="str">
        <f>HYPERLINK("https://ictv.global/ictv/proposals/2020.016D.R.Smacoviridae_6ngen_42nsp.zip","2020.016D.R.Smacoviridae_6ngen_42nsp.zip")</f>
        <v>2020.016D.R.Smacoviridae_6ngen_42nsp.zip</v>
      </c>
      <c r="U5794" s="29" t="str">
        <f>HYPERLINK("https://ictv.global/taxonomy/taxondetails?taxnode_id=202309505","ictv.global=202309505")</f>
        <v>ictv.global=202309505</v>
      </c>
    </row>
    <row r="5795" spans="1:21">
      <c r="A5795">
        <v>5794</v>
      </c>
      <c r="B5795" s="30" t="s">
        <v>1956</v>
      </c>
      <c r="D5795" s="30" t="s">
        <v>1985</v>
      </c>
      <c r="F5795" s="30" t="s">
        <v>2009</v>
      </c>
      <c r="H5795" s="30" t="s">
        <v>2010</v>
      </c>
      <c r="J5795" s="30" t="s">
        <v>2013</v>
      </c>
      <c r="L5795" s="30" t="s">
        <v>1020</v>
      </c>
      <c r="N5795" s="30" t="s">
        <v>2541</v>
      </c>
      <c r="P5795" s="30" t="s">
        <v>2543</v>
      </c>
      <c r="Q5795" t="s">
        <v>735</v>
      </c>
      <c r="R5795" t="s">
        <v>917</v>
      </c>
      <c r="S5795">
        <v>36</v>
      </c>
      <c r="T5795" s="29" t="str">
        <f>HYPERLINK("https://ictv.global/ictv/proposals/2020.016D.R.Smacoviridae_6ngen_42nsp.zip","2020.016D.R.Smacoviridae_6ngen_42nsp.zip")</f>
        <v>2020.016D.R.Smacoviridae_6ngen_42nsp.zip</v>
      </c>
      <c r="U5795" s="29" t="str">
        <f>HYPERLINK("https://ictv.global/taxonomy/taxondetails?taxnode_id=202309504","ictv.global=202309504")</f>
        <v>ictv.global=202309504</v>
      </c>
    </row>
    <row r="5796" spans="1:21">
      <c r="A5796">
        <v>5795</v>
      </c>
      <c r="B5796" s="30" t="s">
        <v>1956</v>
      </c>
      <c r="D5796" s="30" t="s">
        <v>1985</v>
      </c>
      <c r="F5796" s="30" t="s">
        <v>2009</v>
      </c>
      <c r="H5796" s="30" t="s">
        <v>2010</v>
      </c>
      <c r="J5796" s="30" t="s">
        <v>2013</v>
      </c>
      <c r="L5796" s="30" t="s">
        <v>1020</v>
      </c>
      <c r="N5796" s="30" t="s">
        <v>1026</v>
      </c>
      <c r="P5796" s="30" t="s">
        <v>2544</v>
      </c>
      <c r="Q5796" t="s">
        <v>735</v>
      </c>
      <c r="R5796" t="s">
        <v>917</v>
      </c>
      <c r="S5796">
        <v>36</v>
      </c>
      <c r="T5796" s="29" t="str">
        <f>HYPERLINK("https://ictv.global/ictv/proposals/2020.016D.R.Smacoviridae_6ngen_42nsp.zip","2020.016D.R.Smacoviridae_6ngen_42nsp.zip")</f>
        <v>2020.016D.R.Smacoviridae_6ngen_42nsp.zip</v>
      </c>
      <c r="U5796" s="29" t="str">
        <f>HYPERLINK("https://ictv.global/taxonomy/taxondetails?taxnode_id=202309510","ictv.global=202309510")</f>
        <v>ictv.global=202309510</v>
      </c>
    </row>
    <row r="5797" spans="1:21">
      <c r="A5797">
        <v>5796</v>
      </c>
      <c r="B5797" s="30" t="s">
        <v>1956</v>
      </c>
      <c r="D5797" s="30" t="s">
        <v>1985</v>
      </c>
      <c r="F5797" s="30" t="s">
        <v>2009</v>
      </c>
      <c r="H5797" s="30" t="s">
        <v>2010</v>
      </c>
      <c r="J5797" s="30" t="s">
        <v>2013</v>
      </c>
      <c r="L5797" s="30" t="s">
        <v>1020</v>
      </c>
      <c r="N5797" s="30" t="s">
        <v>1026</v>
      </c>
      <c r="P5797" s="30" t="s">
        <v>12823</v>
      </c>
      <c r="Q5797" t="s">
        <v>735</v>
      </c>
      <c r="R5797" t="s">
        <v>917</v>
      </c>
      <c r="S5797">
        <v>39</v>
      </c>
      <c r="T5797" s="29" t="str">
        <f>HYPERLINK("https://ictv.global/ictv/proposals/2023.011D.Smacoviridae_59nsp.zip","2023.011D.Smacoviridae_59nsp.zip")</f>
        <v>2023.011D.Smacoviridae_59nsp.zip</v>
      </c>
      <c r="U5797" s="29" t="str">
        <f>HYPERLINK("https://ictv.global/taxonomy/taxondetails?taxnode_id=202317994","ictv.global=202317994")</f>
        <v>ictv.global=202317994</v>
      </c>
    </row>
    <row r="5798" spans="1:21">
      <c r="A5798">
        <v>5797</v>
      </c>
      <c r="B5798" s="30" t="s">
        <v>1956</v>
      </c>
      <c r="D5798" s="30" t="s">
        <v>1985</v>
      </c>
      <c r="F5798" s="30" t="s">
        <v>2009</v>
      </c>
      <c r="H5798" s="30" t="s">
        <v>2010</v>
      </c>
      <c r="J5798" s="30" t="s">
        <v>2013</v>
      </c>
      <c r="L5798" s="30" t="s">
        <v>1020</v>
      </c>
      <c r="N5798" s="30" t="s">
        <v>1026</v>
      </c>
      <c r="P5798" s="30" t="s">
        <v>2545</v>
      </c>
      <c r="Q5798" t="s">
        <v>735</v>
      </c>
      <c r="R5798" t="s">
        <v>917</v>
      </c>
      <c r="S5798">
        <v>36</v>
      </c>
      <c r="T5798" s="29" t="str">
        <f>HYPERLINK("https://ictv.global/ictv/proposals/2020.016D.R.Smacoviridae_6ngen_42nsp.zip","2020.016D.R.Smacoviridae_6ngen_42nsp.zip")</f>
        <v>2020.016D.R.Smacoviridae_6ngen_42nsp.zip</v>
      </c>
      <c r="U5798" s="29" t="str">
        <f>HYPERLINK("https://ictv.global/taxonomy/taxondetails?taxnode_id=202309511","ictv.global=202309511")</f>
        <v>ictv.global=202309511</v>
      </c>
    </row>
    <row r="5799" spans="1:21">
      <c r="A5799">
        <v>5798</v>
      </c>
      <c r="B5799" s="30" t="s">
        <v>1956</v>
      </c>
      <c r="D5799" s="30" t="s">
        <v>1985</v>
      </c>
      <c r="F5799" s="30" t="s">
        <v>2009</v>
      </c>
      <c r="H5799" s="30" t="s">
        <v>2010</v>
      </c>
      <c r="J5799" s="30" t="s">
        <v>2013</v>
      </c>
      <c r="L5799" s="30" t="s">
        <v>1020</v>
      </c>
      <c r="N5799" s="30" t="s">
        <v>1026</v>
      </c>
      <c r="P5799" s="30" t="s">
        <v>12824</v>
      </c>
      <c r="Q5799" t="s">
        <v>735</v>
      </c>
      <c r="R5799" t="s">
        <v>917</v>
      </c>
      <c r="S5799">
        <v>39</v>
      </c>
      <c r="T5799" s="29" t="str">
        <f>HYPERLINK("https://ictv.global/ictv/proposals/2023.011D.Smacoviridae_59nsp.zip","2023.011D.Smacoviridae_59nsp.zip")</f>
        <v>2023.011D.Smacoviridae_59nsp.zip</v>
      </c>
      <c r="U5799" s="29" t="str">
        <f>HYPERLINK("https://ictv.global/taxonomy/taxondetails?taxnode_id=202317995","ictv.global=202317995")</f>
        <v>ictv.global=202317995</v>
      </c>
    </row>
    <row r="5800" spans="1:21">
      <c r="A5800">
        <v>5799</v>
      </c>
      <c r="B5800" s="30" t="s">
        <v>1956</v>
      </c>
      <c r="D5800" s="30" t="s">
        <v>1985</v>
      </c>
      <c r="F5800" s="30" t="s">
        <v>2009</v>
      </c>
      <c r="H5800" s="30" t="s">
        <v>2010</v>
      </c>
      <c r="J5800" s="30" t="s">
        <v>2013</v>
      </c>
      <c r="L5800" s="30" t="s">
        <v>1020</v>
      </c>
      <c r="N5800" s="30" t="s">
        <v>1026</v>
      </c>
      <c r="P5800" s="30" t="s">
        <v>2546</v>
      </c>
      <c r="Q5800" t="s">
        <v>735</v>
      </c>
      <c r="R5800" t="s">
        <v>917</v>
      </c>
      <c r="S5800">
        <v>36</v>
      </c>
      <c r="T5800" s="29" t="str">
        <f>HYPERLINK("https://ictv.global/ictv/proposals/2020.016D.R.Smacoviridae_6ngen_42nsp.zip","2020.016D.R.Smacoviridae_6ngen_42nsp.zip")</f>
        <v>2020.016D.R.Smacoviridae_6ngen_42nsp.zip</v>
      </c>
      <c r="U5800" s="29" t="str">
        <f>HYPERLINK("https://ictv.global/taxonomy/taxondetails?taxnode_id=202309512","ictv.global=202309512")</f>
        <v>ictv.global=202309512</v>
      </c>
    </row>
    <row r="5801" spans="1:21">
      <c r="A5801">
        <v>5800</v>
      </c>
      <c r="B5801" s="30" t="s">
        <v>1956</v>
      </c>
      <c r="D5801" s="30" t="s">
        <v>1985</v>
      </c>
      <c r="F5801" s="30" t="s">
        <v>2009</v>
      </c>
      <c r="H5801" s="30" t="s">
        <v>2010</v>
      </c>
      <c r="J5801" s="30" t="s">
        <v>2013</v>
      </c>
      <c r="L5801" s="30" t="s">
        <v>1020</v>
      </c>
      <c r="N5801" s="30" t="s">
        <v>1026</v>
      </c>
      <c r="P5801" s="30" t="s">
        <v>2547</v>
      </c>
      <c r="Q5801" t="s">
        <v>735</v>
      </c>
      <c r="R5801" t="s">
        <v>920</v>
      </c>
      <c r="S5801">
        <v>36</v>
      </c>
      <c r="T5801" s="29" t="str">
        <f>HYPERLINK("https://ictv.global/ictv/proposals/2020.016D.R.Smacoviridae_6ngen_42nsp.zip","2020.016D.R.Smacoviridae_6ngen_42nsp.zip")</f>
        <v>2020.016D.R.Smacoviridae_6ngen_42nsp.zip</v>
      </c>
      <c r="U5801" s="29" t="str">
        <f>HYPERLINK("https://ictv.global/taxonomy/taxondetails?taxnode_id=202305965","ictv.global=202305965")</f>
        <v>ictv.global=202305965</v>
      </c>
    </row>
    <row r="5802" spans="1:21">
      <c r="A5802">
        <v>5801</v>
      </c>
      <c r="B5802" s="30" t="s">
        <v>1956</v>
      </c>
      <c r="D5802" s="30" t="s">
        <v>1985</v>
      </c>
      <c r="F5802" s="30" t="s">
        <v>2009</v>
      </c>
      <c r="H5802" s="30" t="s">
        <v>2010</v>
      </c>
      <c r="J5802" s="30" t="s">
        <v>2013</v>
      </c>
      <c r="L5802" s="30" t="s">
        <v>1020</v>
      </c>
      <c r="N5802" s="30" t="s">
        <v>1026</v>
      </c>
      <c r="P5802" s="30" t="s">
        <v>2548</v>
      </c>
      <c r="Q5802" t="s">
        <v>735</v>
      </c>
      <c r="R5802" t="s">
        <v>917</v>
      </c>
      <c r="S5802">
        <v>36</v>
      </c>
      <c r="T5802" s="29" t="str">
        <f>HYPERLINK("https://ictv.global/ictv/proposals/2020.016D.R.Smacoviridae_6ngen_42nsp.zip","2020.016D.R.Smacoviridae_6ngen_42nsp.zip")</f>
        <v>2020.016D.R.Smacoviridae_6ngen_42nsp.zip</v>
      </c>
      <c r="U5802" s="29" t="str">
        <f>HYPERLINK("https://ictv.global/taxonomy/taxondetails?taxnode_id=202309513","ictv.global=202309513")</f>
        <v>ictv.global=202309513</v>
      </c>
    </row>
    <row r="5803" spans="1:21">
      <c r="A5803">
        <v>5802</v>
      </c>
      <c r="B5803" s="30" t="s">
        <v>1956</v>
      </c>
      <c r="D5803" s="30" t="s">
        <v>1985</v>
      </c>
      <c r="F5803" s="30" t="s">
        <v>2009</v>
      </c>
      <c r="H5803" s="30" t="s">
        <v>2010</v>
      </c>
      <c r="J5803" s="30" t="s">
        <v>2013</v>
      </c>
      <c r="L5803" s="30" t="s">
        <v>1020</v>
      </c>
      <c r="N5803" s="30" t="s">
        <v>1026</v>
      </c>
      <c r="P5803" s="30" t="s">
        <v>12825</v>
      </c>
      <c r="Q5803" t="s">
        <v>735</v>
      </c>
      <c r="R5803" t="s">
        <v>917</v>
      </c>
      <c r="S5803">
        <v>39</v>
      </c>
      <c r="T5803" s="29" t="str">
        <f>HYPERLINK("https://ictv.global/ictv/proposals/2023.011D.Smacoviridae_59nsp.zip","2023.011D.Smacoviridae_59nsp.zip")</f>
        <v>2023.011D.Smacoviridae_59nsp.zip</v>
      </c>
      <c r="U5803" s="29" t="str">
        <f>HYPERLINK("https://ictv.global/taxonomy/taxondetails?taxnode_id=202317996","ictv.global=202317996")</f>
        <v>ictv.global=202317996</v>
      </c>
    </row>
    <row r="5804" spans="1:21">
      <c r="A5804">
        <v>5803</v>
      </c>
      <c r="B5804" s="30" t="s">
        <v>1956</v>
      </c>
      <c r="D5804" s="30" t="s">
        <v>1985</v>
      </c>
      <c r="F5804" s="30" t="s">
        <v>2009</v>
      </c>
      <c r="H5804" s="30" t="s">
        <v>2010</v>
      </c>
      <c r="J5804" s="30" t="s">
        <v>2013</v>
      </c>
      <c r="L5804" s="30" t="s">
        <v>1020</v>
      </c>
      <c r="N5804" s="30" t="s">
        <v>1026</v>
      </c>
      <c r="P5804" s="30" t="s">
        <v>2549</v>
      </c>
      <c r="Q5804" t="s">
        <v>735</v>
      </c>
      <c r="R5804" t="s">
        <v>920</v>
      </c>
      <c r="S5804">
        <v>36</v>
      </c>
      <c r="T5804" s="29" t="str">
        <f>HYPERLINK("https://ictv.global/ictv/proposals/2020.016D.R.Smacoviridae_6ngen_42nsp.zip","2020.016D.R.Smacoviridae_6ngen_42nsp.zip")</f>
        <v>2020.016D.R.Smacoviridae_6ngen_42nsp.zip</v>
      </c>
      <c r="U5804" s="29" t="str">
        <f>HYPERLINK("https://ictv.global/taxonomy/taxondetails?taxnode_id=202305966","ictv.global=202305966")</f>
        <v>ictv.global=202305966</v>
      </c>
    </row>
    <row r="5805" spans="1:21">
      <c r="A5805">
        <v>5804</v>
      </c>
      <c r="B5805" s="30" t="s">
        <v>1956</v>
      </c>
      <c r="D5805" s="30" t="s">
        <v>1985</v>
      </c>
      <c r="F5805" s="30" t="s">
        <v>2009</v>
      </c>
      <c r="H5805" s="30" t="s">
        <v>2010</v>
      </c>
      <c r="J5805" s="30" t="s">
        <v>2013</v>
      </c>
      <c r="L5805" s="30" t="s">
        <v>1020</v>
      </c>
      <c r="N5805" s="30" t="s">
        <v>1026</v>
      </c>
      <c r="P5805" s="30" t="s">
        <v>2550</v>
      </c>
      <c r="Q5805" t="s">
        <v>735</v>
      </c>
      <c r="R5805" t="s">
        <v>920</v>
      </c>
      <c r="S5805">
        <v>36</v>
      </c>
      <c r="T5805" s="29" t="str">
        <f>HYPERLINK("https://ictv.global/ictv/proposals/2020.016D.R.Smacoviridae_6ngen_42nsp.zip","2020.016D.R.Smacoviridae_6ngen_42nsp.zip")</f>
        <v>2020.016D.R.Smacoviridae_6ngen_42nsp.zip</v>
      </c>
      <c r="U5805" s="29" t="str">
        <f>HYPERLINK("https://ictv.global/taxonomy/taxondetails?taxnode_id=202305967","ictv.global=202305967")</f>
        <v>ictv.global=202305967</v>
      </c>
    </row>
    <row r="5806" spans="1:21">
      <c r="A5806">
        <v>5805</v>
      </c>
      <c r="B5806" s="30" t="s">
        <v>1956</v>
      </c>
      <c r="D5806" s="30" t="s">
        <v>1985</v>
      </c>
      <c r="F5806" s="30" t="s">
        <v>2009</v>
      </c>
      <c r="H5806" s="30" t="s">
        <v>2010</v>
      </c>
      <c r="J5806" s="30" t="s">
        <v>2013</v>
      </c>
      <c r="L5806" s="30" t="s">
        <v>1020</v>
      </c>
      <c r="N5806" s="30" t="s">
        <v>1026</v>
      </c>
      <c r="P5806" s="30" t="s">
        <v>2551</v>
      </c>
      <c r="Q5806" t="s">
        <v>735</v>
      </c>
      <c r="R5806" t="s">
        <v>920</v>
      </c>
      <c r="S5806">
        <v>36</v>
      </c>
      <c r="T5806" s="29" t="str">
        <f>HYPERLINK("https://ictv.global/ictv/proposals/2020.016D.R.Smacoviridae_6ngen_42nsp.zip","2020.016D.R.Smacoviridae_6ngen_42nsp.zip")</f>
        <v>2020.016D.R.Smacoviridae_6ngen_42nsp.zip</v>
      </c>
      <c r="U5806" s="29" t="str">
        <f>HYPERLINK("https://ictv.global/taxonomy/taxondetails?taxnode_id=202305968","ictv.global=202305968")</f>
        <v>ictv.global=202305968</v>
      </c>
    </row>
    <row r="5807" spans="1:21">
      <c r="A5807">
        <v>5806</v>
      </c>
      <c r="B5807" s="30" t="s">
        <v>1956</v>
      </c>
      <c r="D5807" s="30" t="s">
        <v>1985</v>
      </c>
      <c r="F5807" s="30" t="s">
        <v>2009</v>
      </c>
      <c r="H5807" s="30" t="s">
        <v>2010</v>
      </c>
      <c r="J5807" s="30" t="s">
        <v>2013</v>
      </c>
      <c r="L5807" s="30" t="s">
        <v>1020</v>
      </c>
      <c r="N5807" s="30" t="s">
        <v>1026</v>
      </c>
      <c r="P5807" s="30" t="s">
        <v>2552</v>
      </c>
      <c r="Q5807" t="s">
        <v>735</v>
      </c>
      <c r="R5807" t="s">
        <v>920</v>
      </c>
      <c r="S5807">
        <v>36</v>
      </c>
      <c r="T5807" s="29" t="str">
        <f>HYPERLINK("https://ictv.global/ictv/proposals/2020.016D.R.Smacoviridae_6ngen_42nsp.zip","2020.016D.R.Smacoviridae_6ngen_42nsp.zip")</f>
        <v>2020.016D.R.Smacoviridae_6ngen_42nsp.zip</v>
      </c>
      <c r="U5807" s="29" t="str">
        <f>HYPERLINK("https://ictv.global/taxonomy/taxondetails?taxnode_id=202305969","ictv.global=202305969")</f>
        <v>ictv.global=202305969</v>
      </c>
    </row>
    <row r="5808" spans="1:21">
      <c r="A5808">
        <v>5807</v>
      </c>
      <c r="B5808" s="30" t="s">
        <v>1956</v>
      </c>
      <c r="D5808" s="30" t="s">
        <v>1985</v>
      </c>
      <c r="F5808" s="30" t="s">
        <v>2009</v>
      </c>
      <c r="H5808" s="30" t="s">
        <v>2010</v>
      </c>
      <c r="J5808" s="30" t="s">
        <v>2013</v>
      </c>
      <c r="L5808" s="30" t="s">
        <v>1020</v>
      </c>
      <c r="N5808" s="30" t="s">
        <v>1026</v>
      </c>
      <c r="P5808" s="30" t="s">
        <v>12826</v>
      </c>
      <c r="Q5808" t="s">
        <v>735</v>
      </c>
      <c r="R5808" t="s">
        <v>917</v>
      </c>
      <c r="S5808">
        <v>39</v>
      </c>
      <c r="T5808" s="29" t="str">
        <f t="shared" ref="T5808:T5817" si="269">HYPERLINK("https://ictv.global/ictv/proposals/2023.011D.Smacoviridae_59nsp.zip","2023.011D.Smacoviridae_59nsp.zip")</f>
        <v>2023.011D.Smacoviridae_59nsp.zip</v>
      </c>
      <c r="U5808" s="29" t="str">
        <f>HYPERLINK("https://ictv.global/taxonomy/taxondetails?taxnode_id=202317997","ictv.global=202317997")</f>
        <v>ictv.global=202317997</v>
      </c>
    </row>
    <row r="5809" spans="1:21">
      <c r="A5809">
        <v>5808</v>
      </c>
      <c r="B5809" s="30" t="s">
        <v>1956</v>
      </c>
      <c r="D5809" s="30" t="s">
        <v>1985</v>
      </c>
      <c r="F5809" s="30" t="s">
        <v>2009</v>
      </c>
      <c r="H5809" s="30" t="s">
        <v>2010</v>
      </c>
      <c r="J5809" s="30" t="s">
        <v>2013</v>
      </c>
      <c r="L5809" s="30" t="s">
        <v>1020</v>
      </c>
      <c r="N5809" s="30" t="s">
        <v>1026</v>
      </c>
      <c r="P5809" s="30" t="s">
        <v>12827</v>
      </c>
      <c r="Q5809" t="s">
        <v>735</v>
      </c>
      <c r="R5809" t="s">
        <v>917</v>
      </c>
      <c r="S5809">
        <v>39</v>
      </c>
      <c r="T5809" s="29" t="str">
        <f t="shared" si="269"/>
        <v>2023.011D.Smacoviridae_59nsp.zip</v>
      </c>
      <c r="U5809" s="29" t="str">
        <f>HYPERLINK("https://ictv.global/taxonomy/taxondetails?taxnode_id=202317998","ictv.global=202317998")</f>
        <v>ictv.global=202317998</v>
      </c>
    </row>
    <row r="5810" spans="1:21">
      <c r="A5810">
        <v>5809</v>
      </c>
      <c r="B5810" s="30" t="s">
        <v>1956</v>
      </c>
      <c r="D5810" s="30" t="s">
        <v>1985</v>
      </c>
      <c r="F5810" s="30" t="s">
        <v>2009</v>
      </c>
      <c r="H5810" s="30" t="s">
        <v>2010</v>
      </c>
      <c r="J5810" s="30" t="s">
        <v>2013</v>
      </c>
      <c r="L5810" s="30" t="s">
        <v>1020</v>
      </c>
      <c r="N5810" s="30" t="s">
        <v>1026</v>
      </c>
      <c r="P5810" s="30" t="s">
        <v>12828</v>
      </c>
      <c r="Q5810" t="s">
        <v>735</v>
      </c>
      <c r="R5810" t="s">
        <v>917</v>
      </c>
      <c r="S5810">
        <v>39</v>
      </c>
      <c r="T5810" s="29" t="str">
        <f t="shared" si="269"/>
        <v>2023.011D.Smacoviridae_59nsp.zip</v>
      </c>
      <c r="U5810" s="29" t="str">
        <f>HYPERLINK("https://ictv.global/taxonomy/taxondetails?taxnode_id=202317999","ictv.global=202317999")</f>
        <v>ictv.global=202317999</v>
      </c>
    </row>
    <row r="5811" spans="1:21">
      <c r="A5811">
        <v>5810</v>
      </c>
      <c r="B5811" s="30" t="s">
        <v>1956</v>
      </c>
      <c r="D5811" s="30" t="s">
        <v>1985</v>
      </c>
      <c r="F5811" s="30" t="s">
        <v>2009</v>
      </c>
      <c r="H5811" s="30" t="s">
        <v>2010</v>
      </c>
      <c r="J5811" s="30" t="s">
        <v>2013</v>
      </c>
      <c r="L5811" s="30" t="s">
        <v>1020</v>
      </c>
      <c r="N5811" s="30" t="s">
        <v>1026</v>
      </c>
      <c r="P5811" s="30" t="s">
        <v>12829</v>
      </c>
      <c r="Q5811" t="s">
        <v>735</v>
      </c>
      <c r="R5811" t="s">
        <v>917</v>
      </c>
      <c r="S5811">
        <v>39</v>
      </c>
      <c r="T5811" s="29" t="str">
        <f t="shared" si="269"/>
        <v>2023.011D.Smacoviridae_59nsp.zip</v>
      </c>
      <c r="U5811" s="29" t="str">
        <f>HYPERLINK("https://ictv.global/taxonomy/taxondetails?taxnode_id=202318000","ictv.global=202318000")</f>
        <v>ictv.global=202318000</v>
      </c>
    </row>
    <row r="5812" spans="1:21">
      <c r="A5812">
        <v>5811</v>
      </c>
      <c r="B5812" s="30" t="s">
        <v>1956</v>
      </c>
      <c r="D5812" s="30" t="s">
        <v>1985</v>
      </c>
      <c r="F5812" s="30" t="s">
        <v>2009</v>
      </c>
      <c r="H5812" s="30" t="s">
        <v>2010</v>
      </c>
      <c r="J5812" s="30" t="s">
        <v>2013</v>
      </c>
      <c r="L5812" s="30" t="s">
        <v>1020</v>
      </c>
      <c r="N5812" s="30" t="s">
        <v>1026</v>
      </c>
      <c r="P5812" s="30" t="s">
        <v>12830</v>
      </c>
      <c r="Q5812" t="s">
        <v>735</v>
      </c>
      <c r="R5812" t="s">
        <v>917</v>
      </c>
      <c r="S5812">
        <v>39</v>
      </c>
      <c r="T5812" s="29" t="str">
        <f t="shared" si="269"/>
        <v>2023.011D.Smacoviridae_59nsp.zip</v>
      </c>
      <c r="U5812" s="29" t="str">
        <f>HYPERLINK("https://ictv.global/taxonomy/taxondetails?taxnode_id=202318001","ictv.global=202318001")</f>
        <v>ictv.global=202318001</v>
      </c>
    </row>
    <row r="5813" spans="1:21">
      <c r="A5813">
        <v>5812</v>
      </c>
      <c r="B5813" s="30" t="s">
        <v>1956</v>
      </c>
      <c r="D5813" s="30" t="s">
        <v>1985</v>
      </c>
      <c r="F5813" s="30" t="s">
        <v>2009</v>
      </c>
      <c r="H5813" s="30" t="s">
        <v>2010</v>
      </c>
      <c r="J5813" s="30" t="s">
        <v>2013</v>
      </c>
      <c r="L5813" s="30" t="s">
        <v>1020</v>
      </c>
      <c r="N5813" s="30" t="s">
        <v>1026</v>
      </c>
      <c r="P5813" s="30" t="s">
        <v>12831</v>
      </c>
      <c r="Q5813" t="s">
        <v>735</v>
      </c>
      <c r="R5813" t="s">
        <v>917</v>
      </c>
      <c r="S5813">
        <v>39</v>
      </c>
      <c r="T5813" s="29" t="str">
        <f t="shared" si="269"/>
        <v>2023.011D.Smacoviridae_59nsp.zip</v>
      </c>
      <c r="U5813" s="29" t="str">
        <f>HYPERLINK("https://ictv.global/taxonomy/taxondetails?taxnode_id=202318002","ictv.global=202318002")</f>
        <v>ictv.global=202318002</v>
      </c>
    </row>
    <row r="5814" spans="1:21">
      <c r="A5814">
        <v>5813</v>
      </c>
      <c r="B5814" s="30" t="s">
        <v>1956</v>
      </c>
      <c r="D5814" s="30" t="s">
        <v>1985</v>
      </c>
      <c r="F5814" s="30" t="s">
        <v>2009</v>
      </c>
      <c r="H5814" s="30" t="s">
        <v>2010</v>
      </c>
      <c r="J5814" s="30" t="s">
        <v>2013</v>
      </c>
      <c r="L5814" s="30" t="s">
        <v>1020</v>
      </c>
      <c r="N5814" s="30" t="s">
        <v>1026</v>
      </c>
      <c r="P5814" s="30" t="s">
        <v>12832</v>
      </c>
      <c r="Q5814" t="s">
        <v>735</v>
      </c>
      <c r="R5814" t="s">
        <v>917</v>
      </c>
      <c r="S5814">
        <v>39</v>
      </c>
      <c r="T5814" s="29" t="str">
        <f t="shared" si="269"/>
        <v>2023.011D.Smacoviridae_59nsp.zip</v>
      </c>
      <c r="U5814" s="29" t="str">
        <f>HYPERLINK("https://ictv.global/taxonomy/taxondetails?taxnode_id=202318003","ictv.global=202318003")</f>
        <v>ictv.global=202318003</v>
      </c>
    </row>
    <row r="5815" spans="1:21">
      <c r="A5815">
        <v>5814</v>
      </c>
      <c r="B5815" s="30" t="s">
        <v>1956</v>
      </c>
      <c r="D5815" s="30" t="s">
        <v>1985</v>
      </c>
      <c r="F5815" s="30" t="s">
        <v>2009</v>
      </c>
      <c r="H5815" s="30" t="s">
        <v>2010</v>
      </c>
      <c r="J5815" s="30" t="s">
        <v>2013</v>
      </c>
      <c r="L5815" s="30" t="s">
        <v>1020</v>
      </c>
      <c r="N5815" s="30" t="s">
        <v>1026</v>
      </c>
      <c r="P5815" s="30" t="s">
        <v>12833</v>
      </c>
      <c r="Q5815" t="s">
        <v>735</v>
      </c>
      <c r="R5815" t="s">
        <v>917</v>
      </c>
      <c r="S5815">
        <v>39</v>
      </c>
      <c r="T5815" s="29" t="str">
        <f t="shared" si="269"/>
        <v>2023.011D.Smacoviridae_59nsp.zip</v>
      </c>
      <c r="U5815" s="29" t="str">
        <f>HYPERLINK("https://ictv.global/taxonomy/taxondetails?taxnode_id=202318004","ictv.global=202318004")</f>
        <v>ictv.global=202318004</v>
      </c>
    </row>
    <row r="5816" spans="1:21">
      <c r="A5816">
        <v>5815</v>
      </c>
      <c r="B5816" s="30" t="s">
        <v>1956</v>
      </c>
      <c r="D5816" s="30" t="s">
        <v>1985</v>
      </c>
      <c r="F5816" s="30" t="s">
        <v>2009</v>
      </c>
      <c r="H5816" s="30" t="s">
        <v>2010</v>
      </c>
      <c r="J5816" s="30" t="s">
        <v>2013</v>
      </c>
      <c r="L5816" s="30" t="s">
        <v>1020</v>
      </c>
      <c r="N5816" s="30" t="s">
        <v>1026</v>
      </c>
      <c r="P5816" s="30" t="s">
        <v>12834</v>
      </c>
      <c r="Q5816" t="s">
        <v>735</v>
      </c>
      <c r="R5816" t="s">
        <v>917</v>
      </c>
      <c r="S5816">
        <v>39</v>
      </c>
      <c r="T5816" s="29" t="str">
        <f t="shared" si="269"/>
        <v>2023.011D.Smacoviridae_59nsp.zip</v>
      </c>
      <c r="U5816" s="29" t="str">
        <f>HYPERLINK("https://ictv.global/taxonomy/taxondetails?taxnode_id=202318005","ictv.global=202318005")</f>
        <v>ictv.global=202318005</v>
      </c>
    </row>
    <row r="5817" spans="1:21">
      <c r="A5817">
        <v>5816</v>
      </c>
      <c r="B5817" s="30" t="s">
        <v>1956</v>
      </c>
      <c r="D5817" s="30" t="s">
        <v>1985</v>
      </c>
      <c r="F5817" s="30" t="s">
        <v>2009</v>
      </c>
      <c r="H5817" s="30" t="s">
        <v>2010</v>
      </c>
      <c r="J5817" s="30" t="s">
        <v>2013</v>
      </c>
      <c r="L5817" s="30" t="s">
        <v>1020</v>
      </c>
      <c r="N5817" s="30" t="s">
        <v>1026</v>
      </c>
      <c r="P5817" s="30" t="s">
        <v>12835</v>
      </c>
      <c r="Q5817" t="s">
        <v>735</v>
      </c>
      <c r="R5817" t="s">
        <v>917</v>
      </c>
      <c r="S5817">
        <v>39</v>
      </c>
      <c r="T5817" s="29" t="str">
        <f t="shared" si="269"/>
        <v>2023.011D.Smacoviridae_59nsp.zip</v>
      </c>
      <c r="U5817" s="29" t="str">
        <f>HYPERLINK("https://ictv.global/taxonomy/taxondetails?taxnode_id=202318006","ictv.global=202318006")</f>
        <v>ictv.global=202318006</v>
      </c>
    </row>
    <row r="5818" spans="1:21">
      <c r="A5818">
        <v>5817</v>
      </c>
      <c r="B5818" s="30" t="s">
        <v>1956</v>
      </c>
      <c r="D5818" s="30" t="s">
        <v>1985</v>
      </c>
      <c r="F5818" s="30" t="s">
        <v>2009</v>
      </c>
      <c r="H5818" s="30" t="s">
        <v>2010</v>
      </c>
      <c r="J5818" s="30" t="s">
        <v>2013</v>
      </c>
      <c r="L5818" s="30" t="s">
        <v>1020</v>
      </c>
      <c r="N5818" s="30" t="s">
        <v>1026</v>
      </c>
      <c r="P5818" s="30" t="s">
        <v>2553</v>
      </c>
      <c r="Q5818" t="s">
        <v>735</v>
      </c>
      <c r="R5818" t="s">
        <v>917</v>
      </c>
      <c r="S5818">
        <v>36</v>
      </c>
      <c r="T5818" s="29" t="str">
        <f t="shared" ref="T5818:T5825" si="270">HYPERLINK("https://ictv.global/ictv/proposals/2020.016D.R.Smacoviridae_6ngen_42nsp.zip","2020.016D.R.Smacoviridae_6ngen_42nsp.zip")</f>
        <v>2020.016D.R.Smacoviridae_6ngen_42nsp.zip</v>
      </c>
      <c r="U5818" s="29" t="str">
        <f>HYPERLINK("https://ictv.global/taxonomy/taxondetails?taxnode_id=202309514","ictv.global=202309514")</f>
        <v>ictv.global=202309514</v>
      </c>
    </row>
    <row r="5819" spans="1:21">
      <c r="A5819">
        <v>5818</v>
      </c>
      <c r="B5819" s="30" t="s">
        <v>1956</v>
      </c>
      <c r="D5819" s="30" t="s">
        <v>1985</v>
      </c>
      <c r="F5819" s="30" t="s">
        <v>2009</v>
      </c>
      <c r="H5819" s="30" t="s">
        <v>2010</v>
      </c>
      <c r="J5819" s="30" t="s">
        <v>2013</v>
      </c>
      <c r="L5819" s="30" t="s">
        <v>1020</v>
      </c>
      <c r="N5819" s="30" t="s">
        <v>1026</v>
      </c>
      <c r="P5819" s="30" t="s">
        <v>2554</v>
      </c>
      <c r="Q5819" t="s">
        <v>735</v>
      </c>
      <c r="R5819" t="s">
        <v>917</v>
      </c>
      <c r="S5819">
        <v>36</v>
      </c>
      <c r="T5819" s="29" t="str">
        <f t="shared" si="270"/>
        <v>2020.016D.R.Smacoviridae_6ngen_42nsp.zip</v>
      </c>
      <c r="U5819" s="29" t="str">
        <f>HYPERLINK("https://ictv.global/taxonomy/taxondetails?taxnode_id=202309515","ictv.global=202309515")</f>
        <v>ictv.global=202309515</v>
      </c>
    </row>
    <row r="5820" spans="1:21">
      <c r="A5820">
        <v>5819</v>
      </c>
      <c r="B5820" s="30" t="s">
        <v>1956</v>
      </c>
      <c r="D5820" s="30" t="s">
        <v>1985</v>
      </c>
      <c r="F5820" s="30" t="s">
        <v>2009</v>
      </c>
      <c r="H5820" s="30" t="s">
        <v>2010</v>
      </c>
      <c r="J5820" s="30" t="s">
        <v>2013</v>
      </c>
      <c r="L5820" s="30" t="s">
        <v>1020</v>
      </c>
      <c r="N5820" s="30" t="s">
        <v>1026</v>
      </c>
      <c r="P5820" s="30" t="s">
        <v>2555</v>
      </c>
      <c r="Q5820" t="s">
        <v>735</v>
      </c>
      <c r="R5820" t="s">
        <v>917</v>
      </c>
      <c r="S5820">
        <v>36</v>
      </c>
      <c r="T5820" s="29" t="str">
        <f t="shared" si="270"/>
        <v>2020.016D.R.Smacoviridae_6ngen_42nsp.zip</v>
      </c>
      <c r="U5820" s="29" t="str">
        <f>HYPERLINK("https://ictv.global/taxonomy/taxondetails?taxnode_id=202309516","ictv.global=202309516")</f>
        <v>ictv.global=202309516</v>
      </c>
    </row>
    <row r="5821" spans="1:21">
      <c r="A5821">
        <v>5820</v>
      </c>
      <c r="B5821" s="30" t="s">
        <v>1956</v>
      </c>
      <c r="D5821" s="30" t="s">
        <v>1985</v>
      </c>
      <c r="F5821" s="30" t="s">
        <v>2009</v>
      </c>
      <c r="H5821" s="30" t="s">
        <v>2010</v>
      </c>
      <c r="J5821" s="30" t="s">
        <v>2013</v>
      </c>
      <c r="L5821" s="30" t="s">
        <v>1020</v>
      </c>
      <c r="N5821" s="30" t="s">
        <v>1026</v>
      </c>
      <c r="P5821" s="30" t="s">
        <v>2556</v>
      </c>
      <c r="Q5821" t="s">
        <v>735</v>
      </c>
      <c r="R5821" t="s">
        <v>917</v>
      </c>
      <c r="S5821">
        <v>36</v>
      </c>
      <c r="T5821" s="29" t="str">
        <f t="shared" si="270"/>
        <v>2020.016D.R.Smacoviridae_6ngen_42nsp.zip</v>
      </c>
      <c r="U5821" s="29" t="str">
        <f>HYPERLINK("https://ictv.global/taxonomy/taxondetails?taxnode_id=202309517","ictv.global=202309517")</f>
        <v>ictv.global=202309517</v>
      </c>
    </row>
    <row r="5822" spans="1:21">
      <c r="A5822">
        <v>5821</v>
      </c>
      <c r="B5822" s="30" t="s">
        <v>1956</v>
      </c>
      <c r="D5822" s="30" t="s">
        <v>1985</v>
      </c>
      <c r="F5822" s="30" t="s">
        <v>2009</v>
      </c>
      <c r="H5822" s="30" t="s">
        <v>2010</v>
      </c>
      <c r="J5822" s="30" t="s">
        <v>2013</v>
      </c>
      <c r="L5822" s="30" t="s">
        <v>1020</v>
      </c>
      <c r="N5822" s="30" t="s">
        <v>1026</v>
      </c>
      <c r="P5822" s="30" t="s">
        <v>2557</v>
      </c>
      <c r="Q5822" t="s">
        <v>735</v>
      </c>
      <c r="R5822" t="s">
        <v>917</v>
      </c>
      <c r="S5822">
        <v>36</v>
      </c>
      <c r="T5822" s="29" t="str">
        <f t="shared" si="270"/>
        <v>2020.016D.R.Smacoviridae_6ngen_42nsp.zip</v>
      </c>
      <c r="U5822" s="29" t="str">
        <f>HYPERLINK("https://ictv.global/taxonomy/taxondetails?taxnode_id=202309518","ictv.global=202309518")</f>
        <v>ictv.global=202309518</v>
      </c>
    </row>
    <row r="5823" spans="1:21">
      <c r="A5823">
        <v>5822</v>
      </c>
      <c r="B5823" s="30" t="s">
        <v>1956</v>
      </c>
      <c r="D5823" s="30" t="s">
        <v>1985</v>
      </c>
      <c r="F5823" s="30" t="s">
        <v>2009</v>
      </c>
      <c r="H5823" s="30" t="s">
        <v>2010</v>
      </c>
      <c r="J5823" s="30" t="s">
        <v>2013</v>
      </c>
      <c r="L5823" s="30" t="s">
        <v>1020</v>
      </c>
      <c r="N5823" s="30" t="s">
        <v>1026</v>
      </c>
      <c r="P5823" s="30" t="s">
        <v>2558</v>
      </c>
      <c r="Q5823" t="s">
        <v>735</v>
      </c>
      <c r="R5823" t="s">
        <v>917</v>
      </c>
      <c r="S5823">
        <v>36</v>
      </c>
      <c r="T5823" s="29" t="str">
        <f t="shared" si="270"/>
        <v>2020.016D.R.Smacoviridae_6ngen_42nsp.zip</v>
      </c>
      <c r="U5823" s="29" t="str">
        <f>HYPERLINK("https://ictv.global/taxonomy/taxondetails?taxnode_id=202309519","ictv.global=202309519")</f>
        <v>ictv.global=202309519</v>
      </c>
    </row>
    <row r="5824" spans="1:21">
      <c r="A5824">
        <v>5823</v>
      </c>
      <c r="B5824" s="30" t="s">
        <v>1956</v>
      </c>
      <c r="D5824" s="30" t="s">
        <v>1985</v>
      </c>
      <c r="F5824" s="30" t="s">
        <v>2009</v>
      </c>
      <c r="H5824" s="30" t="s">
        <v>2010</v>
      </c>
      <c r="J5824" s="30" t="s">
        <v>2013</v>
      </c>
      <c r="L5824" s="30" t="s">
        <v>1020</v>
      </c>
      <c r="N5824" s="30" t="s">
        <v>1026</v>
      </c>
      <c r="P5824" s="30" t="s">
        <v>2559</v>
      </c>
      <c r="Q5824" t="s">
        <v>735</v>
      </c>
      <c r="R5824" t="s">
        <v>917</v>
      </c>
      <c r="S5824">
        <v>36</v>
      </c>
      <c r="T5824" s="29" t="str">
        <f t="shared" si="270"/>
        <v>2020.016D.R.Smacoviridae_6ngen_42nsp.zip</v>
      </c>
      <c r="U5824" s="29" t="str">
        <f>HYPERLINK("https://ictv.global/taxonomy/taxondetails?taxnode_id=202309520","ictv.global=202309520")</f>
        <v>ictv.global=202309520</v>
      </c>
    </row>
    <row r="5825" spans="1:21">
      <c r="A5825">
        <v>5824</v>
      </c>
      <c r="B5825" s="30" t="s">
        <v>1956</v>
      </c>
      <c r="D5825" s="30" t="s">
        <v>1985</v>
      </c>
      <c r="F5825" s="30" t="s">
        <v>2009</v>
      </c>
      <c r="H5825" s="30" t="s">
        <v>2010</v>
      </c>
      <c r="J5825" s="30" t="s">
        <v>2013</v>
      </c>
      <c r="L5825" s="30" t="s">
        <v>1020</v>
      </c>
      <c r="N5825" s="30" t="s">
        <v>1026</v>
      </c>
      <c r="P5825" s="30" t="s">
        <v>2560</v>
      </c>
      <c r="Q5825" t="s">
        <v>735</v>
      </c>
      <c r="R5825" t="s">
        <v>917</v>
      </c>
      <c r="S5825">
        <v>36</v>
      </c>
      <c r="T5825" s="29" t="str">
        <f t="shared" si="270"/>
        <v>2020.016D.R.Smacoviridae_6ngen_42nsp.zip</v>
      </c>
      <c r="U5825" s="29" t="str">
        <f>HYPERLINK("https://ictv.global/taxonomy/taxondetails?taxnode_id=202309521","ictv.global=202309521")</f>
        <v>ictv.global=202309521</v>
      </c>
    </row>
    <row r="5826" spans="1:21">
      <c r="A5826">
        <v>5825</v>
      </c>
      <c r="B5826" s="30" t="s">
        <v>1956</v>
      </c>
      <c r="D5826" s="30" t="s">
        <v>1985</v>
      </c>
      <c r="F5826" s="30" t="s">
        <v>2009</v>
      </c>
      <c r="H5826" s="30" t="s">
        <v>2010</v>
      </c>
      <c r="J5826" s="30" t="s">
        <v>2013</v>
      </c>
      <c r="L5826" s="30" t="s">
        <v>1020</v>
      </c>
      <c r="N5826" s="30" t="s">
        <v>1026</v>
      </c>
      <c r="P5826" s="30" t="s">
        <v>2561</v>
      </c>
      <c r="Q5826" t="s">
        <v>735</v>
      </c>
      <c r="R5826" t="s">
        <v>3895</v>
      </c>
      <c r="S5826">
        <v>36</v>
      </c>
      <c r="T5826" s="29" t="str">
        <f>HYPERLINK("https://ictv.global/ictv/proposals/2020.016D.R.Smacoviridae_6ngen_42nsp.zip","2020.016D.R.Smacoviridae_6ngen_42nsp.zip;2020.001G.R.Abolish_type_species.pdf")</f>
        <v>2020.016D.R.Smacoviridae_6ngen_42nsp.zip;2020.001G.R.Abolish_type_species.pdf</v>
      </c>
      <c r="U5826" s="29" t="str">
        <f>HYPERLINK("https://ictv.global/taxonomy/taxondetails?taxnode_id=202305970","ictv.global=202305970")</f>
        <v>ictv.global=202305970</v>
      </c>
    </row>
    <row r="5827" spans="1:21">
      <c r="A5827">
        <v>5826</v>
      </c>
      <c r="B5827" s="30" t="s">
        <v>1956</v>
      </c>
      <c r="D5827" s="30" t="s">
        <v>1985</v>
      </c>
      <c r="F5827" s="30" t="s">
        <v>2009</v>
      </c>
      <c r="H5827" s="30" t="s">
        <v>2010</v>
      </c>
      <c r="J5827" s="30" t="s">
        <v>2013</v>
      </c>
      <c r="L5827" s="30" t="s">
        <v>1020</v>
      </c>
      <c r="N5827" s="30" t="s">
        <v>1026</v>
      </c>
      <c r="P5827" s="30" t="s">
        <v>2562</v>
      </c>
      <c r="Q5827" t="s">
        <v>735</v>
      </c>
      <c r="R5827" t="s">
        <v>920</v>
      </c>
      <c r="S5827">
        <v>36</v>
      </c>
      <c r="T5827" s="29" t="str">
        <f>HYPERLINK("https://ictv.global/ictv/proposals/2020.016D.R.Smacoviridae_6ngen_42nsp.zip","2020.016D.R.Smacoviridae_6ngen_42nsp.zip")</f>
        <v>2020.016D.R.Smacoviridae_6ngen_42nsp.zip</v>
      </c>
      <c r="U5827" s="29" t="str">
        <f>HYPERLINK("https://ictv.global/taxonomy/taxondetails?taxnode_id=202305971","ictv.global=202305971")</f>
        <v>ictv.global=202305971</v>
      </c>
    </row>
    <row r="5828" spans="1:21">
      <c r="A5828">
        <v>5827</v>
      </c>
      <c r="B5828" s="30" t="s">
        <v>1956</v>
      </c>
      <c r="D5828" s="30" t="s">
        <v>1985</v>
      </c>
      <c r="F5828" s="30" t="s">
        <v>2009</v>
      </c>
      <c r="H5828" s="30" t="s">
        <v>2010</v>
      </c>
      <c r="J5828" s="30" t="s">
        <v>2013</v>
      </c>
      <c r="L5828" s="30" t="s">
        <v>1020</v>
      </c>
      <c r="N5828" s="30" t="s">
        <v>1026</v>
      </c>
      <c r="P5828" s="30" t="s">
        <v>12836</v>
      </c>
      <c r="Q5828" t="s">
        <v>735</v>
      </c>
      <c r="R5828" t="s">
        <v>917</v>
      </c>
      <c r="S5828">
        <v>39</v>
      </c>
      <c r="T5828" s="29" t="str">
        <f>HYPERLINK("https://ictv.global/ictv/proposals/2023.011D.Smacoviridae_59nsp.zip","2023.011D.Smacoviridae_59nsp.zip")</f>
        <v>2023.011D.Smacoviridae_59nsp.zip</v>
      </c>
      <c r="U5828" s="29" t="str">
        <f>HYPERLINK("https://ictv.global/taxonomy/taxondetails?taxnode_id=202318007","ictv.global=202318007")</f>
        <v>ictv.global=202318007</v>
      </c>
    </row>
    <row r="5829" spans="1:21">
      <c r="A5829">
        <v>5828</v>
      </c>
      <c r="B5829" s="30" t="s">
        <v>1956</v>
      </c>
      <c r="D5829" s="30" t="s">
        <v>1985</v>
      </c>
      <c r="F5829" s="30" t="s">
        <v>2009</v>
      </c>
      <c r="H5829" s="30" t="s">
        <v>2010</v>
      </c>
      <c r="J5829" s="30" t="s">
        <v>2013</v>
      </c>
      <c r="L5829" s="30" t="s">
        <v>1020</v>
      </c>
      <c r="N5829" s="30" t="s">
        <v>1026</v>
      </c>
      <c r="P5829" s="30" t="s">
        <v>12837</v>
      </c>
      <c r="Q5829" t="s">
        <v>735</v>
      </c>
      <c r="R5829" t="s">
        <v>917</v>
      </c>
      <c r="S5829">
        <v>39</v>
      </c>
      <c r="T5829" s="29" t="str">
        <f>HYPERLINK("https://ictv.global/ictv/proposals/2023.011D.Smacoviridae_59nsp.zip","2023.011D.Smacoviridae_59nsp.zip")</f>
        <v>2023.011D.Smacoviridae_59nsp.zip</v>
      </c>
      <c r="U5829" s="29" t="str">
        <f>HYPERLINK("https://ictv.global/taxonomy/taxondetails?taxnode_id=202318008","ictv.global=202318008")</f>
        <v>ictv.global=202318008</v>
      </c>
    </row>
    <row r="5830" spans="1:21">
      <c r="A5830">
        <v>5829</v>
      </c>
      <c r="B5830" s="30" t="s">
        <v>1956</v>
      </c>
      <c r="D5830" s="30" t="s">
        <v>1985</v>
      </c>
      <c r="F5830" s="30" t="s">
        <v>2009</v>
      </c>
      <c r="H5830" s="30" t="s">
        <v>2010</v>
      </c>
      <c r="J5830" s="30" t="s">
        <v>2013</v>
      </c>
      <c r="L5830" s="30" t="s">
        <v>1020</v>
      </c>
      <c r="N5830" s="30" t="s">
        <v>1026</v>
      </c>
      <c r="P5830" s="30" t="s">
        <v>12838</v>
      </c>
      <c r="Q5830" t="s">
        <v>735</v>
      </c>
      <c r="R5830" t="s">
        <v>917</v>
      </c>
      <c r="S5830">
        <v>39</v>
      </c>
      <c r="T5830" s="29" t="str">
        <f>HYPERLINK("https://ictv.global/ictv/proposals/2023.011D.Smacoviridae_59nsp.zip","2023.011D.Smacoviridae_59nsp.zip")</f>
        <v>2023.011D.Smacoviridae_59nsp.zip</v>
      </c>
      <c r="U5830" s="29" t="str">
        <f>HYPERLINK("https://ictv.global/taxonomy/taxondetails?taxnode_id=202318009","ictv.global=202318009")</f>
        <v>ictv.global=202318009</v>
      </c>
    </row>
    <row r="5831" spans="1:21">
      <c r="A5831">
        <v>5830</v>
      </c>
      <c r="B5831" s="30" t="s">
        <v>1956</v>
      </c>
      <c r="D5831" s="30" t="s">
        <v>1985</v>
      </c>
      <c r="F5831" s="30" t="s">
        <v>2009</v>
      </c>
      <c r="H5831" s="30" t="s">
        <v>2010</v>
      </c>
      <c r="J5831" s="30" t="s">
        <v>2013</v>
      </c>
      <c r="L5831" s="30" t="s">
        <v>1020</v>
      </c>
      <c r="N5831" s="30" t="s">
        <v>1026</v>
      </c>
      <c r="P5831" s="30" t="s">
        <v>12839</v>
      </c>
      <c r="Q5831" t="s">
        <v>735</v>
      </c>
      <c r="R5831" t="s">
        <v>917</v>
      </c>
      <c r="S5831">
        <v>39</v>
      </c>
      <c r="T5831" s="29" t="str">
        <f>HYPERLINK("https://ictv.global/ictv/proposals/2023.011D.Smacoviridae_59nsp.zip","2023.011D.Smacoviridae_59nsp.zip")</f>
        <v>2023.011D.Smacoviridae_59nsp.zip</v>
      </c>
      <c r="U5831" s="29" t="str">
        <f>HYPERLINK("https://ictv.global/taxonomy/taxondetails?taxnode_id=202318010","ictv.global=202318010")</f>
        <v>ictv.global=202318010</v>
      </c>
    </row>
    <row r="5832" spans="1:21">
      <c r="A5832">
        <v>5831</v>
      </c>
      <c r="B5832" s="30" t="s">
        <v>1956</v>
      </c>
      <c r="D5832" s="30" t="s">
        <v>1985</v>
      </c>
      <c r="F5832" s="30" t="s">
        <v>2009</v>
      </c>
      <c r="H5832" s="30" t="s">
        <v>2010</v>
      </c>
      <c r="J5832" s="30" t="s">
        <v>2013</v>
      </c>
      <c r="L5832" s="30" t="s">
        <v>1020</v>
      </c>
      <c r="N5832" s="30" t="s">
        <v>1026</v>
      </c>
      <c r="P5832" s="30" t="s">
        <v>2563</v>
      </c>
      <c r="Q5832" t="s">
        <v>735</v>
      </c>
      <c r="R5832" t="s">
        <v>917</v>
      </c>
      <c r="S5832">
        <v>36</v>
      </c>
      <c r="T5832" s="29" t="str">
        <f t="shared" ref="T5832:T5848" si="271">HYPERLINK("https://ictv.global/ictv/proposals/2020.016D.R.Smacoviridae_6ngen_42nsp.zip","2020.016D.R.Smacoviridae_6ngen_42nsp.zip")</f>
        <v>2020.016D.R.Smacoviridae_6ngen_42nsp.zip</v>
      </c>
      <c r="U5832" s="29" t="str">
        <f>HYPERLINK("https://ictv.global/taxonomy/taxondetails?taxnode_id=202309522","ictv.global=202309522")</f>
        <v>ictv.global=202309522</v>
      </c>
    </row>
    <row r="5833" spans="1:21">
      <c r="A5833">
        <v>5832</v>
      </c>
      <c r="B5833" s="30" t="s">
        <v>1956</v>
      </c>
      <c r="D5833" s="30" t="s">
        <v>1985</v>
      </c>
      <c r="F5833" s="30" t="s">
        <v>2009</v>
      </c>
      <c r="H5833" s="30" t="s">
        <v>2010</v>
      </c>
      <c r="J5833" s="30" t="s">
        <v>2013</v>
      </c>
      <c r="L5833" s="30" t="s">
        <v>1020</v>
      </c>
      <c r="N5833" s="30" t="s">
        <v>1026</v>
      </c>
      <c r="P5833" s="30" t="s">
        <v>2564</v>
      </c>
      <c r="Q5833" t="s">
        <v>735</v>
      </c>
      <c r="R5833" t="s">
        <v>917</v>
      </c>
      <c r="S5833">
        <v>36</v>
      </c>
      <c r="T5833" s="29" t="str">
        <f t="shared" si="271"/>
        <v>2020.016D.R.Smacoviridae_6ngen_42nsp.zip</v>
      </c>
      <c r="U5833" s="29" t="str">
        <f>HYPERLINK("https://ictv.global/taxonomy/taxondetails?taxnode_id=202309523","ictv.global=202309523")</f>
        <v>ictv.global=202309523</v>
      </c>
    </row>
    <row r="5834" spans="1:21">
      <c r="A5834">
        <v>5833</v>
      </c>
      <c r="B5834" s="30" t="s">
        <v>1956</v>
      </c>
      <c r="D5834" s="30" t="s">
        <v>1985</v>
      </c>
      <c r="F5834" s="30" t="s">
        <v>2009</v>
      </c>
      <c r="H5834" s="30" t="s">
        <v>2010</v>
      </c>
      <c r="J5834" s="30" t="s">
        <v>2013</v>
      </c>
      <c r="L5834" s="30" t="s">
        <v>1020</v>
      </c>
      <c r="N5834" s="30" t="s">
        <v>1026</v>
      </c>
      <c r="P5834" s="30" t="s">
        <v>2565</v>
      </c>
      <c r="Q5834" t="s">
        <v>735</v>
      </c>
      <c r="R5834" t="s">
        <v>920</v>
      </c>
      <c r="S5834">
        <v>36</v>
      </c>
      <c r="T5834" s="29" t="str">
        <f t="shared" si="271"/>
        <v>2020.016D.R.Smacoviridae_6ngen_42nsp.zip</v>
      </c>
      <c r="U5834" s="29" t="str">
        <f>HYPERLINK("https://ictv.global/taxonomy/taxondetails?taxnode_id=202305972","ictv.global=202305972")</f>
        <v>ictv.global=202305972</v>
      </c>
    </row>
    <row r="5835" spans="1:21">
      <c r="A5835">
        <v>5834</v>
      </c>
      <c r="B5835" s="30" t="s">
        <v>1956</v>
      </c>
      <c r="D5835" s="30" t="s">
        <v>1985</v>
      </c>
      <c r="F5835" s="30" t="s">
        <v>2009</v>
      </c>
      <c r="H5835" s="30" t="s">
        <v>2010</v>
      </c>
      <c r="J5835" s="30" t="s">
        <v>2013</v>
      </c>
      <c r="L5835" s="30" t="s">
        <v>1020</v>
      </c>
      <c r="N5835" s="30" t="s">
        <v>1026</v>
      </c>
      <c r="P5835" s="30" t="s">
        <v>2566</v>
      </c>
      <c r="Q5835" t="s">
        <v>735</v>
      </c>
      <c r="R5835" t="s">
        <v>920</v>
      </c>
      <c r="S5835">
        <v>36</v>
      </c>
      <c r="T5835" s="29" t="str">
        <f t="shared" si="271"/>
        <v>2020.016D.R.Smacoviridae_6ngen_42nsp.zip</v>
      </c>
      <c r="U5835" s="29" t="str">
        <f>HYPERLINK("https://ictv.global/taxonomy/taxondetails?taxnode_id=202305973","ictv.global=202305973")</f>
        <v>ictv.global=202305973</v>
      </c>
    </row>
    <row r="5836" spans="1:21">
      <c r="A5836">
        <v>5835</v>
      </c>
      <c r="B5836" s="30" t="s">
        <v>1956</v>
      </c>
      <c r="D5836" s="30" t="s">
        <v>1985</v>
      </c>
      <c r="F5836" s="30" t="s">
        <v>2009</v>
      </c>
      <c r="H5836" s="30" t="s">
        <v>2010</v>
      </c>
      <c r="J5836" s="30" t="s">
        <v>2013</v>
      </c>
      <c r="L5836" s="30" t="s">
        <v>1020</v>
      </c>
      <c r="N5836" s="30" t="s">
        <v>1026</v>
      </c>
      <c r="P5836" s="30" t="s">
        <v>2567</v>
      </c>
      <c r="Q5836" t="s">
        <v>735</v>
      </c>
      <c r="R5836" t="s">
        <v>920</v>
      </c>
      <c r="S5836">
        <v>36</v>
      </c>
      <c r="T5836" s="29" t="str">
        <f t="shared" si="271"/>
        <v>2020.016D.R.Smacoviridae_6ngen_42nsp.zip</v>
      </c>
      <c r="U5836" s="29" t="str">
        <f>HYPERLINK("https://ictv.global/taxonomy/taxondetails?taxnode_id=202305974","ictv.global=202305974")</f>
        <v>ictv.global=202305974</v>
      </c>
    </row>
    <row r="5837" spans="1:21">
      <c r="A5837">
        <v>5836</v>
      </c>
      <c r="B5837" s="30" t="s">
        <v>1956</v>
      </c>
      <c r="D5837" s="30" t="s">
        <v>1985</v>
      </c>
      <c r="F5837" s="30" t="s">
        <v>2009</v>
      </c>
      <c r="H5837" s="30" t="s">
        <v>2010</v>
      </c>
      <c r="J5837" s="30" t="s">
        <v>2013</v>
      </c>
      <c r="L5837" s="30" t="s">
        <v>1020</v>
      </c>
      <c r="N5837" s="30" t="s">
        <v>1026</v>
      </c>
      <c r="P5837" s="30" t="s">
        <v>2568</v>
      </c>
      <c r="Q5837" t="s">
        <v>735</v>
      </c>
      <c r="R5837" t="s">
        <v>920</v>
      </c>
      <c r="S5837">
        <v>36</v>
      </c>
      <c r="T5837" s="29" t="str">
        <f t="shared" si="271"/>
        <v>2020.016D.R.Smacoviridae_6ngen_42nsp.zip</v>
      </c>
      <c r="U5837" s="29" t="str">
        <f>HYPERLINK("https://ictv.global/taxonomy/taxondetails?taxnode_id=202305975","ictv.global=202305975")</f>
        <v>ictv.global=202305975</v>
      </c>
    </row>
    <row r="5838" spans="1:21">
      <c r="A5838">
        <v>5837</v>
      </c>
      <c r="B5838" s="30" t="s">
        <v>1956</v>
      </c>
      <c r="D5838" s="30" t="s">
        <v>1985</v>
      </c>
      <c r="F5838" s="30" t="s">
        <v>2009</v>
      </c>
      <c r="H5838" s="30" t="s">
        <v>2010</v>
      </c>
      <c r="J5838" s="30" t="s">
        <v>2013</v>
      </c>
      <c r="L5838" s="30" t="s">
        <v>1020</v>
      </c>
      <c r="N5838" s="30" t="s">
        <v>1026</v>
      </c>
      <c r="P5838" s="30" t="s">
        <v>2569</v>
      </c>
      <c r="Q5838" t="s">
        <v>735</v>
      </c>
      <c r="R5838" t="s">
        <v>917</v>
      </c>
      <c r="S5838">
        <v>36</v>
      </c>
      <c r="T5838" s="29" t="str">
        <f t="shared" si="271"/>
        <v>2020.016D.R.Smacoviridae_6ngen_42nsp.zip</v>
      </c>
      <c r="U5838" s="29" t="str">
        <f>HYPERLINK("https://ictv.global/taxonomy/taxondetails?taxnode_id=202309524","ictv.global=202309524")</f>
        <v>ictv.global=202309524</v>
      </c>
    </row>
    <row r="5839" spans="1:21">
      <c r="A5839">
        <v>5838</v>
      </c>
      <c r="B5839" s="30" t="s">
        <v>1956</v>
      </c>
      <c r="D5839" s="30" t="s">
        <v>1985</v>
      </c>
      <c r="F5839" s="30" t="s">
        <v>2009</v>
      </c>
      <c r="H5839" s="30" t="s">
        <v>2010</v>
      </c>
      <c r="J5839" s="30" t="s">
        <v>2013</v>
      </c>
      <c r="L5839" s="30" t="s">
        <v>1020</v>
      </c>
      <c r="N5839" s="30" t="s">
        <v>1026</v>
      </c>
      <c r="P5839" s="30" t="s">
        <v>2570</v>
      </c>
      <c r="Q5839" t="s">
        <v>735</v>
      </c>
      <c r="R5839" t="s">
        <v>917</v>
      </c>
      <c r="S5839">
        <v>36</v>
      </c>
      <c r="T5839" s="29" t="str">
        <f t="shared" si="271"/>
        <v>2020.016D.R.Smacoviridae_6ngen_42nsp.zip</v>
      </c>
      <c r="U5839" s="29" t="str">
        <f>HYPERLINK("https://ictv.global/taxonomy/taxondetails?taxnode_id=202309525","ictv.global=202309525")</f>
        <v>ictv.global=202309525</v>
      </c>
    </row>
    <row r="5840" spans="1:21">
      <c r="A5840">
        <v>5839</v>
      </c>
      <c r="B5840" s="30" t="s">
        <v>1956</v>
      </c>
      <c r="D5840" s="30" t="s">
        <v>1985</v>
      </c>
      <c r="F5840" s="30" t="s">
        <v>2009</v>
      </c>
      <c r="H5840" s="30" t="s">
        <v>2010</v>
      </c>
      <c r="J5840" s="30" t="s">
        <v>2013</v>
      </c>
      <c r="L5840" s="30" t="s">
        <v>1020</v>
      </c>
      <c r="N5840" s="30" t="s">
        <v>1026</v>
      </c>
      <c r="P5840" s="30" t="s">
        <v>2571</v>
      </c>
      <c r="Q5840" t="s">
        <v>735</v>
      </c>
      <c r="R5840" t="s">
        <v>920</v>
      </c>
      <c r="S5840">
        <v>36</v>
      </c>
      <c r="T5840" s="29" t="str">
        <f t="shared" si="271"/>
        <v>2020.016D.R.Smacoviridae_6ngen_42nsp.zip</v>
      </c>
      <c r="U5840" s="29" t="str">
        <f>HYPERLINK("https://ictv.global/taxonomy/taxondetails?taxnode_id=202305976","ictv.global=202305976")</f>
        <v>ictv.global=202305976</v>
      </c>
    </row>
    <row r="5841" spans="1:21">
      <c r="A5841">
        <v>5840</v>
      </c>
      <c r="B5841" s="30" t="s">
        <v>1956</v>
      </c>
      <c r="D5841" s="30" t="s">
        <v>1985</v>
      </c>
      <c r="F5841" s="30" t="s">
        <v>2009</v>
      </c>
      <c r="H5841" s="30" t="s">
        <v>2010</v>
      </c>
      <c r="J5841" s="30" t="s">
        <v>2013</v>
      </c>
      <c r="L5841" s="30" t="s">
        <v>1020</v>
      </c>
      <c r="N5841" s="30" t="s">
        <v>1026</v>
      </c>
      <c r="P5841" s="30" t="s">
        <v>2572</v>
      </c>
      <c r="Q5841" t="s">
        <v>735</v>
      </c>
      <c r="R5841" t="s">
        <v>917</v>
      </c>
      <c r="S5841">
        <v>36</v>
      </c>
      <c r="T5841" s="29" t="str">
        <f t="shared" si="271"/>
        <v>2020.016D.R.Smacoviridae_6ngen_42nsp.zip</v>
      </c>
      <c r="U5841" s="29" t="str">
        <f>HYPERLINK("https://ictv.global/taxonomy/taxondetails?taxnode_id=202309526","ictv.global=202309526")</f>
        <v>ictv.global=202309526</v>
      </c>
    </row>
    <row r="5842" spans="1:21">
      <c r="A5842">
        <v>5841</v>
      </c>
      <c r="B5842" s="30" t="s">
        <v>1956</v>
      </c>
      <c r="D5842" s="30" t="s">
        <v>1985</v>
      </c>
      <c r="F5842" s="30" t="s">
        <v>2009</v>
      </c>
      <c r="H5842" s="30" t="s">
        <v>2010</v>
      </c>
      <c r="J5842" s="30" t="s">
        <v>2013</v>
      </c>
      <c r="L5842" s="30" t="s">
        <v>1020</v>
      </c>
      <c r="N5842" s="30" t="s">
        <v>1026</v>
      </c>
      <c r="P5842" s="30" t="s">
        <v>2573</v>
      </c>
      <c r="Q5842" t="s">
        <v>735</v>
      </c>
      <c r="R5842" t="s">
        <v>917</v>
      </c>
      <c r="S5842">
        <v>36</v>
      </c>
      <c r="T5842" s="29" t="str">
        <f t="shared" si="271"/>
        <v>2020.016D.R.Smacoviridae_6ngen_42nsp.zip</v>
      </c>
      <c r="U5842" s="29" t="str">
        <f>HYPERLINK("https://ictv.global/taxonomy/taxondetails?taxnode_id=202309527","ictv.global=202309527")</f>
        <v>ictv.global=202309527</v>
      </c>
    </row>
    <row r="5843" spans="1:21">
      <c r="A5843">
        <v>5842</v>
      </c>
      <c r="B5843" s="30" t="s">
        <v>1956</v>
      </c>
      <c r="D5843" s="30" t="s">
        <v>1985</v>
      </c>
      <c r="F5843" s="30" t="s">
        <v>2009</v>
      </c>
      <c r="H5843" s="30" t="s">
        <v>2010</v>
      </c>
      <c r="J5843" s="30" t="s">
        <v>2013</v>
      </c>
      <c r="L5843" s="30" t="s">
        <v>1020</v>
      </c>
      <c r="N5843" s="30" t="s">
        <v>1026</v>
      </c>
      <c r="P5843" s="30" t="s">
        <v>2574</v>
      </c>
      <c r="Q5843" t="s">
        <v>735</v>
      </c>
      <c r="R5843" t="s">
        <v>917</v>
      </c>
      <c r="S5843">
        <v>36</v>
      </c>
      <c r="T5843" s="29" t="str">
        <f t="shared" si="271"/>
        <v>2020.016D.R.Smacoviridae_6ngen_42nsp.zip</v>
      </c>
      <c r="U5843" s="29" t="str">
        <f>HYPERLINK("https://ictv.global/taxonomy/taxondetails?taxnode_id=202309528","ictv.global=202309528")</f>
        <v>ictv.global=202309528</v>
      </c>
    </row>
    <row r="5844" spans="1:21">
      <c r="A5844">
        <v>5843</v>
      </c>
      <c r="B5844" s="30" t="s">
        <v>1956</v>
      </c>
      <c r="D5844" s="30" t="s">
        <v>1985</v>
      </c>
      <c r="F5844" s="30" t="s">
        <v>2009</v>
      </c>
      <c r="H5844" s="30" t="s">
        <v>2010</v>
      </c>
      <c r="J5844" s="30" t="s">
        <v>2013</v>
      </c>
      <c r="L5844" s="30" t="s">
        <v>1020</v>
      </c>
      <c r="N5844" s="30" t="s">
        <v>1026</v>
      </c>
      <c r="P5844" s="30" t="s">
        <v>2575</v>
      </c>
      <c r="Q5844" t="s">
        <v>735</v>
      </c>
      <c r="R5844" t="s">
        <v>917</v>
      </c>
      <c r="S5844">
        <v>36</v>
      </c>
      <c r="T5844" s="29" t="str">
        <f t="shared" si="271"/>
        <v>2020.016D.R.Smacoviridae_6ngen_42nsp.zip</v>
      </c>
      <c r="U5844" s="29" t="str">
        <f>HYPERLINK("https://ictv.global/taxonomy/taxondetails?taxnode_id=202309529","ictv.global=202309529")</f>
        <v>ictv.global=202309529</v>
      </c>
    </row>
    <row r="5845" spans="1:21">
      <c r="A5845">
        <v>5844</v>
      </c>
      <c r="B5845" s="30" t="s">
        <v>1956</v>
      </c>
      <c r="D5845" s="30" t="s">
        <v>1985</v>
      </c>
      <c r="F5845" s="30" t="s">
        <v>2009</v>
      </c>
      <c r="H5845" s="30" t="s">
        <v>2010</v>
      </c>
      <c r="J5845" s="30" t="s">
        <v>2013</v>
      </c>
      <c r="L5845" s="30" t="s">
        <v>1020</v>
      </c>
      <c r="N5845" s="30" t="s">
        <v>1026</v>
      </c>
      <c r="P5845" s="30" t="s">
        <v>2576</v>
      </c>
      <c r="Q5845" t="s">
        <v>735</v>
      </c>
      <c r="R5845" t="s">
        <v>917</v>
      </c>
      <c r="S5845">
        <v>36</v>
      </c>
      <c r="T5845" s="29" t="str">
        <f t="shared" si="271"/>
        <v>2020.016D.R.Smacoviridae_6ngen_42nsp.zip</v>
      </c>
      <c r="U5845" s="29" t="str">
        <f>HYPERLINK("https://ictv.global/taxonomy/taxondetails?taxnode_id=202309530","ictv.global=202309530")</f>
        <v>ictv.global=202309530</v>
      </c>
    </row>
    <row r="5846" spans="1:21">
      <c r="A5846">
        <v>5845</v>
      </c>
      <c r="B5846" s="30" t="s">
        <v>1956</v>
      </c>
      <c r="D5846" s="30" t="s">
        <v>1985</v>
      </c>
      <c r="F5846" s="30" t="s">
        <v>2009</v>
      </c>
      <c r="H5846" s="30" t="s">
        <v>2010</v>
      </c>
      <c r="J5846" s="30" t="s">
        <v>2013</v>
      </c>
      <c r="L5846" s="30" t="s">
        <v>1020</v>
      </c>
      <c r="N5846" s="30" t="s">
        <v>1026</v>
      </c>
      <c r="P5846" s="30" t="s">
        <v>2577</v>
      </c>
      <c r="Q5846" t="s">
        <v>735</v>
      </c>
      <c r="R5846" t="s">
        <v>917</v>
      </c>
      <c r="S5846">
        <v>36</v>
      </c>
      <c r="T5846" s="29" t="str">
        <f t="shared" si="271"/>
        <v>2020.016D.R.Smacoviridae_6ngen_42nsp.zip</v>
      </c>
      <c r="U5846" s="29" t="str">
        <f>HYPERLINK("https://ictv.global/taxonomy/taxondetails?taxnode_id=202309531","ictv.global=202309531")</f>
        <v>ictv.global=202309531</v>
      </c>
    </row>
    <row r="5847" spans="1:21">
      <c r="A5847">
        <v>5846</v>
      </c>
      <c r="B5847" s="30" t="s">
        <v>1956</v>
      </c>
      <c r="D5847" s="30" t="s">
        <v>1985</v>
      </c>
      <c r="F5847" s="30" t="s">
        <v>2009</v>
      </c>
      <c r="H5847" s="30" t="s">
        <v>2010</v>
      </c>
      <c r="J5847" s="30" t="s">
        <v>2013</v>
      </c>
      <c r="L5847" s="30" t="s">
        <v>1020</v>
      </c>
      <c r="N5847" s="30" t="s">
        <v>1026</v>
      </c>
      <c r="P5847" s="30" t="s">
        <v>2578</v>
      </c>
      <c r="Q5847" t="s">
        <v>735</v>
      </c>
      <c r="R5847" t="s">
        <v>917</v>
      </c>
      <c r="S5847">
        <v>36</v>
      </c>
      <c r="T5847" s="29" t="str">
        <f t="shared" si="271"/>
        <v>2020.016D.R.Smacoviridae_6ngen_42nsp.zip</v>
      </c>
      <c r="U5847" s="29" t="str">
        <f>HYPERLINK("https://ictv.global/taxonomy/taxondetails?taxnode_id=202309532","ictv.global=202309532")</f>
        <v>ictv.global=202309532</v>
      </c>
    </row>
    <row r="5848" spans="1:21">
      <c r="A5848">
        <v>5847</v>
      </c>
      <c r="B5848" s="30" t="s">
        <v>1956</v>
      </c>
      <c r="D5848" s="30" t="s">
        <v>1985</v>
      </c>
      <c r="F5848" s="30" t="s">
        <v>2009</v>
      </c>
      <c r="H5848" s="30" t="s">
        <v>2010</v>
      </c>
      <c r="J5848" s="30" t="s">
        <v>2013</v>
      </c>
      <c r="L5848" s="30" t="s">
        <v>1020</v>
      </c>
      <c r="N5848" s="30" t="s">
        <v>1026</v>
      </c>
      <c r="P5848" s="30" t="s">
        <v>2579</v>
      </c>
      <c r="Q5848" t="s">
        <v>735</v>
      </c>
      <c r="R5848" t="s">
        <v>917</v>
      </c>
      <c r="S5848">
        <v>36</v>
      </c>
      <c r="T5848" s="29" t="str">
        <f t="shared" si="271"/>
        <v>2020.016D.R.Smacoviridae_6ngen_42nsp.zip</v>
      </c>
      <c r="U5848" s="29" t="str">
        <f>HYPERLINK("https://ictv.global/taxonomy/taxondetails?taxnode_id=202309533","ictv.global=202309533")</f>
        <v>ictv.global=202309533</v>
      </c>
    </row>
    <row r="5849" spans="1:21">
      <c r="A5849">
        <v>5848</v>
      </c>
      <c r="B5849" s="30" t="s">
        <v>1956</v>
      </c>
      <c r="D5849" s="30" t="s">
        <v>1985</v>
      </c>
      <c r="F5849" s="30" t="s">
        <v>2009</v>
      </c>
      <c r="H5849" s="30" t="s">
        <v>2010</v>
      </c>
      <c r="J5849" s="30" t="s">
        <v>2013</v>
      </c>
      <c r="L5849" s="30" t="s">
        <v>1020</v>
      </c>
      <c r="N5849" s="30" t="s">
        <v>1026</v>
      </c>
      <c r="P5849" s="30" t="s">
        <v>12840</v>
      </c>
      <c r="Q5849" t="s">
        <v>735</v>
      </c>
      <c r="R5849" t="s">
        <v>917</v>
      </c>
      <c r="S5849">
        <v>39</v>
      </c>
      <c r="T5849" s="29" t="str">
        <f>HYPERLINK("https://ictv.global/ictv/proposals/2023.011D.Smacoviridae_59nsp.zip","2023.011D.Smacoviridae_59nsp.zip")</f>
        <v>2023.011D.Smacoviridae_59nsp.zip</v>
      </c>
      <c r="U5849" s="29" t="str">
        <f>HYPERLINK("https://ictv.global/taxonomy/taxondetails?taxnode_id=202318011","ictv.global=202318011")</f>
        <v>ictv.global=202318011</v>
      </c>
    </row>
    <row r="5850" spans="1:21">
      <c r="A5850">
        <v>5849</v>
      </c>
      <c r="B5850" s="30" t="s">
        <v>1956</v>
      </c>
      <c r="D5850" s="30" t="s">
        <v>1985</v>
      </c>
      <c r="F5850" s="30" t="s">
        <v>2009</v>
      </c>
      <c r="H5850" s="30" t="s">
        <v>2010</v>
      </c>
      <c r="J5850" s="30" t="s">
        <v>2013</v>
      </c>
      <c r="L5850" s="30" t="s">
        <v>1020</v>
      </c>
      <c r="N5850" s="30" t="s">
        <v>1026</v>
      </c>
      <c r="P5850" s="30" t="s">
        <v>12841</v>
      </c>
      <c r="Q5850" t="s">
        <v>735</v>
      </c>
      <c r="R5850" t="s">
        <v>917</v>
      </c>
      <c r="S5850">
        <v>39</v>
      </c>
      <c r="T5850" s="29" t="str">
        <f>HYPERLINK("https://ictv.global/ictv/proposals/2023.011D.Smacoviridae_59nsp.zip","2023.011D.Smacoviridae_59nsp.zip")</f>
        <v>2023.011D.Smacoviridae_59nsp.zip</v>
      </c>
      <c r="U5850" s="29" t="str">
        <f>HYPERLINK("https://ictv.global/taxonomy/taxondetails?taxnode_id=202318012","ictv.global=202318012")</f>
        <v>ictv.global=202318012</v>
      </c>
    </row>
    <row r="5851" spans="1:21">
      <c r="A5851">
        <v>5850</v>
      </c>
      <c r="B5851" s="30" t="s">
        <v>1956</v>
      </c>
      <c r="D5851" s="30" t="s">
        <v>1985</v>
      </c>
      <c r="F5851" s="30" t="s">
        <v>2009</v>
      </c>
      <c r="H5851" s="30" t="s">
        <v>2010</v>
      </c>
      <c r="J5851" s="30" t="s">
        <v>2013</v>
      </c>
      <c r="L5851" s="30" t="s">
        <v>1020</v>
      </c>
      <c r="N5851" s="30" t="s">
        <v>1026</v>
      </c>
      <c r="P5851" s="30" t="s">
        <v>12842</v>
      </c>
      <c r="Q5851" t="s">
        <v>735</v>
      </c>
      <c r="R5851" t="s">
        <v>917</v>
      </c>
      <c r="S5851">
        <v>39</v>
      </c>
      <c r="T5851" s="29" t="str">
        <f>HYPERLINK("https://ictv.global/ictv/proposals/2023.011D.Smacoviridae_59nsp.zip","2023.011D.Smacoviridae_59nsp.zip")</f>
        <v>2023.011D.Smacoviridae_59nsp.zip</v>
      </c>
      <c r="U5851" s="29" t="str">
        <f>HYPERLINK("https://ictv.global/taxonomy/taxondetails?taxnode_id=202318013","ictv.global=202318013")</f>
        <v>ictv.global=202318013</v>
      </c>
    </row>
    <row r="5852" spans="1:21">
      <c r="A5852">
        <v>5851</v>
      </c>
      <c r="B5852" s="30" t="s">
        <v>1956</v>
      </c>
      <c r="D5852" s="30" t="s">
        <v>1985</v>
      </c>
      <c r="F5852" s="30" t="s">
        <v>2009</v>
      </c>
      <c r="H5852" s="30" t="s">
        <v>2010</v>
      </c>
      <c r="J5852" s="30" t="s">
        <v>2013</v>
      </c>
      <c r="L5852" s="30" t="s">
        <v>1020</v>
      </c>
      <c r="N5852" s="30" t="s">
        <v>1026</v>
      </c>
      <c r="P5852" s="30" t="s">
        <v>2580</v>
      </c>
      <c r="Q5852" t="s">
        <v>735</v>
      </c>
      <c r="R5852" t="s">
        <v>917</v>
      </c>
      <c r="S5852">
        <v>36</v>
      </c>
      <c r="T5852" s="29" t="str">
        <f>HYPERLINK("https://ictv.global/ictv/proposals/2020.016D.R.Smacoviridae_6ngen_42nsp.zip","2020.016D.R.Smacoviridae_6ngen_42nsp.zip")</f>
        <v>2020.016D.R.Smacoviridae_6ngen_42nsp.zip</v>
      </c>
      <c r="U5852" s="29" t="str">
        <f>HYPERLINK("https://ictv.global/taxonomy/taxondetails?taxnode_id=202309534","ictv.global=202309534")</f>
        <v>ictv.global=202309534</v>
      </c>
    </row>
    <row r="5853" spans="1:21">
      <c r="A5853">
        <v>5852</v>
      </c>
      <c r="B5853" s="30" t="s">
        <v>1956</v>
      </c>
      <c r="D5853" s="30" t="s">
        <v>1985</v>
      </c>
      <c r="F5853" s="30" t="s">
        <v>2009</v>
      </c>
      <c r="H5853" s="30" t="s">
        <v>2010</v>
      </c>
      <c r="J5853" s="30" t="s">
        <v>2013</v>
      </c>
      <c r="L5853" s="30" t="s">
        <v>1020</v>
      </c>
      <c r="N5853" s="30" t="s">
        <v>1026</v>
      </c>
      <c r="P5853" s="30" t="s">
        <v>12843</v>
      </c>
      <c r="Q5853" t="s">
        <v>735</v>
      </c>
      <c r="R5853" t="s">
        <v>917</v>
      </c>
      <c r="S5853">
        <v>39</v>
      </c>
      <c r="T5853" s="29" t="str">
        <f>HYPERLINK("https://ictv.global/ictv/proposals/2023.011D.Smacoviridae_59nsp.zip","2023.011D.Smacoviridae_59nsp.zip")</f>
        <v>2023.011D.Smacoviridae_59nsp.zip</v>
      </c>
      <c r="U5853" s="29" t="str">
        <f>HYPERLINK("https://ictv.global/taxonomy/taxondetails?taxnode_id=202318014","ictv.global=202318014")</f>
        <v>ictv.global=202318014</v>
      </c>
    </row>
    <row r="5854" spans="1:21">
      <c r="A5854">
        <v>5853</v>
      </c>
      <c r="B5854" s="30" t="s">
        <v>1956</v>
      </c>
      <c r="D5854" s="30" t="s">
        <v>1985</v>
      </c>
      <c r="F5854" s="30" t="s">
        <v>2009</v>
      </c>
      <c r="H5854" s="30" t="s">
        <v>2010</v>
      </c>
      <c r="J5854" s="30" t="s">
        <v>2013</v>
      </c>
      <c r="L5854" s="30" t="s">
        <v>1020</v>
      </c>
      <c r="N5854" s="30" t="s">
        <v>1026</v>
      </c>
      <c r="P5854" s="30" t="s">
        <v>2581</v>
      </c>
      <c r="Q5854" t="s">
        <v>735</v>
      </c>
      <c r="R5854" t="s">
        <v>917</v>
      </c>
      <c r="S5854">
        <v>36</v>
      </c>
      <c r="T5854" s="29" t="str">
        <f>HYPERLINK("https://ictv.global/ictv/proposals/2020.016D.R.Smacoviridae_6ngen_42nsp.zip","2020.016D.R.Smacoviridae_6ngen_42nsp.zip")</f>
        <v>2020.016D.R.Smacoviridae_6ngen_42nsp.zip</v>
      </c>
      <c r="U5854" s="29" t="str">
        <f>HYPERLINK("https://ictv.global/taxonomy/taxondetails?taxnode_id=202309535","ictv.global=202309535")</f>
        <v>ictv.global=202309535</v>
      </c>
    </row>
    <row r="5855" spans="1:21">
      <c r="A5855">
        <v>5854</v>
      </c>
      <c r="B5855" s="30" t="s">
        <v>1956</v>
      </c>
      <c r="D5855" s="30" t="s">
        <v>1985</v>
      </c>
      <c r="F5855" s="30" t="s">
        <v>2009</v>
      </c>
      <c r="H5855" s="30" t="s">
        <v>2010</v>
      </c>
      <c r="J5855" s="30" t="s">
        <v>2013</v>
      </c>
      <c r="L5855" s="30" t="s">
        <v>1020</v>
      </c>
      <c r="N5855" s="30" t="s">
        <v>1026</v>
      </c>
      <c r="P5855" s="30" t="s">
        <v>12844</v>
      </c>
      <c r="Q5855" t="s">
        <v>735</v>
      </c>
      <c r="R5855" t="s">
        <v>917</v>
      </c>
      <c r="S5855">
        <v>39</v>
      </c>
      <c r="T5855" s="29" t="str">
        <f>HYPERLINK("https://ictv.global/ictv/proposals/2023.011D.Smacoviridae_59nsp.zip","2023.011D.Smacoviridae_59nsp.zip")</f>
        <v>2023.011D.Smacoviridae_59nsp.zip</v>
      </c>
      <c r="U5855" s="29" t="str">
        <f>HYPERLINK("https://ictv.global/taxonomy/taxondetails?taxnode_id=202318015","ictv.global=202318015")</f>
        <v>ictv.global=202318015</v>
      </c>
    </row>
    <row r="5856" spans="1:21">
      <c r="A5856">
        <v>5855</v>
      </c>
      <c r="B5856" s="30" t="s">
        <v>1956</v>
      </c>
      <c r="D5856" s="30" t="s">
        <v>1985</v>
      </c>
      <c r="F5856" s="30" t="s">
        <v>2009</v>
      </c>
      <c r="H5856" s="30" t="s">
        <v>2010</v>
      </c>
      <c r="J5856" s="30" t="s">
        <v>2013</v>
      </c>
      <c r="L5856" s="30" t="s">
        <v>1020</v>
      </c>
      <c r="N5856" s="30" t="s">
        <v>1026</v>
      </c>
      <c r="P5856" s="30" t="s">
        <v>12845</v>
      </c>
      <c r="Q5856" t="s">
        <v>735</v>
      </c>
      <c r="R5856" t="s">
        <v>917</v>
      </c>
      <c r="S5856">
        <v>39</v>
      </c>
      <c r="T5856" s="29" t="str">
        <f>HYPERLINK("https://ictv.global/ictv/proposals/2023.011D.Smacoviridae_59nsp.zip","2023.011D.Smacoviridae_59nsp.zip")</f>
        <v>2023.011D.Smacoviridae_59nsp.zip</v>
      </c>
      <c r="U5856" s="29" t="str">
        <f>HYPERLINK("https://ictv.global/taxonomy/taxondetails?taxnode_id=202318016","ictv.global=202318016")</f>
        <v>ictv.global=202318016</v>
      </c>
    </row>
    <row r="5857" spans="1:21">
      <c r="A5857">
        <v>5856</v>
      </c>
      <c r="B5857" s="30" t="s">
        <v>1956</v>
      </c>
      <c r="D5857" s="30" t="s">
        <v>1985</v>
      </c>
      <c r="F5857" s="30" t="s">
        <v>2009</v>
      </c>
      <c r="H5857" s="30" t="s">
        <v>2010</v>
      </c>
      <c r="J5857" s="30" t="s">
        <v>2013</v>
      </c>
      <c r="L5857" s="30" t="s">
        <v>1020</v>
      </c>
      <c r="N5857" s="30" t="s">
        <v>1026</v>
      </c>
      <c r="P5857" s="30" t="s">
        <v>12846</v>
      </c>
      <c r="Q5857" t="s">
        <v>735</v>
      </c>
      <c r="R5857" t="s">
        <v>917</v>
      </c>
      <c r="S5857">
        <v>39</v>
      </c>
      <c r="T5857" s="29" t="str">
        <f>HYPERLINK("https://ictv.global/ictv/proposals/2023.011D.Smacoviridae_59nsp.zip","2023.011D.Smacoviridae_59nsp.zip")</f>
        <v>2023.011D.Smacoviridae_59nsp.zip</v>
      </c>
      <c r="U5857" s="29" t="str">
        <f>HYPERLINK("https://ictv.global/taxonomy/taxondetails?taxnode_id=202318017","ictv.global=202318017")</f>
        <v>ictv.global=202318017</v>
      </c>
    </row>
    <row r="5858" spans="1:21">
      <c r="A5858">
        <v>5857</v>
      </c>
      <c r="B5858" s="30" t="s">
        <v>1956</v>
      </c>
      <c r="D5858" s="30" t="s">
        <v>1985</v>
      </c>
      <c r="F5858" s="30" t="s">
        <v>2009</v>
      </c>
      <c r="H5858" s="30" t="s">
        <v>2010</v>
      </c>
      <c r="J5858" s="30" t="s">
        <v>2013</v>
      </c>
      <c r="L5858" s="30" t="s">
        <v>1020</v>
      </c>
      <c r="N5858" s="30" t="s">
        <v>1026</v>
      </c>
      <c r="P5858" s="30" t="s">
        <v>2582</v>
      </c>
      <c r="Q5858" t="s">
        <v>735</v>
      </c>
      <c r="R5858" t="s">
        <v>920</v>
      </c>
      <c r="S5858">
        <v>36</v>
      </c>
      <c r="T5858" s="29" t="str">
        <f t="shared" ref="T5858:T5881" si="272">HYPERLINK("https://ictv.global/ictv/proposals/2020.016D.R.Smacoviridae_6ngen_42nsp.zip","2020.016D.R.Smacoviridae_6ngen_42nsp.zip")</f>
        <v>2020.016D.R.Smacoviridae_6ngen_42nsp.zip</v>
      </c>
      <c r="U5858" s="29" t="str">
        <f>HYPERLINK("https://ictv.global/taxonomy/taxondetails?taxnode_id=202305977","ictv.global=202305977")</f>
        <v>ictv.global=202305977</v>
      </c>
    </row>
    <row r="5859" spans="1:21">
      <c r="A5859">
        <v>5858</v>
      </c>
      <c r="B5859" s="30" t="s">
        <v>1956</v>
      </c>
      <c r="D5859" s="30" t="s">
        <v>1985</v>
      </c>
      <c r="F5859" s="30" t="s">
        <v>2009</v>
      </c>
      <c r="H5859" s="30" t="s">
        <v>2010</v>
      </c>
      <c r="J5859" s="30" t="s">
        <v>2013</v>
      </c>
      <c r="L5859" s="30" t="s">
        <v>1020</v>
      </c>
      <c r="N5859" s="30" t="s">
        <v>1026</v>
      </c>
      <c r="P5859" s="30" t="s">
        <v>2583</v>
      </c>
      <c r="Q5859" t="s">
        <v>735</v>
      </c>
      <c r="R5859" t="s">
        <v>920</v>
      </c>
      <c r="S5859">
        <v>36</v>
      </c>
      <c r="T5859" s="29" t="str">
        <f t="shared" si="272"/>
        <v>2020.016D.R.Smacoviridae_6ngen_42nsp.zip</v>
      </c>
      <c r="U5859" s="29" t="str">
        <f>HYPERLINK("https://ictv.global/taxonomy/taxondetails?taxnode_id=202305979","ictv.global=202305979")</f>
        <v>ictv.global=202305979</v>
      </c>
    </row>
    <row r="5860" spans="1:21">
      <c r="A5860">
        <v>5859</v>
      </c>
      <c r="B5860" s="30" t="s">
        <v>1956</v>
      </c>
      <c r="D5860" s="30" t="s">
        <v>1985</v>
      </c>
      <c r="F5860" s="30" t="s">
        <v>2009</v>
      </c>
      <c r="H5860" s="30" t="s">
        <v>2010</v>
      </c>
      <c r="J5860" s="30" t="s">
        <v>2013</v>
      </c>
      <c r="L5860" s="30" t="s">
        <v>1020</v>
      </c>
      <c r="N5860" s="30" t="s">
        <v>1026</v>
      </c>
      <c r="P5860" s="30" t="s">
        <v>2584</v>
      </c>
      <c r="Q5860" t="s">
        <v>735</v>
      </c>
      <c r="R5860" t="s">
        <v>920</v>
      </c>
      <c r="S5860">
        <v>36</v>
      </c>
      <c r="T5860" s="29" t="str">
        <f t="shared" si="272"/>
        <v>2020.016D.R.Smacoviridae_6ngen_42nsp.zip</v>
      </c>
      <c r="U5860" s="29" t="str">
        <f>HYPERLINK("https://ictv.global/taxonomy/taxondetails?taxnode_id=202305980","ictv.global=202305980")</f>
        <v>ictv.global=202305980</v>
      </c>
    </row>
    <row r="5861" spans="1:21">
      <c r="A5861">
        <v>5860</v>
      </c>
      <c r="B5861" s="30" t="s">
        <v>1956</v>
      </c>
      <c r="D5861" s="30" t="s">
        <v>1985</v>
      </c>
      <c r="F5861" s="30" t="s">
        <v>2009</v>
      </c>
      <c r="H5861" s="30" t="s">
        <v>2010</v>
      </c>
      <c r="J5861" s="30" t="s">
        <v>2013</v>
      </c>
      <c r="L5861" s="30" t="s">
        <v>1020</v>
      </c>
      <c r="N5861" s="30" t="s">
        <v>1026</v>
      </c>
      <c r="P5861" s="30" t="s">
        <v>2585</v>
      </c>
      <c r="Q5861" t="s">
        <v>735</v>
      </c>
      <c r="R5861" t="s">
        <v>920</v>
      </c>
      <c r="S5861">
        <v>36</v>
      </c>
      <c r="T5861" s="29" t="str">
        <f t="shared" si="272"/>
        <v>2020.016D.R.Smacoviridae_6ngen_42nsp.zip</v>
      </c>
      <c r="U5861" s="29" t="str">
        <f>HYPERLINK("https://ictv.global/taxonomy/taxondetails?taxnode_id=202305981","ictv.global=202305981")</f>
        <v>ictv.global=202305981</v>
      </c>
    </row>
    <row r="5862" spans="1:21">
      <c r="A5862">
        <v>5861</v>
      </c>
      <c r="B5862" s="30" t="s">
        <v>1956</v>
      </c>
      <c r="D5862" s="30" t="s">
        <v>1985</v>
      </c>
      <c r="F5862" s="30" t="s">
        <v>2009</v>
      </c>
      <c r="H5862" s="30" t="s">
        <v>2010</v>
      </c>
      <c r="J5862" s="30" t="s">
        <v>2013</v>
      </c>
      <c r="L5862" s="30" t="s">
        <v>1020</v>
      </c>
      <c r="N5862" s="30" t="s">
        <v>1026</v>
      </c>
      <c r="P5862" s="30" t="s">
        <v>2586</v>
      </c>
      <c r="Q5862" t="s">
        <v>735</v>
      </c>
      <c r="R5862" t="s">
        <v>920</v>
      </c>
      <c r="S5862">
        <v>36</v>
      </c>
      <c r="T5862" s="29" t="str">
        <f t="shared" si="272"/>
        <v>2020.016D.R.Smacoviridae_6ngen_42nsp.zip</v>
      </c>
      <c r="U5862" s="29" t="str">
        <f>HYPERLINK("https://ictv.global/taxonomy/taxondetails?taxnode_id=202305982","ictv.global=202305982")</f>
        <v>ictv.global=202305982</v>
      </c>
    </row>
    <row r="5863" spans="1:21">
      <c r="A5863">
        <v>5862</v>
      </c>
      <c r="B5863" s="30" t="s">
        <v>1956</v>
      </c>
      <c r="D5863" s="30" t="s">
        <v>1985</v>
      </c>
      <c r="F5863" s="30" t="s">
        <v>2009</v>
      </c>
      <c r="H5863" s="30" t="s">
        <v>2010</v>
      </c>
      <c r="J5863" s="30" t="s">
        <v>2013</v>
      </c>
      <c r="L5863" s="30" t="s">
        <v>1020</v>
      </c>
      <c r="N5863" s="30" t="s">
        <v>1026</v>
      </c>
      <c r="P5863" s="30" t="s">
        <v>2587</v>
      </c>
      <c r="Q5863" t="s">
        <v>735</v>
      </c>
      <c r="R5863" t="s">
        <v>920</v>
      </c>
      <c r="S5863">
        <v>36</v>
      </c>
      <c r="T5863" s="29" t="str">
        <f t="shared" si="272"/>
        <v>2020.016D.R.Smacoviridae_6ngen_42nsp.zip</v>
      </c>
      <c r="U5863" s="29" t="str">
        <f>HYPERLINK("https://ictv.global/taxonomy/taxondetails?taxnode_id=202305983","ictv.global=202305983")</f>
        <v>ictv.global=202305983</v>
      </c>
    </row>
    <row r="5864" spans="1:21">
      <c r="A5864">
        <v>5863</v>
      </c>
      <c r="B5864" s="30" t="s">
        <v>1956</v>
      </c>
      <c r="D5864" s="30" t="s">
        <v>1985</v>
      </c>
      <c r="F5864" s="30" t="s">
        <v>2009</v>
      </c>
      <c r="H5864" s="30" t="s">
        <v>2010</v>
      </c>
      <c r="J5864" s="30" t="s">
        <v>2013</v>
      </c>
      <c r="L5864" s="30" t="s">
        <v>1020</v>
      </c>
      <c r="N5864" s="30" t="s">
        <v>1026</v>
      </c>
      <c r="P5864" s="30" t="s">
        <v>2588</v>
      </c>
      <c r="Q5864" t="s">
        <v>735</v>
      </c>
      <c r="R5864" t="s">
        <v>920</v>
      </c>
      <c r="S5864">
        <v>36</v>
      </c>
      <c r="T5864" s="29" t="str">
        <f t="shared" si="272"/>
        <v>2020.016D.R.Smacoviridae_6ngen_42nsp.zip</v>
      </c>
      <c r="U5864" s="29" t="str">
        <f>HYPERLINK("https://ictv.global/taxonomy/taxondetails?taxnode_id=202305984","ictv.global=202305984")</f>
        <v>ictv.global=202305984</v>
      </c>
    </row>
    <row r="5865" spans="1:21">
      <c r="A5865">
        <v>5864</v>
      </c>
      <c r="B5865" s="30" t="s">
        <v>1956</v>
      </c>
      <c r="D5865" s="30" t="s">
        <v>1985</v>
      </c>
      <c r="F5865" s="30" t="s">
        <v>2009</v>
      </c>
      <c r="H5865" s="30" t="s">
        <v>2010</v>
      </c>
      <c r="J5865" s="30" t="s">
        <v>2013</v>
      </c>
      <c r="L5865" s="30" t="s">
        <v>1020</v>
      </c>
      <c r="N5865" s="30" t="s">
        <v>1026</v>
      </c>
      <c r="P5865" s="30" t="s">
        <v>2589</v>
      </c>
      <c r="Q5865" t="s">
        <v>735</v>
      </c>
      <c r="R5865" t="s">
        <v>920</v>
      </c>
      <c r="S5865">
        <v>36</v>
      </c>
      <c r="T5865" s="29" t="str">
        <f t="shared" si="272"/>
        <v>2020.016D.R.Smacoviridae_6ngen_42nsp.zip</v>
      </c>
      <c r="U5865" s="29" t="str">
        <f>HYPERLINK("https://ictv.global/taxonomy/taxondetails?taxnode_id=202305985","ictv.global=202305985")</f>
        <v>ictv.global=202305985</v>
      </c>
    </row>
    <row r="5866" spans="1:21">
      <c r="A5866">
        <v>5865</v>
      </c>
      <c r="B5866" s="30" t="s">
        <v>1956</v>
      </c>
      <c r="D5866" s="30" t="s">
        <v>1985</v>
      </c>
      <c r="F5866" s="30" t="s">
        <v>2009</v>
      </c>
      <c r="H5866" s="30" t="s">
        <v>2010</v>
      </c>
      <c r="J5866" s="30" t="s">
        <v>2013</v>
      </c>
      <c r="L5866" s="30" t="s">
        <v>1020</v>
      </c>
      <c r="N5866" s="30" t="s">
        <v>1026</v>
      </c>
      <c r="P5866" s="30" t="s">
        <v>2590</v>
      </c>
      <c r="Q5866" t="s">
        <v>735</v>
      </c>
      <c r="R5866" t="s">
        <v>920</v>
      </c>
      <c r="S5866">
        <v>36</v>
      </c>
      <c r="T5866" s="29" t="str">
        <f t="shared" si="272"/>
        <v>2020.016D.R.Smacoviridae_6ngen_42nsp.zip</v>
      </c>
      <c r="U5866" s="29" t="str">
        <f>HYPERLINK("https://ictv.global/taxonomy/taxondetails?taxnode_id=202305986","ictv.global=202305986")</f>
        <v>ictv.global=202305986</v>
      </c>
    </row>
    <row r="5867" spans="1:21">
      <c r="A5867">
        <v>5866</v>
      </c>
      <c r="B5867" s="30" t="s">
        <v>1956</v>
      </c>
      <c r="D5867" s="30" t="s">
        <v>1985</v>
      </c>
      <c r="F5867" s="30" t="s">
        <v>2009</v>
      </c>
      <c r="H5867" s="30" t="s">
        <v>2010</v>
      </c>
      <c r="J5867" s="30" t="s">
        <v>2013</v>
      </c>
      <c r="L5867" s="30" t="s">
        <v>1020</v>
      </c>
      <c r="N5867" s="30" t="s">
        <v>1026</v>
      </c>
      <c r="P5867" s="30" t="s">
        <v>2591</v>
      </c>
      <c r="Q5867" t="s">
        <v>735</v>
      </c>
      <c r="R5867" t="s">
        <v>920</v>
      </c>
      <c r="S5867">
        <v>36</v>
      </c>
      <c r="T5867" s="29" t="str">
        <f t="shared" si="272"/>
        <v>2020.016D.R.Smacoviridae_6ngen_42nsp.zip</v>
      </c>
      <c r="U5867" s="29" t="str">
        <f>HYPERLINK("https://ictv.global/taxonomy/taxondetails?taxnode_id=202305978","ictv.global=202305978")</f>
        <v>ictv.global=202305978</v>
      </c>
    </row>
    <row r="5868" spans="1:21">
      <c r="A5868">
        <v>5867</v>
      </c>
      <c r="B5868" s="30" t="s">
        <v>1956</v>
      </c>
      <c r="D5868" s="30" t="s">
        <v>1985</v>
      </c>
      <c r="F5868" s="30" t="s">
        <v>2009</v>
      </c>
      <c r="H5868" s="30" t="s">
        <v>2010</v>
      </c>
      <c r="J5868" s="30" t="s">
        <v>2013</v>
      </c>
      <c r="L5868" s="30" t="s">
        <v>1020</v>
      </c>
      <c r="N5868" s="30" t="s">
        <v>1026</v>
      </c>
      <c r="P5868" s="30" t="s">
        <v>2592</v>
      </c>
      <c r="Q5868" t="s">
        <v>735</v>
      </c>
      <c r="R5868" t="s">
        <v>917</v>
      </c>
      <c r="S5868">
        <v>36</v>
      </c>
      <c r="T5868" s="29" t="str">
        <f t="shared" si="272"/>
        <v>2020.016D.R.Smacoviridae_6ngen_42nsp.zip</v>
      </c>
      <c r="U5868" s="29" t="str">
        <f>HYPERLINK("https://ictv.global/taxonomy/taxondetails?taxnode_id=202309536","ictv.global=202309536")</f>
        <v>ictv.global=202309536</v>
      </c>
    </row>
    <row r="5869" spans="1:21">
      <c r="A5869">
        <v>5868</v>
      </c>
      <c r="B5869" s="30" t="s">
        <v>1956</v>
      </c>
      <c r="D5869" s="30" t="s">
        <v>1985</v>
      </c>
      <c r="F5869" s="30" t="s">
        <v>2009</v>
      </c>
      <c r="H5869" s="30" t="s">
        <v>2010</v>
      </c>
      <c r="J5869" s="30" t="s">
        <v>2013</v>
      </c>
      <c r="L5869" s="30" t="s">
        <v>1020</v>
      </c>
      <c r="N5869" s="30" t="s">
        <v>1026</v>
      </c>
      <c r="P5869" s="30" t="s">
        <v>2593</v>
      </c>
      <c r="Q5869" t="s">
        <v>735</v>
      </c>
      <c r="R5869" t="s">
        <v>917</v>
      </c>
      <c r="S5869">
        <v>36</v>
      </c>
      <c r="T5869" s="29" t="str">
        <f t="shared" si="272"/>
        <v>2020.016D.R.Smacoviridae_6ngen_42nsp.zip</v>
      </c>
      <c r="U5869" s="29" t="str">
        <f>HYPERLINK("https://ictv.global/taxonomy/taxondetails?taxnode_id=202309537","ictv.global=202309537")</f>
        <v>ictv.global=202309537</v>
      </c>
    </row>
    <row r="5870" spans="1:21">
      <c r="A5870">
        <v>5869</v>
      </c>
      <c r="B5870" s="30" t="s">
        <v>1956</v>
      </c>
      <c r="D5870" s="30" t="s">
        <v>1985</v>
      </c>
      <c r="F5870" s="30" t="s">
        <v>2009</v>
      </c>
      <c r="H5870" s="30" t="s">
        <v>2010</v>
      </c>
      <c r="J5870" s="30" t="s">
        <v>2013</v>
      </c>
      <c r="L5870" s="30" t="s">
        <v>1020</v>
      </c>
      <c r="N5870" s="30" t="s">
        <v>1026</v>
      </c>
      <c r="P5870" s="30" t="s">
        <v>2594</v>
      </c>
      <c r="Q5870" t="s">
        <v>735</v>
      </c>
      <c r="R5870" t="s">
        <v>917</v>
      </c>
      <c r="S5870">
        <v>36</v>
      </c>
      <c r="T5870" s="29" t="str">
        <f t="shared" si="272"/>
        <v>2020.016D.R.Smacoviridae_6ngen_42nsp.zip</v>
      </c>
      <c r="U5870" s="29" t="str">
        <f>HYPERLINK("https://ictv.global/taxonomy/taxondetails?taxnode_id=202309538","ictv.global=202309538")</f>
        <v>ictv.global=202309538</v>
      </c>
    </row>
    <row r="5871" spans="1:21">
      <c r="A5871">
        <v>5870</v>
      </c>
      <c r="B5871" s="30" t="s">
        <v>1956</v>
      </c>
      <c r="D5871" s="30" t="s">
        <v>1985</v>
      </c>
      <c r="F5871" s="30" t="s">
        <v>2009</v>
      </c>
      <c r="H5871" s="30" t="s">
        <v>2010</v>
      </c>
      <c r="J5871" s="30" t="s">
        <v>2013</v>
      </c>
      <c r="L5871" s="30" t="s">
        <v>1020</v>
      </c>
      <c r="N5871" s="30" t="s">
        <v>1026</v>
      </c>
      <c r="P5871" s="30" t="s">
        <v>2595</v>
      </c>
      <c r="Q5871" t="s">
        <v>735</v>
      </c>
      <c r="R5871" t="s">
        <v>917</v>
      </c>
      <c r="S5871">
        <v>36</v>
      </c>
      <c r="T5871" s="29" t="str">
        <f t="shared" si="272"/>
        <v>2020.016D.R.Smacoviridae_6ngen_42nsp.zip</v>
      </c>
      <c r="U5871" s="29" t="str">
        <f>HYPERLINK("https://ictv.global/taxonomy/taxondetails?taxnode_id=202309539","ictv.global=202309539")</f>
        <v>ictv.global=202309539</v>
      </c>
    </row>
    <row r="5872" spans="1:21">
      <c r="A5872">
        <v>5871</v>
      </c>
      <c r="B5872" s="30" t="s">
        <v>1956</v>
      </c>
      <c r="D5872" s="30" t="s">
        <v>1985</v>
      </c>
      <c r="F5872" s="30" t="s">
        <v>2009</v>
      </c>
      <c r="H5872" s="30" t="s">
        <v>2010</v>
      </c>
      <c r="J5872" s="30" t="s">
        <v>2013</v>
      </c>
      <c r="L5872" s="30" t="s">
        <v>1020</v>
      </c>
      <c r="N5872" s="30" t="s">
        <v>1026</v>
      </c>
      <c r="P5872" s="30" t="s">
        <v>2596</v>
      </c>
      <c r="Q5872" t="s">
        <v>735</v>
      </c>
      <c r="R5872" t="s">
        <v>917</v>
      </c>
      <c r="S5872">
        <v>36</v>
      </c>
      <c r="T5872" s="29" t="str">
        <f t="shared" si="272"/>
        <v>2020.016D.R.Smacoviridae_6ngen_42nsp.zip</v>
      </c>
      <c r="U5872" s="29" t="str">
        <f>HYPERLINK("https://ictv.global/taxonomy/taxondetails?taxnode_id=202309540","ictv.global=202309540")</f>
        <v>ictv.global=202309540</v>
      </c>
    </row>
    <row r="5873" spans="1:21">
      <c r="A5873">
        <v>5872</v>
      </c>
      <c r="B5873" s="30" t="s">
        <v>1956</v>
      </c>
      <c r="D5873" s="30" t="s">
        <v>1985</v>
      </c>
      <c r="F5873" s="30" t="s">
        <v>2009</v>
      </c>
      <c r="H5873" s="30" t="s">
        <v>2010</v>
      </c>
      <c r="J5873" s="30" t="s">
        <v>2013</v>
      </c>
      <c r="L5873" s="30" t="s">
        <v>1020</v>
      </c>
      <c r="N5873" s="30" t="s">
        <v>1026</v>
      </c>
      <c r="P5873" s="30" t="s">
        <v>2597</v>
      </c>
      <c r="Q5873" t="s">
        <v>735</v>
      </c>
      <c r="R5873" t="s">
        <v>917</v>
      </c>
      <c r="S5873">
        <v>36</v>
      </c>
      <c r="T5873" s="29" t="str">
        <f t="shared" si="272"/>
        <v>2020.016D.R.Smacoviridae_6ngen_42nsp.zip</v>
      </c>
      <c r="U5873" s="29" t="str">
        <f>HYPERLINK("https://ictv.global/taxonomy/taxondetails?taxnode_id=202309541","ictv.global=202309541")</f>
        <v>ictv.global=202309541</v>
      </c>
    </row>
    <row r="5874" spans="1:21">
      <c r="A5874">
        <v>5873</v>
      </c>
      <c r="B5874" s="30" t="s">
        <v>1956</v>
      </c>
      <c r="D5874" s="30" t="s">
        <v>1985</v>
      </c>
      <c r="F5874" s="30" t="s">
        <v>2009</v>
      </c>
      <c r="H5874" s="30" t="s">
        <v>2010</v>
      </c>
      <c r="J5874" s="30" t="s">
        <v>2013</v>
      </c>
      <c r="L5874" s="30" t="s">
        <v>1020</v>
      </c>
      <c r="N5874" s="30" t="s">
        <v>1026</v>
      </c>
      <c r="P5874" s="30" t="s">
        <v>2598</v>
      </c>
      <c r="Q5874" t="s">
        <v>735</v>
      </c>
      <c r="R5874" t="s">
        <v>917</v>
      </c>
      <c r="S5874">
        <v>36</v>
      </c>
      <c r="T5874" s="29" t="str">
        <f t="shared" si="272"/>
        <v>2020.016D.R.Smacoviridae_6ngen_42nsp.zip</v>
      </c>
      <c r="U5874" s="29" t="str">
        <f>HYPERLINK("https://ictv.global/taxonomy/taxondetails?taxnode_id=202309542","ictv.global=202309542")</f>
        <v>ictv.global=202309542</v>
      </c>
    </row>
    <row r="5875" spans="1:21">
      <c r="A5875">
        <v>5874</v>
      </c>
      <c r="B5875" s="30" t="s">
        <v>1956</v>
      </c>
      <c r="D5875" s="30" t="s">
        <v>1985</v>
      </c>
      <c r="F5875" s="30" t="s">
        <v>2009</v>
      </c>
      <c r="H5875" s="30" t="s">
        <v>2010</v>
      </c>
      <c r="J5875" s="30" t="s">
        <v>2013</v>
      </c>
      <c r="L5875" s="30" t="s">
        <v>1020</v>
      </c>
      <c r="N5875" s="30" t="s">
        <v>1026</v>
      </c>
      <c r="P5875" s="30" t="s">
        <v>2599</v>
      </c>
      <c r="Q5875" t="s">
        <v>735</v>
      </c>
      <c r="R5875" t="s">
        <v>917</v>
      </c>
      <c r="S5875">
        <v>36</v>
      </c>
      <c r="T5875" s="29" t="str">
        <f t="shared" si="272"/>
        <v>2020.016D.R.Smacoviridae_6ngen_42nsp.zip</v>
      </c>
      <c r="U5875" s="29" t="str">
        <f>HYPERLINK("https://ictv.global/taxonomy/taxondetails?taxnode_id=202309543","ictv.global=202309543")</f>
        <v>ictv.global=202309543</v>
      </c>
    </row>
    <row r="5876" spans="1:21">
      <c r="A5876">
        <v>5875</v>
      </c>
      <c r="B5876" s="30" t="s">
        <v>1956</v>
      </c>
      <c r="D5876" s="30" t="s">
        <v>1985</v>
      </c>
      <c r="F5876" s="30" t="s">
        <v>2009</v>
      </c>
      <c r="H5876" s="30" t="s">
        <v>2010</v>
      </c>
      <c r="J5876" s="30" t="s">
        <v>2013</v>
      </c>
      <c r="L5876" s="30" t="s">
        <v>1020</v>
      </c>
      <c r="N5876" s="30" t="s">
        <v>1026</v>
      </c>
      <c r="P5876" s="30" t="s">
        <v>2600</v>
      </c>
      <c r="Q5876" t="s">
        <v>735</v>
      </c>
      <c r="R5876" t="s">
        <v>917</v>
      </c>
      <c r="S5876">
        <v>36</v>
      </c>
      <c r="T5876" s="29" t="str">
        <f t="shared" si="272"/>
        <v>2020.016D.R.Smacoviridae_6ngen_42nsp.zip</v>
      </c>
      <c r="U5876" s="29" t="str">
        <f>HYPERLINK("https://ictv.global/taxonomy/taxondetails?taxnode_id=202309544","ictv.global=202309544")</f>
        <v>ictv.global=202309544</v>
      </c>
    </row>
    <row r="5877" spans="1:21">
      <c r="A5877">
        <v>5876</v>
      </c>
      <c r="B5877" s="30" t="s">
        <v>1956</v>
      </c>
      <c r="D5877" s="30" t="s">
        <v>1985</v>
      </c>
      <c r="F5877" s="30" t="s">
        <v>2009</v>
      </c>
      <c r="H5877" s="30" t="s">
        <v>2010</v>
      </c>
      <c r="J5877" s="30" t="s">
        <v>2013</v>
      </c>
      <c r="L5877" s="30" t="s">
        <v>1020</v>
      </c>
      <c r="N5877" s="30" t="s">
        <v>1026</v>
      </c>
      <c r="P5877" s="30" t="s">
        <v>2601</v>
      </c>
      <c r="Q5877" t="s">
        <v>735</v>
      </c>
      <c r="R5877" t="s">
        <v>917</v>
      </c>
      <c r="S5877">
        <v>36</v>
      </c>
      <c r="T5877" s="29" t="str">
        <f t="shared" si="272"/>
        <v>2020.016D.R.Smacoviridae_6ngen_42nsp.zip</v>
      </c>
      <c r="U5877" s="29" t="str">
        <f>HYPERLINK("https://ictv.global/taxonomy/taxondetails?taxnode_id=202309545","ictv.global=202309545")</f>
        <v>ictv.global=202309545</v>
      </c>
    </row>
    <row r="5878" spans="1:21">
      <c r="A5878">
        <v>5877</v>
      </c>
      <c r="B5878" s="30" t="s">
        <v>1956</v>
      </c>
      <c r="D5878" s="30" t="s">
        <v>1985</v>
      </c>
      <c r="F5878" s="30" t="s">
        <v>2009</v>
      </c>
      <c r="H5878" s="30" t="s">
        <v>2010</v>
      </c>
      <c r="J5878" s="30" t="s">
        <v>2013</v>
      </c>
      <c r="L5878" s="30" t="s">
        <v>1020</v>
      </c>
      <c r="N5878" s="30" t="s">
        <v>1026</v>
      </c>
      <c r="P5878" s="30" t="s">
        <v>2602</v>
      </c>
      <c r="Q5878" t="s">
        <v>735</v>
      </c>
      <c r="R5878" t="s">
        <v>920</v>
      </c>
      <c r="S5878">
        <v>36</v>
      </c>
      <c r="T5878" s="29" t="str">
        <f t="shared" si="272"/>
        <v>2020.016D.R.Smacoviridae_6ngen_42nsp.zip</v>
      </c>
      <c r="U5878" s="29" t="str">
        <f>HYPERLINK("https://ictv.global/taxonomy/taxondetails?taxnode_id=202305987","ictv.global=202305987")</f>
        <v>ictv.global=202305987</v>
      </c>
    </row>
    <row r="5879" spans="1:21">
      <c r="A5879">
        <v>5878</v>
      </c>
      <c r="B5879" s="30" t="s">
        <v>1956</v>
      </c>
      <c r="D5879" s="30" t="s">
        <v>1985</v>
      </c>
      <c r="F5879" s="30" t="s">
        <v>2009</v>
      </c>
      <c r="H5879" s="30" t="s">
        <v>2010</v>
      </c>
      <c r="J5879" s="30" t="s">
        <v>2013</v>
      </c>
      <c r="L5879" s="30" t="s">
        <v>1020</v>
      </c>
      <c r="N5879" s="30" t="s">
        <v>1026</v>
      </c>
      <c r="P5879" s="30" t="s">
        <v>2603</v>
      </c>
      <c r="Q5879" t="s">
        <v>735</v>
      </c>
      <c r="R5879" t="s">
        <v>920</v>
      </c>
      <c r="S5879">
        <v>36</v>
      </c>
      <c r="T5879" s="29" t="str">
        <f t="shared" si="272"/>
        <v>2020.016D.R.Smacoviridae_6ngen_42nsp.zip</v>
      </c>
      <c r="U5879" s="29" t="str">
        <f>HYPERLINK("https://ictv.global/taxonomy/taxondetails?taxnode_id=202305988","ictv.global=202305988")</f>
        <v>ictv.global=202305988</v>
      </c>
    </row>
    <row r="5880" spans="1:21">
      <c r="A5880">
        <v>5879</v>
      </c>
      <c r="B5880" s="30" t="s">
        <v>1956</v>
      </c>
      <c r="D5880" s="30" t="s">
        <v>1985</v>
      </c>
      <c r="F5880" s="30" t="s">
        <v>2009</v>
      </c>
      <c r="H5880" s="30" t="s">
        <v>2010</v>
      </c>
      <c r="J5880" s="30" t="s">
        <v>2013</v>
      </c>
      <c r="L5880" s="30" t="s">
        <v>1020</v>
      </c>
      <c r="N5880" s="30" t="s">
        <v>1026</v>
      </c>
      <c r="P5880" s="30" t="s">
        <v>2604</v>
      </c>
      <c r="Q5880" t="s">
        <v>735</v>
      </c>
      <c r="R5880" t="s">
        <v>920</v>
      </c>
      <c r="S5880">
        <v>36</v>
      </c>
      <c r="T5880" s="29" t="str">
        <f t="shared" si="272"/>
        <v>2020.016D.R.Smacoviridae_6ngen_42nsp.zip</v>
      </c>
      <c r="U5880" s="29" t="str">
        <f>HYPERLINK("https://ictv.global/taxonomy/taxondetails?taxnode_id=202305989","ictv.global=202305989")</f>
        <v>ictv.global=202305989</v>
      </c>
    </row>
    <row r="5881" spans="1:21">
      <c r="A5881">
        <v>5880</v>
      </c>
      <c r="B5881" s="30" t="s">
        <v>1956</v>
      </c>
      <c r="D5881" s="30" t="s">
        <v>1985</v>
      </c>
      <c r="F5881" s="30" t="s">
        <v>2009</v>
      </c>
      <c r="H5881" s="30" t="s">
        <v>2010</v>
      </c>
      <c r="J5881" s="30" t="s">
        <v>2013</v>
      </c>
      <c r="L5881" s="30" t="s">
        <v>1020</v>
      </c>
      <c r="N5881" s="30" t="s">
        <v>1026</v>
      </c>
      <c r="P5881" s="30" t="s">
        <v>2605</v>
      </c>
      <c r="Q5881" t="s">
        <v>735</v>
      </c>
      <c r="R5881" t="s">
        <v>920</v>
      </c>
      <c r="S5881">
        <v>36</v>
      </c>
      <c r="T5881" s="29" t="str">
        <f t="shared" si="272"/>
        <v>2020.016D.R.Smacoviridae_6ngen_42nsp.zip</v>
      </c>
      <c r="U5881" s="29" t="str">
        <f>HYPERLINK("https://ictv.global/taxonomy/taxondetails?taxnode_id=202305990","ictv.global=202305990")</f>
        <v>ictv.global=202305990</v>
      </c>
    </row>
    <row r="5882" spans="1:21">
      <c r="A5882">
        <v>5881</v>
      </c>
      <c r="B5882" s="30" t="s">
        <v>1956</v>
      </c>
      <c r="D5882" s="30" t="s">
        <v>1985</v>
      </c>
      <c r="F5882" s="30" t="s">
        <v>2009</v>
      </c>
      <c r="H5882" s="30" t="s">
        <v>2010</v>
      </c>
      <c r="J5882" s="30" t="s">
        <v>2013</v>
      </c>
      <c r="L5882" s="30" t="s">
        <v>1020</v>
      </c>
      <c r="N5882" s="30" t="s">
        <v>1026</v>
      </c>
      <c r="P5882" s="30" t="s">
        <v>12847</v>
      </c>
      <c r="Q5882" t="s">
        <v>735</v>
      </c>
      <c r="R5882" t="s">
        <v>917</v>
      </c>
      <c r="S5882">
        <v>39</v>
      </c>
      <c r="T5882" s="29" t="str">
        <f>HYPERLINK("https://ictv.global/ictv/proposals/2023.011D.Smacoviridae_59nsp.zip","2023.011D.Smacoviridae_59nsp.zip")</f>
        <v>2023.011D.Smacoviridae_59nsp.zip</v>
      </c>
      <c r="U5882" s="29" t="str">
        <f>HYPERLINK("https://ictv.global/taxonomy/taxondetails?taxnode_id=202318018","ictv.global=202318018")</f>
        <v>ictv.global=202318018</v>
      </c>
    </row>
    <row r="5883" spans="1:21">
      <c r="A5883">
        <v>5882</v>
      </c>
      <c r="B5883" s="30" t="s">
        <v>1956</v>
      </c>
      <c r="D5883" s="30" t="s">
        <v>1985</v>
      </c>
      <c r="F5883" s="30" t="s">
        <v>2009</v>
      </c>
      <c r="H5883" s="30" t="s">
        <v>2010</v>
      </c>
      <c r="J5883" s="30" t="s">
        <v>2013</v>
      </c>
      <c r="L5883" s="30" t="s">
        <v>1020</v>
      </c>
      <c r="N5883" s="30" t="s">
        <v>1026</v>
      </c>
      <c r="P5883" s="30" t="s">
        <v>2606</v>
      </c>
      <c r="Q5883" t="s">
        <v>735</v>
      </c>
      <c r="R5883" t="s">
        <v>920</v>
      </c>
      <c r="S5883">
        <v>36</v>
      </c>
      <c r="T5883" s="29" t="str">
        <f>HYPERLINK("https://ictv.global/ictv/proposals/2020.016D.R.Smacoviridae_6ngen_42nsp.zip","2020.016D.R.Smacoviridae_6ngen_42nsp.zip")</f>
        <v>2020.016D.R.Smacoviridae_6ngen_42nsp.zip</v>
      </c>
      <c r="U5883" s="29" t="str">
        <f>HYPERLINK("https://ictv.global/taxonomy/taxondetails?taxnode_id=202305991","ictv.global=202305991")</f>
        <v>ictv.global=202305991</v>
      </c>
    </row>
    <row r="5884" spans="1:21">
      <c r="A5884">
        <v>5883</v>
      </c>
      <c r="B5884" s="30" t="s">
        <v>1956</v>
      </c>
      <c r="D5884" s="30" t="s">
        <v>1985</v>
      </c>
      <c r="F5884" s="30" t="s">
        <v>2009</v>
      </c>
      <c r="H5884" s="30" t="s">
        <v>2010</v>
      </c>
      <c r="J5884" s="30" t="s">
        <v>2013</v>
      </c>
      <c r="L5884" s="30" t="s">
        <v>1020</v>
      </c>
      <c r="N5884" s="30" t="s">
        <v>2607</v>
      </c>
      <c r="P5884" s="30" t="s">
        <v>2608</v>
      </c>
      <c r="Q5884" t="s">
        <v>735</v>
      </c>
      <c r="R5884" t="s">
        <v>917</v>
      </c>
      <c r="S5884">
        <v>36</v>
      </c>
      <c r="T5884" s="29" t="str">
        <f>HYPERLINK("https://ictv.global/ictv/proposals/2020.016D.R.Smacoviridae_6ngen_42nsp.zip","2020.016D.R.Smacoviridae_6ngen_42nsp.zip")</f>
        <v>2020.016D.R.Smacoviridae_6ngen_42nsp.zip</v>
      </c>
      <c r="U5884" s="29" t="str">
        <f>HYPERLINK("https://ictv.global/taxonomy/taxondetails?taxnode_id=202309501","ictv.global=202309501")</f>
        <v>ictv.global=202309501</v>
      </c>
    </row>
    <row r="5885" spans="1:21">
      <c r="A5885">
        <v>5884</v>
      </c>
      <c r="B5885" s="30" t="s">
        <v>1956</v>
      </c>
      <c r="D5885" s="30" t="s">
        <v>1985</v>
      </c>
      <c r="F5885" s="30" t="s">
        <v>2009</v>
      </c>
      <c r="H5885" s="30" t="s">
        <v>2010</v>
      </c>
      <c r="J5885" s="30" t="s">
        <v>2013</v>
      </c>
      <c r="L5885" s="30" t="s">
        <v>1020</v>
      </c>
      <c r="N5885" s="30" t="s">
        <v>2607</v>
      </c>
      <c r="P5885" s="30" t="s">
        <v>2609</v>
      </c>
      <c r="Q5885" t="s">
        <v>735</v>
      </c>
      <c r="R5885" t="s">
        <v>917</v>
      </c>
      <c r="S5885">
        <v>36</v>
      </c>
      <c r="T5885" s="29" t="str">
        <f>HYPERLINK("https://ictv.global/ictv/proposals/2020.016D.R.Smacoviridae_6ngen_42nsp.zip","2020.016D.R.Smacoviridae_6ngen_42nsp.zip")</f>
        <v>2020.016D.R.Smacoviridae_6ngen_42nsp.zip</v>
      </c>
      <c r="U5885" s="29" t="str">
        <f>HYPERLINK("https://ictv.global/taxonomy/taxondetails?taxnode_id=202309502","ictv.global=202309502")</f>
        <v>ictv.global=202309502</v>
      </c>
    </row>
    <row r="5886" spans="1:21">
      <c r="A5886">
        <v>5885</v>
      </c>
      <c r="B5886" s="30" t="s">
        <v>1956</v>
      </c>
      <c r="D5886" s="30" t="s">
        <v>1985</v>
      </c>
      <c r="F5886" s="30" t="s">
        <v>2009</v>
      </c>
      <c r="H5886" s="30" t="s">
        <v>2010</v>
      </c>
      <c r="J5886" s="30" t="s">
        <v>12848</v>
      </c>
      <c r="L5886" s="30" t="s">
        <v>12849</v>
      </c>
      <c r="N5886" s="30" t="s">
        <v>12850</v>
      </c>
      <c r="P5886" s="30" t="s">
        <v>12851</v>
      </c>
      <c r="Q5886" t="s">
        <v>735</v>
      </c>
      <c r="R5886" t="s">
        <v>917</v>
      </c>
      <c r="S5886">
        <v>39</v>
      </c>
      <c r="T5886" s="29" t="str">
        <f t="shared" ref="T5886:T5917" si="273">HYPERLINK("https://ictv.global/ictv/proposals/2023.024D.Gredzevirales_1no_1nf_38ng_58nsp.zip","2023.024D.Gredzevirales_1no_1nf_38ng_58nsp.zip")</f>
        <v>2023.024D.Gredzevirales_1no_1nf_38ng_58nsp.zip</v>
      </c>
      <c r="U5886" s="29" t="str">
        <f>HYPERLINK("https://ictv.global/taxonomy/taxondetails?taxnode_id=202318843","ictv.global=202318843")</f>
        <v>ictv.global=202318843</v>
      </c>
    </row>
    <row r="5887" spans="1:21">
      <c r="A5887">
        <v>5886</v>
      </c>
      <c r="B5887" s="30" t="s">
        <v>1956</v>
      </c>
      <c r="D5887" s="30" t="s">
        <v>1985</v>
      </c>
      <c r="F5887" s="30" t="s">
        <v>2009</v>
      </c>
      <c r="H5887" s="30" t="s">
        <v>2010</v>
      </c>
      <c r="J5887" s="30" t="s">
        <v>12848</v>
      </c>
      <c r="L5887" s="30" t="s">
        <v>12849</v>
      </c>
      <c r="N5887" s="30" t="s">
        <v>12852</v>
      </c>
      <c r="P5887" s="30" t="s">
        <v>12853</v>
      </c>
      <c r="Q5887" t="s">
        <v>735</v>
      </c>
      <c r="R5887" t="s">
        <v>917</v>
      </c>
      <c r="S5887">
        <v>39</v>
      </c>
      <c r="T5887" s="29" t="str">
        <f t="shared" si="273"/>
        <v>2023.024D.Gredzevirales_1no_1nf_38ng_58nsp.zip</v>
      </c>
      <c r="U5887" s="29" t="str">
        <f>HYPERLINK("https://ictv.global/taxonomy/taxondetails?taxnode_id=202318841","ictv.global=202318841")</f>
        <v>ictv.global=202318841</v>
      </c>
    </row>
    <row r="5888" spans="1:21">
      <c r="A5888">
        <v>5887</v>
      </c>
      <c r="B5888" s="30" t="s">
        <v>1956</v>
      </c>
      <c r="D5888" s="30" t="s">
        <v>1985</v>
      </c>
      <c r="F5888" s="30" t="s">
        <v>2009</v>
      </c>
      <c r="H5888" s="30" t="s">
        <v>2010</v>
      </c>
      <c r="J5888" s="30" t="s">
        <v>12848</v>
      </c>
      <c r="L5888" s="30" t="s">
        <v>12849</v>
      </c>
      <c r="N5888" s="30" t="s">
        <v>12854</v>
      </c>
      <c r="P5888" s="30" t="s">
        <v>12855</v>
      </c>
      <c r="Q5888" t="s">
        <v>735</v>
      </c>
      <c r="R5888" t="s">
        <v>917</v>
      </c>
      <c r="S5888">
        <v>39</v>
      </c>
      <c r="T5888" s="29" t="str">
        <f t="shared" si="273"/>
        <v>2023.024D.Gredzevirales_1no_1nf_38ng_58nsp.zip</v>
      </c>
      <c r="U5888" s="29" t="str">
        <f>HYPERLINK("https://ictv.global/taxonomy/taxondetails?taxnode_id=202318840","ictv.global=202318840")</f>
        <v>ictv.global=202318840</v>
      </c>
    </row>
    <row r="5889" spans="1:21">
      <c r="A5889">
        <v>5888</v>
      </c>
      <c r="B5889" s="30" t="s">
        <v>1956</v>
      </c>
      <c r="D5889" s="30" t="s">
        <v>1985</v>
      </c>
      <c r="F5889" s="30" t="s">
        <v>2009</v>
      </c>
      <c r="H5889" s="30" t="s">
        <v>2010</v>
      </c>
      <c r="J5889" s="30" t="s">
        <v>12848</v>
      </c>
      <c r="L5889" s="30" t="s">
        <v>12849</v>
      </c>
      <c r="N5889" s="30" t="s">
        <v>12856</v>
      </c>
      <c r="P5889" s="30" t="s">
        <v>12857</v>
      </c>
      <c r="Q5889" t="s">
        <v>735</v>
      </c>
      <c r="R5889" t="s">
        <v>917</v>
      </c>
      <c r="S5889">
        <v>39</v>
      </c>
      <c r="T5889" s="29" t="str">
        <f t="shared" si="273"/>
        <v>2023.024D.Gredzevirales_1no_1nf_38ng_58nsp.zip</v>
      </c>
      <c r="U5889" s="29" t="str">
        <f>HYPERLINK("https://ictv.global/taxonomy/taxondetails?taxnode_id=202318842","ictv.global=202318842")</f>
        <v>ictv.global=202318842</v>
      </c>
    </row>
    <row r="5890" spans="1:21">
      <c r="A5890">
        <v>5889</v>
      </c>
      <c r="B5890" s="30" t="s">
        <v>1956</v>
      </c>
      <c r="D5890" s="30" t="s">
        <v>1985</v>
      </c>
      <c r="F5890" s="30" t="s">
        <v>2009</v>
      </c>
      <c r="H5890" s="30" t="s">
        <v>2010</v>
      </c>
      <c r="J5890" s="30" t="s">
        <v>12848</v>
      </c>
      <c r="L5890" s="30" t="s">
        <v>12849</v>
      </c>
      <c r="N5890" s="30" t="s">
        <v>12858</v>
      </c>
      <c r="P5890" s="30" t="s">
        <v>12859</v>
      </c>
      <c r="Q5890" t="s">
        <v>735</v>
      </c>
      <c r="R5890" t="s">
        <v>917</v>
      </c>
      <c r="S5890">
        <v>39</v>
      </c>
      <c r="T5890" s="29" t="str">
        <f t="shared" si="273"/>
        <v>2023.024D.Gredzevirales_1no_1nf_38ng_58nsp.zip</v>
      </c>
      <c r="U5890" s="29" t="str">
        <f>HYPERLINK("https://ictv.global/taxonomy/taxondetails?taxnode_id=202318839","ictv.global=202318839")</f>
        <v>ictv.global=202318839</v>
      </c>
    </row>
    <row r="5891" spans="1:21">
      <c r="A5891">
        <v>5890</v>
      </c>
      <c r="B5891" s="30" t="s">
        <v>1956</v>
      </c>
      <c r="D5891" s="30" t="s">
        <v>1985</v>
      </c>
      <c r="F5891" s="30" t="s">
        <v>2009</v>
      </c>
      <c r="H5891" s="30" t="s">
        <v>2010</v>
      </c>
      <c r="J5891" s="30" t="s">
        <v>12848</v>
      </c>
      <c r="L5891" s="30" t="s">
        <v>12849</v>
      </c>
      <c r="N5891" s="30" t="s">
        <v>12860</v>
      </c>
      <c r="P5891" s="30" t="s">
        <v>12861</v>
      </c>
      <c r="Q5891" t="s">
        <v>735</v>
      </c>
      <c r="R5891" t="s">
        <v>917</v>
      </c>
      <c r="S5891">
        <v>39</v>
      </c>
      <c r="T5891" s="29" t="str">
        <f t="shared" si="273"/>
        <v>2023.024D.Gredzevirales_1no_1nf_38ng_58nsp.zip</v>
      </c>
      <c r="U5891" s="29" t="str">
        <f>HYPERLINK("https://ictv.global/taxonomy/taxondetails?taxnode_id=202318846","ictv.global=202318846")</f>
        <v>ictv.global=202318846</v>
      </c>
    </row>
    <row r="5892" spans="1:21">
      <c r="A5892">
        <v>5891</v>
      </c>
      <c r="B5892" s="30" t="s">
        <v>1956</v>
      </c>
      <c r="D5892" s="30" t="s">
        <v>1985</v>
      </c>
      <c r="F5892" s="30" t="s">
        <v>2009</v>
      </c>
      <c r="H5892" s="30" t="s">
        <v>2010</v>
      </c>
      <c r="J5892" s="30" t="s">
        <v>12848</v>
      </c>
      <c r="L5892" s="30" t="s">
        <v>12849</v>
      </c>
      <c r="N5892" s="30" t="s">
        <v>12862</v>
      </c>
      <c r="P5892" s="30" t="s">
        <v>12863</v>
      </c>
      <c r="Q5892" t="s">
        <v>735</v>
      </c>
      <c r="R5892" t="s">
        <v>917</v>
      </c>
      <c r="S5892">
        <v>39</v>
      </c>
      <c r="T5892" s="29" t="str">
        <f t="shared" si="273"/>
        <v>2023.024D.Gredzevirales_1no_1nf_38ng_58nsp.zip</v>
      </c>
      <c r="U5892" s="29" t="str">
        <f>HYPERLINK("https://ictv.global/taxonomy/taxondetails?taxnode_id=202318845","ictv.global=202318845")</f>
        <v>ictv.global=202318845</v>
      </c>
    </row>
    <row r="5893" spans="1:21">
      <c r="A5893">
        <v>5892</v>
      </c>
      <c r="B5893" s="30" t="s">
        <v>1956</v>
      </c>
      <c r="D5893" s="30" t="s">
        <v>1985</v>
      </c>
      <c r="F5893" s="30" t="s">
        <v>2009</v>
      </c>
      <c r="H5893" s="30" t="s">
        <v>2010</v>
      </c>
      <c r="J5893" s="30" t="s">
        <v>12848</v>
      </c>
      <c r="L5893" s="30" t="s">
        <v>12849</v>
      </c>
      <c r="N5893" s="30" t="s">
        <v>12864</v>
      </c>
      <c r="P5893" s="30" t="s">
        <v>12865</v>
      </c>
      <c r="Q5893" t="s">
        <v>735</v>
      </c>
      <c r="R5893" t="s">
        <v>917</v>
      </c>
      <c r="S5893">
        <v>39</v>
      </c>
      <c r="T5893" s="29" t="str">
        <f t="shared" si="273"/>
        <v>2023.024D.Gredzevirales_1no_1nf_38ng_58nsp.zip</v>
      </c>
      <c r="U5893" s="29" t="str">
        <f>HYPERLINK("https://ictv.global/taxonomy/taxondetails?taxnode_id=202318844","ictv.global=202318844")</f>
        <v>ictv.global=202318844</v>
      </c>
    </row>
    <row r="5894" spans="1:21">
      <c r="A5894">
        <v>5893</v>
      </c>
      <c r="B5894" s="30" t="s">
        <v>1956</v>
      </c>
      <c r="D5894" s="30" t="s">
        <v>1985</v>
      </c>
      <c r="F5894" s="30" t="s">
        <v>2009</v>
      </c>
      <c r="H5894" s="30" t="s">
        <v>2010</v>
      </c>
      <c r="J5894" s="30" t="s">
        <v>12848</v>
      </c>
      <c r="L5894" s="30" t="s">
        <v>12866</v>
      </c>
      <c r="N5894" s="30" t="s">
        <v>12867</v>
      </c>
      <c r="P5894" s="30" t="s">
        <v>12868</v>
      </c>
      <c r="Q5894" t="s">
        <v>735</v>
      </c>
      <c r="R5894" t="s">
        <v>917</v>
      </c>
      <c r="S5894">
        <v>39</v>
      </c>
      <c r="T5894" s="29" t="str">
        <f t="shared" si="273"/>
        <v>2023.024D.Gredzevirales_1no_1nf_38ng_58nsp.zip</v>
      </c>
      <c r="U5894" s="29" t="str">
        <f>HYPERLINK("https://ictv.global/taxonomy/taxondetails?taxnode_id=202318827","ictv.global=202318827")</f>
        <v>ictv.global=202318827</v>
      </c>
    </row>
    <row r="5895" spans="1:21">
      <c r="A5895">
        <v>5894</v>
      </c>
      <c r="B5895" s="30" t="s">
        <v>1956</v>
      </c>
      <c r="D5895" s="30" t="s">
        <v>1985</v>
      </c>
      <c r="F5895" s="30" t="s">
        <v>2009</v>
      </c>
      <c r="H5895" s="30" t="s">
        <v>2010</v>
      </c>
      <c r="J5895" s="30" t="s">
        <v>12848</v>
      </c>
      <c r="L5895" s="30" t="s">
        <v>12866</v>
      </c>
      <c r="N5895" s="30" t="s">
        <v>12867</v>
      </c>
      <c r="P5895" s="30" t="s">
        <v>12869</v>
      </c>
      <c r="Q5895" t="s">
        <v>735</v>
      </c>
      <c r="R5895" t="s">
        <v>917</v>
      </c>
      <c r="S5895">
        <v>39</v>
      </c>
      <c r="T5895" s="29" t="str">
        <f t="shared" si="273"/>
        <v>2023.024D.Gredzevirales_1no_1nf_38ng_58nsp.zip</v>
      </c>
      <c r="U5895" s="29" t="str">
        <f>HYPERLINK("https://ictv.global/taxonomy/taxondetails?taxnode_id=202318826","ictv.global=202318826")</f>
        <v>ictv.global=202318826</v>
      </c>
    </row>
    <row r="5896" spans="1:21">
      <c r="A5896">
        <v>5895</v>
      </c>
      <c r="B5896" s="30" t="s">
        <v>1956</v>
      </c>
      <c r="D5896" s="30" t="s">
        <v>1985</v>
      </c>
      <c r="F5896" s="30" t="s">
        <v>2009</v>
      </c>
      <c r="H5896" s="30" t="s">
        <v>2010</v>
      </c>
      <c r="J5896" s="30" t="s">
        <v>12848</v>
      </c>
      <c r="L5896" s="30" t="s">
        <v>12866</v>
      </c>
      <c r="N5896" s="30" t="s">
        <v>12867</v>
      </c>
      <c r="P5896" s="30" t="s">
        <v>12870</v>
      </c>
      <c r="Q5896" t="s">
        <v>735</v>
      </c>
      <c r="R5896" t="s">
        <v>917</v>
      </c>
      <c r="S5896">
        <v>39</v>
      </c>
      <c r="T5896" s="29" t="str">
        <f t="shared" si="273"/>
        <v>2023.024D.Gredzevirales_1no_1nf_38ng_58nsp.zip</v>
      </c>
      <c r="U5896" s="29" t="str">
        <f>HYPERLINK("https://ictv.global/taxonomy/taxondetails?taxnode_id=202318825","ictv.global=202318825")</f>
        <v>ictv.global=202318825</v>
      </c>
    </row>
    <row r="5897" spans="1:21">
      <c r="A5897">
        <v>5896</v>
      </c>
      <c r="B5897" s="30" t="s">
        <v>1956</v>
      </c>
      <c r="D5897" s="30" t="s">
        <v>1985</v>
      </c>
      <c r="F5897" s="30" t="s">
        <v>2009</v>
      </c>
      <c r="H5897" s="30" t="s">
        <v>2010</v>
      </c>
      <c r="J5897" s="30" t="s">
        <v>12848</v>
      </c>
      <c r="L5897" s="30" t="s">
        <v>12866</v>
      </c>
      <c r="N5897" s="30" t="s">
        <v>12871</v>
      </c>
      <c r="P5897" s="30" t="s">
        <v>12872</v>
      </c>
      <c r="Q5897" t="s">
        <v>735</v>
      </c>
      <c r="R5897" t="s">
        <v>917</v>
      </c>
      <c r="S5897">
        <v>39</v>
      </c>
      <c r="T5897" s="29" t="str">
        <f t="shared" si="273"/>
        <v>2023.024D.Gredzevirales_1no_1nf_38ng_58nsp.zip</v>
      </c>
      <c r="U5897" s="29" t="str">
        <f>HYPERLINK("https://ictv.global/taxonomy/taxondetails?taxnode_id=202318789","ictv.global=202318789")</f>
        <v>ictv.global=202318789</v>
      </c>
    </row>
    <row r="5898" spans="1:21">
      <c r="A5898">
        <v>5897</v>
      </c>
      <c r="B5898" s="30" t="s">
        <v>1956</v>
      </c>
      <c r="D5898" s="30" t="s">
        <v>1985</v>
      </c>
      <c r="F5898" s="30" t="s">
        <v>2009</v>
      </c>
      <c r="H5898" s="30" t="s">
        <v>2010</v>
      </c>
      <c r="J5898" s="30" t="s">
        <v>12848</v>
      </c>
      <c r="L5898" s="30" t="s">
        <v>12866</v>
      </c>
      <c r="N5898" s="30" t="s">
        <v>12871</v>
      </c>
      <c r="P5898" s="30" t="s">
        <v>12873</v>
      </c>
      <c r="Q5898" t="s">
        <v>735</v>
      </c>
      <c r="R5898" t="s">
        <v>917</v>
      </c>
      <c r="S5898">
        <v>39</v>
      </c>
      <c r="T5898" s="29" t="str">
        <f t="shared" si="273"/>
        <v>2023.024D.Gredzevirales_1no_1nf_38ng_58nsp.zip</v>
      </c>
      <c r="U5898" s="29" t="str">
        <f>HYPERLINK("https://ictv.global/taxonomy/taxondetails?taxnode_id=202318790","ictv.global=202318790")</f>
        <v>ictv.global=202318790</v>
      </c>
    </row>
    <row r="5899" spans="1:21">
      <c r="A5899">
        <v>5898</v>
      </c>
      <c r="B5899" s="30" t="s">
        <v>1956</v>
      </c>
      <c r="D5899" s="30" t="s">
        <v>1985</v>
      </c>
      <c r="F5899" s="30" t="s">
        <v>2009</v>
      </c>
      <c r="H5899" s="30" t="s">
        <v>2010</v>
      </c>
      <c r="J5899" s="30" t="s">
        <v>12848</v>
      </c>
      <c r="L5899" s="30" t="s">
        <v>12866</v>
      </c>
      <c r="N5899" s="30" t="s">
        <v>12874</v>
      </c>
      <c r="P5899" s="30" t="s">
        <v>12875</v>
      </c>
      <c r="Q5899" t="s">
        <v>735</v>
      </c>
      <c r="R5899" t="s">
        <v>917</v>
      </c>
      <c r="S5899">
        <v>39</v>
      </c>
      <c r="T5899" s="29" t="str">
        <f t="shared" si="273"/>
        <v>2023.024D.Gredzevirales_1no_1nf_38ng_58nsp.zip</v>
      </c>
      <c r="U5899" s="29" t="str">
        <f>HYPERLINK("https://ictv.global/taxonomy/taxondetails?taxnode_id=202318804","ictv.global=202318804")</f>
        <v>ictv.global=202318804</v>
      </c>
    </row>
    <row r="5900" spans="1:21">
      <c r="A5900">
        <v>5899</v>
      </c>
      <c r="B5900" s="30" t="s">
        <v>1956</v>
      </c>
      <c r="D5900" s="30" t="s">
        <v>1985</v>
      </c>
      <c r="F5900" s="30" t="s">
        <v>2009</v>
      </c>
      <c r="H5900" s="30" t="s">
        <v>2010</v>
      </c>
      <c r="J5900" s="30" t="s">
        <v>12848</v>
      </c>
      <c r="L5900" s="30" t="s">
        <v>12866</v>
      </c>
      <c r="N5900" s="30" t="s">
        <v>12874</v>
      </c>
      <c r="P5900" s="30" t="s">
        <v>12876</v>
      </c>
      <c r="Q5900" t="s">
        <v>735</v>
      </c>
      <c r="R5900" t="s">
        <v>917</v>
      </c>
      <c r="S5900">
        <v>39</v>
      </c>
      <c r="T5900" s="29" t="str">
        <f t="shared" si="273"/>
        <v>2023.024D.Gredzevirales_1no_1nf_38ng_58nsp.zip</v>
      </c>
      <c r="U5900" s="29" t="str">
        <f>HYPERLINK("https://ictv.global/taxonomy/taxondetails?taxnode_id=202318803","ictv.global=202318803")</f>
        <v>ictv.global=202318803</v>
      </c>
    </row>
    <row r="5901" spans="1:21">
      <c r="A5901">
        <v>5900</v>
      </c>
      <c r="B5901" s="30" t="s">
        <v>1956</v>
      </c>
      <c r="D5901" s="30" t="s">
        <v>1985</v>
      </c>
      <c r="F5901" s="30" t="s">
        <v>2009</v>
      </c>
      <c r="H5901" s="30" t="s">
        <v>2010</v>
      </c>
      <c r="J5901" s="30" t="s">
        <v>12848</v>
      </c>
      <c r="L5901" s="30" t="s">
        <v>12866</v>
      </c>
      <c r="N5901" s="30" t="s">
        <v>12877</v>
      </c>
      <c r="P5901" s="30" t="s">
        <v>12878</v>
      </c>
      <c r="Q5901" t="s">
        <v>735</v>
      </c>
      <c r="R5901" t="s">
        <v>917</v>
      </c>
      <c r="S5901">
        <v>39</v>
      </c>
      <c r="T5901" s="29" t="str">
        <f t="shared" si="273"/>
        <v>2023.024D.Gredzevirales_1no_1nf_38ng_58nsp.zip</v>
      </c>
      <c r="U5901" s="29" t="str">
        <f>HYPERLINK("https://ictv.global/taxonomy/taxondetails?taxnode_id=202318823","ictv.global=202318823")</f>
        <v>ictv.global=202318823</v>
      </c>
    </row>
    <row r="5902" spans="1:21">
      <c r="A5902">
        <v>5901</v>
      </c>
      <c r="B5902" s="30" t="s">
        <v>1956</v>
      </c>
      <c r="D5902" s="30" t="s">
        <v>1985</v>
      </c>
      <c r="F5902" s="30" t="s">
        <v>2009</v>
      </c>
      <c r="H5902" s="30" t="s">
        <v>2010</v>
      </c>
      <c r="J5902" s="30" t="s">
        <v>12848</v>
      </c>
      <c r="L5902" s="30" t="s">
        <v>12866</v>
      </c>
      <c r="N5902" s="30" t="s">
        <v>12879</v>
      </c>
      <c r="P5902" s="30" t="s">
        <v>12880</v>
      </c>
      <c r="Q5902" t="s">
        <v>735</v>
      </c>
      <c r="R5902" t="s">
        <v>917</v>
      </c>
      <c r="S5902">
        <v>39</v>
      </c>
      <c r="T5902" s="29" t="str">
        <f t="shared" si="273"/>
        <v>2023.024D.Gredzevirales_1no_1nf_38ng_58nsp.zip</v>
      </c>
      <c r="U5902" s="29" t="str">
        <f>HYPERLINK("https://ictv.global/taxonomy/taxondetails?taxnode_id=202318800","ictv.global=202318800")</f>
        <v>ictv.global=202318800</v>
      </c>
    </row>
    <row r="5903" spans="1:21">
      <c r="A5903">
        <v>5902</v>
      </c>
      <c r="B5903" s="30" t="s">
        <v>1956</v>
      </c>
      <c r="D5903" s="30" t="s">
        <v>1985</v>
      </c>
      <c r="F5903" s="30" t="s">
        <v>2009</v>
      </c>
      <c r="H5903" s="30" t="s">
        <v>2010</v>
      </c>
      <c r="J5903" s="30" t="s">
        <v>12848</v>
      </c>
      <c r="L5903" s="30" t="s">
        <v>12866</v>
      </c>
      <c r="N5903" s="30" t="s">
        <v>12879</v>
      </c>
      <c r="P5903" s="30" t="s">
        <v>12881</v>
      </c>
      <c r="Q5903" t="s">
        <v>735</v>
      </c>
      <c r="R5903" t="s">
        <v>917</v>
      </c>
      <c r="S5903">
        <v>39</v>
      </c>
      <c r="T5903" s="29" t="str">
        <f t="shared" si="273"/>
        <v>2023.024D.Gredzevirales_1no_1nf_38ng_58nsp.zip</v>
      </c>
      <c r="U5903" s="29" t="str">
        <f>HYPERLINK("https://ictv.global/taxonomy/taxondetails?taxnode_id=202318799","ictv.global=202318799")</f>
        <v>ictv.global=202318799</v>
      </c>
    </row>
    <row r="5904" spans="1:21">
      <c r="A5904">
        <v>5903</v>
      </c>
      <c r="B5904" s="30" t="s">
        <v>1956</v>
      </c>
      <c r="D5904" s="30" t="s">
        <v>1985</v>
      </c>
      <c r="F5904" s="30" t="s">
        <v>2009</v>
      </c>
      <c r="H5904" s="30" t="s">
        <v>2010</v>
      </c>
      <c r="J5904" s="30" t="s">
        <v>12848</v>
      </c>
      <c r="L5904" s="30" t="s">
        <v>12866</v>
      </c>
      <c r="N5904" s="30" t="s">
        <v>12882</v>
      </c>
      <c r="P5904" s="30" t="s">
        <v>12883</v>
      </c>
      <c r="Q5904" t="s">
        <v>735</v>
      </c>
      <c r="R5904" t="s">
        <v>917</v>
      </c>
      <c r="S5904">
        <v>39</v>
      </c>
      <c r="T5904" s="29" t="str">
        <f t="shared" si="273"/>
        <v>2023.024D.Gredzevirales_1no_1nf_38ng_58nsp.zip</v>
      </c>
      <c r="U5904" s="29" t="str">
        <f>HYPERLINK("https://ictv.global/taxonomy/taxondetails?taxnode_id=202318801","ictv.global=202318801")</f>
        <v>ictv.global=202318801</v>
      </c>
    </row>
    <row r="5905" spans="1:21">
      <c r="A5905">
        <v>5904</v>
      </c>
      <c r="B5905" s="30" t="s">
        <v>1956</v>
      </c>
      <c r="D5905" s="30" t="s">
        <v>1985</v>
      </c>
      <c r="F5905" s="30" t="s">
        <v>2009</v>
      </c>
      <c r="H5905" s="30" t="s">
        <v>2010</v>
      </c>
      <c r="J5905" s="30" t="s">
        <v>12848</v>
      </c>
      <c r="L5905" s="30" t="s">
        <v>12866</v>
      </c>
      <c r="N5905" s="30" t="s">
        <v>12884</v>
      </c>
      <c r="P5905" s="30" t="s">
        <v>12885</v>
      </c>
      <c r="Q5905" t="s">
        <v>735</v>
      </c>
      <c r="R5905" t="s">
        <v>917</v>
      </c>
      <c r="S5905">
        <v>39</v>
      </c>
      <c r="T5905" s="29" t="str">
        <f t="shared" si="273"/>
        <v>2023.024D.Gredzevirales_1no_1nf_38ng_58nsp.zip</v>
      </c>
      <c r="U5905" s="29" t="str">
        <f>HYPERLINK("https://ictv.global/taxonomy/taxondetails?taxnode_id=202318828","ictv.global=202318828")</f>
        <v>ictv.global=202318828</v>
      </c>
    </row>
    <row r="5906" spans="1:21">
      <c r="A5906">
        <v>5905</v>
      </c>
      <c r="B5906" s="30" t="s">
        <v>1956</v>
      </c>
      <c r="D5906" s="30" t="s">
        <v>1985</v>
      </c>
      <c r="F5906" s="30" t="s">
        <v>2009</v>
      </c>
      <c r="H5906" s="30" t="s">
        <v>2010</v>
      </c>
      <c r="J5906" s="30" t="s">
        <v>12848</v>
      </c>
      <c r="L5906" s="30" t="s">
        <v>12866</v>
      </c>
      <c r="N5906" s="30" t="s">
        <v>12886</v>
      </c>
      <c r="P5906" s="30" t="s">
        <v>12887</v>
      </c>
      <c r="Q5906" t="s">
        <v>735</v>
      </c>
      <c r="R5906" t="s">
        <v>917</v>
      </c>
      <c r="S5906">
        <v>39</v>
      </c>
      <c r="T5906" s="29" t="str">
        <f t="shared" si="273"/>
        <v>2023.024D.Gredzevirales_1no_1nf_38ng_58nsp.zip</v>
      </c>
      <c r="U5906" s="29" t="str">
        <f>HYPERLINK("https://ictv.global/taxonomy/taxondetails?taxnode_id=202318829","ictv.global=202318829")</f>
        <v>ictv.global=202318829</v>
      </c>
    </row>
    <row r="5907" spans="1:21">
      <c r="A5907">
        <v>5906</v>
      </c>
      <c r="B5907" s="30" t="s">
        <v>1956</v>
      </c>
      <c r="D5907" s="30" t="s">
        <v>1985</v>
      </c>
      <c r="F5907" s="30" t="s">
        <v>2009</v>
      </c>
      <c r="H5907" s="30" t="s">
        <v>2010</v>
      </c>
      <c r="J5907" s="30" t="s">
        <v>12848</v>
      </c>
      <c r="L5907" s="30" t="s">
        <v>12866</v>
      </c>
      <c r="N5907" s="30" t="s">
        <v>12888</v>
      </c>
      <c r="P5907" s="30" t="s">
        <v>12889</v>
      </c>
      <c r="Q5907" t="s">
        <v>735</v>
      </c>
      <c r="R5907" t="s">
        <v>917</v>
      </c>
      <c r="S5907">
        <v>39</v>
      </c>
      <c r="T5907" s="29" t="str">
        <f t="shared" si="273"/>
        <v>2023.024D.Gredzevirales_1no_1nf_38ng_58nsp.zip</v>
      </c>
      <c r="U5907" s="29" t="str">
        <f>HYPERLINK("https://ictv.global/taxonomy/taxondetails?taxnode_id=202318837","ictv.global=202318837")</f>
        <v>ictv.global=202318837</v>
      </c>
    </row>
    <row r="5908" spans="1:21">
      <c r="A5908">
        <v>5907</v>
      </c>
      <c r="B5908" s="30" t="s">
        <v>1956</v>
      </c>
      <c r="D5908" s="30" t="s">
        <v>1985</v>
      </c>
      <c r="F5908" s="30" t="s">
        <v>2009</v>
      </c>
      <c r="H5908" s="30" t="s">
        <v>2010</v>
      </c>
      <c r="J5908" s="30" t="s">
        <v>12848</v>
      </c>
      <c r="L5908" s="30" t="s">
        <v>12866</v>
      </c>
      <c r="N5908" s="30" t="s">
        <v>12888</v>
      </c>
      <c r="P5908" s="30" t="s">
        <v>12890</v>
      </c>
      <c r="Q5908" t="s">
        <v>735</v>
      </c>
      <c r="R5908" t="s">
        <v>917</v>
      </c>
      <c r="S5908">
        <v>39</v>
      </c>
      <c r="T5908" s="29" t="str">
        <f t="shared" si="273"/>
        <v>2023.024D.Gredzevirales_1no_1nf_38ng_58nsp.zip</v>
      </c>
      <c r="U5908" s="29" t="str">
        <f>HYPERLINK("https://ictv.global/taxonomy/taxondetails?taxnode_id=202318836","ictv.global=202318836")</f>
        <v>ictv.global=202318836</v>
      </c>
    </row>
    <row r="5909" spans="1:21">
      <c r="A5909">
        <v>5908</v>
      </c>
      <c r="B5909" s="30" t="s">
        <v>1956</v>
      </c>
      <c r="D5909" s="30" t="s">
        <v>1985</v>
      </c>
      <c r="F5909" s="30" t="s">
        <v>2009</v>
      </c>
      <c r="H5909" s="30" t="s">
        <v>2010</v>
      </c>
      <c r="J5909" s="30" t="s">
        <v>12848</v>
      </c>
      <c r="L5909" s="30" t="s">
        <v>12866</v>
      </c>
      <c r="N5909" s="30" t="s">
        <v>12888</v>
      </c>
      <c r="P5909" s="30" t="s">
        <v>12891</v>
      </c>
      <c r="Q5909" t="s">
        <v>735</v>
      </c>
      <c r="R5909" t="s">
        <v>917</v>
      </c>
      <c r="S5909">
        <v>39</v>
      </c>
      <c r="T5909" s="29" t="str">
        <f t="shared" si="273"/>
        <v>2023.024D.Gredzevirales_1no_1nf_38ng_58nsp.zip</v>
      </c>
      <c r="U5909" s="29" t="str">
        <f>HYPERLINK("https://ictv.global/taxonomy/taxondetails?taxnode_id=202318835","ictv.global=202318835")</f>
        <v>ictv.global=202318835</v>
      </c>
    </row>
    <row r="5910" spans="1:21">
      <c r="A5910">
        <v>5909</v>
      </c>
      <c r="B5910" s="30" t="s">
        <v>1956</v>
      </c>
      <c r="D5910" s="30" t="s">
        <v>1985</v>
      </c>
      <c r="F5910" s="30" t="s">
        <v>2009</v>
      </c>
      <c r="H5910" s="30" t="s">
        <v>2010</v>
      </c>
      <c r="J5910" s="30" t="s">
        <v>12848</v>
      </c>
      <c r="L5910" s="30" t="s">
        <v>12866</v>
      </c>
      <c r="N5910" s="30" t="s">
        <v>12892</v>
      </c>
      <c r="P5910" s="30" t="s">
        <v>12893</v>
      </c>
      <c r="Q5910" t="s">
        <v>735</v>
      </c>
      <c r="R5910" t="s">
        <v>917</v>
      </c>
      <c r="S5910">
        <v>39</v>
      </c>
      <c r="T5910" s="29" t="str">
        <f t="shared" si="273"/>
        <v>2023.024D.Gredzevirales_1no_1nf_38ng_58nsp.zip</v>
      </c>
      <c r="U5910" s="29" t="str">
        <f>HYPERLINK("https://ictv.global/taxonomy/taxondetails?taxnode_id=202318796","ictv.global=202318796")</f>
        <v>ictv.global=202318796</v>
      </c>
    </row>
    <row r="5911" spans="1:21">
      <c r="A5911">
        <v>5910</v>
      </c>
      <c r="B5911" s="30" t="s">
        <v>1956</v>
      </c>
      <c r="D5911" s="30" t="s">
        <v>1985</v>
      </c>
      <c r="F5911" s="30" t="s">
        <v>2009</v>
      </c>
      <c r="H5911" s="30" t="s">
        <v>2010</v>
      </c>
      <c r="J5911" s="30" t="s">
        <v>12848</v>
      </c>
      <c r="L5911" s="30" t="s">
        <v>12866</v>
      </c>
      <c r="N5911" s="30" t="s">
        <v>12892</v>
      </c>
      <c r="P5911" s="30" t="s">
        <v>12894</v>
      </c>
      <c r="Q5911" t="s">
        <v>735</v>
      </c>
      <c r="R5911" t="s">
        <v>917</v>
      </c>
      <c r="S5911">
        <v>39</v>
      </c>
      <c r="T5911" s="29" t="str">
        <f t="shared" si="273"/>
        <v>2023.024D.Gredzevirales_1no_1nf_38ng_58nsp.zip</v>
      </c>
      <c r="U5911" s="29" t="str">
        <f>HYPERLINK("https://ictv.global/taxonomy/taxondetails?taxnode_id=202318795","ictv.global=202318795")</f>
        <v>ictv.global=202318795</v>
      </c>
    </row>
    <row r="5912" spans="1:21">
      <c r="A5912">
        <v>5911</v>
      </c>
      <c r="B5912" s="30" t="s">
        <v>1956</v>
      </c>
      <c r="D5912" s="30" t="s">
        <v>1985</v>
      </c>
      <c r="F5912" s="30" t="s">
        <v>2009</v>
      </c>
      <c r="H5912" s="30" t="s">
        <v>2010</v>
      </c>
      <c r="J5912" s="30" t="s">
        <v>12848</v>
      </c>
      <c r="L5912" s="30" t="s">
        <v>12866</v>
      </c>
      <c r="N5912" s="30" t="s">
        <v>12895</v>
      </c>
      <c r="P5912" s="30" t="s">
        <v>12896</v>
      </c>
      <c r="Q5912" t="s">
        <v>735</v>
      </c>
      <c r="R5912" t="s">
        <v>917</v>
      </c>
      <c r="S5912">
        <v>39</v>
      </c>
      <c r="T5912" s="29" t="str">
        <f t="shared" si="273"/>
        <v>2023.024D.Gredzevirales_1no_1nf_38ng_58nsp.zip</v>
      </c>
      <c r="U5912" s="29" t="str">
        <f>HYPERLINK("https://ictv.global/taxonomy/taxondetails?taxnode_id=202318822","ictv.global=202318822")</f>
        <v>ictv.global=202318822</v>
      </c>
    </row>
    <row r="5913" spans="1:21">
      <c r="A5913">
        <v>5912</v>
      </c>
      <c r="B5913" s="30" t="s">
        <v>1956</v>
      </c>
      <c r="D5913" s="30" t="s">
        <v>1985</v>
      </c>
      <c r="F5913" s="30" t="s">
        <v>2009</v>
      </c>
      <c r="H5913" s="30" t="s">
        <v>2010</v>
      </c>
      <c r="J5913" s="30" t="s">
        <v>12848</v>
      </c>
      <c r="L5913" s="30" t="s">
        <v>12866</v>
      </c>
      <c r="N5913" s="30" t="s">
        <v>12897</v>
      </c>
      <c r="P5913" s="30" t="s">
        <v>12898</v>
      </c>
      <c r="Q5913" t="s">
        <v>735</v>
      </c>
      <c r="R5913" t="s">
        <v>917</v>
      </c>
      <c r="S5913">
        <v>39</v>
      </c>
      <c r="T5913" s="29" t="str">
        <f t="shared" si="273"/>
        <v>2023.024D.Gredzevirales_1no_1nf_38ng_58nsp.zip</v>
      </c>
      <c r="U5913" s="29" t="str">
        <f>HYPERLINK("https://ictv.global/taxonomy/taxondetails?taxnode_id=202318791","ictv.global=202318791")</f>
        <v>ictv.global=202318791</v>
      </c>
    </row>
    <row r="5914" spans="1:21">
      <c r="A5914">
        <v>5913</v>
      </c>
      <c r="B5914" s="30" t="s">
        <v>1956</v>
      </c>
      <c r="D5914" s="30" t="s">
        <v>1985</v>
      </c>
      <c r="F5914" s="30" t="s">
        <v>2009</v>
      </c>
      <c r="H5914" s="30" t="s">
        <v>2010</v>
      </c>
      <c r="J5914" s="30" t="s">
        <v>12848</v>
      </c>
      <c r="L5914" s="30" t="s">
        <v>12866</v>
      </c>
      <c r="N5914" s="30" t="s">
        <v>12897</v>
      </c>
      <c r="P5914" s="30" t="s">
        <v>12899</v>
      </c>
      <c r="Q5914" t="s">
        <v>735</v>
      </c>
      <c r="R5914" t="s">
        <v>917</v>
      </c>
      <c r="S5914">
        <v>39</v>
      </c>
      <c r="T5914" s="29" t="str">
        <f t="shared" si="273"/>
        <v>2023.024D.Gredzevirales_1no_1nf_38ng_58nsp.zip</v>
      </c>
      <c r="U5914" s="29" t="str">
        <f>HYPERLINK("https://ictv.global/taxonomy/taxondetails?taxnode_id=202318792","ictv.global=202318792")</f>
        <v>ictv.global=202318792</v>
      </c>
    </row>
    <row r="5915" spans="1:21">
      <c r="A5915">
        <v>5914</v>
      </c>
      <c r="B5915" s="30" t="s">
        <v>1956</v>
      </c>
      <c r="D5915" s="30" t="s">
        <v>1985</v>
      </c>
      <c r="F5915" s="30" t="s">
        <v>2009</v>
      </c>
      <c r="H5915" s="30" t="s">
        <v>2010</v>
      </c>
      <c r="J5915" s="30" t="s">
        <v>12848</v>
      </c>
      <c r="L5915" s="30" t="s">
        <v>12866</v>
      </c>
      <c r="N5915" s="30" t="s">
        <v>12900</v>
      </c>
      <c r="P5915" s="30" t="s">
        <v>12901</v>
      </c>
      <c r="Q5915" t="s">
        <v>735</v>
      </c>
      <c r="R5915" t="s">
        <v>917</v>
      </c>
      <c r="S5915">
        <v>39</v>
      </c>
      <c r="T5915" s="29" t="str">
        <f t="shared" si="273"/>
        <v>2023.024D.Gredzevirales_1no_1nf_38ng_58nsp.zip</v>
      </c>
      <c r="U5915" s="29" t="str">
        <f>HYPERLINK("https://ictv.global/taxonomy/taxondetails?taxnode_id=202318820","ictv.global=202318820")</f>
        <v>ictv.global=202318820</v>
      </c>
    </row>
    <row r="5916" spans="1:21">
      <c r="A5916">
        <v>5915</v>
      </c>
      <c r="B5916" s="30" t="s">
        <v>1956</v>
      </c>
      <c r="D5916" s="30" t="s">
        <v>1985</v>
      </c>
      <c r="F5916" s="30" t="s">
        <v>2009</v>
      </c>
      <c r="H5916" s="30" t="s">
        <v>2010</v>
      </c>
      <c r="J5916" s="30" t="s">
        <v>12848</v>
      </c>
      <c r="L5916" s="30" t="s">
        <v>12866</v>
      </c>
      <c r="N5916" s="30" t="s">
        <v>12900</v>
      </c>
      <c r="P5916" s="30" t="s">
        <v>12902</v>
      </c>
      <c r="Q5916" t="s">
        <v>735</v>
      </c>
      <c r="R5916" t="s">
        <v>917</v>
      </c>
      <c r="S5916">
        <v>39</v>
      </c>
      <c r="T5916" s="29" t="str">
        <f t="shared" si="273"/>
        <v>2023.024D.Gredzevirales_1no_1nf_38ng_58nsp.zip</v>
      </c>
      <c r="U5916" s="29" t="str">
        <f>HYPERLINK("https://ictv.global/taxonomy/taxondetails?taxnode_id=202318821","ictv.global=202318821")</f>
        <v>ictv.global=202318821</v>
      </c>
    </row>
    <row r="5917" spans="1:21">
      <c r="A5917">
        <v>5916</v>
      </c>
      <c r="B5917" s="30" t="s">
        <v>1956</v>
      </c>
      <c r="D5917" s="30" t="s">
        <v>1985</v>
      </c>
      <c r="F5917" s="30" t="s">
        <v>2009</v>
      </c>
      <c r="H5917" s="30" t="s">
        <v>2010</v>
      </c>
      <c r="J5917" s="30" t="s">
        <v>12848</v>
      </c>
      <c r="L5917" s="30" t="s">
        <v>12866</v>
      </c>
      <c r="N5917" s="30" t="s">
        <v>12903</v>
      </c>
      <c r="P5917" s="30" t="s">
        <v>12904</v>
      </c>
      <c r="Q5917" t="s">
        <v>735</v>
      </c>
      <c r="R5917" t="s">
        <v>917</v>
      </c>
      <c r="S5917">
        <v>39</v>
      </c>
      <c r="T5917" s="29" t="str">
        <f t="shared" si="273"/>
        <v>2023.024D.Gredzevirales_1no_1nf_38ng_58nsp.zip</v>
      </c>
      <c r="U5917" s="29" t="str">
        <f>HYPERLINK("https://ictv.global/taxonomy/taxondetails?taxnode_id=202318831","ictv.global=202318831")</f>
        <v>ictv.global=202318831</v>
      </c>
    </row>
    <row r="5918" spans="1:21">
      <c r="A5918">
        <v>5917</v>
      </c>
      <c r="B5918" s="30" t="s">
        <v>1956</v>
      </c>
      <c r="D5918" s="30" t="s">
        <v>1985</v>
      </c>
      <c r="F5918" s="30" t="s">
        <v>2009</v>
      </c>
      <c r="H5918" s="30" t="s">
        <v>2010</v>
      </c>
      <c r="J5918" s="30" t="s">
        <v>12848</v>
      </c>
      <c r="L5918" s="30" t="s">
        <v>12866</v>
      </c>
      <c r="N5918" s="30" t="s">
        <v>12903</v>
      </c>
      <c r="P5918" s="30" t="s">
        <v>12905</v>
      </c>
      <c r="Q5918" t="s">
        <v>735</v>
      </c>
      <c r="R5918" t="s">
        <v>917</v>
      </c>
      <c r="S5918">
        <v>39</v>
      </c>
      <c r="T5918" s="29" t="str">
        <f t="shared" ref="T5918:T5943" si="274">HYPERLINK("https://ictv.global/ictv/proposals/2023.024D.Gredzevirales_1no_1nf_38ng_58nsp.zip","2023.024D.Gredzevirales_1no_1nf_38ng_58nsp.zip")</f>
        <v>2023.024D.Gredzevirales_1no_1nf_38ng_58nsp.zip</v>
      </c>
      <c r="U5918" s="29" t="str">
        <f>HYPERLINK("https://ictv.global/taxonomy/taxondetails?taxnode_id=202318830","ictv.global=202318830")</f>
        <v>ictv.global=202318830</v>
      </c>
    </row>
    <row r="5919" spans="1:21">
      <c r="A5919">
        <v>5918</v>
      </c>
      <c r="B5919" s="30" t="s">
        <v>1956</v>
      </c>
      <c r="D5919" s="30" t="s">
        <v>1985</v>
      </c>
      <c r="F5919" s="30" t="s">
        <v>2009</v>
      </c>
      <c r="H5919" s="30" t="s">
        <v>2010</v>
      </c>
      <c r="J5919" s="30" t="s">
        <v>12848</v>
      </c>
      <c r="L5919" s="30" t="s">
        <v>12866</v>
      </c>
      <c r="N5919" s="30" t="s">
        <v>12906</v>
      </c>
      <c r="P5919" s="30" t="s">
        <v>12907</v>
      </c>
      <c r="Q5919" t="s">
        <v>735</v>
      </c>
      <c r="R5919" t="s">
        <v>917</v>
      </c>
      <c r="S5919">
        <v>39</v>
      </c>
      <c r="T5919" s="29" t="str">
        <f t="shared" si="274"/>
        <v>2023.024D.Gredzevirales_1no_1nf_38ng_58nsp.zip</v>
      </c>
      <c r="U5919" s="29" t="str">
        <f>HYPERLINK("https://ictv.global/taxonomy/taxondetails?taxnode_id=202318807","ictv.global=202318807")</f>
        <v>ictv.global=202318807</v>
      </c>
    </row>
    <row r="5920" spans="1:21">
      <c r="A5920">
        <v>5919</v>
      </c>
      <c r="B5920" s="30" t="s">
        <v>1956</v>
      </c>
      <c r="D5920" s="30" t="s">
        <v>1985</v>
      </c>
      <c r="F5920" s="30" t="s">
        <v>2009</v>
      </c>
      <c r="H5920" s="30" t="s">
        <v>2010</v>
      </c>
      <c r="J5920" s="30" t="s">
        <v>12848</v>
      </c>
      <c r="L5920" s="30" t="s">
        <v>12866</v>
      </c>
      <c r="N5920" s="30" t="s">
        <v>12906</v>
      </c>
      <c r="P5920" s="30" t="s">
        <v>12908</v>
      </c>
      <c r="Q5920" t="s">
        <v>735</v>
      </c>
      <c r="R5920" t="s">
        <v>917</v>
      </c>
      <c r="S5920">
        <v>39</v>
      </c>
      <c r="T5920" s="29" t="str">
        <f t="shared" si="274"/>
        <v>2023.024D.Gredzevirales_1no_1nf_38ng_58nsp.zip</v>
      </c>
      <c r="U5920" s="29" t="str">
        <f>HYPERLINK("https://ictv.global/taxonomy/taxondetails?taxnode_id=202318806","ictv.global=202318806")</f>
        <v>ictv.global=202318806</v>
      </c>
    </row>
    <row r="5921" spans="1:21">
      <c r="A5921">
        <v>5920</v>
      </c>
      <c r="B5921" s="30" t="s">
        <v>1956</v>
      </c>
      <c r="D5921" s="30" t="s">
        <v>1985</v>
      </c>
      <c r="F5921" s="30" t="s">
        <v>2009</v>
      </c>
      <c r="H5921" s="30" t="s">
        <v>2010</v>
      </c>
      <c r="J5921" s="30" t="s">
        <v>12848</v>
      </c>
      <c r="L5921" s="30" t="s">
        <v>12866</v>
      </c>
      <c r="N5921" s="30" t="s">
        <v>12906</v>
      </c>
      <c r="P5921" s="30" t="s">
        <v>12909</v>
      </c>
      <c r="Q5921" t="s">
        <v>735</v>
      </c>
      <c r="R5921" t="s">
        <v>917</v>
      </c>
      <c r="S5921">
        <v>39</v>
      </c>
      <c r="T5921" s="29" t="str">
        <f t="shared" si="274"/>
        <v>2023.024D.Gredzevirales_1no_1nf_38ng_58nsp.zip</v>
      </c>
      <c r="U5921" s="29" t="str">
        <f>HYPERLINK("https://ictv.global/taxonomy/taxondetails?taxnode_id=202318805","ictv.global=202318805")</f>
        <v>ictv.global=202318805</v>
      </c>
    </row>
    <row r="5922" spans="1:21">
      <c r="A5922">
        <v>5921</v>
      </c>
      <c r="B5922" s="30" t="s">
        <v>1956</v>
      </c>
      <c r="D5922" s="30" t="s">
        <v>1985</v>
      </c>
      <c r="F5922" s="30" t="s">
        <v>2009</v>
      </c>
      <c r="H5922" s="30" t="s">
        <v>2010</v>
      </c>
      <c r="J5922" s="30" t="s">
        <v>12848</v>
      </c>
      <c r="L5922" s="30" t="s">
        <v>12866</v>
      </c>
      <c r="N5922" s="30" t="s">
        <v>12910</v>
      </c>
      <c r="P5922" s="30" t="s">
        <v>12911</v>
      </c>
      <c r="Q5922" t="s">
        <v>735</v>
      </c>
      <c r="R5922" t="s">
        <v>917</v>
      </c>
      <c r="S5922">
        <v>39</v>
      </c>
      <c r="T5922" s="29" t="str">
        <f t="shared" si="274"/>
        <v>2023.024D.Gredzevirales_1no_1nf_38ng_58nsp.zip</v>
      </c>
      <c r="U5922" s="29" t="str">
        <f>HYPERLINK("https://ictv.global/taxonomy/taxondetails?taxnode_id=202318802","ictv.global=202318802")</f>
        <v>ictv.global=202318802</v>
      </c>
    </row>
    <row r="5923" spans="1:21">
      <c r="A5923">
        <v>5922</v>
      </c>
      <c r="B5923" s="30" t="s">
        <v>1956</v>
      </c>
      <c r="D5923" s="30" t="s">
        <v>1985</v>
      </c>
      <c r="F5923" s="30" t="s">
        <v>2009</v>
      </c>
      <c r="H5923" s="30" t="s">
        <v>2010</v>
      </c>
      <c r="J5923" s="30" t="s">
        <v>12848</v>
      </c>
      <c r="L5923" s="30" t="s">
        <v>12866</v>
      </c>
      <c r="N5923" s="30" t="s">
        <v>12912</v>
      </c>
      <c r="P5923" s="30" t="s">
        <v>12913</v>
      </c>
      <c r="Q5923" t="s">
        <v>735</v>
      </c>
      <c r="R5923" t="s">
        <v>917</v>
      </c>
      <c r="S5923">
        <v>39</v>
      </c>
      <c r="T5923" s="29" t="str">
        <f t="shared" si="274"/>
        <v>2023.024D.Gredzevirales_1no_1nf_38ng_58nsp.zip</v>
      </c>
      <c r="U5923" s="29" t="str">
        <f>HYPERLINK("https://ictv.global/taxonomy/taxondetails?taxnode_id=202318834","ictv.global=202318834")</f>
        <v>ictv.global=202318834</v>
      </c>
    </row>
    <row r="5924" spans="1:21">
      <c r="A5924">
        <v>5923</v>
      </c>
      <c r="B5924" s="30" t="s">
        <v>1956</v>
      </c>
      <c r="D5924" s="30" t="s">
        <v>1985</v>
      </c>
      <c r="F5924" s="30" t="s">
        <v>2009</v>
      </c>
      <c r="H5924" s="30" t="s">
        <v>2010</v>
      </c>
      <c r="J5924" s="30" t="s">
        <v>12848</v>
      </c>
      <c r="L5924" s="30" t="s">
        <v>12866</v>
      </c>
      <c r="N5924" s="30" t="s">
        <v>12914</v>
      </c>
      <c r="P5924" s="30" t="s">
        <v>12915</v>
      </c>
      <c r="Q5924" t="s">
        <v>735</v>
      </c>
      <c r="R5924" t="s">
        <v>917</v>
      </c>
      <c r="S5924">
        <v>39</v>
      </c>
      <c r="T5924" s="29" t="str">
        <f t="shared" si="274"/>
        <v>2023.024D.Gredzevirales_1no_1nf_38ng_58nsp.zip</v>
      </c>
      <c r="U5924" s="29" t="str">
        <f>HYPERLINK("https://ictv.global/taxonomy/taxondetails?taxnode_id=202318814","ictv.global=202318814")</f>
        <v>ictv.global=202318814</v>
      </c>
    </row>
    <row r="5925" spans="1:21">
      <c r="A5925">
        <v>5924</v>
      </c>
      <c r="B5925" s="30" t="s">
        <v>1956</v>
      </c>
      <c r="D5925" s="30" t="s">
        <v>1985</v>
      </c>
      <c r="F5925" s="30" t="s">
        <v>2009</v>
      </c>
      <c r="H5925" s="30" t="s">
        <v>2010</v>
      </c>
      <c r="J5925" s="30" t="s">
        <v>12848</v>
      </c>
      <c r="L5925" s="30" t="s">
        <v>12866</v>
      </c>
      <c r="N5925" s="30" t="s">
        <v>12916</v>
      </c>
      <c r="P5925" s="30" t="s">
        <v>12917</v>
      </c>
      <c r="Q5925" t="s">
        <v>735</v>
      </c>
      <c r="R5925" t="s">
        <v>917</v>
      </c>
      <c r="S5925">
        <v>39</v>
      </c>
      <c r="T5925" s="29" t="str">
        <f t="shared" si="274"/>
        <v>2023.024D.Gredzevirales_1no_1nf_38ng_58nsp.zip</v>
      </c>
      <c r="U5925" s="29" t="str">
        <f>HYPERLINK("https://ictv.global/taxonomy/taxondetails?taxnode_id=202318832","ictv.global=202318832")</f>
        <v>ictv.global=202318832</v>
      </c>
    </row>
    <row r="5926" spans="1:21">
      <c r="A5926">
        <v>5925</v>
      </c>
      <c r="B5926" s="30" t="s">
        <v>1956</v>
      </c>
      <c r="D5926" s="30" t="s">
        <v>1985</v>
      </c>
      <c r="F5926" s="30" t="s">
        <v>2009</v>
      </c>
      <c r="H5926" s="30" t="s">
        <v>2010</v>
      </c>
      <c r="J5926" s="30" t="s">
        <v>12848</v>
      </c>
      <c r="L5926" s="30" t="s">
        <v>12866</v>
      </c>
      <c r="N5926" s="30" t="s">
        <v>12916</v>
      </c>
      <c r="P5926" s="30" t="s">
        <v>12918</v>
      </c>
      <c r="Q5926" t="s">
        <v>735</v>
      </c>
      <c r="R5926" t="s">
        <v>917</v>
      </c>
      <c r="S5926">
        <v>39</v>
      </c>
      <c r="T5926" s="29" t="str">
        <f t="shared" si="274"/>
        <v>2023.024D.Gredzevirales_1no_1nf_38ng_58nsp.zip</v>
      </c>
      <c r="U5926" s="29" t="str">
        <f>HYPERLINK("https://ictv.global/taxonomy/taxondetails?taxnode_id=202318833","ictv.global=202318833")</f>
        <v>ictv.global=202318833</v>
      </c>
    </row>
    <row r="5927" spans="1:21">
      <c r="A5927">
        <v>5926</v>
      </c>
      <c r="B5927" s="30" t="s">
        <v>1956</v>
      </c>
      <c r="D5927" s="30" t="s">
        <v>1985</v>
      </c>
      <c r="F5927" s="30" t="s">
        <v>2009</v>
      </c>
      <c r="H5927" s="30" t="s">
        <v>2010</v>
      </c>
      <c r="J5927" s="30" t="s">
        <v>12848</v>
      </c>
      <c r="L5927" s="30" t="s">
        <v>12866</v>
      </c>
      <c r="N5927" s="30" t="s">
        <v>12919</v>
      </c>
      <c r="P5927" s="30" t="s">
        <v>12920</v>
      </c>
      <c r="Q5927" t="s">
        <v>735</v>
      </c>
      <c r="R5927" t="s">
        <v>917</v>
      </c>
      <c r="S5927">
        <v>39</v>
      </c>
      <c r="T5927" s="29" t="str">
        <f t="shared" si="274"/>
        <v>2023.024D.Gredzevirales_1no_1nf_38ng_58nsp.zip</v>
      </c>
      <c r="U5927" s="29" t="str">
        <f>HYPERLINK("https://ictv.global/taxonomy/taxondetails?taxnode_id=202318808","ictv.global=202318808")</f>
        <v>ictv.global=202318808</v>
      </c>
    </row>
    <row r="5928" spans="1:21">
      <c r="A5928">
        <v>5927</v>
      </c>
      <c r="B5928" s="30" t="s">
        <v>1956</v>
      </c>
      <c r="D5928" s="30" t="s">
        <v>1985</v>
      </c>
      <c r="F5928" s="30" t="s">
        <v>2009</v>
      </c>
      <c r="H5928" s="30" t="s">
        <v>2010</v>
      </c>
      <c r="J5928" s="30" t="s">
        <v>12848</v>
      </c>
      <c r="L5928" s="30" t="s">
        <v>12866</v>
      </c>
      <c r="N5928" s="30" t="s">
        <v>12919</v>
      </c>
      <c r="P5928" s="30" t="s">
        <v>12921</v>
      </c>
      <c r="Q5928" t="s">
        <v>735</v>
      </c>
      <c r="R5928" t="s">
        <v>917</v>
      </c>
      <c r="S5928">
        <v>39</v>
      </c>
      <c r="T5928" s="29" t="str">
        <f t="shared" si="274"/>
        <v>2023.024D.Gredzevirales_1no_1nf_38ng_58nsp.zip</v>
      </c>
      <c r="U5928" s="29" t="str">
        <f>HYPERLINK("https://ictv.global/taxonomy/taxondetails?taxnode_id=202318813","ictv.global=202318813")</f>
        <v>ictv.global=202318813</v>
      </c>
    </row>
    <row r="5929" spans="1:21">
      <c r="A5929">
        <v>5928</v>
      </c>
      <c r="B5929" s="30" t="s">
        <v>1956</v>
      </c>
      <c r="D5929" s="30" t="s">
        <v>1985</v>
      </c>
      <c r="F5929" s="30" t="s">
        <v>2009</v>
      </c>
      <c r="H5929" s="30" t="s">
        <v>2010</v>
      </c>
      <c r="J5929" s="30" t="s">
        <v>12848</v>
      </c>
      <c r="L5929" s="30" t="s">
        <v>12866</v>
      </c>
      <c r="N5929" s="30" t="s">
        <v>12919</v>
      </c>
      <c r="P5929" s="30" t="s">
        <v>12922</v>
      </c>
      <c r="Q5929" t="s">
        <v>735</v>
      </c>
      <c r="R5929" t="s">
        <v>917</v>
      </c>
      <c r="S5929">
        <v>39</v>
      </c>
      <c r="T5929" s="29" t="str">
        <f t="shared" si="274"/>
        <v>2023.024D.Gredzevirales_1no_1nf_38ng_58nsp.zip</v>
      </c>
      <c r="U5929" s="29" t="str">
        <f>HYPERLINK("https://ictv.global/taxonomy/taxondetails?taxnode_id=202318812","ictv.global=202318812")</f>
        <v>ictv.global=202318812</v>
      </c>
    </row>
    <row r="5930" spans="1:21">
      <c r="A5930">
        <v>5929</v>
      </c>
      <c r="B5930" s="30" t="s">
        <v>1956</v>
      </c>
      <c r="D5930" s="30" t="s">
        <v>1985</v>
      </c>
      <c r="F5930" s="30" t="s">
        <v>2009</v>
      </c>
      <c r="H5930" s="30" t="s">
        <v>2010</v>
      </c>
      <c r="J5930" s="30" t="s">
        <v>12848</v>
      </c>
      <c r="L5930" s="30" t="s">
        <v>12866</v>
      </c>
      <c r="N5930" s="30" t="s">
        <v>12919</v>
      </c>
      <c r="P5930" s="30" t="s">
        <v>12923</v>
      </c>
      <c r="Q5930" t="s">
        <v>735</v>
      </c>
      <c r="R5930" t="s">
        <v>917</v>
      </c>
      <c r="S5930">
        <v>39</v>
      </c>
      <c r="T5930" s="29" t="str">
        <f t="shared" si="274"/>
        <v>2023.024D.Gredzevirales_1no_1nf_38ng_58nsp.zip</v>
      </c>
      <c r="U5930" s="29" t="str">
        <f>HYPERLINK("https://ictv.global/taxonomy/taxondetails?taxnode_id=202318810","ictv.global=202318810")</f>
        <v>ictv.global=202318810</v>
      </c>
    </row>
    <row r="5931" spans="1:21">
      <c r="A5931">
        <v>5930</v>
      </c>
      <c r="B5931" s="30" t="s">
        <v>1956</v>
      </c>
      <c r="D5931" s="30" t="s">
        <v>1985</v>
      </c>
      <c r="F5931" s="30" t="s">
        <v>2009</v>
      </c>
      <c r="H5931" s="30" t="s">
        <v>2010</v>
      </c>
      <c r="J5931" s="30" t="s">
        <v>12848</v>
      </c>
      <c r="L5931" s="30" t="s">
        <v>12866</v>
      </c>
      <c r="N5931" s="30" t="s">
        <v>12919</v>
      </c>
      <c r="P5931" s="30" t="s">
        <v>12924</v>
      </c>
      <c r="Q5931" t="s">
        <v>735</v>
      </c>
      <c r="R5931" t="s">
        <v>917</v>
      </c>
      <c r="S5931">
        <v>39</v>
      </c>
      <c r="T5931" s="29" t="str">
        <f t="shared" si="274"/>
        <v>2023.024D.Gredzevirales_1no_1nf_38ng_58nsp.zip</v>
      </c>
      <c r="U5931" s="29" t="str">
        <f>HYPERLINK("https://ictv.global/taxonomy/taxondetails?taxnode_id=202318809","ictv.global=202318809")</f>
        <v>ictv.global=202318809</v>
      </c>
    </row>
    <row r="5932" spans="1:21">
      <c r="A5932">
        <v>5931</v>
      </c>
      <c r="B5932" s="30" t="s">
        <v>1956</v>
      </c>
      <c r="D5932" s="30" t="s">
        <v>1985</v>
      </c>
      <c r="F5932" s="30" t="s">
        <v>2009</v>
      </c>
      <c r="H5932" s="30" t="s">
        <v>2010</v>
      </c>
      <c r="J5932" s="30" t="s">
        <v>12848</v>
      </c>
      <c r="L5932" s="30" t="s">
        <v>12866</v>
      </c>
      <c r="N5932" s="30" t="s">
        <v>12919</v>
      </c>
      <c r="P5932" s="30" t="s">
        <v>12925</v>
      </c>
      <c r="Q5932" t="s">
        <v>735</v>
      </c>
      <c r="R5932" t="s">
        <v>917</v>
      </c>
      <c r="S5932">
        <v>39</v>
      </c>
      <c r="T5932" s="29" t="str">
        <f t="shared" si="274"/>
        <v>2023.024D.Gredzevirales_1no_1nf_38ng_58nsp.zip</v>
      </c>
      <c r="U5932" s="29" t="str">
        <f>HYPERLINK("https://ictv.global/taxonomy/taxondetails?taxnode_id=202318811","ictv.global=202318811")</f>
        <v>ictv.global=202318811</v>
      </c>
    </row>
    <row r="5933" spans="1:21">
      <c r="A5933">
        <v>5932</v>
      </c>
      <c r="B5933" s="30" t="s">
        <v>1956</v>
      </c>
      <c r="D5933" s="30" t="s">
        <v>1985</v>
      </c>
      <c r="F5933" s="30" t="s">
        <v>2009</v>
      </c>
      <c r="H5933" s="30" t="s">
        <v>2010</v>
      </c>
      <c r="J5933" s="30" t="s">
        <v>12848</v>
      </c>
      <c r="L5933" s="30" t="s">
        <v>12866</v>
      </c>
      <c r="N5933" s="30" t="s">
        <v>12926</v>
      </c>
      <c r="P5933" s="30" t="s">
        <v>12927</v>
      </c>
      <c r="Q5933" t="s">
        <v>735</v>
      </c>
      <c r="R5933" t="s">
        <v>917</v>
      </c>
      <c r="S5933">
        <v>39</v>
      </c>
      <c r="T5933" s="29" t="str">
        <f t="shared" si="274"/>
        <v>2023.024D.Gredzevirales_1no_1nf_38ng_58nsp.zip</v>
      </c>
      <c r="U5933" s="29" t="str">
        <f>HYPERLINK("https://ictv.global/taxonomy/taxondetails?taxnode_id=202318793","ictv.global=202318793")</f>
        <v>ictv.global=202318793</v>
      </c>
    </row>
    <row r="5934" spans="1:21">
      <c r="A5934">
        <v>5933</v>
      </c>
      <c r="B5934" s="30" t="s">
        <v>1956</v>
      </c>
      <c r="D5934" s="30" t="s">
        <v>1985</v>
      </c>
      <c r="F5934" s="30" t="s">
        <v>2009</v>
      </c>
      <c r="H5934" s="30" t="s">
        <v>2010</v>
      </c>
      <c r="J5934" s="30" t="s">
        <v>12848</v>
      </c>
      <c r="L5934" s="30" t="s">
        <v>12866</v>
      </c>
      <c r="N5934" s="30" t="s">
        <v>12928</v>
      </c>
      <c r="P5934" s="30" t="s">
        <v>12929</v>
      </c>
      <c r="Q5934" t="s">
        <v>735</v>
      </c>
      <c r="R5934" t="s">
        <v>917</v>
      </c>
      <c r="S5934">
        <v>39</v>
      </c>
      <c r="T5934" s="29" t="str">
        <f t="shared" si="274"/>
        <v>2023.024D.Gredzevirales_1no_1nf_38ng_58nsp.zip</v>
      </c>
      <c r="U5934" s="29" t="str">
        <f>HYPERLINK("https://ictv.global/taxonomy/taxondetails?taxnode_id=202318816","ictv.global=202318816")</f>
        <v>ictv.global=202318816</v>
      </c>
    </row>
    <row r="5935" spans="1:21">
      <c r="A5935">
        <v>5934</v>
      </c>
      <c r="B5935" s="30" t="s">
        <v>1956</v>
      </c>
      <c r="D5935" s="30" t="s">
        <v>1985</v>
      </c>
      <c r="F5935" s="30" t="s">
        <v>2009</v>
      </c>
      <c r="H5935" s="30" t="s">
        <v>2010</v>
      </c>
      <c r="J5935" s="30" t="s">
        <v>12848</v>
      </c>
      <c r="L5935" s="30" t="s">
        <v>12866</v>
      </c>
      <c r="N5935" s="30" t="s">
        <v>12930</v>
      </c>
      <c r="P5935" s="30" t="s">
        <v>12931</v>
      </c>
      <c r="Q5935" t="s">
        <v>735</v>
      </c>
      <c r="R5935" t="s">
        <v>917</v>
      </c>
      <c r="S5935">
        <v>39</v>
      </c>
      <c r="T5935" s="29" t="str">
        <f t="shared" si="274"/>
        <v>2023.024D.Gredzevirales_1no_1nf_38ng_58nsp.zip</v>
      </c>
      <c r="U5935" s="29" t="str">
        <f>HYPERLINK("https://ictv.global/taxonomy/taxondetails?taxnode_id=202318838","ictv.global=202318838")</f>
        <v>ictv.global=202318838</v>
      </c>
    </row>
    <row r="5936" spans="1:21">
      <c r="A5936">
        <v>5935</v>
      </c>
      <c r="B5936" s="30" t="s">
        <v>1956</v>
      </c>
      <c r="D5936" s="30" t="s">
        <v>1985</v>
      </c>
      <c r="F5936" s="30" t="s">
        <v>2009</v>
      </c>
      <c r="H5936" s="30" t="s">
        <v>2010</v>
      </c>
      <c r="J5936" s="30" t="s">
        <v>12848</v>
      </c>
      <c r="L5936" s="30" t="s">
        <v>12866</v>
      </c>
      <c r="N5936" s="30" t="s">
        <v>12932</v>
      </c>
      <c r="P5936" s="30" t="s">
        <v>12933</v>
      </c>
      <c r="Q5936" t="s">
        <v>735</v>
      </c>
      <c r="R5936" t="s">
        <v>917</v>
      </c>
      <c r="S5936">
        <v>39</v>
      </c>
      <c r="T5936" s="29" t="str">
        <f t="shared" si="274"/>
        <v>2023.024D.Gredzevirales_1no_1nf_38ng_58nsp.zip</v>
      </c>
      <c r="U5936" s="29" t="str">
        <f>HYPERLINK("https://ictv.global/taxonomy/taxondetails?taxnode_id=202318817","ictv.global=202318817")</f>
        <v>ictv.global=202318817</v>
      </c>
    </row>
    <row r="5937" spans="1:21">
      <c r="A5937">
        <v>5936</v>
      </c>
      <c r="B5937" s="30" t="s">
        <v>1956</v>
      </c>
      <c r="D5937" s="30" t="s">
        <v>1985</v>
      </c>
      <c r="F5937" s="30" t="s">
        <v>2009</v>
      </c>
      <c r="H5937" s="30" t="s">
        <v>2010</v>
      </c>
      <c r="J5937" s="30" t="s">
        <v>12848</v>
      </c>
      <c r="L5937" s="30" t="s">
        <v>12866</v>
      </c>
      <c r="N5937" s="30" t="s">
        <v>12934</v>
      </c>
      <c r="P5937" s="30" t="s">
        <v>12935</v>
      </c>
      <c r="Q5937" t="s">
        <v>735</v>
      </c>
      <c r="R5937" t="s">
        <v>917</v>
      </c>
      <c r="S5937">
        <v>39</v>
      </c>
      <c r="T5937" s="29" t="str">
        <f t="shared" si="274"/>
        <v>2023.024D.Gredzevirales_1no_1nf_38ng_58nsp.zip</v>
      </c>
      <c r="U5937" s="29" t="str">
        <f>HYPERLINK("https://ictv.global/taxonomy/taxondetails?taxnode_id=202318824","ictv.global=202318824")</f>
        <v>ictv.global=202318824</v>
      </c>
    </row>
    <row r="5938" spans="1:21">
      <c r="A5938">
        <v>5937</v>
      </c>
      <c r="B5938" s="30" t="s">
        <v>1956</v>
      </c>
      <c r="D5938" s="30" t="s">
        <v>1985</v>
      </c>
      <c r="F5938" s="30" t="s">
        <v>2009</v>
      </c>
      <c r="H5938" s="30" t="s">
        <v>2010</v>
      </c>
      <c r="J5938" s="30" t="s">
        <v>12848</v>
      </c>
      <c r="L5938" s="30" t="s">
        <v>12866</v>
      </c>
      <c r="N5938" s="30" t="s">
        <v>12936</v>
      </c>
      <c r="P5938" s="30" t="s">
        <v>12937</v>
      </c>
      <c r="Q5938" t="s">
        <v>735</v>
      </c>
      <c r="R5938" t="s">
        <v>917</v>
      </c>
      <c r="S5938">
        <v>39</v>
      </c>
      <c r="T5938" s="29" t="str">
        <f t="shared" si="274"/>
        <v>2023.024D.Gredzevirales_1no_1nf_38ng_58nsp.zip</v>
      </c>
      <c r="U5938" s="29" t="str">
        <f>HYPERLINK("https://ictv.global/taxonomy/taxondetails?taxnode_id=202318819","ictv.global=202318819")</f>
        <v>ictv.global=202318819</v>
      </c>
    </row>
    <row r="5939" spans="1:21">
      <c r="A5939">
        <v>5938</v>
      </c>
      <c r="B5939" s="30" t="s">
        <v>1956</v>
      </c>
      <c r="D5939" s="30" t="s">
        <v>1985</v>
      </c>
      <c r="F5939" s="30" t="s">
        <v>2009</v>
      </c>
      <c r="H5939" s="30" t="s">
        <v>2010</v>
      </c>
      <c r="J5939" s="30" t="s">
        <v>12848</v>
      </c>
      <c r="L5939" s="30" t="s">
        <v>12866</v>
      </c>
      <c r="N5939" s="30" t="s">
        <v>12938</v>
      </c>
      <c r="P5939" s="30" t="s">
        <v>12939</v>
      </c>
      <c r="Q5939" t="s">
        <v>735</v>
      </c>
      <c r="R5939" t="s">
        <v>917</v>
      </c>
      <c r="S5939">
        <v>39</v>
      </c>
      <c r="T5939" s="29" t="str">
        <f t="shared" si="274"/>
        <v>2023.024D.Gredzevirales_1no_1nf_38ng_58nsp.zip</v>
      </c>
      <c r="U5939" s="29" t="str">
        <f>HYPERLINK("https://ictv.global/taxonomy/taxondetails?taxnode_id=202318794","ictv.global=202318794")</f>
        <v>ictv.global=202318794</v>
      </c>
    </row>
    <row r="5940" spans="1:21">
      <c r="A5940">
        <v>5939</v>
      </c>
      <c r="B5940" s="30" t="s">
        <v>1956</v>
      </c>
      <c r="D5940" s="30" t="s">
        <v>1985</v>
      </c>
      <c r="F5940" s="30" t="s">
        <v>2009</v>
      </c>
      <c r="H5940" s="30" t="s">
        <v>2010</v>
      </c>
      <c r="J5940" s="30" t="s">
        <v>12848</v>
      </c>
      <c r="L5940" s="30" t="s">
        <v>12866</v>
      </c>
      <c r="N5940" s="30" t="s">
        <v>12940</v>
      </c>
      <c r="P5940" s="30" t="s">
        <v>12941</v>
      </c>
      <c r="Q5940" t="s">
        <v>735</v>
      </c>
      <c r="R5940" t="s">
        <v>917</v>
      </c>
      <c r="S5940">
        <v>39</v>
      </c>
      <c r="T5940" s="29" t="str">
        <f t="shared" si="274"/>
        <v>2023.024D.Gredzevirales_1no_1nf_38ng_58nsp.zip</v>
      </c>
      <c r="U5940" s="29" t="str">
        <f>HYPERLINK("https://ictv.global/taxonomy/taxondetails?taxnode_id=202318818","ictv.global=202318818")</f>
        <v>ictv.global=202318818</v>
      </c>
    </row>
    <row r="5941" spans="1:21">
      <c r="A5941">
        <v>5940</v>
      </c>
      <c r="B5941" s="30" t="s">
        <v>1956</v>
      </c>
      <c r="D5941" s="30" t="s">
        <v>1985</v>
      </c>
      <c r="F5941" s="30" t="s">
        <v>2009</v>
      </c>
      <c r="H5941" s="30" t="s">
        <v>2010</v>
      </c>
      <c r="J5941" s="30" t="s">
        <v>12848</v>
      </c>
      <c r="L5941" s="30" t="s">
        <v>12866</v>
      </c>
      <c r="N5941" s="30" t="s">
        <v>12942</v>
      </c>
      <c r="P5941" s="30" t="s">
        <v>12943</v>
      </c>
      <c r="Q5941" t="s">
        <v>735</v>
      </c>
      <c r="R5941" t="s">
        <v>917</v>
      </c>
      <c r="S5941">
        <v>39</v>
      </c>
      <c r="T5941" s="29" t="str">
        <f t="shared" si="274"/>
        <v>2023.024D.Gredzevirales_1no_1nf_38ng_58nsp.zip</v>
      </c>
      <c r="U5941" s="29" t="str">
        <f>HYPERLINK("https://ictv.global/taxonomy/taxondetails?taxnode_id=202318815","ictv.global=202318815")</f>
        <v>ictv.global=202318815</v>
      </c>
    </row>
    <row r="5942" spans="1:21">
      <c r="A5942">
        <v>5941</v>
      </c>
      <c r="B5942" s="30" t="s">
        <v>1956</v>
      </c>
      <c r="D5942" s="30" t="s">
        <v>1985</v>
      </c>
      <c r="F5942" s="30" t="s">
        <v>2009</v>
      </c>
      <c r="H5942" s="30" t="s">
        <v>2010</v>
      </c>
      <c r="J5942" s="30" t="s">
        <v>12848</v>
      </c>
      <c r="L5942" s="30" t="s">
        <v>12866</v>
      </c>
      <c r="N5942" s="30" t="s">
        <v>12944</v>
      </c>
      <c r="P5942" s="30" t="s">
        <v>12945</v>
      </c>
      <c r="Q5942" t="s">
        <v>735</v>
      </c>
      <c r="R5942" t="s">
        <v>917</v>
      </c>
      <c r="S5942">
        <v>39</v>
      </c>
      <c r="T5942" s="29" t="str">
        <f t="shared" si="274"/>
        <v>2023.024D.Gredzevirales_1no_1nf_38ng_58nsp.zip</v>
      </c>
      <c r="U5942" s="29" t="str">
        <f>HYPERLINK("https://ictv.global/taxonomy/taxondetails?taxnode_id=202318797","ictv.global=202318797")</f>
        <v>ictv.global=202318797</v>
      </c>
    </row>
    <row r="5943" spans="1:21">
      <c r="A5943">
        <v>5942</v>
      </c>
      <c r="B5943" s="30" t="s">
        <v>1956</v>
      </c>
      <c r="D5943" s="30" t="s">
        <v>1985</v>
      </c>
      <c r="F5943" s="30" t="s">
        <v>2009</v>
      </c>
      <c r="H5943" s="30" t="s">
        <v>2010</v>
      </c>
      <c r="J5943" s="30" t="s">
        <v>12848</v>
      </c>
      <c r="L5943" s="30" t="s">
        <v>12866</v>
      </c>
      <c r="N5943" s="30" t="s">
        <v>12944</v>
      </c>
      <c r="P5943" s="30" t="s">
        <v>12946</v>
      </c>
      <c r="Q5943" t="s">
        <v>735</v>
      </c>
      <c r="R5943" t="s">
        <v>917</v>
      </c>
      <c r="S5943">
        <v>39</v>
      </c>
      <c r="T5943" s="29" t="str">
        <f t="shared" si="274"/>
        <v>2023.024D.Gredzevirales_1no_1nf_38ng_58nsp.zip</v>
      </c>
      <c r="U5943" s="29" t="str">
        <f>HYPERLINK("https://ictv.global/taxonomy/taxondetails?taxnode_id=202318798","ictv.global=202318798")</f>
        <v>ictv.global=202318798</v>
      </c>
    </row>
    <row r="5944" spans="1:21">
      <c r="A5944">
        <v>5943</v>
      </c>
      <c r="B5944" s="30" t="s">
        <v>1956</v>
      </c>
      <c r="D5944" s="30" t="s">
        <v>1985</v>
      </c>
      <c r="F5944" s="30" t="s">
        <v>2009</v>
      </c>
      <c r="H5944" s="30" t="s">
        <v>2010</v>
      </c>
      <c r="J5944" s="30" t="s">
        <v>12947</v>
      </c>
      <c r="L5944" s="30" t="s">
        <v>12948</v>
      </c>
      <c r="N5944" s="30" t="s">
        <v>12949</v>
      </c>
      <c r="P5944" s="30" t="s">
        <v>12950</v>
      </c>
      <c r="Q5944" t="s">
        <v>735</v>
      </c>
      <c r="R5944" t="s">
        <v>917</v>
      </c>
      <c r="S5944">
        <v>39</v>
      </c>
      <c r="T5944" s="29" t="str">
        <f t="shared" ref="T5944:T5975" si="275">HYPERLINK("https://ictv.global/ictv/proposals/2023.023D.Squillovirales_1no_1nf_42ng_67nsp.zip","2023.023D.Squillovirales_1no_1nf_42ng_67nsp.zip")</f>
        <v>2023.023D.Squillovirales_1no_1nf_42ng_67nsp.zip</v>
      </c>
      <c r="U5944" s="29" t="str">
        <f>HYPERLINK("https://ictv.global/taxonomy/taxondetails?taxnode_id=202318710","ictv.global=202318710")</f>
        <v>ictv.global=202318710</v>
      </c>
    </row>
    <row r="5945" spans="1:21">
      <c r="A5945">
        <v>5944</v>
      </c>
      <c r="B5945" s="30" t="s">
        <v>1956</v>
      </c>
      <c r="D5945" s="30" t="s">
        <v>1985</v>
      </c>
      <c r="F5945" s="30" t="s">
        <v>2009</v>
      </c>
      <c r="H5945" s="30" t="s">
        <v>2010</v>
      </c>
      <c r="J5945" s="30" t="s">
        <v>12947</v>
      </c>
      <c r="L5945" s="30" t="s">
        <v>12948</v>
      </c>
      <c r="N5945" s="30" t="s">
        <v>12951</v>
      </c>
      <c r="P5945" s="30" t="s">
        <v>12952</v>
      </c>
      <c r="Q5945" t="s">
        <v>735</v>
      </c>
      <c r="R5945" t="s">
        <v>917</v>
      </c>
      <c r="S5945">
        <v>39</v>
      </c>
      <c r="T5945" s="29" t="str">
        <f t="shared" si="275"/>
        <v>2023.023D.Squillovirales_1no_1nf_42ng_67nsp.zip</v>
      </c>
      <c r="U5945" s="29" t="str">
        <f>HYPERLINK("https://ictv.global/taxonomy/taxondetails?taxnode_id=202318711","ictv.global=202318711")</f>
        <v>ictv.global=202318711</v>
      </c>
    </row>
    <row r="5946" spans="1:21">
      <c r="A5946">
        <v>5945</v>
      </c>
      <c r="B5946" s="30" t="s">
        <v>1956</v>
      </c>
      <c r="D5946" s="30" t="s">
        <v>1985</v>
      </c>
      <c r="F5946" s="30" t="s">
        <v>2009</v>
      </c>
      <c r="H5946" s="30" t="s">
        <v>2010</v>
      </c>
      <c r="J5946" s="30" t="s">
        <v>12947</v>
      </c>
      <c r="L5946" s="30" t="s">
        <v>12948</v>
      </c>
      <c r="N5946" s="30" t="s">
        <v>12951</v>
      </c>
      <c r="P5946" s="30" t="s">
        <v>12953</v>
      </c>
      <c r="Q5946" t="s">
        <v>735</v>
      </c>
      <c r="R5946" t="s">
        <v>917</v>
      </c>
      <c r="S5946">
        <v>39</v>
      </c>
      <c r="T5946" s="29" t="str">
        <f t="shared" si="275"/>
        <v>2023.023D.Squillovirales_1no_1nf_42ng_67nsp.zip</v>
      </c>
      <c r="U5946" s="29" t="str">
        <f>HYPERLINK("https://ictv.global/taxonomy/taxondetails?taxnode_id=202318712","ictv.global=202318712")</f>
        <v>ictv.global=202318712</v>
      </c>
    </row>
    <row r="5947" spans="1:21">
      <c r="A5947">
        <v>5946</v>
      </c>
      <c r="B5947" s="30" t="s">
        <v>1956</v>
      </c>
      <c r="D5947" s="30" t="s">
        <v>1985</v>
      </c>
      <c r="F5947" s="30" t="s">
        <v>2009</v>
      </c>
      <c r="H5947" s="30" t="s">
        <v>2010</v>
      </c>
      <c r="J5947" s="30" t="s">
        <v>12947</v>
      </c>
      <c r="L5947" s="30" t="s">
        <v>12948</v>
      </c>
      <c r="N5947" s="30" t="s">
        <v>12954</v>
      </c>
      <c r="P5947" s="30" t="s">
        <v>12955</v>
      </c>
      <c r="Q5947" t="s">
        <v>735</v>
      </c>
      <c r="R5947" t="s">
        <v>917</v>
      </c>
      <c r="S5947">
        <v>39</v>
      </c>
      <c r="T5947" s="29" t="str">
        <f t="shared" si="275"/>
        <v>2023.023D.Squillovirales_1no_1nf_42ng_67nsp.zip</v>
      </c>
      <c r="U5947" s="29" t="str">
        <f>HYPERLINK("https://ictv.global/taxonomy/taxondetails?taxnode_id=202318713","ictv.global=202318713")</f>
        <v>ictv.global=202318713</v>
      </c>
    </row>
    <row r="5948" spans="1:21">
      <c r="A5948">
        <v>5947</v>
      </c>
      <c r="B5948" s="30" t="s">
        <v>1956</v>
      </c>
      <c r="D5948" s="30" t="s">
        <v>1985</v>
      </c>
      <c r="F5948" s="30" t="s">
        <v>2009</v>
      </c>
      <c r="H5948" s="30" t="s">
        <v>2010</v>
      </c>
      <c r="J5948" s="30" t="s">
        <v>12947</v>
      </c>
      <c r="L5948" s="30" t="s">
        <v>12948</v>
      </c>
      <c r="N5948" s="30" t="s">
        <v>12956</v>
      </c>
      <c r="P5948" s="30" t="s">
        <v>12957</v>
      </c>
      <c r="Q5948" t="s">
        <v>735</v>
      </c>
      <c r="R5948" t="s">
        <v>917</v>
      </c>
      <c r="S5948">
        <v>39</v>
      </c>
      <c r="T5948" s="29" t="str">
        <f t="shared" si="275"/>
        <v>2023.023D.Squillovirales_1no_1nf_42ng_67nsp.zip</v>
      </c>
      <c r="U5948" s="29" t="str">
        <f>HYPERLINK("https://ictv.global/taxonomy/taxondetails?taxnode_id=202318714","ictv.global=202318714")</f>
        <v>ictv.global=202318714</v>
      </c>
    </row>
    <row r="5949" spans="1:21">
      <c r="A5949">
        <v>5948</v>
      </c>
      <c r="B5949" s="30" t="s">
        <v>1956</v>
      </c>
      <c r="D5949" s="30" t="s">
        <v>1985</v>
      </c>
      <c r="F5949" s="30" t="s">
        <v>2009</v>
      </c>
      <c r="H5949" s="30" t="s">
        <v>2010</v>
      </c>
      <c r="J5949" s="30" t="s">
        <v>12947</v>
      </c>
      <c r="L5949" s="30" t="s">
        <v>12948</v>
      </c>
      <c r="N5949" s="30" t="s">
        <v>12958</v>
      </c>
      <c r="P5949" s="30" t="s">
        <v>12959</v>
      </c>
      <c r="Q5949" t="s">
        <v>735</v>
      </c>
      <c r="R5949" t="s">
        <v>917</v>
      </c>
      <c r="S5949">
        <v>39</v>
      </c>
      <c r="T5949" s="29" t="str">
        <f t="shared" si="275"/>
        <v>2023.023D.Squillovirales_1no_1nf_42ng_67nsp.zip</v>
      </c>
      <c r="U5949" s="29" t="str">
        <f>HYPERLINK("https://ictv.global/taxonomy/taxondetails?taxnode_id=202318715","ictv.global=202318715")</f>
        <v>ictv.global=202318715</v>
      </c>
    </row>
    <row r="5950" spans="1:21">
      <c r="A5950">
        <v>5949</v>
      </c>
      <c r="B5950" s="30" t="s">
        <v>1956</v>
      </c>
      <c r="D5950" s="30" t="s">
        <v>1985</v>
      </c>
      <c r="F5950" s="30" t="s">
        <v>2009</v>
      </c>
      <c r="H5950" s="30" t="s">
        <v>2010</v>
      </c>
      <c r="J5950" s="30" t="s">
        <v>12947</v>
      </c>
      <c r="L5950" s="30" t="s">
        <v>12948</v>
      </c>
      <c r="N5950" s="30" t="s">
        <v>12958</v>
      </c>
      <c r="P5950" s="30" t="s">
        <v>12960</v>
      </c>
      <c r="Q5950" t="s">
        <v>735</v>
      </c>
      <c r="R5950" t="s">
        <v>917</v>
      </c>
      <c r="S5950">
        <v>39</v>
      </c>
      <c r="T5950" s="29" t="str">
        <f t="shared" si="275"/>
        <v>2023.023D.Squillovirales_1no_1nf_42ng_67nsp.zip</v>
      </c>
      <c r="U5950" s="29" t="str">
        <f>HYPERLINK("https://ictv.global/taxonomy/taxondetails?taxnode_id=202318716","ictv.global=202318716")</f>
        <v>ictv.global=202318716</v>
      </c>
    </row>
    <row r="5951" spans="1:21">
      <c r="A5951">
        <v>5950</v>
      </c>
      <c r="B5951" s="30" t="s">
        <v>1956</v>
      </c>
      <c r="D5951" s="30" t="s">
        <v>1985</v>
      </c>
      <c r="F5951" s="30" t="s">
        <v>2009</v>
      </c>
      <c r="H5951" s="30" t="s">
        <v>2010</v>
      </c>
      <c r="J5951" s="30" t="s">
        <v>12947</v>
      </c>
      <c r="L5951" s="30" t="s">
        <v>12948</v>
      </c>
      <c r="N5951" s="30" t="s">
        <v>12958</v>
      </c>
      <c r="P5951" s="30" t="s">
        <v>12961</v>
      </c>
      <c r="Q5951" t="s">
        <v>735</v>
      </c>
      <c r="R5951" t="s">
        <v>917</v>
      </c>
      <c r="S5951">
        <v>39</v>
      </c>
      <c r="T5951" s="29" t="str">
        <f t="shared" si="275"/>
        <v>2023.023D.Squillovirales_1no_1nf_42ng_67nsp.zip</v>
      </c>
      <c r="U5951" s="29" t="str">
        <f>HYPERLINK("https://ictv.global/taxonomy/taxondetails?taxnode_id=202318717","ictv.global=202318717")</f>
        <v>ictv.global=202318717</v>
      </c>
    </row>
    <row r="5952" spans="1:21">
      <c r="A5952">
        <v>5951</v>
      </c>
      <c r="B5952" s="30" t="s">
        <v>1956</v>
      </c>
      <c r="D5952" s="30" t="s">
        <v>1985</v>
      </c>
      <c r="F5952" s="30" t="s">
        <v>2009</v>
      </c>
      <c r="H5952" s="30" t="s">
        <v>2010</v>
      </c>
      <c r="J5952" s="30" t="s">
        <v>12947</v>
      </c>
      <c r="L5952" s="30" t="s">
        <v>12948</v>
      </c>
      <c r="N5952" s="30" t="s">
        <v>12958</v>
      </c>
      <c r="P5952" s="30" t="s">
        <v>12962</v>
      </c>
      <c r="Q5952" t="s">
        <v>735</v>
      </c>
      <c r="R5952" t="s">
        <v>917</v>
      </c>
      <c r="S5952">
        <v>39</v>
      </c>
      <c r="T5952" s="29" t="str">
        <f t="shared" si="275"/>
        <v>2023.023D.Squillovirales_1no_1nf_42ng_67nsp.zip</v>
      </c>
      <c r="U5952" s="29" t="str">
        <f>HYPERLINK("https://ictv.global/taxonomy/taxondetails?taxnode_id=202318718","ictv.global=202318718")</f>
        <v>ictv.global=202318718</v>
      </c>
    </row>
    <row r="5953" spans="1:21">
      <c r="A5953">
        <v>5952</v>
      </c>
      <c r="B5953" s="30" t="s">
        <v>1956</v>
      </c>
      <c r="D5953" s="30" t="s">
        <v>1985</v>
      </c>
      <c r="F5953" s="30" t="s">
        <v>2009</v>
      </c>
      <c r="H5953" s="30" t="s">
        <v>2010</v>
      </c>
      <c r="J5953" s="30" t="s">
        <v>12947</v>
      </c>
      <c r="L5953" s="30" t="s">
        <v>12948</v>
      </c>
      <c r="N5953" s="30" t="s">
        <v>12963</v>
      </c>
      <c r="P5953" s="30" t="s">
        <v>12964</v>
      </c>
      <c r="Q5953" t="s">
        <v>735</v>
      </c>
      <c r="R5953" t="s">
        <v>917</v>
      </c>
      <c r="S5953">
        <v>39</v>
      </c>
      <c r="T5953" s="29" t="str">
        <f t="shared" si="275"/>
        <v>2023.023D.Squillovirales_1no_1nf_42ng_67nsp.zip</v>
      </c>
      <c r="U5953" s="29" t="str">
        <f>HYPERLINK("https://ictv.global/taxonomy/taxondetails?taxnode_id=202318719","ictv.global=202318719")</f>
        <v>ictv.global=202318719</v>
      </c>
    </row>
    <row r="5954" spans="1:21">
      <c r="A5954">
        <v>5953</v>
      </c>
      <c r="B5954" s="30" t="s">
        <v>1956</v>
      </c>
      <c r="D5954" s="30" t="s">
        <v>1985</v>
      </c>
      <c r="F5954" s="30" t="s">
        <v>2009</v>
      </c>
      <c r="H5954" s="30" t="s">
        <v>2010</v>
      </c>
      <c r="J5954" s="30" t="s">
        <v>12947</v>
      </c>
      <c r="L5954" s="30" t="s">
        <v>12948</v>
      </c>
      <c r="N5954" s="30" t="s">
        <v>12965</v>
      </c>
      <c r="P5954" s="30" t="s">
        <v>12966</v>
      </c>
      <c r="Q5954" t="s">
        <v>735</v>
      </c>
      <c r="R5954" t="s">
        <v>917</v>
      </c>
      <c r="S5954">
        <v>39</v>
      </c>
      <c r="T5954" s="29" t="str">
        <f t="shared" si="275"/>
        <v>2023.023D.Squillovirales_1no_1nf_42ng_67nsp.zip</v>
      </c>
      <c r="U5954" s="29" t="str">
        <f>HYPERLINK("https://ictv.global/taxonomy/taxondetails?taxnode_id=202318720","ictv.global=202318720")</f>
        <v>ictv.global=202318720</v>
      </c>
    </row>
    <row r="5955" spans="1:21">
      <c r="A5955">
        <v>5954</v>
      </c>
      <c r="B5955" s="30" t="s">
        <v>1956</v>
      </c>
      <c r="D5955" s="30" t="s">
        <v>1985</v>
      </c>
      <c r="F5955" s="30" t="s">
        <v>2009</v>
      </c>
      <c r="H5955" s="30" t="s">
        <v>2010</v>
      </c>
      <c r="J5955" s="30" t="s">
        <v>12947</v>
      </c>
      <c r="L5955" s="30" t="s">
        <v>12948</v>
      </c>
      <c r="N5955" s="30" t="s">
        <v>12967</v>
      </c>
      <c r="P5955" s="30" t="s">
        <v>12968</v>
      </c>
      <c r="Q5955" t="s">
        <v>735</v>
      </c>
      <c r="R5955" t="s">
        <v>917</v>
      </c>
      <c r="S5955">
        <v>39</v>
      </c>
      <c r="T5955" s="29" t="str">
        <f t="shared" si="275"/>
        <v>2023.023D.Squillovirales_1no_1nf_42ng_67nsp.zip</v>
      </c>
      <c r="U5955" s="29" t="str">
        <f>HYPERLINK("https://ictv.global/taxonomy/taxondetails?taxnode_id=202318721","ictv.global=202318721")</f>
        <v>ictv.global=202318721</v>
      </c>
    </row>
    <row r="5956" spans="1:21">
      <c r="A5956">
        <v>5955</v>
      </c>
      <c r="B5956" s="30" t="s">
        <v>1956</v>
      </c>
      <c r="D5956" s="30" t="s">
        <v>1985</v>
      </c>
      <c r="F5956" s="30" t="s">
        <v>2009</v>
      </c>
      <c r="H5956" s="30" t="s">
        <v>2010</v>
      </c>
      <c r="J5956" s="30" t="s">
        <v>12947</v>
      </c>
      <c r="L5956" s="30" t="s">
        <v>12948</v>
      </c>
      <c r="N5956" s="30" t="s">
        <v>12969</v>
      </c>
      <c r="P5956" s="30" t="s">
        <v>12970</v>
      </c>
      <c r="Q5956" t="s">
        <v>735</v>
      </c>
      <c r="R5956" t="s">
        <v>917</v>
      </c>
      <c r="S5956">
        <v>39</v>
      </c>
      <c r="T5956" s="29" t="str">
        <f t="shared" si="275"/>
        <v>2023.023D.Squillovirales_1no_1nf_42ng_67nsp.zip</v>
      </c>
      <c r="U5956" s="29" t="str">
        <f>HYPERLINK("https://ictv.global/taxonomy/taxondetails?taxnode_id=202318722","ictv.global=202318722")</f>
        <v>ictv.global=202318722</v>
      </c>
    </row>
    <row r="5957" spans="1:21">
      <c r="A5957">
        <v>5956</v>
      </c>
      <c r="B5957" s="30" t="s">
        <v>1956</v>
      </c>
      <c r="D5957" s="30" t="s">
        <v>1985</v>
      </c>
      <c r="F5957" s="30" t="s">
        <v>2009</v>
      </c>
      <c r="H5957" s="30" t="s">
        <v>2010</v>
      </c>
      <c r="J5957" s="30" t="s">
        <v>12947</v>
      </c>
      <c r="L5957" s="30" t="s">
        <v>12948</v>
      </c>
      <c r="N5957" s="30" t="s">
        <v>12969</v>
      </c>
      <c r="P5957" s="30" t="s">
        <v>12971</v>
      </c>
      <c r="Q5957" t="s">
        <v>735</v>
      </c>
      <c r="R5957" t="s">
        <v>917</v>
      </c>
      <c r="S5957">
        <v>39</v>
      </c>
      <c r="T5957" s="29" t="str">
        <f t="shared" si="275"/>
        <v>2023.023D.Squillovirales_1no_1nf_42ng_67nsp.zip</v>
      </c>
      <c r="U5957" s="29" t="str">
        <f>HYPERLINK("https://ictv.global/taxonomy/taxondetails?taxnode_id=202318723","ictv.global=202318723")</f>
        <v>ictv.global=202318723</v>
      </c>
    </row>
    <row r="5958" spans="1:21">
      <c r="A5958">
        <v>5957</v>
      </c>
      <c r="B5958" s="30" t="s">
        <v>1956</v>
      </c>
      <c r="D5958" s="30" t="s">
        <v>1985</v>
      </c>
      <c r="F5958" s="30" t="s">
        <v>2009</v>
      </c>
      <c r="H5958" s="30" t="s">
        <v>2010</v>
      </c>
      <c r="J5958" s="30" t="s">
        <v>12947</v>
      </c>
      <c r="L5958" s="30" t="s">
        <v>12948</v>
      </c>
      <c r="N5958" s="30" t="s">
        <v>12972</v>
      </c>
      <c r="P5958" s="30" t="s">
        <v>12973</v>
      </c>
      <c r="Q5958" t="s">
        <v>735</v>
      </c>
      <c r="R5958" t="s">
        <v>917</v>
      </c>
      <c r="S5958">
        <v>39</v>
      </c>
      <c r="T5958" s="29" t="str">
        <f t="shared" si="275"/>
        <v>2023.023D.Squillovirales_1no_1nf_42ng_67nsp.zip</v>
      </c>
      <c r="U5958" s="29" t="str">
        <f>HYPERLINK("https://ictv.global/taxonomy/taxondetails?taxnode_id=202318724","ictv.global=202318724")</f>
        <v>ictv.global=202318724</v>
      </c>
    </row>
    <row r="5959" spans="1:21">
      <c r="A5959">
        <v>5958</v>
      </c>
      <c r="B5959" s="30" t="s">
        <v>1956</v>
      </c>
      <c r="D5959" s="30" t="s">
        <v>1985</v>
      </c>
      <c r="F5959" s="30" t="s">
        <v>2009</v>
      </c>
      <c r="H5959" s="30" t="s">
        <v>2010</v>
      </c>
      <c r="J5959" s="30" t="s">
        <v>12947</v>
      </c>
      <c r="L5959" s="30" t="s">
        <v>12948</v>
      </c>
      <c r="N5959" s="30" t="s">
        <v>12974</v>
      </c>
      <c r="P5959" s="30" t="s">
        <v>12975</v>
      </c>
      <c r="Q5959" t="s">
        <v>735</v>
      </c>
      <c r="R5959" t="s">
        <v>917</v>
      </c>
      <c r="S5959">
        <v>39</v>
      </c>
      <c r="T5959" s="29" t="str">
        <f t="shared" si="275"/>
        <v>2023.023D.Squillovirales_1no_1nf_42ng_67nsp.zip</v>
      </c>
      <c r="U5959" s="29" t="str">
        <f>HYPERLINK("https://ictv.global/taxonomy/taxondetails?taxnode_id=202318725","ictv.global=202318725")</f>
        <v>ictv.global=202318725</v>
      </c>
    </row>
    <row r="5960" spans="1:21">
      <c r="A5960">
        <v>5959</v>
      </c>
      <c r="B5960" s="30" t="s">
        <v>1956</v>
      </c>
      <c r="D5960" s="30" t="s">
        <v>1985</v>
      </c>
      <c r="F5960" s="30" t="s">
        <v>2009</v>
      </c>
      <c r="H5960" s="30" t="s">
        <v>2010</v>
      </c>
      <c r="J5960" s="30" t="s">
        <v>12947</v>
      </c>
      <c r="L5960" s="30" t="s">
        <v>12948</v>
      </c>
      <c r="N5960" s="30" t="s">
        <v>12976</v>
      </c>
      <c r="P5960" s="30" t="s">
        <v>12977</v>
      </c>
      <c r="Q5960" t="s">
        <v>735</v>
      </c>
      <c r="R5960" t="s">
        <v>917</v>
      </c>
      <c r="S5960">
        <v>39</v>
      </c>
      <c r="T5960" s="29" t="str">
        <f t="shared" si="275"/>
        <v>2023.023D.Squillovirales_1no_1nf_42ng_67nsp.zip</v>
      </c>
      <c r="U5960" s="29" t="str">
        <f>HYPERLINK("https://ictv.global/taxonomy/taxondetails?taxnode_id=202318726","ictv.global=202318726")</f>
        <v>ictv.global=202318726</v>
      </c>
    </row>
    <row r="5961" spans="1:21">
      <c r="A5961">
        <v>5960</v>
      </c>
      <c r="B5961" s="30" t="s">
        <v>1956</v>
      </c>
      <c r="D5961" s="30" t="s">
        <v>1985</v>
      </c>
      <c r="F5961" s="30" t="s">
        <v>2009</v>
      </c>
      <c r="H5961" s="30" t="s">
        <v>2010</v>
      </c>
      <c r="J5961" s="30" t="s">
        <v>12947</v>
      </c>
      <c r="L5961" s="30" t="s">
        <v>12948</v>
      </c>
      <c r="N5961" s="30" t="s">
        <v>12976</v>
      </c>
      <c r="P5961" s="30" t="s">
        <v>12978</v>
      </c>
      <c r="Q5961" t="s">
        <v>735</v>
      </c>
      <c r="R5961" t="s">
        <v>917</v>
      </c>
      <c r="S5961">
        <v>39</v>
      </c>
      <c r="T5961" s="29" t="str">
        <f t="shared" si="275"/>
        <v>2023.023D.Squillovirales_1no_1nf_42ng_67nsp.zip</v>
      </c>
      <c r="U5961" s="29" t="str">
        <f>HYPERLINK("https://ictv.global/taxonomy/taxondetails?taxnode_id=202318727","ictv.global=202318727")</f>
        <v>ictv.global=202318727</v>
      </c>
    </row>
    <row r="5962" spans="1:21">
      <c r="A5962">
        <v>5961</v>
      </c>
      <c r="B5962" s="30" t="s">
        <v>1956</v>
      </c>
      <c r="D5962" s="30" t="s">
        <v>1985</v>
      </c>
      <c r="F5962" s="30" t="s">
        <v>2009</v>
      </c>
      <c r="H5962" s="30" t="s">
        <v>2010</v>
      </c>
      <c r="J5962" s="30" t="s">
        <v>12947</v>
      </c>
      <c r="L5962" s="30" t="s">
        <v>12948</v>
      </c>
      <c r="N5962" s="30" t="s">
        <v>12976</v>
      </c>
      <c r="P5962" s="30" t="s">
        <v>12979</v>
      </c>
      <c r="Q5962" t="s">
        <v>735</v>
      </c>
      <c r="R5962" t="s">
        <v>917</v>
      </c>
      <c r="S5962">
        <v>39</v>
      </c>
      <c r="T5962" s="29" t="str">
        <f t="shared" si="275"/>
        <v>2023.023D.Squillovirales_1no_1nf_42ng_67nsp.zip</v>
      </c>
      <c r="U5962" s="29" t="str">
        <f>HYPERLINK("https://ictv.global/taxonomy/taxondetails?taxnode_id=202318728","ictv.global=202318728")</f>
        <v>ictv.global=202318728</v>
      </c>
    </row>
    <row r="5963" spans="1:21">
      <c r="A5963">
        <v>5962</v>
      </c>
      <c r="B5963" s="30" t="s">
        <v>1956</v>
      </c>
      <c r="D5963" s="30" t="s">
        <v>1985</v>
      </c>
      <c r="F5963" s="30" t="s">
        <v>2009</v>
      </c>
      <c r="H5963" s="30" t="s">
        <v>2010</v>
      </c>
      <c r="J5963" s="30" t="s">
        <v>12947</v>
      </c>
      <c r="L5963" s="30" t="s">
        <v>12948</v>
      </c>
      <c r="N5963" s="30" t="s">
        <v>12980</v>
      </c>
      <c r="P5963" s="30" t="s">
        <v>12981</v>
      </c>
      <c r="Q5963" t="s">
        <v>735</v>
      </c>
      <c r="R5963" t="s">
        <v>917</v>
      </c>
      <c r="S5963">
        <v>39</v>
      </c>
      <c r="T5963" s="29" t="str">
        <f t="shared" si="275"/>
        <v>2023.023D.Squillovirales_1no_1nf_42ng_67nsp.zip</v>
      </c>
      <c r="U5963" s="29" t="str">
        <f>HYPERLINK("https://ictv.global/taxonomy/taxondetails?taxnode_id=202318729","ictv.global=202318729")</f>
        <v>ictv.global=202318729</v>
      </c>
    </row>
    <row r="5964" spans="1:21">
      <c r="A5964">
        <v>5963</v>
      </c>
      <c r="B5964" s="30" t="s">
        <v>1956</v>
      </c>
      <c r="D5964" s="30" t="s">
        <v>1985</v>
      </c>
      <c r="F5964" s="30" t="s">
        <v>2009</v>
      </c>
      <c r="H5964" s="30" t="s">
        <v>2010</v>
      </c>
      <c r="J5964" s="30" t="s">
        <v>12947</v>
      </c>
      <c r="L5964" s="30" t="s">
        <v>12948</v>
      </c>
      <c r="N5964" s="30" t="s">
        <v>12982</v>
      </c>
      <c r="P5964" s="30" t="s">
        <v>12983</v>
      </c>
      <c r="Q5964" t="s">
        <v>735</v>
      </c>
      <c r="R5964" t="s">
        <v>917</v>
      </c>
      <c r="S5964">
        <v>39</v>
      </c>
      <c r="T5964" s="29" t="str">
        <f t="shared" si="275"/>
        <v>2023.023D.Squillovirales_1no_1nf_42ng_67nsp.zip</v>
      </c>
      <c r="U5964" s="29" t="str">
        <f>HYPERLINK("https://ictv.global/taxonomy/taxondetails?taxnode_id=202318730","ictv.global=202318730")</f>
        <v>ictv.global=202318730</v>
      </c>
    </row>
    <row r="5965" spans="1:21">
      <c r="A5965">
        <v>5964</v>
      </c>
      <c r="B5965" s="30" t="s">
        <v>1956</v>
      </c>
      <c r="D5965" s="30" t="s">
        <v>1985</v>
      </c>
      <c r="F5965" s="30" t="s">
        <v>2009</v>
      </c>
      <c r="H5965" s="30" t="s">
        <v>2010</v>
      </c>
      <c r="J5965" s="30" t="s">
        <v>12947</v>
      </c>
      <c r="L5965" s="30" t="s">
        <v>12948</v>
      </c>
      <c r="N5965" s="30" t="s">
        <v>12982</v>
      </c>
      <c r="P5965" s="30" t="s">
        <v>12984</v>
      </c>
      <c r="Q5965" t="s">
        <v>735</v>
      </c>
      <c r="R5965" t="s">
        <v>917</v>
      </c>
      <c r="S5965">
        <v>39</v>
      </c>
      <c r="T5965" s="29" t="str">
        <f t="shared" si="275"/>
        <v>2023.023D.Squillovirales_1no_1nf_42ng_67nsp.zip</v>
      </c>
      <c r="U5965" s="29" t="str">
        <f>HYPERLINK("https://ictv.global/taxonomy/taxondetails?taxnode_id=202318731","ictv.global=202318731")</f>
        <v>ictv.global=202318731</v>
      </c>
    </row>
    <row r="5966" spans="1:21">
      <c r="A5966">
        <v>5965</v>
      </c>
      <c r="B5966" s="30" t="s">
        <v>1956</v>
      </c>
      <c r="D5966" s="30" t="s">
        <v>1985</v>
      </c>
      <c r="F5966" s="30" t="s">
        <v>2009</v>
      </c>
      <c r="H5966" s="30" t="s">
        <v>2010</v>
      </c>
      <c r="J5966" s="30" t="s">
        <v>12947</v>
      </c>
      <c r="L5966" s="30" t="s">
        <v>12948</v>
      </c>
      <c r="N5966" s="30" t="s">
        <v>12985</v>
      </c>
      <c r="P5966" s="30" t="s">
        <v>12986</v>
      </c>
      <c r="Q5966" t="s">
        <v>735</v>
      </c>
      <c r="R5966" t="s">
        <v>917</v>
      </c>
      <c r="S5966">
        <v>39</v>
      </c>
      <c r="T5966" s="29" t="str">
        <f t="shared" si="275"/>
        <v>2023.023D.Squillovirales_1no_1nf_42ng_67nsp.zip</v>
      </c>
      <c r="U5966" s="29" t="str">
        <f>HYPERLINK("https://ictv.global/taxonomy/taxondetails?taxnode_id=202318732","ictv.global=202318732")</f>
        <v>ictv.global=202318732</v>
      </c>
    </row>
    <row r="5967" spans="1:21">
      <c r="A5967">
        <v>5966</v>
      </c>
      <c r="B5967" s="30" t="s">
        <v>1956</v>
      </c>
      <c r="D5967" s="30" t="s">
        <v>1985</v>
      </c>
      <c r="F5967" s="30" t="s">
        <v>2009</v>
      </c>
      <c r="H5967" s="30" t="s">
        <v>2010</v>
      </c>
      <c r="J5967" s="30" t="s">
        <v>12947</v>
      </c>
      <c r="L5967" s="30" t="s">
        <v>12948</v>
      </c>
      <c r="N5967" s="30" t="s">
        <v>12987</v>
      </c>
      <c r="P5967" s="30" t="s">
        <v>12988</v>
      </c>
      <c r="Q5967" t="s">
        <v>735</v>
      </c>
      <c r="R5967" t="s">
        <v>917</v>
      </c>
      <c r="S5967">
        <v>39</v>
      </c>
      <c r="T5967" s="29" t="str">
        <f t="shared" si="275"/>
        <v>2023.023D.Squillovirales_1no_1nf_42ng_67nsp.zip</v>
      </c>
      <c r="U5967" s="29" t="str">
        <f>HYPERLINK("https://ictv.global/taxonomy/taxondetails?taxnode_id=202318733","ictv.global=202318733")</f>
        <v>ictv.global=202318733</v>
      </c>
    </row>
    <row r="5968" spans="1:21">
      <c r="A5968">
        <v>5967</v>
      </c>
      <c r="B5968" s="30" t="s">
        <v>1956</v>
      </c>
      <c r="D5968" s="30" t="s">
        <v>1985</v>
      </c>
      <c r="F5968" s="30" t="s">
        <v>2009</v>
      </c>
      <c r="H5968" s="30" t="s">
        <v>2010</v>
      </c>
      <c r="J5968" s="30" t="s">
        <v>12947</v>
      </c>
      <c r="L5968" s="30" t="s">
        <v>12948</v>
      </c>
      <c r="N5968" s="30" t="s">
        <v>12989</v>
      </c>
      <c r="P5968" s="30" t="s">
        <v>12990</v>
      </c>
      <c r="Q5968" t="s">
        <v>735</v>
      </c>
      <c r="R5968" t="s">
        <v>917</v>
      </c>
      <c r="S5968">
        <v>39</v>
      </c>
      <c r="T5968" s="29" t="str">
        <f t="shared" si="275"/>
        <v>2023.023D.Squillovirales_1no_1nf_42ng_67nsp.zip</v>
      </c>
      <c r="U5968" s="29" t="str">
        <f>HYPERLINK("https://ictv.global/taxonomy/taxondetails?taxnode_id=202318734","ictv.global=202318734")</f>
        <v>ictv.global=202318734</v>
      </c>
    </row>
    <row r="5969" spans="1:21">
      <c r="A5969">
        <v>5968</v>
      </c>
      <c r="B5969" s="30" t="s">
        <v>1956</v>
      </c>
      <c r="D5969" s="30" t="s">
        <v>1985</v>
      </c>
      <c r="F5969" s="30" t="s">
        <v>2009</v>
      </c>
      <c r="H5969" s="30" t="s">
        <v>2010</v>
      </c>
      <c r="J5969" s="30" t="s">
        <v>12947</v>
      </c>
      <c r="L5969" s="30" t="s">
        <v>12948</v>
      </c>
      <c r="N5969" s="30" t="s">
        <v>12991</v>
      </c>
      <c r="P5969" s="30" t="s">
        <v>12992</v>
      </c>
      <c r="Q5969" t="s">
        <v>735</v>
      </c>
      <c r="R5969" t="s">
        <v>917</v>
      </c>
      <c r="S5969">
        <v>39</v>
      </c>
      <c r="T5969" s="29" t="str">
        <f t="shared" si="275"/>
        <v>2023.023D.Squillovirales_1no_1nf_42ng_67nsp.zip</v>
      </c>
      <c r="U5969" s="29" t="str">
        <f>HYPERLINK("https://ictv.global/taxonomy/taxondetails?taxnode_id=202318735","ictv.global=202318735")</f>
        <v>ictv.global=202318735</v>
      </c>
    </row>
    <row r="5970" spans="1:21">
      <c r="A5970">
        <v>5969</v>
      </c>
      <c r="B5970" s="30" t="s">
        <v>1956</v>
      </c>
      <c r="D5970" s="30" t="s">
        <v>1985</v>
      </c>
      <c r="F5970" s="30" t="s">
        <v>2009</v>
      </c>
      <c r="H5970" s="30" t="s">
        <v>2010</v>
      </c>
      <c r="J5970" s="30" t="s">
        <v>12947</v>
      </c>
      <c r="L5970" s="30" t="s">
        <v>12948</v>
      </c>
      <c r="N5970" s="30" t="s">
        <v>12993</v>
      </c>
      <c r="P5970" s="30" t="s">
        <v>12994</v>
      </c>
      <c r="Q5970" t="s">
        <v>735</v>
      </c>
      <c r="R5970" t="s">
        <v>917</v>
      </c>
      <c r="S5970">
        <v>39</v>
      </c>
      <c r="T5970" s="29" t="str">
        <f t="shared" si="275"/>
        <v>2023.023D.Squillovirales_1no_1nf_42ng_67nsp.zip</v>
      </c>
      <c r="U5970" s="29" t="str">
        <f>HYPERLINK("https://ictv.global/taxonomy/taxondetails?taxnode_id=202318736","ictv.global=202318736")</f>
        <v>ictv.global=202318736</v>
      </c>
    </row>
    <row r="5971" spans="1:21">
      <c r="A5971">
        <v>5970</v>
      </c>
      <c r="B5971" s="30" t="s">
        <v>1956</v>
      </c>
      <c r="D5971" s="30" t="s">
        <v>1985</v>
      </c>
      <c r="F5971" s="30" t="s">
        <v>2009</v>
      </c>
      <c r="H5971" s="30" t="s">
        <v>2010</v>
      </c>
      <c r="J5971" s="30" t="s">
        <v>12947</v>
      </c>
      <c r="L5971" s="30" t="s">
        <v>12948</v>
      </c>
      <c r="N5971" s="30" t="s">
        <v>12995</v>
      </c>
      <c r="P5971" s="30" t="s">
        <v>12996</v>
      </c>
      <c r="Q5971" t="s">
        <v>735</v>
      </c>
      <c r="R5971" t="s">
        <v>917</v>
      </c>
      <c r="S5971">
        <v>39</v>
      </c>
      <c r="T5971" s="29" t="str">
        <f t="shared" si="275"/>
        <v>2023.023D.Squillovirales_1no_1nf_42ng_67nsp.zip</v>
      </c>
      <c r="U5971" s="29" t="str">
        <f>HYPERLINK("https://ictv.global/taxonomy/taxondetails?taxnode_id=202318737","ictv.global=202318737")</f>
        <v>ictv.global=202318737</v>
      </c>
    </row>
    <row r="5972" spans="1:21">
      <c r="A5972">
        <v>5971</v>
      </c>
      <c r="B5972" s="30" t="s">
        <v>1956</v>
      </c>
      <c r="D5972" s="30" t="s">
        <v>1985</v>
      </c>
      <c r="F5972" s="30" t="s">
        <v>2009</v>
      </c>
      <c r="H5972" s="30" t="s">
        <v>2010</v>
      </c>
      <c r="J5972" s="30" t="s">
        <v>12947</v>
      </c>
      <c r="L5972" s="30" t="s">
        <v>12948</v>
      </c>
      <c r="N5972" s="30" t="s">
        <v>12997</v>
      </c>
      <c r="P5972" s="30" t="s">
        <v>12998</v>
      </c>
      <c r="Q5972" t="s">
        <v>735</v>
      </c>
      <c r="R5972" t="s">
        <v>917</v>
      </c>
      <c r="S5972">
        <v>39</v>
      </c>
      <c r="T5972" s="29" t="str">
        <f t="shared" si="275"/>
        <v>2023.023D.Squillovirales_1no_1nf_42ng_67nsp.zip</v>
      </c>
      <c r="U5972" s="29" t="str">
        <f>HYPERLINK("https://ictv.global/taxonomy/taxondetails?taxnode_id=202318738","ictv.global=202318738")</f>
        <v>ictv.global=202318738</v>
      </c>
    </row>
    <row r="5973" spans="1:21">
      <c r="A5973">
        <v>5972</v>
      </c>
      <c r="B5973" s="30" t="s">
        <v>1956</v>
      </c>
      <c r="D5973" s="30" t="s">
        <v>1985</v>
      </c>
      <c r="F5973" s="30" t="s">
        <v>2009</v>
      </c>
      <c r="H5973" s="30" t="s">
        <v>2010</v>
      </c>
      <c r="J5973" s="30" t="s">
        <v>12947</v>
      </c>
      <c r="L5973" s="30" t="s">
        <v>12948</v>
      </c>
      <c r="N5973" s="30" t="s">
        <v>12997</v>
      </c>
      <c r="P5973" s="30" t="s">
        <v>12999</v>
      </c>
      <c r="Q5973" t="s">
        <v>735</v>
      </c>
      <c r="R5973" t="s">
        <v>917</v>
      </c>
      <c r="S5973">
        <v>39</v>
      </c>
      <c r="T5973" s="29" t="str">
        <f t="shared" si="275"/>
        <v>2023.023D.Squillovirales_1no_1nf_42ng_67nsp.zip</v>
      </c>
      <c r="U5973" s="29" t="str">
        <f>HYPERLINK("https://ictv.global/taxonomy/taxondetails?taxnode_id=202318739","ictv.global=202318739")</f>
        <v>ictv.global=202318739</v>
      </c>
    </row>
    <row r="5974" spans="1:21">
      <c r="A5974">
        <v>5973</v>
      </c>
      <c r="B5974" s="30" t="s">
        <v>1956</v>
      </c>
      <c r="D5974" s="30" t="s">
        <v>1985</v>
      </c>
      <c r="F5974" s="30" t="s">
        <v>2009</v>
      </c>
      <c r="H5974" s="30" t="s">
        <v>2010</v>
      </c>
      <c r="J5974" s="30" t="s">
        <v>12947</v>
      </c>
      <c r="L5974" s="30" t="s">
        <v>12948</v>
      </c>
      <c r="N5974" s="30" t="s">
        <v>13000</v>
      </c>
      <c r="P5974" s="30" t="s">
        <v>13001</v>
      </c>
      <c r="Q5974" t="s">
        <v>735</v>
      </c>
      <c r="R5974" t="s">
        <v>917</v>
      </c>
      <c r="S5974">
        <v>39</v>
      </c>
      <c r="T5974" s="29" t="str">
        <f t="shared" si="275"/>
        <v>2023.023D.Squillovirales_1no_1nf_42ng_67nsp.zip</v>
      </c>
      <c r="U5974" s="29" t="str">
        <f>HYPERLINK("https://ictv.global/taxonomy/taxondetails?taxnode_id=202318740","ictv.global=202318740")</f>
        <v>ictv.global=202318740</v>
      </c>
    </row>
    <row r="5975" spans="1:21">
      <c r="A5975">
        <v>5974</v>
      </c>
      <c r="B5975" s="30" t="s">
        <v>1956</v>
      </c>
      <c r="D5975" s="30" t="s">
        <v>1985</v>
      </c>
      <c r="F5975" s="30" t="s">
        <v>2009</v>
      </c>
      <c r="H5975" s="30" t="s">
        <v>2010</v>
      </c>
      <c r="J5975" s="30" t="s">
        <v>12947</v>
      </c>
      <c r="L5975" s="30" t="s">
        <v>12948</v>
      </c>
      <c r="N5975" s="30" t="s">
        <v>13002</v>
      </c>
      <c r="P5975" s="30" t="s">
        <v>13003</v>
      </c>
      <c r="Q5975" t="s">
        <v>735</v>
      </c>
      <c r="R5975" t="s">
        <v>917</v>
      </c>
      <c r="S5975">
        <v>39</v>
      </c>
      <c r="T5975" s="29" t="str">
        <f t="shared" si="275"/>
        <v>2023.023D.Squillovirales_1no_1nf_42ng_67nsp.zip</v>
      </c>
      <c r="U5975" s="29" t="str">
        <f>HYPERLINK("https://ictv.global/taxonomy/taxondetails?taxnode_id=202318741","ictv.global=202318741")</f>
        <v>ictv.global=202318741</v>
      </c>
    </row>
    <row r="5976" spans="1:21">
      <c r="A5976">
        <v>5975</v>
      </c>
      <c r="B5976" s="30" t="s">
        <v>1956</v>
      </c>
      <c r="D5976" s="30" t="s">
        <v>1985</v>
      </c>
      <c r="F5976" s="30" t="s">
        <v>2009</v>
      </c>
      <c r="H5976" s="30" t="s">
        <v>2010</v>
      </c>
      <c r="J5976" s="30" t="s">
        <v>12947</v>
      </c>
      <c r="L5976" s="30" t="s">
        <v>12948</v>
      </c>
      <c r="N5976" s="30" t="s">
        <v>13004</v>
      </c>
      <c r="P5976" s="30" t="s">
        <v>13005</v>
      </c>
      <c r="Q5976" t="s">
        <v>735</v>
      </c>
      <c r="R5976" t="s">
        <v>917</v>
      </c>
      <c r="S5976">
        <v>39</v>
      </c>
      <c r="T5976" s="29" t="str">
        <f t="shared" ref="T5976:T6010" si="276">HYPERLINK("https://ictv.global/ictv/proposals/2023.023D.Squillovirales_1no_1nf_42ng_67nsp.zip","2023.023D.Squillovirales_1no_1nf_42ng_67nsp.zip")</f>
        <v>2023.023D.Squillovirales_1no_1nf_42ng_67nsp.zip</v>
      </c>
      <c r="U5976" s="29" t="str">
        <f>HYPERLINK("https://ictv.global/taxonomy/taxondetails?taxnode_id=202318742","ictv.global=202318742")</f>
        <v>ictv.global=202318742</v>
      </c>
    </row>
    <row r="5977" spans="1:21">
      <c r="A5977">
        <v>5976</v>
      </c>
      <c r="B5977" s="30" t="s">
        <v>1956</v>
      </c>
      <c r="D5977" s="30" t="s">
        <v>1985</v>
      </c>
      <c r="F5977" s="30" t="s">
        <v>2009</v>
      </c>
      <c r="H5977" s="30" t="s">
        <v>2010</v>
      </c>
      <c r="J5977" s="30" t="s">
        <v>12947</v>
      </c>
      <c r="L5977" s="30" t="s">
        <v>12948</v>
      </c>
      <c r="N5977" s="30" t="s">
        <v>13004</v>
      </c>
      <c r="P5977" s="30" t="s">
        <v>13006</v>
      </c>
      <c r="Q5977" t="s">
        <v>735</v>
      </c>
      <c r="R5977" t="s">
        <v>917</v>
      </c>
      <c r="S5977">
        <v>39</v>
      </c>
      <c r="T5977" s="29" t="str">
        <f t="shared" si="276"/>
        <v>2023.023D.Squillovirales_1no_1nf_42ng_67nsp.zip</v>
      </c>
      <c r="U5977" s="29" t="str">
        <f>HYPERLINK("https://ictv.global/taxonomy/taxondetails?taxnode_id=202318743","ictv.global=202318743")</f>
        <v>ictv.global=202318743</v>
      </c>
    </row>
    <row r="5978" spans="1:21">
      <c r="A5978">
        <v>5977</v>
      </c>
      <c r="B5978" s="30" t="s">
        <v>1956</v>
      </c>
      <c r="D5978" s="30" t="s">
        <v>1985</v>
      </c>
      <c r="F5978" s="30" t="s">
        <v>2009</v>
      </c>
      <c r="H5978" s="30" t="s">
        <v>2010</v>
      </c>
      <c r="J5978" s="30" t="s">
        <v>12947</v>
      </c>
      <c r="L5978" s="30" t="s">
        <v>12948</v>
      </c>
      <c r="N5978" s="30" t="s">
        <v>13007</v>
      </c>
      <c r="P5978" s="30" t="s">
        <v>13008</v>
      </c>
      <c r="Q5978" t="s">
        <v>735</v>
      </c>
      <c r="R5978" t="s">
        <v>917</v>
      </c>
      <c r="S5978">
        <v>39</v>
      </c>
      <c r="T5978" s="29" t="str">
        <f t="shared" si="276"/>
        <v>2023.023D.Squillovirales_1no_1nf_42ng_67nsp.zip</v>
      </c>
      <c r="U5978" s="29" t="str">
        <f>HYPERLINK("https://ictv.global/taxonomy/taxondetails?taxnode_id=202318744","ictv.global=202318744")</f>
        <v>ictv.global=202318744</v>
      </c>
    </row>
    <row r="5979" spans="1:21">
      <c r="A5979">
        <v>5978</v>
      </c>
      <c r="B5979" s="30" t="s">
        <v>1956</v>
      </c>
      <c r="D5979" s="30" t="s">
        <v>1985</v>
      </c>
      <c r="F5979" s="30" t="s">
        <v>2009</v>
      </c>
      <c r="H5979" s="30" t="s">
        <v>2010</v>
      </c>
      <c r="J5979" s="30" t="s">
        <v>12947</v>
      </c>
      <c r="L5979" s="30" t="s">
        <v>12948</v>
      </c>
      <c r="N5979" s="30" t="s">
        <v>13009</v>
      </c>
      <c r="P5979" s="30" t="s">
        <v>13010</v>
      </c>
      <c r="Q5979" t="s">
        <v>735</v>
      </c>
      <c r="R5979" t="s">
        <v>917</v>
      </c>
      <c r="S5979">
        <v>39</v>
      </c>
      <c r="T5979" s="29" t="str">
        <f t="shared" si="276"/>
        <v>2023.023D.Squillovirales_1no_1nf_42ng_67nsp.zip</v>
      </c>
      <c r="U5979" s="29" t="str">
        <f>HYPERLINK("https://ictv.global/taxonomy/taxondetails?taxnode_id=202318745","ictv.global=202318745")</f>
        <v>ictv.global=202318745</v>
      </c>
    </row>
    <row r="5980" spans="1:21">
      <c r="A5980">
        <v>5979</v>
      </c>
      <c r="B5980" s="30" t="s">
        <v>1956</v>
      </c>
      <c r="D5980" s="30" t="s">
        <v>1985</v>
      </c>
      <c r="F5980" s="30" t="s">
        <v>2009</v>
      </c>
      <c r="H5980" s="30" t="s">
        <v>2010</v>
      </c>
      <c r="J5980" s="30" t="s">
        <v>12947</v>
      </c>
      <c r="L5980" s="30" t="s">
        <v>12948</v>
      </c>
      <c r="N5980" s="30" t="s">
        <v>13009</v>
      </c>
      <c r="P5980" s="30" t="s">
        <v>13011</v>
      </c>
      <c r="Q5980" t="s">
        <v>735</v>
      </c>
      <c r="R5980" t="s">
        <v>917</v>
      </c>
      <c r="S5980">
        <v>39</v>
      </c>
      <c r="T5980" s="29" t="str">
        <f t="shared" si="276"/>
        <v>2023.023D.Squillovirales_1no_1nf_42ng_67nsp.zip</v>
      </c>
      <c r="U5980" s="29" t="str">
        <f>HYPERLINK("https://ictv.global/taxonomy/taxondetails?taxnode_id=202318746","ictv.global=202318746")</f>
        <v>ictv.global=202318746</v>
      </c>
    </row>
    <row r="5981" spans="1:21">
      <c r="A5981">
        <v>5980</v>
      </c>
      <c r="B5981" s="30" t="s">
        <v>1956</v>
      </c>
      <c r="D5981" s="30" t="s">
        <v>1985</v>
      </c>
      <c r="F5981" s="30" t="s">
        <v>2009</v>
      </c>
      <c r="H5981" s="30" t="s">
        <v>2010</v>
      </c>
      <c r="J5981" s="30" t="s">
        <v>12947</v>
      </c>
      <c r="L5981" s="30" t="s">
        <v>12948</v>
      </c>
      <c r="N5981" s="30" t="s">
        <v>13012</v>
      </c>
      <c r="P5981" s="30" t="s">
        <v>13013</v>
      </c>
      <c r="Q5981" t="s">
        <v>735</v>
      </c>
      <c r="R5981" t="s">
        <v>917</v>
      </c>
      <c r="S5981">
        <v>39</v>
      </c>
      <c r="T5981" s="29" t="str">
        <f t="shared" si="276"/>
        <v>2023.023D.Squillovirales_1no_1nf_42ng_67nsp.zip</v>
      </c>
      <c r="U5981" s="29" t="str">
        <f>HYPERLINK("https://ictv.global/taxonomy/taxondetails?taxnode_id=202318747","ictv.global=202318747")</f>
        <v>ictv.global=202318747</v>
      </c>
    </row>
    <row r="5982" spans="1:21">
      <c r="A5982">
        <v>5981</v>
      </c>
      <c r="B5982" s="30" t="s">
        <v>1956</v>
      </c>
      <c r="D5982" s="30" t="s">
        <v>1985</v>
      </c>
      <c r="F5982" s="30" t="s">
        <v>2009</v>
      </c>
      <c r="H5982" s="30" t="s">
        <v>2010</v>
      </c>
      <c r="J5982" s="30" t="s">
        <v>12947</v>
      </c>
      <c r="L5982" s="30" t="s">
        <v>12948</v>
      </c>
      <c r="N5982" s="30" t="s">
        <v>13014</v>
      </c>
      <c r="P5982" s="30" t="s">
        <v>13015</v>
      </c>
      <c r="Q5982" t="s">
        <v>735</v>
      </c>
      <c r="R5982" t="s">
        <v>917</v>
      </c>
      <c r="S5982">
        <v>39</v>
      </c>
      <c r="T5982" s="29" t="str">
        <f t="shared" si="276"/>
        <v>2023.023D.Squillovirales_1no_1nf_42ng_67nsp.zip</v>
      </c>
      <c r="U5982" s="29" t="str">
        <f>HYPERLINK("https://ictv.global/taxonomy/taxondetails?taxnode_id=202318748","ictv.global=202318748")</f>
        <v>ictv.global=202318748</v>
      </c>
    </row>
    <row r="5983" spans="1:21">
      <c r="A5983">
        <v>5982</v>
      </c>
      <c r="B5983" s="30" t="s">
        <v>1956</v>
      </c>
      <c r="D5983" s="30" t="s">
        <v>1985</v>
      </c>
      <c r="F5983" s="30" t="s">
        <v>2009</v>
      </c>
      <c r="H5983" s="30" t="s">
        <v>2010</v>
      </c>
      <c r="J5983" s="30" t="s">
        <v>12947</v>
      </c>
      <c r="L5983" s="30" t="s">
        <v>12948</v>
      </c>
      <c r="N5983" s="30" t="s">
        <v>13016</v>
      </c>
      <c r="P5983" s="30" t="s">
        <v>13017</v>
      </c>
      <c r="Q5983" t="s">
        <v>735</v>
      </c>
      <c r="R5983" t="s">
        <v>917</v>
      </c>
      <c r="S5983">
        <v>39</v>
      </c>
      <c r="T5983" s="29" t="str">
        <f t="shared" si="276"/>
        <v>2023.023D.Squillovirales_1no_1nf_42ng_67nsp.zip</v>
      </c>
      <c r="U5983" s="29" t="str">
        <f>HYPERLINK("https://ictv.global/taxonomy/taxondetails?taxnode_id=202318749","ictv.global=202318749")</f>
        <v>ictv.global=202318749</v>
      </c>
    </row>
    <row r="5984" spans="1:21">
      <c r="A5984">
        <v>5983</v>
      </c>
      <c r="B5984" s="30" t="s">
        <v>1956</v>
      </c>
      <c r="D5984" s="30" t="s">
        <v>1985</v>
      </c>
      <c r="F5984" s="30" t="s">
        <v>2009</v>
      </c>
      <c r="H5984" s="30" t="s">
        <v>2010</v>
      </c>
      <c r="J5984" s="30" t="s">
        <v>12947</v>
      </c>
      <c r="L5984" s="30" t="s">
        <v>12948</v>
      </c>
      <c r="N5984" s="30" t="s">
        <v>13016</v>
      </c>
      <c r="P5984" s="30" t="s">
        <v>13018</v>
      </c>
      <c r="Q5984" t="s">
        <v>735</v>
      </c>
      <c r="R5984" t="s">
        <v>917</v>
      </c>
      <c r="S5984">
        <v>39</v>
      </c>
      <c r="T5984" s="29" t="str">
        <f t="shared" si="276"/>
        <v>2023.023D.Squillovirales_1no_1nf_42ng_67nsp.zip</v>
      </c>
      <c r="U5984" s="29" t="str">
        <f>HYPERLINK("https://ictv.global/taxonomy/taxondetails?taxnode_id=202318750","ictv.global=202318750")</f>
        <v>ictv.global=202318750</v>
      </c>
    </row>
    <row r="5985" spans="1:21">
      <c r="A5985">
        <v>5984</v>
      </c>
      <c r="B5985" s="30" t="s">
        <v>1956</v>
      </c>
      <c r="D5985" s="30" t="s">
        <v>1985</v>
      </c>
      <c r="F5985" s="30" t="s">
        <v>2009</v>
      </c>
      <c r="H5985" s="30" t="s">
        <v>2010</v>
      </c>
      <c r="J5985" s="30" t="s">
        <v>12947</v>
      </c>
      <c r="L5985" s="30" t="s">
        <v>12948</v>
      </c>
      <c r="N5985" s="30" t="s">
        <v>13019</v>
      </c>
      <c r="P5985" s="30" t="s">
        <v>13020</v>
      </c>
      <c r="Q5985" t="s">
        <v>735</v>
      </c>
      <c r="R5985" t="s">
        <v>917</v>
      </c>
      <c r="S5985">
        <v>39</v>
      </c>
      <c r="T5985" s="29" t="str">
        <f t="shared" si="276"/>
        <v>2023.023D.Squillovirales_1no_1nf_42ng_67nsp.zip</v>
      </c>
      <c r="U5985" s="29" t="str">
        <f>HYPERLINK("https://ictv.global/taxonomy/taxondetails?taxnode_id=202318751","ictv.global=202318751")</f>
        <v>ictv.global=202318751</v>
      </c>
    </row>
    <row r="5986" spans="1:21">
      <c r="A5986">
        <v>5985</v>
      </c>
      <c r="B5986" s="30" t="s">
        <v>1956</v>
      </c>
      <c r="D5986" s="30" t="s">
        <v>1985</v>
      </c>
      <c r="F5986" s="30" t="s">
        <v>2009</v>
      </c>
      <c r="H5986" s="30" t="s">
        <v>2010</v>
      </c>
      <c r="J5986" s="30" t="s">
        <v>12947</v>
      </c>
      <c r="L5986" s="30" t="s">
        <v>12948</v>
      </c>
      <c r="N5986" s="30" t="s">
        <v>13021</v>
      </c>
      <c r="P5986" s="30" t="s">
        <v>13022</v>
      </c>
      <c r="Q5986" t="s">
        <v>735</v>
      </c>
      <c r="R5986" t="s">
        <v>917</v>
      </c>
      <c r="S5986">
        <v>39</v>
      </c>
      <c r="T5986" s="29" t="str">
        <f t="shared" si="276"/>
        <v>2023.023D.Squillovirales_1no_1nf_42ng_67nsp.zip</v>
      </c>
      <c r="U5986" s="29" t="str">
        <f>HYPERLINK("https://ictv.global/taxonomy/taxondetails?taxnode_id=202318752","ictv.global=202318752")</f>
        <v>ictv.global=202318752</v>
      </c>
    </row>
    <row r="5987" spans="1:21">
      <c r="A5987">
        <v>5986</v>
      </c>
      <c r="B5987" s="30" t="s">
        <v>1956</v>
      </c>
      <c r="D5987" s="30" t="s">
        <v>1985</v>
      </c>
      <c r="F5987" s="30" t="s">
        <v>2009</v>
      </c>
      <c r="H5987" s="30" t="s">
        <v>2010</v>
      </c>
      <c r="J5987" s="30" t="s">
        <v>12947</v>
      </c>
      <c r="L5987" s="30" t="s">
        <v>12948</v>
      </c>
      <c r="N5987" s="30" t="s">
        <v>13021</v>
      </c>
      <c r="P5987" s="30" t="s">
        <v>13023</v>
      </c>
      <c r="Q5987" t="s">
        <v>735</v>
      </c>
      <c r="R5987" t="s">
        <v>917</v>
      </c>
      <c r="S5987">
        <v>39</v>
      </c>
      <c r="T5987" s="29" t="str">
        <f t="shared" si="276"/>
        <v>2023.023D.Squillovirales_1no_1nf_42ng_67nsp.zip</v>
      </c>
      <c r="U5987" s="29" t="str">
        <f>HYPERLINK("https://ictv.global/taxonomy/taxondetails?taxnode_id=202318753","ictv.global=202318753")</f>
        <v>ictv.global=202318753</v>
      </c>
    </row>
    <row r="5988" spans="1:21">
      <c r="A5988">
        <v>5987</v>
      </c>
      <c r="B5988" s="30" t="s">
        <v>1956</v>
      </c>
      <c r="D5988" s="30" t="s">
        <v>1985</v>
      </c>
      <c r="F5988" s="30" t="s">
        <v>2009</v>
      </c>
      <c r="H5988" s="30" t="s">
        <v>2010</v>
      </c>
      <c r="J5988" s="30" t="s">
        <v>12947</v>
      </c>
      <c r="L5988" s="30" t="s">
        <v>12948</v>
      </c>
      <c r="N5988" s="30" t="s">
        <v>13021</v>
      </c>
      <c r="P5988" s="30" t="s">
        <v>13024</v>
      </c>
      <c r="Q5988" t="s">
        <v>735</v>
      </c>
      <c r="R5988" t="s">
        <v>917</v>
      </c>
      <c r="S5988">
        <v>39</v>
      </c>
      <c r="T5988" s="29" t="str">
        <f t="shared" si="276"/>
        <v>2023.023D.Squillovirales_1no_1nf_42ng_67nsp.zip</v>
      </c>
      <c r="U5988" s="29" t="str">
        <f>HYPERLINK("https://ictv.global/taxonomy/taxondetails?taxnode_id=202318754","ictv.global=202318754")</f>
        <v>ictv.global=202318754</v>
      </c>
    </row>
    <row r="5989" spans="1:21">
      <c r="A5989">
        <v>5988</v>
      </c>
      <c r="B5989" s="30" t="s">
        <v>1956</v>
      </c>
      <c r="D5989" s="30" t="s">
        <v>1985</v>
      </c>
      <c r="F5989" s="30" t="s">
        <v>2009</v>
      </c>
      <c r="H5989" s="30" t="s">
        <v>2010</v>
      </c>
      <c r="J5989" s="30" t="s">
        <v>12947</v>
      </c>
      <c r="L5989" s="30" t="s">
        <v>12948</v>
      </c>
      <c r="N5989" s="30" t="s">
        <v>13021</v>
      </c>
      <c r="P5989" s="30" t="s">
        <v>13025</v>
      </c>
      <c r="Q5989" t="s">
        <v>735</v>
      </c>
      <c r="R5989" t="s">
        <v>917</v>
      </c>
      <c r="S5989">
        <v>39</v>
      </c>
      <c r="T5989" s="29" t="str">
        <f t="shared" si="276"/>
        <v>2023.023D.Squillovirales_1no_1nf_42ng_67nsp.zip</v>
      </c>
      <c r="U5989" s="29" t="str">
        <f>HYPERLINK("https://ictv.global/taxonomy/taxondetails?taxnode_id=202318755","ictv.global=202318755")</f>
        <v>ictv.global=202318755</v>
      </c>
    </row>
    <row r="5990" spans="1:21">
      <c r="A5990">
        <v>5989</v>
      </c>
      <c r="B5990" s="30" t="s">
        <v>1956</v>
      </c>
      <c r="D5990" s="30" t="s">
        <v>1985</v>
      </c>
      <c r="F5990" s="30" t="s">
        <v>2009</v>
      </c>
      <c r="H5990" s="30" t="s">
        <v>2010</v>
      </c>
      <c r="J5990" s="30" t="s">
        <v>12947</v>
      </c>
      <c r="L5990" s="30" t="s">
        <v>12948</v>
      </c>
      <c r="N5990" s="30" t="s">
        <v>13021</v>
      </c>
      <c r="P5990" s="30" t="s">
        <v>13026</v>
      </c>
      <c r="Q5990" t="s">
        <v>735</v>
      </c>
      <c r="R5990" t="s">
        <v>917</v>
      </c>
      <c r="S5990">
        <v>39</v>
      </c>
      <c r="T5990" s="29" t="str">
        <f t="shared" si="276"/>
        <v>2023.023D.Squillovirales_1no_1nf_42ng_67nsp.zip</v>
      </c>
      <c r="U5990" s="29" t="str">
        <f>HYPERLINK("https://ictv.global/taxonomy/taxondetails?taxnode_id=202318756","ictv.global=202318756")</f>
        <v>ictv.global=202318756</v>
      </c>
    </row>
    <row r="5991" spans="1:21">
      <c r="A5991">
        <v>5990</v>
      </c>
      <c r="B5991" s="30" t="s">
        <v>1956</v>
      </c>
      <c r="D5991" s="30" t="s">
        <v>1985</v>
      </c>
      <c r="F5991" s="30" t="s">
        <v>2009</v>
      </c>
      <c r="H5991" s="30" t="s">
        <v>2010</v>
      </c>
      <c r="J5991" s="30" t="s">
        <v>12947</v>
      </c>
      <c r="L5991" s="30" t="s">
        <v>12948</v>
      </c>
      <c r="N5991" s="30" t="s">
        <v>13021</v>
      </c>
      <c r="P5991" s="30" t="s">
        <v>13027</v>
      </c>
      <c r="Q5991" t="s">
        <v>735</v>
      </c>
      <c r="R5991" t="s">
        <v>917</v>
      </c>
      <c r="S5991">
        <v>39</v>
      </c>
      <c r="T5991" s="29" t="str">
        <f t="shared" si="276"/>
        <v>2023.023D.Squillovirales_1no_1nf_42ng_67nsp.zip</v>
      </c>
      <c r="U5991" s="29" t="str">
        <f>HYPERLINK("https://ictv.global/taxonomy/taxondetails?taxnode_id=202318757","ictv.global=202318757")</f>
        <v>ictv.global=202318757</v>
      </c>
    </row>
    <row r="5992" spans="1:21">
      <c r="A5992">
        <v>5991</v>
      </c>
      <c r="B5992" s="30" t="s">
        <v>1956</v>
      </c>
      <c r="D5992" s="30" t="s">
        <v>1985</v>
      </c>
      <c r="F5992" s="30" t="s">
        <v>2009</v>
      </c>
      <c r="H5992" s="30" t="s">
        <v>2010</v>
      </c>
      <c r="J5992" s="30" t="s">
        <v>12947</v>
      </c>
      <c r="L5992" s="30" t="s">
        <v>12948</v>
      </c>
      <c r="N5992" s="30" t="s">
        <v>13021</v>
      </c>
      <c r="P5992" s="30" t="s">
        <v>13028</v>
      </c>
      <c r="Q5992" t="s">
        <v>735</v>
      </c>
      <c r="R5992" t="s">
        <v>917</v>
      </c>
      <c r="S5992">
        <v>39</v>
      </c>
      <c r="T5992" s="29" t="str">
        <f t="shared" si="276"/>
        <v>2023.023D.Squillovirales_1no_1nf_42ng_67nsp.zip</v>
      </c>
      <c r="U5992" s="29" t="str">
        <f>HYPERLINK("https://ictv.global/taxonomy/taxondetails?taxnode_id=202318758","ictv.global=202318758")</f>
        <v>ictv.global=202318758</v>
      </c>
    </row>
    <row r="5993" spans="1:21">
      <c r="A5993">
        <v>5992</v>
      </c>
      <c r="B5993" s="30" t="s">
        <v>1956</v>
      </c>
      <c r="D5993" s="30" t="s">
        <v>1985</v>
      </c>
      <c r="F5993" s="30" t="s">
        <v>2009</v>
      </c>
      <c r="H5993" s="30" t="s">
        <v>2010</v>
      </c>
      <c r="J5993" s="30" t="s">
        <v>12947</v>
      </c>
      <c r="L5993" s="30" t="s">
        <v>12948</v>
      </c>
      <c r="N5993" s="30" t="s">
        <v>13029</v>
      </c>
      <c r="P5993" s="30" t="s">
        <v>13030</v>
      </c>
      <c r="Q5993" t="s">
        <v>735</v>
      </c>
      <c r="R5993" t="s">
        <v>917</v>
      </c>
      <c r="S5993">
        <v>39</v>
      </c>
      <c r="T5993" s="29" t="str">
        <f t="shared" si="276"/>
        <v>2023.023D.Squillovirales_1no_1nf_42ng_67nsp.zip</v>
      </c>
      <c r="U5993" s="29" t="str">
        <f>HYPERLINK("https://ictv.global/taxonomy/taxondetails?taxnode_id=202318759","ictv.global=202318759")</f>
        <v>ictv.global=202318759</v>
      </c>
    </row>
    <row r="5994" spans="1:21">
      <c r="A5994">
        <v>5993</v>
      </c>
      <c r="B5994" s="30" t="s">
        <v>1956</v>
      </c>
      <c r="D5994" s="30" t="s">
        <v>1985</v>
      </c>
      <c r="F5994" s="30" t="s">
        <v>2009</v>
      </c>
      <c r="H5994" s="30" t="s">
        <v>2010</v>
      </c>
      <c r="J5994" s="30" t="s">
        <v>12947</v>
      </c>
      <c r="L5994" s="30" t="s">
        <v>12948</v>
      </c>
      <c r="N5994" s="30" t="s">
        <v>13029</v>
      </c>
      <c r="P5994" s="30" t="s">
        <v>13031</v>
      </c>
      <c r="Q5994" t="s">
        <v>735</v>
      </c>
      <c r="R5994" t="s">
        <v>917</v>
      </c>
      <c r="S5994">
        <v>39</v>
      </c>
      <c r="T5994" s="29" t="str">
        <f t="shared" si="276"/>
        <v>2023.023D.Squillovirales_1no_1nf_42ng_67nsp.zip</v>
      </c>
      <c r="U5994" s="29" t="str">
        <f>HYPERLINK("https://ictv.global/taxonomy/taxondetails?taxnode_id=202318760","ictv.global=202318760")</f>
        <v>ictv.global=202318760</v>
      </c>
    </row>
    <row r="5995" spans="1:21">
      <c r="A5995">
        <v>5994</v>
      </c>
      <c r="B5995" s="30" t="s">
        <v>1956</v>
      </c>
      <c r="D5995" s="30" t="s">
        <v>1985</v>
      </c>
      <c r="F5995" s="30" t="s">
        <v>2009</v>
      </c>
      <c r="H5995" s="30" t="s">
        <v>2010</v>
      </c>
      <c r="J5995" s="30" t="s">
        <v>12947</v>
      </c>
      <c r="L5995" s="30" t="s">
        <v>12948</v>
      </c>
      <c r="N5995" s="30" t="s">
        <v>13029</v>
      </c>
      <c r="P5995" s="30" t="s">
        <v>13032</v>
      </c>
      <c r="Q5995" t="s">
        <v>735</v>
      </c>
      <c r="R5995" t="s">
        <v>917</v>
      </c>
      <c r="S5995">
        <v>39</v>
      </c>
      <c r="T5995" s="29" t="str">
        <f t="shared" si="276"/>
        <v>2023.023D.Squillovirales_1no_1nf_42ng_67nsp.zip</v>
      </c>
      <c r="U5995" s="29" t="str">
        <f>HYPERLINK("https://ictv.global/taxonomy/taxondetails?taxnode_id=202318761","ictv.global=202318761")</f>
        <v>ictv.global=202318761</v>
      </c>
    </row>
    <row r="5996" spans="1:21">
      <c r="A5996">
        <v>5995</v>
      </c>
      <c r="B5996" s="30" t="s">
        <v>1956</v>
      </c>
      <c r="D5996" s="30" t="s">
        <v>1985</v>
      </c>
      <c r="F5996" s="30" t="s">
        <v>2009</v>
      </c>
      <c r="H5996" s="30" t="s">
        <v>2010</v>
      </c>
      <c r="J5996" s="30" t="s">
        <v>12947</v>
      </c>
      <c r="L5996" s="30" t="s">
        <v>12948</v>
      </c>
      <c r="N5996" s="30" t="s">
        <v>13029</v>
      </c>
      <c r="P5996" s="30" t="s">
        <v>13033</v>
      </c>
      <c r="Q5996" t="s">
        <v>735</v>
      </c>
      <c r="R5996" t="s">
        <v>917</v>
      </c>
      <c r="S5996">
        <v>39</v>
      </c>
      <c r="T5996" s="29" t="str">
        <f t="shared" si="276"/>
        <v>2023.023D.Squillovirales_1no_1nf_42ng_67nsp.zip</v>
      </c>
      <c r="U5996" s="29" t="str">
        <f>HYPERLINK("https://ictv.global/taxonomy/taxondetails?taxnode_id=202318762","ictv.global=202318762")</f>
        <v>ictv.global=202318762</v>
      </c>
    </row>
    <row r="5997" spans="1:21">
      <c r="A5997">
        <v>5996</v>
      </c>
      <c r="B5997" s="30" t="s">
        <v>1956</v>
      </c>
      <c r="D5997" s="30" t="s">
        <v>1985</v>
      </c>
      <c r="F5997" s="30" t="s">
        <v>2009</v>
      </c>
      <c r="H5997" s="30" t="s">
        <v>2010</v>
      </c>
      <c r="J5997" s="30" t="s">
        <v>12947</v>
      </c>
      <c r="L5997" s="30" t="s">
        <v>12948</v>
      </c>
      <c r="N5997" s="30" t="s">
        <v>13034</v>
      </c>
      <c r="P5997" s="30" t="s">
        <v>13035</v>
      </c>
      <c r="Q5997" t="s">
        <v>735</v>
      </c>
      <c r="R5997" t="s">
        <v>917</v>
      </c>
      <c r="S5997">
        <v>39</v>
      </c>
      <c r="T5997" s="29" t="str">
        <f t="shared" si="276"/>
        <v>2023.023D.Squillovirales_1no_1nf_42ng_67nsp.zip</v>
      </c>
      <c r="U5997" s="29" t="str">
        <f>HYPERLINK("https://ictv.global/taxonomy/taxondetails?taxnode_id=202318763","ictv.global=202318763")</f>
        <v>ictv.global=202318763</v>
      </c>
    </row>
    <row r="5998" spans="1:21">
      <c r="A5998">
        <v>5997</v>
      </c>
      <c r="B5998" s="30" t="s">
        <v>1956</v>
      </c>
      <c r="D5998" s="30" t="s">
        <v>1985</v>
      </c>
      <c r="F5998" s="30" t="s">
        <v>2009</v>
      </c>
      <c r="H5998" s="30" t="s">
        <v>2010</v>
      </c>
      <c r="J5998" s="30" t="s">
        <v>12947</v>
      </c>
      <c r="L5998" s="30" t="s">
        <v>12948</v>
      </c>
      <c r="N5998" s="30" t="s">
        <v>13036</v>
      </c>
      <c r="P5998" s="30" t="s">
        <v>13037</v>
      </c>
      <c r="Q5998" t="s">
        <v>735</v>
      </c>
      <c r="R5998" t="s">
        <v>917</v>
      </c>
      <c r="S5998">
        <v>39</v>
      </c>
      <c r="T5998" s="29" t="str">
        <f t="shared" si="276"/>
        <v>2023.023D.Squillovirales_1no_1nf_42ng_67nsp.zip</v>
      </c>
      <c r="U5998" s="29" t="str">
        <f>HYPERLINK("https://ictv.global/taxonomy/taxondetails?taxnode_id=202318764","ictv.global=202318764")</f>
        <v>ictv.global=202318764</v>
      </c>
    </row>
    <row r="5999" spans="1:21">
      <c r="A5999">
        <v>5998</v>
      </c>
      <c r="B5999" s="30" t="s">
        <v>1956</v>
      </c>
      <c r="D5999" s="30" t="s">
        <v>1985</v>
      </c>
      <c r="F5999" s="30" t="s">
        <v>2009</v>
      </c>
      <c r="H5999" s="30" t="s">
        <v>2010</v>
      </c>
      <c r="J5999" s="30" t="s">
        <v>12947</v>
      </c>
      <c r="L5999" s="30" t="s">
        <v>12948</v>
      </c>
      <c r="N5999" s="30" t="s">
        <v>13036</v>
      </c>
      <c r="P5999" s="30" t="s">
        <v>13038</v>
      </c>
      <c r="Q5999" t="s">
        <v>735</v>
      </c>
      <c r="R5999" t="s">
        <v>917</v>
      </c>
      <c r="S5999">
        <v>39</v>
      </c>
      <c r="T5999" s="29" t="str">
        <f t="shared" si="276"/>
        <v>2023.023D.Squillovirales_1no_1nf_42ng_67nsp.zip</v>
      </c>
      <c r="U5999" s="29" t="str">
        <f>HYPERLINK("https://ictv.global/taxonomy/taxondetails?taxnode_id=202318765","ictv.global=202318765")</f>
        <v>ictv.global=202318765</v>
      </c>
    </row>
    <row r="6000" spans="1:21">
      <c r="A6000">
        <v>5999</v>
      </c>
      <c r="B6000" s="30" t="s">
        <v>1956</v>
      </c>
      <c r="D6000" s="30" t="s">
        <v>1985</v>
      </c>
      <c r="F6000" s="30" t="s">
        <v>2009</v>
      </c>
      <c r="H6000" s="30" t="s">
        <v>2010</v>
      </c>
      <c r="J6000" s="30" t="s">
        <v>12947</v>
      </c>
      <c r="L6000" s="30" t="s">
        <v>12948</v>
      </c>
      <c r="N6000" s="30" t="s">
        <v>13039</v>
      </c>
      <c r="P6000" s="30" t="s">
        <v>13040</v>
      </c>
      <c r="Q6000" t="s">
        <v>735</v>
      </c>
      <c r="R6000" t="s">
        <v>917</v>
      </c>
      <c r="S6000">
        <v>39</v>
      </c>
      <c r="T6000" s="29" t="str">
        <f t="shared" si="276"/>
        <v>2023.023D.Squillovirales_1no_1nf_42ng_67nsp.zip</v>
      </c>
      <c r="U6000" s="29" t="str">
        <f>HYPERLINK("https://ictv.global/taxonomy/taxondetails?taxnode_id=202318766","ictv.global=202318766")</f>
        <v>ictv.global=202318766</v>
      </c>
    </row>
    <row r="6001" spans="1:21">
      <c r="A6001">
        <v>6000</v>
      </c>
      <c r="B6001" s="30" t="s">
        <v>1956</v>
      </c>
      <c r="D6001" s="30" t="s">
        <v>1985</v>
      </c>
      <c r="F6001" s="30" t="s">
        <v>2009</v>
      </c>
      <c r="H6001" s="30" t="s">
        <v>2010</v>
      </c>
      <c r="J6001" s="30" t="s">
        <v>12947</v>
      </c>
      <c r="L6001" s="30" t="s">
        <v>12948</v>
      </c>
      <c r="N6001" s="30" t="s">
        <v>13039</v>
      </c>
      <c r="P6001" s="30" t="s">
        <v>13041</v>
      </c>
      <c r="Q6001" t="s">
        <v>735</v>
      </c>
      <c r="R6001" t="s">
        <v>917</v>
      </c>
      <c r="S6001">
        <v>39</v>
      </c>
      <c r="T6001" s="29" t="str">
        <f t="shared" si="276"/>
        <v>2023.023D.Squillovirales_1no_1nf_42ng_67nsp.zip</v>
      </c>
      <c r="U6001" s="29" t="str">
        <f>HYPERLINK("https://ictv.global/taxonomy/taxondetails?taxnode_id=202318767","ictv.global=202318767")</f>
        <v>ictv.global=202318767</v>
      </c>
    </row>
    <row r="6002" spans="1:21">
      <c r="A6002">
        <v>6001</v>
      </c>
      <c r="B6002" s="30" t="s">
        <v>1956</v>
      </c>
      <c r="D6002" s="30" t="s">
        <v>1985</v>
      </c>
      <c r="F6002" s="30" t="s">
        <v>2009</v>
      </c>
      <c r="H6002" s="30" t="s">
        <v>2010</v>
      </c>
      <c r="J6002" s="30" t="s">
        <v>12947</v>
      </c>
      <c r="L6002" s="30" t="s">
        <v>12948</v>
      </c>
      <c r="N6002" s="30" t="s">
        <v>13042</v>
      </c>
      <c r="P6002" s="30" t="s">
        <v>13043</v>
      </c>
      <c r="Q6002" t="s">
        <v>735</v>
      </c>
      <c r="R6002" t="s">
        <v>917</v>
      </c>
      <c r="S6002">
        <v>39</v>
      </c>
      <c r="T6002" s="29" t="str">
        <f t="shared" si="276"/>
        <v>2023.023D.Squillovirales_1no_1nf_42ng_67nsp.zip</v>
      </c>
      <c r="U6002" s="29" t="str">
        <f>HYPERLINK("https://ictv.global/taxonomy/taxondetails?taxnode_id=202318768","ictv.global=202318768")</f>
        <v>ictv.global=202318768</v>
      </c>
    </row>
    <row r="6003" spans="1:21">
      <c r="A6003">
        <v>6002</v>
      </c>
      <c r="B6003" s="30" t="s">
        <v>1956</v>
      </c>
      <c r="D6003" s="30" t="s">
        <v>1985</v>
      </c>
      <c r="F6003" s="30" t="s">
        <v>2009</v>
      </c>
      <c r="H6003" s="30" t="s">
        <v>2010</v>
      </c>
      <c r="J6003" s="30" t="s">
        <v>12947</v>
      </c>
      <c r="L6003" s="30" t="s">
        <v>12948</v>
      </c>
      <c r="N6003" s="30" t="s">
        <v>13044</v>
      </c>
      <c r="P6003" s="30" t="s">
        <v>13045</v>
      </c>
      <c r="Q6003" t="s">
        <v>735</v>
      </c>
      <c r="R6003" t="s">
        <v>917</v>
      </c>
      <c r="S6003">
        <v>39</v>
      </c>
      <c r="T6003" s="29" t="str">
        <f t="shared" si="276"/>
        <v>2023.023D.Squillovirales_1no_1nf_42ng_67nsp.zip</v>
      </c>
      <c r="U6003" s="29" t="str">
        <f>HYPERLINK("https://ictv.global/taxonomy/taxondetails?taxnode_id=202318769","ictv.global=202318769")</f>
        <v>ictv.global=202318769</v>
      </c>
    </row>
    <row r="6004" spans="1:21">
      <c r="A6004">
        <v>6003</v>
      </c>
      <c r="B6004" s="30" t="s">
        <v>1956</v>
      </c>
      <c r="D6004" s="30" t="s">
        <v>1985</v>
      </c>
      <c r="F6004" s="30" t="s">
        <v>2009</v>
      </c>
      <c r="H6004" s="30" t="s">
        <v>2010</v>
      </c>
      <c r="J6004" s="30" t="s">
        <v>12947</v>
      </c>
      <c r="L6004" s="30" t="s">
        <v>12948</v>
      </c>
      <c r="N6004" s="30" t="s">
        <v>13046</v>
      </c>
      <c r="P6004" s="30" t="s">
        <v>13047</v>
      </c>
      <c r="Q6004" t="s">
        <v>735</v>
      </c>
      <c r="R6004" t="s">
        <v>917</v>
      </c>
      <c r="S6004">
        <v>39</v>
      </c>
      <c r="T6004" s="29" t="str">
        <f t="shared" si="276"/>
        <v>2023.023D.Squillovirales_1no_1nf_42ng_67nsp.zip</v>
      </c>
      <c r="U6004" s="29" t="str">
        <f>HYPERLINK("https://ictv.global/taxonomy/taxondetails?taxnode_id=202318770","ictv.global=202318770")</f>
        <v>ictv.global=202318770</v>
      </c>
    </row>
    <row r="6005" spans="1:21">
      <c r="A6005">
        <v>6004</v>
      </c>
      <c r="B6005" s="30" t="s">
        <v>1956</v>
      </c>
      <c r="D6005" s="30" t="s">
        <v>1985</v>
      </c>
      <c r="F6005" s="30" t="s">
        <v>2009</v>
      </c>
      <c r="H6005" s="30" t="s">
        <v>2010</v>
      </c>
      <c r="J6005" s="30" t="s">
        <v>12947</v>
      </c>
      <c r="L6005" s="30" t="s">
        <v>12948</v>
      </c>
      <c r="N6005" s="30" t="s">
        <v>13048</v>
      </c>
      <c r="P6005" s="30" t="s">
        <v>13049</v>
      </c>
      <c r="Q6005" t="s">
        <v>735</v>
      </c>
      <c r="R6005" t="s">
        <v>917</v>
      </c>
      <c r="S6005">
        <v>39</v>
      </c>
      <c r="T6005" s="29" t="str">
        <f t="shared" si="276"/>
        <v>2023.023D.Squillovirales_1no_1nf_42ng_67nsp.zip</v>
      </c>
      <c r="U6005" s="29" t="str">
        <f>HYPERLINK("https://ictv.global/taxonomy/taxondetails?taxnode_id=202318771","ictv.global=202318771")</f>
        <v>ictv.global=202318771</v>
      </c>
    </row>
    <row r="6006" spans="1:21">
      <c r="A6006">
        <v>6005</v>
      </c>
      <c r="B6006" s="30" t="s">
        <v>1956</v>
      </c>
      <c r="D6006" s="30" t="s">
        <v>1985</v>
      </c>
      <c r="F6006" s="30" t="s">
        <v>2009</v>
      </c>
      <c r="H6006" s="30" t="s">
        <v>2010</v>
      </c>
      <c r="J6006" s="30" t="s">
        <v>12947</v>
      </c>
      <c r="L6006" s="30" t="s">
        <v>12948</v>
      </c>
      <c r="N6006" s="30" t="s">
        <v>13048</v>
      </c>
      <c r="P6006" s="30" t="s">
        <v>13050</v>
      </c>
      <c r="Q6006" t="s">
        <v>735</v>
      </c>
      <c r="R6006" t="s">
        <v>917</v>
      </c>
      <c r="S6006">
        <v>39</v>
      </c>
      <c r="T6006" s="29" t="str">
        <f t="shared" si="276"/>
        <v>2023.023D.Squillovirales_1no_1nf_42ng_67nsp.zip</v>
      </c>
      <c r="U6006" s="29" t="str">
        <f>HYPERLINK("https://ictv.global/taxonomy/taxondetails?taxnode_id=202318772","ictv.global=202318772")</f>
        <v>ictv.global=202318772</v>
      </c>
    </row>
    <row r="6007" spans="1:21">
      <c r="A6007">
        <v>6006</v>
      </c>
      <c r="B6007" s="30" t="s">
        <v>1956</v>
      </c>
      <c r="D6007" s="30" t="s">
        <v>1985</v>
      </c>
      <c r="F6007" s="30" t="s">
        <v>2009</v>
      </c>
      <c r="H6007" s="30" t="s">
        <v>2010</v>
      </c>
      <c r="J6007" s="30" t="s">
        <v>12947</v>
      </c>
      <c r="L6007" s="30" t="s">
        <v>12948</v>
      </c>
      <c r="N6007" s="30" t="s">
        <v>13051</v>
      </c>
      <c r="P6007" s="30" t="s">
        <v>13052</v>
      </c>
      <c r="Q6007" t="s">
        <v>735</v>
      </c>
      <c r="R6007" t="s">
        <v>917</v>
      </c>
      <c r="S6007">
        <v>39</v>
      </c>
      <c r="T6007" s="29" t="str">
        <f t="shared" si="276"/>
        <v>2023.023D.Squillovirales_1no_1nf_42ng_67nsp.zip</v>
      </c>
      <c r="U6007" s="29" t="str">
        <f>HYPERLINK("https://ictv.global/taxonomy/taxondetails?taxnode_id=202318773","ictv.global=202318773")</f>
        <v>ictv.global=202318773</v>
      </c>
    </row>
    <row r="6008" spans="1:21">
      <c r="A6008">
        <v>6007</v>
      </c>
      <c r="B6008" s="30" t="s">
        <v>1956</v>
      </c>
      <c r="D6008" s="30" t="s">
        <v>1985</v>
      </c>
      <c r="F6008" s="30" t="s">
        <v>2009</v>
      </c>
      <c r="H6008" s="30" t="s">
        <v>2010</v>
      </c>
      <c r="J6008" s="30" t="s">
        <v>12947</v>
      </c>
      <c r="L6008" s="30" t="s">
        <v>12948</v>
      </c>
      <c r="N6008" s="30" t="s">
        <v>13053</v>
      </c>
      <c r="P6008" s="30" t="s">
        <v>13054</v>
      </c>
      <c r="Q6008" t="s">
        <v>735</v>
      </c>
      <c r="R6008" t="s">
        <v>917</v>
      </c>
      <c r="S6008">
        <v>39</v>
      </c>
      <c r="T6008" s="29" t="str">
        <f t="shared" si="276"/>
        <v>2023.023D.Squillovirales_1no_1nf_42ng_67nsp.zip</v>
      </c>
      <c r="U6008" s="29" t="str">
        <f>HYPERLINK("https://ictv.global/taxonomy/taxondetails?taxnode_id=202318774","ictv.global=202318774")</f>
        <v>ictv.global=202318774</v>
      </c>
    </row>
    <row r="6009" spans="1:21">
      <c r="A6009">
        <v>6008</v>
      </c>
      <c r="B6009" s="30" t="s">
        <v>1956</v>
      </c>
      <c r="D6009" s="30" t="s">
        <v>1985</v>
      </c>
      <c r="F6009" s="30" t="s">
        <v>2009</v>
      </c>
      <c r="H6009" s="30" t="s">
        <v>2010</v>
      </c>
      <c r="J6009" s="30" t="s">
        <v>12947</v>
      </c>
      <c r="L6009" s="30" t="s">
        <v>12948</v>
      </c>
      <c r="N6009" s="30" t="s">
        <v>13055</v>
      </c>
      <c r="P6009" s="30" t="s">
        <v>13056</v>
      </c>
      <c r="Q6009" t="s">
        <v>735</v>
      </c>
      <c r="R6009" t="s">
        <v>917</v>
      </c>
      <c r="S6009">
        <v>39</v>
      </c>
      <c r="T6009" s="29" t="str">
        <f t="shared" si="276"/>
        <v>2023.023D.Squillovirales_1no_1nf_42ng_67nsp.zip</v>
      </c>
      <c r="U6009" s="29" t="str">
        <f>HYPERLINK("https://ictv.global/taxonomy/taxondetails?taxnode_id=202318775","ictv.global=202318775")</f>
        <v>ictv.global=202318775</v>
      </c>
    </row>
    <row r="6010" spans="1:21">
      <c r="A6010">
        <v>6009</v>
      </c>
      <c r="B6010" s="30" t="s">
        <v>1956</v>
      </c>
      <c r="D6010" s="30" t="s">
        <v>1985</v>
      </c>
      <c r="F6010" s="30" t="s">
        <v>2009</v>
      </c>
      <c r="H6010" s="30" t="s">
        <v>2010</v>
      </c>
      <c r="J6010" s="30" t="s">
        <v>12947</v>
      </c>
      <c r="L6010" s="30" t="s">
        <v>12948</v>
      </c>
      <c r="N6010" s="30" t="s">
        <v>13055</v>
      </c>
      <c r="P6010" s="30" t="s">
        <v>13057</v>
      </c>
      <c r="Q6010" t="s">
        <v>735</v>
      </c>
      <c r="R6010" t="s">
        <v>917</v>
      </c>
      <c r="S6010">
        <v>39</v>
      </c>
      <c r="T6010" s="29" t="str">
        <f t="shared" si="276"/>
        <v>2023.023D.Squillovirales_1no_1nf_42ng_67nsp.zip</v>
      </c>
      <c r="U6010" s="29" t="str">
        <f>HYPERLINK("https://ictv.global/taxonomy/taxondetails?taxnode_id=202318776","ictv.global=202318776")</f>
        <v>ictv.global=202318776</v>
      </c>
    </row>
    <row r="6011" spans="1:21">
      <c r="A6011">
        <v>6010</v>
      </c>
      <c r="B6011" s="30" t="s">
        <v>1956</v>
      </c>
      <c r="D6011" s="30" t="s">
        <v>1985</v>
      </c>
      <c r="F6011" s="30" t="s">
        <v>2009</v>
      </c>
      <c r="H6011" s="30" t="s">
        <v>2010</v>
      </c>
      <c r="J6011" s="30" t="s">
        <v>2014</v>
      </c>
      <c r="L6011" s="30" t="s">
        <v>9086</v>
      </c>
      <c r="N6011" s="30" t="s">
        <v>9087</v>
      </c>
      <c r="P6011" s="30" t="s">
        <v>9088</v>
      </c>
      <c r="Q6011" t="s">
        <v>735</v>
      </c>
      <c r="R6011" t="s">
        <v>917</v>
      </c>
      <c r="S6011">
        <v>38</v>
      </c>
      <c r="T6011" s="29" t="str">
        <f>HYPERLINK("https://ictv.global/ictv/proposals/2022.009P.Amesuviridae_nf.zip","2022.009P.Amesuviridae_nf.zip")</f>
        <v>2022.009P.Amesuviridae_nf.zip</v>
      </c>
      <c r="U6011" s="29" t="str">
        <f>HYPERLINK("https://ictv.global/taxonomy/taxondetails?taxnode_id=202315106","ictv.global=202315106")</f>
        <v>ictv.global=202315106</v>
      </c>
    </row>
    <row r="6012" spans="1:21">
      <c r="A6012">
        <v>6011</v>
      </c>
      <c r="B6012" s="30" t="s">
        <v>1956</v>
      </c>
      <c r="D6012" s="30" t="s">
        <v>1985</v>
      </c>
      <c r="F6012" s="30" t="s">
        <v>2009</v>
      </c>
      <c r="H6012" s="30" t="s">
        <v>2010</v>
      </c>
      <c r="J6012" s="30" t="s">
        <v>2014</v>
      </c>
      <c r="L6012" s="30" t="s">
        <v>9086</v>
      </c>
      <c r="N6012" s="30" t="s">
        <v>9089</v>
      </c>
      <c r="P6012" s="30" t="s">
        <v>9090</v>
      </c>
      <c r="Q6012" t="s">
        <v>735</v>
      </c>
      <c r="R6012" t="s">
        <v>917</v>
      </c>
      <c r="S6012">
        <v>38</v>
      </c>
      <c r="T6012" s="29" t="str">
        <f>HYPERLINK("https://ictv.global/ictv/proposals/2022.009P.Amesuviridae_nf.zip","2022.009P.Amesuviridae_nf.zip")</f>
        <v>2022.009P.Amesuviridae_nf.zip</v>
      </c>
      <c r="U6012" s="29" t="str">
        <f>HYPERLINK("https://ictv.global/taxonomy/taxondetails?taxnode_id=202315107","ictv.global=202315107")</f>
        <v>ictv.global=202315107</v>
      </c>
    </row>
    <row r="6013" spans="1:21">
      <c r="A6013">
        <v>6012</v>
      </c>
      <c r="B6013" s="30" t="s">
        <v>1956</v>
      </c>
      <c r="D6013" s="30" t="s">
        <v>1985</v>
      </c>
      <c r="F6013" s="30" t="s">
        <v>2009</v>
      </c>
      <c r="H6013" s="30" t="s">
        <v>2010</v>
      </c>
      <c r="J6013" s="30" t="s">
        <v>2014</v>
      </c>
      <c r="L6013" s="30" t="s">
        <v>13058</v>
      </c>
      <c r="N6013" s="30" t="s">
        <v>13059</v>
      </c>
      <c r="P6013" s="30" t="s">
        <v>13060</v>
      </c>
      <c r="Q6013" t="s">
        <v>735</v>
      </c>
      <c r="R6013" t="s">
        <v>917</v>
      </c>
      <c r="S6013">
        <v>39</v>
      </c>
      <c r="T6013" s="29" t="str">
        <f t="shared" ref="T6013:T6021" si="277">HYPERLINK("https://ictv.global/ictv/proposals/2023.018D.Mulpavirales_1nf_9ng_9nsp.zip","2023.018D.Mulpavirales_1nf_9ng_9nsp.zip")</f>
        <v>2023.018D.Mulpavirales_1nf_9ng_9nsp.zip</v>
      </c>
      <c r="U6013" s="29" t="str">
        <f>HYPERLINK("https://ictv.global/taxonomy/taxondetails?taxnode_id=202318305","ictv.global=202318305")</f>
        <v>ictv.global=202318305</v>
      </c>
    </row>
    <row r="6014" spans="1:21">
      <c r="A6014">
        <v>6013</v>
      </c>
      <c r="B6014" s="30" t="s">
        <v>1956</v>
      </c>
      <c r="D6014" s="30" t="s">
        <v>1985</v>
      </c>
      <c r="F6014" s="30" t="s">
        <v>2009</v>
      </c>
      <c r="H6014" s="30" t="s">
        <v>2010</v>
      </c>
      <c r="J6014" s="30" t="s">
        <v>2014</v>
      </c>
      <c r="L6014" s="30" t="s">
        <v>13058</v>
      </c>
      <c r="N6014" s="30" t="s">
        <v>13061</v>
      </c>
      <c r="P6014" s="30" t="s">
        <v>13062</v>
      </c>
      <c r="Q6014" t="s">
        <v>735</v>
      </c>
      <c r="R6014" t="s">
        <v>917</v>
      </c>
      <c r="S6014">
        <v>39</v>
      </c>
      <c r="T6014" s="29" t="str">
        <f t="shared" si="277"/>
        <v>2023.018D.Mulpavirales_1nf_9ng_9nsp.zip</v>
      </c>
      <c r="U6014" s="29" t="str">
        <f>HYPERLINK("https://ictv.global/taxonomy/taxondetails?taxnode_id=202318308","ictv.global=202318308")</f>
        <v>ictv.global=202318308</v>
      </c>
    </row>
    <row r="6015" spans="1:21">
      <c r="A6015">
        <v>6014</v>
      </c>
      <c r="B6015" s="30" t="s">
        <v>1956</v>
      </c>
      <c r="D6015" s="30" t="s">
        <v>1985</v>
      </c>
      <c r="F6015" s="30" t="s">
        <v>2009</v>
      </c>
      <c r="H6015" s="30" t="s">
        <v>2010</v>
      </c>
      <c r="J6015" s="30" t="s">
        <v>2014</v>
      </c>
      <c r="L6015" s="30" t="s">
        <v>13058</v>
      </c>
      <c r="N6015" s="30" t="s">
        <v>13063</v>
      </c>
      <c r="P6015" s="30" t="s">
        <v>13064</v>
      </c>
      <c r="Q6015" t="s">
        <v>735</v>
      </c>
      <c r="R6015" t="s">
        <v>917</v>
      </c>
      <c r="S6015">
        <v>39</v>
      </c>
      <c r="T6015" s="29" t="str">
        <f t="shared" si="277"/>
        <v>2023.018D.Mulpavirales_1nf_9ng_9nsp.zip</v>
      </c>
      <c r="U6015" s="29" t="str">
        <f>HYPERLINK("https://ictv.global/taxonomy/taxondetails?taxnode_id=202318307","ictv.global=202318307")</f>
        <v>ictv.global=202318307</v>
      </c>
    </row>
    <row r="6016" spans="1:21">
      <c r="A6016">
        <v>6015</v>
      </c>
      <c r="B6016" s="30" t="s">
        <v>1956</v>
      </c>
      <c r="D6016" s="30" t="s">
        <v>1985</v>
      </c>
      <c r="F6016" s="30" t="s">
        <v>2009</v>
      </c>
      <c r="H6016" s="30" t="s">
        <v>2010</v>
      </c>
      <c r="J6016" s="30" t="s">
        <v>2014</v>
      </c>
      <c r="L6016" s="30" t="s">
        <v>13058</v>
      </c>
      <c r="N6016" s="30" t="s">
        <v>13065</v>
      </c>
      <c r="P6016" s="30" t="s">
        <v>13066</v>
      </c>
      <c r="Q6016" t="s">
        <v>735</v>
      </c>
      <c r="R6016" t="s">
        <v>917</v>
      </c>
      <c r="S6016">
        <v>39</v>
      </c>
      <c r="T6016" s="29" t="str">
        <f t="shared" si="277"/>
        <v>2023.018D.Mulpavirales_1nf_9ng_9nsp.zip</v>
      </c>
      <c r="U6016" s="29" t="str">
        <f>HYPERLINK("https://ictv.global/taxonomy/taxondetails?taxnode_id=202318302","ictv.global=202318302")</f>
        <v>ictv.global=202318302</v>
      </c>
    </row>
    <row r="6017" spans="1:21">
      <c r="A6017">
        <v>6016</v>
      </c>
      <c r="B6017" s="30" t="s">
        <v>1956</v>
      </c>
      <c r="D6017" s="30" t="s">
        <v>1985</v>
      </c>
      <c r="F6017" s="30" t="s">
        <v>2009</v>
      </c>
      <c r="H6017" s="30" t="s">
        <v>2010</v>
      </c>
      <c r="J6017" s="30" t="s">
        <v>2014</v>
      </c>
      <c r="L6017" s="30" t="s">
        <v>13058</v>
      </c>
      <c r="N6017" s="30" t="s">
        <v>13067</v>
      </c>
      <c r="P6017" s="30" t="s">
        <v>13068</v>
      </c>
      <c r="Q6017" t="s">
        <v>735</v>
      </c>
      <c r="R6017" t="s">
        <v>917</v>
      </c>
      <c r="S6017">
        <v>39</v>
      </c>
      <c r="T6017" s="29" t="str">
        <f t="shared" si="277"/>
        <v>2023.018D.Mulpavirales_1nf_9ng_9nsp.zip</v>
      </c>
      <c r="U6017" s="29" t="str">
        <f>HYPERLINK("https://ictv.global/taxonomy/taxondetails?taxnode_id=202318304","ictv.global=202318304")</f>
        <v>ictv.global=202318304</v>
      </c>
    </row>
    <row r="6018" spans="1:21">
      <c r="A6018">
        <v>6017</v>
      </c>
      <c r="B6018" s="30" t="s">
        <v>1956</v>
      </c>
      <c r="D6018" s="30" t="s">
        <v>1985</v>
      </c>
      <c r="F6018" s="30" t="s">
        <v>2009</v>
      </c>
      <c r="H6018" s="30" t="s">
        <v>2010</v>
      </c>
      <c r="J6018" s="30" t="s">
        <v>2014</v>
      </c>
      <c r="L6018" s="30" t="s">
        <v>13058</v>
      </c>
      <c r="N6018" s="30" t="s">
        <v>13069</v>
      </c>
      <c r="P6018" s="30" t="s">
        <v>13070</v>
      </c>
      <c r="Q6018" t="s">
        <v>735</v>
      </c>
      <c r="R6018" t="s">
        <v>917</v>
      </c>
      <c r="S6018">
        <v>39</v>
      </c>
      <c r="T6018" s="29" t="str">
        <f t="shared" si="277"/>
        <v>2023.018D.Mulpavirales_1nf_9ng_9nsp.zip</v>
      </c>
      <c r="U6018" s="29" t="str">
        <f>HYPERLINK("https://ictv.global/taxonomy/taxondetails?taxnode_id=202318309","ictv.global=202318309")</f>
        <v>ictv.global=202318309</v>
      </c>
    </row>
    <row r="6019" spans="1:21">
      <c r="A6019">
        <v>6018</v>
      </c>
      <c r="B6019" s="30" t="s">
        <v>1956</v>
      </c>
      <c r="D6019" s="30" t="s">
        <v>1985</v>
      </c>
      <c r="F6019" s="30" t="s">
        <v>2009</v>
      </c>
      <c r="H6019" s="30" t="s">
        <v>2010</v>
      </c>
      <c r="J6019" s="30" t="s">
        <v>2014</v>
      </c>
      <c r="L6019" s="30" t="s">
        <v>13058</v>
      </c>
      <c r="N6019" s="30" t="s">
        <v>13071</v>
      </c>
      <c r="P6019" s="30" t="s">
        <v>13072</v>
      </c>
      <c r="Q6019" t="s">
        <v>735</v>
      </c>
      <c r="R6019" t="s">
        <v>917</v>
      </c>
      <c r="S6019">
        <v>39</v>
      </c>
      <c r="T6019" s="29" t="str">
        <f t="shared" si="277"/>
        <v>2023.018D.Mulpavirales_1nf_9ng_9nsp.zip</v>
      </c>
      <c r="U6019" s="29" t="str">
        <f>HYPERLINK("https://ictv.global/taxonomy/taxondetails?taxnode_id=202318306","ictv.global=202318306")</f>
        <v>ictv.global=202318306</v>
      </c>
    </row>
    <row r="6020" spans="1:21">
      <c r="A6020">
        <v>6019</v>
      </c>
      <c r="B6020" s="30" t="s">
        <v>1956</v>
      </c>
      <c r="D6020" s="30" t="s">
        <v>1985</v>
      </c>
      <c r="F6020" s="30" t="s">
        <v>2009</v>
      </c>
      <c r="H6020" s="30" t="s">
        <v>2010</v>
      </c>
      <c r="J6020" s="30" t="s">
        <v>2014</v>
      </c>
      <c r="L6020" s="30" t="s">
        <v>13058</v>
      </c>
      <c r="N6020" s="30" t="s">
        <v>13073</v>
      </c>
      <c r="P6020" s="30" t="s">
        <v>13074</v>
      </c>
      <c r="Q6020" t="s">
        <v>735</v>
      </c>
      <c r="R6020" t="s">
        <v>917</v>
      </c>
      <c r="S6020">
        <v>39</v>
      </c>
      <c r="T6020" s="29" t="str">
        <f t="shared" si="277"/>
        <v>2023.018D.Mulpavirales_1nf_9ng_9nsp.zip</v>
      </c>
      <c r="U6020" s="29" t="str">
        <f>HYPERLINK("https://ictv.global/taxonomy/taxondetails?taxnode_id=202318303","ictv.global=202318303")</f>
        <v>ictv.global=202318303</v>
      </c>
    </row>
    <row r="6021" spans="1:21">
      <c r="A6021">
        <v>6020</v>
      </c>
      <c r="B6021" s="30" t="s">
        <v>1956</v>
      </c>
      <c r="D6021" s="30" t="s">
        <v>1985</v>
      </c>
      <c r="F6021" s="30" t="s">
        <v>2009</v>
      </c>
      <c r="H6021" s="30" t="s">
        <v>2010</v>
      </c>
      <c r="J6021" s="30" t="s">
        <v>2014</v>
      </c>
      <c r="L6021" s="30" t="s">
        <v>13058</v>
      </c>
      <c r="N6021" s="30" t="s">
        <v>13075</v>
      </c>
      <c r="P6021" s="30" t="s">
        <v>13076</v>
      </c>
      <c r="Q6021" t="s">
        <v>735</v>
      </c>
      <c r="R6021" t="s">
        <v>917</v>
      </c>
      <c r="S6021">
        <v>39</v>
      </c>
      <c r="T6021" s="29" t="str">
        <f t="shared" si="277"/>
        <v>2023.018D.Mulpavirales_1nf_9ng_9nsp.zip</v>
      </c>
      <c r="U6021" s="29" t="str">
        <f>HYPERLINK("https://ictv.global/taxonomy/taxondetails?taxnode_id=202318310","ictv.global=202318310")</f>
        <v>ictv.global=202318310</v>
      </c>
    </row>
    <row r="6022" spans="1:21">
      <c r="A6022">
        <v>6021</v>
      </c>
      <c r="B6022" s="30" t="s">
        <v>1956</v>
      </c>
      <c r="D6022" s="30" t="s">
        <v>1985</v>
      </c>
      <c r="F6022" s="30" t="s">
        <v>2009</v>
      </c>
      <c r="H6022" s="30" t="s">
        <v>2010</v>
      </c>
      <c r="J6022" s="30" t="s">
        <v>2014</v>
      </c>
      <c r="L6022" s="30" t="s">
        <v>2610</v>
      </c>
      <c r="N6022" s="30" t="s">
        <v>2611</v>
      </c>
      <c r="P6022" s="30" t="s">
        <v>13077</v>
      </c>
      <c r="Q6022" t="s">
        <v>739</v>
      </c>
      <c r="R6022" t="s">
        <v>920</v>
      </c>
      <c r="S6022">
        <v>39</v>
      </c>
      <c r="T6022" s="29" t="str">
        <f>HYPERLINK("https://ictv.global/ictv/proposals/2023.003P.Metaxyviridae_rename_1sp.zip","2023.003P.Metaxyviridae_rename_1sp.zip")</f>
        <v>2023.003P.Metaxyviridae_rename_1sp.zip</v>
      </c>
      <c r="U6022" s="29" t="str">
        <f>HYPERLINK("https://ictv.global/taxonomy/taxondetails?taxnode_id=202303907","ictv.global=202303907")</f>
        <v>ictv.global=202303907</v>
      </c>
    </row>
    <row r="6023" spans="1:21">
      <c r="A6023">
        <v>6022</v>
      </c>
      <c r="B6023" s="30" t="s">
        <v>1956</v>
      </c>
      <c r="D6023" s="30" t="s">
        <v>1985</v>
      </c>
      <c r="F6023" s="30" t="s">
        <v>2009</v>
      </c>
      <c r="H6023" s="30" t="s">
        <v>2010</v>
      </c>
      <c r="J6023" s="30" t="s">
        <v>2014</v>
      </c>
      <c r="L6023" s="30" t="s">
        <v>483</v>
      </c>
      <c r="N6023" s="30" t="s">
        <v>484</v>
      </c>
      <c r="P6023" s="30" t="s">
        <v>13078</v>
      </c>
      <c r="Q6023" t="s">
        <v>622</v>
      </c>
      <c r="R6023" t="s">
        <v>920</v>
      </c>
      <c r="S6023">
        <v>39</v>
      </c>
      <c r="T6023" s="29" t="str">
        <f>HYPERLINK("https://ictv.global/ictv/proposals/2023.024P.Nanoviridae_rename_sp.zip","2023.024P.Nanoviridae_rename_sp.zip")</f>
        <v>2023.024P.Nanoviridae_rename_sp.zip</v>
      </c>
      <c r="U6023" s="29" t="str">
        <f>HYPERLINK("https://ictv.global/taxonomy/taxondetails?taxnode_id=202303894","ictv.global=202303894")</f>
        <v>ictv.global=202303894</v>
      </c>
    </row>
    <row r="6024" spans="1:21">
      <c r="A6024">
        <v>6023</v>
      </c>
      <c r="B6024" s="30" t="s">
        <v>1956</v>
      </c>
      <c r="D6024" s="30" t="s">
        <v>1985</v>
      </c>
      <c r="F6024" s="30" t="s">
        <v>2009</v>
      </c>
      <c r="H6024" s="30" t="s">
        <v>2010</v>
      </c>
      <c r="J6024" s="30" t="s">
        <v>2014</v>
      </c>
      <c r="L6024" s="30" t="s">
        <v>483</v>
      </c>
      <c r="N6024" s="30" t="s">
        <v>484</v>
      </c>
      <c r="P6024" s="30" t="s">
        <v>13079</v>
      </c>
      <c r="Q6024" t="s">
        <v>622</v>
      </c>
      <c r="R6024" t="s">
        <v>920</v>
      </c>
      <c r="S6024">
        <v>39</v>
      </c>
      <c r="T6024" s="29" t="str">
        <f>HYPERLINK("https://ictv.global/ictv/proposals/2023.024P.Nanoviridae_rename_sp.zip","2023.024P.Nanoviridae_rename_sp.zip")</f>
        <v>2023.024P.Nanoviridae_rename_sp.zip</v>
      </c>
      <c r="U6024" s="29" t="str">
        <f>HYPERLINK("https://ictv.global/taxonomy/taxondetails?taxnode_id=202303896","ictv.global=202303896")</f>
        <v>ictv.global=202303896</v>
      </c>
    </row>
    <row r="6025" spans="1:21">
      <c r="A6025">
        <v>6024</v>
      </c>
      <c r="B6025" s="30" t="s">
        <v>1956</v>
      </c>
      <c r="D6025" s="30" t="s">
        <v>1985</v>
      </c>
      <c r="F6025" s="30" t="s">
        <v>2009</v>
      </c>
      <c r="H6025" s="30" t="s">
        <v>2010</v>
      </c>
      <c r="J6025" s="30" t="s">
        <v>2014</v>
      </c>
      <c r="L6025" s="30" t="s">
        <v>483</v>
      </c>
      <c r="N6025" s="30" t="s">
        <v>484</v>
      </c>
      <c r="P6025" s="30" t="s">
        <v>13080</v>
      </c>
      <c r="Q6025" t="s">
        <v>622</v>
      </c>
      <c r="R6025" t="s">
        <v>920</v>
      </c>
      <c r="S6025">
        <v>39</v>
      </c>
      <c r="T6025" s="29" t="str">
        <f>HYPERLINK("https://ictv.global/ictv/proposals/2023.024P.Nanoviridae_rename_sp.zip","2023.024P.Nanoviridae_rename_sp.zip")</f>
        <v>2023.024P.Nanoviridae_rename_sp.zip</v>
      </c>
      <c r="U6025" s="29" t="str">
        <f>HYPERLINK("https://ictv.global/taxonomy/taxondetails?taxnode_id=202303895","ictv.global=202303895")</f>
        <v>ictv.global=202303895</v>
      </c>
    </row>
    <row r="6026" spans="1:21">
      <c r="A6026">
        <v>6025</v>
      </c>
      <c r="B6026" s="30" t="s">
        <v>1956</v>
      </c>
      <c r="D6026" s="30" t="s">
        <v>1985</v>
      </c>
      <c r="F6026" s="30" t="s">
        <v>2009</v>
      </c>
      <c r="H6026" s="30" t="s">
        <v>2010</v>
      </c>
      <c r="J6026" s="30" t="s">
        <v>2014</v>
      </c>
      <c r="L6026" s="30" t="s">
        <v>483</v>
      </c>
      <c r="N6026" s="30" t="s">
        <v>485</v>
      </c>
      <c r="P6026" s="30" t="s">
        <v>13081</v>
      </c>
      <c r="Q6026" t="s">
        <v>622</v>
      </c>
      <c r="R6026" t="s">
        <v>920</v>
      </c>
      <c r="S6026">
        <v>39</v>
      </c>
      <c r="T6026" s="29" t="str">
        <f>HYPERLINK("https://ictv.global/ictv/proposals/2023.024P.Nanoviridae_rename_sp.zip","2023.024P.Nanoviridae_rename_sp.zip")</f>
        <v>2023.024P.Nanoviridae_rename_sp.zip</v>
      </c>
      <c r="U6026" s="29" t="str">
        <f>HYPERLINK("https://ictv.global/taxonomy/taxondetails?taxnode_id=202303902","ictv.global=202303902")</f>
        <v>ictv.global=202303902</v>
      </c>
    </row>
    <row r="6027" spans="1:21">
      <c r="A6027">
        <v>6026</v>
      </c>
      <c r="B6027" s="30" t="s">
        <v>1956</v>
      </c>
      <c r="D6027" s="30" t="s">
        <v>1985</v>
      </c>
      <c r="F6027" s="30" t="s">
        <v>2009</v>
      </c>
      <c r="H6027" s="30" t="s">
        <v>2010</v>
      </c>
      <c r="J6027" s="30" t="s">
        <v>2014</v>
      </c>
      <c r="L6027" s="30" t="s">
        <v>483</v>
      </c>
      <c r="N6027" s="30" t="s">
        <v>485</v>
      </c>
      <c r="P6027" s="30" t="s">
        <v>13082</v>
      </c>
      <c r="Q6027" t="s">
        <v>739</v>
      </c>
      <c r="R6027" t="s">
        <v>917</v>
      </c>
      <c r="S6027">
        <v>39</v>
      </c>
      <c r="T6027" s="29" t="str">
        <f>HYPERLINK("https://ictv.global/ictv/proposals/2023.023P.Nanovirus_1nsp.zip","2023.023P.Nanovirus_1nsp.zip")</f>
        <v>2023.023P.Nanovirus_1nsp.zip</v>
      </c>
      <c r="U6027" s="29" t="str">
        <f>HYPERLINK("https://ictv.global/taxonomy/taxondetails?taxnode_id=202318788","ictv.global=202318788")</f>
        <v>ictv.global=202318788</v>
      </c>
    </row>
    <row r="6028" spans="1:21">
      <c r="A6028">
        <v>6027</v>
      </c>
      <c r="B6028" s="30" t="s">
        <v>1956</v>
      </c>
      <c r="D6028" s="30" t="s">
        <v>1985</v>
      </c>
      <c r="F6028" s="30" t="s">
        <v>2009</v>
      </c>
      <c r="H6028" s="30" t="s">
        <v>2010</v>
      </c>
      <c r="J6028" s="30" t="s">
        <v>2014</v>
      </c>
      <c r="L6028" s="30" t="s">
        <v>483</v>
      </c>
      <c r="N6028" s="30" t="s">
        <v>485</v>
      </c>
      <c r="P6028" s="30" t="s">
        <v>13083</v>
      </c>
      <c r="Q6028" t="s">
        <v>622</v>
      </c>
      <c r="R6028" t="s">
        <v>920</v>
      </c>
      <c r="S6028">
        <v>39</v>
      </c>
      <c r="T6028" s="29" t="str">
        <f t="shared" ref="T6028:T6037" si="278">HYPERLINK("https://ictv.global/ictv/proposals/2023.024P.Nanoviridae_rename_sp.zip","2023.024P.Nanoviridae_rename_sp.zip")</f>
        <v>2023.024P.Nanoviridae_rename_sp.zip</v>
      </c>
      <c r="U6028" s="29" t="str">
        <f>HYPERLINK("https://ictv.global/taxonomy/taxondetails?taxnode_id=202303904","ictv.global=202303904")</f>
        <v>ictv.global=202303904</v>
      </c>
    </row>
    <row r="6029" spans="1:21">
      <c r="A6029">
        <v>6028</v>
      </c>
      <c r="B6029" s="30" t="s">
        <v>1956</v>
      </c>
      <c r="D6029" s="30" t="s">
        <v>1985</v>
      </c>
      <c r="F6029" s="30" t="s">
        <v>2009</v>
      </c>
      <c r="H6029" s="30" t="s">
        <v>2010</v>
      </c>
      <c r="J6029" s="30" t="s">
        <v>2014</v>
      </c>
      <c r="L6029" s="30" t="s">
        <v>483</v>
      </c>
      <c r="N6029" s="30" t="s">
        <v>485</v>
      </c>
      <c r="P6029" s="30" t="s">
        <v>13084</v>
      </c>
      <c r="Q6029" t="s">
        <v>622</v>
      </c>
      <c r="R6029" t="s">
        <v>920</v>
      </c>
      <c r="S6029">
        <v>39</v>
      </c>
      <c r="T6029" s="29" t="str">
        <f t="shared" si="278"/>
        <v>2023.024P.Nanoviridae_rename_sp.zip</v>
      </c>
      <c r="U6029" s="29" t="str">
        <f>HYPERLINK("https://ictv.global/taxonomy/taxondetails?taxnode_id=202303901","ictv.global=202303901")</f>
        <v>ictv.global=202303901</v>
      </c>
    </row>
    <row r="6030" spans="1:21">
      <c r="A6030">
        <v>6029</v>
      </c>
      <c r="B6030" s="30" t="s">
        <v>1956</v>
      </c>
      <c r="D6030" s="30" t="s">
        <v>1985</v>
      </c>
      <c r="F6030" s="30" t="s">
        <v>2009</v>
      </c>
      <c r="H6030" s="30" t="s">
        <v>2010</v>
      </c>
      <c r="J6030" s="30" t="s">
        <v>2014</v>
      </c>
      <c r="L6030" s="30" t="s">
        <v>483</v>
      </c>
      <c r="N6030" s="30" t="s">
        <v>485</v>
      </c>
      <c r="P6030" s="30" t="s">
        <v>13085</v>
      </c>
      <c r="Q6030" t="s">
        <v>622</v>
      </c>
      <c r="R6030" t="s">
        <v>920</v>
      </c>
      <c r="S6030">
        <v>39</v>
      </c>
      <c r="T6030" s="29" t="str">
        <f t="shared" si="278"/>
        <v>2023.024P.Nanoviridae_rename_sp.zip</v>
      </c>
      <c r="U6030" s="29" t="str">
        <f>HYPERLINK("https://ictv.global/taxonomy/taxondetails?taxnode_id=202303898","ictv.global=202303898")</f>
        <v>ictv.global=202303898</v>
      </c>
    </row>
    <row r="6031" spans="1:21">
      <c r="A6031">
        <v>6030</v>
      </c>
      <c r="B6031" s="30" t="s">
        <v>1956</v>
      </c>
      <c r="D6031" s="30" t="s">
        <v>1985</v>
      </c>
      <c r="F6031" s="30" t="s">
        <v>2009</v>
      </c>
      <c r="H6031" s="30" t="s">
        <v>2010</v>
      </c>
      <c r="J6031" s="30" t="s">
        <v>2014</v>
      </c>
      <c r="L6031" s="30" t="s">
        <v>483</v>
      </c>
      <c r="N6031" s="30" t="s">
        <v>485</v>
      </c>
      <c r="P6031" s="30" t="s">
        <v>13086</v>
      </c>
      <c r="Q6031" t="s">
        <v>622</v>
      </c>
      <c r="R6031" t="s">
        <v>920</v>
      </c>
      <c r="S6031">
        <v>39</v>
      </c>
      <c r="T6031" s="29" t="str">
        <f t="shared" si="278"/>
        <v>2023.024P.Nanoviridae_rename_sp.zip</v>
      </c>
      <c r="U6031" s="29" t="str">
        <f>HYPERLINK("https://ictv.global/taxonomy/taxondetails?taxnode_id=202303900","ictv.global=202303900")</f>
        <v>ictv.global=202303900</v>
      </c>
    </row>
    <row r="6032" spans="1:21">
      <c r="A6032">
        <v>6031</v>
      </c>
      <c r="B6032" s="30" t="s">
        <v>1956</v>
      </c>
      <c r="D6032" s="30" t="s">
        <v>1985</v>
      </c>
      <c r="F6032" s="30" t="s">
        <v>2009</v>
      </c>
      <c r="H6032" s="30" t="s">
        <v>2010</v>
      </c>
      <c r="J6032" s="30" t="s">
        <v>2014</v>
      </c>
      <c r="L6032" s="30" t="s">
        <v>483</v>
      </c>
      <c r="N6032" s="30" t="s">
        <v>485</v>
      </c>
      <c r="P6032" s="30" t="s">
        <v>13087</v>
      </c>
      <c r="Q6032" t="s">
        <v>622</v>
      </c>
      <c r="R6032" t="s">
        <v>920</v>
      </c>
      <c r="S6032">
        <v>39</v>
      </c>
      <c r="T6032" s="29" t="str">
        <f t="shared" si="278"/>
        <v>2023.024P.Nanoviridae_rename_sp.zip</v>
      </c>
      <c r="U6032" s="29" t="str">
        <f>HYPERLINK("https://ictv.global/taxonomy/taxondetails?taxnode_id=202303903","ictv.global=202303903")</f>
        <v>ictv.global=202303903</v>
      </c>
    </row>
    <row r="6033" spans="1:21">
      <c r="A6033">
        <v>6032</v>
      </c>
      <c r="B6033" s="30" t="s">
        <v>1956</v>
      </c>
      <c r="D6033" s="30" t="s">
        <v>1985</v>
      </c>
      <c r="F6033" s="30" t="s">
        <v>2009</v>
      </c>
      <c r="H6033" s="30" t="s">
        <v>2010</v>
      </c>
      <c r="J6033" s="30" t="s">
        <v>2014</v>
      </c>
      <c r="L6033" s="30" t="s">
        <v>483</v>
      </c>
      <c r="N6033" s="30" t="s">
        <v>485</v>
      </c>
      <c r="P6033" s="30" t="s">
        <v>13088</v>
      </c>
      <c r="Q6033" t="s">
        <v>622</v>
      </c>
      <c r="R6033" t="s">
        <v>920</v>
      </c>
      <c r="S6033">
        <v>39</v>
      </c>
      <c r="T6033" s="29" t="str">
        <f t="shared" si="278"/>
        <v>2023.024P.Nanoviridae_rename_sp.zip</v>
      </c>
      <c r="U6033" s="29" t="str">
        <f>HYPERLINK("https://ictv.global/taxonomy/taxondetails?taxnode_id=202303899","ictv.global=202303899")</f>
        <v>ictv.global=202303899</v>
      </c>
    </row>
    <row r="6034" spans="1:21">
      <c r="A6034">
        <v>6033</v>
      </c>
      <c r="B6034" s="30" t="s">
        <v>1956</v>
      </c>
      <c r="D6034" s="30" t="s">
        <v>1985</v>
      </c>
      <c r="F6034" s="30" t="s">
        <v>2009</v>
      </c>
      <c r="H6034" s="30" t="s">
        <v>2010</v>
      </c>
      <c r="J6034" s="30" t="s">
        <v>2014</v>
      </c>
      <c r="L6034" s="30" t="s">
        <v>483</v>
      </c>
      <c r="N6034" s="30" t="s">
        <v>485</v>
      </c>
      <c r="P6034" s="30" t="s">
        <v>13089</v>
      </c>
      <c r="Q6034" t="s">
        <v>739</v>
      </c>
      <c r="R6034" t="s">
        <v>920</v>
      </c>
      <c r="S6034">
        <v>39</v>
      </c>
      <c r="T6034" s="29" t="str">
        <f t="shared" si="278"/>
        <v>2023.024P.Nanoviridae_rename_sp.zip</v>
      </c>
      <c r="U6034" s="29" t="str">
        <f>HYPERLINK("https://ictv.global/taxonomy/taxondetails?taxnode_id=202309659","ictv.global=202309659")</f>
        <v>ictv.global=202309659</v>
      </c>
    </row>
    <row r="6035" spans="1:21">
      <c r="A6035">
        <v>6034</v>
      </c>
      <c r="B6035" s="30" t="s">
        <v>1956</v>
      </c>
      <c r="D6035" s="30" t="s">
        <v>1985</v>
      </c>
      <c r="F6035" s="30" t="s">
        <v>2009</v>
      </c>
      <c r="H6035" s="30" t="s">
        <v>2010</v>
      </c>
      <c r="J6035" s="30" t="s">
        <v>2014</v>
      </c>
      <c r="L6035" s="30" t="s">
        <v>483</v>
      </c>
      <c r="N6035" s="30" t="s">
        <v>485</v>
      </c>
      <c r="P6035" s="30" t="s">
        <v>13090</v>
      </c>
      <c r="Q6035" t="s">
        <v>739</v>
      </c>
      <c r="R6035" t="s">
        <v>920</v>
      </c>
      <c r="S6035">
        <v>39</v>
      </c>
      <c r="T6035" s="29" t="str">
        <f t="shared" si="278"/>
        <v>2023.024P.Nanoviridae_rename_sp.zip</v>
      </c>
      <c r="U6035" s="29" t="str">
        <f>HYPERLINK("https://ictv.global/taxonomy/taxondetails?taxnode_id=202309660","ictv.global=202309660")</f>
        <v>ictv.global=202309660</v>
      </c>
    </row>
    <row r="6036" spans="1:21">
      <c r="A6036">
        <v>6035</v>
      </c>
      <c r="B6036" s="30" t="s">
        <v>1956</v>
      </c>
      <c r="D6036" s="30" t="s">
        <v>1985</v>
      </c>
      <c r="F6036" s="30" t="s">
        <v>2009</v>
      </c>
      <c r="H6036" s="30" t="s">
        <v>2010</v>
      </c>
      <c r="J6036" s="30" t="s">
        <v>2014</v>
      </c>
      <c r="L6036" s="30" t="s">
        <v>483</v>
      </c>
      <c r="N6036" s="30" t="s">
        <v>485</v>
      </c>
      <c r="P6036" s="30" t="s">
        <v>13091</v>
      </c>
      <c r="Q6036" t="s">
        <v>622</v>
      </c>
      <c r="R6036" t="s">
        <v>920</v>
      </c>
      <c r="S6036">
        <v>39</v>
      </c>
      <c r="T6036" s="29" t="str">
        <f t="shared" si="278"/>
        <v>2023.024P.Nanoviridae_rename_sp.zip</v>
      </c>
      <c r="U6036" s="29" t="str">
        <f>HYPERLINK("https://ictv.global/taxonomy/taxondetails?taxnode_id=202303905","ictv.global=202303905")</f>
        <v>ictv.global=202303905</v>
      </c>
    </row>
    <row r="6037" spans="1:21">
      <c r="A6037">
        <v>6036</v>
      </c>
      <c r="B6037" s="30" t="s">
        <v>1956</v>
      </c>
      <c r="D6037" s="30" t="s">
        <v>1985</v>
      </c>
      <c r="F6037" s="30" t="s">
        <v>2009</v>
      </c>
      <c r="H6037" s="30" t="s">
        <v>2010</v>
      </c>
      <c r="J6037" s="30" t="s">
        <v>2014</v>
      </c>
      <c r="L6037" s="30" t="s">
        <v>483</v>
      </c>
      <c r="N6037" s="30" t="s">
        <v>485</v>
      </c>
      <c r="P6037" s="30" t="s">
        <v>13092</v>
      </c>
      <c r="Q6037" t="s">
        <v>739</v>
      </c>
      <c r="R6037" t="s">
        <v>920</v>
      </c>
      <c r="S6037">
        <v>39</v>
      </c>
      <c r="T6037" s="29" t="str">
        <f t="shared" si="278"/>
        <v>2023.024P.Nanoviridae_rename_sp.zip</v>
      </c>
      <c r="U6037" s="29" t="str">
        <f>HYPERLINK("https://ictv.global/taxonomy/taxondetails?taxnode_id=202309658","ictv.global=202309658")</f>
        <v>ictv.global=202309658</v>
      </c>
    </row>
    <row r="6038" spans="1:21">
      <c r="A6038">
        <v>6037</v>
      </c>
      <c r="B6038" s="30" t="s">
        <v>1956</v>
      </c>
      <c r="D6038" s="30" t="s">
        <v>1985</v>
      </c>
      <c r="F6038" s="30" t="s">
        <v>2009</v>
      </c>
      <c r="H6038" s="30" t="s">
        <v>2010</v>
      </c>
      <c r="J6038" s="30" t="s">
        <v>2015</v>
      </c>
      <c r="L6038" s="30" t="s">
        <v>2016</v>
      </c>
      <c r="N6038" s="30" t="s">
        <v>2017</v>
      </c>
      <c r="P6038" s="30" t="s">
        <v>13093</v>
      </c>
      <c r="Q6038" t="s">
        <v>622</v>
      </c>
      <c r="R6038" t="s">
        <v>920</v>
      </c>
      <c r="S6038">
        <v>39</v>
      </c>
      <c r="T6038" s="29" t="str">
        <f>HYPERLINK("https://ictv.global/ictv/proposals/2023.006D.Redondoviride_2ren.zip","2023.006D.Redondoviride_2ren.zip")</f>
        <v>2023.006D.Redondoviride_2ren.zip</v>
      </c>
      <c r="U6038" s="29" t="str">
        <f>HYPERLINK("https://ictv.global/taxonomy/taxondetails?taxnode_id=202307364","ictv.global=202307364")</f>
        <v>ictv.global=202307364</v>
      </c>
    </row>
    <row r="6039" spans="1:21">
      <c r="A6039">
        <v>6038</v>
      </c>
      <c r="B6039" s="30" t="s">
        <v>1956</v>
      </c>
      <c r="D6039" s="30" t="s">
        <v>1985</v>
      </c>
      <c r="F6039" s="30" t="s">
        <v>2009</v>
      </c>
      <c r="H6039" s="30" t="s">
        <v>2010</v>
      </c>
      <c r="J6039" s="30" t="s">
        <v>2015</v>
      </c>
      <c r="L6039" s="30" t="s">
        <v>2016</v>
      </c>
      <c r="N6039" s="30" t="s">
        <v>2017</v>
      </c>
      <c r="P6039" s="30" t="s">
        <v>13094</v>
      </c>
      <c r="Q6039" t="s">
        <v>622</v>
      </c>
      <c r="R6039" t="s">
        <v>920</v>
      </c>
      <c r="S6039">
        <v>39</v>
      </c>
      <c r="T6039" s="29" t="str">
        <f>HYPERLINK("https://ictv.global/ictv/proposals/2023.006D.Redondoviride_2ren.zip","2023.006D.Redondoviride_2ren.zip")</f>
        <v>2023.006D.Redondoviride_2ren.zip</v>
      </c>
      <c r="U6039" s="29" t="str">
        <f>HYPERLINK("https://ictv.global/taxonomy/taxondetails?taxnode_id=202307365","ictv.global=202307365")</f>
        <v>ictv.global=202307365</v>
      </c>
    </row>
    <row r="6040" spans="1:21">
      <c r="A6040">
        <v>6039</v>
      </c>
      <c r="B6040" s="30" t="s">
        <v>1956</v>
      </c>
      <c r="D6040" s="30" t="s">
        <v>1985</v>
      </c>
      <c r="F6040" s="30" t="s">
        <v>2009</v>
      </c>
      <c r="H6040" s="30" t="s">
        <v>2010</v>
      </c>
      <c r="J6040" s="30" t="s">
        <v>13095</v>
      </c>
      <c r="L6040" s="30" t="s">
        <v>13096</v>
      </c>
      <c r="N6040" s="30" t="s">
        <v>13097</v>
      </c>
      <c r="P6040" s="30" t="s">
        <v>13098</v>
      </c>
      <c r="Q6040" t="s">
        <v>735</v>
      </c>
      <c r="R6040" t="s">
        <v>917</v>
      </c>
      <c r="S6040">
        <v>39</v>
      </c>
      <c r="T6040" s="29" t="str">
        <f t="shared" ref="T6040:T6054" si="279">HYPERLINK("https://ictv.global/ictv/proposals/2023.022D.Ringavirales_1no_1nf_8ng_15nsp.zip","2023.022D.Ringavirales_1no_1nf_8ng_15nsp.zip")</f>
        <v>2023.022D.Ringavirales_1no_1nf_8ng_15nsp.zip</v>
      </c>
      <c r="U6040" s="29" t="str">
        <f>HYPERLINK("https://ictv.global/taxonomy/taxondetails?taxnode_id=202318583","ictv.global=202318583")</f>
        <v>ictv.global=202318583</v>
      </c>
    </row>
    <row r="6041" spans="1:21">
      <c r="A6041">
        <v>6040</v>
      </c>
      <c r="B6041" s="30" t="s">
        <v>1956</v>
      </c>
      <c r="D6041" s="30" t="s">
        <v>1985</v>
      </c>
      <c r="F6041" s="30" t="s">
        <v>2009</v>
      </c>
      <c r="H6041" s="30" t="s">
        <v>2010</v>
      </c>
      <c r="J6041" s="30" t="s">
        <v>13095</v>
      </c>
      <c r="L6041" s="30" t="s">
        <v>13096</v>
      </c>
      <c r="N6041" s="30" t="s">
        <v>13097</v>
      </c>
      <c r="P6041" s="30" t="s">
        <v>13099</v>
      </c>
      <c r="Q6041" t="s">
        <v>735</v>
      </c>
      <c r="R6041" t="s">
        <v>917</v>
      </c>
      <c r="S6041">
        <v>39</v>
      </c>
      <c r="T6041" s="29" t="str">
        <f t="shared" si="279"/>
        <v>2023.022D.Ringavirales_1no_1nf_8ng_15nsp.zip</v>
      </c>
      <c r="U6041" s="29" t="str">
        <f>HYPERLINK("https://ictv.global/taxonomy/taxondetails?taxnode_id=202318584","ictv.global=202318584")</f>
        <v>ictv.global=202318584</v>
      </c>
    </row>
    <row r="6042" spans="1:21">
      <c r="A6042">
        <v>6041</v>
      </c>
      <c r="B6042" s="30" t="s">
        <v>1956</v>
      </c>
      <c r="D6042" s="30" t="s">
        <v>1985</v>
      </c>
      <c r="F6042" s="30" t="s">
        <v>2009</v>
      </c>
      <c r="H6042" s="30" t="s">
        <v>2010</v>
      </c>
      <c r="J6042" s="30" t="s">
        <v>13095</v>
      </c>
      <c r="L6042" s="30" t="s">
        <v>13096</v>
      </c>
      <c r="N6042" s="30" t="s">
        <v>13097</v>
      </c>
      <c r="P6042" s="30" t="s">
        <v>13100</v>
      </c>
      <c r="Q6042" t="s">
        <v>735</v>
      </c>
      <c r="R6042" t="s">
        <v>917</v>
      </c>
      <c r="S6042">
        <v>39</v>
      </c>
      <c r="T6042" s="29" t="str">
        <f t="shared" si="279"/>
        <v>2023.022D.Ringavirales_1no_1nf_8ng_15nsp.zip</v>
      </c>
      <c r="U6042" s="29" t="str">
        <f>HYPERLINK("https://ictv.global/taxonomy/taxondetails?taxnode_id=202318582","ictv.global=202318582")</f>
        <v>ictv.global=202318582</v>
      </c>
    </row>
    <row r="6043" spans="1:21">
      <c r="A6043">
        <v>6042</v>
      </c>
      <c r="B6043" s="30" t="s">
        <v>1956</v>
      </c>
      <c r="D6043" s="30" t="s">
        <v>1985</v>
      </c>
      <c r="F6043" s="30" t="s">
        <v>2009</v>
      </c>
      <c r="H6043" s="30" t="s">
        <v>2010</v>
      </c>
      <c r="J6043" s="30" t="s">
        <v>13095</v>
      </c>
      <c r="L6043" s="30" t="s">
        <v>13096</v>
      </c>
      <c r="N6043" s="30" t="s">
        <v>13101</v>
      </c>
      <c r="P6043" s="30" t="s">
        <v>13102</v>
      </c>
      <c r="Q6043" t="s">
        <v>735</v>
      </c>
      <c r="R6043" t="s">
        <v>917</v>
      </c>
      <c r="S6043">
        <v>39</v>
      </c>
      <c r="T6043" s="29" t="str">
        <f t="shared" si="279"/>
        <v>2023.022D.Ringavirales_1no_1nf_8ng_15nsp.zip</v>
      </c>
      <c r="U6043" s="29" t="str">
        <f>HYPERLINK("https://ictv.global/taxonomy/taxondetails?taxnode_id=202318588","ictv.global=202318588")</f>
        <v>ictv.global=202318588</v>
      </c>
    </row>
    <row r="6044" spans="1:21">
      <c r="A6044">
        <v>6043</v>
      </c>
      <c r="B6044" s="30" t="s">
        <v>1956</v>
      </c>
      <c r="D6044" s="30" t="s">
        <v>1985</v>
      </c>
      <c r="F6044" s="30" t="s">
        <v>2009</v>
      </c>
      <c r="H6044" s="30" t="s">
        <v>2010</v>
      </c>
      <c r="J6044" s="30" t="s">
        <v>13095</v>
      </c>
      <c r="L6044" s="30" t="s">
        <v>13096</v>
      </c>
      <c r="N6044" s="30" t="s">
        <v>13101</v>
      </c>
      <c r="P6044" s="30" t="s">
        <v>13103</v>
      </c>
      <c r="Q6044" t="s">
        <v>735</v>
      </c>
      <c r="R6044" t="s">
        <v>917</v>
      </c>
      <c r="S6044">
        <v>39</v>
      </c>
      <c r="T6044" s="29" t="str">
        <f t="shared" si="279"/>
        <v>2023.022D.Ringavirales_1no_1nf_8ng_15nsp.zip</v>
      </c>
      <c r="U6044" s="29" t="str">
        <f>HYPERLINK("https://ictv.global/taxonomy/taxondetails?taxnode_id=202318589","ictv.global=202318589")</f>
        <v>ictv.global=202318589</v>
      </c>
    </row>
    <row r="6045" spans="1:21">
      <c r="A6045">
        <v>6044</v>
      </c>
      <c r="B6045" s="30" t="s">
        <v>1956</v>
      </c>
      <c r="D6045" s="30" t="s">
        <v>1985</v>
      </c>
      <c r="F6045" s="30" t="s">
        <v>2009</v>
      </c>
      <c r="H6045" s="30" t="s">
        <v>2010</v>
      </c>
      <c r="J6045" s="30" t="s">
        <v>13095</v>
      </c>
      <c r="L6045" s="30" t="s">
        <v>13096</v>
      </c>
      <c r="N6045" s="30" t="s">
        <v>13104</v>
      </c>
      <c r="P6045" s="30" t="s">
        <v>13105</v>
      </c>
      <c r="Q6045" t="s">
        <v>735</v>
      </c>
      <c r="R6045" t="s">
        <v>917</v>
      </c>
      <c r="S6045">
        <v>39</v>
      </c>
      <c r="T6045" s="29" t="str">
        <f t="shared" si="279"/>
        <v>2023.022D.Ringavirales_1no_1nf_8ng_15nsp.zip</v>
      </c>
      <c r="U6045" s="29" t="str">
        <f>HYPERLINK("https://ictv.global/taxonomy/taxondetails?taxnode_id=202318578","ictv.global=202318578")</f>
        <v>ictv.global=202318578</v>
      </c>
    </row>
    <row r="6046" spans="1:21">
      <c r="A6046">
        <v>6045</v>
      </c>
      <c r="B6046" s="30" t="s">
        <v>1956</v>
      </c>
      <c r="D6046" s="30" t="s">
        <v>1985</v>
      </c>
      <c r="F6046" s="30" t="s">
        <v>2009</v>
      </c>
      <c r="H6046" s="30" t="s">
        <v>2010</v>
      </c>
      <c r="J6046" s="30" t="s">
        <v>13095</v>
      </c>
      <c r="L6046" s="30" t="s">
        <v>13096</v>
      </c>
      <c r="N6046" s="30" t="s">
        <v>13104</v>
      </c>
      <c r="P6046" s="30" t="s">
        <v>13106</v>
      </c>
      <c r="Q6046" t="s">
        <v>735</v>
      </c>
      <c r="R6046" t="s">
        <v>917</v>
      </c>
      <c r="S6046">
        <v>39</v>
      </c>
      <c r="T6046" s="29" t="str">
        <f t="shared" si="279"/>
        <v>2023.022D.Ringavirales_1no_1nf_8ng_15nsp.zip</v>
      </c>
      <c r="U6046" s="29" t="str">
        <f>HYPERLINK("https://ictv.global/taxonomy/taxondetails?taxnode_id=202318579","ictv.global=202318579")</f>
        <v>ictv.global=202318579</v>
      </c>
    </row>
    <row r="6047" spans="1:21">
      <c r="A6047">
        <v>6046</v>
      </c>
      <c r="B6047" s="30" t="s">
        <v>1956</v>
      </c>
      <c r="D6047" s="30" t="s">
        <v>1985</v>
      </c>
      <c r="F6047" s="30" t="s">
        <v>2009</v>
      </c>
      <c r="H6047" s="30" t="s">
        <v>2010</v>
      </c>
      <c r="J6047" s="30" t="s">
        <v>13095</v>
      </c>
      <c r="L6047" s="30" t="s">
        <v>13096</v>
      </c>
      <c r="N6047" s="30" t="s">
        <v>13107</v>
      </c>
      <c r="P6047" s="30" t="s">
        <v>13108</v>
      </c>
      <c r="Q6047" t="s">
        <v>735</v>
      </c>
      <c r="R6047" t="s">
        <v>917</v>
      </c>
      <c r="S6047">
        <v>39</v>
      </c>
      <c r="T6047" s="29" t="str">
        <f t="shared" si="279"/>
        <v>2023.022D.Ringavirales_1no_1nf_8ng_15nsp.zip</v>
      </c>
      <c r="U6047" s="29" t="str">
        <f>HYPERLINK("https://ictv.global/taxonomy/taxondetails?taxnode_id=202318576","ictv.global=202318576")</f>
        <v>ictv.global=202318576</v>
      </c>
    </row>
    <row r="6048" spans="1:21">
      <c r="A6048">
        <v>6047</v>
      </c>
      <c r="B6048" s="30" t="s">
        <v>1956</v>
      </c>
      <c r="D6048" s="30" t="s">
        <v>1985</v>
      </c>
      <c r="F6048" s="30" t="s">
        <v>2009</v>
      </c>
      <c r="H6048" s="30" t="s">
        <v>2010</v>
      </c>
      <c r="J6048" s="30" t="s">
        <v>13095</v>
      </c>
      <c r="L6048" s="30" t="s">
        <v>13096</v>
      </c>
      <c r="N6048" s="30" t="s">
        <v>13107</v>
      </c>
      <c r="P6048" s="30" t="s">
        <v>13109</v>
      </c>
      <c r="Q6048" t="s">
        <v>735</v>
      </c>
      <c r="R6048" t="s">
        <v>917</v>
      </c>
      <c r="S6048">
        <v>39</v>
      </c>
      <c r="T6048" s="29" t="str">
        <f t="shared" si="279"/>
        <v>2023.022D.Ringavirales_1no_1nf_8ng_15nsp.zip</v>
      </c>
      <c r="U6048" s="29" t="str">
        <f>HYPERLINK("https://ictv.global/taxonomy/taxondetails?taxnode_id=202318575","ictv.global=202318575")</f>
        <v>ictv.global=202318575</v>
      </c>
    </row>
    <row r="6049" spans="1:21">
      <c r="A6049">
        <v>6048</v>
      </c>
      <c r="B6049" s="30" t="s">
        <v>1956</v>
      </c>
      <c r="D6049" s="30" t="s">
        <v>1985</v>
      </c>
      <c r="F6049" s="30" t="s">
        <v>2009</v>
      </c>
      <c r="H6049" s="30" t="s">
        <v>2010</v>
      </c>
      <c r="J6049" s="30" t="s">
        <v>13095</v>
      </c>
      <c r="L6049" s="30" t="s">
        <v>13096</v>
      </c>
      <c r="N6049" s="30" t="s">
        <v>13107</v>
      </c>
      <c r="P6049" s="30" t="s">
        <v>13110</v>
      </c>
      <c r="Q6049" t="s">
        <v>735</v>
      </c>
      <c r="R6049" t="s">
        <v>917</v>
      </c>
      <c r="S6049">
        <v>39</v>
      </c>
      <c r="T6049" s="29" t="str">
        <f t="shared" si="279"/>
        <v>2023.022D.Ringavirales_1no_1nf_8ng_15nsp.zip</v>
      </c>
      <c r="U6049" s="29" t="str">
        <f>HYPERLINK("https://ictv.global/taxonomy/taxondetails?taxnode_id=202318577","ictv.global=202318577")</f>
        <v>ictv.global=202318577</v>
      </c>
    </row>
    <row r="6050" spans="1:21">
      <c r="A6050">
        <v>6049</v>
      </c>
      <c r="B6050" s="30" t="s">
        <v>1956</v>
      </c>
      <c r="D6050" s="30" t="s">
        <v>1985</v>
      </c>
      <c r="F6050" s="30" t="s">
        <v>2009</v>
      </c>
      <c r="H6050" s="30" t="s">
        <v>2010</v>
      </c>
      <c r="J6050" s="30" t="s">
        <v>13095</v>
      </c>
      <c r="L6050" s="30" t="s">
        <v>13096</v>
      </c>
      <c r="N6050" s="30" t="s">
        <v>13111</v>
      </c>
      <c r="P6050" s="30" t="s">
        <v>13112</v>
      </c>
      <c r="Q6050" t="s">
        <v>735</v>
      </c>
      <c r="R6050" t="s">
        <v>917</v>
      </c>
      <c r="S6050">
        <v>39</v>
      </c>
      <c r="T6050" s="29" t="str">
        <f t="shared" si="279"/>
        <v>2023.022D.Ringavirales_1no_1nf_8ng_15nsp.zip</v>
      </c>
      <c r="U6050" s="29" t="str">
        <f>HYPERLINK("https://ictv.global/taxonomy/taxondetails?taxnode_id=202318586","ictv.global=202318586")</f>
        <v>ictv.global=202318586</v>
      </c>
    </row>
    <row r="6051" spans="1:21">
      <c r="A6051">
        <v>6050</v>
      </c>
      <c r="B6051" s="30" t="s">
        <v>1956</v>
      </c>
      <c r="D6051" s="30" t="s">
        <v>1985</v>
      </c>
      <c r="F6051" s="30" t="s">
        <v>2009</v>
      </c>
      <c r="H6051" s="30" t="s">
        <v>2010</v>
      </c>
      <c r="J6051" s="30" t="s">
        <v>13095</v>
      </c>
      <c r="L6051" s="30" t="s">
        <v>13096</v>
      </c>
      <c r="N6051" s="30" t="s">
        <v>13111</v>
      </c>
      <c r="P6051" s="30" t="s">
        <v>13113</v>
      </c>
      <c r="Q6051" t="s">
        <v>735</v>
      </c>
      <c r="R6051" t="s">
        <v>917</v>
      </c>
      <c r="S6051">
        <v>39</v>
      </c>
      <c r="T6051" s="29" t="str">
        <f t="shared" si="279"/>
        <v>2023.022D.Ringavirales_1no_1nf_8ng_15nsp.zip</v>
      </c>
      <c r="U6051" s="29" t="str">
        <f>HYPERLINK("https://ictv.global/taxonomy/taxondetails?taxnode_id=202318587","ictv.global=202318587")</f>
        <v>ictv.global=202318587</v>
      </c>
    </row>
    <row r="6052" spans="1:21">
      <c r="A6052">
        <v>6051</v>
      </c>
      <c r="B6052" s="30" t="s">
        <v>1956</v>
      </c>
      <c r="D6052" s="30" t="s">
        <v>1985</v>
      </c>
      <c r="F6052" s="30" t="s">
        <v>2009</v>
      </c>
      <c r="H6052" s="30" t="s">
        <v>2010</v>
      </c>
      <c r="J6052" s="30" t="s">
        <v>13095</v>
      </c>
      <c r="L6052" s="30" t="s">
        <v>13096</v>
      </c>
      <c r="N6052" s="30" t="s">
        <v>13114</v>
      </c>
      <c r="P6052" s="30" t="s">
        <v>13115</v>
      </c>
      <c r="Q6052" t="s">
        <v>735</v>
      </c>
      <c r="R6052" t="s">
        <v>917</v>
      </c>
      <c r="S6052">
        <v>39</v>
      </c>
      <c r="T6052" s="29" t="str">
        <f t="shared" si="279"/>
        <v>2023.022D.Ringavirales_1no_1nf_8ng_15nsp.zip</v>
      </c>
      <c r="U6052" s="29" t="str">
        <f>HYPERLINK("https://ictv.global/taxonomy/taxondetails?taxnode_id=202318580","ictv.global=202318580")</f>
        <v>ictv.global=202318580</v>
      </c>
    </row>
    <row r="6053" spans="1:21">
      <c r="A6053">
        <v>6052</v>
      </c>
      <c r="B6053" s="30" t="s">
        <v>1956</v>
      </c>
      <c r="D6053" s="30" t="s">
        <v>1985</v>
      </c>
      <c r="F6053" s="30" t="s">
        <v>2009</v>
      </c>
      <c r="H6053" s="30" t="s">
        <v>2010</v>
      </c>
      <c r="J6053" s="30" t="s">
        <v>13095</v>
      </c>
      <c r="L6053" s="30" t="s">
        <v>13096</v>
      </c>
      <c r="N6053" s="30" t="s">
        <v>13116</v>
      </c>
      <c r="P6053" s="30" t="s">
        <v>13117</v>
      </c>
      <c r="Q6053" t="s">
        <v>735</v>
      </c>
      <c r="R6053" t="s">
        <v>917</v>
      </c>
      <c r="S6053">
        <v>39</v>
      </c>
      <c r="T6053" s="29" t="str">
        <f t="shared" si="279"/>
        <v>2023.022D.Ringavirales_1no_1nf_8ng_15nsp.zip</v>
      </c>
      <c r="U6053" s="29" t="str">
        <f>HYPERLINK("https://ictv.global/taxonomy/taxondetails?taxnode_id=202318581","ictv.global=202318581")</f>
        <v>ictv.global=202318581</v>
      </c>
    </row>
    <row r="6054" spans="1:21">
      <c r="A6054">
        <v>6053</v>
      </c>
      <c r="B6054" s="30" t="s">
        <v>1956</v>
      </c>
      <c r="D6054" s="30" t="s">
        <v>1985</v>
      </c>
      <c r="F6054" s="30" t="s">
        <v>2009</v>
      </c>
      <c r="H6054" s="30" t="s">
        <v>2010</v>
      </c>
      <c r="J6054" s="30" t="s">
        <v>13095</v>
      </c>
      <c r="L6054" s="30" t="s">
        <v>13096</v>
      </c>
      <c r="N6054" s="30" t="s">
        <v>13118</v>
      </c>
      <c r="P6054" s="30" t="s">
        <v>13119</v>
      </c>
      <c r="Q6054" t="s">
        <v>735</v>
      </c>
      <c r="R6054" t="s">
        <v>917</v>
      </c>
      <c r="S6054">
        <v>39</v>
      </c>
      <c r="T6054" s="29" t="str">
        <f t="shared" si="279"/>
        <v>2023.022D.Ringavirales_1no_1nf_8ng_15nsp.zip</v>
      </c>
      <c r="U6054" s="29" t="str">
        <f>HYPERLINK("https://ictv.global/taxonomy/taxondetails?taxnode_id=202318585","ictv.global=202318585")</f>
        <v>ictv.global=202318585</v>
      </c>
    </row>
    <row r="6055" spans="1:21">
      <c r="A6055">
        <v>6054</v>
      </c>
      <c r="B6055" s="30" t="s">
        <v>1956</v>
      </c>
      <c r="D6055" s="30" t="s">
        <v>1985</v>
      </c>
      <c r="F6055" s="30" t="s">
        <v>2009</v>
      </c>
      <c r="H6055" s="30" t="s">
        <v>2010</v>
      </c>
      <c r="J6055" s="30" t="s">
        <v>9091</v>
      </c>
      <c r="L6055" s="30" t="s">
        <v>9092</v>
      </c>
      <c r="N6055" s="30" t="s">
        <v>13120</v>
      </c>
      <c r="P6055" s="30" t="s">
        <v>13121</v>
      </c>
      <c r="Q6055" t="s">
        <v>735</v>
      </c>
      <c r="R6055" t="s">
        <v>917</v>
      </c>
      <c r="S6055">
        <v>39</v>
      </c>
      <c r="T6055" s="29" t="str">
        <f>HYPERLINK("https://ictv.global/ictv/proposals/2023.008F.Arfiviricetes_11ng_19nsp.zip","2023.008F.Arfiviricetes_11ng_19nsp.zip")</f>
        <v>2023.008F.Arfiviricetes_11ng_19nsp.zip</v>
      </c>
      <c r="U6055" s="29" t="str">
        <f>HYPERLINK("https://ictv.global/taxonomy/taxondetails?taxnode_id=202317900","ictv.global=202317900")</f>
        <v>ictv.global=202317900</v>
      </c>
    </row>
    <row r="6056" spans="1:21">
      <c r="A6056">
        <v>6055</v>
      </c>
      <c r="B6056" s="30" t="s">
        <v>1956</v>
      </c>
      <c r="D6056" s="30" t="s">
        <v>1985</v>
      </c>
      <c r="F6056" s="30" t="s">
        <v>2009</v>
      </c>
      <c r="H6056" s="30" t="s">
        <v>2010</v>
      </c>
      <c r="J6056" s="30" t="s">
        <v>9091</v>
      </c>
      <c r="L6056" s="30" t="s">
        <v>9092</v>
      </c>
      <c r="N6056" s="30" t="s">
        <v>13122</v>
      </c>
      <c r="P6056" s="30" t="s">
        <v>13123</v>
      </c>
      <c r="Q6056" t="s">
        <v>735</v>
      </c>
      <c r="R6056" t="s">
        <v>917</v>
      </c>
      <c r="S6056">
        <v>39</v>
      </c>
      <c r="T6056" s="29" t="str">
        <f>HYPERLINK("https://ictv.global/ictv/proposals/2023.008F.Arfiviricetes_11ng_19nsp.zip","2023.008F.Arfiviricetes_11ng_19nsp.zip")</f>
        <v>2023.008F.Arfiviricetes_11ng_19nsp.zip</v>
      </c>
      <c r="U6056" s="29" t="str">
        <f>HYPERLINK("https://ictv.global/taxonomy/taxondetails?taxnode_id=202317899","ictv.global=202317899")</f>
        <v>ictv.global=202317899</v>
      </c>
    </row>
    <row r="6057" spans="1:21">
      <c r="A6057">
        <v>6056</v>
      </c>
      <c r="B6057" s="30" t="s">
        <v>1956</v>
      </c>
      <c r="D6057" s="30" t="s">
        <v>1985</v>
      </c>
      <c r="F6057" s="30" t="s">
        <v>2009</v>
      </c>
      <c r="H6057" s="30" t="s">
        <v>2010</v>
      </c>
      <c r="J6057" s="30" t="s">
        <v>9091</v>
      </c>
      <c r="L6057" s="30" t="s">
        <v>9092</v>
      </c>
      <c r="N6057" s="30" t="s">
        <v>13124</v>
      </c>
      <c r="P6057" s="30" t="s">
        <v>13125</v>
      </c>
      <c r="Q6057" t="s">
        <v>735</v>
      </c>
      <c r="R6057" t="s">
        <v>917</v>
      </c>
      <c r="S6057">
        <v>39</v>
      </c>
      <c r="T6057" s="29" t="str">
        <f>HYPERLINK("https://ictv.global/ictv/proposals/2023.008F.Arfiviricetes_11ng_19nsp.zip","2023.008F.Arfiviricetes_11ng_19nsp.zip")</f>
        <v>2023.008F.Arfiviricetes_11ng_19nsp.zip</v>
      </c>
      <c r="U6057" s="29" t="str">
        <f>HYPERLINK("https://ictv.global/taxonomy/taxondetails?taxnode_id=202317903","ictv.global=202317903")</f>
        <v>ictv.global=202317903</v>
      </c>
    </row>
    <row r="6058" spans="1:21">
      <c r="A6058">
        <v>6057</v>
      </c>
      <c r="B6058" s="30" t="s">
        <v>1956</v>
      </c>
      <c r="D6058" s="30" t="s">
        <v>1985</v>
      </c>
      <c r="F6058" s="30" t="s">
        <v>2009</v>
      </c>
      <c r="H6058" s="30" t="s">
        <v>2010</v>
      </c>
      <c r="J6058" s="30" t="s">
        <v>9091</v>
      </c>
      <c r="L6058" s="30" t="s">
        <v>9092</v>
      </c>
      <c r="N6058" s="30" t="s">
        <v>9093</v>
      </c>
      <c r="P6058" s="30" t="s">
        <v>9094</v>
      </c>
      <c r="Q6058" t="s">
        <v>735</v>
      </c>
      <c r="R6058" t="s">
        <v>917</v>
      </c>
      <c r="S6058">
        <v>37</v>
      </c>
      <c r="T6058" s="29" t="str">
        <f>HYPERLINK("https://ictv.global/ictv/proposals/2021.010F.R.Cressdna_2neword_3newfam_21newgen.zip","2021.010F.R.Cressdna_2neword_3newfam_21newgen.zip")</f>
        <v>2021.010F.R.Cressdna_2neword_3newfam_21newgen.zip</v>
      </c>
      <c r="U6058" s="29" t="str">
        <f>HYPERLINK("https://ictv.global/taxonomy/taxondetails?taxnode_id=202313285","ictv.global=202313285")</f>
        <v>ictv.global=202313285</v>
      </c>
    </row>
    <row r="6059" spans="1:21">
      <c r="A6059">
        <v>6058</v>
      </c>
      <c r="B6059" s="30" t="s">
        <v>1956</v>
      </c>
      <c r="D6059" s="30" t="s">
        <v>1985</v>
      </c>
      <c r="F6059" s="30" t="s">
        <v>2009</v>
      </c>
      <c r="H6059" s="30" t="s">
        <v>2010</v>
      </c>
      <c r="J6059" s="30" t="s">
        <v>9091</v>
      </c>
      <c r="L6059" s="30" t="s">
        <v>9092</v>
      </c>
      <c r="N6059" s="30" t="s">
        <v>13126</v>
      </c>
      <c r="P6059" s="30" t="s">
        <v>13127</v>
      </c>
      <c r="Q6059" t="s">
        <v>735</v>
      </c>
      <c r="R6059" t="s">
        <v>917</v>
      </c>
      <c r="S6059">
        <v>39</v>
      </c>
      <c r="T6059" s="29" t="str">
        <f>HYPERLINK("https://ictv.global/ictv/proposals/2023.008F.Arfiviricetes_11ng_19nsp.zip","2023.008F.Arfiviricetes_11ng_19nsp.zip")</f>
        <v>2023.008F.Arfiviricetes_11ng_19nsp.zip</v>
      </c>
      <c r="U6059" s="29" t="str">
        <f>HYPERLINK("https://ictv.global/taxonomy/taxondetails?taxnode_id=202317901","ictv.global=202317901")</f>
        <v>ictv.global=202317901</v>
      </c>
    </row>
    <row r="6060" spans="1:21">
      <c r="A6060">
        <v>6059</v>
      </c>
      <c r="B6060" s="30" t="s">
        <v>1956</v>
      </c>
      <c r="D6060" s="30" t="s">
        <v>1985</v>
      </c>
      <c r="F6060" s="30" t="s">
        <v>2009</v>
      </c>
      <c r="H6060" s="30" t="s">
        <v>2010</v>
      </c>
      <c r="J6060" s="30" t="s">
        <v>9091</v>
      </c>
      <c r="L6060" s="30" t="s">
        <v>9092</v>
      </c>
      <c r="N6060" s="30" t="s">
        <v>9095</v>
      </c>
      <c r="P6060" s="30" t="s">
        <v>9096</v>
      </c>
      <c r="Q6060" t="s">
        <v>735</v>
      </c>
      <c r="R6060" t="s">
        <v>917</v>
      </c>
      <c r="S6060">
        <v>37</v>
      </c>
      <c r="T6060" s="29" t="str">
        <f>HYPERLINK("https://ictv.global/ictv/proposals/2021.010F.R.Cressdna_2neword_3newfam_21newgen.zip","2021.010F.R.Cressdna_2neword_3newfam_21newgen.zip")</f>
        <v>2021.010F.R.Cressdna_2neword_3newfam_21newgen.zip</v>
      </c>
      <c r="U6060" s="29" t="str">
        <f>HYPERLINK("https://ictv.global/taxonomy/taxondetails?taxnode_id=202313287","ictv.global=202313287")</f>
        <v>ictv.global=202313287</v>
      </c>
    </row>
    <row r="6061" spans="1:21">
      <c r="A6061">
        <v>6060</v>
      </c>
      <c r="B6061" s="30" t="s">
        <v>1956</v>
      </c>
      <c r="D6061" s="30" t="s">
        <v>1985</v>
      </c>
      <c r="F6061" s="30" t="s">
        <v>2009</v>
      </c>
      <c r="H6061" s="30" t="s">
        <v>2010</v>
      </c>
      <c r="J6061" s="30" t="s">
        <v>9091</v>
      </c>
      <c r="L6061" s="30" t="s">
        <v>9092</v>
      </c>
      <c r="N6061" s="30" t="s">
        <v>9097</v>
      </c>
      <c r="P6061" s="30" t="s">
        <v>9098</v>
      </c>
      <c r="Q6061" t="s">
        <v>735</v>
      </c>
      <c r="R6061" t="s">
        <v>917</v>
      </c>
      <c r="S6061">
        <v>37</v>
      </c>
      <c r="T6061" s="29" t="str">
        <f>HYPERLINK("https://ictv.global/ictv/proposals/2021.010F.R.Cressdna_2neword_3newfam_21newgen.zip","2021.010F.R.Cressdna_2neword_3newfam_21newgen.zip")</f>
        <v>2021.010F.R.Cressdna_2neword_3newfam_21newgen.zip</v>
      </c>
      <c r="U6061" s="29" t="str">
        <f>HYPERLINK("https://ictv.global/taxonomy/taxondetails?taxnode_id=202313290","ictv.global=202313290")</f>
        <v>ictv.global=202313290</v>
      </c>
    </row>
    <row r="6062" spans="1:21">
      <c r="A6062">
        <v>6061</v>
      </c>
      <c r="B6062" s="30" t="s">
        <v>1956</v>
      </c>
      <c r="D6062" s="30" t="s">
        <v>1985</v>
      </c>
      <c r="F6062" s="30" t="s">
        <v>2009</v>
      </c>
      <c r="H6062" s="30" t="s">
        <v>2010</v>
      </c>
      <c r="J6062" s="30" t="s">
        <v>9091</v>
      </c>
      <c r="L6062" s="30" t="s">
        <v>9092</v>
      </c>
      <c r="N6062" s="30" t="s">
        <v>9097</v>
      </c>
      <c r="P6062" s="30" t="s">
        <v>9099</v>
      </c>
      <c r="Q6062" t="s">
        <v>735</v>
      </c>
      <c r="R6062" t="s">
        <v>917</v>
      </c>
      <c r="S6062">
        <v>37</v>
      </c>
      <c r="T6062" s="29" t="str">
        <f>HYPERLINK("https://ictv.global/ictv/proposals/2021.010F.R.Cressdna_2neword_3newfam_21newgen.zip","2021.010F.R.Cressdna_2neword_3newfam_21newgen.zip")</f>
        <v>2021.010F.R.Cressdna_2neword_3newfam_21newgen.zip</v>
      </c>
      <c r="U6062" s="29" t="str">
        <f>HYPERLINK("https://ictv.global/taxonomy/taxondetails?taxnode_id=202313289","ictv.global=202313289")</f>
        <v>ictv.global=202313289</v>
      </c>
    </row>
    <row r="6063" spans="1:21">
      <c r="A6063">
        <v>6062</v>
      </c>
      <c r="B6063" s="30" t="s">
        <v>1956</v>
      </c>
      <c r="D6063" s="30" t="s">
        <v>1985</v>
      </c>
      <c r="F6063" s="30" t="s">
        <v>2009</v>
      </c>
      <c r="H6063" s="30" t="s">
        <v>2010</v>
      </c>
      <c r="J6063" s="30" t="s">
        <v>9091</v>
      </c>
      <c r="L6063" s="30" t="s">
        <v>9092</v>
      </c>
      <c r="N6063" s="30" t="s">
        <v>9100</v>
      </c>
      <c r="P6063" s="30" t="s">
        <v>9101</v>
      </c>
      <c r="Q6063" t="s">
        <v>735</v>
      </c>
      <c r="R6063" t="s">
        <v>917</v>
      </c>
      <c r="S6063">
        <v>37</v>
      </c>
      <c r="T6063" s="29" t="str">
        <f>HYPERLINK("https://ictv.global/ictv/proposals/2021.010F.R.Cressdna_2neword_3newfam_21newgen.zip","2021.010F.R.Cressdna_2neword_3newfam_21newgen.zip")</f>
        <v>2021.010F.R.Cressdna_2neword_3newfam_21newgen.zip</v>
      </c>
      <c r="U6063" s="29" t="str">
        <f>HYPERLINK("https://ictv.global/taxonomy/taxondetails?taxnode_id=202313292","ictv.global=202313292")</f>
        <v>ictv.global=202313292</v>
      </c>
    </row>
    <row r="6064" spans="1:21">
      <c r="A6064">
        <v>6063</v>
      </c>
      <c r="B6064" s="30" t="s">
        <v>1956</v>
      </c>
      <c r="D6064" s="30" t="s">
        <v>1985</v>
      </c>
      <c r="F6064" s="30" t="s">
        <v>2009</v>
      </c>
      <c r="H6064" s="30" t="s">
        <v>2010</v>
      </c>
      <c r="J6064" s="30" t="s">
        <v>9091</v>
      </c>
      <c r="L6064" s="30" t="s">
        <v>9092</v>
      </c>
      <c r="N6064" s="30" t="s">
        <v>13128</v>
      </c>
      <c r="P6064" s="30" t="s">
        <v>13129</v>
      </c>
      <c r="Q6064" t="s">
        <v>735</v>
      </c>
      <c r="R6064" t="s">
        <v>917</v>
      </c>
      <c r="S6064">
        <v>39</v>
      </c>
      <c r="T6064" s="29" t="str">
        <f>HYPERLINK("https://ictv.global/ictv/proposals/2023.008F.Arfiviricetes_11ng_19nsp.zip","2023.008F.Arfiviricetes_11ng_19nsp.zip")</f>
        <v>2023.008F.Arfiviricetes_11ng_19nsp.zip</v>
      </c>
      <c r="U6064" s="29" t="str">
        <f>HYPERLINK("https://ictv.global/taxonomy/taxondetails?taxnode_id=202317898","ictv.global=202317898")</f>
        <v>ictv.global=202317898</v>
      </c>
    </row>
    <row r="6065" spans="1:21">
      <c r="A6065">
        <v>6064</v>
      </c>
      <c r="B6065" s="30" t="s">
        <v>1956</v>
      </c>
      <c r="D6065" s="30" t="s">
        <v>1985</v>
      </c>
      <c r="F6065" s="30" t="s">
        <v>2009</v>
      </c>
      <c r="H6065" s="30" t="s">
        <v>2010</v>
      </c>
      <c r="J6065" s="30" t="s">
        <v>9091</v>
      </c>
      <c r="L6065" s="30" t="s">
        <v>9092</v>
      </c>
      <c r="N6065" s="30" t="s">
        <v>13128</v>
      </c>
      <c r="P6065" s="30" t="s">
        <v>13130</v>
      </c>
      <c r="Q6065" t="s">
        <v>735</v>
      </c>
      <c r="R6065" t="s">
        <v>917</v>
      </c>
      <c r="S6065">
        <v>39</v>
      </c>
      <c r="T6065" s="29" t="str">
        <f>HYPERLINK("https://ictv.global/ictv/proposals/2023.008F.Arfiviricetes_11ng_19nsp.zip","2023.008F.Arfiviricetes_11ng_19nsp.zip")</f>
        <v>2023.008F.Arfiviricetes_11ng_19nsp.zip</v>
      </c>
      <c r="U6065" s="29" t="str">
        <f>HYPERLINK("https://ictv.global/taxonomy/taxondetails?taxnode_id=202317897","ictv.global=202317897")</f>
        <v>ictv.global=202317897</v>
      </c>
    </row>
    <row r="6066" spans="1:21">
      <c r="A6066">
        <v>6065</v>
      </c>
      <c r="B6066" s="30" t="s">
        <v>1956</v>
      </c>
      <c r="D6066" s="30" t="s">
        <v>1985</v>
      </c>
      <c r="F6066" s="30" t="s">
        <v>2009</v>
      </c>
      <c r="H6066" s="30" t="s">
        <v>2010</v>
      </c>
      <c r="J6066" s="30" t="s">
        <v>9091</v>
      </c>
      <c r="L6066" s="30" t="s">
        <v>9092</v>
      </c>
      <c r="N6066" s="30" t="s">
        <v>13131</v>
      </c>
      <c r="P6066" s="30" t="s">
        <v>13132</v>
      </c>
      <c r="Q6066" t="s">
        <v>735</v>
      </c>
      <c r="R6066" t="s">
        <v>917</v>
      </c>
      <c r="S6066">
        <v>39</v>
      </c>
      <c r="T6066" s="29" t="str">
        <f>HYPERLINK("https://ictv.global/ictv/proposals/2023.008F.Arfiviricetes_11ng_19nsp.zip","2023.008F.Arfiviricetes_11ng_19nsp.zip")</f>
        <v>2023.008F.Arfiviricetes_11ng_19nsp.zip</v>
      </c>
      <c r="U6066" s="29" t="str">
        <f>HYPERLINK("https://ictv.global/taxonomy/taxondetails?taxnode_id=202317896","ictv.global=202317896")</f>
        <v>ictv.global=202317896</v>
      </c>
    </row>
    <row r="6067" spans="1:21">
      <c r="A6067">
        <v>6066</v>
      </c>
      <c r="B6067" s="30" t="s">
        <v>1956</v>
      </c>
      <c r="D6067" s="30" t="s">
        <v>1985</v>
      </c>
      <c r="F6067" s="30" t="s">
        <v>2009</v>
      </c>
      <c r="H6067" s="30" t="s">
        <v>2010</v>
      </c>
      <c r="J6067" s="30" t="s">
        <v>9091</v>
      </c>
      <c r="L6067" s="30" t="s">
        <v>9092</v>
      </c>
      <c r="N6067" s="30" t="s">
        <v>13131</v>
      </c>
      <c r="P6067" s="30" t="s">
        <v>13133</v>
      </c>
      <c r="Q6067" t="s">
        <v>735</v>
      </c>
      <c r="R6067" t="s">
        <v>917</v>
      </c>
      <c r="S6067">
        <v>39</v>
      </c>
      <c r="T6067" s="29" t="str">
        <f>HYPERLINK("https://ictv.global/ictv/proposals/2023.008F.Arfiviricetes_11ng_19nsp.zip","2023.008F.Arfiviricetes_11ng_19nsp.zip")</f>
        <v>2023.008F.Arfiviricetes_11ng_19nsp.zip</v>
      </c>
      <c r="U6067" s="29" t="str">
        <f>HYPERLINK("https://ictv.global/taxonomy/taxondetails?taxnode_id=202317895","ictv.global=202317895")</f>
        <v>ictv.global=202317895</v>
      </c>
    </row>
    <row r="6068" spans="1:21">
      <c r="A6068">
        <v>6067</v>
      </c>
      <c r="B6068" s="30" t="s">
        <v>1956</v>
      </c>
      <c r="D6068" s="30" t="s">
        <v>1985</v>
      </c>
      <c r="F6068" s="30" t="s">
        <v>2009</v>
      </c>
      <c r="H6068" s="30" t="s">
        <v>2010</v>
      </c>
      <c r="J6068" s="30" t="s">
        <v>9091</v>
      </c>
      <c r="L6068" s="30" t="s">
        <v>9092</v>
      </c>
      <c r="N6068" s="30" t="s">
        <v>13134</v>
      </c>
      <c r="P6068" s="30" t="s">
        <v>13135</v>
      </c>
      <c r="Q6068" t="s">
        <v>735</v>
      </c>
      <c r="R6068" t="s">
        <v>917</v>
      </c>
      <c r="S6068">
        <v>39</v>
      </c>
      <c r="T6068" s="29" t="str">
        <f>HYPERLINK("https://ictv.global/ictv/proposals/2023.008F.Arfiviricetes_11ng_19nsp.zip","2023.008F.Arfiviricetes_11ng_19nsp.zip")</f>
        <v>2023.008F.Arfiviricetes_11ng_19nsp.zip</v>
      </c>
      <c r="U6068" s="29" t="str">
        <f>HYPERLINK("https://ictv.global/taxonomy/taxondetails?taxnode_id=202317902","ictv.global=202317902")</f>
        <v>ictv.global=202317902</v>
      </c>
    </row>
    <row r="6069" spans="1:21">
      <c r="A6069">
        <v>6068</v>
      </c>
      <c r="B6069" s="30" t="s">
        <v>1956</v>
      </c>
      <c r="D6069" s="30" t="s">
        <v>1985</v>
      </c>
      <c r="F6069" s="30" t="s">
        <v>2009</v>
      </c>
      <c r="H6069" s="30" t="s">
        <v>2010</v>
      </c>
      <c r="J6069" s="30" t="s">
        <v>9102</v>
      </c>
      <c r="L6069" s="30" t="s">
        <v>13136</v>
      </c>
      <c r="N6069" s="30" t="s">
        <v>13137</v>
      </c>
      <c r="P6069" s="30" t="s">
        <v>13138</v>
      </c>
      <c r="Q6069" t="s">
        <v>735</v>
      </c>
      <c r="R6069" t="s">
        <v>917</v>
      </c>
      <c r="S6069">
        <v>39</v>
      </c>
      <c r="T6069" s="29" t="str">
        <f t="shared" ref="T6069:T6102" si="280">HYPERLINK("https://ictv.global/ictv/proposals/2023.021D.Rohanvirales_2nf_28ng_34nsp.zip","2023.021D.Rohanvirales_2nf_28ng_34nsp.zip")</f>
        <v>2023.021D.Rohanvirales_2nf_28ng_34nsp.zip</v>
      </c>
      <c r="U6069" s="29" t="str">
        <f>HYPERLINK("https://ictv.global/taxonomy/taxondetails?taxnode_id=202318516","ictv.global=202318516")</f>
        <v>ictv.global=202318516</v>
      </c>
    </row>
    <row r="6070" spans="1:21">
      <c r="A6070">
        <v>6069</v>
      </c>
      <c r="B6070" s="30" t="s">
        <v>1956</v>
      </c>
      <c r="D6070" s="30" t="s">
        <v>1985</v>
      </c>
      <c r="F6070" s="30" t="s">
        <v>2009</v>
      </c>
      <c r="H6070" s="30" t="s">
        <v>2010</v>
      </c>
      <c r="J6070" s="30" t="s">
        <v>9102</v>
      </c>
      <c r="L6070" s="30" t="s">
        <v>13136</v>
      </c>
      <c r="N6070" s="30" t="s">
        <v>13137</v>
      </c>
      <c r="P6070" s="30" t="s">
        <v>13139</v>
      </c>
      <c r="Q6070" t="s">
        <v>735</v>
      </c>
      <c r="R6070" t="s">
        <v>917</v>
      </c>
      <c r="S6070">
        <v>39</v>
      </c>
      <c r="T6070" s="29" t="str">
        <f t="shared" si="280"/>
        <v>2023.021D.Rohanvirales_2nf_28ng_34nsp.zip</v>
      </c>
      <c r="U6070" s="29" t="str">
        <f>HYPERLINK("https://ictv.global/taxonomy/taxondetails?taxnode_id=202318517","ictv.global=202318517")</f>
        <v>ictv.global=202318517</v>
      </c>
    </row>
    <row r="6071" spans="1:21">
      <c r="A6071">
        <v>6070</v>
      </c>
      <c r="B6071" s="30" t="s">
        <v>1956</v>
      </c>
      <c r="D6071" s="30" t="s">
        <v>1985</v>
      </c>
      <c r="F6071" s="30" t="s">
        <v>2009</v>
      </c>
      <c r="H6071" s="30" t="s">
        <v>2010</v>
      </c>
      <c r="J6071" s="30" t="s">
        <v>9102</v>
      </c>
      <c r="L6071" s="30" t="s">
        <v>13136</v>
      </c>
      <c r="N6071" s="30" t="s">
        <v>13137</v>
      </c>
      <c r="P6071" s="30" t="s">
        <v>13140</v>
      </c>
      <c r="Q6071" t="s">
        <v>735</v>
      </c>
      <c r="R6071" t="s">
        <v>917</v>
      </c>
      <c r="S6071">
        <v>39</v>
      </c>
      <c r="T6071" s="29" t="str">
        <f t="shared" si="280"/>
        <v>2023.021D.Rohanvirales_2nf_28ng_34nsp.zip</v>
      </c>
      <c r="U6071" s="29" t="str">
        <f>HYPERLINK("https://ictv.global/taxonomy/taxondetails?taxnode_id=202318515","ictv.global=202318515")</f>
        <v>ictv.global=202318515</v>
      </c>
    </row>
    <row r="6072" spans="1:21">
      <c r="A6072">
        <v>6071</v>
      </c>
      <c r="B6072" s="30" t="s">
        <v>1956</v>
      </c>
      <c r="D6072" s="30" t="s">
        <v>1985</v>
      </c>
      <c r="F6072" s="30" t="s">
        <v>2009</v>
      </c>
      <c r="H6072" s="30" t="s">
        <v>2010</v>
      </c>
      <c r="J6072" s="30" t="s">
        <v>9102</v>
      </c>
      <c r="L6072" s="30" t="s">
        <v>13136</v>
      </c>
      <c r="N6072" s="30" t="s">
        <v>13141</v>
      </c>
      <c r="P6072" s="30" t="s">
        <v>13142</v>
      </c>
      <c r="Q6072" t="s">
        <v>735</v>
      </c>
      <c r="R6072" t="s">
        <v>917</v>
      </c>
      <c r="S6072">
        <v>39</v>
      </c>
      <c r="T6072" s="29" t="str">
        <f t="shared" si="280"/>
        <v>2023.021D.Rohanvirales_2nf_28ng_34nsp.zip</v>
      </c>
      <c r="U6072" s="29" t="str">
        <f>HYPERLINK("https://ictv.global/taxonomy/taxondetails?taxnode_id=202318518","ictv.global=202318518")</f>
        <v>ictv.global=202318518</v>
      </c>
    </row>
    <row r="6073" spans="1:21">
      <c r="A6073">
        <v>6072</v>
      </c>
      <c r="B6073" s="30" t="s">
        <v>1956</v>
      </c>
      <c r="D6073" s="30" t="s">
        <v>1985</v>
      </c>
      <c r="F6073" s="30" t="s">
        <v>2009</v>
      </c>
      <c r="H6073" s="30" t="s">
        <v>2010</v>
      </c>
      <c r="J6073" s="30" t="s">
        <v>9102</v>
      </c>
      <c r="L6073" s="30" t="s">
        <v>13136</v>
      </c>
      <c r="N6073" s="30" t="s">
        <v>13143</v>
      </c>
      <c r="P6073" s="30" t="s">
        <v>13144</v>
      </c>
      <c r="Q6073" t="s">
        <v>735</v>
      </c>
      <c r="R6073" t="s">
        <v>917</v>
      </c>
      <c r="S6073">
        <v>39</v>
      </c>
      <c r="T6073" s="29" t="str">
        <f t="shared" si="280"/>
        <v>2023.021D.Rohanvirales_2nf_28ng_34nsp.zip</v>
      </c>
      <c r="U6073" s="29" t="str">
        <f>HYPERLINK("https://ictv.global/taxonomy/taxondetails?taxnode_id=202318519","ictv.global=202318519")</f>
        <v>ictv.global=202318519</v>
      </c>
    </row>
    <row r="6074" spans="1:21">
      <c r="A6074">
        <v>6073</v>
      </c>
      <c r="B6074" s="30" t="s">
        <v>1956</v>
      </c>
      <c r="D6074" s="30" t="s">
        <v>1985</v>
      </c>
      <c r="F6074" s="30" t="s">
        <v>2009</v>
      </c>
      <c r="H6074" s="30" t="s">
        <v>2010</v>
      </c>
      <c r="J6074" s="30" t="s">
        <v>9102</v>
      </c>
      <c r="L6074" s="30" t="s">
        <v>13136</v>
      </c>
      <c r="N6074" s="30" t="s">
        <v>13145</v>
      </c>
      <c r="P6074" s="30" t="s">
        <v>13146</v>
      </c>
      <c r="Q6074" t="s">
        <v>735</v>
      </c>
      <c r="R6074" t="s">
        <v>917</v>
      </c>
      <c r="S6074">
        <v>39</v>
      </c>
      <c r="T6074" s="29" t="str">
        <f t="shared" si="280"/>
        <v>2023.021D.Rohanvirales_2nf_28ng_34nsp.zip</v>
      </c>
      <c r="U6074" s="29" t="str">
        <f>HYPERLINK("https://ictv.global/taxonomy/taxondetails?taxnode_id=202318520","ictv.global=202318520")</f>
        <v>ictv.global=202318520</v>
      </c>
    </row>
    <row r="6075" spans="1:21">
      <c r="A6075">
        <v>6074</v>
      </c>
      <c r="B6075" s="30" t="s">
        <v>1956</v>
      </c>
      <c r="D6075" s="30" t="s">
        <v>1985</v>
      </c>
      <c r="F6075" s="30" t="s">
        <v>2009</v>
      </c>
      <c r="H6075" s="30" t="s">
        <v>2010</v>
      </c>
      <c r="J6075" s="30" t="s">
        <v>9102</v>
      </c>
      <c r="L6075" s="30" t="s">
        <v>13136</v>
      </c>
      <c r="N6075" s="30" t="s">
        <v>13147</v>
      </c>
      <c r="P6075" s="30" t="s">
        <v>13148</v>
      </c>
      <c r="Q6075" t="s">
        <v>735</v>
      </c>
      <c r="R6075" t="s">
        <v>917</v>
      </c>
      <c r="S6075">
        <v>39</v>
      </c>
      <c r="T6075" s="29" t="str">
        <f t="shared" si="280"/>
        <v>2023.021D.Rohanvirales_2nf_28ng_34nsp.zip</v>
      </c>
      <c r="U6075" s="29" t="str">
        <f>HYPERLINK("https://ictv.global/taxonomy/taxondetails?taxnode_id=202318521","ictv.global=202318521")</f>
        <v>ictv.global=202318521</v>
      </c>
    </row>
    <row r="6076" spans="1:21">
      <c r="A6076">
        <v>6075</v>
      </c>
      <c r="B6076" s="30" t="s">
        <v>1956</v>
      </c>
      <c r="D6076" s="30" t="s">
        <v>1985</v>
      </c>
      <c r="F6076" s="30" t="s">
        <v>2009</v>
      </c>
      <c r="H6076" s="30" t="s">
        <v>2010</v>
      </c>
      <c r="J6076" s="30" t="s">
        <v>9102</v>
      </c>
      <c r="L6076" s="30" t="s">
        <v>13136</v>
      </c>
      <c r="N6076" s="30" t="s">
        <v>13149</v>
      </c>
      <c r="P6076" s="30" t="s">
        <v>13150</v>
      </c>
      <c r="Q6076" t="s">
        <v>735</v>
      </c>
      <c r="R6076" t="s">
        <v>917</v>
      </c>
      <c r="S6076">
        <v>39</v>
      </c>
      <c r="T6076" s="29" t="str">
        <f t="shared" si="280"/>
        <v>2023.021D.Rohanvirales_2nf_28ng_34nsp.zip</v>
      </c>
      <c r="U6076" s="29" t="str">
        <f>HYPERLINK("https://ictv.global/taxonomy/taxondetails?taxnode_id=202318522","ictv.global=202318522")</f>
        <v>ictv.global=202318522</v>
      </c>
    </row>
    <row r="6077" spans="1:21">
      <c r="A6077">
        <v>6076</v>
      </c>
      <c r="B6077" s="30" t="s">
        <v>1956</v>
      </c>
      <c r="D6077" s="30" t="s">
        <v>1985</v>
      </c>
      <c r="F6077" s="30" t="s">
        <v>2009</v>
      </c>
      <c r="H6077" s="30" t="s">
        <v>2010</v>
      </c>
      <c r="J6077" s="30" t="s">
        <v>9102</v>
      </c>
      <c r="L6077" s="30" t="s">
        <v>13136</v>
      </c>
      <c r="N6077" s="30" t="s">
        <v>13151</v>
      </c>
      <c r="P6077" s="30" t="s">
        <v>13152</v>
      </c>
      <c r="Q6077" t="s">
        <v>735</v>
      </c>
      <c r="R6077" t="s">
        <v>917</v>
      </c>
      <c r="S6077">
        <v>39</v>
      </c>
      <c r="T6077" s="29" t="str">
        <f t="shared" si="280"/>
        <v>2023.021D.Rohanvirales_2nf_28ng_34nsp.zip</v>
      </c>
      <c r="U6077" s="29" t="str">
        <f>HYPERLINK("https://ictv.global/taxonomy/taxondetails?taxnode_id=202318523","ictv.global=202318523")</f>
        <v>ictv.global=202318523</v>
      </c>
    </row>
    <row r="6078" spans="1:21">
      <c r="A6078">
        <v>6077</v>
      </c>
      <c r="B6078" s="30" t="s">
        <v>1956</v>
      </c>
      <c r="D6078" s="30" t="s">
        <v>1985</v>
      </c>
      <c r="F6078" s="30" t="s">
        <v>2009</v>
      </c>
      <c r="H6078" s="30" t="s">
        <v>2010</v>
      </c>
      <c r="J6078" s="30" t="s">
        <v>9102</v>
      </c>
      <c r="L6078" s="30" t="s">
        <v>13136</v>
      </c>
      <c r="N6078" s="30" t="s">
        <v>13151</v>
      </c>
      <c r="P6078" s="30" t="s">
        <v>13153</v>
      </c>
      <c r="Q6078" t="s">
        <v>735</v>
      </c>
      <c r="R6078" t="s">
        <v>917</v>
      </c>
      <c r="S6078">
        <v>39</v>
      </c>
      <c r="T6078" s="29" t="str">
        <f t="shared" si="280"/>
        <v>2023.021D.Rohanvirales_2nf_28ng_34nsp.zip</v>
      </c>
      <c r="U6078" s="29" t="str">
        <f>HYPERLINK("https://ictv.global/taxonomy/taxondetails?taxnode_id=202318524","ictv.global=202318524")</f>
        <v>ictv.global=202318524</v>
      </c>
    </row>
    <row r="6079" spans="1:21">
      <c r="A6079">
        <v>6078</v>
      </c>
      <c r="B6079" s="30" t="s">
        <v>1956</v>
      </c>
      <c r="D6079" s="30" t="s">
        <v>1985</v>
      </c>
      <c r="F6079" s="30" t="s">
        <v>2009</v>
      </c>
      <c r="H6079" s="30" t="s">
        <v>2010</v>
      </c>
      <c r="J6079" s="30" t="s">
        <v>9102</v>
      </c>
      <c r="L6079" s="30" t="s">
        <v>13136</v>
      </c>
      <c r="N6079" s="30" t="s">
        <v>13154</v>
      </c>
      <c r="P6079" s="30" t="s">
        <v>13155</v>
      </c>
      <c r="Q6079" t="s">
        <v>735</v>
      </c>
      <c r="R6079" t="s">
        <v>917</v>
      </c>
      <c r="S6079">
        <v>39</v>
      </c>
      <c r="T6079" s="29" t="str">
        <f t="shared" si="280"/>
        <v>2023.021D.Rohanvirales_2nf_28ng_34nsp.zip</v>
      </c>
      <c r="U6079" s="29" t="str">
        <f>HYPERLINK("https://ictv.global/taxonomy/taxondetails?taxnode_id=202318530","ictv.global=202318530")</f>
        <v>ictv.global=202318530</v>
      </c>
    </row>
    <row r="6080" spans="1:21">
      <c r="A6080">
        <v>6079</v>
      </c>
      <c r="B6080" s="30" t="s">
        <v>1956</v>
      </c>
      <c r="D6080" s="30" t="s">
        <v>1985</v>
      </c>
      <c r="F6080" s="30" t="s">
        <v>2009</v>
      </c>
      <c r="H6080" s="30" t="s">
        <v>2010</v>
      </c>
      <c r="J6080" s="30" t="s">
        <v>9102</v>
      </c>
      <c r="L6080" s="30" t="s">
        <v>13136</v>
      </c>
      <c r="N6080" s="30" t="s">
        <v>13156</v>
      </c>
      <c r="P6080" s="30" t="s">
        <v>13157</v>
      </c>
      <c r="Q6080" t="s">
        <v>735</v>
      </c>
      <c r="R6080" t="s">
        <v>917</v>
      </c>
      <c r="S6080">
        <v>39</v>
      </c>
      <c r="T6080" s="29" t="str">
        <f t="shared" si="280"/>
        <v>2023.021D.Rohanvirales_2nf_28ng_34nsp.zip</v>
      </c>
      <c r="U6080" s="29" t="str">
        <f>HYPERLINK("https://ictv.global/taxonomy/taxondetails?taxnode_id=202318525","ictv.global=202318525")</f>
        <v>ictv.global=202318525</v>
      </c>
    </row>
    <row r="6081" spans="1:21">
      <c r="A6081">
        <v>6080</v>
      </c>
      <c r="B6081" s="30" t="s">
        <v>1956</v>
      </c>
      <c r="D6081" s="30" t="s">
        <v>1985</v>
      </c>
      <c r="F6081" s="30" t="s">
        <v>2009</v>
      </c>
      <c r="H6081" s="30" t="s">
        <v>2010</v>
      </c>
      <c r="J6081" s="30" t="s">
        <v>9102</v>
      </c>
      <c r="L6081" s="30" t="s">
        <v>13136</v>
      </c>
      <c r="N6081" s="30" t="s">
        <v>13158</v>
      </c>
      <c r="P6081" s="30" t="s">
        <v>13159</v>
      </c>
      <c r="Q6081" t="s">
        <v>735</v>
      </c>
      <c r="R6081" t="s">
        <v>917</v>
      </c>
      <c r="S6081">
        <v>39</v>
      </c>
      <c r="T6081" s="29" t="str">
        <f t="shared" si="280"/>
        <v>2023.021D.Rohanvirales_2nf_28ng_34nsp.zip</v>
      </c>
      <c r="U6081" s="29" t="str">
        <f>HYPERLINK("https://ictv.global/taxonomy/taxondetails?taxnode_id=202318526","ictv.global=202318526")</f>
        <v>ictv.global=202318526</v>
      </c>
    </row>
    <row r="6082" spans="1:21">
      <c r="A6082">
        <v>6081</v>
      </c>
      <c r="B6082" s="30" t="s">
        <v>1956</v>
      </c>
      <c r="D6082" s="30" t="s">
        <v>1985</v>
      </c>
      <c r="F6082" s="30" t="s">
        <v>2009</v>
      </c>
      <c r="H6082" s="30" t="s">
        <v>2010</v>
      </c>
      <c r="J6082" s="30" t="s">
        <v>9102</v>
      </c>
      <c r="L6082" s="30" t="s">
        <v>13136</v>
      </c>
      <c r="N6082" s="30" t="s">
        <v>13160</v>
      </c>
      <c r="P6082" s="30" t="s">
        <v>13161</v>
      </c>
      <c r="Q6082" t="s">
        <v>735</v>
      </c>
      <c r="R6082" t="s">
        <v>917</v>
      </c>
      <c r="S6082">
        <v>39</v>
      </c>
      <c r="T6082" s="29" t="str">
        <f t="shared" si="280"/>
        <v>2023.021D.Rohanvirales_2nf_28ng_34nsp.zip</v>
      </c>
      <c r="U6082" s="29" t="str">
        <f>HYPERLINK("https://ictv.global/taxonomy/taxondetails?taxnode_id=202318527","ictv.global=202318527")</f>
        <v>ictv.global=202318527</v>
      </c>
    </row>
    <row r="6083" spans="1:21">
      <c r="A6083">
        <v>6082</v>
      </c>
      <c r="B6083" s="30" t="s">
        <v>1956</v>
      </c>
      <c r="D6083" s="30" t="s">
        <v>1985</v>
      </c>
      <c r="F6083" s="30" t="s">
        <v>2009</v>
      </c>
      <c r="H6083" s="30" t="s">
        <v>2010</v>
      </c>
      <c r="J6083" s="30" t="s">
        <v>9102</v>
      </c>
      <c r="L6083" s="30" t="s">
        <v>13136</v>
      </c>
      <c r="N6083" s="30" t="s">
        <v>13162</v>
      </c>
      <c r="P6083" s="30" t="s">
        <v>13163</v>
      </c>
      <c r="Q6083" t="s">
        <v>735</v>
      </c>
      <c r="R6083" t="s">
        <v>917</v>
      </c>
      <c r="S6083">
        <v>39</v>
      </c>
      <c r="T6083" s="29" t="str">
        <f t="shared" si="280"/>
        <v>2023.021D.Rohanvirales_2nf_28ng_34nsp.zip</v>
      </c>
      <c r="U6083" s="29" t="str">
        <f>HYPERLINK("https://ictv.global/taxonomy/taxondetails?taxnode_id=202318528","ictv.global=202318528")</f>
        <v>ictv.global=202318528</v>
      </c>
    </row>
    <row r="6084" spans="1:21">
      <c r="A6084">
        <v>6083</v>
      </c>
      <c r="B6084" s="30" t="s">
        <v>1956</v>
      </c>
      <c r="D6084" s="30" t="s">
        <v>1985</v>
      </c>
      <c r="F6084" s="30" t="s">
        <v>2009</v>
      </c>
      <c r="H6084" s="30" t="s">
        <v>2010</v>
      </c>
      <c r="J6084" s="30" t="s">
        <v>9102</v>
      </c>
      <c r="L6084" s="30" t="s">
        <v>13136</v>
      </c>
      <c r="N6084" s="30" t="s">
        <v>13164</v>
      </c>
      <c r="P6084" s="30" t="s">
        <v>13165</v>
      </c>
      <c r="Q6084" t="s">
        <v>735</v>
      </c>
      <c r="R6084" t="s">
        <v>917</v>
      </c>
      <c r="S6084">
        <v>39</v>
      </c>
      <c r="T6084" s="29" t="str">
        <f t="shared" si="280"/>
        <v>2023.021D.Rohanvirales_2nf_28ng_34nsp.zip</v>
      </c>
      <c r="U6084" s="29" t="str">
        <f>HYPERLINK("https://ictv.global/taxonomy/taxondetails?taxnode_id=202318529","ictv.global=202318529")</f>
        <v>ictv.global=202318529</v>
      </c>
    </row>
    <row r="6085" spans="1:21">
      <c r="A6085">
        <v>6084</v>
      </c>
      <c r="B6085" s="30" t="s">
        <v>1956</v>
      </c>
      <c r="D6085" s="30" t="s">
        <v>1985</v>
      </c>
      <c r="F6085" s="30" t="s">
        <v>2009</v>
      </c>
      <c r="H6085" s="30" t="s">
        <v>2010</v>
      </c>
      <c r="J6085" s="30" t="s">
        <v>9102</v>
      </c>
      <c r="L6085" s="30" t="s">
        <v>13136</v>
      </c>
      <c r="N6085" s="30" t="s">
        <v>13166</v>
      </c>
      <c r="P6085" s="30" t="s">
        <v>13167</v>
      </c>
      <c r="Q6085" t="s">
        <v>735</v>
      </c>
      <c r="R6085" t="s">
        <v>917</v>
      </c>
      <c r="S6085">
        <v>39</v>
      </c>
      <c r="T6085" s="29" t="str">
        <f t="shared" si="280"/>
        <v>2023.021D.Rohanvirales_2nf_28ng_34nsp.zip</v>
      </c>
      <c r="U6085" s="29" t="str">
        <f>HYPERLINK("https://ictv.global/taxonomy/taxondetails?taxnode_id=202318531","ictv.global=202318531")</f>
        <v>ictv.global=202318531</v>
      </c>
    </row>
    <row r="6086" spans="1:21">
      <c r="A6086">
        <v>6085</v>
      </c>
      <c r="B6086" s="30" t="s">
        <v>1956</v>
      </c>
      <c r="D6086" s="30" t="s">
        <v>1985</v>
      </c>
      <c r="F6086" s="30" t="s">
        <v>2009</v>
      </c>
      <c r="H6086" s="30" t="s">
        <v>2010</v>
      </c>
      <c r="J6086" s="30" t="s">
        <v>9102</v>
      </c>
      <c r="L6086" s="30" t="s">
        <v>13136</v>
      </c>
      <c r="N6086" s="30" t="s">
        <v>13168</v>
      </c>
      <c r="P6086" s="30" t="s">
        <v>13169</v>
      </c>
      <c r="Q6086" t="s">
        <v>735</v>
      </c>
      <c r="R6086" t="s">
        <v>917</v>
      </c>
      <c r="S6086">
        <v>39</v>
      </c>
      <c r="T6086" s="29" t="str">
        <f t="shared" si="280"/>
        <v>2023.021D.Rohanvirales_2nf_28ng_34nsp.zip</v>
      </c>
      <c r="U6086" s="29" t="str">
        <f>HYPERLINK("https://ictv.global/taxonomy/taxondetails?taxnode_id=202318532","ictv.global=202318532")</f>
        <v>ictv.global=202318532</v>
      </c>
    </row>
    <row r="6087" spans="1:21">
      <c r="A6087">
        <v>6086</v>
      </c>
      <c r="B6087" s="30" t="s">
        <v>1956</v>
      </c>
      <c r="D6087" s="30" t="s">
        <v>1985</v>
      </c>
      <c r="F6087" s="30" t="s">
        <v>2009</v>
      </c>
      <c r="H6087" s="30" t="s">
        <v>2010</v>
      </c>
      <c r="J6087" s="30" t="s">
        <v>9102</v>
      </c>
      <c r="L6087" s="30" t="s">
        <v>13136</v>
      </c>
      <c r="N6087" s="30" t="s">
        <v>13170</v>
      </c>
      <c r="P6087" s="30" t="s">
        <v>13171</v>
      </c>
      <c r="Q6087" t="s">
        <v>735</v>
      </c>
      <c r="R6087" t="s">
        <v>917</v>
      </c>
      <c r="S6087">
        <v>39</v>
      </c>
      <c r="T6087" s="29" t="str">
        <f t="shared" si="280"/>
        <v>2023.021D.Rohanvirales_2nf_28ng_34nsp.zip</v>
      </c>
      <c r="U6087" s="29" t="str">
        <f>HYPERLINK("https://ictv.global/taxonomy/taxondetails?taxnode_id=202318533","ictv.global=202318533")</f>
        <v>ictv.global=202318533</v>
      </c>
    </row>
    <row r="6088" spans="1:21">
      <c r="A6088">
        <v>6087</v>
      </c>
      <c r="B6088" s="30" t="s">
        <v>1956</v>
      </c>
      <c r="D6088" s="30" t="s">
        <v>1985</v>
      </c>
      <c r="F6088" s="30" t="s">
        <v>2009</v>
      </c>
      <c r="H6088" s="30" t="s">
        <v>2010</v>
      </c>
      <c r="J6088" s="30" t="s">
        <v>9102</v>
      </c>
      <c r="L6088" s="30" t="s">
        <v>13136</v>
      </c>
      <c r="N6088" s="30" t="s">
        <v>13172</v>
      </c>
      <c r="P6088" s="30" t="s">
        <v>13173</v>
      </c>
      <c r="Q6088" t="s">
        <v>735</v>
      </c>
      <c r="R6088" t="s">
        <v>917</v>
      </c>
      <c r="S6088">
        <v>39</v>
      </c>
      <c r="T6088" s="29" t="str">
        <f t="shared" si="280"/>
        <v>2023.021D.Rohanvirales_2nf_28ng_34nsp.zip</v>
      </c>
      <c r="U6088" s="29" t="str">
        <f>HYPERLINK("https://ictv.global/taxonomy/taxondetails?taxnode_id=202318534","ictv.global=202318534")</f>
        <v>ictv.global=202318534</v>
      </c>
    </row>
    <row r="6089" spans="1:21">
      <c r="A6089">
        <v>6088</v>
      </c>
      <c r="B6089" s="30" t="s">
        <v>1956</v>
      </c>
      <c r="D6089" s="30" t="s">
        <v>1985</v>
      </c>
      <c r="F6089" s="30" t="s">
        <v>2009</v>
      </c>
      <c r="H6089" s="30" t="s">
        <v>2010</v>
      </c>
      <c r="J6089" s="30" t="s">
        <v>9102</v>
      </c>
      <c r="L6089" s="30" t="s">
        <v>13136</v>
      </c>
      <c r="N6089" s="30" t="s">
        <v>13172</v>
      </c>
      <c r="P6089" s="30" t="s">
        <v>13174</v>
      </c>
      <c r="Q6089" t="s">
        <v>735</v>
      </c>
      <c r="R6089" t="s">
        <v>917</v>
      </c>
      <c r="S6089">
        <v>39</v>
      </c>
      <c r="T6089" s="29" t="str">
        <f t="shared" si="280"/>
        <v>2023.021D.Rohanvirales_2nf_28ng_34nsp.zip</v>
      </c>
      <c r="U6089" s="29" t="str">
        <f>HYPERLINK("https://ictv.global/taxonomy/taxondetails?taxnode_id=202318535","ictv.global=202318535")</f>
        <v>ictv.global=202318535</v>
      </c>
    </row>
    <row r="6090" spans="1:21">
      <c r="A6090">
        <v>6089</v>
      </c>
      <c r="B6090" s="30" t="s">
        <v>1956</v>
      </c>
      <c r="D6090" s="30" t="s">
        <v>1985</v>
      </c>
      <c r="F6090" s="30" t="s">
        <v>2009</v>
      </c>
      <c r="H6090" s="30" t="s">
        <v>2010</v>
      </c>
      <c r="J6090" s="30" t="s">
        <v>9102</v>
      </c>
      <c r="L6090" s="30" t="s">
        <v>13136</v>
      </c>
      <c r="N6090" s="30" t="s">
        <v>13175</v>
      </c>
      <c r="P6090" s="30" t="s">
        <v>13176</v>
      </c>
      <c r="Q6090" t="s">
        <v>735</v>
      </c>
      <c r="R6090" t="s">
        <v>917</v>
      </c>
      <c r="S6090">
        <v>39</v>
      </c>
      <c r="T6090" s="29" t="str">
        <f t="shared" si="280"/>
        <v>2023.021D.Rohanvirales_2nf_28ng_34nsp.zip</v>
      </c>
      <c r="U6090" s="29" t="str">
        <f>HYPERLINK("https://ictv.global/taxonomy/taxondetails?taxnode_id=202318536","ictv.global=202318536")</f>
        <v>ictv.global=202318536</v>
      </c>
    </row>
    <row r="6091" spans="1:21">
      <c r="A6091">
        <v>6090</v>
      </c>
      <c r="B6091" s="30" t="s">
        <v>1956</v>
      </c>
      <c r="D6091" s="30" t="s">
        <v>1985</v>
      </c>
      <c r="F6091" s="30" t="s">
        <v>2009</v>
      </c>
      <c r="H6091" s="30" t="s">
        <v>2010</v>
      </c>
      <c r="J6091" s="30" t="s">
        <v>9102</v>
      </c>
      <c r="L6091" s="30" t="s">
        <v>13177</v>
      </c>
      <c r="N6091" s="30" t="s">
        <v>13178</v>
      </c>
      <c r="P6091" s="30" t="s">
        <v>13179</v>
      </c>
      <c r="Q6091" t="s">
        <v>735</v>
      </c>
      <c r="R6091" t="s">
        <v>917</v>
      </c>
      <c r="S6091">
        <v>39</v>
      </c>
      <c r="T6091" s="29" t="str">
        <f t="shared" si="280"/>
        <v>2023.021D.Rohanvirales_2nf_28ng_34nsp.zip</v>
      </c>
      <c r="U6091" s="29" t="str">
        <f>HYPERLINK("https://ictv.global/taxonomy/taxondetails?taxnode_id=202318503","ictv.global=202318503")</f>
        <v>ictv.global=202318503</v>
      </c>
    </row>
    <row r="6092" spans="1:21">
      <c r="A6092">
        <v>6091</v>
      </c>
      <c r="B6092" s="30" t="s">
        <v>1956</v>
      </c>
      <c r="D6092" s="30" t="s">
        <v>1985</v>
      </c>
      <c r="F6092" s="30" t="s">
        <v>2009</v>
      </c>
      <c r="H6092" s="30" t="s">
        <v>2010</v>
      </c>
      <c r="J6092" s="30" t="s">
        <v>9102</v>
      </c>
      <c r="L6092" s="30" t="s">
        <v>13177</v>
      </c>
      <c r="N6092" s="30" t="s">
        <v>13180</v>
      </c>
      <c r="P6092" s="30" t="s">
        <v>13181</v>
      </c>
      <c r="Q6092" t="s">
        <v>735</v>
      </c>
      <c r="R6092" t="s">
        <v>917</v>
      </c>
      <c r="S6092">
        <v>39</v>
      </c>
      <c r="T6092" s="29" t="str">
        <f t="shared" si="280"/>
        <v>2023.021D.Rohanvirales_2nf_28ng_34nsp.zip</v>
      </c>
      <c r="U6092" s="29" t="str">
        <f>HYPERLINK("https://ictv.global/taxonomy/taxondetails?taxnode_id=202318504","ictv.global=202318504")</f>
        <v>ictv.global=202318504</v>
      </c>
    </row>
    <row r="6093" spans="1:21">
      <c r="A6093">
        <v>6092</v>
      </c>
      <c r="B6093" s="30" t="s">
        <v>1956</v>
      </c>
      <c r="D6093" s="30" t="s">
        <v>1985</v>
      </c>
      <c r="F6093" s="30" t="s">
        <v>2009</v>
      </c>
      <c r="H6093" s="30" t="s">
        <v>2010</v>
      </c>
      <c r="J6093" s="30" t="s">
        <v>9102</v>
      </c>
      <c r="L6093" s="30" t="s">
        <v>13177</v>
      </c>
      <c r="N6093" s="30" t="s">
        <v>13182</v>
      </c>
      <c r="P6093" s="30" t="s">
        <v>13183</v>
      </c>
      <c r="Q6093" t="s">
        <v>735</v>
      </c>
      <c r="R6093" t="s">
        <v>917</v>
      </c>
      <c r="S6093">
        <v>39</v>
      </c>
      <c r="T6093" s="29" t="str">
        <f t="shared" si="280"/>
        <v>2023.021D.Rohanvirales_2nf_28ng_34nsp.zip</v>
      </c>
      <c r="U6093" s="29" t="str">
        <f>HYPERLINK("https://ictv.global/taxonomy/taxondetails?taxnode_id=202318505","ictv.global=202318505")</f>
        <v>ictv.global=202318505</v>
      </c>
    </row>
    <row r="6094" spans="1:21">
      <c r="A6094">
        <v>6093</v>
      </c>
      <c r="B6094" s="30" t="s">
        <v>1956</v>
      </c>
      <c r="D6094" s="30" t="s">
        <v>1985</v>
      </c>
      <c r="F6094" s="30" t="s">
        <v>2009</v>
      </c>
      <c r="H6094" s="30" t="s">
        <v>2010</v>
      </c>
      <c r="J6094" s="30" t="s">
        <v>9102</v>
      </c>
      <c r="L6094" s="30" t="s">
        <v>13177</v>
      </c>
      <c r="N6094" s="30" t="s">
        <v>13184</v>
      </c>
      <c r="P6094" s="30" t="s">
        <v>13185</v>
      </c>
      <c r="Q6094" t="s">
        <v>735</v>
      </c>
      <c r="R6094" t="s">
        <v>917</v>
      </c>
      <c r="S6094">
        <v>39</v>
      </c>
      <c r="T6094" s="29" t="str">
        <f t="shared" si="280"/>
        <v>2023.021D.Rohanvirales_2nf_28ng_34nsp.zip</v>
      </c>
      <c r="U6094" s="29" t="str">
        <f>HYPERLINK("https://ictv.global/taxonomy/taxondetails?taxnode_id=202318508","ictv.global=202318508")</f>
        <v>ictv.global=202318508</v>
      </c>
    </row>
    <row r="6095" spans="1:21">
      <c r="A6095">
        <v>6094</v>
      </c>
      <c r="B6095" s="30" t="s">
        <v>1956</v>
      </c>
      <c r="D6095" s="30" t="s">
        <v>1985</v>
      </c>
      <c r="F6095" s="30" t="s">
        <v>2009</v>
      </c>
      <c r="H6095" s="30" t="s">
        <v>2010</v>
      </c>
      <c r="J6095" s="30" t="s">
        <v>9102</v>
      </c>
      <c r="L6095" s="30" t="s">
        <v>13177</v>
      </c>
      <c r="N6095" s="30" t="s">
        <v>13186</v>
      </c>
      <c r="P6095" s="30" t="s">
        <v>13187</v>
      </c>
      <c r="Q6095" t="s">
        <v>735</v>
      </c>
      <c r="R6095" t="s">
        <v>917</v>
      </c>
      <c r="S6095">
        <v>39</v>
      </c>
      <c r="T6095" s="29" t="str">
        <f t="shared" si="280"/>
        <v>2023.021D.Rohanvirales_2nf_28ng_34nsp.zip</v>
      </c>
      <c r="U6095" s="29" t="str">
        <f>HYPERLINK("https://ictv.global/taxonomy/taxondetails?taxnode_id=202318509","ictv.global=202318509")</f>
        <v>ictv.global=202318509</v>
      </c>
    </row>
    <row r="6096" spans="1:21">
      <c r="A6096">
        <v>6095</v>
      </c>
      <c r="B6096" s="30" t="s">
        <v>1956</v>
      </c>
      <c r="D6096" s="30" t="s">
        <v>1985</v>
      </c>
      <c r="F6096" s="30" t="s">
        <v>2009</v>
      </c>
      <c r="H6096" s="30" t="s">
        <v>2010</v>
      </c>
      <c r="J6096" s="30" t="s">
        <v>9102</v>
      </c>
      <c r="L6096" s="30" t="s">
        <v>13177</v>
      </c>
      <c r="N6096" s="30" t="s">
        <v>13188</v>
      </c>
      <c r="P6096" s="30" t="s">
        <v>13189</v>
      </c>
      <c r="Q6096" t="s">
        <v>735</v>
      </c>
      <c r="R6096" t="s">
        <v>917</v>
      </c>
      <c r="S6096">
        <v>39</v>
      </c>
      <c r="T6096" s="29" t="str">
        <f t="shared" si="280"/>
        <v>2023.021D.Rohanvirales_2nf_28ng_34nsp.zip</v>
      </c>
      <c r="U6096" s="29" t="str">
        <f>HYPERLINK("https://ictv.global/taxonomy/taxondetails?taxnode_id=202318510","ictv.global=202318510")</f>
        <v>ictv.global=202318510</v>
      </c>
    </row>
    <row r="6097" spans="1:21">
      <c r="A6097">
        <v>6096</v>
      </c>
      <c r="B6097" s="30" t="s">
        <v>1956</v>
      </c>
      <c r="D6097" s="30" t="s">
        <v>1985</v>
      </c>
      <c r="F6097" s="30" t="s">
        <v>2009</v>
      </c>
      <c r="H6097" s="30" t="s">
        <v>2010</v>
      </c>
      <c r="J6097" s="30" t="s">
        <v>9102</v>
      </c>
      <c r="L6097" s="30" t="s">
        <v>13177</v>
      </c>
      <c r="N6097" s="30" t="s">
        <v>13190</v>
      </c>
      <c r="P6097" s="30" t="s">
        <v>13191</v>
      </c>
      <c r="Q6097" t="s">
        <v>735</v>
      </c>
      <c r="R6097" t="s">
        <v>917</v>
      </c>
      <c r="S6097">
        <v>39</v>
      </c>
      <c r="T6097" s="29" t="str">
        <f t="shared" si="280"/>
        <v>2023.021D.Rohanvirales_2nf_28ng_34nsp.zip</v>
      </c>
      <c r="U6097" s="29" t="str">
        <f>HYPERLINK("https://ictv.global/taxonomy/taxondetails?taxnode_id=202318511","ictv.global=202318511")</f>
        <v>ictv.global=202318511</v>
      </c>
    </row>
    <row r="6098" spans="1:21">
      <c r="A6098">
        <v>6097</v>
      </c>
      <c r="B6098" s="30" t="s">
        <v>1956</v>
      </c>
      <c r="D6098" s="30" t="s">
        <v>1985</v>
      </c>
      <c r="F6098" s="30" t="s">
        <v>2009</v>
      </c>
      <c r="H6098" s="30" t="s">
        <v>2010</v>
      </c>
      <c r="J6098" s="30" t="s">
        <v>9102</v>
      </c>
      <c r="L6098" s="30" t="s">
        <v>13177</v>
      </c>
      <c r="N6098" s="30" t="s">
        <v>13190</v>
      </c>
      <c r="P6098" s="30" t="s">
        <v>13192</v>
      </c>
      <c r="Q6098" t="s">
        <v>735</v>
      </c>
      <c r="R6098" t="s">
        <v>917</v>
      </c>
      <c r="S6098">
        <v>39</v>
      </c>
      <c r="T6098" s="29" t="str">
        <f t="shared" si="280"/>
        <v>2023.021D.Rohanvirales_2nf_28ng_34nsp.zip</v>
      </c>
      <c r="U6098" s="29" t="str">
        <f>HYPERLINK("https://ictv.global/taxonomy/taxondetails?taxnode_id=202318506","ictv.global=202318506")</f>
        <v>ictv.global=202318506</v>
      </c>
    </row>
    <row r="6099" spans="1:21">
      <c r="A6099">
        <v>6098</v>
      </c>
      <c r="B6099" s="30" t="s">
        <v>1956</v>
      </c>
      <c r="D6099" s="30" t="s">
        <v>1985</v>
      </c>
      <c r="F6099" s="30" t="s">
        <v>2009</v>
      </c>
      <c r="H6099" s="30" t="s">
        <v>2010</v>
      </c>
      <c r="J6099" s="30" t="s">
        <v>9102</v>
      </c>
      <c r="L6099" s="30" t="s">
        <v>13177</v>
      </c>
      <c r="N6099" s="30" t="s">
        <v>13190</v>
      </c>
      <c r="P6099" s="30" t="s">
        <v>13193</v>
      </c>
      <c r="Q6099" t="s">
        <v>735</v>
      </c>
      <c r="R6099" t="s">
        <v>917</v>
      </c>
      <c r="S6099">
        <v>39</v>
      </c>
      <c r="T6099" s="29" t="str">
        <f t="shared" si="280"/>
        <v>2023.021D.Rohanvirales_2nf_28ng_34nsp.zip</v>
      </c>
      <c r="U6099" s="29" t="str">
        <f>HYPERLINK("https://ictv.global/taxonomy/taxondetails?taxnode_id=202318507","ictv.global=202318507")</f>
        <v>ictv.global=202318507</v>
      </c>
    </row>
    <row r="6100" spans="1:21">
      <c r="A6100">
        <v>6099</v>
      </c>
      <c r="B6100" s="30" t="s">
        <v>1956</v>
      </c>
      <c r="D6100" s="30" t="s">
        <v>1985</v>
      </c>
      <c r="F6100" s="30" t="s">
        <v>2009</v>
      </c>
      <c r="H6100" s="30" t="s">
        <v>2010</v>
      </c>
      <c r="J6100" s="30" t="s">
        <v>9102</v>
      </c>
      <c r="L6100" s="30" t="s">
        <v>13177</v>
      </c>
      <c r="N6100" s="30" t="s">
        <v>13194</v>
      </c>
      <c r="P6100" s="30" t="s">
        <v>13195</v>
      </c>
      <c r="Q6100" t="s">
        <v>735</v>
      </c>
      <c r="R6100" t="s">
        <v>917</v>
      </c>
      <c r="S6100">
        <v>39</v>
      </c>
      <c r="T6100" s="29" t="str">
        <f t="shared" si="280"/>
        <v>2023.021D.Rohanvirales_2nf_28ng_34nsp.zip</v>
      </c>
      <c r="U6100" s="29" t="str">
        <f>HYPERLINK("https://ictv.global/taxonomy/taxondetails?taxnode_id=202318512","ictv.global=202318512")</f>
        <v>ictv.global=202318512</v>
      </c>
    </row>
    <row r="6101" spans="1:21">
      <c r="A6101">
        <v>6100</v>
      </c>
      <c r="B6101" s="30" t="s">
        <v>1956</v>
      </c>
      <c r="D6101" s="30" t="s">
        <v>1985</v>
      </c>
      <c r="F6101" s="30" t="s">
        <v>2009</v>
      </c>
      <c r="H6101" s="30" t="s">
        <v>2010</v>
      </c>
      <c r="J6101" s="30" t="s">
        <v>9102</v>
      </c>
      <c r="L6101" s="30" t="s">
        <v>13177</v>
      </c>
      <c r="N6101" s="30" t="s">
        <v>13196</v>
      </c>
      <c r="P6101" s="30" t="s">
        <v>13197</v>
      </c>
      <c r="Q6101" t="s">
        <v>735</v>
      </c>
      <c r="R6101" t="s">
        <v>917</v>
      </c>
      <c r="S6101">
        <v>39</v>
      </c>
      <c r="T6101" s="29" t="str">
        <f t="shared" si="280"/>
        <v>2023.021D.Rohanvirales_2nf_28ng_34nsp.zip</v>
      </c>
      <c r="U6101" s="29" t="str">
        <f>HYPERLINK("https://ictv.global/taxonomy/taxondetails?taxnode_id=202318513","ictv.global=202318513")</f>
        <v>ictv.global=202318513</v>
      </c>
    </row>
    <row r="6102" spans="1:21">
      <c r="A6102">
        <v>6101</v>
      </c>
      <c r="B6102" s="30" t="s">
        <v>1956</v>
      </c>
      <c r="D6102" s="30" t="s">
        <v>1985</v>
      </c>
      <c r="F6102" s="30" t="s">
        <v>2009</v>
      </c>
      <c r="H6102" s="30" t="s">
        <v>2010</v>
      </c>
      <c r="J6102" s="30" t="s">
        <v>9102</v>
      </c>
      <c r="L6102" s="30" t="s">
        <v>13177</v>
      </c>
      <c r="N6102" s="30" t="s">
        <v>13198</v>
      </c>
      <c r="P6102" s="30" t="s">
        <v>13199</v>
      </c>
      <c r="Q6102" t="s">
        <v>735</v>
      </c>
      <c r="R6102" t="s">
        <v>917</v>
      </c>
      <c r="S6102">
        <v>39</v>
      </c>
      <c r="T6102" s="29" t="str">
        <f t="shared" si="280"/>
        <v>2023.021D.Rohanvirales_2nf_28ng_34nsp.zip</v>
      </c>
      <c r="U6102" s="29" t="str">
        <f>HYPERLINK("https://ictv.global/taxonomy/taxondetails?taxnode_id=202318514","ictv.global=202318514")</f>
        <v>ictv.global=202318514</v>
      </c>
    </row>
    <row r="6103" spans="1:21">
      <c r="A6103">
        <v>6102</v>
      </c>
      <c r="B6103" s="30" t="s">
        <v>1956</v>
      </c>
      <c r="D6103" s="30" t="s">
        <v>1985</v>
      </c>
      <c r="F6103" s="30" t="s">
        <v>2009</v>
      </c>
      <c r="H6103" s="30" t="s">
        <v>2010</v>
      </c>
      <c r="J6103" s="30" t="s">
        <v>9102</v>
      </c>
      <c r="L6103" s="30" t="s">
        <v>9103</v>
      </c>
      <c r="N6103" s="30" t="s">
        <v>9104</v>
      </c>
      <c r="P6103" s="30" t="s">
        <v>9105</v>
      </c>
      <c r="Q6103" t="s">
        <v>735</v>
      </c>
      <c r="R6103" t="s">
        <v>917</v>
      </c>
      <c r="S6103">
        <v>37</v>
      </c>
      <c r="T6103" s="29" t="str">
        <f>HYPERLINK("https://ictv.global/ictv/proposals/2021.010F.R.Cressdna_2neword_3newfam_21newgen.zip","2021.010F.R.Cressdna_2neword_3newfam_21newgen.zip")</f>
        <v>2021.010F.R.Cressdna_2neword_3newfam_21newgen.zip</v>
      </c>
      <c r="U6103" s="29" t="str">
        <f>HYPERLINK("https://ictv.global/taxonomy/taxondetails?taxnode_id=202313296","ictv.global=202313296")</f>
        <v>ictv.global=202313296</v>
      </c>
    </row>
    <row r="6104" spans="1:21">
      <c r="A6104">
        <v>6103</v>
      </c>
      <c r="B6104" s="30" t="s">
        <v>1956</v>
      </c>
      <c r="D6104" s="30" t="s">
        <v>1985</v>
      </c>
      <c r="F6104" s="30" t="s">
        <v>2009</v>
      </c>
      <c r="H6104" s="30" t="s">
        <v>2010</v>
      </c>
      <c r="J6104" s="30" t="s">
        <v>9102</v>
      </c>
      <c r="L6104" s="30" t="s">
        <v>9103</v>
      </c>
      <c r="N6104" s="30" t="s">
        <v>13200</v>
      </c>
      <c r="P6104" s="30" t="s">
        <v>13201</v>
      </c>
      <c r="Q6104" t="s">
        <v>735</v>
      </c>
      <c r="R6104" t="s">
        <v>917</v>
      </c>
      <c r="S6104">
        <v>39</v>
      </c>
      <c r="T6104" s="29" t="str">
        <f>HYPERLINK("https://ictv.global/ictv/proposals/2023.008F.Arfiviricetes_11ng_19nsp.zip","2023.008F.Arfiviricetes_11ng_19nsp.zip")</f>
        <v>2023.008F.Arfiviricetes_11ng_19nsp.zip</v>
      </c>
      <c r="U6104" s="29" t="str">
        <f>HYPERLINK("https://ictv.global/taxonomy/taxondetails?taxnode_id=202317904","ictv.global=202317904")</f>
        <v>ictv.global=202317904</v>
      </c>
    </row>
    <row r="6105" spans="1:21">
      <c r="A6105">
        <v>6104</v>
      </c>
      <c r="B6105" s="30" t="s">
        <v>1956</v>
      </c>
      <c r="D6105" s="30" t="s">
        <v>1985</v>
      </c>
      <c r="F6105" s="30" t="s">
        <v>2009</v>
      </c>
      <c r="H6105" s="30" t="s">
        <v>2010</v>
      </c>
      <c r="J6105" s="30" t="s">
        <v>9102</v>
      </c>
      <c r="L6105" s="30" t="s">
        <v>9103</v>
      </c>
      <c r="N6105" s="30" t="s">
        <v>9106</v>
      </c>
      <c r="P6105" s="30" t="s">
        <v>9107</v>
      </c>
      <c r="Q6105" t="s">
        <v>735</v>
      </c>
      <c r="R6105" t="s">
        <v>917</v>
      </c>
      <c r="S6105">
        <v>37</v>
      </c>
      <c r="T6105" s="29" t="str">
        <f>HYPERLINK("https://ictv.global/ictv/proposals/2021.010F.R.Cressdna_2neword_3newfam_21newgen.zip","2021.010F.R.Cressdna_2neword_3newfam_21newgen.zip")</f>
        <v>2021.010F.R.Cressdna_2neword_3newfam_21newgen.zip</v>
      </c>
      <c r="U6105" s="29" t="str">
        <f>HYPERLINK("https://ictv.global/taxonomy/taxondetails?taxnode_id=202313298","ictv.global=202313298")</f>
        <v>ictv.global=202313298</v>
      </c>
    </row>
    <row r="6106" spans="1:21">
      <c r="A6106">
        <v>6105</v>
      </c>
      <c r="B6106" s="30" t="s">
        <v>1956</v>
      </c>
      <c r="D6106" s="30" t="s">
        <v>1985</v>
      </c>
      <c r="F6106" s="30" t="s">
        <v>2009</v>
      </c>
      <c r="H6106" s="30" t="s">
        <v>2010</v>
      </c>
      <c r="J6106" s="30" t="s">
        <v>9102</v>
      </c>
      <c r="L6106" s="30" t="s">
        <v>9103</v>
      </c>
      <c r="N6106" s="30" t="s">
        <v>9108</v>
      </c>
      <c r="P6106" s="30" t="s">
        <v>9109</v>
      </c>
      <c r="Q6106" t="s">
        <v>735</v>
      </c>
      <c r="R6106" t="s">
        <v>917</v>
      </c>
      <c r="S6106">
        <v>37</v>
      </c>
      <c r="T6106" s="29" t="str">
        <f>HYPERLINK("https://ictv.global/ictv/proposals/2021.010F.R.Cressdna_2neword_3newfam_21newgen.zip","2021.010F.R.Cressdna_2neword_3newfam_21newgen.zip")</f>
        <v>2021.010F.R.Cressdna_2neword_3newfam_21newgen.zip</v>
      </c>
      <c r="U6106" s="29" t="str">
        <f>HYPERLINK("https://ictv.global/taxonomy/taxondetails?taxnode_id=202313300","ictv.global=202313300")</f>
        <v>ictv.global=202313300</v>
      </c>
    </row>
    <row r="6107" spans="1:21">
      <c r="A6107">
        <v>6106</v>
      </c>
      <c r="B6107" s="30" t="s">
        <v>1956</v>
      </c>
      <c r="D6107" s="30" t="s">
        <v>1985</v>
      </c>
      <c r="F6107" s="30" t="s">
        <v>2009</v>
      </c>
      <c r="H6107" s="30" t="s">
        <v>2010</v>
      </c>
      <c r="J6107" s="30" t="s">
        <v>9102</v>
      </c>
      <c r="L6107" s="30" t="s">
        <v>9103</v>
      </c>
      <c r="N6107" s="30" t="s">
        <v>9110</v>
      </c>
      <c r="P6107" s="30" t="s">
        <v>9111</v>
      </c>
      <c r="Q6107" t="s">
        <v>735</v>
      </c>
      <c r="R6107" t="s">
        <v>917</v>
      </c>
      <c r="S6107">
        <v>37</v>
      </c>
      <c r="T6107" s="29" t="str">
        <f>HYPERLINK("https://ictv.global/ictv/proposals/2021.010F.R.Cressdna_2neword_3newfam_21newgen.zip","2021.010F.R.Cressdna_2neword_3newfam_21newgen.zip")</f>
        <v>2021.010F.R.Cressdna_2neword_3newfam_21newgen.zip</v>
      </c>
      <c r="U6107" s="29" t="str">
        <f>HYPERLINK("https://ictv.global/taxonomy/taxondetails?taxnode_id=202313302","ictv.global=202313302")</f>
        <v>ictv.global=202313302</v>
      </c>
    </row>
    <row r="6108" spans="1:21">
      <c r="A6108">
        <v>6107</v>
      </c>
      <c r="B6108" s="30" t="s">
        <v>1956</v>
      </c>
      <c r="D6108" s="30" t="s">
        <v>1985</v>
      </c>
      <c r="F6108" s="30" t="s">
        <v>2009</v>
      </c>
      <c r="H6108" s="30" t="s">
        <v>2010</v>
      </c>
      <c r="J6108" s="30" t="s">
        <v>9102</v>
      </c>
      <c r="L6108" s="30" t="s">
        <v>9103</v>
      </c>
      <c r="N6108" s="30" t="s">
        <v>9112</v>
      </c>
      <c r="P6108" s="30" t="s">
        <v>9113</v>
      </c>
      <c r="Q6108" t="s">
        <v>735</v>
      </c>
      <c r="R6108" t="s">
        <v>917</v>
      </c>
      <c r="S6108">
        <v>37</v>
      </c>
      <c r="T6108" s="29" t="str">
        <f>HYPERLINK("https://ictv.global/ictv/proposals/2021.010F.R.Cressdna_2neword_3newfam_21newgen.zip","2021.010F.R.Cressdna_2neword_3newfam_21newgen.zip")</f>
        <v>2021.010F.R.Cressdna_2neword_3newfam_21newgen.zip</v>
      </c>
      <c r="U6108" s="29" t="str">
        <f>HYPERLINK("https://ictv.global/taxonomy/taxondetails?taxnode_id=202313304","ictv.global=202313304")</f>
        <v>ictv.global=202313304</v>
      </c>
    </row>
    <row r="6109" spans="1:21">
      <c r="A6109">
        <v>6108</v>
      </c>
      <c r="B6109" s="30" t="s">
        <v>1956</v>
      </c>
      <c r="D6109" s="30" t="s">
        <v>1985</v>
      </c>
      <c r="F6109" s="30" t="s">
        <v>2009</v>
      </c>
      <c r="H6109" s="30" t="s">
        <v>2010</v>
      </c>
      <c r="J6109" s="30" t="s">
        <v>9102</v>
      </c>
      <c r="L6109" s="30" t="s">
        <v>9103</v>
      </c>
      <c r="N6109" s="30" t="s">
        <v>9112</v>
      </c>
      <c r="P6109" s="30" t="s">
        <v>9114</v>
      </c>
      <c r="Q6109" t="s">
        <v>735</v>
      </c>
      <c r="R6109" t="s">
        <v>917</v>
      </c>
      <c r="S6109">
        <v>37</v>
      </c>
      <c r="T6109" s="29" t="str">
        <f>HYPERLINK("https://ictv.global/ictv/proposals/2021.010F.R.Cressdna_2neword_3newfam_21newgen.zip","2021.010F.R.Cressdna_2neword_3newfam_21newgen.zip")</f>
        <v>2021.010F.R.Cressdna_2neword_3newfam_21newgen.zip</v>
      </c>
      <c r="U6109" s="29" t="str">
        <f>HYPERLINK("https://ictv.global/taxonomy/taxondetails?taxnode_id=202313305","ictv.global=202313305")</f>
        <v>ictv.global=202313305</v>
      </c>
    </row>
    <row r="6110" spans="1:21">
      <c r="A6110">
        <v>6109</v>
      </c>
      <c r="B6110" s="30" t="s">
        <v>1956</v>
      </c>
      <c r="D6110" s="30" t="s">
        <v>1985</v>
      </c>
      <c r="F6110" s="30" t="s">
        <v>2009</v>
      </c>
      <c r="H6110" s="30" t="s">
        <v>2010</v>
      </c>
      <c r="J6110" s="30" t="s">
        <v>13202</v>
      </c>
      <c r="L6110" s="30" t="s">
        <v>13203</v>
      </c>
      <c r="N6110" s="30" t="s">
        <v>13204</v>
      </c>
      <c r="P6110" s="30" t="s">
        <v>13205</v>
      </c>
      <c r="Q6110" t="s">
        <v>735</v>
      </c>
      <c r="R6110" t="s">
        <v>917</v>
      </c>
      <c r="S6110">
        <v>39</v>
      </c>
      <c r="T6110" s="29" t="str">
        <f t="shared" ref="T6110:T6141" si="281">HYPERLINK("https://ictv.global/ictv/proposals/2023.025D.Saturnivirales_1no_2nf_35ng_120nsp.zip","2023.025D.Saturnivirales_1no_2nf_35ng_120nsp.zip")</f>
        <v>2023.025D.Saturnivirales_1no_2nf_35ng_120nsp.zip</v>
      </c>
      <c r="U6110" s="29" t="str">
        <f>HYPERLINK("https://ictv.global/taxonomy/taxondetails?taxnode_id=202318858","ictv.global=202318858")</f>
        <v>ictv.global=202318858</v>
      </c>
    </row>
    <row r="6111" spans="1:21">
      <c r="A6111">
        <v>6110</v>
      </c>
      <c r="B6111" s="30" t="s">
        <v>1956</v>
      </c>
      <c r="D6111" s="30" t="s">
        <v>1985</v>
      </c>
      <c r="F6111" s="30" t="s">
        <v>2009</v>
      </c>
      <c r="H6111" s="30" t="s">
        <v>2010</v>
      </c>
      <c r="J6111" s="30" t="s">
        <v>13202</v>
      </c>
      <c r="L6111" s="30" t="s">
        <v>13203</v>
      </c>
      <c r="N6111" s="30" t="s">
        <v>13206</v>
      </c>
      <c r="P6111" s="30" t="s">
        <v>13207</v>
      </c>
      <c r="Q6111" t="s">
        <v>735</v>
      </c>
      <c r="R6111" t="s">
        <v>917</v>
      </c>
      <c r="S6111">
        <v>39</v>
      </c>
      <c r="T6111" s="29" t="str">
        <f t="shared" si="281"/>
        <v>2023.025D.Saturnivirales_1no_2nf_35ng_120nsp.zip</v>
      </c>
      <c r="U6111" s="29" t="str">
        <f>HYPERLINK("https://ictv.global/taxonomy/taxondetails?taxnode_id=202318861","ictv.global=202318861")</f>
        <v>ictv.global=202318861</v>
      </c>
    </row>
    <row r="6112" spans="1:21">
      <c r="A6112">
        <v>6111</v>
      </c>
      <c r="B6112" s="30" t="s">
        <v>1956</v>
      </c>
      <c r="D6112" s="30" t="s">
        <v>1985</v>
      </c>
      <c r="F6112" s="30" t="s">
        <v>2009</v>
      </c>
      <c r="H6112" s="30" t="s">
        <v>2010</v>
      </c>
      <c r="J6112" s="30" t="s">
        <v>13202</v>
      </c>
      <c r="L6112" s="30" t="s">
        <v>13203</v>
      </c>
      <c r="N6112" s="30" t="s">
        <v>13206</v>
      </c>
      <c r="P6112" s="30" t="s">
        <v>13208</v>
      </c>
      <c r="Q6112" t="s">
        <v>735</v>
      </c>
      <c r="R6112" t="s">
        <v>917</v>
      </c>
      <c r="S6112">
        <v>39</v>
      </c>
      <c r="T6112" s="29" t="str">
        <f t="shared" si="281"/>
        <v>2023.025D.Saturnivirales_1no_2nf_35ng_120nsp.zip</v>
      </c>
      <c r="U6112" s="29" t="str">
        <f>HYPERLINK("https://ictv.global/taxonomy/taxondetails?taxnode_id=202318862","ictv.global=202318862")</f>
        <v>ictv.global=202318862</v>
      </c>
    </row>
    <row r="6113" spans="1:21">
      <c r="A6113">
        <v>6112</v>
      </c>
      <c r="B6113" s="30" t="s">
        <v>1956</v>
      </c>
      <c r="D6113" s="30" t="s">
        <v>1985</v>
      </c>
      <c r="F6113" s="30" t="s">
        <v>2009</v>
      </c>
      <c r="H6113" s="30" t="s">
        <v>2010</v>
      </c>
      <c r="J6113" s="30" t="s">
        <v>13202</v>
      </c>
      <c r="L6113" s="30" t="s">
        <v>13203</v>
      </c>
      <c r="N6113" s="30" t="s">
        <v>13206</v>
      </c>
      <c r="P6113" s="30" t="s">
        <v>13209</v>
      </c>
      <c r="Q6113" t="s">
        <v>735</v>
      </c>
      <c r="R6113" t="s">
        <v>917</v>
      </c>
      <c r="S6113">
        <v>39</v>
      </c>
      <c r="T6113" s="29" t="str">
        <f t="shared" si="281"/>
        <v>2023.025D.Saturnivirales_1no_2nf_35ng_120nsp.zip</v>
      </c>
      <c r="U6113" s="29" t="str">
        <f>HYPERLINK("https://ictv.global/taxonomy/taxondetails?taxnode_id=202318863","ictv.global=202318863")</f>
        <v>ictv.global=202318863</v>
      </c>
    </row>
    <row r="6114" spans="1:21">
      <c r="A6114">
        <v>6113</v>
      </c>
      <c r="B6114" s="30" t="s">
        <v>1956</v>
      </c>
      <c r="D6114" s="30" t="s">
        <v>1985</v>
      </c>
      <c r="F6114" s="30" t="s">
        <v>2009</v>
      </c>
      <c r="H6114" s="30" t="s">
        <v>2010</v>
      </c>
      <c r="J6114" s="30" t="s">
        <v>13202</v>
      </c>
      <c r="L6114" s="30" t="s">
        <v>13203</v>
      </c>
      <c r="N6114" s="30" t="s">
        <v>13206</v>
      </c>
      <c r="P6114" s="30" t="s">
        <v>13210</v>
      </c>
      <c r="Q6114" t="s">
        <v>735</v>
      </c>
      <c r="R6114" t="s">
        <v>917</v>
      </c>
      <c r="S6114">
        <v>39</v>
      </c>
      <c r="T6114" s="29" t="str">
        <f t="shared" si="281"/>
        <v>2023.025D.Saturnivirales_1no_2nf_35ng_120nsp.zip</v>
      </c>
      <c r="U6114" s="29" t="str">
        <f>HYPERLINK("https://ictv.global/taxonomy/taxondetails?taxnode_id=202318860","ictv.global=202318860")</f>
        <v>ictv.global=202318860</v>
      </c>
    </row>
    <row r="6115" spans="1:21">
      <c r="A6115">
        <v>6114</v>
      </c>
      <c r="B6115" s="30" t="s">
        <v>1956</v>
      </c>
      <c r="D6115" s="30" t="s">
        <v>1985</v>
      </c>
      <c r="F6115" s="30" t="s">
        <v>2009</v>
      </c>
      <c r="H6115" s="30" t="s">
        <v>2010</v>
      </c>
      <c r="J6115" s="30" t="s">
        <v>13202</v>
      </c>
      <c r="L6115" s="30" t="s">
        <v>13203</v>
      </c>
      <c r="N6115" s="30" t="s">
        <v>13206</v>
      </c>
      <c r="P6115" s="30" t="s">
        <v>13211</v>
      </c>
      <c r="Q6115" t="s">
        <v>735</v>
      </c>
      <c r="R6115" t="s">
        <v>917</v>
      </c>
      <c r="S6115">
        <v>39</v>
      </c>
      <c r="T6115" s="29" t="str">
        <f t="shared" si="281"/>
        <v>2023.025D.Saturnivirales_1no_2nf_35ng_120nsp.zip</v>
      </c>
      <c r="U6115" s="29" t="str">
        <f>HYPERLINK("https://ictv.global/taxonomy/taxondetails?taxnode_id=202318859","ictv.global=202318859")</f>
        <v>ictv.global=202318859</v>
      </c>
    </row>
    <row r="6116" spans="1:21">
      <c r="A6116">
        <v>6115</v>
      </c>
      <c r="B6116" s="30" t="s">
        <v>1956</v>
      </c>
      <c r="D6116" s="30" t="s">
        <v>1985</v>
      </c>
      <c r="F6116" s="30" t="s">
        <v>2009</v>
      </c>
      <c r="H6116" s="30" t="s">
        <v>2010</v>
      </c>
      <c r="J6116" s="30" t="s">
        <v>13202</v>
      </c>
      <c r="L6116" s="30" t="s">
        <v>13203</v>
      </c>
      <c r="N6116" s="30" t="s">
        <v>13212</v>
      </c>
      <c r="P6116" s="30" t="s">
        <v>13213</v>
      </c>
      <c r="Q6116" t="s">
        <v>735</v>
      </c>
      <c r="R6116" t="s">
        <v>917</v>
      </c>
      <c r="S6116">
        <v>39</v>
      </c>
      <c r="T6116" s="29" t="str">
        <f t="shared" si="281"/>
        <v>2023.025D.Saturnivirales_1no_2nf_35ng_120nsp.zip</v>
      </c>
      <c r="U6116" s="29" t="str">
        <f>HYPERLINK("https://ictv.global/taxonomy/taxondetails?taxnode_id=202318864","ictv.global=202318864")</f>
        <v>ictv.global=202318864</v>
      </c>
    </row>
    <row r="6117" spans="1:21">
      <c r="A6117">
        <v>6116</v>
      </c>
      <c r="B6117" s="30" t="s">
        <v>1956</v>
      </c>
      <c r="D6117" s="30" t="s">
        <v>1985</v>
      </c>
      <c r="F6117" s="30" t="s">
        <v>2009</v>
      </c>
      <c r="H6117" s="30" t="s">
        <v>2010</v>
      </c>
      <c r="J6117" s="30" t="s">
        <v>13202</v>
      </c>
      <c r="L6117" s="30" t="s">
        <v>13203</v>
      </c>
      <c r="N6117" s="30" t="s">
        <v>13214</v>
      </c>
      <c r="P6117" s="30" t="s">
        <v>13215</v>
      </c>
      <c r="Q6117" t="s">
        <v>735</v>
      </c>
      <c r="R6117" t="s">
        <v>917</v>
      </c>
      <c r="S6117">
        <v>39</v>
      </c>
      <c r="T6117" s="29" t="str">
        <f t="shared" si="281"/>
        <v>2023.025D.Saturnivirales_1no_2nf_35ng_120nsp.zip</v>
      </c>
      <c r="U6117" s="29" t="str">
        <f>HYPERLINK("https://ictv.global/taxonomy/taxondetails?taxnode_id=202318865","ictv.global=202318865")</f>
        <v>ictv.global=202318865</v>
      </c>
    </row>
    <row r="6118" spans="1:21">
      <c r="A6118">
        <v>6117</v>
      </c>
      <c r="B6118" s="30" t="s">
        <v>1956</v>
      </c>
      <c r="D6118" s="30" t="s">
        <v>1985</v>
      </c>
      <c r="F6118" s="30" t="s">
        <v>2009</v>
      </c>
      <c r="H6118" s="30" t="s">
        <v>2010</v>
      </c>
      <c r="J6118" s="30" t="s">
        <v>13202</v>
      </c>
      <c r="L6118" s="30" t="s">
        <v>13203</v>
      </c>
      <c r="N6118" s="30" t="s">
        <v>13214</v>
      </c>
      <c r="P6118" s="30" t="s">
        <v>13216</v>
      </c>
      <c r="Q6118" t="s">
        <v>735</v>
      </c>
      <c r="R6118" t="s">
        <v>917</v>
      </c>
      <c r="S6118">
        <v>39</v>
      </c>
      <c r="T6118" s="29" t="str">
        <f t="shared" si="281"/>
        <v>2023.025D.Saturnivirales_1no_2nf_35ng_120nsp.zip</v>
      </c>
      <c r="U6118" s="29" t="str">
        <f>HYPERLINK("https://ictv.global/taxonomy/taxondetails?taxnode_id=202318866","ictv.global=202318866")</f>
        <v>ictv.global=202318866</v>
      </c>
    </row>
    <row r="6119" spans="1:21">
      <c r="A6119">
        <v>6118</v>
      </c>
      <c r="B6119" s="30" t="s">
        <v>1956</v>
      </c>
      <c r="D6119" s="30" t="s">
        <v>1985</v>
      </c>
      <c r="F6119" s="30" t="s">
        <v>2009</v>
      </c>
      <c r="H6119" s="30" t="s">
        <v>2010</v>
      </c>
      <c r="J6119" s="30" t="s">
        <v>13202</v>
      </c>
      <c r="L6119" s="30" t="s">
        <v>13203</v>
      </c>
      <c r="N6119" s="30" t="s">
        <v>13217</v>
      </c>
      <c r="P6119" s="30" t="s">
        <v>13218</v>
      </c>
      <c r="Q6119" t="s">
        <v>735</v>
      </c>
      <c r="R6119" t="s">
        <v>917</v>
      </c>
      <c r="S6119">
        <v>39</v>
      </c>
      <c r="T6119" s="29" t="str">
        <f t="shared" si="281"/>
        <v>2023.025D.Saturnivirales_1no_2nf_35ng_120nsp.zip</v>
      </c>
      <c r="U6119" s="29" t="str">
        <f>HYPERLINK("https://ictv.global/taxonomy/taxondetails?taxnode_id=202318868","ictv.global=202318868")</f>
        <v>ictv.global=202318868</v>
      </c>
    </row>
    <row r="6120" spans="1:21">
      <c r="A6120">
        <v>6119</v>
      </c>
      <c r="B6120" s="30" t="s">
        <v>1956</v>
      </c>
      <c r="D6120" s="30" t="s">
        <v>1985</v>
      </c>
      <c r="F6120" s="30" t="s">
        <v>2009</v>
      </c>
      <c r="H6120" s="30" t="s">
        <v>2010</v>
      </c>
      <c r="J6120" s="30" t="s">
        <v>13202</v>
      </c>
      <c r="L6120" s="30" t="s">
        <v>13203</v>
      </c>
      <c r="N6120" s="30" t="s">
        <v>13217</v>
      </c>
      <c r="P6120" s="30" t="s">
        <v>13219</v>
      </c>
      <c r="Q6120" t="s">
        <v>735</v>
      </c>
      <c r="R6120" t="s">
        <v>917</v>
      </c>
      <c r="S6120">
        <v>39</v>
      </c>
      <c r="T6120" s="29" t="str">
        <f t="shared" si="281"/>
        <v>2023.025D.Saturnivirales_1no_2nf_35ng_120nsp.zip</v>
      </c>
      <c r="U6120" s="29" t="str">
        <f>HYPERLINK("https://ictv.global/taxonomy/taxondetails?taxnode_id=202318867","ictv.global=202318867")</f>
        <v>ictv.global=202318867</v>
      </c>
    </row>
    <row r="6121" spans="1:21">
      <c r="A6121">
        <v>6120</v>
      </c>
      <c r="B6121" s="30" t="s">
        <v>1956</v>
      </c>
      <c r="D6121" s="30" t="s">
        <v>1985</v>
      </c>
      <c r="F6121" s="30" t="s">
        <v>2009</v>
      </c>
      <c r="H6121" s="30" t="s">
        <v>2010</v>
      </c>
      <c r="J6121" s="30" t="s">
        <v>13202</v>
      </c>
      <c r="L6121" s="30" t="s">
        <v>13203</v>
      </c>
      <c r="N6121" s="30" t="s">
        <v>13217</v>
      </c>
      <c r="P6121" s="30" t="s">
        <v>13220</v>
      </c>
      <c r="Q6121" t="s">
        <v>735</v>
      </c>
      <c r="R6121" t="s">
        <v>917</v>
      </c>
      <c r="S6121">
        <v>39</v>
      </c>
      <c r="T6121" s="29" t="str">
        <f t="shared" si="281"/>
        <v>2023.025D.Saturnivirales_1no_2nf_35ng_120nsp.zip</v>
      </c>
      <c r="U6121" s="29" t="str">
        <f>HYPERLINK("https://ictv.global/taxonomy/taxondetails?taxnode_id=202318870","ictv.global=202318870")</f>
        <v>ictv.global=202318870</v>
      </c>
    </row>
    <row r="6122" spans="1:21">
      <c r="A6122">
        <v>6121</v>
      </c>
      <c r="B6122" s="30" t="s">
        <v>1956</v>
      </c>
      <c r="D6122" s="30" t="s">
        <v>1985</v>
      </c>
      <c r="F6122" s="30" t="s">
        <v>2009</v>
      </c>
      <c r="H6122" s="30" t="s">
        <v>2010</v>
      </c>
      <c r="J6122" s="30" t="s">
        <v>13202</v>
      </c>
      <c r="L6122" s="30" t="s">
        <v>13203</v>
      </c>
      <c r="N6122" s="30" t="s">
        <v>13217</v>
      </c>
      <c r="P6122" s="30" t="s">
        <v>13221</v>
      </c>
      <c r="Q6122" t="s">
        <v>735</v>
      </c>
      <c r="R6122" t="s">
        <v>917</v>
      </c>
      <c r="S6122">
        <v>39</v>
      </c>
      <c r="T6122" s="29" t="str">
        <f t="shared" si="281"/>
        <v>2023.025D.Saturnivirales_1no_2nf_35ng_120nsp.zip</v>
      </c>
      <c r="U6122" s="29" t="str">
        <f>HYPERLINK("https://ictv.global/taxonomy/taxondetails?taxnode_id=202318869","ictv.global=202318869")</f>
        <v>ictv.global=202318869</v>
      </c>
    </row>
    <row r="6123" spans="1:21">
      <c r="A6123">
        <v>6122</v>
      </c>
      <c r="B6123" s="30" t="s">
        <v>1956</v>
      </c>
      <c r="D6123" s="30" t="s">
        <v>1985</v>
      </c>
      <c r="F6123" s="30" t="s">
        <v>2009</v>
      </c>
      <c r="H6123" s="30" t="s">
        <v>2010</v>
      </c>
      <c r="J6123" s="30" t="s">
        <v>13202</v>
      </c>
      <c r="L6123" s="30" t="s">
        <v>13203</v>
      </c>
      <c r="N6123" s="30" t="s">
        <v>13217</v>
      </c>
      <c r="P6123" s="30" t="s">
        <v>13222</v>
      </c>
      <c r="Q6123" t="s">
        <v>735</v>
      </c>
      <c r="R6123" t="s">
        <v>917</v>
      </c>
      <c r="S6123">
        <v>39</v>
      </c>
      <c r="T6123" s="29" t="str">
        <f t="shared" si="281"/>
        <v>2023.025D.Saturnivirales_1no_2nf_35ng_120nsp.zip</v>
      </c>
      <c r="U6123" s="29" t="str">
        <f>HYPERLINK("https://ictv.global/taxonomy/taxondetails?taxnode_id=202318871","ictv.global=202318871")</f>
        <v>ictv.global=202318871</v>
      </c>
    </row>
    <row r="6124" spans="1:21">
      <c r="A6124">
        <v>6123</v>
      </c>
      <c r="B6124" s="30" t="s">
        <v>1956</v>
      </c>
      <c r="D6124" s="30" t="s">
        <v>1985</v>
      </c>
      <c r="F6124" s="30" t="s">
        <v>2009</v>
      </c>
      <c r="H6124" s="30" t="s">
        <v>2010</v>
      </c>
      <c r="J6124" s="30" t="s">
        <v>13202</v>
      </c>
      <c r="L6124" s="30" t="s">
        <v>13203</v>
      </c>
      <c r="N6124" s="30" t="s">
        <v>13223</v>
      </c>
      <c r="P6124" s="30" t="s">
        <v>13224</v>
      </c>
      <c r="Q6124" t="s">
        <v>735</v>
      </c>
      <c r="R6124" t="s">
        <v>917</v>
      </c>
      <c r="S6124">
        <v>39</v>
      </c>
      <c r="T6124" s="29" t="str">
        <f t="shared" si="281"/>
        <v>2023.025D.Saturnivirales_1no_2nf_35ng_120nsp.zip</v>
      </c>
      <c r="U6124" s="29" t="str">
        <f>HYPERLINK("https://ictv.global/taxonomy/taxondetails?taxnode_id=202318872","ictv.global=202318872")</f>
        <v>ictv.global=202318872</v>
      </c>
    </row>
    <row r="6125" spans="1:21">
      <c r="A6125">
        <v>6124</v>
      </c>
      <c r="B6125" s="30" t="s">
        <v>1956</v>
      </c>
      <c r="D6125" s="30" t="s">
        <v>1985</v>
      </c>
      <c r="F6125" s="30" t="s">
        <v>2009</v>
      </c>
      <c r="H6125" s="30" t="s">
        <v>2010</v>
      </c>
      <c r="J6125" s="30" t="s">
        <v>13202</v>
      </c>
      <c r="L6125" s="30" t="s">
        <v>13203</v>
      </c>
      <c r="N6125" s="30" t="s">
        <v>13225</v>
      </c>
      <c r="P6125" s="30" t="s">
        <v>13226</v>
      </c>
      <c r="Q6125" t="s">
        <v>735</v>
      </c>
      <c r="R6125" t="s">
        <v>917</v>
      </c>
      <c r="S6125">
        <v>39</v>
      </c>
      <c r="T6125" s="29" t="str">
        <f t="shared" si="281"/>
        <v>2023.025D.Saturnivirales_1no_2nf_35ng_120nsp.zip</v>
      </c>
      <c r="U6125" s="29" t="str">
        <f>HYPERLINK("https://ictv.global/taxonomy/taxondetails?taxnode_id=202318894","ictv.global=202318894")</f>
        <v>ictv.global=202318894</v>
      </c>
    </row>
    <row r="6126" spans="1:21">
      <c r="A6126">
        <v>6125</v>
      </c>
      <c r="B6126" s="30" t="s">
        <v>1956</v>
      </c>
      <c r="D6126" s="30" t="s">
        <v>1985</v>
      </c>
      <c r="F6126" s="30" t="s">
        <v>2009</v>
      </c>
      <c r="H6126" s="30" t="s">
        <v>2010</v>
      </c>
      <c r="J6126" s="30" t="s">
        <v>13202</v>
      </c>
      <c r="L6126" s="30" t="s">
        <v>13203</v>
      </c>
      <c r="N6126" s="30" t="s">
        <v>13225</v>
      </c>
      <c r="P6126" s="30" t="s">
        <v>13227</v>
      </c>
      <c r="Q6126" t="s">
        <v>735</v>
      </c>
      <c r="R6126" t="s">
        <v>917</v>
      </c>
      <c r="S6126">
        <v>39</v>
      </c>
      <c r="T6126" s="29" t="str">
        <f t="shared" si="281"/>
        <v>2023.025D.Saturnivirales_1no_2nf_35ng_120nsp.zip</v>
      </c>
      <c r="U6126" s="29" t="str">
        <f>HYPERLINK("https://ictv.global/taxonomy/taxondetails?taxnode_id=202318877","ictv.global=202318877")</f>
        <v>ictv.global=202318877</v>
      </c>
    </row>
    <row r="6127" spans="1:21">
      <c r="A6127">
        <v>6126</v>
      </c>
      <c r="B6127" s="30" t="s">
        <v>1956</v>
      </c>
      <c r="D6127" s="30" t="s">
        <v>1985</v>
      </c>
      <c r="F6127" s="30" t="s">
        <v>2009</v>
      </c>
      <c r="H6127" s="30" t="s">
        <v>2010</v>
      </c>
      <c r="J6127" s="30" t="s">
        <v>13202</v>
      </c>
      <c r="L6127" s="30" t="s">
        <v>13203</v>
      </c>
      <c r="N6127" s="30" t="s">
        <v>13225</v>
      </c>
      <c r="P6127" s="30" t="s">
        <v>13228</v>
      </c>
      <c r="Q6127" t="s">
        <v>735</v>
      </c>
      <c r="R6127" t="s">
        <v>917</v>
      </c>
      <c r="S6127">
        <v>39</v>
      </c>
      <c r="T6127" s="29" t="str">
        <f t="shared" si="281"/>
        <v>2023.025D.Saturnivirales_1no_2nf_35ng_120nsp.zip</v>
      </c>
      <c r="U6127" s="29" t="str">
        <f>HYPERLINK("https://ictv.global/taxonomy/taxondetails?taxnode_id=202318896","ictv.global=202318896")</f>
        <v>ictv.global=202318896</v>
      </c>
    </row>
    <row r="6128" spans="1:21">
      <c r="A6128">
        <v>6127</v>
      </c>
      <c r="B6128" s="30" t="s">
        <v>1956</v>
      </c>
      <c r="D6128" s="30" t="s">
        <v>1985</v>
      </c>
      <c r="F6128" s="30" t="s">
        <v>2009</v>
      </c>
      <c r="H6128" s="30" t="s">
        <v>2010</v>
      </c>
      <c r="J6128" s="30" t="s">
        <v>13202</v>
      </c>
      <c r="L6128" s="30" t="s">
        <v>13203</v>
      </c>
      <c r="N6128" s="30" t="s">
        <v>13225</v>
      </c>
      <c r="P6128" s="30" t="s">
        <v>13229</v>
      </c>
      <c r="Q6128" t="s">
        <v>735</v>
      </c>
      <c r="R6128" t="s">
        <v>917</v>
      </c>
      <c r="S6128">
        <v>39</v>
      </c>
      <c r="T6128" s="29" t="str">
        <f t="shared" si="281"/>
        <v>2023.025D.Saturnivirales_1no_2nf_35ng_120nsp.zip</v>
      </c>
      <c r="U6128" s="29" t="str">
        <f>HYPERLINK("https://ictv.global/taxonomy/taxondetails?taxnode_id=202318891","ictv.global=202318891")</f>
        <v>ictv.global=202318891</v>
      </c>
    </row>
    <row r="6129" spans="1:21">
      <c r="A6129">
        <v>6128</v>
      </c>
      <c r="B6129" s="30" t="s">
        <v>1956</v>
      </c>
      <c r="D6129" s="30" t="s">
        <v>1985</v>
      </c>
      <c r="F6129" s="30" t="s">
        <v>2009</v>
      </c>
      <c r="H6129" s="30" t="s">
        <v>2010</v>
      </c>
      <c r="J6129" s="30" t="s">
        <v>13202</v>
      </c>
      <c r="L6129" s="30" t="s">
        <v>13203</v>
      </c>
      <c r="N6129" s="30" t="s">
        <v>13225</v>
      </c>
      <c r="P6129" s="30" t="s">
        <v>13230</v>
      </c>
      <c r="Q6129" t="s">
        <v>735</v>
      </c>
      <c r="R6129" t="s">
        <v>917</v>
      </c>
      <c r="S6129">
        <v>39</v>
      </c>
      <c r="T6129" s="29" t="str">
        <f t="shared" si="281"/>
        <v>2023.025D.Saturnivirales_1no_2nf_35ng_120nsp.zip</v>
      </c>
      <c r="U6129" s="29" t="str">
        <f>HYPERLINK("https://ictv.global/taxonomy/taxondetails?taxnode_id=202318874","ictv.global=202318874")</f>
        <v>ictv.global=202318874</v>
      </c>
    </row>
    <row r="6130" spans="1:21">
      <c r="A6130">
        <v>6129</v>
      </c>
      <c r="B6130" s="30" t="s">
        <v>1956</v>
      </c>
      <c r="D6130" s="30" t="s">
        <v>1985</v>
      </c>
      <c r="F6130" s="30" t="s">
        <v>2009</v>
      </c>
      <c r="H6130" s="30" t="s">
        <v>2010</v>
      </c>
      <c r="J6130" s="30" t="s">
        <v>13202</v>
      </c>
      <c r="L6130" s="30" t="s">
        <v>13203</v>
      </c>
      <c r="N6130" s="30" t="s">
        <v>13225</v>
      </c>
      <c r="P6130" s="30" t="s">
        <v>13231</v>
      </c>
      <c r="Q6130" t="s">
        <v>735</v>
      </c>
      <c r="R6130" t="s">
        <v>917</v>
      </c>
      <c r="S6130">
        <v>39</v>
      </c>
      <c r="T6130" s="29" t="str">
        <f t="shared" si="281"/>
        <v>2023.025D.Saturnivirales_1no_2nf_35ng_120nsp.zip</v>
      </c>
      <c r="U6130" s="29" t="str">
        <f>HYPERLINK("https://ictv.global/taxonomy/taxondetails?taxnode_id=202318876","ictv.global=202318876")</f>
        <v>ictv.global=202318876</v>
      </c>
    </row>
    <row r="6131" spans="1:21">
      <c r="A6131">
        <v>6130</v>
      </c>
      <c r="B6131" s="30" t="s">
        <v>1956</v>
      </c>
      <c r="D6131" s="30" t="s">
        <v>1985</v>
      </c>
      <c r="F6131" s="30" t="s">
        <v>2009</v>
      </c>
      <c r="H6131" s="30" t="s">
        <v>2010</v>
      </c>
      <c r="J6131" s="30" t="s">
        <v>13202</v>
      </c>
      <c r="L6131" s="30" t="s">
        <v>13203</v>
      </c>
      <c r="N6131" s="30" t="s">
        <v>13225</v>
      </c>
      <c r="P6131" s="30" t="s">
        <v>13232</v>
      </c>
      <c r="Q6131" t="s">
        <v>735</v>
      </c>
      <c r="R6131" t="s">
        <v>917</v>
      </c>
      <c r="S6131">
        <v>39</v>
      </c>
      <c r="T6131" s="29" t="str">
        <f t="shared" si="281"/>
        <v>2023.025D.Saturnivirales_1no_2nf_35ng_120nsp.zip</v>
      </c>
      <c r="U6131" s="29" t="str">
        <f>HYPERLINK("https://ictv.global/taxonomy/taxondetails?taxnode_id=202318875","ictv.global=202318875")</f>
        <v>ictv.global=202318875</v>
      </c>
    </row>
    <row r="6132" spans="1:21">
      <c r="A6132">
        <v>6131</v>
      </c>
      <c r="B6132" s="30" t="s">
        <v>1956</v>
      </c>
      <c r="D6132" s="30" t="s">
        <v>1985</v>
      </c>
      <c r="F6132" s="30" t="s">
        <v>2009</v>
      </c>
      <c r="H6132" s="30" t="s">
        <v>2010</v>
      </c>
      <c r="J6132" s="30" t="s">
        <v>13202</v>
      </c>
      <c r="L6132" s="30" t="s">
        <v>13203</v>
      </c>
      <c r="N6132" s="30" t="s">
        <v>13225</v>
      </c>
      <c r="P6132" s="30" t="s">
        <v>13233</v>
      </c>
      <c r="Q6132" t="s">
        <v>735</v>
      </c>
      <c r="R6132" t="s">
        <v>917</v>
      </c>
      <c r="S6132">
        <v>39</v>
      </c>
      <c r="T6132" s="29" t="str">
        <f t="shared" si="281"/>
        <v>2023.025D.Saturnivirales_1no_2nf_35ng_120nsp.zip</v>
      </c>
      <c r="U6132" s="29" t="str">
        <f>HYPERLINK("https://ictv.global/taxonomy/taxondetails?taxnode_id=202318890","ictv.global=202318890")</f>
        <v>ictv.global=202318890</v>
      </c>
    </row>
    <row r="6133" spans="1:21">
      <c r="A6133">
        <v>6132</v>
      </c>
      <c r="B6133" s="30" t="s">
        <v>1956</v>
      </c>
      <c r="D6133" s="30" t="s">
        <v>1985</v>
      </c>
      <c r="F6133" s="30" t="s">
        <v>2009</v>
      </c>
      <c r="H6133" s="30" t="s">
        <v>2010</v>
      </c>
      <c r="J6133" s="30" t="s">
        <v>13202</v>
      </c>
      <c r="L6133" s="30" t="s">
        <v>13203</v>
      </c>
      <c r="N6133" s="30" t="s">
        <v>13225</v>
      </c>
      <c r="P6133" s="30" t="s">
        <v>13234</v>
      </c>
      <c r="Q6133" t="s">
        <v>735</v>
      </c>
      <c r="R6133" t="s">
        <v>917</v>
      </c>
      <c r="S6133">
        <v>39</v>
      </c>
      <c r="T6133" s="29" t="str">
        <f t="shared" si="281"/>
        <v>2023.025D.Saturnivirales_1no_2nf_35ng_120nsp.zip</v>
      </c>
      <c r="U6133" s="29" t="str">
        <f>HYPERLINK("https://ictv.global/taxonomy/taxondetails?taxnode_id=202318888","ictv.global=202318888")</f>
        <v>ictv.global=202318888</v>
      </c>
    </row>
    <row r="6134" spans="1:21">
      <c r="A6134">
        <v>6133</v>
      </c>
      <c r="B6134" s="30" t="s">
        <v>1956</v>
      </c>
      <c r="D6134" s="30" t="s">
        <v>1985</v>
      </c>
      <c r="F6134" s="30" t="s">
        <v>2009</v>
      </c>
      <c r="H6134" s="30" t="s">
        <v>2010</v>
      </c>
      <c r="J6134" s="30" t="s">
        <v>13202</v>
      </c>
      <c r="L6134" s="30" t="s">
        <v>13203</v>
      </c>
      <c r="N6134" s="30" t="s">
        <v>13225</v>
      </c>
      <c r="P6134" s="30" t="s">
        <v>13235</v>
      </c>
      <c r="Q6134" t="s">
        <v>735</v>
      </c>
      <c r="R6134" t="s">
        <v>917</v>
      </c>
      <c r="S6134">
        <v>39</v>
      </c>
      <c r="T6134" s="29" t="str">
        <f t="shared" si="281"/>
        <v>2023.025D.Saturnivirales_1no_2nf_35ng_120nsp.zip</v>
      </c>
      <c r="U6134" s="29" t="str">
        <f>HYPERLINK("https://ictv.global/taxonomy/taxondetails?taxnode_id=202318878","ictv.global=202318878")</f>
        <v>ictv.global=202318878</v>
      </c>
    </row>
    <row r="6135" spans="1:21">
      <c r="A6135">
        <v>6134</v>
      </c>
      <c r="B6135" s="30" t="s">
        <v>1956</v>
      </c>
      <c r="D6135" s="30" t="s">
        <v>1985</v>
      </c>
      <c r="F6135" s="30" t="s">
        <v>2009</v>
      </c>
      <c r="H6135" s="30" t="s">
        <v>2010</v>
      </c>
      <c r="J6135" s="30" t="s">
        <v>13202</v>
      </c>
      <c r="L6135" s="30" t="s">
        <v>13203</v>
      </c>
      <c r="N6135" s="30" t="s">
        <v>13225</v>
      </c>
      <c r="P6135" s="30" t="s">
        <v>13236</v>
      </c>
      <c r="Q6135" t="s">
        <v>735</v>
      </c>
      <c r="R6135" t="s">
        <v>917</v>
      </c>
      <c r="S6135">
        <v>39</v>
      </c>
      <c r="T6135" s="29" t="str">
        <f t="shared" si="281"/>
        <v>2023.025D.Saturnivirales_1no_2nf_35ng_120nsp.zip</v>
      </c>
      <c r="U6135" s="29" t="str">
        <f>HYPERLINK("https://ictv.global/taxonomy/taxondetails?taxnode_id=202318880","ictv.global=202318880")</f>
        <v>ictv.global=202318880</v>
      </c>
    </row>
    <row r="6136" spans="1:21">
      <c r="A6136">
        <v>6135</v>
      </c>
      <c r="B6136" s="30" t="s">
        <v>1956</v>
      </c>
      <c r="D6136" s="30" t="s">
        <v>1985</v>
      </c>
      <c r="F6136" s="30" t="s">
        <v>2009</v>
      </c>
      <c r="H6136" s="30" t="s">
        <v>2010</v>
      </c>
      <c r="J6136" s="30" t="s">
        <v>13202</v>
      </c>
      <c r="L6136" s="30" t="s">
        <v>13203</v>
      </c>
      <c r="N6136" s="30" t="s">
        <v>13225</v>
      </c>
      <c r="P6136" s="30" t="s">
        <v>13237</v>
      </c>
      <c r="Q6136" t="s">
        <v>735</v>
      </c>
      <c r="R6136" t="s">
        <v>917</v>
      </c>
      <c r="S6136">
        <v>39</v>
      </c>
      <c r="T6136" s="29" t="str">
        <f t="shared" si="281"/>
        <v>2023.025D.Saturnivirales_1no_2nf_35ng_120nsp.zip</v>
      </c>
      <c r="U6136" s="29" t="str">
        <f>HYPERLINK("https://ictv.global/taxonomy/taxondetails?taxnode_id=202318873","ictv.global=202318873")</f>
        <v>ictv.global=202318873</v>
      </c>
    </row>
    <row r="6137" spans="1:21">
      <c r="A6137">
        <v>6136</v>
      </c>
      <c r="B6137" s="30" t="s">
        <v>1956</v>
      </c>
      <c r="D6137" s="30" t="s">
        <v>1985</v>
      </c>
      <c r="F6137" s="30" t="s">
        <v>2009</v>
      </c>
      <c r="H6137" s="30" t="s">
        <v>2010</v>
      </c>
      <c r="J6137" s="30" t="s">
        <v>13202</v>
      </c>
      <c r="L6137" s="30" t="s">
        <v>13203</v>
      </c>
      <c r="N6137" s="30" t="s">
        <v>13225</v>
      </c>
      <c r="P6137" s="30" t="s">
        <v>13238</v>
      </c>
      <c r="Q6137" t="s">
        <v>735</v>
      </c>
      <c r="R6137" t="s">
        <v>917</v>
      </c>
      <c r="S6137">
        <v>39</v>
      </c>
      <c r="T6137" s="29" t="str">
        <f t="shared" si="281"/>
        <v>2023.025D.Saturnivirales_1no_2nf_35ng_120nsp.zip</v>
      </c>
      <c r="U6137" s="29" t="str">
        <f>HYPERLINK("https://ictv.global/taxonomy/taxondetails?taxnode_id=202318886","ictv.global=202318886")</f>
        <v>ictv.global=202318886</v>
      </c>
    </row>
    <row r="6138" spans="1:21">
      <c r="A6138">
        <v>6137</v>
      </c>
      <c r="B6138" s="30" t="s">
        <v>1956</v>
      </c>
      <c r="D6138" s="30" t="s">
        <v>1985</v>
      </c>
      <c r="F6138" s="30" t="s">
        <v>2009</v>
      </c>
      <c r="H6138" s="30" t="s">
        <v>2010</v>
      </c>
      <c r="J6138" s="30" t="s">
        <v>13202</v>
      </c>
      <c r="L6138" s="30" t="s">
        <v>13203</v>
      </c>
      <c r="N6138" s="30" t="s">
        <v>13225</v>
      </c>
      <c r="P6138" s="30" t="s">
        <v>13239</v>
      </c>
      <c r="Q6138" t="s">
        <v>735</v>
      </c>
      <c r="R6138" t="s">
        <v>917</v>
      </c>
      <c r="S6138">
        <v>39</v>
      </c>
      <c r="T6138" s="29" t="str">
        <f t="shared" si="281"/>
        <v>2023.025D.Saturnivirales_1no_2nf_35ng_120nsp.zip</v>
      </c>
      <c r="U6138" s="29" t="str">
        <f>HYPERLINK("https://ictv.global/taxonomy/taxondetails?taxnode_id=202318885","ictv.global=202318885")</f>
        <v>ictv.global=202318885</v>
      </c>
    </row>
    <row r="6139" spans="1:21">
      <c r="A6139">
        <v>6138</v>
      </c>
      <c r="B6139" s="30" t="s">
        <v>1956</v>
      </c>
      <c r="D6139" s="30" t="s">
        <v>1985</v>
      </c>
      <c r="F6139" s="30" t="s">
        <v>2009</v>
      </c>
      <c r="H6139" s="30" t="s">
        <v>2010</v>
      </c>
      <c r="J6139" s="30" t="s">
        <v>13202</v>
      </c>
      <c r="L6139" s="30" t="s">
        <v>13203</v>
      </c>
      <c r="N6139" s="30" t="s">
        <v>13225</v>
      </c>
      <c r="P6139" s="30" t="s">
        <v>13240</v>
      </c>
      <c r="Q6139" t="s">
        <v>735</v>
      </c>
      <c r="R6139" t="s">
        <v>917</v>
      </c>
      <c r="S6139">
        <v>39</v>
      </c>
      <c r="T6139" s="29" t="str">
        <f t="shared" si="281"/>
        <v>2023.025D.Saturnivirales_1no_2nf_35ng_120nsp.zip</v>
      </c>
      <c r="U6139" s="29" t="str">
        <f>HYPERLINK("https://ictv.global/taxonomy/taxondetails?taxnode_id=202318887","ictv.global=202318887")</f>
        <v>ictv.global=202318887</v>
      </c>
    </row>
    <row r="6140" spans="1:21">
      <c r="A6140">
        <v>6139</v>
      </c>
      <c r="B6140" s="30" t="s">
        <v>1956</v>
      </c>
      <c r="D6140" s="30" t="s">
        <v>1985</v>
      </c>
      <c r="F6140" s="30" t="s">
        <v>2009</v>
      </c>
      <c r="H6140" s="30" t="s">
        <v>2010</v>
      </c>
      <c r="J6140" s="30" t="s">
        <v>13202</v>
      </c>
      <c r="L6140" s="30" t="s">
        <v>13203</v>
      </c>
      <c r="N6140" s="30" t="s">
        <v>13225</v>
      </c>
      <c r="P6140" s="30" t="s">
        <v>13241</v>
      </c>
      <c r="Q6140" t="s">
        <v>735</v>
      </c>
      <c r="R6140" t="s">
        <v>917</v>
      </c>
      <c r="S6140">
        <v>39</v>
      </c>
      <c r="T6140" s="29" t="str">
        <f t="shared" si="281"/>
        <v>2023.025D.Saturnivirales_1no_2nf_35ng_120nsp.zip</v>
      </c>
      <c r="U6140" s="29" t="str">
        <f>HYPERLINK("https://ictv.global/taxonomy/taxondetails?taxnode_id=202318895","ictv.global=202318895")</f>
        <v>ictv.global=202318895</v>
      </c>
    </row>
    <row r="6141" spans="1:21">
      <c r="A6141">
        <v>6140</v>
      </c>
      <c r="B6141" s="30" t="s">
        <v>1956</v>
      </c>
      <c r="D6141" s="30" t="s">
        <v>1985</v>
      </c>
      <c r="F6141" s="30" t="s">
        <v>2009</v>
      </c>
      <c r="H6141" s="30" t="s">
        <v>2010</v>
      </c>
      <c r="J6141" s="30" t="s">
        <v>13202</v>
      </c>
      <c r="L6141" s="30" t="s">
        <v>13203</v>
      </c>
      <c r="N6141" s="30" t="s">
        <v>13225</v>
      </c>
      <c r="P6141" s="30" t="s">
        <v>13242</v>
      </c>
      <c r="Q6141" t="s">
        <v>735</v>
      </c>
      <c r="R6141" t="s">
        <v>917</v>
      </c>
      <c r="S6141">
        <v>39</v>
      </c>
      <c r="T6141" s="29" t="str">
        <f t="shared" si="281"/>
        <v>2023.025D.Saturnivirales_1no_2nf_35ng_120nsp.zip</v>
      </c>
      <c r="U6141" s="29" t="str">
        <f>HYPERLINK("https://ictv.global/taxonomy/taxondetails?taxnode_id=202318883","ictv.global=202318883")</f>
        <v>ictv.global=202318883</v>
      </c>
    </row>
    <row r="6142" spans="1:21">
      <c r="A6142">
        <v>6141</v>
      </c>
      <c r="B6142" s="30" t="s">
        <v>1956</v>
      </c>
      <c r="D6142" s="30" t="s">
        <v>1985</v>
      </c>
      <c r="F6142" s="30" t="s">
        <v>2009</v>
      </c>
      <c r="H6142" s="30" t="s">
        <v>2010</v>
      </c>
      <c r="J6142" s="30" t="s">
        <v>13202</v>
      </c>
      <c r="L6142" s="30" t="s">
        <v>13203</v>
      </c>
      <c r="N6142" s="30" t="s">
        <v>13225</v>
      </c>
      <c r="P6142" s="30" t="s">
        <v>13243</v>
      </c>
      <c r="Q6142" t="s">
        <v>735</v>
      </c>
      <c r="R6142" t="s">
        <v>917</v>
      </c>
      <c r="S6142">
        <v>39</v>
      </c>
      <c r="T6142" s="29" t="str">
        <f t="shared" ref="T6142:T6173" si="282">HYPERLINK("https://ictv.global/ictv/proposals/2023.025D.Saturnivirales_1no_2nf_35ng_120nsp.zip","2023.025D.Saturnivirales_1no_2nf_35ng_120nsp.zip")</f>
        <v>2023.025D.Saturnivirales_1no_2nf_35ng_120nsp.zip</v>
      </c>
      <c r="U6142" s="29" t="str">
        <f>HYPERLINK("https://ictv.global/taxonomy/taxondetails?taxnode_id=202318879","ictv.global=202318879")</f>
        <v>ictv.global=202318879</v>
      </c>
    </row>
    <row r="6143" spans="1:21">
      <c r="A6143">
        <v>6142</v>
      </c>
      <c r="B6143" s="30" t="s">
        <v>1956</v>
      </c>
      <c r="D6143" s="30" t="s">
        <v>1985</v>
      </c>
      <c r="F6143" s="30" t="s">
        <v>2009</v>
      </c>
      <c r="H6143" s="30" t="s">
        <v>2010</v>
      </c>
      <c r="J6143" s="30" t="s">
        <v>13202</v>
      </c>
      <c r="L6143" s="30" t="s">
        <v>13203</v>
      </c>
      <c r="N6143" s="30" t="s">
        <v>13225</v>
      </c>
      <c r="P6143" s="30" t="s">
        <v>13244</v>
      </c>
      <c r="Q6143" t="s">
        <v>735</v>
      </c>
      <c r="R6143" t="s">
        <v>917</v>
      </c>
      <c r="S6143">
        <v>39</v>
      </c>
      <c r="T6143" s="29" t="str">
        <f t="shared" si="282"/>
        <v>2023.025D.Saturnivirales_1no_2nf_35ng_120nsp.zip</v>
      </c>
      <c r="U6143" s="29" t="str">
        <f>HYPERLINK("https://ictv.global/taxonomy/taxondetails?taxnode_id=202318892","ictv.global=202318892")</f>
        <v>ictv.global=202318892</v>
      </c>
    </row>
    <row r="6144" spans="1:21">
      <c r="A6144">
        <v>6143</v>
      </c>
      <c r="B6144" s="30" t="s">
        <v>1956</v>
      </c>
      <c r="D6144" s="30" t="s">
        <v>1985</v>
      </c>
      <c r="F6144" s="30" t="s">
        <v>2009</v>
      </c>
      <c r="H6144" s="30" t="s">
        <v>2010</v>
      </c>
      <c r="J6144" s="30" t="s">
        <v>13202</v>
      </c>
      <c r="L6144" s="30" t="s">
        <v>13203</v>
      </c>
      <c r="N6144" s="30" t="s">
        <v>13225</v>
      </c>
      <c r="P6144" s="30" t="s">
        <v>13245</v>
      </c>
      <c r="Q6144" t="s">
        <v>735</v>
      </c>
      <c r="R6144" t="s">
        <v>917</v>
      </c>
      <c r="S6144">
        <v>39</v>
      </c>
      <c r="T6144" s="29" t="str">
        <f t="shared" si="282"/>
        <v>2023.025D.Saturnivirales_1no_2nf_35ng_120nsp.zip</v>
      </c>
      <c r="U6144" s="29" t="str">
        <f>HYPERLINK("https://ictv.global/taxonomy/taxondetails?taxnode_id=202318889","ictv.global=202318889")</f>
        <v>ictv.global=202318889</v>
      </c>
    </row>
    <row r="6145" spans="1:21">
      <c r="A6145">
        <v>6144</v>
      </c>
      <c r="B6145" s="30" t="s">
        <v>1956</v>
      </c>
      <c r="D6145" s="30" t="s">
        <v>1985</v>
      </c>
      <c r="F6145" s="30" t="s">
        <v>2009</v>
      </c>
      <c r="H6145" s="30" t="s">
        <v>2010</v>
      </c>
      <c r="J6145" s="30" t="s">
        <v>13202</v>
      </c>
      <c r="L6145" s="30" t="s">
        <v>13203</v>
      </c>
      <c r="N6145" s="30" t="s">
        <v>13225</v>
      </c>
      <c r="P6145" s="30" t="s">
        <v>13246</v>
      </c>
      <c r="Q6145" t="s">
        <v>735</v>
      </c>
      <c r="R6145" t="s">
        <v>917</v>
      </c>
      <c r="S6145">
        <v>39</v>
      </c>
      <c r="T6145" s="29" t="str">
        <f t="shared" si="282"/>
        <v>2023.025D.Saturnivirales_1no_2nf_35ng_120nsp.zip</v>
      </c>
      <c r="U6145" s="29" t="str">
        <f>HYPERLINK("https://ictv.global/taxonomy/taxondetails?taxnode_id=202318881","ictv.global=202318881")</f>
        <v>ictv.global=202318881</v>
      </c>
    </row>
    <row r="6146" spans="1:21">
      <c r="A6146">
        <v>6145</v>
      </c>
      <c r="B6146" s="30" t="s">
        <v>1956</v>
      </c>
      <c r="D6146" s="30" t="s">
        <v>1985</v>
      </c>
      <c r="F6146" s="30" t="s">
        <v>2009</v>
      </c>
      <c r="H6146" s="30" t="s">
        <v>2010</v>
      </c>
      <c r="J6146" s="30" t="s">
        <v>13202</v>
      </c>
      <c r="L6146" s="30" t="s">
        <v>13203</v>
      </c>
      <c r="N6146" s="30" t="s">
        <v>13225</v>
      </c>
      <c r="P6146" s="30" t="s">
        <v>13247</v>
      </c>
      <c r="Q6146" t="s">
        <v>735</v>
      </c>
      <c r="R6146" t="s">
        <v>917</v>
      </c>
      <c r="S6146">
        <v>39</v>
      </c>
      <c r="T6146" s="29" t="str">
        <f t="shared" si="282"/>
        <v>2023.025D.Saturnivirales_1no_2nf_35ng_120nsp.zip</v>
      </c>
      <c r="U6146" s="29" t="str">
        <f>HYPERLINK("https://ictv.global/taxonomy/taxondetails?taxnode_id=202318893","ictv.global=202318893")</f>
        <v>ictv.global=202318893</v>
      </c>
    </row>
    <row r="6147" spans="1:21">
      <c r="A6147">
        <v>6146</v>
      </c>
      <c r="B6147" s="30" t="s">
        <v>1956</v>
      </c>
      <c r="D6147" s="30" t="s">
        <v>1985</v>
      </c>
      <c r="F6147" s="30" t="s">
        <v>2009</v>
      </c>
      <c r="H6147" s="30" t="s">
        <v>2010</v>
      </c>
      <c r="J6147" s="30" t="s">
        <v>13202</v>
      </c>
      <c r="L6147" s="30" t="s">
        <v>13203</v>
      </c>
      <c r="N6147" s="30" t="s">
        <v>13225</v>
      </c>
      <c r="P6147" s="30" t="s">
        <v>13248</v>
      </c>
      <c r="Q6147" t="s">
        <v>735</v>
      </c>
      <c r="R6147" t="s">
        <v>917</v>
      </c>
      <c r="S6147">
        <v>39</v>
      </c>
      <c r="T6147" s="29" t="str">
        <f t="shared" si="282"/>
        <v>2023.025D.Saturnivirales_1no_2nf_35ng_120nsp.zip</v>
      </c>
      <c r="U6147" s="29" t="str">
        <f>HYPERLINK("https://ictv.global/taxonomy/taxondetails?taxnode_id=202318884","ictv.global=202318884")</f>
        <v>ictv.global=202318884</v>
      </c>
    </row>
    <row r="6148" spans="1:21">
      <c r="A6148">
        <v>6147</v>
      </c>
      <c r="B6148" s="30" t="s">
        <v>1956</v>
      </c>
      <c r="D6148" s="30" t="s">
        <v>1985</v>
      </c>
      <c r="F6148" s="30" t="s">
        <v>2009</v>
      </c>
      <c r="H6148" s="30" t="s">
        <v>2010</v>
      </c>
      <c r="J6148" s="30" t="s">
        <v>13202</v>
      </c>
      <c r="L6148" s="30" t="s">
        <v>13203</v>
      </c>
      <c r="N6148" s="30" t="s">
        <v>13225</v>
      </c>
      <c r="P6148" s="30" t="s">
        <v>13249</v>
      </c>
      <c r="Q6148" t="s">
        <v>735</v>
      </c>
      <c r="R6148" t="s">
        <v>917</v>
      </c>
      <c r="S6148">
        <v>39</v>
      </c>
      <c r="T6148" s="29" t="str">
        <f t="shared" si="282"/>
        <v>2023.025D.Saturnivirales_1no_2nf_35ng_120nsp.zip</v>
      </c>
      <c r="U6148" s="29" t="str">
        <f>HYPERLINK("https://ictv.global/taxonomy/taxondetails?taxnode_id=202318882","ictv.global=202318882")</f>
        <v>ictv.global=202318882</v>
      </c>
    </row>
    <row r="6149" spans="1:21">
      <c r="A6149">
        <v>6148</v>
      </c>
      <c r="B6149" s="30" t="s">
        <v>1956</v>
      </c>
      <c r="D6149" s="30" t="s">
        <v>1985</v>
      </c>
      <c r="F6149" s="30" t="s">
        <v>2009</v>
      </c>
      <c r="H6149" s="30" t="s">
        <v>2010</v>
      </c>
      <c r="J6149" s="30" t="s">
        <v>13202</v>
      </c>
      <c r="L6149" s="30" t="s">
        <v>13203</v>
      </c>
      <c r="N6149" s="30" t="s">
        <v>13250</v>
      </c>
      <c r="P6149" s="30" t="s">
        <v>13251</v>
      </c>
      <c r="Q6149" t="s">
        <v>735</v>
      </c>
      <c r="R6149" t="s">
        <v>917</v>
      </c>
      <c r="S6149">
        <v>39</v>
      </c>
      <c r="T6149" s="29" t="str">
        <f t="shared" si="282"/>
        <v>2023.025D.Saturnivirales_1no_2nf_35ng_120nsp.zip</v>
      </c>
      <c r="U6149" s="29" t="str">
        <f>HYPERLINK("https://ictv.global/taxonomy/taxondetails?taxnode_id=202318897","ictv.global=202318897")</f>
        <v>ictv.global=202318897</v>
      </c>
    </row>
    <row r="6150" spans="1:21">
      <c r="A6150">
        <v>6149</v>
      </c>
      <c r="B6150" s="30" t="s">
        <v>1956</v>
      </c>
      <c r="D6150" s="30" t="s">
        <v>1985</v>
      </c>
      <c r="F6150" s="30" t="s">
        <v>2009</v>
      </c>
      <c r="H6150" s="30" t="s">
        <v>2010</v>
      </c>
      <c r="J6150" s="30" t="s">
        <v>13202</v>
      </c>
      <c r="L6150" s="30" t="s">
        <v>13203</v>
      </c>
      <c r="N6150" s="30" t="s">
        <v>13250</v>
      </c>
      <c r="P6150" s="30" t="s">
        <v>13252</v>
      </c>
      <c r="Q6150" t="s">
        <v>735</v>
      </c>
      <c r="R6150" t="s">
        <v>917</v>
      </c>
      <c r="S6150">
        <v>39</v>
      </c>
      <c r="T6150" s="29" t="str">
        <f t="shared" si="282"/>
        <v>2023.025D.Saturnivirales_1no_2nf_35ng_120nsp.zip</v>
      </c>
      <c r="U6150" s="29" t="str">
        <f>HYPERLINK("https://ictv.global/taxonomy/taxondetails?taxnode_id=202318898","ictv.global=202318898")</f>
        <v>ictv.global=202318898</v>
      </c>
    </row>
    <row r="6151" spans="1:21">
      <c r="A6151">
        <v>6150</v>
      </c>
      <c r="B6151" s="30" t="s">
        <v>1956</v>
      </c>
      <c r="D6151" s="30" t="s">
        <v>1985</v>
      </c>
      <c r="F6151" s="30" t="s">
        <v>2009</v>
      </c>
      <c r="H6151" s="30" t="s">
        <v>2010</v>
      </c>
      <c r="J6151" s="30" t="s">
        <v>13202</v>
      </c>
      <c r="L6151" s="30" t="s">
        <v>13203</v>
      </c>
      <c r="N6151" s="30" t="s">
        <v>13250</v>
      </c>
      <c r="P6151" s="30" t="s">
        <v>13253</v>
      </c>
      <c r="Q6151" t="s">
        <v>735</v>
      </c>
      <c r="R6151" t="s">
        <v>917</v>
      </c>
      <c r="S6151">
        <v>39</v>
      </c>
      <c r="T6151" s="29" t="str">
        <f t="shared" si="282"/>
        <v>2023.025D.Saturnivirales_1no_2nf_35ng_120nsp.zip</v>
      </c>
      <c r="U6151" s="29" t="str">
        <f>HYPERLINK("https://ictv.global/taxonomy/taxondetails?taxnode_id=202318899","ictv.global=202318899")</f>
        <v>ictv.global=202318899</v>
      </c>
    </row>
    <row r="6152" spans="1:21">
      <c r="A6152">
        <v>6151</v>
      </c>
      <c r="B6152" s="30" t="s">
        <v>1956</v>
      </c>
      <c r="D6152" s="30" t="s">
        <v>1985</v>
      </c>
      <c r="F6152" s="30" t="s">
        <v>2009</v>
      </c>
      <c r="H6152" s="30" t="s">
        <v>2010</v>
      </c>
      <c r="J6152" s="30" t="s">
        <v>13202</v>
      </c>
      <c r="L6152" s="30" t="s">
        <v>13203</v>
      </c>
      <c r="N6152" s="30" t="s">
        <v>13254</v>
      </c>
      <c r="P6152" s="30" t="s">
        <v>13255</v>
      </c>
      <c r="Q6152" t="s">
        <v>735</v>
      </c>
      <c r="R6152" t="s">
        <v>917</v>
      </c>
      <c r="S6152">
        <v>39</v>
      </c>
      <c r="T6152" s="29" t="str">
        <f t="shared" si="282"/>
        <v>2023.025D.Saturnivirales_1no_2nf_35ng_120nsp.zip</v>
      </c>
      <c r="U6152" s="29" t="str">
        <f>HYPERLINK("https://ictv.global/taxonomy/taxondetails?taxnode_id=202318900","ictv.global=202318900")</f>
        <v>ictv.global=202318900</v>
      </c>
    </row>
    <row r="6153" spans="1:21">
      <c r="A6153">
        <v>6152</v>
      </c>
      <c r="B6153" s="30" t="s">
        <v>1956</v>
      </c>
      <c r="D6153" s="30" t="s">
        <v>1985</v>
      </c>
      <c r="F6153" s="30" t="s">
        <v>2009</v>
      </c>
      <c r="H6153" s="30" t="s">
        <v>2010</v>
      </c>
      <c r="J6153" s="30" t="s">
        <v>13202</v>
      </c>
      <c r="L6153" s="30" t="s">
        <v>13203</v>
      </c>
      <c r="N6153" s="30" t="s">
        <v>13256</v>
      </c>
      <c r="P6153" s="30" t="s">
        <v>13257</v>
      </c>
      <c r="Q6153" t="s">
        <v>735</v>
      </c>
      <c r="R6153" t="s">
        <v>917</v>
      </c>
      <c r="S6153">
        <v>39</v>
      </c>
      <c r="T6153" s="29" t="str">
        <f t="shared" si="282"/>
        <v>2023.025D.Saturnivirales_1no_2nf_35ng_120nsp.zip</v>
      </c>
      <c r="U6153" s="29" t="str">
        <f>HYPERLINK("https://ictv.global/taxonomy/taxondetails?taxnode_id=202318901","ictv.global=202318901")</f>
        <v>ictv.global=202318901</v>
      </c>
    </row>
    <row r="6154" spans="1:21">
      <c r="A6154">
        <v>6153</v>
      </c>
      <c r="B6154" s="30" t="s">
        <v>1956</v>
      </c>
      <c r="D6154" s="30" t="s">
        <v>1985</v>
      </c>
      <c r="F6154" s="30" t="s">
        <v>2009</v>
      </c>
      <c r="H6154" s="30" t="s">
        <v>2010</v>
      </c>
      <c r="J6154" s="30" t="s">
        <v>13202</v>
      </c>
      <c r="L6154" s="30" t="s">
        <v>13203</v>
      </c>
      <c r="N6154" s="30" t="s">
        <v>13258</v>
      </c>
      <c r="P6154" s="30" t="s">
        <v>13259</v>
      </c>
      <c r="Q6154" t="s">
        <v>735</v>
      </c>
      <c r="R6154" t="s">
        <v>917</v>
      </c>
      <c r="S6154">
        <v>39</v>
      </c>
      <c r="T6154" s="29" t="str">
        <f t="shared" si="282"/>
        <v>2023.025D.Saturnivirales_1no_2nf_35ng_120nsp.zip</v>
      </c>
      <c r="U6154" s="29" t="str">
        <f>HYPERLINK("https://ictv.global/taxonomy/taxondetails?taxnode_id=202318903","ictv.global=202318903")</f>
        <v>ictv.global=202318903</v>
      </c>
    </row>
    <row r="6155" spans="1:21">
      <c r="A6155">
        <v>6154</v>
      </c>
      <c r="B6155" s="30" t="s">
        <v>1956</v>
      </c>
      <c r="D6155" s="30" t="s">
        <v>1985</v>
      </c>
      <c r="F6155" s="30" t="s">
        <v>2009</v>
      </c>
      <c r="H6155" s="30" t="s">
        <v>2010</v>
      </c>
      <c r="J6155" s="30" t="s">
        <v>13202</v>
      </c>
      <c r="L6155" s="30" t="s">
        <v>13203</v>
      </c>
      <c r="N6155" s="30" t="s">
        <v>13258</v>
      </c>
      <c r="P6155" s="30" t="s">
        <v>13260</v>
      </c>
      <c r="Q6155" t="s">
        <v>735</v>
      </c>
      <c r="R6155" t="s">
        <v>917</v>
      </c>
      <c r="S6155">
        <v>39</v>
      </c>
      <c r="T6155" s="29" t="str">
        <f t="shared" si="282"/>
        <v>2023.025D.Saturnivirales_1no_2nf_35ng_120nsp.zip</v>
      </c>
      <c r="U6155" s="29" t="str">
        <f>HYPERLINK("https://ictv.global/taxonomy/taxondetails?taxnode_id=202318902","ictv.global=202318902")</f>
        <v>ictv.global=202318902</v>
      </c>
    </row>
    <row r="6156" spans="1:21">
      <c r="A6156">
        <v>6155</v>
      </c>
      <c r="B6156" s="30" t="s">
        <v>1956</v>
      </c>
      <c r="D6156" s="30" t="s">
        <v>1985</v>
      </c>
      <c r="F6156" s="30" t="s">
        <v>2009</v>
      </c>
      <c r="H6156" s="30" t="s">
        <v>2010</v>
      </c>
      <c r="J6156" s="30" t="s">
        <v>13202</v>
      </c>
      <c r="L6156" s="30" t="s">
        <v>13203</v>
      </c>
      <c r="N6156" s="30" t="s">
        <v>13261</v>
      </c>
      <c r="P6156" s="30" t="s">
        <v>13262</v>
      </c>
      <c r="Q6156" t="s">
        <v>735</v>
      </c>
      <c r="R6156" t="s">
        <v>917</v>
      </c>
      <c r="S6156">
        <v>39</v>
      </c>
      <c r="T6156" s="29" t="str">
        <f t="shared" si="282"/>
        <v>2023.025D.Saturnivirales_1no_2nf_35ng_120nsp.zip</v>
      </c>
      <c r="U6156" s="29" t="str">
        <f>HYPERLINK("https://ictv.global/taxonomy/taxondetails?taxnode_id=202318906","ictv.global=202318906")</f>
        <v>ictv.global=202318906</v>
      </c>
    </row>
    <row r="6157" spans="1:21">
      <c r="A6157">
        <v>6156</v>
      </c>
      <c r="B6157" s="30" t="s">
        <v>1956</v>
      </c>
      <c r="D6157" s="30" t="s">
        <v>1985</v>
      </c>
      <c r="F6157" s="30" t="s">
        <v>2009</v>
      </c>
      <c r="H6157" s="30" t="s">
        <v>2010</v>
      </c>
      <c r="J6157" s="30" t="s">
        <v>13202</v>
      </c>
      <c r="L6157" s="30" t="s">
        <v>13203</v>
      </c>
      <c r="N6157" s="30" t="s">
        <v>13261</v>
      </c>
      <c r="P6157" s="30" t="s">
        <v>13263</v>
      </c>
      <c r="Q6157" t="s">
        <v>735</v>
      </c>
      <c r="R6157" t="s">
        <v>917</v>
      </c>
      <c r="S6157">
        <v>39</v>
      </c>
      <c r="T6157" s="29" t="str">
        <f t="shared" si="282"/>
        <v>2023.025D.Saturnivirales_1no_2nf_35ng_120nsp.zip</v>
      </c>
      <c r="U6157" s="29" t="str">
        <f>HYPERLINK("https://ictv.global/taxonomy/taxondetails?taxnode_id=202318908","ictv.global=202318908")</f>
        <v>ictv.global=202318908</v>
      </c>
    </row>
    <row r="6158" spans="1:21">
      <c r="A6158">
        <v>6157</v>
      </c>
      <c r="B6158" s="30" t="s">
        <v>1956</v>
      </c>
      <c r="D6158" s="30" t="s">
        <v>1985</v>
      </c>
      <c r="F6158" s="30" t="s">
        <v>2009</v>
      </c>
      <c r="H6158" s="30" t="s">
        <v>2010</v>
      </c>
      <c r="J6158" s="30" t="s">
        <v>13202</v>
      </c>
      <c r="L6158" s="30" t="s">
        <v>13203</v>
      </c>
      <c r="N6158" s="30" t="s">
        <v>13261</v>
      </c>
      <c r="P6158" s="30" t="s">
        <v>13264</v>
      </c>
      <c r="Q6158" t="s">
        <v>735</v>
      </c>
      <c r="R6158" t="s">
        <v>917</v>
      </c>
      <c r="S6158">
        <v>39</v>
      </c>
      <c r="T6158" s="29" t="str">
        <f t="shared" si="282"/>
        <v>2023.025D.Saturnivirales_1no_2nf_35ng_120nsp.zip</v>
      </c>
      <c r="U6158" s="29" t="str">
        <f>HYPERLINK("https://ictv.global/taxonomy/taxondetails?taxnode_id=202318907","ictv.global=202318907")</f>
        <v>ictv.global=202318907</v>
      </c>
    </row>
    <row r="6159" spans="1:21">
      <c r="A6159">
        <v>6158</v>
      </c>
      <c r="B6159" s="30" t="s">
        <v>1956</v>
      </c>
      <c r="D6159" s="30" t="s">
        <v>1985</v>
      </c>
      <c r="F6159" s="30" t="s">
        <v>2009</v>
      </c>
      <c r="H6159" s="30" t="s">
        <v>2010</v>
      </c>
      <c r="J6159" s="30" t="s">
        <v>13202</v>
      </c>
      <c r="L6159" s="30" t="s">
        <v>13203</v>
      </c>
      <c r="N6159" s="30" t="s">
        <v>13261</v>
      </c>
      <c r="P6159" s="30" t="s">
        <v>13265</v>
      </c>
      <c r="Q6159" t="s">
        <v>735</v>
      </c>
      <c r="R6159" t="s">
        <v>917</v>
      </c>
      <c r="S6159">
        <v>39</v>
      </c>
      <c r="T6159" s="29" t="str">
        <f t="shared" si="282"/>
        <v>2023.025D.Saturnivirales_1no_2nf_35ng_120nsp.zip</v>
      </c>
      <c r="U6159" s="29" t="str">
        <f>HYPERLINK("https://ictv.global/taxonomy/taxondetails?taxnode_id=202318905","ictv.global=202318905")</f>
        <v>ictv.global=202318905</v>
      </c>
    </row>
    <row r="6160" spans="1:21">
      <c r="A6160">
        <v>6159</v>
      </c>
      <c r="B6160" s="30" t="s">
        <v>1956</v>
      </c>
      <c r="D6160" s="30" t="s">
        <v>1985</v>
      </c>
      <c r="F6160" s="30" t="s">
        <v>2009</v>
      </c>
      <c r="H6160" s="30" t="s">
        <v>2010</v>
      </c>
      <c r="J6160" s="30" t="s">
        <v>13202</v>
      </c>
      <c r="L6160" s="30" t="s">
        <v>13203</v>
      </c>
      <c r="N6160" s="30" t="s">
        <v>13261</v>
      </c>
      <c r="P6160" s="30" t="s">
        <v>13266</v>
      </c>
      <c r="Q6160" t="s">
        <v>735</v>
      </c>
      <c r="R6160" t="s">
        <v>917</v>
      </c>
      <c r="S6160">
        <v>39</v>
      </c>
      <c r="T6160" s="29" t="str">
        <f t="shared" si="282"/>
        <v>2023.025D.Saturnivirales_1no_2nf_35ng_120nsp.zip</v>
      </c>
      <c r="U6160" s="29" t="str">
        <f>HYPERLINK("https://ictv.global/taxonomy/taxondetails?taxnode_id=202318904","ictv.global=202318904")</f>
        <v>ictv.global=202318904</v>
      </c>
    </row>
    <row r="6161" spans="1:21">
      <c r="A6161">
        <v>6160</v>
      </c>
      <c r="B6161" s="30" t="s">
        <v>1956</v>
      </c>
      <c r="D6161" s="30" t="s">
        <v>1985</v>
      </c>
      <c r="F6161" s="30" t="s">
        <v>2009</v>
      </c>
      <c r="H6161" s="30" t="s">
        <v>2010</v>
      </c>
      <c r="J6161" s="30" t="s">
        <v>13202</v>
      </c>
      <c r="L6161" s="30" t="s">
        <v>13203</v>
      </c>
      <c r="N6161" s="30" t="s">
        <v>13267</v>
      </c>
      <c r="P6161" s="30" t="s">
        <v>13268</v>
      </c>
      <c r="Q6161" t="s">
        <v>735</v>
      </c>
      <c r="R6161" t="s">
        <v>917</v>
      </c>
      <c r="S6161">
        <v>39</v>
      </c>
      <c r="T6161" s="29" t="str">
        <f t="shared" si="282"/>
        <v>2023.025D.Saturnivirales_1no_2nf_35ng_120nsp.zip</v>
      </c>
      <c r="U6161" s="29" t="str">
        <f>HYPERLINK("https://ictv.global/taxonomy/taxondetails?taxnode_id=202318909","ictv.global=202318909")</f>
        <v>ictv.global=202318909</v>
      </c>
    </row>
    <row r="6162" spans="1:21">
      <c r="A6162">
        <v>6161</v>
      </c>
      <c r="B6162" s="30" t="s">
        <v>1956</v>
      </c>
      <c r="D6162" s="30" t="s">
        <v>1985</v>
      </c>
      <c r="F6162" s="30" t="s">
        <v>2009</v>
      </c>
      <c r="H6162" s="30" t="s">
        <v>2010</v>
      </c>
      <c r="J6162" s="30" t="s">
        <v>13202</v>
      </c>
      <c r="L6162" s="30" t="s">
        <v>13203</v>
      </c>
      <c r="N6162" s="30" t="s">
        <v>13269</v>
      </c>
      <c r="P6162" s="30" t="s">
        <v>13270</v>
      </c>
      <c r="Q6162" t="s">
        <v>735</v>
      </c>
      <c r="R6162" t="s">
        <v>917</v>
      </c>
      <c r="S6162">
        <v>39</v>
      </c>
      <c r="T6162" s="29" t="str">
        <f t="shared" si="282"/>
        <v>2023.025D.Saturnivirales_1no_2nf_35ng_120nsp.zip</v>
      </c>
      <c r="U6162" s="29" t="str">
        <f>HYPERLINK("https://ictv.global/taxonomy/taxondetails?taxnode_id=202318910","ictv.global=202318910")</f>
        <v>ictv.global=202318910</v>
      </c>
    </row>
    <row r="6163" spans="1:21">
      <c r="A6163">
        <v>6162</v>
      </c>
      <c r="B6163" s="30" t="s">
        <v>1956</v>
      </c>
      <c r="D6163" s="30" t="s">
        <v>1985</v>
      </c>
      <c r="F6163" s="30" t="s">
        <v>2009</v>
      </c>
      <c r="H6163" s="30" t="s">
        <v>2010</v>
      </c>
      <c r="J6163" s="30" t="s">
        <v>13202</v>
      </c>
      <c r="L6163" s="30" t="s">
        <v>13203</v>
      </c>
      <c r="N6163" s="30" t="s">
        <v>13269</v>
      </c>
      <c r="P6163" s="30" t="s">
        <v>13271</v>
      </c>
      <c r="Q6163" t="s">
        <v>735</v>
      </c>
      <c r="R6163" t="s">
        <v>917</v>
      </c>
      <c r="S6163">
        <v>39</v>
      </c>
      <c r="T6163" s="29" t="str">
        <f t="shared" si="282"/>
        <v>2023.025D.Saturnivirales_1no_2nf_35ng_120nsp.zip</v>
      </c>
      <c r="U6163" s="29" t="str">
        <f>HYPERLINK("https://ictv.global/taxonomy/taxondetails?taxnode_id=202318911","ictv.global=202318911")</f>
        <v>ictv.global=202318911</v>
      </c>
    </row>
    <row r="6164" spans="1:21">
      <c r="A6164">
        <v>6163</v>
      </c>
      <c r="B6164" s="30" t="s">
        <v>1956</v>
      </c>
      <c r="D6164" s="30" t="s">
        <v>1985</v>
      </c>
      <c r="F6164" s="30" t="s">
        <v>2009</v>
      </c>
      <c r="H6164" s="30" t="s">
        <v>2010</v>
      </c>
      <c r="J6164" s="30" t="s">
        <v>13202</v>
      </c>
      <c r="L6164" s="30" t="s">
        <v>13203</v>
      </c>
      <c r="N6164" s="30" t="s">
        <v>13272</v>
      </c>
      <c r="P6164" s="30" t="s">
        <v>13273</v>
      </c>
      <c r="Q6164" t="s">
        <v>735</v>
      </c>
      <c r="R6164" t="s">
        <v>917</v>
      </c>
      <c r="S6164">
        <v>39</v>
      </c>
      <c r="T6164" s="29" t="str">
        <f t="shared" si="282"/>
        <v>2023.025D.Saturnivirales_1no_2nf_35ng_120nsp.zip</v>
      </c>
      <c r="U6164" s="29" t="str">
        <f>HYPERLINK("https://ictv.global/taxonomy/taxondetails?taxnode_id=202318914","ictv.global=202318914")</f>
        <v>ictv.global=202318914</v>
      </c>
    </row>
    <row r="6165" spans="1:21">
      <c r="A6165">
        <v>6164</v>
      </c>
      <c r="B6165" s="30" t="s">
        <v>1956</v>
      </c>
      <c r="D6165" s="30" t="s">
        <v>1985</v>
      </c>
      <c r="F6165" s="30" t="s">
        <v>2009</v>
      </c>
      <c r="H6165" s="30" t="s">
        <v>2010</v>
      </c>
      <c r="J6165" s="30" t="s">
        <v>13202</v>
      </c>
      <c r="L6165" s="30" t="s">
        <v>13203</v>
      </c>
      <c r="N6165" s="30" t="s">
        <v>13272</v>
      </c>
      <c r="P6165" s="30" t="s">
        <v>13274</v>
      </c>
      <c r="Q6165" t="s">
        <v>735</v>
      </c>
      <c r="R6165" t="s">
        <v>917</v>
      </c>
      <c r="S6165">
        <v>39</v>
      </c>
      <c r="T6165" s="29" t="str">
        <f t="shared" si="282"/>
        <v>2023.025D.Saturnivirales_1no_2nf_35ng_120nsp.zip</v>
      </c>
      <c r="U6165" s="29" t="str">
        <f>HYPERLINK("https://ictv.global/taxonomy/taxondetails?taxnode_id=202318915","ictv.global=202318915")</f>
        <v>ictv.global=202318915</v>
      </c>
    </row>
    <row r="6166" spans="1:21">
      <c r="A6166">
        <v>6165</v>
      </c>
      <c r="B6166" s="30" t="s">
        <v>1956</v>
      </c>
      <c r="D6166" s="30" t="s">
        <v>1985</v>
      </c>
      <c r="F6166" s="30" t="s">
        <v>2009</v>
      </c>
      <c r="H6166" s="30" t="s">
        <v>2010</v>
      </c>
      <c r="J6166" s="30" t="s">
        <v>13202</v>
      </c>
      <c r="L6166" s="30" t="s">
        <v>13203</v>
      </c>
      <c r="N6166" s="30" t="s">
        <v>13272</v>
      </c>
      <c r="P6166" s="30" t="s">
        <v>13275</v>
      </c>
      <c r="Q6166" t="s">
        <v>735</v>
      </c>
      <c r="R6166" t="s">
        <v>917</v>
      </c>
      <c r="S6166">
        <v>39</v>
      </c>
      <c r="T6166" s="29" t="str">
        <f t="shared" si="282"/>
        <v>2023.025D.Saturnivirales_1no_2nf_35ng_120nsp.zip</v>
      </c>
      <c r="U6166" s="29" t="str">
        <f>HYPERLINK("https://ictv.global/taxonomy/taxondetails?taxnode_id=202318912","ictv.global=202318912")</f>
        <v>ictv.global=202318912</v>
      </c>
    </row>
    <row r="6167" spans="1:21">
      <c r="A6167">
        <v>6166</v>
      </c>
      <c r="B6167" s="30" t="s">
        <v>1956</v>
      </c>
      <c r="D6167" s="30" t="s">
        <v>1985</v>
      </c>
      <c r="F6167" s="30" t="s">
        <v>2009</v>
      </c>
      <c r="H6167" s="30" t="s">
        <v>2010</v>
      </c>
      <c r="J6167" s="30" t="s">
        <v>13202</v>
      </c>
      <c r="L6167" s="30" t="s">
        <v>13203</v>
      </c>
      <c r="N6167" s="30" t="s">
        <v>13272</v>
      </c>
      <c r="P6167" s="30" t="s">
        <v>13276</v>
      </c>
      <c r="Q6167" t="s">
        <v>735</v>
      </c>
      <c r="R6167" t="s">
        <v>917</v>
      </c>
      <c r="S6167">
        <v>39</v>
      </c>
      <c r="T6167" s="29" t="str">
        <f t="shared" si="282"/>
        <v>2023.025D.Saturnivirales_1no_2nf_35ng_120nsp.zip</v>
      </c>
      <c r="U6167" s="29" t="str">
        <f>HYPERLINK("https://ictv.global/taxonomy/taxondetails?taxnode_id=202318917","ictv.global=202318917")</f>
        <v>ictv.global=202318917</v>
      </c>
    </row>
    <row r="6168" spans="1:21">
      <c r="A6168">
        <v>6167</v>
      </c>
      <c r="B6168" s="30" t="s">
        <v>1956</v>
      </c>
      <c r="D6168" s="30" t="s">
        <v>1985</v>
      </c>
      <c r="F6168" s="30" t="s">
        <v>2009</v>
      </c>
      <c r="H6168" s="30" t="s">
        <v>2010</v>
      </c>
      <c r="J6168" s="30" t="s">
        <v>13202</v>
      </c>
      <c r="L6168" s="30" t="s">
        <v>13203</v>
      </c>
      <c r="N6168" s="30" t="s">
        <v>13272</v>
      </c>
      <c r="P6168" s="30" t="s">
        <v>13277</v>
      </c>
      <c r="Q6168" t="s">
        <v>735</v>
      </c>
      <c r="R6168" t="s">
        <v>917</v>
      </c>
      <c r="S6168">
        <v>39</v>
      </c>
      <c r="T6168" s="29" t="str">
        <f t="shared" si="282"/>
        <v>2023.025D.Saturnivirales_1no_2nf_35ng_120nsp.zip</v>
      </c>
      <c r="U6168" s="29" t="str">
        <f>HYPERLINK("https://ictv.global/taxonomy/taxondetails?taxnode_id=202318913","ictv.global=202318913")</f>
        <v>ictv.global=202318913</v>
      </c>
    </row>
    <row r="6169" spans="1:21">
      <c r="A6169">
        <v>6168</v>
      </c>
      <c r="B6169" s="30" t="s">
        <v>1956</v>
      </c>
      <c r="D6169" s="30" t="s">
        <v>1985</v>
      </c>
      <c r="F6169" s="30" t="s">
        <v>2009</v>
      </c>
      <c r="H6169" s="30" t="s">
        <v>2010</v>
      </c>
      <c r="J6169" s="30" t="s">
        <v>13202</v>
      </c>
      <c r="L6169" s="30" t="s">
        <v>13203</v>
      </c>
      <c r="N6169" s="30" t="s">
        <v>13272</v>
      </c>
      <c r="P6169" s="30" t="s">
        <v>13278</v>
      </c>
      <c r="Q6169" t="s">
        <v>735</v>
      </c>
      <c r="R6169" t="s">
        <v>917</v>
      </c>
      <c r="S6169">
        <v>39</v>
      </c>
      <c r="T6169" s="29" t="str">
        <f t="shared" si="282"/>
        <v>2023.025D.Saturnivirales_1no_2nf_35ng_120nsp.zip</v>
      </c>
      <c r="U6169" s="29" t="str">
        <f>HYPERLINK("https://ictv.global/taxonomy/taxondetails?taxnode_id=202318916","ictv.global=202318916")</f>
        <v>ictv.global=202318916</v>
      </c>
    </row>
    <row r="6170" spans="1:21">
      <c r="A6170">
        <v>6169</v>
      </c>
      <c r="B6170" s="30" t="s">
        <v>1956</v>
      </c>
      <c r="D6170" s="30" t="s">
        <v>1985</v>
      </c>
      <c r="F6170" s="30" t="s">
        <v>2009</v>
      </c>
      <c r="H6170" s="30" t="s">
        <v>2010</v>
      </c>
      <c r="J6170" s="30" t="s">
        <v>13202</v>
      </c>
      <c r="L6170" s="30" t="s">
        <v>13203</v>
      </c>
      <c r="N6170" s="30" t="s">
        <v>13279</v>
      </c>
      <c r="P6170" s="30" t="s">
        <v>13280</v>
      </c>
      <c r="Q6170" t="s">
        <v>735</v>
      </c>
      <c r="R6170" t="s">
        <v>917</v>
      </c>
      <c r="S6170">
        <v>39</v>
      </c>
      <c r="T6170" s="29" t="str">
        <f t="shared" si="282"/>
        <v>2023.025D.Saturnivirales_1no_2nf_35ng_120nsp.zip</v>
      </c>
      <c r="U6170" s="29" t="str">
        <f>HYPERLINK("https://ictv.global/taxonomy/taxondetails?taxnode_id=202318918","ictv.global=202318918")</f>
        <v>ictv.global=202318918</v>
      </c>
    </row>
    <row r="6171" spans="1:21">
      <c r="A6171">
        <v>6170</v>
      </c>
      <c r="B6171" s="30" t="s">
        <v>1956</v>
      </c>
      <c r="D6171" s="30" t="s">
        <v>1985</v>
      </c>
      <c r="F6171" s="30" t="s">
        <v>2009</v>
      </c>
      <c r="H6171" s="30" t="s">
        <v>2010</v>
      </c>
      <c r="J6171" s="30" t="s">
        <v>13202</v>
      </c>
      <c r="L6171" s="30" t="s">
        <v>13203</v>
      </c>
      <c r="N6171" s="30" t="s">
        <v>13281</v>
      </c>
      <c r="P6171" s="30" t="s">
        <v>13282</v>
      </c>
      <c r="Q6171" t="s">
        <v>735</v>
      </c>
      <c r="R6171" t="s">
        <v>917</v>
      </c>
      <c r="S6171">
        <v>39</v>
      </c>
      <c r="T6171" s="29" t="str">
        <f t="shared" si="282"/>
        <v>2023.025D.Saturnivirales_1no_2nf_35ng_120nsp.zip</v>
      </c>
      <c r="U6171" s="29" t="str">
        <f>HYPERLINK("https://ictv.global/taxonomy/taxondetails?taxnode_id=202318920","ictv.global=202318920")</f>
        <v>ictv.global=202318920</v>
      </c>
    </row>
    <row r="6172" spans="1:21">
      <c r="A6172">
        <v>6171</v>
      </c>
      <c r="B6172" s="30" t="s">
        <v>1956</v>
      </c>
      <c r="D6172" s="30" t="s">
        <v>1985</v>
      </c>
      <c r="F6172" s="30" t="s">
        <v>2009</v>
      </c>
      <c r="H6172" s="30" t="s">
        <v>2010</v>
      </c>
      <c r="J6172" s="30" t="s">
        <v>13202</v>
      </c>
      <c r="L6172" s="30" t="s">
        <v>13203</v>
      </c>
      <c r="N6172" s="30" t="s">
        <v>13281</v>
      </c>
      <c r="P6172" s="30" t="s">
        <v>13283</v>
      </c>
      <c r="Q6172" t="s">
        <v>735</v>
      </c>
      <c r="R6172" t="s">
        <v>917</v>
      </c>
      <c r="S6172">
        <v>39</v>
      </c>
      <c r="T6172" s="29" t="str">
        <f t="shared" si="282"/>
        <v>2023.025D.Saturnivirales_1no_2nf_35ng_120nsp.zip</v>
      </c>
      <c r="U6172" s="29" t="str">
        <f>HYPERLINK("https://ictv.global/taxonomy/taxondetails?taxnode_id=202318921","ictv.global=202318921")</f>
        <v>ictv.global=202318921</v>
      </c>
    </row>
    <row r="6173" spans="1:21">
      <c r="A6173">
        <v>6172</v>
      </c>
      <c r="B6173" s="30" t="s">
        <v>1956</v>
      </c>
      <c r="D6173" s="30" t="s">
        <v>1985</v>
      </c>
      <c r="F6173" s="30" t="s">
        <v>2009</v>
      </c>
      <c r="H6173" s="30" t="s">
        <v>2010</v>
      </c>
      <c r="J6173" s="30" t="s">
        <v>13202</v>
      </c>
      <c r="L6173" s="30" t="s">
        <v>13203</v>
      </c>
      <c r="N6173" s="30" t="s">
        <v>13281</v>
      </c>
      <c r="P6173" s="30" t="s">
        <v>13284</v>
      </c>
      <c r="Q6173" t="s">
        <v>735</v>
      </c>
      <c r="R6173" t="s">
        <v>917</v>
      </c>
      <c r="S6173">
        <v>39</v>
      </c>
      <c r="T6173" s="29" t="str">
        <f t="shared" si="282"/>
        <v>2023.025D.Saturnivirales_1no_2nf_35ng_120nsp.zip</v>
      </c>
      <c r="U6173" s="29" t="str">
        <f>HYPERLINK("https://ictv.global/taxonomy/taxondetails?taxnode_id=202318922","ictv.global=202318922")</f>
        <v>ictv.global=202318922</v>
      </c>
    </row>
    <row r="6174" spans="1:21">
      <c r="A6174">
        <v>6173</v>
      </c>
      <c r="B6174" s="30" t="s">
        <v>1956</v>
      </c>
      <c r="D6174" s="30" t="s">
        <v>1985</v>
      </c>
      <c r="F6174" s="30" t="s">
        <v>2009</v>
      </c>
      <c r="H6174" s="30" t="s">
        <v>2010</v>
      </c>
      <c r="J6174" s="30" t="s">
        <v>13202</v>
      </c>
      <c r="L6174" s="30" t="s">
        <v>13203</v>
      </c>
      <c r="N6174" s="30" t="s">
        <v>13281</v>
      </c>
      <c r="P6174" s="30" t="s">
        <v>13285</v>
      </c>
      <c r="Q6174" t="s">
        <v>735</v>
      </c>
      <c r="R6174" t="s">
        <v>917</v>
      </c>
      <c r="S6174">
        <v>39</v>
      </c>
      <c r="T6174" s="29" t="str">
        <f t="shared" ref="T6174:T6205" si="283">HYPERLINK("https://ictv.global/ictv/proposals/2023.025D.Saturnivirales_1no_2nf_35ng_120nsp.zip","2023.025D.Saturnivirales_1no_2nf_35ng_120nsp.zip")</f>
        <v>2023.025D.Saturnivirales_1no_2nf_35ng_120nsp.zip</v>
      </c>
      <c r="U6174" s="29" t="str">
        <f>HYPERLINK("https://ictv.global/taxonomy/taxondetails?taxnode_id=202318919","ictv.global=202318919")</f>
        <v>ictv.global=202318919</v>
      </c>
    </row>
    <row r="6175" spans="1:21">
      <c r="A6175">
        <v>6174</v>
      </c>
      <c r="B6175" s="30" t="s">
        <v>1956</v>
      </c>
      <c r="D6175" s="30" t="s">
        <v>1985</v>
      </c>
      <c r="F6175" s="30" t="s">
        <v>2009</v>
      </c>
      <c r="H6175" s="30" t="s">
        <v>2010</v>
      </c>
      <c r="J6175" s="30" t="s">
        <v>13202</v>
      </c>
      <c r="L6175" s="30" t="s">
        <v>13203</v>
      </c>
      <c r="N6175" s="30" t="s">
        <v>13281</v>
      </c>
      <c r="P6175" s="30" t="s">
        <v>13286</v>
      </c>
      <c r="Q6175" t="s">
        <v>735</v>
      </c>
      <c r="R6175" t="s">
        <v>917</v>
      </c>
      <c r="S6175">
        <v>39</v>
      </c>
      <c r="T6175" s="29" t="str">
        <f t="shared" si="283"/>
        <v>2023.025D.Saturnivirales_1no_2nf_35ng_120nsp.zip</v>
      </c>
      <c r="U6175" s="29" t="str">
        <f>HYPERLINK("https://ictv.global/taxonomy/taxondetails?taxnode_id=202318924","ictv.global=202318924")</f>
        <v>ictv.global=202318924</v>
      </c>
    </row>
    <row r="6176" spans="1:21">
      <c r="A6176">
        <v>6175</v>
      </c>
      <c r="B6176" s="30" t="s">
        <v>1956</v>
      </c>
      <c r="D6176" s="30" t="s">
        <v>1985</v>
      </c>
      <c r="F6176" s="30" t="s">
        <v>2009</v>
      </c>
      <c r="H6176" s="30" t="s">
        <v>2010</v>
      </c>
      <c r="J6176" s="30" t="s">
        <v>13202</v>
      </c>
      <c r="L6176" s="30" t="s">
        <v>13203</v>
      </c>
      <c r="N6176" s="30" t="s">
        <v>13281</v>
      </c>
      <c r="P6176" s="30" t="s">
        <v>13287</v>
      </c>
      <c r="Q6176" t="s">
        <v>735</v>
      </c>
      <c r="R6176" t="s">
        <v>917</v>
      </c>
      <c r="S6176">
        <v>39</v>
      </c>
      <c r="T6176" s="29" t="str">
        <f t="shared" si="283"/>
        <v>2023.025D.Saturnivirales_1no_2nf_35ng_120nsp.zip</v>
      </c>
      <c r="U6176" s="29" t="str">
        <f>HYPERLINK("https://ictv.global/taxonomy/taxondetails?taxnode_id=202318923","ictv.global=202318923")</f>
        <v>ictv.global=202318923</v>
      </c>
    </row>
    <row r="6177" spans="1:21">
      <c r="A6177">
        <v>6176</v>
      </c>
      <c r="B6177" s="30" t="s">
        <v>1956</v>
      </c>
      <c r="D6177" s="30" t="s">
        <v>1985</v>
      </c>
      <c r="F6177" s="30" t="s">
        <v>2009</v>
      </c>
      <c r="H6177" s="30" t="s">
        <v>2010</v>
      </c>
      <c r="J6177" s="30" t="s">
        <v>13202</v>
      </c>
      <c r="L6177" s="30" t="s">
        <v>13203</v>
      </c>
      <c r="N6177" s="30" t="s">
        <v>13288</v>
      </c>
      <c r="P6177" s="30" t="s">
        <v>13289</v>
      </c>
      <c r="Q6177" t="s">
        <v>735</v>
      </c>
      <c r="R6177" t="s">
        <v>917</v>
      </c>
      <c r="S6177">
        <v>39</v>
      </c>
      <c r="T6177" s="29" t="str">
        <f t="shared" si="283"/>
        <v>2023.025D.Saturnivirales_1no_2nf_35ng_120nsp.zip</v>
      </c>
      <c r="U6177" s="29" t="str">
        <f>HYPERLINK("https://ictv.global/taxonomy/taxondetails?taxnode_id=202318925","ictv.global=202318925")</f>
        <v>ictv.global=202318925</v>
      </c>
    </row>
    <row r="6178" spans="1:21">
      <c r="A6178">
        <v>6177</v>
      </c>
      <c r="B6178" s="30" t="s">
        <v>1956</v>
      </c>
      <c r="D6178" s="30" t="s">
        <v>1985</v>
      </c>
      <c r="F6178" s="30" t="s">
        <v>2009</v>
      </c>
      <c r="H6178" s="30" t="s">
        <v>2010</v>
      </c>
      <c r="J6178" s="30" t="s">
        <v>13202</v>
      </c>
      <c r="L6178" s="30" t="s">
        <v>13203</v>
      </c>
      <c r="N6178" s="30" t="s">
        <v>13290</v>
      </c>
      <c r="P6178" s="30" t="s">
        <v>13291</v>
      </c>
      <c r="Q6178" t="s">
        <v>735</v>
      </c>
      <c r="R6178" t="s">
        <v>917</v>
      </c>
      <c r="S6178">
        <v>39</v>
      </c>
      <c r="T6178" s="29" t="str">
        <f t="shared" si="283"/>
        <v>2023.025D.Saturnivirales_1no_2nf_35ng_120nsp.zip</v>
      </c>
      <c r="U6178" s="29" t="str">
        <f>HYPERLINK("https://ictv.global/taxonomy/taxondetails?taxnode_id=202318927","ictv.global=202318927")</f>
        <v>ictv.global=202318927</v>
      </c>
    </row>
    <row r="6179" spans="1:21">
      <c r="A6179">
        <v>6178</v>
      </c>
      <c r="B6179" s="30" t="s">
        <v>1956</v>
      </c>
      <c r="D6179" s="30" t="s">
        <v>1985</v>
      </c>
      <c r="F6179" s="30" t="s">
        <v>2009</v>
      </c>
      <c r="H6179" s="30" t="s">
        <v>2010</v>
      </c>
      <c r="J6179" s="30" t="s">
        <v>13202</v>
      </c>
      <c r="L6179" s="30" t="s">
        <v>13203</v>
      </c>
      <c r="N6179" s="30" t="s">
        <v>13290</v>
      </c>
      <c r="P6179" s="30" t="s">
        <v>13292</v>
      </c>
      <c r="Q6179" t="s">
        <v>735</v>
      </c>
      <c r="R6179" t="s">
        <v>917</v>
      </c>
      <c r="S6179">
        <v>39</v>
      </c>
      <c r="T6179" s="29" t="str">
        <f t="shared" si="283"/>
        <v>2023.025D.Saturnivirales_1no_2nf_35ng_120nsp.zip</v>
      </c>
      <c r="U6179" s="29" t="str">
        <f>HYPERLINK("https://ictv.global/taxonomy/taxondetails?taxnode_id=202318926","ictv.global=202318926")</f>
        <v>ictv.global=202318926</v>
      </c>
    </row>
    <row r="6180" spans="1:21">
      <c r="A6180">
        <v>6179</v>
      </c>
      <c r="B6180" s="30" t="s">
        <v>1956</v>
      </c>
      <c r="D6180" s="30" t="s">
        <v>1985</v>
      </c>
      <c r="F6180" s="30" t="s">
        <v>2009</v>
      </c>
      <c r="H6180" s="30" t="s">
        <v>2010</v>
      </c>
      <c r="J6180" s="30" t="s">
        <v>13202</v>
      </c>
      <c r="L6180" s="30" t="s">
        <v>13203</v>
      </c>
      <c r="N6180" s="30" t="s">
        <v>13293</v>
      </c>
      <c r="P6180" s="30" t="s">
        <v>13294</v>
      </c>
      <c r="Q6180" t="s">
        <v>735</v>
      </c>
      <c r="R6180" t="s">
        <v>917</v>
      </c>
      <c r="S6180">
        <v>39</v>
      </c>
      <c r="T6180" s="29" t="str">
        <f t="shared" si="283"/>
        <v>2023.025D.Saturnivirales_1no_2nf_35ng_120nsp.zip</v>
      </c>
      <c r="U6180" s="29" t="str">
        <f>HYPERLINK("https://ictv.global/taxonomy/taxondetails?taxnode_id=202318941","ictv.global=202318941")</f>
        <v>ictv.global=202318941</v>
      </c>
    </row>
    <row r="6181" spans="1:21">
      <c r="A6181">
        <v>6180</v>
      </c>
      <c r="B6181" s="30" t="s">
        <v>1956</v>
      </c>
      <c r="D6181" s="30" t="s">
        <v>1985</v>
      </c>
      <c r="F6181" s="30" t="s">
        <v>2009</v>
      </c>
      <c r="H6181" s="30" t="s">
        <v>2010</v>
      </c>
      <c r="J6181" s="30" t="s">
        <v>13202</v>
      </c>
      <c r="L6181" s="30" t="s">
        <v>13203</v>
      </c>
      <c r="N6181" s="30" t="s">
        <v>13293</v>
      </c>
      <c r="P6181" s="30" t="s">
        <v>13295</v>
      </c>
      <c r="Q6181" t="s">
        <v>735</v>
      </c>
      <c r="R6181" t="s">
        <v>917</v>
      </c>
      <c r="S6181">
        <v>39</v>
      </c>
      <c r="T6181" s="29" t="str">
        <f t="shared" si="283"/>
        <v>2023.025D.Saturnivirales_1no_2nf_35ng_120nsp.zip</v>
      </c>
      <c r="U6181" s="29" t="str">
        <f>HYPERLINK("https://ictv.global/taxonomy/taxondetails?taxnode_id=202318937","ictv.global=202318937")</f>
        <v>ictv.global=202318937</v>
      </c>
    </row>
    <row r="6182" spans="1:21">
      <c r="A6182">
        <v>6181</v>
      </c>
      <c r="B6182" s="30" t="s">
        <v>1956</v>
      </c>
      <c r="D6182" s="30" t="s">
        <v>1985</v>
      </c>
      <c r="F6182" s="30" t="s">
        <v>2009</v>
      </c>
      <c r="H6182" s="30" t="s">
        <v>2010</v>
      </c>
      <c r="J6182" s="30" t="s">
        <v>13202</v>
      </c>
      <c r="L6182" s="30" t="s">
        <v>13203</v>
      </c>
      <c r="N6182" s="30" t="s">
        <v>13293</v>
      </c>
      <c r="P6182" s="30" t="s">
        <v>13296</v>
      </c>
      <c r="Q6182" t="s">
        <v>735</v>
      </c>
      <c r="R6182" t="s">
        <v>917</v>
      </c>
      <c r="S6182">
        <v>39</v>
      </c>
      <c r="T6182" s="29" t="str">
        <f t="shared" si="283"/>
        <v>2023.025D.Saturnivirales_1no_2nf_35ng_120nsp.zip</v>
      </c>
      <c r="U6182" s="29" t="str">
        <f>HYPERLINK("https://ictv.global/taxonomy/taxondetails?taxnode_id=202318940","ictv.global=202318940")</f>
        <v>ictv.global=202318940</v>
      </c>
    </row>
    <row r="6183" spans="1:21">
      <c r="A6183">
        <v>6182</v>
      </c>
      <c r="B6183" s="30" t="s">
        <v>1956</v>
      </c>
      <c r="D6183" s="30" t="s">
        <v>1985</v>
      </c>
      <c r="F6183" s="30" t="s">
        <v>2009</v>
      </c>
      <c r="H6183" s="30" t="s">
        <v>2010</v>
      </c>
      <c r="J6183" s="30" t="s">
        <v>13202</v>
      </c>
      <c r="L6183" s="30" t="s">
        <v>13203</v>
      </c>
      <c r="N6183" s="30" t="s">
        <v>13293</v>
      </c>
      <c r="P6183" s="30" t="s">
        <v>13297</v>
      </c>
      <c r="Q6183" t="s">
        <v>735</v>
      </c>
      <c r="R6183" t="s">
        <v>917</v>
      </c>
      <c r="S6183">
        <v>39</v>
      </c>
      <c r="T6183" s="29" t="str">
        <f t="shared" si="283"/>
        <v>2023.025D.Saturnivirales_1no_2nf_35ng_120nsp.zip</v>
      </c>
      <c r="U6183" s="29" t="str">
        <f>HYPERLINK("https://ictv.global/taxonomy/taxondetails?taxnode_id=202318929","ictv.global=202318929")</f>
        <v>ictv.global=202318929</v>
      </c>
    </row>
    <row r="6184" spans="1:21">
      <c r="A6184">
        <v>6183</v>
      </c>
      <c r="B6184" s="30" t="s">
        <v>1956</v>
      </c>
      <c r="D6184" s="30" t="s">
        <v>1985</v>
      </c>
      <c r="F6184" s="30" t="s">
        <v>2009</v>
      </c>
      <c r="H6184" s="30" t="s">
        <v>2010</v>
      </c>
      <c r="J6184" s="30" t="s">
        <v>13202</v>
      </c>
      <c r="L6184" s="30" t="s">
        <v>13203</v>
      </c>
      <c r="N6184" s="30" t="s">
        <v>13293</v>
      </c>
      <c r="P6184" s="30" t="s">
        <v>13298</v>
      </c>
      <c r="Q6184" t="s">
        <v>735</v>
      </c>
      <c r="R6184" t="s">
        <v>917</v>
      </c>
      <c r="S6184">
        <v>39</v>
      </c>
      <c r="T6184" s="29" t="str">
        <f t="shared" si="283"/>
        <v>2023.025D.Saturnivirales_1no_2nf_35ng_120nsp.zip</v>
      </c>
      <c r="U6184" s="29" t="str">
        <f>HYPERLINK("https://ictv.global/taxonomy/taxondetails?taxnode_id=202318931","ictv.global=202318931")</f>
        <v>ictv.global=202318931</v>
      </c>
    </row>
    <row r="6185" spans="1:21">
      <c r="A6185">
        <v>6184</v>
      </c>
      <c r="B6185" s="30" t="s">
        <v>1956</v>
      </c>
      <c r="D6185" s="30" t="s">
        <v>1985</v>
      </c>
      <c r="F6185" s="30" t="s">
        <v>2009</v>
      </c>
      <c r="H6185" s="30" t="s">
        <v>2010</v>
      </c>
      <c r="J6185" s="30" t="s">
        <v>13202</v>
      </c>
      <c r="L6185" s="30" t="s">
        <v>13203</v>
      </c>
      <c r="N6185" s="30" t="s">
        <v>13293</v>
      </c>
      <c r="P6185" s="30" t="s">
        <v>13299</v>
      </c>
      <c r="Q6185" t="s">
        <v>735</v>
      </c>
      <c r="R6185" t="s">
        <v>917</v>
      </c>
      <c r="S6185">
        <v>39</v>
      </c>
      <c r="T6185" s="29" t="str">
        <f t="shared" si="283"/>
        <v>2023.025D.Saturnivirales_1no_2nf_35ng_120nsp.zip</v>
      </c>
      <c r="U6185" s="29" t="str">
        <f>HYPERLINK("https://ictv.global/taxonomy/taxondetails?taxnode_id=202318934","ictv.global=202318934")</f>
        <v>ictv.global=202318934</v>
      </c>
    </row>
    <row r="6186" spans="1:21">
      <c r="A6186">
        <v>6185</v>
      </c>
      <c r="B6186" s="30" t="s">
        <v>1956</v>
      </c>
      <c r="D6186" s="30" t="s">
        <v>1985</v>
      </c>
      <c r="F6186" s="30" t="s">
        <v>2009</v>
      </c>
      <c r="H6186" s="30" t="s">
        <v>2010</v>
      </c>
      <c r="J6186" s="30" t="s">
        <v>13202</v>
      </c>
      <c r="L6186" s="30" t="s">
        <v>13203</v>
      </c>
      <c r="N6186" s="30" t="s">
        <v>13293</v>
      </c>
      <c r="P6186" s="30" t="s">
        <v>13300</v>
      </c>
      <c r="Q6186" t="s">
        <v>735</v>
      </c>
      <c r="R6186" t="s">
        <v>917</v>
      </c>
      <c r="S6186">
        <v>39</v>
      </c>
      <c r="T6186" s="29" t="str">
        <f t="shared" si="283"/>
        <v>2023.025D.Saturnivirales_1no_2nf_35ng_120nsp.zip</v>
      </c>
      <c r="U6186" s="29" t="str">
        <f>HYPERLINK("https://ictv.global/taxonomy/taxondetails?taxnode_id=202318928","ictv.global=202318928")</f>
        <v>ictv.global=202318928</v>
      </c>
    </row>
    <row r="6187" spans="1:21">
      <c r="A6187">
        <v>6186</v>
      </c>
      <c r="B6187" s="30" t="s">
        <v>1956</v>
      </c>
      <c r="D6187" s="30" t="s">
        <v>1985</v>
      </c>
      <c r="F6187" s="30" t="s">
        <v>2009</v>
      </c>
      <c r="H6187" s="30" t="s">
        <v>2010</v>
      </c>
      <c r="J6187" s="30" t="s">
        <v>13202</v>
      </c>
      <c r="L6187" s="30" t="s">
        <v>13203</v>
      </c>
      <c r="N6187" s="30" t="s">
        <v>13293</v>
      </c>
      <c r="P6187" s="30" t="s">
        <v>13301</v>
      </c>
      <c r="Q6187" t="s">
        <v>735</v>
      </c>
      <c r="R6187" t="s">
        <v>917</v>
      </c>
      <c r="S6187">
        <v>39</v>
      </c>
      <c r="T6187" s="29" t="str">
        <f t="shared" si="283"/>
        <v>2023.025D.Saturnivirales_1no_2nf_35ng_120nsp.zip</v>
      </c>
      <c r="U6187" s="29" t="str">
        <f>HYPERLINK("https://ictv.global/taxonomy/taxondetails?taxnode_id=202318930","ictv.global=202318930")</f>
        <v>ictv.global=202318930</v>
      </c>
    </row>
    <row r="6188" spans="1:21">
      <c r="A6188">
        <v>6187</v>
      </c>
      <c r="B6188" s="30" t="s">
        <v>1956</v>
      </c>
      <c r="D6188" s="30" t="s">
        <v>1985</v>
      </c>
      <c r="F6188" s="30" t="s">
        <v>2009</v>
      </c>
      <c r="H6188" s="30" t="s">
        <v>2010</v>
      </c>
      <c r="J6188" s="30" t="s">
        <v>13202</v>
      </c>
      <c r="L6188" s="30" t="s">
        <v>13203</v>
      </c>
      <c r="N6188" s="30" t="s">
        <v>13293</v>
      </c>
      <c r="P6188" s="30" t="s">
        <v>13302</v>
      </c>
      <c r="Q6188" t="s">
        <v>735</v>
      </c>
      <c r="R6188" t="s">
        <v>917</v>
      </c>
      <c r="S6188">
        <v>39</v>
      </c>
      <c r="T6188" s="29" t="str">
        <f t="shared" si="283"/>
        <v>2023.025D.Saturnivirales_1no_2nf_35ng_120nsp.zip</v>
      </c>
      <c r="U6188" s="29" t="str">
        <f>HYPERLINK("https://ictv.global/taxonomy/taxondetails?taxnode_id=202318936","ictv.global=202318936")</f>
        <v>ictv.global=202318936</v>
      </c>
    </row>
    <row r="6189" spans="1:21">
      <c r="A6189">
        <v>6188</v>
      </c>
      <c r="B6189" s="30" t="s">
        <v>1956</v>
      </c>
      <c r="D6189" s="30" t="s">
        <v>1985</v>
      </c>
      <c r="F6189" s="30" t="s">
        <v>2009</v>
      </c>
      <c r="H6189" s="30" t="s">
        <v>2010</v>
      </c>
      <c r="J6189" s="30" t="s">
        <v>13202</v>
      </c>
      <c r="L6189" s="30" t="s">
        <v>13203</v>
      </c>
      <c r="N6189" s="30" t="s">
        <v>13293</v>
      </c>
      <c r="P6189" s="30" t="s">
        <v>13303</v>
      </c>
      <c r="Q6189" t="s">
        <v>735</v>
      </c>
      <c r="R6189" t="s">
        <v>917</v>
      </c>
      <c r="S6189">
        <v>39</v>
      </c>
      <c r="T6189" s="29" t="str">
        <f t="shared" si="283"/>
        <v>2023.025D.Saturnivirales_1no_2nf_35ng_120nsp.zip</v>
      </c>
      <c r="U6189" s="29" t="str">
        <f>HYPERLINK("https://ictv.global/taxonomy/taxondetails?taxnode_id=202318939","ictv.global=202318939")</f>
        <v>ictv.global=202318939</v>
      </c>
    </row>
    <row r="6190" spans="1:21">
      <c r="A6190">
        <v>6189</v>
      </c>
      <c r="B6190" s="30" t="s">
        <v>1956</v>
      </c>
      <c r="D6190" s="30" t="s">
        <v>1985</v>
      </c>
      <c r="F6190" s="30" t="s">
        <v>2009</v>
      </c>
      <c r="H6190" s="30" t="s">
        <v>2010</v>
      </c>
      <c r="J6190" s="30" t="s">
        <v>13202</v>
      </c>
      <c r="L6190" s="30" t="s">
        <v>13203</v>
      </c>
      <c r="N6190" s="30" t="s">
        <v>13293</v>
      </c>
      <c r="P6190" s="30" t="s">
        <v>13304</v>
      </c>
      <c r="Q6190" t="s">
        <v>735</v>
      </c>
      <c r="R6190" t="s">
        <v>917</v>
      </c>
      <c r="S6190">
        <v>39</v>
      </c>
      <c r="T6190" s="29" t="str">
        <f t="shared" si="283"/>
        <v>2023.025D.Saturnivirales_1no_2nf_35ng_120nsp.zip</v>
      </c>
      <c r="U6190" s="29" t="str">
        <f>HYPERLINK("https://ictv.global/taxonomy/taxondetails?taxnode_id=202318938","ictv.global=202318938")</f>
        <v>ictv.global=202318938</v>
      </c>
    </row>
    <row r="6191" spans="1:21">
      <c r="A6191">
        <v>6190</v>
      </c>
      <c r="B6191" s="30" t="s">
        <v>1956</v>
      </c>
      <c r="D6191" s="30" t="s">
        <v>1985</v>
      </c>
      <c r="F6191" s="30" t="s">
        <v>2009</v>
      </c>
      <c r="H6191" s="30" t="s">
        <v>2010</v>
      </c>
      <c r="J6191" s="30" t="s">
        <v>13202</v>
      </c>
      <c r="L6191" s="30" t="s">
        <v>13203</v>
      </c>
      <c r="N6191" s="30" t="s">
        <v>13293</v>
      </c>
      <c r="P6191" s="30" t="s">
        <v>13305</v>
      </c>
      <c r="Q6191" t="s">
        <v>735</v>
      </c>
      <c r="R6191" t="s">
        <v>917</v>
      </c>
      <c r="S6191">
        <v>39</v>
      </c>
      <c r="T6191" s="29" t="str">
        <f t="shared" si="283"/>
        <v>2023.025D.Saturnivirales_1no_2nf_35ng_120nsp.zip</v>
      </c>
      <c r="U6191" s="29" t="str">
        <f>HYPERLINK("https://ictv.global/taxonomy/taxondetails?taxnode_id=202318932","ictv.global=202318932")</f>
        <v>ictv.global=202318932</v>
      </c>
    </row>
    <row r="6192" spans="1:21">
      <c r="A6192">
        <v>6191</v>
      </c>
      <c r="B6192" s="30" t="s">
        <v>1956</v>
      </c>
      <c r="D6192" s="30" t="s">
        <v>1985</v>
      </c>
      <c r="F6192" s="30" t="s">
        <v>2009</v>
      </c>
      <c r="H6192" s="30" t="s">
        <v>2010</v>
      </c>
      <c r="J6192" s="30" t="s">
        <v>13202</v>
      </c>
      <c r="L6192" s="30" t="s">
        <v>13203</v>
      </c>
      <c r="N6192" s="30" t="s">
        <v>13293</v>
      </c>
      <c r="P6192" s="30" t="s">
        <v>13306</v>
      </c>
      <c r="Q6192" t="s">
        <v>735</v>
      </c>
      <c r="R6192" t="s">
        <v>917</v>
      </c>
      <c r="S6192">
        <v>39</v>
      </c>
      <c r="T6192" s="29" t="str">
        <f t="shared" si="283"/>
        <v>2023.025D.Saturnivirales_1no_2nf_35ng_120nsp.zip</v>
      </c>
      <c r="U6192" s="29" t="str">
        <f>HYPERLINK("https://ictv.global/taxonomy/taxondetails?taxnode_id=202318935","ictv.global=202318935")</f>
        <v>ictv.global=202318935</v>
      </c>
    </row>
    <row r="6193" spans="1:21">
      <c r="A6193">
        <v>6192</v>
      </c>
      <c r="B6193" s="30" t="s">
        <v>1956</v>
      </c>
      <c r="D6193" s="30" t="s">
        <v>1985</v>
      </c>
      <c r="F6193" s="30" t="s">
        <v>2009</v>
      </c>
      <c r="H6193" s="30" t="s">
        <v>2010</v>
      </c>
      <c r="J6193" s="30" t="s">
        <v>13202</v>
      </c>
      <c r="L6193" s="30" t="s">
        <v>13203</v>
      </c>
      <c r="N6193" s="30" t="s">
        <v>13293</v>
      </c>
      <c r="P6193" s="30" t="s">
        <v>13307</v>
      </c>
      <c r="Q6193" t="s">
        <v>735</v>
      </c>
      <c r="R6193" t="s">
        <v>917</v>
      </c>
      <c r="S6193">
        <v>39</v>
      </c>
      <c r="T6193" s="29" t="str">
        <f t="shared" si="283"/>
        <v>2023.025D.Saturnivirales_1no_2nf_35ng_120nsp.zip</v>
      </c>
      <c r="U6193" s="29" t="str">
        <f>HYPERLINK("https://ictv.global/taxonomy/taxondetails?taxnode_id=202318933","ictv.global=202318933")</f>
        <v>ictv.global=202318933</v>
      </c>
    </row>
    <row r="6194" spans="1:21">
      <c r="A6194">
        <v>6193</v>
      </c>
      <c r="B6194" s="30" t="s">
        <v>1956</v>
      </c>
      <c r="D6194" s="30" t="s">
        <v>1985</v>
      </c>
      <c r="F6194" s="30" t="s">
        <v>2009</v>
      </c>
      <c r="H6194" s="30" t="s">
        <v>2010</v>
      </c>
      <c r="J6194" s="30" t="s">
        <v>13202</v>
      </c>
      <c r="L6194" s="30" t="s">
        <v>13203</v>
      </c>
      <c r="N6194" s="30" t="s">
        <v>13308</v>
      </c>
      <c r="P6194" s="30" t="s">
        <v>13309</v>
      </c>
      <c r="Q6194" t="s">
        <v>735</v>
      </c>
      <c r="R6194" t="s">
        <v>917</v>
      </c>
      <c r="S6194">
        <v>39</v>
      </c>
      <c r="T6194" s="29" t="str">
        <f t="shared" si="283"/>
        <v>2023.025D.Saturnivirales_1no_2nf_35ng_120nsp.zip</v>
      </c>
      <c r="U6194" s="29" t="str">
        <f>HYPERLINK("https://ictv.global/taxonomy/taxondetails?taxnode_id=202318943","ictv.global=202318943")</f>
        <v>ictv.global=202318943</v>
      </c>
    </row>
    <row r="6195" spans="1:21">
      <c r="A6195">
        <v>6194</v>
      </c>
      <c r="B6195" s="30" t="s">
        <v>1956</v>
      </c>
      <c r="D6195" s="30" t="s">
        <v>1985</v>
      </c>
      <c r="F6195" s="30" t="s">
        <v>2009</v>
      </c>
      <c r="H6195" s="30" t="s">
        <v>2010</v>
      </c>
      <c r="J6195" s="30" t="s">
        <v>13202</v>
      </c>
      <c r="L6195" s="30" t="s">
        <v>13203</v>
      </c>
      <c r="N6195" s="30" t="s">
        <v>13308</v>
      </c>
      <c r="P6195" s="30" t="s">
        <v>13310</v>
      </c>
      <c r="Q6195" t="s">
        <v>735</v>
      </c>
      <c r="R6195" t="s">
        <v>917</v>
      </c>
      <c r="S6195">
        <v>39</v>
      </c>
      <c r="T6195" s="29" t="str">
        <f t="shared" si="283"/>
        <v>2023.025D.Saturnivirales_1no_2nf_35ng_120nsp.zip</v>
      </c>
      <c r="U6195" s="29" t="str">
        <f>HYPERLINK("https://ictv.global/taxonomy/taxondetails?taxnode_id=202318942","ictv.global=202318942")</f>
        <v>ictv.global=202318942</v>
      </c>
    </row>
    <row r="6196" spans="1:21">
      <c r="A6196">
        <v>6195</v>
      </c>
      <c r="B6196" s="30" t="s">
        <v>1956</v>
      </c>
      <c r="D6196" s="30" t="s">
        <v>1985</v>
      </c>
      <c r="F6196" s="30" t="s">
        <v>2009</v>
      </c>
      <c r="H6196" s="30" t="s">
        <v>2010</v>
      </c>
      <c r="J6196" s="30" t="s">
        <v>13202</v>
      </c>
      <c r="L6196" s="30" t="s">
        <v>13203</v>
      </c>
      <c r="N6196" s="30" t="s">
        <v>13311</v>
      </c>
      <c r="P6196" s="30" t="s">
        <v>13312</v>
      </c>
      <c r="Q6196" t="s">
        <v>735</v>
      </c>
      <c r="R6196" t="s">
        <v>917</v>
      </c>
      <c r="S6196">
        <v>39</v>
      </c>
      <c r="T6196" s="29" t="str">
        <f t="shared" si="283"/>
        <v>2023.025D.Saturnivirales_1no_2nf_35ng_120nsp.zip</v>
      </c>
      <c r="U6196" s="29" t="str">
        <f>HYPERLINK("https://ictv.global/taxonomy/taxondetails?taxnode_id=202318944","ictv.global=202318944")</f>
        <v>ictv.global=202318944</v>
      </c>
    </row>
    <row r="6197" spans="1:21">
      <c r="A6197">
        <v>6196</v>
      </c>
      <c r="B6197" s="30" t="s">
        <v>1956</v>
      </c>
      <c r="D6197" s="30" t="s">
        <v>1985</v>
      </c>
      <c r="F6197" s="30" t="s">
        <v>2009</v>
      </c>
      <c r="H6197" s="30" t="s">
        <v>2010</v>
      </c>
      <c r="J6197" s="30" t="s">
        <v>13202</v>
      </c>
      <c r="L6197" s="30" t="s">
        <v>13203</v>
      </c>
      <c r="N6197" s="30" t="s">
        <v>13313</v>
      </c>
      <c r="P6197" s="30" t="s">
        <v>13314</v>
      </c>
      <c r="Q6197" t="s">
        <v>735</v>
      </c>
      <c r="R6197" t="s">
        <v>917</v>
      </c>
      <c r="S6197">
        <v>39</v>
      </c>
      <c r="T6197" s="29" t="str">
        <f t="shared" si="283"/>
        <v>2023.025D.Saturnivirales_1no_2nf_35ng_120nsp.zip</v>
      </c>
      <c r="U6197" s="29" t="str">
        <f>HYPERLINK("https://ictv.global/taxonomy/taxondetails?taxnode_id=202318945","ictv.global=202318945")</f>
        <v>ictv.global=202318945</v>
      </c>
    </row>
    <row r="6198" spans="1:21">
      <c r="A6198">
        <v>6197</v>
      </c>
      <c r="B6198" s="30" t="s">
        <v>1956</v>
      </c>
      <c r="D6198" s="30" t="s">
        <v>1985</v>
      </c>
      <c r="F6198" s="30" t="s">
        <v>2009</v>
      </c>
      <c r="H6198" s="30" t="s">
        <v>2010</v>
      </c>
      <c r="J6198" s="30" t="s">
        <v>13202</v>
      </c>
      <c r="L6198" s="30" t="s">
        <v>13203</v>
      </c>
      <c r="N6198" s="30" t="s">
        <v>13315</v>
      </c>
      <c r="P6198" s="30" t="s">
        <v>13316</v>
      </c>
      <c r="Q6198" t="s">
        <v>735</v>
      </c>
      <c r="R6198" t="s">
        <v>917</v>
      </c>
      <c r="S6198">
        <v>39</v>
      </c>
      <c r="T6198" s="29" t="str">
        <f t="shared" si="283"/>
        <v>2023.025D.Saturnivirales_1no_2nf_35ng_120nsp.zip</v>
      </c>
      <c r="U6198" s="29" t="str">
        <f>HYPERLINK("https://ictv.global/taxonomy/taxondetails?taxnode_id=202318946","ictv.global=202318946")</f>
        <v>ictv.global=202318946</v>
      </c>
    </row>
    <row r="6199" spans="1:21">
      <c r="A6199">
        <v>6198</v>
      </c>
      <c r="B6199" s="30" t="s">
        <v>1956</v>
      </c>
      <c r="D6199" s="30" t="s">
        <v>1985</v>
      </c>
      <c r="F6199" s="30" t="s">
        <v>2009</v>
      </c>
      <c r="H6199" s="30" t="s">
        <v>2010</v>
      </c>
      <c r="J6199" s="30" t="s">
        <v>13202</v>
      </c>
      <c r="L6199" s="30" t="s">
        <v>13317</v>
      </c>
      <c r="N6199" s="30" t="s">
        <v>13318</v>
      </c>
      <c r="P6199" s="30" t="s">
        <v>13319</v>
      </c>
      <c r="Q6199" t="s">
        <v>735</v>
      </c>
      <c r="R6199" t="s">
        <v>917</v>
      </c>
      <c r="S6199">
        <v>39</v>
      </c>
      <c r="T6199" s="29" t="str">
        <f t="shared" si="283"/>
        <v>2023.025D.Saturnivirales_1no_2nf_35ng_120nsp.zip</v>
      </c>
      <c r="U6199" s="29" t="str">
        <f>HYPERLINK("https://ictv.global/taxonomy/taxondetails?taxnode_id=202318947","ictv.global=202318947")</f>
        <v>ictv.global=202318947</v>
      </c>
    </row>
    <row r="6200" spans="1:21">
      <c r="A6200">
        <v>6199</v>
      </c>
      <c r="B6200" s="30" t="s">
        <v>1956</v>
      </c>
      <c r="D6200" s="30" t="s">
        <v>1985</v>
      </c>
      <c r="F6200" s="30" t="s">
        <v>2009</v>
      </c>
      <c r="H6200" s="30" t="s">
        <v>2010</v>
      </c>
      <c r="J6200" s="30" t="s">
        <v>13202</v>
      </c>
      <c r="L6200" s="30" t="s">
        <v>13317</v>
      </c>
      <c r="N6200" s="30" t="s">
        <v>13318</v>
      </c>
      <c r="P6200" s="30" t="s">
        <v>13320</v>
      </c>
      <c r="Q6200" t="s">
        <v>735</v>
      </c>
      <c r="R6200" t="s">
        <v>917</v>
      </c>
      <c r="S6200">
        <v>39</v>
      </c>
      <c r="T6200" s="29" t="str">
        <f t="shared" si="283"/>
        <v>2023.025D.Saturnivirales_1no_2nf_35ng_120nsp.zip</v>
      </c>
      <c r="U6200" s="29" t="str">
        <f>HYPERLINK("https://ictv.global/taxonomy/taxondetails?taxnode_id=202318948","ictv.global=202318948")</f>
        <v>ictv.global=202318948</v>
      </c>
    </row>
    <row r="6201" spans="1:21">
      <c r="A6201">
        <v>6200</v>
      </c>
      <c r="B6201" s="30" t="s">
        <v>1956</v>
      </c>
      <c r="D6201" s="30" t="s">
        <v>1985</v>
      </c>
      <c r="F6201" s="30" t="s">
        <v>2009</v>
      </c>
      <c r="H6201" s="30" t="s">
        <v>2010</v>
      </c>
      <c r="J6201" s="30" t="s">
        <v>13202</v>
      </c>
      <c r="L6201" s="30" t="s">
        <v>13317</v>
      </c>
      <c r="N6201" s="30" t="s">
        <v>13318</v>
      </c>
      <c r="P6201" s="30" t="s">
        <v>13321</v>
      </c>
      <c r="Q6201" t="s">
        <v>735</v>
      </c>
      <c r="R6201" t="s">
        <v>917</v>
      </c>
      <c r="S6201">
        <v>39</v>
      </c>
      <c r="T6201" s="29" t="str">
        <f t="shared" si="283"/>
        <v>2023.025D.Saturnivirales_1no_2nf_35ng_120nsp.zip</v>
      </c>
      <c r="U6201" s="29" t="str">
        <f>HYPERLINK("https://ictv.global/taxonomy/taxondetails?taxnode_id=202318949","ictv.global=202318949")</f>
        <v>ictv.global=202318949</v>
      </c>
    </row>
    <row r="6202" spans="1:21">
      <c r="A6202">
        <v>6201</v>
      </c>
      <c r="B6202" s="30" t="s">
        <v>1956</v>
      </c>
      <c r="D6202" s="30" t="s">
        <v>1985</v>
      </c>
      <c r="F6202" s="30" t="s">
        <v>2009</v>
      </c>
      <c r="H6202" s="30" t="s">
        <v>2010</v>
      </c>
      <c r="J6202" s="30" t="s">
        <v>13202</v>
      </c>
      <c r="L6202" s="30" t="s">
        <v>13317</v>
      </c>
      <c r="N6202" s="30" t="s">
        <v>13318</v>
      </c>
      <c r="P6202" s="30" t="s">
        <v>13322</v>
      </c>
      <c r="Q6202" t="s">
        <v>735</v>
      </c>
      <c r="R6202" t="s">
        <v>917</v>
      </c>
      <c r="S6202">
        <v>39</v>
      </c>
      <c r="T6202" s="29" t="str">
        <f t="shared" si="283"/>
        <v>2023.025D.Saturnivirales_1no_2nf_35ng_120nsp.zip</v>
      </c>
      <c r="U6202" s="29" t="str">
        <f>HYPERLINK("https://ictv.global/taxonomy/taxondetails?taxnode_id=202318950","ictv.global=202318950")</f>
        <v>ictv.global=202318950</v>
      </c>
    </row>
    <row r="6203" spans="1:21">
      <c r="A6203">
        <v>6202</v>
      </c>
      <c r="B6203" s="30" t="s">
        <v>1956</v>
      </c>
      <c r="D6203" s="30" t="s">
        <v>1985</v>
      </c>
      <c r="F6203" s="30" t="s">
        <v>2009</v>
      </c>
      <c r="H6203" s="30" t="s">
        <v>2010</v>
      </c>
      <c r="J6203" s="30" t="s">
        <v>13202</v>
      </c>
      <c r="L6203" s="30" t="s">
        <v>13317</v>
      </c>
      <c r="N6203" s="30" t="s">
        <v>13318</v>
      </c>
      <c r="P6203" s="30" t="s">
        <v>13323</v>
      </c>
      <c r="Q6203" t="s">
        <v>735</v>
      </c>
      <c r="R6203" t="s">
        <v>917</v>
      </c>
      <c r="S6203">
        <v>39</v>
      </c>
      <c r="T6203" s="29" t="str">
        <f t="shared" si="283"/>
        <v>2023.025D.Saturnivirales_1no_2nf_35ng_120nsp.zip</v>
      </c>
      <c r="U6203" s="29" t="str">
        <f>HYPERLINK("https://ictv.global/taxonomy/taxondetails?taxnode_id=202318951","ictv.global=202318951")</f>
        <v>ictv.global=202318951</v>
      </c>
    </row>
    <row r="6204" spans="1:21">
      <c r="A6204">
        <v>6203</v>
      </c>
      <c r="B6204" s="30" t="s">
        <v>1956</v>
      </c>
      <c r="D6204" s="30" t="s">
        <v>1985</v>
      </c>
      <c r="F6204" s="30" t="s">
        <v>2009</v>
      </c>
      <c r="H6204" s="30" t="s">
        <v>2010</v>
      </c>
      <c r="J6204" s="30" t="s">
        <v>13202</v>
      </c>
      <c r="L6204" s="30" t="s">
        <v>13317</v>
      </c>
      <c r="N6204" s="30" t="s">
        <v>13318</v>
      </c>
      <c r="P6204" s="30" t="s">
        <v>13324</v>
      </c>
      <c r="Q6204" t="s">
        <v>735</v>
      </c>
      <c r="R6204" t="s">
        <v>917</v>
      </c>
      <c r="S6204">
        <v>39</v>
      </c>
      <c r="T6204" s="29" t="str">
        <f t="shared" si="283"/>
        <v>2023.025D.Saturnivirales_1no_2nf_35ng_120nsp.zip</v>
      </c>
      <c r="U6204" s="29" t="str">
        <f>HYPERLINK("https://ictv.global/taxonomy/taxondetails?taxnode_id=202318952","ictv.global=202318952")</f>
        <v>ictv.global=202318952</v>
      </c>
    </row>
    <row r="6205" spans="1:21">
      <c r="A6205">
        <v>6204</v>
      </c>
      <c r="B6205" s="30" t="s">
        <v>1956</v>
      </c>
      <c r="D6205" s="30" t="s">
        <v>1985</v>
      </c>
      <c r="F6205" s="30" t="s">
        <v>2009</v>
      </c>
      <c r="H6205" s="30" t="s">
        <v>2010</v>
      </c>
      <c r="J6205" s="30" t="s">
        <v>13202</v>
      </c>
      <c r="L6205" s="30" t="s">
        <v>13317</v>
      </c>
      <c r="N6205" s="30" t="s">
        <v>13318</v>
      </c>
      <c r="P6205" s="30" t="s">
        <v>13325</v>
      </c>
      <c r="Q6205" t="s">
        <v>735</v>
      </c>
      <c r="R6205" t="s">
        <v>917</v>
      </c>
      <c r="S6205">
        <v>39</v>
      </c>
      <c r="T6205" s="29" t="str">
        <f t="shared" si="283"/>
        <v>2023.025D.Saturnivirales_1no_2nf_35ng_120nsp.zip</v>
      </c>
      <c r="U6205" s="29" t="str">
        <f>HYPERLINK("https://ictv.global/taxonomy/taxondetails?taxnode_id=202318953","ictv.global=202318953")</f>
        <v>ictv.global=202318953</v>
      </c>
    </row>
    <row r="6206" spans="1:21">
      <c r="A6206">
        <v>6205</v>
      </c>
      <c r="B6206" s="30" t="s">
        <v>1956</v>
      </c>
      <c r="D6206" s="30" t="s">
        <v>1985</v>
      </c>
      <c r="F6206" s="30" t="s">
        <v>2009</v>
      </c>
      <c r="H6206" s="30" t="s">
        <v>2010</v>
      </c>
      <c r="J6206" s="30" t="s">
        <v>13202</v>
      </c>
      <c r="L6206" s="30" t="s">
        <v>13317</v>
      </c>
      <c r="N6206" s="30" t="s">
        <v>13318</v>
      </c>
      <c r="P6206" s="30" t="s">
        <v>13326</v>
      </c>
      <c r="Q6206" t="s">
        <v>735</v>
      </c>
      <c r="R6206" t="s">
        <v>917</v>
      </c>
      <c r="S6206">
        <v>39</v>
      </c>
      <c r="T6206" s="29" t="str">
        <f t="shared" ref="T6206:T6229" si="284">HYPERLINK("https://ictv.global/ictv/proposals/2023.025D.Saturnivirales_1no_2nf_35ng_120nsp.zip","2023.025D.Saturnivirales_1no_2nf_35ng_120nsp.zip")</f>
        <v>2023.025D.Saturnivirales_1no_2nf_35ng_120nsp.zip</v>
      </c>
      <c r="U6206" s="29" t="str">
        <f>HYPERLINK("https://ictv.global/taxonomy/taxondetails?taxnode_id=202318954","ictv.global=202318954")</f>
        <v>ictv.global=202318954</v>
      </c>
    </row>
    <row r="6207" spans="1:21">
      <c r="A6207">
        <v>6206</v>
      </c>
      <c r="B6207" s="30" t="s">
        <v>1956</v>
      </c>
      <c r="D6207" s="30" t="s">
        <v>1985</v>
      </c>
      <c r="F6207" s="30" t="s">
        <v>2009</v>
      </c>
      <c r="H6207" s="30" t="s">
        <v>2010</v>
      </c>
      <c r="J6207" s="30" t="s">
        <v>13202</v>
      </c>
      <c r="L6207" s="30" t="s">
        <v>13317</v>
      </c>
      <c r="N6207" s="30" t="s">
        <v>13327</v>
      </c>
      <c r="P6207" s="30" t="s">
        <v>13328</v>
      </c>
      <c r="Q6207" t="s">
        <v>735</v>
      </c>
      <c r="R6207" t="s">
        <v>917</v>
      </c>
      <c r="S6207">
        <v>39</v>
      </c>
      <c r="T6207" s="29" t="str">
        <f t="shared" si="284"/>
        <v>2023.025D.Saturnivirales_1no_2nf_35ng_120nsp.zip</v>
      </c>
      <c r="U6207" s="29" t="str">
        <f>HYPERLINK("https://ictv.global/taxonomy/taxondetails?taxnode_id=202318955","ictv.global=202318955")</f>
        <v>ictv.global=202318955</v>
      </c>
    </row>
    <row r="6208" spans="1:21">
      <c r="A6208">
        <v>6207</v>
      </c>
      <c r="B6208" s="30" t="s">
        <v>1956</v>
      </c>
      <c r="D6208" s="30" t="s">
        <v>1985</v>
      </c>
      <c r="F6208" s="30" t="s">
        <v>2009</v>
      </c>
      <c r="H6208" s="30" t="s">
        <v>2010</v>
      </c>
      <c r="J6208" s="30" t="s">
        <v>13202</v>
      </c>
      <c r="L6208" s="30" t="s">
        <v>13317</v>
      </c>
      <c r="N6208" s="30" t="s">
        <v>13329</v>
      </c>
      <c r="P6208" s="30" t="s">
        <v>13330</v>
      </c>
      <c r="Q6208" t="s">
        <v>735</v>
      </c>
      <c r="R6208" t="s">
        <v>917</v>
      </c>
      <c r="S6208">
        <v>39</v>
      </c>
      <c r="T6208" s="29" t="str">
        <f t="shared" si="284"/>
        <v>2023.025D.Saturnivirales_1no_2nf_35ng_120nsp.zip</v>
      </c>
      <c r="U6208" s="29" t="str">
        <f>HYPERLINK("https://ictv.global/taxonomy/taxondetails?taxnode_id=202318956","ictv.global=202318956")</f>
        <v>ictv.global=202318956</v>
      </c>
    </row>
    <row r="6209" spans="1:21">
      <c r="A6209">
        <v>6208</v>
      </c>
      <c r="B6209" s="30" t="s">
        <v>1956</v>
      </c>
      <c r="D6209" s="30" t="s">
        <v>1985</v>
      </c>
      <c r="F6209" s="30" t="s">
        <v>2009</v>
      </c>
      <c r="H6209" s="30" t="s">
        <v>2010</v>
      </c>
      <c r="J6209" s="30" t="s">
        <v>13202</v>
      </c>
      <c r="L6209" s="30" t="s">
        <v>13317</v>
      </c>
      <c r="N6209" s="30" t="s">
        <v>13329</v>
      </c>
      <c r="P6209" s="30" t="s">
        <v>13331</v>
      </c>
      <c r="Q6209" t="s">
        <v>735</v>
      </c>
      <c r="R6209" t="s">
        <v>917</v>
      </c>
      <c r="S6209">
        <v>39</v>
      </c>
      <c r="T6209" s="29" t="str">
        <f t="shared" si="284"/>
        <v>2023.025D.Saturnivirales_1no_2nf_35ng_120nsp.zip</v>
      </c>
      <c r="U6209" s="29" t="str">
        <f>HYPERLINK("https://ictv.global/taxonomy/taxondetails?taxnode_id=202318957","ictv.global=202318957")</f>
        <v>ictv.global=202318957</v>
      </c>
    </row>
    <row r="6210" spans="1:21">
      <c r="A6210">
        <v>6209</v>
      </c>
      <c r="B6210" s="30" t="s">
        <v>1956</v>
      </c>
      <c r="D6210" s="30" t="s">
        <v>1985</v>
      </c>
      <c r="F6210" s="30" t="s">
        <v>2009</v>
      </c>
      <c r="H6210" s="30" t="s">
        <v>2010</v>
      </c>
      <c r="J6210" s="30" t="s">
        <v>13202</v>
      </c>
      <c r="L6210" s="30" t="s">
        <v>13317</v>
      </c>
      <c r="N6210" s="30" t="s">
        <v>13329</v>
      </c>
      <c r="P6210" s="30" t="s">
        <v>13332</v>
      </c>
      <c r="Q6210" t="s">
        <v>735</v>
      </c>
      <c r="R6210" t="s">
        <v>917</v>
      </c>
      <c r="S6210">
        <v>39</v>
      </c>
      <c r="T6210" s="29" t="str">
        <f t="shared" si="284"/>
        <v>2023.025D.Saturnivirales_1no_2nf_35ng_120nsp.zip</v>
      </c>
      <c r="U6210" s="29" t="str">
        <f>HYPERLINK("https://ictv.global/taxonomy/taxondetails?taxnode_id=202318958","ictv.global=202318958")</f>
        <v>ictv.global=202318958</v>
      </c>
    </row>
    <row r="6211" spans="1:21">
      <c r="A6211">
        <v>6210</v>
      </c>
      <c r="B6211" s="30" t="s">
        <v>1956</v>
      </c>
      <c r="D6211" s="30" t="s">
        <v>1985</v>
      </c>
      <c r="F6211" s="30" t="s">
        <v>2009</v>
      </c>
      <c r="H6211" s="30" t="s">
        <v>2010</v>
      </c>
      <c r="J6211" s="30" t="s">
        <v>13202</v>
      </c>
      <c r="L6211" s="30" t="s">
        <v>13317</v>
      </c>
      <c r="N6211" s="30" t="s">
        <v>13329</v>
      </c>
      <c r="P6211" s="30" t="s">
        <v>13333</v>
      </c>
      <c r="Q6211" t="s">
        <v>735</v>
      </c>
      <c r="R6211" t="s">
        <v>917</v>
      </c>
      <c r="S6211">
        <v>39</v>
      </c>
      <c r="T6211" s="29" t="str">
        <f t="shared" si="284"/>
        <v>2023.025D.Saturnivirales_1no_2nf_35ng_120nsp.zip</v>
      </c>
      <c r="U6211" s="29" t="str">
        <f>HYPERLINK("https://ictv.global/taxonomy/taxondetails?taxnode_id=202318959","ictv.global=202318959")</f>
        <v>ictv.global=202318959</v>
      </c>
    </row>
    <row r="6212" spans="1:21">
      <c r="A6212">
        <v>6211</v>
      </c>
      <c r="B6212" s="30" t="s">
        <v>1956</v>
      </c>
      <c r="D6212" s="30" t="s">
        <v>1985</v>
      </c>
      <c r="F6212" s="30" t="s">
        <v>2009</v>
      </c>
      <c r="H6212" s="30" t="s">
        <v>2010</v>
      </c>
      <c r="J6212" s="30" t="s">
        <v>13202</v>
      </c>
      <c r="L6212" s="30" t="s">
        <v>13317</v>
      </c>
      <c r="N6212" s="30" t="s">
        <v>13329</v>
      </c>
      <c r="P6212" s="30" t="s">
        <v>13334</v>
      </c>
      <c r="Q6212" t="s">
        <v>735</v>
      </c>
      <c r="R6212" t="s">
        <v>917</v>
      </c>
      <c r="S6212">
        <v>39</v>
      </c>
      <c r="T6212" s="29" t="str">
        <f t="shared" si="284"/>
        <v>2023.025D.Saturnivirales_1no_2nf_35ng_120nsp.zip</v>
      </c>
      <c r="U6212" s="29" t="str">
        <f>HYPERLINK("https://ictv.global/taxonomy/taxondetails?taxnode_id=202318960","ictv.global=202318960")</f>
        <v>ictv.global=202318960</v>
      </c>
    </row>
    <row r="6213" spans="1:21">
      <c r="A6213">
        <v>6212</v>
      </c>
      <c r="B6213" s="30" t="s">
        <v>1956</v>
      </c>
      <c r="D6213" s="30" t="s">
        <v>1985</v>
      </c>
      <c r="F6213" s="30" t="s">
        <v>2009</v>
      </c>
      <c r="H6213" s="30" t="s">
        <v>2010</v>
      </c>
      <c r="J6213" s="30" t="s">
        <v>13202</v>
      </c>
      <c r="L6213" s="30" t="s">
        <v>13317</v>
      </c>
      <c r="N6213" s="30" t="s">
        <v>13329</v>
      </c>
      <c r="P6213" s="30" t="s">
        <v>13335</v>
      </c>
      <c r="Q6213" t="s">
        <v>735</v>
      </c>
      <c r="R6213" t="s">
        <v>917</v>
      </c>
      <c r="S6213">
        <v>39</v>
      </c>
      <c r="T6213" s="29" t="str">
        <f t="shared" si="284"/>
        <v>2023.025D.Saturnivirales_1no_2nf_35ng_120nsp.zip</v>
      </c>
      <c r="U6213" s="29" t="str">
        <f>HYPERLINK("https://ictv.global/taxonomy/taxondetails?taxnode_id=202318961","ictv.global=202318961")</f>
        <v>ictv.global=202318961</v>
      </c>
    </row>
    <row r="6214" spans="1:21">
      <c r="A6214">
        <v>6213</v>
      </c>
      <c r="B6214" s="30" t="s">
        <v>1956</v>
      </c>
      <c r="D6214" s="30" t="s">
        <v>1985</v>
      </c>
      <c r="F6214" s="30" t="s">
        <v>2009</v>
      </c>
      <c r="H6214" s="30" t="s">
        <v>2010</v>
      </c>
      <c r="J6214" s="30" t="s">
        <v>13202</v>
      </c>
      <c r="L6214" s="30" t="s">
        <v>13317</v>
      </c>
      <c r="N6214" s="30" t="s">
        <v>13329</v>
      </c>
      <c r="P6214" s="30" t="s">
        <v>13336</v>
      </c>
      <c r="Q6214" t="s">
        <v>735</v>
      </c>
      <c r="R6214" t="s">
        <v>917</v>
      </c>
      <c r="S6214">
        <v>39</v>
      </c>
      <c r="T6214" s="29" t="str">
        <f t="shared" si="284"/>
        <v>2023.025D.Saturnivirales_1no_2nf_35ng_120nsp.zip</v>
      </c>
      <c r="U6214" s="29" t="str">
        <f>HYPERLINK("https://ictv.global/taxonomy/taxondetails?taxnode_id=202318962","ictv.global=202318962")</f>
        <v>ictv.global=202318962</v>
      </c>
    </row>
    <row r="6215" spans="1:21">
      <c r="A6215">
        <v>6214</v>
      </c>
      <c r="B6215" s="30" t="s">
        <v>1956</v>
      </c>
      <c r="D6215" s="30" t="s">
        <v>1985</v>
      </c>
      <c r="F6215" s="30" t="s">
        <v>2009</v>
      </c>
      <c r="H6215" s="30" t="s">
        <v>2010</v>
      </c>
      <c r="J6215" s="30" t="s">
        <v>13202</v>
      </c>
      <c r="L6215" s="30" t="s">
        <v>13317</v>
      </c>
      <c r="N6215" s="30" t="s">
        <v>13337</v>
      </c>
      <c r="P6215" s="30" t="s">
        <v>13338</v>
      </c>
      <c r="Q6215" t="s">
        <v>735</v>
      </c>
      <c r="R6215" t="s">
        <v>917</v>
      </c>
      <c r="S6215">
        <v>39</v>
      </c>
      <c r="T6215" s="29" t="str">
        <f t="shared" si="284"/>
        <v>2023.025D.Saturnivirales_1no_2nf_35ng_120nsp.zip</v>
      </c>
      <c r="U6215" s="29" t="str">
        <f>HYPERLINK("https://ictv.global/taxonomy/taxondetails?taxnode_id=202318963","ictv.global=202318963")</f>
        <v>ictv.global=202318963</v>
      </c>
    </row>
    <row r="6216" spans="1:21">
      <c r="A6216">
        <v>6215</v>
      </c>
      <c r="B6216" s="30" t="s">
        <v>1956</v>
      </c>
      <c r="D6216" s="30" t="s">
        <v>1985</v>
      </c>
      <c r="F6216" s="30" t="s">
        <v>2009</v>
      </c>
      <c r="H6216" s="30" t="s">
        <v>2010</v>
      </c>
      <c r="J6216" s="30" t="s">
        <v>13202</v>
      </c>
      <c r="L6216" s="30" t="s">
        <v>13317</v>
      </c>
      <c r="N6216" s="30" t="s">
        <v>13337</v>
      </c>
      <c r="P6216" s="30" t="s">
        <v>13339</v>
      </c>
      <c r="Q6216" t="s">
        <v>735</v>
      </c>
      <c r="R6216" t="s">
        <v>917</v>
      </c>
      <c r="S6216">
        <v>39</v>
      </c>
      <c r="T6216" s="29" t="str">
        <f t="shared" si="284"/>
        <v>2023.025D.Saturnivirales_1no_2nf_35ng_120nsp.zip</v>
      </c>
      <c r="U6216" s="29" t="str">
        <f>HYPERLINK("https://ictv.global/taxonomy/taxondetails?taxnode_id=202318964","ictv.global=202318964")</f>
        <v>ictv.global=202318964</v>
      </c>
    </row>
    <row r="6217" spans="1:21">
      <c r="A6217">
        <v>6216</v>
      </c>
      <c r="B6217" s="30" t="s">
        <v>1956</v>
      </c>
      <c r="D6217" s="30" t="s">
        <v>1985</v>
      </c>
      <c r="F6217" s="30" t="s">
        <v>2009</v>
      </c>
      <c r="H6217" s="30" t="s">
        <v>2010</v>
      </c>
      <c r="J6217" s="30" t="s">
        <v>13202</v>
      </c>
      <c r="L6217" s="30" t="s">
        <v>13317</v>
      </c>
      <c r="N6217" s="30" t="s">
        <v>13337</v>
      </c>
      <c r="P6217" s="30" t="s">
        <v>13340</v>
      </c>
      <c r="Q6217" t="s">
        <v>735</v>
      </c>
      <c r="R6217" t="s">
        <v>917</v>
      </c>
      <c r="S6217">
        <v>39</v>
      </c>
      <c r="T6217" s="29" t="str">
        <f t="shared" si="284"/>
        <v>2023.025D.Saturnivirales_1no_2nf_35ng_120nsp.zip</v>
      </c>
      <c r="U6217" s="29" t="str">
        <f>HYPERLINK("https://ictv.global/taxonomy/taxondetails?taxnode_id=202318965","ictv.global=202318965")</f>
        <v>ictv.global=202318965</v>
      </c>
    </row>
    <row r="6218" spans="1:21">
      <c r="A6218">
        <v>6217</v>
      </c>
      <c r="B6218" s="30" t="s">
        <v>1956</v>
      </c>
      <c r="D6218" s="30" t="s">
        <v>1985</v>
      </c>
      <c r="F6218" s="30" t="s">
        <v>2009</v>
      </c>
      <c r="H6218" s="30" t="s">
        <v>2010</v>
      </c>
      <c r="J6218" s="30" t="s">
        <v>13202</v>
      </c>
      <c r="L6218" s="30" t="s">
        <v>13317</v>
      </c>
      <c r="N6218" s="30" t="s">
        <v>13341</v>
      </c>
      <c r="P6218" s="30" t="s">
        <v>13342</v>
      </c>
      <c r="Q6218" t="s">
        <v>735</v>
      </c>
      <c r="R6218" t="s">
        <v>917</v>
      </c>
      <c r="S6218">
        <v>39</v>
      </c>
      <c r="T6218" s="29" t="str">
        <f t="shared" si="284"/>
        <v>2023.025D.Saturnivirales_1no_2nf_35ng_120nsp.zip</v>
      </c>
      <c r="U6218" s="29" t="str">
        <f>HYPERLINK("https://ictv.global/taxonomy/taxondetails?taxnode_id=202318966","ictv.global=202318966")</f>
        <v>ictv.global=202318966</v>
      </c>
    </row>
    <row r="6219" spans="1:21">
      <c r="A6219">
        <v>6218</v>
      </c>
      <c r="B6219" s="30" t="s">
        <v>1956</v>
      </c>
      <c r="D6219" s="30" t="s">
        <v>1985</v>
      </c>
      <c r="F6219" s="30" t="s">
        <v>2009</v>
      </c>
      <c r="H6219" s="30" t="s">
        <v>2010</v>
      </c>
      <c r="J6219" s="30" t="s">
        <v>13202</v>
      </c>
      <c r="L6219" s="30" t="s">
        <v>13317</v>
      </c>
      <c r="N6219" s="30" t="s">
        <v>13343</v>
      </c>
      <c r="P6219" s="30" t="s">
        <v>13344</v>
      </c>
      <c r="Q6219" t="s">
        <v>735</v>
      </c>
      <c r="R6219" t="s">
        <v>917</v>
      </c>
      <c r="S6219">
        <v>39</v>
      </c>
      <c r="T6219" s="29" t="str">
        <f t="shared" si="284"/>
        <v>2023.025D.Saturnivirales_1no_2nf_35ng_120nsp.zip</v>
      </c>
      <c r="U6219" s="29" t="str">
        <f>HYPERLINK("https://ictv.global/taxonomy/taxondetails?taxnode_id=202318967","ictv.global=202318967")</f>
        <v>ictv.global=202318967</v>
      </c>
    </row>
    <row r="6220" spans="1:21">
      <c r="A6220">
        <v>6219</v>
      </c>
      <c r="B6220" s="30" t="s">
        <v>1956</v>
      </c>
      <c r="D6220" s="30" t="s">
        <v>1985</v>
      </c>
      <c r="F6220" s="30" t="s">
        <v>2009</v>
      </c>
      <c r="H6220" s="30" t="s">
        <v>2010</v>
      </c>
      <c r="J6220" s="30" t="s">
        <v>13202</v>
      </c>
      <c r="L6220" s="30" t="s">
        <v>13317</v>
      </c>
      <c r="N6220" s="30" t="s">
        <v>13345</v>
      </c>
      <c r="P6220" s="30" t="s">
        <v>13346</v>
      </c>
      <c r="Q6220" t="s">
        <v>735</v>
      </c>
      <c r="R6220" t="s">
        <v>917</v>
      </c>
      <c r="S6220">
        <v>39</v>
      </c>
      <c r="T6220" s="29" t="str">
        <f t="shared" si="284"/>
        <v>2023.025D.Saturnivirales_1no_2nf_35ng_120nsp.zip</v>
      </c>
      <c r="U6220" s="29" t="str">
        <f>HYPERLINK("https://ictv.global/taxonomy/taxondetails?taxnode_id=202318968","ictv.global=202318968")</f>
        <v>ictv.global=202318968</v>
      </c>
    </row>
    <row r="6221" spans="1:21">
      <c r="A6221">
        <v>6220</v>
      </c>
      <c r="B6221" s="30" t="s">
        <v>1956</v>
      </c>
      <c r="D6221" s="30" t="s">
        <v>1985</v>
      </c>
      <c r="F6221" s="30" t="s">
        <v>2009</v>
      </c>
      <c r="H6221" s="30" t="s">
        <v>2010</v>
      </c>
      <c r="J6221" s="30" t="s">
        <v>13202</v>
      </c>
      <c r="L6221" s="30" t="s">
        <v>13317</v>
      </c>
      <c r="N6221" s="30" t="s">
        <v>13345</v>
      </c>
      <c r="P6221" s="30" t="s">
        <v>13347</v>
      </c>
      <c r="Q6221" t="s">
        <v>735</v>
      </c>
      <c r="R6221" t="s">
        <v>917</v>
      </c>
      <c r="S6221">
        <v>39</v>
      </c>
      <c r="T6221" s="29" t="str">
        <f t="shared" si="284"/>
        <v>2023.025D.Saturnivirales_1no_2nf_35ng_120nsp.zip</v>
      </c>
      <c r="U6221" s="29" t="str">
        <f>HYPERLINK("https://ictv.global/taxonomy/taxondetails?taxnode_id=202318969","ictv.global=202318969")</f>
        <v>ictv.global=202318969</v>
      </c>
    </row>
    <row r="6222" spans="1:21">
      <c r="A6222">
        <v>6221</v>
      </c>
      <c r="B6222" s="30" t="s">
        <v>1956</v>
      </c>
      <c r="D6222" s="30" t="s">
        <v>1985</v>
      </c>
      <c r="F6222" s="30" t="s">
        <v>2009</v>
      </c>
      <c r="H6222" s="30" t="s">
        <v>2010</v>
      </c>
      <c r="J6222" s="30" t="s">
        <v>13202</v>
      </c>
      <c r="L6222" s="30" t="s">
        <v>13317</v>
      </c>
      <c r="N6222" s="30" t="s">
        <v>13348</v>
      </c>
      <c r="P6222" s="30" t="s">
        <v>13349</v>
      </c>
      <c r="Q6222" t="s">
        <v>735</v>
      </c>
      <c r="R6222" t="s">
        <v>917</v>
      </c>
      <c r="S6222">
        <v>39</v>
      </c>
      <c r="T6222" s="29" t="str">
        <f t="shared" si="284"/>
        <v>2023.025D.Saturnivirales_1no_2nf_35ng_120nsp.zip</v>
      </c>
      <c r="U6222" s="29" t="str">
        <f>HYPERLINK("https://ictv.global/taxonomy/taxondetails?taxnode_id=202318970","ictv.global=202318970")</f>
        <v>ictv.global=202318970</v>
      </c>
    </row>
    <row r="6223" spans="1:21">
      <c r="A6223">
        <v>6222</v>
      </c>
      <c r="B6223" s="30" t="s">
        <v>1956</v>
      </c>
      <c r="D6223" s="30" t="s">
        <v>1985</v>
      </c>
      <c r="F6223" s="30" t="s">
        <v>2009</v>
      </c>
      <c r="H6223" s="30" t="s">
        <v>2010</v>
      </c>
      <c r="J6223" s="30" t="s">
        <v>13202</v>
      </c>
      <c r="L6223" s="30" t="s">
        <v>13317</v>
      </c>
      <c r="N6223" s="30" t="s">
        <v>13350</v>
      </c>
      <c r="P6223" s="30" t="s">
        <v>13351</v>
      </c>
      <c r="Q6223" t="s">
        <v>735</v>
      </c>
      <c r="R6223" t="s">
        <v>917</v>
      </c>
      <c r="S6223">
        <v>39</v>
      </c>
      <c r="T6223" s="29" t="str">
        <f t="shared" si="284"/>
        <v>2023.025D.Saturnivirales_1no_2nf_35ng_120nsp.zip</v>
      </c>
      <c r="U6223" s="29" t="str">
        <f>HYPERLINK("https://ictv.global/taxonomy/taxondetails?taxnode_id=202318971","ictv.global=202318971")</f>
        <v>ictv.global=202318971</v>
      </c>
    </row>
    <row r="6224" spans="1:21">
      <c r="A6224">
        <v>6223</v>
      </c>
      <c r="B6224" s="30" t="s">
        <v>1956</v>
      </c>
      <c r="D6224" s="30" t="s">
        <v>1985</v>
      </c>
      <c r="F6224" s="30" t="s">
        <v>2009</v>
      </c>
      <c r="H6224" s="30" t="s">
        <v>2010</v>
      </c>
      <c r="J6224" s="30" t="s">
        <v>13202</v>
      </c>
      <c r="L6224" s="30" t="s">
        <v>13317</v>
      </c>
      <c r="N6224" s="30" t="s">
        <v>13350</v>
      </c>
      <c r="P6224" s="30" t="s">
        <v>13352</v>
      </c>
      <c r="Q6224" t="s">
        <v>735</v>
      </c>
      <c r="R6224" t="s">
        <v>917</v>
      </c>
      <c r="S6224">
        <v>39</v>
      </c>
      <c r="T6224" s="29" t="str">
        <f t="shared" si="284"/>
        <v>2023.025D.Saturnivirales_1no_2nf_35ng_120nsp.zip</v>
      </c>
      <c r="U6224" s="29" t="str">
        <f>HYPERLINK("https://ictv.global/taxonomy/taxondetails?taxnode_id=202318972","ictv.global=202318972")</f>
        <v>ictv.global=202318972</v>
      </c>
    </row>
    <row r="6225" spans="1:21">
      <c r="A6225">
        <v>6224</v>
      </c>
      <c r="B6225" s="30" t="s">
        <v>1956</v>
      </c>
      <c r="D6225" s="30" t="s">
        <v>1985</v>
      </c>
      <c r="F6225" s="30" t="s">
        <v>2009</v>
      </c>
      <c r="H6225" s="30" t="s">
        <v>2010</v>
      </c>
      <c r="J6225" s="30" t="s">
        <v>13202</v>
      </c>
      <c r="L6225" s="30" t="s">
        <v>13317</v>
      </c>
      <c r="N6225" s="30" t="s">
        <v>13350</v>
      </c>
      <c r="P6225" s="30" t="s">
        <v>13353</v>
      </c>
      <c r="Q6225" t="s">
        <v>735</v>
      </c>
      <c r="R6225" t="s">
        <v>917</v>
      </c>
      <c r="S6225">
        <v>39</v>
      </c>
      <c r="T6225" s="29" t="str">
        <f t="shared" si="284"/>
        <v>2023.025D.Saturnivirales_1no_2nf_35ng_120nsp.zip</v>
      </c>
      <c r="U6225" s="29" t="str">
        <f>HYPERLINK("https://ictv.global/taxonomy/taxondetails?taxnode_id=202318973","ictv.global=202318973")</f>
        <v>ictv.global=202318973</v>
      </c>
    </row>
    <row r="6226" spans="1:21">
      <c r="A6226">
        <v>6225</v>
      </c>
      <c r="B6226" s="30" t="s">
        <v>1956</v>
      </c>
      <c r="D6226" s="30" t="s">
        <v>1985</v>
      </c>
      <c r="F6226" s="30" t="s">
        <v>2009</v>
      </c>
      <c r="H6226" s="30" t="s">
        <v>2010</v>
      </c>
      <c r="J6226" s="30" t="s">
        <v>13202</v>
      </c>
      <c r="L6226" s="30" t="s">
        <v>13317</v>
      </c>
      <c r="N6226" s="30" t="s">
        <v>13350</v>
      </c>
      <c r="P6226" s="30" t="s">
        <v>13354</v>
      </c>
      <c r="Q6226" t="s">
        <v>735</v>
      </c>
      <c r="R6226" t="s">
        <v>917</v>
      </c>
      <c r="S6226">
        <v>39</v>
      </c>
      <c r="T6226" s="29" t="str">
        <f t="shared" si="284"/>
        <v>2023.025D.Saturnivirales_1no_2nf_35ng_120nsp.zip</v>
      </c>
      <c r="U6226" s="29" t="str">
        <f>HYPERLINK("https://ictv.global/taxonomy/taxondetails?taxnode_id=202318974","ictv.global=202318974")</f>
        <v>ictv.global=202318974</v>
      </c>
    </row>
    <row r="6227" spans="1:21">
      <c r="A6227">
        <v>6226</v>
      </c>
      <c r="B6227" s="30" t="s">
        <v>1956</v>
      </c>
      <c r="D6227" s="30" t="s">
        <v>1985</v>
      </c>
      <c r="F6227" s="30" t="s">
        <v>2009</v>
      </c>
      <c r="H6227" s="30" t="s">
        <v>2010</v>
      </c>
      <c r="J6227" s="30" t="s">
        <v>13202</v>
      </c>
      <c r="L6227" s="30" t="s">
        <v>13317</v>
      </c>
      <c r="N6227" s="30" t="s">
        <v>13355</v>
      </c>
      <c r="P6227" s="30" t="s">
        <v>13356</v>
      </c>
      <c r="Q6227" t="s">
        <v>735</v>
      </c>
      <c r="R6227" t="s">
        <v>917</v>
      </c>
      <c r="S6227">
        <v>39</v>
      </c>
      <c r="T6227" s="29" t="str">
        <f t="shared" si="284"/>
        <v>2023.025D.Saturnivirales_1no_2nf_35ng_120nsp.zip</v>
      </c>
      <c r="U6227" s="29" t="str">
        <f>HYPERLINK("https://ictv.global/taxonomy/taxondetails?taxnode_id=202318975","ictv.global=202318975")</f>
        <v>ictv.global=202318975</v>
      </c>
    </row>
    <row r="6228" spans="1:21">
      <c r="A6228">
        <v>6227</v>
      </c>
      <c r="B6228" s="30" t="s">
        <v>1956</v>
      </c>
      <c r="D6228" s="30" t="s">
        <v>1985</v>
      </c>
      <c r="F6228" s="30" t="s">
        <v>2009</v>
      </c>
      <c r="H6228" s="30" t="s">
        <v>2010</v>
      </c>
      <c r="J6228" s="30" t="s">
        <v>13202</v>
      </c>
      <c r="L6228" s="30" t="s">
        <v>13317</v>
      </c>
      <c r="N6228" s="30" t="s">
        <v>13355</v>
      </c>
      <c r="P6228" s="30" t="s">
        <v>13357</v>
      </c>
      <c r="Q6228" t="s">
        <v>735</v>
      </c>
      <c r="R6228" t="s">
        <v>917</v>
      </c>
      <c r="S6228">
        <v>39</v>
      </c>
      <c r="T6228" s="29" t="str">
        <f t="shared" si="284"/>
        <v>2023.025D.Saturnivirales_1no_2nf_35ng_120nsp.zip</v>
      </c>
      <c r="U6228" s="29" t="str">
        <f>HYPERLINK("https://ictv.global/taxonomy/taxondetails?taxnode_id=202318976","ictv.global=202318976")</f>
        <v>ictv.global=202318976</v>
      </c>
    </row>
    <row r="6229" spans="1:21">
      <c r="A6229">
        <v>6228</v>
      </c>
      <c r="B6229" s="30" t="s">
        <v>1956</v>
      </c>
      <c r="D6229" s="30" t="s">
        <v>1985</v>
      </c>
      <c r="F6229" s="30" t="s">
        <v>2009</v>
      </c>
      <c r="H6229" s="30" t="s">
        <v>2010</v>
      </c>
      <c r="J6229" s="30" t="s">
        <v>13202</v>
      </c>
      <c r="L6229" s="30" t="s">
        <v>13317</v>
      </c>
      <c r="N6229" s="30" t="s">
        <v>13358</v>
      </c>
      <c r="P6229" s="30" t="s">
        <v>13359</v>
      </c>
      <c r="Q6229" t="s">
        <v>735</v>
      </c>
      <c r="R6229" t="s">
        <v>917</v>
      </c>
      <c r="S6229">
        <v>39</v>
      </c>
      <c r="T6229" s="29" t="str">
        <f t="shared" si="284"/>
        <v>2023.025D.Saturnivirales_1no_2nf_35ng_120nsp.zip</v>
      </c>
      <c r="U6229" s="29" t="str">
        <f>HYPERLINK("https://ictv.global/taxonomy/taxondetails?taxnode_id=202318977","ictv.global=202318977")</f>
        <v>ictv.global=202318977</v>
      </c>
    </row>
    <row r="6230" spans="1:21">
      <c r="A6230">
        <v>6229</v>
      </c>
      <c r="B6230" s="30" t="s">
        <v>1956</v>
      </c>
      <c r="D6230" s="30" t="s">
        <v>1985</v>
      </c>
      <c r="F6230" s="30" t="s">
        <v>2009</v>
      </c>
      <c r="H6230" s="30" t="s">
        <v>2018</v>
      </c>
      <c r="J6230" s="30" t="s">
        <v>2019</v>
      </c>
      <c r="L6230" s="30" t="s">
        <v>499</v>
      </c>
      <c r="N6230" s="30" t="s">
        <v>521</v>
      </c>
      <c r="P6230" s="30" t="s">
        <v>13360</v>
      </c>
      <c r="Q6230" t="s">
        <v>622</v>
      </c>
      <c r="R6230" t="s">
        <v>920</v>
      </c>
      <c r="S6230">
        <v>39</v>
      </c>
      <c r="T6230" s="29" t="str">
        <f t="shared" ref="T6230:T6293" si="285">HYPERLINK("https://ictv.global/ictv/proposals/2023.015P.Geminiviridae_rename_sp.zip","2023.015P.Geminiviridae_rename_sp.zip")</f>
        <v>2023.015P.Geminiviridae_rename_sp.zip</v>
      </c>
      <c r="U6230" s="29" t="str">
        <f>HYPERLINK("https://ictv.global/taxonomy/taxondetails?taxnode_id=202303172","ictv.global=202303172")</f>
        <v>ictv.global=202303172</v>
      </c>
    </row>
    <row r="6231" spans="1:21">
      <c r="A6231">
        <v>6230</v>
      </c>
      <c r="B6231" s="30" t="s">
        <v>1956</v>
      </c>
      <c r="D6231" s="30" t="s">
        <v>1985</v>
      </c>
      <c r="F6231" s="30" t="s">
        <v>2009</v>
      </c>
      <c r="H6231" s="30" t="s">
        <v>2018</v>
      </c>
      <c r="J6231" s="30" t="s">
        <v>2019</v>
      </c>
      <c r="L6231" s="30" t="s">
        <v>499</v>
      </c>
      <c r="N6231" s="30" t="s">
        <v>521</v>
      </c>
      <c r="P6231" s="30" t="s">
        <v>13361</v>
      </c>
      <c r="Q6231" t="s">
        <v>622</v>
      </c>
      <c r="R6231" t="s">
        <v>920</v>
      </c>
      <c r="S6231">
        <v>39</v>
      </c>
      <c r="T6231" s="29" t="str">
        <f t="shared" si="285"/>
        <v>2023.015P.Geminiviridae_rename_sp.zip</v>
      </c>
      <c r="U6231" s="29" t="str">
        <f>HYPERLINK("https://ictv.global/taxonomy/taxondetails?taxnode_id=202306688","ictv.global=202306688")</f>
        <v>ictv.global=202306688</v>
      </c>
    </row>
    <row r="6232" spans="1:21">
      <c r="A6232">
        <v>6231</v>
      </c>
      <c r="B6232" s="30" t="s">
        <v>1956</v>
      </c>
      <c r="D6232" s="30" t="s">
        <v>1985</v>
      </c>
      <c r="F6232" s="30" t="s">
        <v>2009</v>
      </c>
      <c r="H6232" s="30" t="s">
        <v>2018</v>
      </c>
      <c r="J6232" s="30" t="s">
        <v>2019</v>
      </c>
      <c r="L6232" s="30" t="s">
        <v>499</v>
      </c>
      <c r="N6232" s="30" t="s">
        <v>521</v>
      </c>
      <c r="P6232" s="30" t="s">
        <v>13362</v>
      </c>
      <c r="Q6232" t="s">
        <v>622</v>
      </c>
      <c r="R6232" t="s">
        <v>920</v>
      </c>
      <c r="S6232">
        <v>39</v>
      </c>
      <c r="T6232" s="29" t="str">
        <f t="shared" si="285"/>
        <v>2023.015P.Geminiviridae_rename_sp.zip</v>
      </c>
      <c r="U6232" s="29" t="str">
        <f>HYPERLINK("https://ictv.global/taxonomy/taxondetails?taxnode_id=202303173","ictv.global=202303173")</f>
        <v>ictv.global=202303173</v>
      </c>
    </row>
    <row r="6233" spans="1:21">
      <c r="A6233">
        <v>6232</v>
      </c>
      <c r="B6233" s="30" t="s">
        <v>1956</v>
      </c>
      <c r="D6233" s="30" t="s">
        <v>1985</v>
      </c>
      <c r="F6233" s="30" t="s">
        <v>2009</v>
      </c>
      <c r="H6233" s="30" t="s">
        <v>2018</v>
      </c>
      <c r="J6233" s="30" t="s">
        <v>2019</v>
      </c>
      <c r="L6233" s="30" t="s">
        <v>499</v>
      </c>
      <c r="N6233" s="30" t="s">
        <v>500</v>
      </c>
      <c r="P6233" s="30" t="s">
        <v>13363</v>
      </c>
      <c r="Q6233" t="s">
        <v>622</v>
      </c>
      <c r="R6233" t="s">
        <v>920</v>
      </c>
      <c r="S6233">
        <v>39</v>
      </c>
      <c r="T6233" s="29" t="str">
        <f t="shared" si="285"/>
        <v>2023.015P.Geminiviridae_rename_sp.zip</v>
      </c>
      <c r="U6233" s="29" t="str">
        <f>HYPERLINK("https://ictv.global/taxonomy/taxondetails?taxnode_id=202303193","ictv.global=202303193")</f>
        <v>ictv.global=202303193</v>
      </c>
    </row>
    <row r="6234" spans="1:21">
      <c r="A6234">
        <v>6233</v>
      </c>
      <c r="B6234" s="30" t="s">
        <v>1956</v>
      </c>
      <c r="D6234" s="30" t="s">
        <v>1985</v>
      </c>
      <c r="F6234" s="30" t="s">
        <v>2009</v>
      </c>
      <c r="H6234" s="30" t="s">
        <v>2018</v>
      </c>
      <c r="J6234" s="30" t="s">
        <v>2019</v>
      </c>
      <c r="L6234" s="30" t="s">
        <v>499</v>
      </c>
      <c r="N6234" s="30" t="s">
        <v>500</v>
      </c>
      <c r="P6234" s="30" t="s">
        <v>13364</v>
      </c>
      <c r="Q6234" t="s">
        <v>622</v>
      </c>
      <c r="R6234" t="s">
        <v>920</v>
      </c>
      <c r="S6234">
        <v>39</v>
      </c>
      <c r="T6234" s="29" t="str">
        <f t="shared" si="285"/>
        <v>2023.015P.Geminiviridae_rename_sp.zip</v>
      </c>
      <c r="U6234" s="29" t="str">
        <f>HYPERLINK("https://ictv.global/taxonomy/taxondetails?taxnode_id=202306703","ictv.global=202306703")</f>
        <v>ictv.global=202306703</v>
      </c>
    </row>
    <row r="6235" spans="1:21">
      <c r="A6235">
        <v>6234</v>
      </c>
      <c r="B6235" s="30" t="s">
        <v>1956</v>
      </c>
      <c r="D6235" s="30" t="s">
        <v>1985</v>
      </c>
      <c r="F6235" s="30" t="s">
        <v>2009</v>
      </c>
      <c r="H6235" s="30" t="s">
        <v>2018</v>
      </c>
      <c r="J6235" s="30" t="s">
        <v>2019</v>
      </c>
      <c r="L6235" s="30" t="s">
        <v>499</v>
      </c>
      <c r="N6235" s="30" t="s">
        <v>500</v>
      </c>
      <c r="P6235" s="30" t="s">
        <v>13365</v>
      </c>
      <c r="Q6235" t="s">
        <v>622</v>
      </c>
      <c r="R6235" t="s">
        <v>920</v>
      </c>
      <c r="S6235">
        <v>39</v>
      </c>
      <c r="T6235" s="29" t="str">
        <f t="shared" si="285"/>
        <v>2023.015P.Geminiviridae_rename_sp.zip</v>
      </c>
      <c r="U6235" s="29" t="str">
        <f>HYPERLINK("https://ictv.global/taxonomy/taxondetails?taxnode_id=202303195","ictv.global=202303195")</f>
        <v>ictv.global=202303195</v>
      </c>
    </row>
    <row r="6236" spans="1:21">
      <c r="A6236">
        <v>6235</v>
      </c>
      <c r="B6236" s="30" t="s">
        <v>1956</v>
      </c>
      <c r="D6236" s="30" t="s">
        <v>1985</v>
      </c>
      <c r="F6236" s="30" t="s">
        <v>2009</v>
      </c>
      <c r="H6236" s="30" t="s">
        <v>2018</v>
      </c>
      <c r="J6236" s="30" t="s">
        <v>2019</v>
      </c>
      <c r="L6236" s="30" t="s">
        <v>499</v>
      </c>
      <c r="N6236" s="30" t="s">
        <v>500</v>
      </c>
      <c r="P6236" s="30" t="s">
        <v>13366</v>
      </c>
      <c r="Q6236" t="s">
        <v>622</v>
      </c>
      <c r="R6236" t="s">
        <v>920</v>
      </c>
      <c r="S6236">
        <v>39</v>
      </c>
      <c r="T6236" s="29" t="str">
        <f t="shared" si="285"/>
        <v>2023.015P.Geminiviridae_rename_sp.zip</v>
      </c>
      <c r="U6236" s="29" t="str">
        <f>HYPERLINK("https://ictv.global/taxonomy/taxondetails?taxnode_id=202303194","ictv.global=202303194")</f>
        <v>ictv.global=202303194</v>
      </c>
    </row>
    <row r="6237" spans="1:21">
      <c r="A6237">
        <v>6236</v>
      </c>
      <c r="B6237" s="30" t="s">
        <v>1956</v>
      </c>
      <c r="D6237" s="30" t="s">
        <v>1985</v>
      </c>
      <c r="F6237" s="30" t="s">
        <v>2009</v>
      </c>
      <c r="H6237" s="30" t="s">
        <v>2018</v>
      </c>
      <c r="J6237" s="30" t="s">
        <v>2019</v>
      </c>
      <c r="L6237" s="30" t="s">
        <v>499</v>
      </c>
      <c r="N6237" s="30" t="s">
        <v>500</v>
      </c>
      <c r="P6237" s="30" t="s">
        <v>13367</v>
      </c>
      <c r="Q6237" t="s">
        <v>622</v>
      </c>
      <c r="R6237" t="s">
        <v>920</v>
      </c>
      <c r="S6237">
        <v>39</v>
      </c>
      <c r="T6237" s="29" t="str">
        <f t="shared" si="285"/>
        <v>2023.015P.Geminiviridae_rename_sp.zip</v>
      </c>
      <c r="U6237" s="29" t="str">
        <f>HYPERLINK("https://ictv.global/taxonomy/taxondetails?taxnode_id=202303296","ictv.global=202303296")</f>
        <v>ictv.global=202303296</v>
      </c>
    </row>
    <row r="6238" spans="1:21">
      <c r="A6238">
        <v>6237</v>
      </c>
      <c r="B6238" s="30" t="s">
        <v>1956</v>
      </c>
      <c r="D6238" s="30" t="s">
        <v>1985</v>
      </c>
      <c r="F6238" s="30" t="s">
        <v>2009</v>
      </c>
      <c r="H6238" s="30" t="s">
        <v>2018</v>
      </c>
      <c r="J6238" s="30" t="s">
        <v>2019</v>
      </c>
      <c r="L6238" s="30" t="s">
        <v>499</v>
      </c>
      <c r="N6238" s="30" t="s">
        <v>500</v>
      </c>
      <c r="P6238" s="30" t="s">
        <v>13368</v>
      </c>
      <c r="Q6238" t="s">
        <v>622</v>
      </c>
      <c r="R6238" t="s">
        <v>920</v>
      </c>
      <c r="S6238">
        <v>39</v>
      </c>
      <c r="T6238" s="29" t="str">
        <f t="shared" si="285"/>
        <v>2023.015P.Geminiviridae_rename_sp.zip</v>
      </c>
      <c r="U6238" s="29" t="str">
        <f>HYPERLINK("https://ictv.global/taxonomy/taxondetails?taxnode_id=202303297","ictv.global=202303297")</f>
        <v>ictv.global=202303297</v>
      </c>
    </row>
    <row r="6239" spans="1:21">
      <c r="A6239">
        <v>6238</v>
      </c>
      <c r="B6239" s="30" t="s">
        <v>1956</v>
      </c>
      <c r="D6239" s="30" t="s">
        <v>1985</v>
      </c>
      <c r="F6239" s="30" t="s">
        <v>2009</v>
      </c>
      <c r="H6239" s="30" t="s">
        <v>2018</v>
      </c>
      <c r="J6239" s="30" t="s">
        <v>2019</v>
      </c>
      <c r="L6239" s="30" t="s">
        <v>499</v>
      </c>
      <c r="N6239" s="30" t="s">
        <v>500</v>
      </c>
      <c r="P6239" s="30" t="s">
        <v>13369</v>
      </c>
      <c r="Q6239" t="s">
        <v>622</v>
      </c>
      <c r="R6239" t="s">
        <v>920</v>
      </c>
      <c r="S6239">
        <v>39</v>
      </c>
      <c r="T6239" s="29" t="str">
        <f t="shared" si="285"/>
        <v>2023.015P.Geminiviridae_rename_sp.zip</v>
      </c>
      <c r="U6239" s="29" t="str">
        <f>HYPERLINK("https://ictv.global/taxonomy/taxondetails?taxnode_id=202303299","ictv.global=202303299")</f>
        <v>ictv.global=202303299</v>
      </c>
    </row>
    <row r="6240" spans="1:21">
      <c r="A6240">
        <v>6239</v>
      </c>
      <c r="B6240" s="30" t="s">
        <v>1956</v>
      </c>
      <c r="D6240" s="30" t="s">
        <v>1985</v>
      </c>
      <c r="F6240" s="30" t="s">
        <v>2009</v>
      </c>
      <c r="H6240" s="30" t="s">
        <v>2018</v>
      </c>
      <c r="J6240" s="30" t="s">
        <v>2019</v>
      </c>
      <c r="L6240" s="30" t="s">
        <v>499</v>
      </c>
      <c r="N6240" s="30" t="s">
        <v>500</v>
      </c>
      <c r="P6240" s="30" t="s">
        <v>13370</v>
      </c>
      <c r="Q6240" t="s">
        <v>622</v>
      </c>
      <c r="R6240" t="s">
        <v>920</v>
      </c>
      <c r="S6240">
        <v>39</v>
      </c>
      <c r="T6240" s="29" t="str">
        <f t="shared" si="285"/>
        <v>2023.015P.Geminiviridae_rename_sp.zip</v>
      </c>
      <c r="U6240" s="29" t="str">
        <f>HYPERLINK("https://ictv.global/taxonomy/taxondetails?taxnode_id=202305815","ictv.global=202305815")</f>
        <v>ictv.global=202305815</v>
      </c>
    </row>
    <row r="6241" spans="1:21">
      <c r="A6241">
        <v>6240</v>
      </c>
      <c r="B6241" s="30" t="s">
        <v>1956</v>
      </c>
      <c r="D6241" s="30" t="s">
        <v>1985</v>
      </c>
      <c r="F6241" s="30" t="s">
        <v>2009</v>
      </c>
      <c r="H6241" s="30" t="s">
        <v>2018</v>
      </c>
      <c r="J6241" s="30" t="s">
        <v>2019</v>
      </c>
      <c r="L6241" s="30" t="s">
        <v>499</v>
      </c>
      <c r="N6241" s="30" t="s">
        <v>500</v>
      </c>
      <c r="P6241" s="30" t="s">
        <v>13371</v>
      </c>
      <c r="Q6241" t="s">
        <v>622</v>
      </c>
      <c r="R6241" t="s">
        <v>920</v>
      </c>
      <c r="S6241">
        <v>39</v>
      </c>
      <c r="T6241" s="29" t="str">
        <f t="shared" si="285"/>
        <v>2023.015P.Geminiviridae_rename_sp.zip</v>
      </c>
      <c r="U6241" s="29" t="str">
        <f>HYPERLINK("https://ictv.global/taxonomy/taxondetails?taxnode_id=202303298","ictv.global=202303298")</f>
        <v>ictv.global=202303298</v>
      </c>
    </row>
    <row r="6242" spans="1:21">
      <c r="A6242">
        <v>6241</v>
      </c>
      <c r="B6242" s="30" t="s">
        <v>1956</v>
      </c>
      <c r="D6242" s="30" t="s">
        <v>1985</v>
      </c>
      <c r="F6242" s="30" t="s">
        <v>2009</v>
      </c>
      <c r="H6242" s="30" t="s">
        <v>2018</v>
      </c>
      <c r="J6242" s="30" t="s">
        <v>2019</v>
      </c>
      <c r="L6242" s="30" t="s">
        <v>499</v>
      </c>
      <c r="N6242" s="30" t="s">
        <v>500</v>
      </c>
      <c r="P6242" s="30" t="s">
        <v>13372</v>
      </c>
      <c r="Q6242" t="s">
        <v>622</v>
      </c>
      <c r="R6242" t="s">
        <v>920</v>
      </c>
      <c r="S6242">
        <v>39</v>
      </c>
      <c r="T6242" s="29" t="str">
        <f t="shared" si="285"/>
        <v>2023.015P.Geminiviridae_rename_sp.zip</v>
      </c>
      <c r="U6242" s="29" t="str">
        <f>HYPERLINK("https://ictv.global/taxonomy/taxondetails?taxnode_id=202303177","ictv.global=202303177")</f>
        <v>ictv.global=202303177</v>
      </c>
    </row>
    <row r="6243" spans="1:21">
      <c r="A6243">
        <v>6242</v>
      </c>
      <c r="B6243" s="30" t="s">
        <v>1956</v>
      </c>
      <c r="D6243" s="30" t="s">
        <v>1985</v>
      </c>
      <c r="F6243" s="30" t="s">
        <v>2009</v>
      </c>
      <c r="H6243" s="30" t="s">
        <v>2018</v>
      </c>
      <c r="J6243" s="30" t="s">
        <v>2019</v>
      </c>
      <c r="L6243" s="30" t="s">
        <v>499</v>
      </c>
      <c r="N6243" s="30" t="s">
        <v>500</v>
      </c>
      <c r="P6243" s="30" t="s">
        <v>13373</v>
      </c>
      <c r="Q6243" t="s">
        <v>622</v>
      </c>
      <c r="R6243" t="s">
        <v>920</v>
      </c>
      <c r="S6243">
        <v>39</v>
      </c>
      <c r="T6243" s="29" t="str">
        <f t="shared" si="285"/>
        <v>2023.015P.Geminiviridae_rename_sp.zip</v>
      </c>
      <c r="U6243" s="29" t="str">
        <f>HYPERLINK("https://ictv.global/taxonomy/taxondetails?taxnode_id=202303175","ictv.global=202303175")</f>
        <v>ictv.global=202303175</v>
      </c>
    </row>
    <row r="6244" spans="1:21">
      <c r="A6244">
        <v>6243</v>
      </c>
      <c r="B6244" s="30" t="s">
        <v>1956</v>
      </c>
      <c r="D6244" s="30" t="s">
        <v>1985</v>
      </c>
      <c r="F6244" s="30" t="s">
        <v>2009</v>
      </c>
      <c r="H6244" s="30" t="s">
        <v>2018</v>
      </c>
      <c r="J6244" s="30" t="s">
        <v>2019</v>
      </c>
      <c r="L6244" s="30" t="s">
        <v>499</v>
      </c>
      <c r="N6244" s="30" t="s">
        <v>500</v>
      </c>
      <c r="P6244" s="30" t="s">
        <v>13374</v>
      </c>
      <c r="Q6244" t="s">
        <v>622</v>
      </c>
      <c r="R6244" t="s">
        <v>920</v>
      </c>
      <c r="S6244">
        <v>39</v>
      </c>
      <c r="T6244" s="29" t="str">
        <f t="shared" si="285"/>
        <v>2023.015P.Geminiviridae_rename_sp.zip</v>
      </c>
      <c r="U6244" s="29" t="str">
        <f>HYPERLINK("https://ictv.global/taxonomy/taxondetails?taxnode_id=202303182","ictv.global=202303182")</f>
        <v>ictv.global=202303182</v>
      </c>
    </row>
    <row r="6245" spans="1:21">
      <c r="A6245">
        <v>6244</v>
      </c>
      <c r="B6245" s="30" t="s">
        <v>1956</v>
      </c>
      <c r="D6245" s="30" t="s">
        <v>1985</v>
      </c>
      <c r="F6245" s="30" t="s">
        <v>2009</v>
      </c>
      <c r="H6245" s="30" t="s">
        <v>2018</v>
      </c>
      <c r="J6245" s="30" t="s">
        <v>2019</v>
      </c>
      <c r="L6245" s="30" t="s">
        <v>499</v>
      </c>
      <c r="N6245" s="30" t="s">
        <v>500</v>
      </c>
      <c r="P6245" s="30" t="s">
        <v>13375</v>
      </c>
      <c r="Q6245" t="s">
        <v>622</v>
      </c>
      <c r="R6245" t="s">
        <v>920</v>
      </c>
      <c r="S6245">
        <v>39</v>
      </c>
      <c r="T6245" s="29" t="str">
        <f t="shared" si="285"/>
        <v>2023.015P.Geminiviridae_rename_sp.zip</v>
      </c>
      <c r="U6245" s="29" t="str">
        <f>HYPERLINK("https://ictv.global/taxonomy/taxondetails?taxnode_id=202303181","ictv.global=202303181")</f>
        <v>ictv.global=202303181</v>
      </c>
    </row>
    <row r="6246" spans="1:21">
      <c r="A6246">
        <v>6245</v>
      </c>
      <c r="B6246" s="30" t="s">
        <v>1956</v>
      </c>
      <c r="D6246" s="30" t="s">
        <v>1985</v>
      </c>
      <c r="F6246" s="30" t="s">
        <v>2009</v>
      </c>
      <c r="H6246" s="30" t="s">
        <v>2018</v>
      </c>
      <c r="J6246" s="30" t="s">
        <v>2019</v>
      </c>
      <c r="L6246" s="30" t="s">
        <v>499</v>
      </c>
      <c r="N6246" s="30" t="s">
        <v>500</v>
      </c>
      <c r="P6246" s="30" t="s">
        <v>13376</v>
      </c>
      <c r="Q6246" t="s">
        <v>739</v>
      </c>
      <c r="R6246" t="s">
        <v>920</v>
      </c>
      <c r="S6246">
        <v>39</v>
      </c>
      <c r="T6246" s="29" t="str">
        <f t="shared" si="285"/>
        <v>2023.015P.Geminiviridae_rename_sp.zip</v>
      </c>
      <c r="U6246" s="29" t="str">
        <f>HYPERLINK("https://ictv.global/taxonomy/taxondetails?taxnode_id=202307518","ictv.global=202307518")</f>
        <v>ictv.global=202307518</v>
      </c>
    </row>
    <row r="6247" spans="1:21">
      <c r="A6247">
        <v>6246</v>
      </c>
      <c r="B6247" s="30" t="s">
        <v>1956</v>
      </c>
      <c r="D6247" s="30" t="s">
        <v>1985</v>
      </c>
      <c r="F6247" s="30" t="s">
        <v>2009</v>
      </c>
      <c r="H6247" s="30" t="s">
        <v>2018</v>
      </c>
      <c r="J6247" s="30" t="s">
        <v>2019</v>
      </c>
      <c r="L6247" s="30" t="s">
        <v>499</v>
      </c>
      <c r="N6247" s="30" t="s">
        <v>500</v>
      </c>
      <c r="P6247" s="30" t="s">
        <v>13377</v>
      </c>
      <c r="Q6247" t="s">
        <v>622</v>
      </c>
      <c r="R6247" t="s">
        <v>920</v>
      </c>
      <c r="S6247">
        <v>39</v>
      </c>
      <c r="T6247" s="29" t="str">
        <f t="shared" si="285"/>
        <v>2023.015P.Geminiviridae_rename_sp.zip</v>
      </c>
      <c r="U6247" s="29" t="str">
        <f>HYPERLINK("https://ictv.global/taxonomy/taxondetails?taxnode_id=202303183","ictv.global=202303183")</f>
        <v>ictv.global=202303183</v>
      </c>
    </row>
    <row r="6248" spans="1:21">
      <c r="A6248">
        <v>6247</v>
      </c>
      <c r="B6248" s="30" t="s">
        <v>1956</v>
      </c>
      <c r="D6248" s="30" t="s">
        <v>1985</v>
      </c>
      <c r="F6248" s="30" t="s">
        <v>2009</v>
      </c>
      <c r="H6248" s="30" t="s">
        <v>2018</v>
      </c>
      <c r="J6248" s="30" t="s">
        <v>2019</v>
      </c>
      <c r="L6248" s="30" t="s">
        <v>499</v>
      </c>
      <c r="N6248" s="30" t="s">
        <v>500</v>
      </c>
      <c r="P6248" s="30" t="s">
        <v>13378</v>
      </c>
      <c r="Q6248" t="s">
        <v>622</v>
      </c>
      <c r="R6248" t="s">
        <v>920</v>
      </c>
      <c r="S6248">
        <v>39</v>
      </c>
      <c r="T6248" s="29" t="str">
        <f t="shared" si="285"/>
        <v>2023.015P.Geminiviridae_rename_sp.zip</v>
      </c>
      <c r="U6248" s="29" t="str">
        <f>HYPERLINK("https://ictv.global/taxonomy/taxondetails?taxnode_id=202303180","ictv.global=202303180")</f>
        <v>ictv.global=202303180</v>
      </c>
    </row>
    <row r="6249" spans="1:21">
      <c r="A6249">
        <v>6248</v>
      </c>
      <c r="B6249" s="30" t="s">
        <v>1956</v>
      </c>
      <c r="D6249" s="30" t="s">
        <v>1985</v>
      </c>
      <c r="F6249" s="30" t="s">
        <v>2009</v>
      </c>
      <c r="H6249" s="30" t="s">
        <v>2018</v>
      </c>
      <c r="J6249" s="30" t="s">
        <v>2019</v>
      </c>
      <c r="L6249" s="30" t="s">
        <v>499</v>
      </c>
      <c r="N6249" s="30" t="s">
        <v>500</v>
      </c>
      <c r="P6249" s="30" t="s">
        <v>13379</v>
      </c>
      <c r="Q6249" t="s">
        <v>622</v>
      </c>
      <c r="R6249" t="s">
        <v>920</v>
      </c>
      <c r="S6249">
        <v>39</v>
      </c>
      <c r="T6249" s="29" t="str">
        <f t="shared" si="285"/>
        <v>2023.015P.Geminiviridae_rename_sp.zip</v>
      </c>
      <c r="U6249" s="29" t="str">
        <f>HYPERLINK("https://ictv.global/taxonomy/taxondetails?taxnode_id=202303184","ictv.global=202303184")</f>
        <v>ictv.global=202303184</v>
      </c>
    </row>
    <row r="6250" spans="1:21">
      <c r="A6250">
        <v>6249</v>
      </c>
      <c r="B6250" s="30" t="s">
        <v>1956</v>
      </c>
      <c r="D6250" s="30" t="s">
        <v>1985</v>
      </c>
      <c r="F6250" s="30" t="s">
        <v>2009</v>
      </c>
      <c r="H6250" s="30" t="s">
        <v>2018</v>
      </c>
      <c r="J6250" s="30" t="s">
        <v>2019</v>
      </c>
      <c r="L6250" s="30" t="s">
        <v>499</v>
      </c>
      <c r="N6250" s="30" t="s">
        <v>500</v>
      </c>
      <c r="P6250" s="30" t="s">
        <v>13380</v>
      </c>
      <c r="Q6250" t="s">
        <v>622</v>
      </c>
      <c r="R6250" t="s">
        <v>920</v>
      </c>
      <c r="S6250">
        <v>39</v>
      </c>
      <c r="T6250" s="29" t="str">
        <f t="shared" si="285"/>
        <v>2023.015P.Geminiviridae_rename_sp.zip</v>
      </c>
      <c r="U6250" s="29" t="str">
        <f>HYPERLINK("https://ictv.global/taxonomy/taxondetails?taxnode_id=202303256","ictv.global=202303256")</f>
        <v>ictv.global=202303256</v>
      </c>
    </row>
    <row r="6251" spans="1:21">
      <c r="A6251">
        <v>6250</v>
      </c>
      <c r="B6251" s="30" t="s">
        <v>1956</v>
      </c>
      <c r="D6251" s="30" t="s">
        <v>1985</v>
      </c>
      <c r="F6251" s="30" t="s">
        <v>2009</v>
      </c>
      <c r="H6251" s="30" t="s">
        <v>2018</v>
      </c>
      <c r="J6251" s="30" t="s">
        <v>2019</v>
      </c>
      <c r="L6251" s="30" t="s">
        <v>499</v>
      </c>
      <c r="N6251" s="30" t="s">
        <v>500</v>
      </c>
      <c r="P6251" s="30" t="s">
        <v>13381</v>
      </c>
      <c r="Q6251" t="s">
        <v>622</v>
      </c>
      <c r="R6251" t="s">
        <v>920</v>
      </c>
      <c r="S6251">
        <v>39</v>
      </c>
      <c r="T6251" s="29" t="str">
        <f t="shared" si="285"/>
        <v>2023.015P.Geminiviridae_rename_sp.zip</v>
      </c>
      <c r="U6251" s="29" t="str">
        <f>HYPERLINK("https://ictv.global/taxonomy/taxondetails?taxnode_id=202305802","ictv.global=202305802")</f>
        <v>ictv.global=202305802</v>
      </c>
    </row>
    <row r="6252" spans="1:21">
      <c r="A6252">
        <v>6251</v>
      </c>
      <c r="B6252" s="30" t="s">
        <v>1956</v>
      </c>
      <c r="D6252" s="30" t="s">
        <v>1985</v>
      </c>
      <c r="F6252" s="30" t="s">
        <v>2009</v>
      </c>
      <c r="H6252" s="30" t="s">
        <v>2018</v>
      </c>
      <c r="J6252" s="30" t="s">
        <v>2019</v>
      </c>
      <c r="L6252" s="30" t="s">
        <v>499</v>
      </c>
      <c r="N6252" s="30" t="s">
        <v>500</v>
      </c>
      <c r="P6252" s="30" t="s">
        <v>13382</v>
      </c>
      <c r="Q6252" t="s">
        <v>739</v>
      </c>
      <c r="R6252" t="s">
        <v>920</v>
      </c>
      <c r="S6252">
        <v>39</v>
      </c>
      <c r="T6252" s="29" t="str">
        <f t="shared" si="285"/>
        <v>2023.015P.Geminiviridae_rename_sp.zip</v>
      </c>
      <c r="U6252" s="29" t="str">
        <f>HYPERLINK("https://ictv.global/taxonomy/taxondetails?taxnode_id=202307524","ictv.global=202307524")</f>
        <v>ictv.global=202307524</v>
      </c>
    </row>
    <row r="6253" spans="1:21">
      <c r="A6253">
        <v>6252</v>
      </c>
      <c r="B6253" s="30" t="s">
        <v>1956</v>
      </c>
      <c r="D6253" s="30" t="s">
        <v>1985</v>
      </c>
      <c r="F6253" s="30" t="s">
        <v>2009</v>
      </c>
      <c r="H6253" s="30" t="s">
        <v>2018</v>
      </c>
      <c r="J6253" s="30" t="s">
        <v>2019</v>
      </c>
      <c r="L6253" s="30" t="s">
        <v>499</v>
      </c>
      <c r="N6253" s="30" t="s">
        <v>500</v>
      </c>
      <c r="P6253" s="30" t="s">
        <v>13383</v>
      </c>
      <c r="Q6253" t="s">
        <v>622</v>
      </c>
      <c r="R6253" t="s">
        <v>920</v>
      </c>
      <c r="S6253">
        <v>39</v>
      </c>
      <c r="T6253" s="29" t="str">
        <f t="shared" si="285"/>
        <v>2023.015P.Geminiviridae_rename_sp.zip</v>
      </c>
      <c r="U6253" s="29" t="str">
        <f>HYPERLINK("https://ictv.global/taxonomy/taxondetails?taxnode_id=202303185","ictv.global=202303185")</f>
        <v>ictv.global=202303185</v>
      </c>
    </row>
    <row r="6254" spans="1:21">
      <c r="A6254">
        <v>6253</v>
      </c>
      <c r="B6254" s="30" t="s">
        <v>1956</v>
      </c>
      <c r="D6254" s="30" t="s">
        <v>1985</v>
      </c>
      <c r="F6254" s="30" t="s">
        <v>2009</v>
      </c>
      <c r="H6254" s="30" t="s">
        <v>2018</v>
      </c>
      <c r="J6254" s="30" t="s">
        <v>2019</v>
      </c>
      <c r="L6254" s="30" t="s">
        <v>499</v>
      </c>
      <c r="N6254" s="30" t="s">
        <v>500</v>
      </c>
      <c r="P6254" s="30" t="s">
        <v>13384</v>
      </c>
      <c r="Q6254" t="s">
        <v>622</v>
      </c>
      <c r="R6254" t="s">
        <v>920</v>
      </c>
      <c r="S6254">
        <v>39</v>
      </c>
      <c r="T6254" s="29" t="str">
        <f t="shared" si="285"/>
        <v>2023.015P.Geminiviridae_rename_sp.zip</v>
      </c>
      <c r="U6254" s="29" t="str">
        <f>HYPERLINK("https://ictv.global/taxonomy/taxondetails?taxnode_id=202303186","ictv.global=202303186")</f>
        <v>ictv.global=202303186</v>
      </c>
    </row>
    <row r="6255" spans="1:21">
      <c r="A6255">
        <v>6254</v>
      </c>
      <c r="B6255" s="30" t="s">
        <v>1956</v>
      </c>
      <c r="D6255" s="30" t="s">
        <v>1985</v>
      </c>
      <c r="F6255" s="30" t="s">
        <v>2009</v>
      </c>
      <c r="H6255" s="30" t="s">
        <v>2018</v>
      </c>
      <c r="J6255" s="30" t="s">
        <v>2019</v>
      </c>
      <c r="L6255" s="30" t="s">
        <v>499</v>
      </c>
      <c r="N6255" s="30" t="s">
        <v>500</v>
      </c>
      <c r="P6255" s="30" t="s">
        <v>13385</v>
      </c>
      <c r="Q6255" t="s">
        <v>622</v>
      </c>
      <c r="R6255" t="s">
        <v>920</v>
      </c>
      <c r="S6255">
        <v>39</v>
      </c>
      <c r="T6255" s="29" t="str">
        <f t="shared" si="285"/>
        <v>2023.015P.Geminiviridae_rename_sp.zip</v>
      </c>
      <c r="U6255" s="29" t="str">
        <f>HYPERLINK("https://ictv.global/taxonomy/taxondetails?taxnode_id=202305788","ictv.global=202305788")</f>
        <v>ictv.global=202305788</v>
      </c>
    </row>
    <row r="6256" spans="1:21">
      <c r="A6256">
        <v>6255</v>
      </c>
      <c r="B6256" s="30" t="s">
        <v>1956</v>
      </c>
      <c r="D6256" s="30" t="s">
        <v>1985</v>
      </c>
      <c r="F6256" s="30" t="s">
        <v>2009</v>
      </c>
      <c r="H6256" s="30" t="s">
        <v>2018</v>
      </c>
      <c r="J6256" s="30" t="s">
        <v>2019</v>
      </c>
      <c r="L6256" s="30" t="s">
        <v>499</v>
      </c>
      <c r="N6256" s="30" t="s">
        <v>500</v>
      </c>
      <c r="P6256" s="30" t="s">
        <v>13386</v>
      </c>
      <c r="Q6256" t="s">
        <v>622</v>
      </c>
      <c r="R6256" t="s">
        <v>920</v>
      </c>
      <c r="S6256">
        <v>39</v>
      </c>
      <c r="T6256" s="29" t="str">
        <f t="shared" si="285"/>
        <v>2023.015P.Geminiviridae_rename_sp.zip</v>
      </c>
      <c r="U6256" s="29" t="str">
        <f>HYPERLINK("https://ictv.global/taxonomy/taxondetails?taxnode_id=202305789","ictv.global=202305789")</f>
        <v>ictv.global=202305789</v>
      </c>
    </row>
    <row r="6257" spans="1:21">
      <c r="A6257">
        <v>6256</v>
      </c>
      <c r="B6257" s="30" t="s">
        <v>1956</v>
      </c>
      <c r="D6257" s="30" t="s">
        <v>1985</v>
      </c>
      <c r="F6257" s="30" t="s">
        <v>2009</v>
      </c>
      <c r="H6257" s="30" t="s">
        <v>2018</v>
      </c>
      <c r="J6257" s="30" t="s">
        <v>2019</v>
      </c>
      <c r="L6257" s="30" t="s">
        <v>499</v>
      </c>
      <c r="N6257" s="30" t="s">
        <v>500</v>
      </c>
      <c r="P6257" s="30" t="s">
        <v>13387</v>
      </c>
      <c r="Q6257" t="s">
        <v>622</v>
      </c>
      <c r="R6257" t="s">
        <v>920</v>
      </c>
      <c r="S6257">
        <v>39</v>
      </c>
      <c r="T6257" s="29" t="str">
        <f t="shared" si="285"/>
        <v>2023.015P.Geminiviridae_rename_sp.zip</v>
      </c>
      <c r="U6257" s="29" t="str">
        <f>HYPERLINK("https://ictv.global/taxonomy/taxondetails?taxnode_id=202303494","ictv.global=202303494")</f>
        <v>ictv.global=202303494</v>
      </c>
    </row>
    <row r="6258" spans="1:21">
      <c r="A6258">
        <v>6257</v>
      </c>
      <c r="B6258" s="30" t="s">
        <v>1956</v>
      </c>
      <c r="D6258" s="30" t="s">
        <v>1985</v>
      </c>
      <c r="F6258" s="30" t="s">
        <v>2009</v>
      </c>
      <c r="H6258" s="30" t="s">
        <v>2018</v>
      </c>
      <c r="J6258" s="30" t="s">
        <v>2019</v>
      </c>
      <c r="L6258" s="30" t="s">
        <v>499</v>
      </c>
      <c r="N6258" s="30" t="s">
        <v>500</v>
      </c>
      <c r="P6258" s="30" t="s">
        <v>13388</v>
      </c>
      <c r="Q6258" t="s">
        <v>622</v>
      </c>
      <c r="R6258" t="s">
        <v>920</v>
      </c>
      <c r="S6258">
        <v>39</v>
      </c>
      <c r="T6258" s="29" t="str">
        <f t="shared" si="285"/>
        <v>2023.015P.Geminiviridae_rename_sp.zip</v>
      </c>
      <c r="U6258" s="29" t="str">
        <f>HYPERLINK("https://ictv.global/taxonomy/taxondetails?taxnode_id=202303495","ictv.global=202303495")</f>
        <v>ictv.global=202303495</v>
      </c>
    </row>
    <row r="6259" spans="1:21">
      <c r="A6259">
        <v>6258</v>
      </c>
      <c r="B6259" s="30" t="s">
        <v>1956</v>
      </c>
      <c r="D6259" s="30" t="s">
        <v>1985</v>
      </c>
      <c r="F6259" s="30" t="s">
        <v>2009</v>
      </c>
      <c r="H6259" s="30" t="s">
        <v>2018</v>
      </c>
      <c r="J6259" s="30" t="s">
        <v>2019</v>
      </c>
      <c r="L6259" s="30" t="s">
        <v>499</v>
      </c>
      <c r="N6259" s="30" t="s">
        <v>500</v>
      </c>
      <c r="P6259" s="30" t="s">
        <v>13389</v>
      </c>
      <c r="Q6259" t="s">
        <v>622</v>
      </c>
      <c r="R6259" t="s">
        <v>920</v>
      </c>
      <c r="S6259">
        <v>39</v>
      </c>
      <c r="T6259" s="29" t="str">
        <f t="shared" si="285"/>
        <v>2023.015P.Geminiviridae_rename_sp.zip</v>
      </c>
      <c r="U6259" s="29" t="str">
        <f>HYPERLINK("https://ictv.global/taxonomy/taxondetails?taxnode_id=202306718","ictv.global=202306718")</f>
        <v>ictv.global=202306718</v>
      </c>
    </row>
    <row r="6260" spans="1:21">
      <c r="A6260">
        <v>6259</v>
      </c>
      <c r="B6260" s="30" t="s">
        <v>1956</v>
      </c>
      <c r="D6260" s="30" t="s">
        <v>1985</v>
      </c>
      <c r="F6260" s="30" t="s">
        <v>2009</v>
      </c>
      <c r="H6260" s="30" t="s">
        <v>2018</v>
      </c>
      <c r="J6260" s="30" t="s">
        <v>2019</v>
      </c>
      <c r="L6260" s="30" t="s">
        <v>499</v>
      </c>
      <c r="N6260" s="30" t="s">
        <v>500</v>
      </c>
      <c r="P6260" s="30" t="s">
        <v>13390</v>
      </c>
      <c r="Q6260" t="s">
        <v>622</v>
      </c>
      <c r="R6260" t="s">
        <v>920</v>
      </c>
      <c r="S6260">
        <v>39</v>
      </c>
      <c r="T6260" s="29" t="str">
        <f t="shared" si="285"/>
        <v>2023.015P.Geminiviridae_rename_sp.zip</v>
      </c>
      <c r="U6260" s="29" t="str">
        <f>HYPERLINK("https://ictv.global/taxonomy/taxondetails?taxnode_id=202303178","ictv.global=202303178")</f>
        <v>ictv.global=202303178</v>
      </c>
    </row>
    <row r="6261" spans="1:21">
      <c r="A6261">
        <v>6260</v>
      </c>
      <c r="B6261" s="30" t="s">
        <v>1956</v>
      </c>
      <c r="D6261" s="30" t="s">
        <v>1985</v>
      </c>
      <c r="F6261" s="30" t="s">
        <v>2009</v>
      </c>
      <c r="H6261" s="30" t="s">
        <v>2018</v>
      </c>
      <c r="J6261" s="30" t="s">
        <v>2019</v>
      </c>
      <c r="L6261" s="30" t="s">
        <v>499</v>
      </c>
      <c r="N6261" s="30" t="s">
        <v>500</v>
      </c>
      <c r="P6261" s="30" t="s">
        <v>13391</v>
      </c>
      <c r="Q6261" t="s">
        <v>622</v>
      </c>
      <c r="R6261" t="s">
        <v>920</v>
      </c>
      <c r="S6261">
        <v>39</v>
      </c>
      <c r="T6261" s="29" t="str">
        <f t="shared" si="285"/>
        <v>2023.015P.Geminiviridae_rename_sp.zip</v>
      </c>
      <c r="U6261" s="29" t="str">
        <f>HYPERLINK("https://ictv.global/taxonomy/taxondetails?taxnode_id=202305846","ictv.global=202305846")</f>
        <v>ictv.global=202305846</v>
      </c>
    </row>
    <row r="6262" spans="1:21">
      <c r="A6262">
        <v>6261</v>
      </c>
      <c r="B6262" s="30" t="s">
        <v>1956</v>
      </c>
      <c r="D6262" s="30" t="s">
        <v>1985</v>
      </c>
      <c r="F6262" s="30" t="s">
        <v>2009</v>
      </c>
      <c r="H6262" s="30" t="s">
        <v>2018</v>
      </c>
      <c r="J6262" s="30" t="s">
        <v>2019</v>
      </c>
      <c r="L6262" s="30" t="s">
        <v>499</v>
      </c>
      <c r="N6262" s="30" t="s">
        <v>500</v>
      </c>
      <c r="P6262" s="30" t="s">
        <v>13392</v>
      </c>
      <c r="Q6262" t="s">
        <v>622</v>
      </c>
      <c r="R6262" t="s">
        <v>920</v>
      </c>
      <c r="S6262">
        <v>39</v>
      </c>
      <c r="T6262" s="29" t="str">
        <f t="shared" si="285"/>
        <v>2023.015P.Geminiviridae_rename_sp.zip</v>
      </c>
      <c r="U6262" s="29" t="str">
        <f>HYPERLINK("https://ictv.global/taxonomy/taxondetails?taxnode_id=202305849","ictv.global=202305849")</f>
        <v>ictv.global=202305849</v>
      </c>
    </row>
    <row r="6263" spans="1:21">
      <c r="A6263">
        <v>6262</v>
      </c>
      <c r="B6263" s="30" t="s">
        <v>1956</v>
      </c>
      <c r="D6263" s="30" t="s">
        <v>1985</v>
      </c>
      <c r="F6263" s="30" t="s">
        <v>2009</v>
      </c>
      <c r="H6263" s="30" t="s">
        <v>2018</v>
      </c>
      <c r="J6263" s="30" t="s">
        <v>2019</v>
      </c>
      <c r="L6263" s="30" t="s">
        <v>499</v>
      </c>
      <c r="N6263" s="30" t="s">
        <v>500</v>
      </c>
      <c r="P6263" s="30" t="s">
        <v>13393</v>
      </c>
      <c r="Q6263" t="s">
        <v>622</v>
      </c>
      <c r="R6263" t="s">
        <v>920</v>
      </c>
      <c r="S6263">
        <v>39</v>
      </c>
      <c r="T6263" s="29" t="str">
        <f t="shared" si="285"/>
        <v>2023.015P.Geminiviridae_rename_sp.zip</v>
      </c>
      <c r="U6263" s="29" t="str">
        <f>HYPERLINK("https://ictv.global/taxonomy/taxondetails?taxnode_id=202305847","ictv.global=202305847")</f>
        <v>ictv.global=202305847</v>
      </c>
    </row>
    <row r="6264" spans="1:21">
      <c r="A6264">
        <v>6263</v>
      </c>
      <c r="B6264" s="30" t="s">
        <v>1956</v>
      </c>
      <c r="D6264" s="30" t="s">
        <v>1985</v>
      </c>
      <c r="F6264" s="30" t="s">
        <v>2009</v>
      </c>
      <c r="H6264" s="30" t="s">
        <v>2018</v>
      </c>
      <c r="J6264" s="30" t="s">
        <v>2019</v>
      </c>
      <c r="L6264" s="30" t="s">
        <v>499</v>
      </c>
      <c r="N6264" s="30" t="s">
        <v>500</v>
      </c>
      <c r="P6264" s="30" t="s">
        <v>13394</v>
      </c>
      <c r="Q6264" t="s">
        <v>622</v>
      </c>
      <c r="R6264" t="s">
        <v>920</v>
      </c>
      <c r="S6264">
        <v>39</v>
      </c>
      <c r="T6264" s="29" t="str">
        <f t="shared" si="285"/>
        <v>2023.015P.Geminiviridae_rename_sp.zip</v>
      </c>
      <c r="U6264" s="29" t="str">
        <f>HYPERLINK("https://ictv.global/taxonomy/taxondetails?taxnode_id=202305851","ictv.global=202305851")</f>
        <v>ictv.global=202305851</v>
      </c>
    </row>
    <row r="6265" spans="1:21">
      <c r="A6265">
        <v>6264</v>
      </c>
      <c r="B6265" s="30" t="s">
        <v>1956</v>
      </c>
      <c r="D6265" s="30" t="s">
        <v>1985</v>
      </c>
      <c r="F6265" s="30" t="s">
        <v>2009</v>
      </c>
      <c r="H6265" s="30" t="s">
        <v>2018</v>
      </c>
      <c r="J6265" s="30" t="s">
        <v>2019</v>
      </c>
      <c r="L6265" s="30" t="s">
        <v>499</v>
      </c>
      <c r="N6265" s="30" t="s">
        <v>500</v>
      </c>
      <c r="P6265" s="30" t="s">
        <v>13395</v>
      </c>
      <c r="Q6265" t="s">
        <v>622</v>
      </c>
      <c r="R6265" t="s">
        <v>920</v>
      </c>
      <c r="S6265">
        <v>39</v>
      </c>
      <c r="T6265" s="29" t="str">
        <f t="shared" si="285"/>
        <v>2023.015P.Geminiviridae_rename_sp.zip</v>
      </c>
      <c r="U6265" s="29" t="str">
        <f>HYPERLINK("https://ictv.global/taxonomy/taxondetails?taxnode_id=202305850","ictv.global=202305850")</f>
        <v>ictv.global=202305850</v>
      </c>
    </row>
    <row r="6266" spans="1:21">
      <c r="A6266">
        <v>6265</v>
      </c>
      <c r="B6266" s="30" t="s">
        <v>1956</v>
      </c>
      <c r="D6266" s="30" t="s">
        <v>1985</v>
      </c>
      <c r="F6266" s="30" t="s">
        <v>2009</v>
      </c>
      <c r="H6266" s="30" t="s">
        <v>2018</v>
      </c>
      <c r="J6266" s="30" t="s">
        <v>2019</v>
      </c>
      <c r="L6266" s="30" t="s">
        <v>499</v>
      </c>
      <c r="N6266" s="30" t="s">
        <v>500</v>
      </c>
      <c r="P6266" s="30" t="s">
        <v>13396</v>
      </c>
      <c r="Q6266" t="s">
        <v>622</v>
      </c>
      <c r="R6266" t="s">
        <v>920</v>
      </c>
      <c r="S6266">
        <v>39</v>
      </c>
      <c r="T6266" s="29" t="str">
        <f t="shared" si="285"/>
        <v>2023.015P.Geminiviridae_rename_sp.zip</v>
      </c>
      <c r="U6266" s="29" t="str">
        <f>HYPERLINK("https://ictv.global/taxonomy/taxondetails?taxnode_id=202305848","ictv.global=202305848")</f>
        <v>ictv.global=202305848</v>
      </c>
    </row>
    <row r="6267" spans="1:21">
      <c r="A6267">
        <v>6266</v>
      </c>
      <c r="B6267" s="30" t="s">
        <v>1956</v>
      </c>
      <c r="D6267" s="30" t="s">
        <v>1985</v>
      </c>
      <c r="F6267" s="30" t="s">
        <v>2009</v>
      </c>
      <c r="H6267" s="30" t="s">
        <v>2018</v>
      </c>
      <c r="J6267" s="30" t="s">
        <v>2019</v>
      </c>
      <c r="L6267" s="30" t="s">
        <v>499</v>
      </c>
      <c r="N6267" s="30" t="s">
        <v>500</v>
      </c>
      <c r="P6267" s="30" t="s">
        <v>13397</v>
      </c>
      <c r="Q6267" t="s">
        <v>622</v>
      </c>
      <c r="R6267" t="s">
        <v>920</v>
      </c>
      <c r="S6267">
        <v>39</v>
      </c>
      <c r="T6267" s="29" t="str">
        <f t="shared" si="285"/>
        <v>2023.015P.Geminiviridae_rename_sp.zip</v>
      </c>
      <c r="U6267" s="29" t="str">
        <f>HYPERLINK("https://ictv.global/taxonomy/taxondetails?taxnode_id=202303191","ictv.global=202303191")</f>
        <v>ictv.global=202303191</v>
      </c>
    </row>
    <row r="6268" spans="1:21">
      <c r="A6268">
        <v>6267</v>
      </c>
      <c r="B6268" s="30" t="s">
        <v>1956</v>
      </c>
      <c r="D6268" s="30" t="s">
        <v>1985</v>
      </c>
      <c r="F6268" s="30" t="s">
        <v>2009</v>
      </c>
      <c r="H6268" s="30" t="s">
        <v>2018</v>
      </c>
      <c r="J6268" s="30" t="s">
        <v>2019</v>
      </c>
      <c r="L6268" s="30" t="s">
        <v>499</v>
      </c>
      <c r="N6268" s="30" t="s">
        <v>500</v>
      </c>
      <c r="P6268" s="30" t="s">
        <v>13398</v>
      </c>
      <c r="Q6268" t="s">
        <v>622</v>
      </c>
      <c r="R6268" t="s">
        <v>920</v>
      </c>
      <c r="S6268">
        <v>39</v>
      </c>
      <c r="T6268" s="29" t="str">
        <f t="shared" si="285"/>
        <v>2023.015P.Geminiviridae_rename_sp.zip</v>
      </c>
      <c r="U6268" s="29" t="str">
        <f>HYPERLINK("https://ictv.global/taxonomy/taxondetails?taxnode_id=202303196","ictv.global=202303196")</f>
        <v>ictv.global=202303196</v>
      </c>
    </row>
    <row r="6269" spans="1:21">
      <c r="A6269">
        <v>6268</v>
      </c>
      <c r="B6269" s="30" t="s">
        <v>1956</v>
      </c>
      <c r="D6269" s="30" t="s">
        <v>1985</v>
      </c>
      <c r="F6269" s="30" t="s">
        <v>2009</v>
      </c>
      <c r="H6269" s="30" t="s">
        <v>2018</v>
      </c>
      <c r="J6269" s="30" t="s">
        <v>2019</v>
      </c>
      <c r="L6269" s="30" t="s">
        <v>499</v>
      </c>
      <c r="N6269" s="30" t="s">
        <v>500</v>
      </c>
      <c r="P6269" s="30" t="s">
        <v>13399</v>
      </c>
      <c r="Q6269" t="s">
        <v>622</v>
      </c>
      <c r="R6269" t="s">
        <v>920</v>
      </c>
      <c r="S6269">
        <v>39</v>
      </c>
      <c r="T6269" s="29" t="str">
        <f t="shared" si="285"/>
        <v>2023.015P.Geminiviridae_rename_sp.zip</v>
      </c>
      <c r="U6269" s="29" t="str">
        <f>HYPERLINK("https://ictv.global/taxonomy/taxondetails?taxnode_id=202303197","ictv.global=202303197")</f>
        <v>ictv.global=202303197</v>
      </c>
    </row>
    <row r="6270" spans="1:21">
      <c r="A6270">
        <v>6269</v>
      </c>
      <c r="B6270" s="30" t="s">
        <v>1956</v>
      </c>
      <c r="D6270" s="30" t="s">
        <v>1985</v>
      </c>
      <c r="F6270" s="30" t="s">
        <v>2009</v>
      </c>
      <c r="H6270" s="30" t="s">
        <v>2018</v>
      </c>
      <c r="J6270" s="30" t="s">
        <v>2019</v>
      </c>
      <c r="L6270" s="30" t="s">
        <v>499</v>
      </c>
      <c r="N6270" s="30" t="s">
        <v>500</v>
      </c>
      <c r="P6270" s="30" t="s">
        <v>13400</v>
      </c>
      <c r="Q6270" t="s">
        <v>622</v>
      </c>
      <c r="R6270" t="s">
        <v>920</v>
      </c>
      <c r="S6270">
        <v>39</v>
      </c>
      <c r="T6270" s="29" t="str">
        <f t="shared" si="285"/>
        <v>2023.015P.Geminiviridae_rename_sp.zip</v>
      </c>
      <c r="U6270" s="29" t="str">
        <f>HYPERLINK("https://ictv.global/taxonomy/taxondetails?taxnode_id=202306695","ictv.global=202306695")</f>
        <v>ictv.global=202306695</v>
      </c>
    </row>
    <row r="6271" spans="1:21">
      <c r="A6271">
        <v>6270</v>
      </c>
      <c r="B6271" s="30" t="s">
        <v>1956</v>
      </c>
      <c r="D6271" s="30" t="s">
        <v>1985</v>
      </c>
      <c r="F6271" s="30" t="s">
        <v>2009</v>
      </c>
      <c r="H6271" s="30" t="s">
        <v>2018</v>
      </c>
      <c r="J6271" s="30" t="s">
        <v>2019</v>
      </c>
      <c r="L6271" s="30" t="s">
        <v>499</v>
      </c>
      <c r="N6271" s="30" t="s">
        <v>500</v>
      </c>
      <c r="P6271" s="30" t="s">
        <v>13401</v>
      </c>
      <c r="Q6271" t="s">
        <v>622</v>
      </c>
      <c r="R6271" t="s">
        <v>920</v>
      </c>
      <c r="S6271">
        <v>39</v>
      </c>
      <c r="T6271" s="29" t="str">
        <f t="shared" si="285"/>
        <v>2023.015P.Geminiviridae_rename_sp.zip</v>
      </c>
      <c r="U6271" s="29" t="str">
        <f>HYPERLINK("https://ictv.global/taxonomy/taxondetails?taxnode_id=202303198","ictv.global=202303198")</f>
        <v>ictv.global=202303198</v>
      </c>
    </row>
    <row r="6272" spans="1:21">
      <c r="A6272">
        <v>6271</v>
      </c>
      <c r="B6272" s="30" t="s">
        <v>1956</v>
      </c>
      <c r="D6272" s="30" t="s">
        <v>1985</v>
      </c>
      <c r="F6272" s="30" t="s">
        <v>2009</v>
      </c>
      <c r="H6272" s="30" t="s">
        <v>2018</v>
      </c>
      <c r="J6272" s="30" t="s">
        <v>2019</v>
      </c>
      <c r="L6272" s="30" t="s">
        <v>499</v>
      </c>
      <c r="N6272" s="30" t="s">
        <v>500</v>
      </c>
      <c r="P6272" s="30" t="s">
        <v>13402</v>
      </c>
      <c r="Q6272" t="s">
        <v>622</v>
      </c>
      <c r="R6272" t="s">
        <v>920</v>
      </c>
      <c r="S6272">
        <v>39</v>
      </c>
      <c r="T6272" s="29" t="str">
        <f t="shared" si="285"/>
        <v>2023.015P.Geminiviridae_rename_sp.zip</v>
      </c>
      <c r="U6272" s="29" t="str">
        <f>HYPERLINK("https://ictv.global/taxonomy/taxondetails?taxnode_id=202303200","ictv.global=202303200")</f>
        <v>ictv.global=202303200</v>
      </c>
    </row>
    <row r="6273" spans="1:21">
      <c r="A6273">
        <v>6272</v>
      </c>
      <c r="B6273" s="30" t="s">
        <v>1956</v>
      </c>
      <c r="D6273" s="30" t="s">
        <v>1985</v>
      </c>
      <c r="F6273" s="30" t="s">
        <v>2009</v>
      </c>
      <c r="H6273" s="30" t="s">
        <v>2018</v>
      </c>
      <c r="J6273" s="30" t="s">
        <v>2019</v>
      </c>
      <c r="L6273" s="30" t="s">
        <v>499</v>
      </c>
      <c r="N6273" s="30" t="s">
        <v>500</v>
      </c>
      <c r="P6273" s="30" t="s">
        <v>13403</v>
      </c>
      <c r="Q6273" t="s">
        <v>622</v>
      </c>
      <c r="R6273" t="s">
        <v>920</v>
      </c>
      <c r="S6273">
        <v>39</v>
      </c>
      <c r="T6273" s="29" t="str">
        <f t="shared" si="285"/>
        <v>2023.015P.Geminiviridae_rename_sp.zip</v>
      </c>
      <c r="U6273" s="29" t="str">
        <f>HYPERLINK("https://ictv.global/taxonomy/taxondetails?taxnode_id=202303199","ictv.global=202303199")</f>
        <v>ictv.global=202303199</v>
      </c>
    </row>
    <row r="6274" spans="1:21">
      <c r="A6274">
        <v>6273</v>
      </c>
      <c r="B6274" s="30" t="s">
        <v>1956</v>
      </c>
      <c r="D6274" s="30" t="s">
        <v>1985</v>
      </c>
      <c r="F6274" s="30" t="s">
        <v>2009</v>
      </c>
      <c r="H6274" s="30" t="s">
        <v>2018</v>
      </c>
      <c r="J6274" s="30" t="s">
        <v>2019</v>
      </c>
      <c r="L6274" s="30" t="s">
        <v>499</v>
      </c>
      <c r="N6274" s="30" t="s">
        <v>500</v>
      </c>
      <c r="P6274" s="30" t="s">
        <v>13404</v>
      </c>
      <c r="Q6274" t="s">
        <v>622</v>
      </c>
      <c r="R6274" t="s">
        <v>920</v>
      </c>
      <c r="S6274">
        <v>39</v>
      </c>
      <c r="T6274" s="29" t="str">
        <f t="shared" si="285"/>
        <v>2023.015P.Geminiviridae_rename_sp.zip</v>
      </c>
      <c r="U6274" s="29" t="str">
        <f>HYPERLINK("https://ictv.global/taxonomy/taxondetails?taxnode_id=202303201","ictv.global=202303201")</f>
        <v>ictv.global=202303201</v>
      </c>
    </row>
    <row r="6275" spans="1:21">
      <c r="A6275">
        <v>6274</v>
      </c>
      <c r="B6275" s="30" t="s">
        <v>1956</v>
      </c>
      <c r="D6275" s="30" t="s">
        <v>1985</v>
      </c>
      <c r="F6275" s="30" t="s">
        <v>2009</v>
      </c>
      <c r="H6275" s="30" t="s">
        <v>2018</v>
      </c>
      <c r="J6275" s="30" t="s">
        <v>2019</v>
      </c>
      <c r="L6275" s="30" t="s">
        <v>499</v>
      </c>
      <c r="N6275" s="30" t="s">
        <v>500</v>
      </c>
      <c r="P6275" s="30" t="s">
        <v>13405</v>
      </c>
      <c r="Q6275" t="s">
        <v>622</v>
      </c>
      <c r="R6275" t="s">
        <v>920</v>
      </c>
      <c r="S6275">
        <v>39</v>
      </c>
      <c r="T6275" s="29" t="str">
        <f t="shared" si="285"/>
        <v>2023.015P.Geminiviridae_rename_sp.zip</v>
      </c>
      <c r="U6275" s="29" t="str">
        <f>HYPERLINK("https://ictv.global/taxonomy/taxondetails?taxnode_id=202306696","ictv.global=202306696")</f>
        <v>ictv.global=202306696</v>
      </c>
    </row>
    <row r="6276" spans="1:21">
      <c r="A6276">
        <v>6275</v>
      </c>
      <c r="B6276" s="30" t="s">
        <v>1956</v>
      </c>
      <c r="D6276" s="30" t="s">
        <v>1985</v>
      </c>
      <c r="F6276" s="30" t="s">
        <v>2009</v>
      </c>
      <c r="H6276" s="30" t="s">
        <v>2018</v>
      </c>
      <c r="J6276" s="30" t="s">
        <v>2019</v>
      </c>
      <c r="L6276" s="30" t="s">
        <v>499</v>
      </c>
      <c r="N6276" s="30" t="s">
        <v>500</v>
      </c>
      <c r="P6276" s="30" t="s">
        <v>13406</v>
      </c>
      <c r="Q6276" t="s">
        <v>622</v>
      </c>
      <c r="R6276" t="s">
        <v>920</v>
      </c>
      <c r="S6276">
        <v>39</v>
      </c>
      <c r="T6276" s="29" t="str">
        <f t="shared" si="285"/>
        <v>2023.015P.Geminiviridae_rename_sp.zip</v>
      </c>
      <c r="U6276" s="29" t="str">
        <f>HYPERLINK("https://ictv.global/taxonomy/taxondetails?taxnode_id=202306697","ictv.global=202306697")</f>
        <v>ictv.global=202306697</v>
      </c>
    </row>
    <row r="6277" spans="1:21">
      <c r="A6277">
        <v>6276</v>
      </c>
      <c r="B6277" s="30" t="s">
        <v>1956</v>
      </c>
      <c r="D6277" s="30" t="s">
        <v>1985</v>
      </c>
      <c r="F6277" s="30" t="s">
        <v>2009</v>
      </c>
      <c r="H6277" s="30" t="s">
        <v>2018</v>
      </c>
      <c r="J6277" s="30" t="s">
        <v>2019</v>
      </c>
      <c r="L6277" s="30" t="s">
        <v>499</v>
      </c>
      <c r="N6277" s="30" t="s">
        <v>500</v>
      </c>
      <c r="P6277" s="30" t="s">
        <v>13407</v>
      </c>
      <c r="Q6277" t="s">
        <v>622</v>
      </c>
      <c r="R6277" t="s">
        <v>920</v>
      </c>
      <c r="S6277">
        <v>39</v>
      </c>
      <c r="T6277" s="29" t="str">
        <f t="shared" si="285"/>
        <v>2023.015P.Geminiviridae_rename_sp.zip</v>
      </c>
      <c r="U6277" s="29" t="str">
        <f>HYPERLINK("https://ictv.global/taxonomy/taxondetails?taxnode_id=202303310","ictv.global=202303310")</f>
        <v>ictv.global=202303310</v>
      </c>
    </row>
    <row r="6278" spans="1:21">
      <c r="A6278">
        <v>6277</v>
      </c>
      <c r="B6278" s="30" t="s">
        <v>1956</v>
      </c>
      <c r="D6278" s="30" t="s">
        <v>1985</v>
      </c>
      <c r="F6278" s="30" t="s">
        <v>2009</v>
      </c>
      <c r="H6278" s="30" t="s">
        <v>2018</v>
      </c>
      <c r="J6278" s="30" t="s">
        <v>2019</v>
      </c>
      <c r="L6278" s="30" t="s">
        <v>499</v>
      </c>
      <c r="N6278" s="30" t="s">
        <v>500</v>
      </c>
      <c r="P6278" s="30" t="s">
        <v>13408</v>
      </c>
      <c r="Q6278" t="s">
        <v>739</v>
      </c>
      <c r="R6278" t="s">
        <v>920</v>
      </c>
      <c r="S6278">
        <v>39</v>
      </c>
      <c r="T6278" s="29" t="str">
        <f t="shared" si="285"/>
        <v>2023.015P.Geminiviridae_rename_sp.zip</v>
      </c>
      <c r="U6278" s="29" t="str">
        <f>HYPERLINK("https://ictv.global/taxonomy/taxondetails?taxnode_id=202307528","ictv.global=202307528")</f>
        <v>ictv.global=202307528</v>
      </c>
    </row>
    <row r="6279" spans="1:21">
      <c r="A6279">
        <v>6278</v>
      </c>
      <c r="B6279" s="30" t="s">
        <v>1956</v>
      </c>
      <c r="D6279" s="30" t="s">
        <v>1985</v>
      </c>
      <c r="F6279" s="30" t="s">
        <v>2009</v>
      </c>
      <c r="H6279" s="30" t="s">
        <v>2018</v>
      </c>
      <c r="J6279" s="30" t="s">
        <v>2019</v>
      </c>
      <c r="L6279" s="30" t="s">
        <v>499</v>
      </c>
      <c r="N6279" s="30" t="s">
        <v>500</v>
      </c>
      <c r="P6279" s="30" t="s">
        <v>13409</v>
      </c>
      <c r="Q6279" t="s">
        <v>739</v>
      </c>
      <c r="R6279" t="s">
        <v>920</v>
      </c>
      <c r="S6279">
        <v>39</v>
      </c>
      <c r="T6279" s="29" t="str">
        <f t="shared" si="285"/>
        <v>2023.015P.Geminiviridae_rename_sp.zip</v>
      </c>
      <c r="U6279" s="29" t="str">
        <f>HYPERLINK("https://ictv.global/taxonomy/taxondetails?taxnode_id=202309129","ictv.global=202309129")</f>
        <v>ictv.global=202309129</v>
      </c>
    </row>
    <row r="6280" spans="1:21">
      <c r="A6280">
        <v>6279</v>
      </c>
      <c r="B6280" s="30" t="s">
        <v>1956</v>
      </c>
      <c r="D6280" s="30" t="s">
        <v>1985</v>
      </c>
      <c r="F6280" s="30" t="s">
        <v>2009</v>
      </c>
      <c r="H6280" s="30" t="s">
        <v>2018</v>
      </c>
      <c r="J6280" s="30" t="s">
        <v>2019</v>
      </c>
      <c r="L6280" s="30" t="s">
        <v>499</v>
      </c>
      <c r="N6280" s="30" t="s">
        <v>500</v>
      </c>
      <c r="P6280" s="30" t="s">
        <v>13410</v>
      </c>
      <c r="Q6280" t="s">
        <v>622</v>
      </c>
      <c r="R6280" t="s">
        <v>920</v>
      </c>
      <c r="S6280">
        <v>39</v>
      </c>
      <c r="T6280" s="29" t="str">
        <f t="shared" si="285"/>
        <v>2023.015P.Geminiviridae_rename_sp.zip</v>
      </c>
      <c r="U6280" s="29" t="str">
        <f>HYPERLINK("https://ictv.global/taxonomy/taxondetails?taxnode_id=202303308","ictv.global=202303308")</f>
        <v>ictv.global=202303308</v>
      </c>
    </row>
    <row r="6281" spans="1:21">
      <c r="A6281">
        <v>6280</v>
      </c>
      <c r="B6281" s="30" t="s">
        <v>1956</v>
      </c>
      <c r="D6281" s="30" t="s">
        <v>1985</v>
      </c>
      <c r="F6281" s="30" t="s">
        <v>2009</v>
      </c>
      <c r="H6281" s="30" t="s">
        <v>2018</v>
      </c>
      <c r="J6281" s="30" t="s">
        <v>2019</v>
      </c>
      <c r="L6281" s="30" t="s">
        <v>499</v>
      </c>
      <c r="N6281" s="30" t="s">
        <v>500</v>
      </c>
      <c r="P6281" s="30" t="s">
        <v>13411</v>
      </c>
      <c r="Q6281" t="s">
        <v>622</v>
      </c>
      <c r="R6281" t="s">
        <v>920</v>
      </c>
      <c r="S6281">
        <v>39</v>
      </c>
      <c r="T6281" s="29" t="str">
        <f t="shared" si="285"/>
        <v>2023.015P.Geminiviridae_rename_sp.zip</v>
      </c>
      <c r="U6281" s="29" t="str">
        <f>HYPERLINK("https://ictv.global/taxonomy/taxondetails?taxnode_id=202303313","ictv.global=202303313")</f>
        <v>ictv.global=202303313</v>
      </c>
    </row>
    <row r="6282" spans="1:21">
      <c r="A6282">
        <v>6281</v>
      </c>
      <c r="B6282" s="30" t="s">
        <v>1956</v>
      </c>
      <c r="D6282" s="30" t="s">
        <v>1985</v>
      </c>
      <c r="F6282" s="30" t="s">
        <v>2009</v>
      </c>
      <c r="H6282" s="30" t="s">
        <v>2018</v>
      </c>
      <c r="J6282" s="30" t="s">
        <v>2019</v>
      </c>
      <c r="L6282" s="30" t="s">
        <v>499</v>
      </c>
      <c r="N6282" s="30" t="s">
        <v>500</v>
      </c>
      <c r="P6282" s="30" t="s">
        <v>13412</v>
      </c>
      <c r="Q6282" t="s">
        <v>622</v>
      </c>
      <c r="R6282" t="s">
        <v>920</v>
      </c>
      <c r="S6282">
        <v>39</v>
      </c>
      <c r="T6282" s="29" t="str">
        <f t="shared" si="285"/>
        <v>2023.015P.Geminiviridae_rename_sp.zip</v>
      </c>
      <c r="U6282" s="29" t="str">
        <f>HYPERLINK("https://ictv.global/taxonomy/taxondetails?taxnode_id=202306705","ictv.global=202306705")</f>
        <v>ictv.global=202306705</v>
      </c>
    </row>
    <row r="6283" spans="1:21">
      <c r="A6283">
        <v>6282</v>
      </c>
      <c r="B6283" s="30" t="s">
        <v>1956</v>
      </c>
      <c r="D6283" s="30" t="s">
        <v>1985</v>
      </c>
      <c r="F6283" s="30" t="s">
        <v>2009</v>
      </c>
      <c r="H6283" s="30" t="s">
        <v>2018</v>
      </c>
      <c r="J6283" s="30" t="s">
        <v>2019</v>
      </c>
      <c r="L6283" s="30" t="s">
        <v>499</v>
      </c>
      <c r="N6283" s="30" t="s">
        <v>500</v>
      </c>
      <c r="P6283" s="30" t="s">
        <v>13413</v>
      </c>
      <c r="Q6283" t="s">
        <v>622</v>
      </c>
      <c r="R6283" t="s">
        <v>920</v>
      </c>
      <c r="S6283">
        <v>39</v>
      </c>
      <c r="T6283" s="29" t="str">
        <f t="shared" si="285"/>
        <v>2023.015P.Geminiviridae_rename_sp.zip</v>
      </c>
      <c r="U6283" s="29" t="str">
        <f>HYPERLINK("https://ictv.global/taxonomy/taxondetails?taxnode_id=202303307","ictv.global=202303307")</f>
        <v>ictv.global=202303307</v>
      </c>
    </row>
    <row r="6284" spans="1:21">
      <c r="A6284">
        <v>6283</v>
      </c>
      <c r="B6284" s="30" t="s">
        <v>1956</v>
      </c>
      <c r="D6284" s="30" t="s">
        <v>1985</v>
      </c>
      <c r="F6284" s="30" t="s">
        <v>2009</v>
      </c>
      <c r="H6284" s="30" t="s">
        <v>2018</v>
      </c>
      <c r="J6284" s="30" t="s">
        <v>2019</v>
      </c>
      <c r="L6284" s="30" t="s">
        <v>499</v>
      </c>
      <c r="N6284" s="30" t="s">
        <v>500</v>
      </c>
      <c r="P6284" s="30" t="s">
        <v>13414</v>
      </c>
      <c r="Q6284" t="s">
        <v>622</v>
      </c>
      <c r="R6284" t="s">
        <v>920</v>
      </c>
      <c r="S6284">
        <v>39</v>
      </c>
      <c r="T6284" s="29" t="str">
        <f t="shared" si="285"/>
        <v>2023.015P.Geminiviridae_rename_sp.zip</v>
      </c>
      <c r="U6284" s="29" t="str">
        <f>HYPERLINK("https://ictv.global/taxonomy/taxondetails?taxnode_id=202303312","ictv.global=202303312")</f>
        <v>ictv.global=202303312</v>
      </c>
    </row>
    <row r="6285" spans="1:21">
      <c r="A6285">
        <v>6284</v>
      </c>
      <c r="B6285" s="30" t="s">
        <v>1956</v>
      </c>
      <c r="D6285" s="30" t="s">
        <v>1985</v>
      </c>
      <c r="F6285" s="30" t="s">
        <v>2009</v>
      </c>
      <c r="H6285" s="30" t="s">
        <v>2018</v>
      </c>
      <c r="J6285" s="30" t="s">
        <v>2019</v>
      </c>
      <c r="L6285" s="30" t="s">
        <v>499</v>
      </c>
      <c r="N6285" s="30" t="s">
        <v>500</v>
      </c>
      <c r="P6285" s="30" t="s">
        <v>13415</v>
      </c>
      <c r="Q6285" t="s">
        <v>622</v>
      </c>
      <c r="R6285" t="s">
        <v>920</v>
      </c>
      <c r="S6285">
        <v>39</v>
      </c>
      <c r="T6285" s="29" t="str">
        <f t="shared" si="285"/>
        <v>2023.015P.Geminiviridae_rename_sp.zip</v>
      </c>
      <c r="U6285" s="29" t="str">
        <f>HYPERLINK("https://ictv.global/taxonomy/taxondetails?taxnode_id=202306706","ictv.global=202306706")</f>
        <v>ictv.global=202306706</v>
      </c>
    </row>
    <row r="6286" spans="1:21">
      <c r="A6286">
        <v>6285</v>
      </c>
      <c r="B6286" s="30" t="s">
        <v>1956</v>
      </c>
      <c r="D6286" s="30" t="s">
        <v>1985</v>
      </c>
      <c r="F6286" s="30" t="s">
        <v>2009</v>
      </c>
      <c r="H6286" s="30" t="s">
        <v>2018</v>
      </c>
      <c r="J6286" s="30" t="s">
        <v>2019</v>
      </c>
      <c r="L6286" s="30" t="s">
        <v>499</v>
      </c>
      <c r="N6286" s="30" t="s">
        <v>500</v>
      </c>
      <c r="P6286" s="30" t="s">
        <v>13416</v>
      </c>
      <c r="Q6286" t="s">
        <v>622</v>
      </c>
      <c r="R6286" t="s">
        <v>920</v>
      </c>
      <c r="S6286">
        <v>39</v>
      </c>
      <c r="T6286" s="29" t="str">
        <f t="shared" si="285"/>
        <v>2023.015P.Geminiviridae_rename_sp.zip</v>
      </c>
      <c r="U6286" s="29" t="str">
        <f>HYPERLINK("https://ictv.global/taxonomy/taxondetails?taxnode_id=202303309","ictv.global=202303309")</f>
        <v>ictv.global=202303309</v>
      </c>
    </row>
    <row r="6287" spans="1:21">
      <c r="A6287">
        <v>6286</v>
      </c>
      <c r="B6287" s="30" t="s">
        <v>1956</v>
      </c>
      <c r="D6287" s="30" t="s">
        <v>1985</v>
      </c>
      <c r="F6287" s="30" t="s">
        <v>2009</v>
      </c>
      <c r="H6287" s="30" t="s">
        <v>2018</v>
      </c>
      <c r="J6287" s="30" t="s">
        <v>2019</v>
      </c>
      <c r="L6287" s="30" t="s">
        <v>499</v>
      </c>
      <c r="N6287" s="30" t="s">
        <v>500</v>
      </c>
      <c r="P6287" s="30" t="s">
        <v>13417</v>
      </c>
      <c r="Q6287" t="s">
        <v>622</v>
      </c>
      <c r="R6287" t="s">
        <v>920</v>
      </c>
      <c r="S6287">
        <v>39</v>
      </c>
      <c r="T6287" s="29" t="str">
        <f t="shared" si="285"/>
        <v>2023.015P.Geminiviridae_rename_sp.zip</v>
      </c>
      <c r="U6287" s="29" t="str">
        <f>HYPERLINK("https://ictv.global/taxonomy/taxondetails?taxnode_id=202303314","ictv.global=202303314")</f>
        <v>ictv.global=202303314</v>
      </c>
    </row>
    <row r="6288" spans="1:21">
      <c r="A6288">
        <v>6287</v>
      </c>
      <c r="B6288" s="30" t="s">
        <v>1956</v>
      </c>
      <c r="D6288" s="30" t="s">
        <v>1985</v>
      </c>
      <c r="F6288" s="30" t="s">
        <v>2009</v>
      </c>
      <c r="H6288" s="30" t="s">
        <v>2018</v>
      </c>
      <c r="J6288" s="30" t="s">
        <v>2019</v>
      </c>
      <c r="L6288" s="30" t="s">
        <v>499</v>
      </c>
      <c r="N6288" s="30" t="s">
        <v>500</v>
      </c>
      <c r="P6288" s="30" t="s">
        <v>13418</v>
      </c>
      <c r="Q6288" t="s">
        <v>622</v>
      </c>
      <c r="R6288" t="s">
        <v>920</v>
      </c>
      <c r="S6288">
        <v>39</v>
      </c>
      <c r="T6288" s="29" t="str">
        <f t="shared" si="285"/>
        <v>2023.015P.Geminiviridae_rename_sp.zip</v>
      </c>
      <c r="U6288" s="29" t="str">
        <f>HYPERLINK("https://ictv.global/taxonomy/taxondetails?taxnode_id=202303306","ictv.global=202303306")</f>
        <v>ictv.global=202303306</v>
      </c>
    </row>
    <row r="6289" spans="1:21">
      <c r="A6289">
        <v>6288</v>
      </c>
      <c r="B6289" s="30" t="s">
        <v>1956</v>
      </c>
      <c r="D6289" s="30" t="s">
        <v>1985</v>
      </c>
      <c r="F6289" s="30" t="s">
        <v>2009</v>
      </c>
      <c r="H6289" s="30" t="s">
        <v>2018</v>
      </c>
      <c r="J6289" s="30" t="s">
        <v>2019</v>
      </c>
      <c r="L6289" s="30" t="s">
        <v>499</v>
      </c>
      <c r="N6289" s="30" t="s">
        <v>500</v>
      </c>
      <c r="P6289" s="30" t="s">
        <v>13419</v>
      </c>
      <c r="Q6289" t="s">
        <v>622</v>
      </c>
      <c r="R6289" t="s">
        <v>920</v>
      </c>
      <c r="S6289">
        <v>39</v>
      </c>
      <c r="T6289" s="29" t="str">
        <f t="shared" si="285"/>
        <v>2023.015P.Geminiviridae_rename_sp.zip</v>
      </c>
      <c r="U6289" s="29" t="str">
        <f>HYPERLINK("https://ictv.global/taxonomy/taxondetails?taxnode_id=202305821","ictv.global=202305821")</f>
        <v>ictv.global=202305821</v>
      </c>
    </row>
    <row r="6290" spans="1:21">
      <c r="A6290">
        <v>6289</v>
      </c>
      <c r="B6290" s="30" t="s">
        <v>1956</v>
      </c>
      <c r="D6290" s="30" t="s">
        <v>1985</v>
      </c>
      <c r="F6290" s="30" t="s">
        <v>2009</v>
      </c>
      <c r="H6290" s="30" t="s">
        <v>2018</v>
      </c>
      <c r="J6290" s="30" t="s">
        <v>2019</v>
      </c>
      <c r="L6290" s="30" t="s">
        <v>499</v>
      </c>
      <c r="N6290" s="30" t="s">
        <v>500</v>
      </c>
      <c r="P6290" s="30" t="s">
        <v>13420</v>
      </c>
      <c r="Q6290" t="s">
        <v>622</v>
      </c>
      <c r="R6290" t="s">
        <v>920</v>
      </c>
      <c r="S6290">
        <v>39</v>
      </c>
      <c r="T6290" s="29" t="str">
        <f t="shared" si="285"/>
        <v>2023.015P.Geminiviridae_rename_sp.zip</v>
      </c>
      <c r="U6290" s="29" t="str">
        <f>HYPERLINK("https://ictv.global/taxonomy/taxondetails?taxnode_id=202303311","ictv.global=202303311")</f>
        <v>ictv.global=202303311</v>
      </c>
    </row>
    <row r="6291" spans="1:21">
      <c r="A6291">
        <v>6290</v>
      </c>
      <c r="B6291" s="30" t="s">
        <v>1956</v>
      </c>
      <c r="D6291" s="30" t="s">
        <v>1985</v>
      </c>
      <c r="F6291" s="30" t="s">
        <v>2009</v>
      </c>
      <c r="H6291" s="30" t="s">
        <v>2018</v>
      </c>
      <c r="J6291" s="30" t="s">
        <v>2019</v>
      </c>
      <c r="L6291" s="30" t="s">
        <v>499</v>
      </c>
      <c r="N6291" s="30" t="s">
        <v>500</v>
      </c>
      <c r="P6291" s="30" t="s">
        <v>13421</v>
      </c>
      <c r="Q6291" t="s">
        <v>622</v>
      </c>
      <c r="R6291" t="s">
        <v>920</v>
      </c>
      <c r="S6291">
        <v>39</v>
      </c>
      <c r="T6291" s="29" t="str">
        <f t="shared" si="285"/>
        <v>2023.015P.Geminiviridae_rename_sp.zip</v>
      </c>
      <c r="U6291" s="29" t="str">
        <f>HYPERLINK("https://ictv.global/taxonomy/taxondetails?taxnode_id=202306698","ictv.global=202306698")</f>
        <v>ictv.global=202306698</v>
      </c>
    </row>
    <row r="6292" spans="1:21">
      <c r="A6292">
        <v>6291</v>
      </c>
      <c r="B6292" s="30" t="s">
        <v>1956</v>
      </c>
      <c r="D6292" s="30" t="s">
        <v>1985</v>
      </c>
      <c r="F6292" s="30" t="s">
        <v>2009</v>
      </c>
      <c r="H6292" s="30" t="s">
        <v>2018</v>
      </c>
      <c r="J6292" s="30" t="s">
        <v>2019</v>
      </c>
      <c r="L6292" s="30" t="s">
        <v>499</v>
      </c>
      <c r="N6292" s="30" t="s">
        <v>500</v>
      </c>
      <c r="P6292" s="30" t="s">
        <v>13422</v>
      </c>
      <c r="Q6292" t="s">
        <v>622</v>
      </c>
      <c r="R6292" t="s">
        <v>920</v>
      </c>
      <c r="S6292">
        <v>39</v>
      </c>
      <c r="T6292" s="29" t="str">
        <f t="shared" si="285"/>
        <v>2023.015P.Geminiviridae_rename_sp.zip</v>
      </c>
      <c r="U6292" s="29" t="str">
        <f>HYPERLINK("https://ictv.global/taxonomy/taxondetails?taxnode_id=202303208","ictv.global=202303208")</f>
        <v>ictv.global=202303208</v>
      </c>
    </row>
    <row r="6293" spans="1:21">
      <c r="A6293">
        <v>6292</v>
      </c>
      <c r="B6293" s="30" t="s">
        <v>1956</v>
      </c>
      <c r="D6293" s="30" t="s">
        <v>1985</v>
      </c>
      <c r="F6293" s="30" t="s">
        <v>2009</v>
      </c>
      <c r="H6293" s="30" t="s">
        <v>2018</v>
      </c>
      <c r="J6293" s="30" t="s">
        <v>2019</v>
      </c>
      <c r="L6293" s="30" t="s">
        <v>499</v>
      </c>
      <c r="N6293" s="30" t="s">
        <v>500</v>
      </c>
      <c r="P6293" s="30" t="s">
        <v>13423</v>
      </c>
      <c r="Q6293" t="s">
        <v>622</v>
      </c>
      <c r="R6293" t="s">
        <v>920</v>
      </c>
      <c r="S6293">
        <v>39</v>
      </c>
      <c r="T6293" s="29" t="str">
        <f t="shared" si="285"/>
        <v>2023.015P.Geminiviridae_rename_sp.zip</v>
      </c>
      <c r="U6293" s="29" t="str">
        <f>HYPERLINK("https://ictv.global/taxonomy/taxondetails?taxnode_id=202303207","ictv.global=202303207")</f>
        <v>ictv.global=202303207</v>
      </c>
    </row>
    <row r="6294" spans="1:21">
      <c r="A6294">
        <v>6293</v>
      </c>
      <c r="B6294" s="30" t="s">
        <v>1956</v>
      </c>
      <c r="D6294" s="30" t="s">
        <v>1985</v>
      </c>
      <c r="F6294" s="30" t="s">
        <v>2009</v>
      </c>
      <c r="H6294" s="30" t="s">
        <v>2018</v>
      </c>
      <c r="J6294" s="30" t="s">
        <v>2019</v>
      </c>
      <c r="L6294" s="30" t="s">
        <v>499</v>
      </c>
      <c r="N6294" s="30" t="s">
        <v>500</v>
      </c>
      <c r="P6294" s="30" t="s">
        <v>13424</v>
      </c>
      <c r="Q6294" t="s">
        <v>622</v>
      </c>
      <c r="R6294" t="s">
        <v>920</v>
      </c>
      <c r="S6294">
        <v>39</v>
      </c>
      <c r="T6294" s="29" t="str">
        <f t="shared" ref="T6294:T6357" si="286">HYPERLINK("https://ictv.global/ictv/proposals/2023.015P.Geminiviridae_rename_sp.zip","2023.015P.Geminiviridae_rename_sp.zip")</f>
        <v>2023.015P.Geminiviridae_rename_sp.zip</v>
      </c>
      <c r="U6294" s="29" t="str">
        <f>HYPERLINK("https://ictv.global/taxonomy/taxondetails?taxnode_id=202306699","ictv.global=202306699")</f>
        <v>ictv.global=202306699</v>
      </c>
    </row>
    <row r="6295" spans="1:21">
      <c r="A6295">
        <v>6294</v>
      </c>
      <c r="B6295" s="30" t="s">
        <v>1956</v>
      </c>
      <c r="D6295" s="30" t="s">
        <v>1985</v>
      </c>
      <c r="F6295" s="30" t="s">
        <v>2009</v>
      </c>
      <c r="H6295" s="30" t="s">
        <v>2018</v>
      </c>
      <c r="J6295" s="30" t="s">
        <v>2019</v>
      </c>
      <c r="L6295" s="30" t="s">
        <v>499</v>
      </c>
      <c r="N6295" s="30" t="s">
        <v>500</v>
      </c>
      <c r="P6295" s="30" t="s">
        <v>13425</v>
      </c>
      <c r="Q6295" t="s">
        <v>622</v>
      </c>
      <c r="R6295" t="s">
        <v>920</v>
      </c>
      <c r="S6295">
        <v>39</v>
      </c>
      <c r="T6295" s="29" t="str">
        <f t="shared" si="286"/>
        <v>2023.015P.Geminiviridae_rename_sp.zip</v>
      </c>
      <c r="U6295" s="29" t="str">
        <f>HYPERLINK("https://ictv.global/taxonomy/taxondetails?taxnode_id=202303209","ictv.global=202303209")</f>
        <v>ictv.global=202303209</v>
      </c>
    </row>
    <row r="6296" spans="1:21">
      <c r="A6296">
        <v>6295</v>
      </c>
      <c r="B6296" s="30" t="s">
        <v>1956</v>
      </c>
      <c r="D6296" s="30" t="s">
        <v>1985</v>
      </c>
      <c r="F6296" s="30" t="s">
        <v>2009</v>
      </c>
      <c r="H6296" s="30" t="s">
        <v>2018</v>
      </c>
      <c r="J6296" s="30" t="s">
        <v>2019</v>
      </c>
      <c r="L6296" s="30" t="s">
        <v>499</v>
      </c>
      <c r="N6296" s="30" t="s">
        <v>500</v>
      </c>
      <c r="P6296" s="30" t="s">
        <v>13426</v>
      </c>
      <c r="Q6296" t="s">
        <v>622</v>
      </c>
      <c r="R6296" t="s">
        <v>920</v>
      </c>
      <c r="S6296">
        <v>39</v>
      </c>
      <c r="T6296" s="29" t="str">
        <f t="shared" si="286"/>
        <v>2023.015P.Geminiviridae_rename_sp.zip</v>
      </c>
      <c r="U6296" s="29" t="str">
        <f>HYPERLINK("https://ictv.global/taxonomy/taxondetails?taxnode_id=202303301","ictv.global=202303301")</f>
        <v>ictv.global=202303301</v>
      </c>
    </row>
    <row r="6297" spans="1:21">
      <c r="A6297">
        <v>6296</v>
      </c>
      <c r="B6297" s="30" t="s">
        <v>1956</v>
      </c>
      <c r="D6297" s="30" t="s">
        <v>1985</v>
      </c>
      <c r="F6297" s="30" t="s">
        <v>2009</v>
      </c>
      <c r="H6297" s="30" t="s">
        <v>2018</v>
      </c>
      <c r="J6297" s="30" t="s">
        <v>2019</v>
      </c>
      <c r="L6297" s="30" t="s">
        <v>499</v>
      </c>
      <c r="N6297" s="30" t="s">
        <v>500</v>
      </c>
      <c r="P6297" s="30" t="s">
        <v>13427</v>
      </c>
      <c r="Q6297" t="s">
        <v>622</v>
      </c>
      <c r="R6297" t="s">
        <v>920</v>
      </c>
      <c r="S6297">
        <v>39</v>
      </c>
      <c r="T6297" s="29" t="str">
        <f t="shared" si="286"/>
        <v>2023.015P.Geminiviridae_rename_sp.zip</v>
      </c>
      <c r="U6297" s="29" t="str">
        <f>HYPERLINK("https://ictv.global/taxonomy/taxondetails?taxnode_id=202303303","ictv.global=202303303")</f>
        <v>ictv.global=202303303</v>
      </c>
    </row>
    <row r="6298" spans="1:21">
      <c r="A6298">
        <v>6297</v>
      </c>
      <c r="B6298" s="30" t="s">
        <v>1956</v>
      </c>
      <c r="D6298" s="30" t="s">
        <v>1985</v>
      </c>
      <c r="F6298" s="30" t="s">
        <v>2009</v>
      </c>
      <c r="H6298" s="30" t="s">
        <v>2018</v>
      </c>
      <c r="J6298" s="30" t="s">
        <v>2019</v>
      </c>
      <c r="L6298" s="30" t="s">
        <v>499</v>
      </c>
      <c r="N6298" s="30" t="s">
        <v>500</v>
      </c>
      <c r="P6298" s="30" t="s">
        <v>13428</v>
      </c>
      <c r="Q6298" t="s">
        <v>739</v>
      </c>
      <c r="R6298" t="s">
        <v>920</v>
      </c>
      <c r="S6298">
        <v>39</v>
      </c>
      <c r="T6298" s="29" t="str">
        <f t="shared" si="286"/>
        <v>2023.015P.Geminiviridae_rename_sp.zip</v>
      </c>
      <c r="U6298" s="29" t="str">
        <f>HYPERLINK("https://ictv.global/taxonomy/taxondetails?taxnode_id=202309128","ictv.global=202309128")</f>
        <v>ictv.global=202309128</v>
      </c>
    </row>
    <row r="6299" spans="1:21">
      <c r="A6299">
        <v>6298</v>
      </c>
      <c r="B6299" s="30" t="s">
        <v>1956</v>
      </c>
      <c r="D6299" s="30" t="s">
        <v>1985</v>
      </c>
      <c r="F6299" s="30" t="s">
        <v>2009</v>
      </c>
      <c r="H6299" s="30" t="s">
        <v>2018</v>
      </c>
      <c r="J6299" s="30" t="s">
        <v>2019</v>
      </c>
      <c r="L6299" s="30" t="s">
        <v>499</v>
      </c>
      <c r="N6299" s="30" t="s">
        <v>500</v>
      </c>
      <c r="P6299" s="30" t="s">
        <v>13429</v>
      </c>
      <c r="Q6299" t="s">
        <v>622</v>
      </c>
      <c r="R6299" t="s">
        <v>920</v>
      </c>
      <c r="S6299">
        <v>39</v>
      </c>
      <c r="T6299" s="29" t="str">
        <f t="shared" si="286"/>
        <v>2023.015P.Geminiviridae_rename_sp.zip</v>
      </c>
      <c r="U6299" s="29" t="str">
        <f>HYPERLINK("https://ictv.global/taxonomy/taxondetails?taxnode_id=202303302","ictv.global=202303302")</f>
        <v>ictv.global=202303302</v>
      </c>
    </row>
    <row r="6300" spans="1:21">
      <c r="A6300">
        <v>6299</v>
      </c>
      <c r="B6300" s="30" t="s">
        <v>1956</v>
      </c>
      <c r="D6300" s="30" t="s">
        <v>1985</v>
      </c>
      <c r="F6300" s="30" t="s">
        <v>2009</v>
      </c>
      <c r="H6300" s="30" t="s">
        <v>2018</v>
      </c>
      <c r="J6300" s="30" t="s">
        <v>2019</v>
      </c>
      <c r="L6300" s="30" t="s">
        <v>499</v>
      </c>
      <c r="N6300" s="30" t="s">
        <v>500</v>
      </c>
      <c r="P6300" s="30" t="s">
        <v>13430</v>
      </c>
      <c r="Q6300" t="s">
        <v>739</v>
      </c>
      <c r="R6300" t="s">
        <v>920</v>
      </c>
      <c r="S6300">
        <v>39</v>
      </c>
      <c r="T6300" s="29" t="str">
        <f t="shared" si="286"/>
        <v>2023.015P.Geminiviridae_rename_sp.zip</v>
      </c>
      <c r="U6300" s="29" t="str">
        <f>HYPERLINK("https://ictv.global/taxonomy/taxondetails?taxnode_id=202309126","ictv.global=202309126")</f>
        <v>ictv.global=202309126</v>
      </c>
    </row>
    <row r="6301" spans="1:21">
      <c r="A6301">
        <v>6300</v>
      </c>
      <c r="B6301" s="30" t="s">
        <v>1956</v>
      </c>
      <c r="D6301" s="30" t="s">
        <v>1985</v>
      </c>
      <c r="F6301" s="30" t="s">
        <v>2009</v>
      </c>
      <c r="H6301" s="30" t="s">
        <v>2018</v>
      </c>
      <c r="J6301" s="30" t="s">
        <v>2019</v>
      </c>
      <c r="L6301" s="30" t="s">
        <v>499</v>
      </c>
      <c r="N6301" s="30" t="s">
        <v>500</v>
      </c>
      <c r="P6301" s="30" t="s">
        <v>13431</v>
      </c>
      <c r="Q6301" t="s">
        <v>739</v>
      </c>
      <c r="R6301" t="s">
        <v>920</v>
      </c>
      <c r="S6301">
        <v>39</v>
      </c>
      <c r="T6301" s="29" t="str">
        <f t="shared" si="286"/>
        <v>2023.015P.Geminiviridae_rename_sp.zip</v>
      </c>
      <c r="U6301" s="29" t="str">
        <f>HYPERLINK("https://ictv.global/taxonomy/taxondetails?taxnode_id=202309127","ictv.global=202309127")</f>
        <v>ictv.global=202309127</v>
      </c>
    </row>
    <row r="6302" spans="1:21">
      <c r="A6302">
        <v>6301</v>
      </c>
      <c r="B6302" s="30" t="s">
        <v>1956</v>
      </c>
      <c r="D6302" s="30" t="s">
        <v>1985</v>
      </c>
      <c r="F6302" s="30" t="s">
        <v>2009</v>
      </c>
      <c r="H6302" s="30" t="s">
        <v>2018</v>
      </c>
      <c r="J6302" s="30" t="s">
        <v>2019</v>
      </c>
      <c r="L6302" s="30" t="s">
        <v>499</v>
      </c>
      <c r="N6302" s="30" t="s">
        <v>500</v>
      </c>
      <c r="P6302" s="30" t="s">
        <v>13432</v>
      </c>
      <c r="Q6302" t="s">
        <v>622</v>
      </c>
      <c r="R6302" t="s">
        <v>920</v>
      </c>
      <c r="S6302">
        <v>39</v>
      </c>
      <c r="T6302" s="29" t="str">
        <f t="shared" si="286"/>
        <v>2023.015P.Geminiviridae_rename_sp.zip</v>
      </c>
      <c r="U6302" s="29" t="str">
        <f>HYPERLINK("https://ictv.global/taxonomy/taxondetails?taxnode_id=202303203","ictv.global=202303203")</f>
        <v>ictv.global=202303203</v>
      </c>
    </row>
    <row r="6303" spans="1:21">
      <c r="A6303">
        <v>6302</v>
      </c>
      <c r="B6303" s="30" t="s">
        <v>1956</v>
      </c>
      <c r="D6303" s="30" t="s">
        <v>1985</v>
      </c>
      <c r="F6303" s="30" t="s">
        <v>2009</v>
      </c>
      <c r="H6303" s="30" t="s">
        <v>2018</v>
      </c>
      <c r="J6303" s="30" t="s">
        <v>2019</v>
      </c>
      <c r="L6303" s="30" t="s">
        <v>499</v>
      </c>
      <c r="N6303" s="30" t="s">
        <v>500</v>
      </c>
      <c r="P6303" s="30" t="s">
        <v>13433</v>
      </c>
      <c r="Q6303" t="s">
        <v>622</v>
      </c>
      <c r="R6303" t="s">
        <v>920</v>
      </c>
      <c r="S6303">
        <v>39</v>
      </c>
      <c r="T6303" s="29" t="str">
        <f t="shared" si="286"/>
        <v>2023.015P.Geminiviridae_rename_sp.zip</v>
      </c>
      <c r="U6303" s="29" t="str">
        <f>HYPERLINK("https://ictv.global/taxonomy/taxondetails?taxnode_id=202305787","ictv.global=202305787")</f>
        <v>ictv.global=202305787</v>
      </c>
    </row>
    <row r="6304" spans="1:21">
      <c r="A6304">
        <v>6303</v>
      </c>
      <c r="B6304" s="30" t="s">
        <v>1956</v>
      </c>
      <c r="D6304" s="30" t="s">
        <v>1985</v>
      </c>
      <c r="F6304" s="30" t="s">
        <v>2009</v>
      </c>
      <c r="H6304" s="30" t="s">
        <v>2018</v>
      </c>
      <c r="J6304" s="30" t="s">
        <v>2019</v>
      </c>
      <c r="L6304" s="30" t="s">
        <v>499</v>
      </c>
      <c r="N6304" s="30" t="s">
        <v>500</v>
      </c>
      <c r="P6304" s="30" t="s">
        <v>13434</v>
      </c>
      <c r="Q6304" t="s">
        <v>622</v>
      </c>
      <c r="R6304" t="s">
        <v>920</v>
      </c>
      <c r="S6304">
        <v>39</v>
      </c>
      <c r="T6304" s="29" t="str">
        <f t="shared" si="286"/>
        <v>2023.015P.Geminiviridae_rename_sp.zip</v>
      </c>
      <c r="U6304" s="29" t="str">
        <f>HYPERLINK("https://ictv.global/taxonomy/taxondetails?taxnode_id=202303204","ictv.global=202303204")</f>
        <v>ictv.global=202303204</v>
      </c>
    </row>
    <row r="6305" spans="1:21">
      <c r="A6305">
        <v>6304</v>
      </c>
      <c r="B6305" s="30" t="s">
        <v>1956</v>
      </c>
      <c r="D6305" s="30" t="s">
        <v>1985</v>
      </c>
      <c r="F6305" s="30" t="s">
        <v>2009</v>
      </c>
      <c r="H6305" s="30" t="s">
        <v>2018</v>
      </c>
      <c r="J6305" s="30" t="s">
        <v>2019</v>
      </c>
      <c r="L6305" s="30" t="s">
        <v>499</v>
      </c>
      <c r="N6305" s="30" t="s">
        <v>500</v>
      </c>
      <c r="P6305" s="30" t="s">
        <v>13435</v>
      </c>
      <c r="Q6305" t="s">
        <v>622</v>
      </c>
      <c r="R6305" t="s">
        <v>920</v>
      </c>
      <c r="S6305">
        <v>39</v>
      </c>
      <c r="T6305" s="29" t="str">
        <f t="shared" si="286"/>
        <v>2023.015P.Geminiviridae_rename_sp.zip</v>
      </c>
      <c r="U6305" s="29" t="str">
        <f>HYPERLINK("https://ictv.global/taxonomy/taxondetails?taxnode_id=202303205","ictv.global=202303205")</f>
        <v>ictv.global=202303205</v>
      </c>
    </row>
    <row r="6306" spans="1:21">
      <c r="A6306">
        <v>6305</v>
      </c>
      <c r="B6306" s="30" t="s">
        <v>1956</v>
      </c>
      <c r="D6306" s="30" t="s">
        <v>1985</v>
      </c>
      <c r="F6306" s="30" t="s">
        <v>2009</v>
      </c>
      <c r="H6306" s="30" t="s">
        <v>2018</v>
      </c>
      <c r="J6306" s="30" t="s">
        <v>2019</v>
      </c>
      <c r="L6306" s="30" t="s">
        <v>499</v>
      </c>
      <c r="N6306" s="30" t="s">
        <v>500</v>
      </c>
      <c r="P6306" s="30" t="s">
        <v>13436</v>
      </c>
      <c r="Q6306" t="s">
        <v>622</v>
      </c>
      <c r="R6306" t="s">
        <v>920</v>
      </c>
      <c r="S6306">
        <v>39</v>
      </c>
      <c r="T6306" s="29" t="str">
        <f t="shared" si="286"/>
        <v>2023.015P.Geminiviridae_rename_sp.zip</v>
      </c>
      <c r="U6306" s="29" t="str">
        <f>HYPERLINK("https://ictv.global/taxonomy/taxondetails?taxnode_id=202303206","ictv.global=202303206")</f>
        <v>ictv.global=202303206</v>
      </c>
    </row>
    <row r="6307" spans="1:21">
      <c r="A6307">
        <v>6306</v>
      </c>
      <c r="B6307" s="30" t="s">
        <v>1956</v>
      </c>
      <c r="D6307" s="30" t="s">
        <v>1985</v>
      </c>
      <c r="F6307" s="30" t="s">
        <v>2009</v>
      </c>
      <c r="H6307" s="30" t="s">
        <v>2018</v>
      </c>
      <c r="J6307" s="30" t="s">
        <v>2019</v>
      </c>
      <c r="L6307" s="30" t="s">
        <v>499</v>
      </c>
      <c r="N6307" s="30" t="s">
        <v>500</v>
      </c>
      <c r="P6307" s="30" t="s">
        <v>13437</v>
      </c>
      <c r="Q6307" t="s">
        <v>622</v>
      </c>
      <c r="R6307" t="s">
        <v>920</v>
      </c>
      <c r="S6307">
        <v>39</v>
      </c>
      <c r="T6307" s="29" t="str">
        <f t="shared" si="286"/>
        <v>2023.015P.Geminiviridae_rename_sp.zip</v>
      </c>
      <c r="U6307" s="29" t="str">
        <f>HYPERLINK("https://ictv.global/taxonomy/taxondetails?taxnode_id=202303210","ictv.global=202303210")</f>
        <v>ictv.global=202303210</v>
      </c>
    </row>
    <row r="6308" spans="1:21">
      <c r="A6308">
        <v>6307</v>
      </c>
      <c r="B6308" s="30" t="s">
        <v>1956</v>
      </c>
      <c r="D6308" s="30" t="s">
        <v>1985</v>
      </c>
      <c r="F6308" s="30" t="s">
        <v>2009</v>
      </c>
      <c r="H6308" s="30" t="s">
        <v>2018</v>
      </c>
      <c r="J6308" s="30" t="s">
        <v>2019</v>
      </c>
      <c r="L6308" s="30" t="s">
        <v>499</v>
      </c>
      <c r="N6308" s="30" t="s">
        <v>500</v>
      </c>
      <c r="P6308" s="30" t="s">
        <v>13438</v>
      </c>
      <c r="Q6308" t="s">
        <v>622</v>
      </c>
      <c r="R6308" t="s">
        <v>920</v>
      </c>
      <c r="S6308">
        <v>39</v>
      </c>
      <c r="T6308" s="29" t="str">
        <f t="shared" si="286"/>
        <v>2023.015P.Geminiviridae_rename_sp.zip</v>
      </c>
      <c r="U6308" s="29" t="str">
        <f>HYPERLINK("https://ictv.global/taxonomy/taxondetails?taxnode_id=202303287","ictv.global=202303287")</f>
        <v>ictv.global=202303287</v>
      </c>
    </row>
    <row r="6309" spans="1:21">
      <c r="A6309">
        <v>6308</v>
      </c>
      <c r="B6309" s="30" t="s">
        <v>1956</v>
      </c>
      <c r="D6309" s="30" t="s">
        <v>1985</v>
      </c>
      <c r="F6309" s="30" t="s">
        <v>2009</v>
      </c>
      <c r="H6309" s="30" t="s">
        <v>2018</v>
      </c>
      <c r="J6309" s="30" t="s">
        <v>2019</v>
      </c>
      <c r="L6309" s="30" t="s">
        <v>499</v>
      </c>
      <c r="N6309" s="30" t="s">
        <v>500</v>
      </c>
      <c r="P6309" s="30" t="s">
        <v>13439</v>
      </c>
      <c r="Q6309" t="s">
        <v>622</v>
      </c>
      <c r="R6309" t="s">
        <v>920</v>
      </c>
      <c r="S6309">
        <v>39</v>
      </c>
      <c r="T6309" s="29" t="str">
        <f t="shared" si="286"/>
        <v>2023.015P.Geminiviridae_rename_sp.zip</v>
      </c>
      <c r="U6309" s="29" t="str">
        <f>HYPERLINK("https://ictv.global/taxonomy/taxondetails?taxnode_id=202303493","ictv.global=202303493")</f>
        <v>ictv.global=202303493</v>
      </c>
    </row>
    <row r="6310" spans="1:21">
      <c r="A6310">
        <v>6309</v>
      </c>
      <c r="B6310" s="30" t="s">
        <v>1956</v>
      </c>
      <c r="D6310" s="30" t="s">
        <v>1985</v>
      </c>
      <c r="F6310" s="30" t="s">
        <v>2009</v>
      </c>
      <c r="H6310" s="30" t="s">
        <v>2018</v>
      </c>
      <c r="J6310" s="30" t="s">
        <v>2019</v>
      </c>
      <c r="L6310" s="30" t="s">
        <v>499</v>
      </c>
      <c r="N6310" s="30" t="s">
        <v>500</v>
      </c>
      <c r="P6310" s="30" t="s">
        <v>13440</v>
      </c>
      <c r="Q6310" t="s">
        <v>622</v>
      </c>
      <c r="R6310" t="s">
        <v>920</v>
      </c>
      <c r="S6310">
        <v>39</v>
      </c>
      <c r="T6310" s="29" t="str">
        <f t="shared" si="286"/>
        <v>2023.015P.Geminiviridae_rename_sp.zip</v>
      </c>
      <c r="U6310" s="29" t="str">
        <f>HYPERLINK("https://ictv.global/taxonomy/taxondetails?taxnode_id=202303213","ictv.global=202303213")</f>
        <v>ictv.global=202303213</v>
      </c>
    </row>
    <row r="6311" spans="1:21">
      <c r="A6311">
        <v>6310</v>
      </c>
      <c r="B6311" s="30" t="s">
        <v>1956</v>
      </c>
      <c r="D6311" s="30" t="s">
        <v>1985</v>
      </c>
      <c r="F6311" s="30" t="s">
        <v>2009</v>
      </c>
      <c r="H6311" s="30" t="s">
        <v>2018</v>
      </c>
      <c r="J6311" s="30" t="s">
        <v>2019</v>
      </c>
      <c r="L6311" s="30" t="s">
        <v>499</v>
      </c>
      <c r="N6311" s="30" t="s">
        <v>500</v>
      </c>
      <c r="P6311" s="30" t="s">
        <v>13441</v>
      </c>
      <c r="Q6311" t="s">
        <v>622</v>
      </c>
      <c r="R6311" t="s">
        <v>920</v>
      </c>
      <c r="S6311">
        <v>39</v>
      </c>
      <c r="T6311" s="29" t="str">
        <f t="shared" si="286"/>
        <v>2023.015P.Geminiviridae_rename_sp.zip</v>
      </c>
      <c r="U6311" s="29" t="str">
        <f>HYPERLINK("https://ictv.global/taxonomy/taxondetails?taxnode_id=202303214","ictv.global=202303214")</f>
        <v>ictv.global=202303214</v>
      </c>
    </row>
    <row r="6312" spans="1:21">
      <c r="A6312">
        <v>6311</v>
      </c>
      <c r="B6312" s="30" t="s">
        <v>1956</v>
      </c>
      <c r="D6312" s="30" t="s">
        <v>1985</v>
      </c>
      <c r="F6312" s="30" t="s">
        <v>2009</v>
      </c>
      <c r="H6312" s="30" t="s">
        <v>2018</v>
      </c>
      <c r="J6312" s="30" t="s">
        <v>2019</v>
      </c>
      <c r="L6312" s="30" t="s">
        <v>499</v>
      </c>
      <c r="N6312" s="30" t="s">
        <v>500</v>
      </c>
      <c r="P6312" s="30" t="s">
        <v>13442</v>
      </c>
      <c r="Q6312" t="s">
        <v>622</v>
      </c>
      <c r="R6312" t="s">
        <v>920</v>
      </c>
      <c r="S6312">
        <v>39</v>
      </c>
      <c r="T6312" s="29" t="str">
        <f t="shared" si="286"/>
        <v>2023.015P.Geminiviridae_rename_sp.zip</v>
      </c>
      <c r="U6312" s="29" t="str">
        <f>HYPERLINK("https://ictv.global/taxonomy/taxondetails?taxnode_id=202303216","ictv.global=202303216")</f>
        <v>ictv.global=202303216</v>
      </c>
    </row>
    <row r="6313" spans="1:21">
      <c r="A6313">
        <v>6312</v>
      </c>
      <c r="B6313" s="30" t="s">
        <v>1956</v>
      </c>
      <c r="D6313" s="30" t="s">
        <v>1985</v>
      </c>
      <c r="F6313" s="30" t="s">
        <v>2009</v>
      </c>
      <c r="H6313" s="30" t="s">
        <v>2018</v>
      </c>
      <c r="J6313" s="30" t="s">
        <v>2019</v>
      </c>
      <c r="L6313" s="30" t="s">
        <v>499</v>
      </c>
      <c r="N6313" s="30" t="s">
        <v>500</v>
      </c>
      <c r="P6313" s="30" t="s">
        <v>13443</v>
      </c>
      <c r="Q6313" t="s">
        <v>622</v>
      </c>
      <c r="R6313" t="s">
        <v>920</v>
      </c>
      <c r="S6313">
        <v>39</v>
      </c>
      <c r="T6313" s="29" t="str">
        <f t="shared" si="286"/>
        <v>2023.015P.Geminiviridae_rename_sp.zip</v>
      </c>
      <c r="U6313" s="29" t="str">
        <f>HYPERLINK("https://ictv.global/taxonomy/taxondetails?taxnode_id=202303215","ictv.global=202303215")</f>
        <v>ictv.global=202303215</v>
      </c>
    </row>
    <row r="6314" spans="1:21">
      <c r="A6314">
        <v>6313</v>
      </c>
      <c r="B6314" s="30" t="s">
        <v>1956</v>
      </c>
      <c r="D6314" s="30" t="s">
        <v>1985</v>
      </c>
      <c r="F6314" s="30" t="s">
        <v>2009</v>
      </c>
      <c r="H6314" s="30" t="s">
        <v>2018</v>
      </c>
      <c r="J6314" s="30" t="s">
        <v>2019</v>
      </c>
      <c r="L6314" s="30" t="s">
        <v>499</v>
      </c>
      <c r="N6314" s="30" t="s">
        <v>500</v>
      </c>
      <c r="P6314" s="30" t="s">
        <v>13444</v>
      </c>
      <c r="Q6314" t="s">
        <v>622</v>
      </c>
      <c r="R6314" t="s">
        <v>920</v>
      </c>
      <c r="S6314">
        <v>39</v>
      </c>
      <c r="T6314" s="29" t="str">
        <f t="shared" si="286"/>
        <v>2023.015P.Geminiviridae_rename_sp.zip</v>
      </c>
      <c r="U6314" s="29" t="str">
        <f>HYPERLINK("https://ictv.global/taxonomy/taxondetails?taxnode_id=202303217","ictv.global=202303217")</f>
        <v>ictv.global=202303217</v>
      </c>
    </row>
    <row r="6315" spans="1:21">
      <c r="A6315">
        <v>6314</v>
      </c>
      <c r="B6315" s="30" t="s">
        <v>1956</v>
      </c>
      <c r="D6315" s="30" t="s">
        <v>1985</v>
      </c>
      <c r="F6315" s="30" t="s">
        <v>2009</v>
      </c>
      <c r="H6315" s="30" t="s">
        <v>2018</v>
      </c>
      <c r="J6315" s="30" t="s">
        <v>2019</v>
      </c>
      <c r="L6315" s="30" t="s">
        <v>499</v>
      </c>
      <c r="N6315" s="30" t="s">
        <v>500</v>
      </c>
      <c r="P6315" s="30" t="s">
        <v>13445</v>
      </c>
      <c r="Q6315" t="s">
        <v>622</v>
      </c>
      <c r="R6315" t="s">
        <v>920</v>
      </c>
      <c r="S6315">
        <v>39</v>
      </c>
      <c r="T6315" s="29" t="str">
        <f t="shared" si="286"/>
        <v>2023.015P.Geminiviridae_rename_sp.zip</v>
      </c>
      <c r="U6315" s="29" t="str">
        <f>HYPERLINK("https://ictv.global/taxonomy/taxondetails?taxnode_id=202303218","ictv.global=202303218")</f>
        <v>ictv.global=202303218</v>
      </c>
    </row>
    <row r="6316" spans="1:21">
      <c r="A6316">
        <v>6315</v>
      </c>
      <c r="B6316" s="30" t="s">
        <v>1956</v>
      </c>
      <c r="D6316" s="30" t="s">
        <v>1985</v>
      </c>
      <c r="F6316" s="30" t="s">
        <v>2009</v>
      </c>
      <c r="H6316" s="30" t="s">
        <v>2018</v>
      </c>
      <c r="J6316" s="30" t="s">
        <v>2019</v>
      </c>
      <c r="L6316" s="30" t="s">
        <v>499</v>
      </c>
      <c r="N6316" s="30" t="s">
        <v>500</v>
      </c>
      <c r="P6316" s="30" t="s">
        <v>13446</v>
      </c>
      <c r="Q6316" t="s">
        <v>622</v>
      </c>
      <c r="R6316" t="s">
        <v>920</v>
      </c>
      <c r="S6316">
        <v>39</v>
      </c>
      <c r="T6316" s="29" t="str">
        <f t="shared" si="286"/>
        <v>2023.015P.Geminiviridae_rename_sp.zip</v>
      </c>
      <c r="U6316" s="29" t="str">
        <f>HYPERLINK("https://ictv.global/taxonomy/taxondetails?taxnode_id=202305791","ictv.global=202305791")</f>
        <v>ictv.global=202305791</v>
      </c>
    </row>
    <row r="6317" spans="1:21">
      <c r="A6317">
        <v>6316</v>
      </c>
      <c r="B6317" s="30" t="s">
        <v>1956</v>
      </c>
      <c r="D6317" s="30" t="s">
        <v>1985</v>
      </c>
      <c r="F6317" s="30" t="s">
        <v>2009</v>
      </c>
      <c r="H6317" s="30" t="s">
        <v>2018</v>
      </c>
      <c r="J6317" s="30" t="s">
        <v>2019</v>
      </c>
      <c r="L6317" s="30" t="s">
        <v>499</v>
      </c>
      <c r="N6317" s="30" t="s">
        <v>500</v>
      </c>
      <c r="P6317" s="30" t="s">
        <v>13447</v>
      </c>
      <c r="Q6317" t="s">
        <v>622</v>
      </c>
      <c r="R6317" t="s">
        <v>920</v>
      </c>
      <c r="S6317">
        <v>39</v>
      </c>
      <c r="T6317" s="29" t="str">
        <f t="shared" si="286"/>
        <v>2023.015P.Geminiviridae_rename_sp.zip</v>
      </c>
      <c r="U6317" s="29" t="str">
        <f>HYPERLINK("https://ictv.global/taxonomy/taxondetails?taxnode_id=202305792","ictv.global=202305792")</f>
        <v>ictv.global=202305792</v>
      </c>
    </row>
    <row r="6318" spans="1:21">
      <c r="A6318">
        <v>6317</v>
      </c>
      <c r="B6318" s="30" t="s">
        <v>1956</v>
      </c>
      <c r="D6318" s="30" t="s">
        <v>1985</v>
      </c>
      <c r="F6318" s="30" t="s">
        <v>2009</v>
      </c>
      <c r="H6318" s="30" t="s">
        <v>2018</v>
      </c>
      <c r="J6318" s="30" t="s">
        <v>2019</v>
      </c>
      <c r="L6318" s="30" t="s">
        <v>499</v>
      </c>
      <c r="N6318" s="30" t="s">
        <v>500</v>
      </c>
      <c r="P6318" s="30" t="s">
        <v>13448</v>
      </c>
      <c r="Q6318" t="s">
        <v>622</v>
      </c>
      <c r="R6318" t="s">
        <v>920</v>
      </c>
      <c r="S6318">
        <v>39</v>
      </c>
      <c r="T6318" s="29" t="str">
        <f t="shared" si="286"/>
        <v>2023.015P.Geminiviridae_rename_sp.zip</v>
      </c>
      <c r="U6318" s="29" t="str">
        <f>HYPERLINK("https://ictv.global/taxonomy/taxondetails?taxnode_id=202303484","ictv.global=202303484")</f>
        <v>ictv.global=202303484</v>
      </c>
    </row>
    <row r="6319" spans="1:21">
      <c r="A6319">
        <v>6318</v>
      </c>
      <c r="B6319" s="30" t="s">
        <v>1956</v>
      </c>
      <c r="D6319" s="30" t="s">
        <v>1985</v>
      </c>
      <c r="F6319" s="30" t="s">
        <v>2009</v>
      </c>
      <c r="H6319" s="30" t="s">
        <v>2018</v>
      </c>
      <c r="J6319" s="30" t="s">
        <v>2019</v>
      </c>
      <c r="L6319" s="30" t="s">
        <v>499</v>
      </c>
      <c r="N6319" s="30" t="s">
        <v>500</v>
      </c>
      <c r="P6319" s="30" t="s">
        <v>13449</v>
      </c>
      <c r="Q6319" t="s">
        <v>739</v>
      </c>
      <c r="R6319" t="s">
        <v>920</v>
      </c>
      <c r="S6319">
        <v>39</v>
      </c>
      <c r="T6319" s="29" t="str">
        <f t="shared" si="286"/>
        <v>2023.015P.Geminiviridae_rename_sp.zip</v>
      </c>
      <c r="U6319" s="29" t="str">
        <f>HYPERLINK("https://ictv.global/taxonomy/taxondetails?taxnode_id=202309119","ictv.global=202309119")</f>
        <v>ictv.global=202309119</v>
      </c>
    </row>
    <row r="6320" spans="1:21">
      <c r="A6320">
        <v>6319</v>
      </c>
      <c r="B6320" s="30" t="s">
        <v>1956</v>
      </c>
      <c r="D6320" s="30" t="s">
        <v>1985</v>
      </c>
      <c r="F6320" s="30" t="s">
        <v>2009</v>
      </c>
      <c r="H6320" s="30" t="s">
        <v>2018</v>
      </c>
      <c r="J6320" s="30" t="s">
        <v>2019</v>
      </c>
      <c r="L6320" s="30" t="s">
        <v>499</v>
      </c>
      <c r="N6320" s="30" t="s">
        <v>500</v>
      </c>
      <c r="P6320" s="30" t="s">
        <v>13450</v>
      </c>
      <c r="Q6320" t="s">
        <v>622</v>
      </c>
      <c r="R6320" t="s">
        <v>920</v>
      </c>
      <c r="S6320">
        <v>39</v>
      </c>
      <c r="T6320" s="29" t="str">
        <f t="shared" si="286"/>
        <v>2023.015P.Geminiviridae_rename_sp.zip</v>
      </c>
      <c r="U6320" s="29" t="str">
        <f>HYPERLINK("https://ictv.global/taxonomy/taxondetails?taxnode_id=202303220","ictv.global=202303220")</f>
        <v>ictv.global=202303220</v>
      </c>
    </row>
    <row r="6321" spans="1:21">
      <c r="A6321">
        <v>6320</v>
      </c>
      <c r="B6321" s="30" t="s">
        <v>1956</v>
      </c>
      <c r="D6321" s="30" t="s">
        <v>1985</v>
      </c>
      <c r="F6321" s="30" t="s">
        <v>2009</v>
      </c>
      <c r="H6321" s="30" t="s">
        <v>2018</v>
      </c>
      <c r="J6321" s="30" t="s">
        <v>2019</v>
      </c>
      <c r="L6321" s="30" t="s">
        <v>499</v>
      </c>
      <c r="N6321" s="30" t="s">
        <v>500</v>
      </c>
      <c r="P6321" s="30" t="s">
        <v>13451</v>
      </c>
      <c r="Q6321" t="s">
        <v>622</v>
      </c>
      <c r="R6321" t="s">
        <v>920</v>
      </c>
      <c r="S6321">
        <v>39</v>
      </c>
      <c r="T6321" s="29" t="str">
        <f t="shared" si="286"/>
        <v>2023.015P.Geminiviridae_rename_sp.zip</v>
      </c>
      <c r="U6321" s="29" t="str">
        <f>HYPERLINK("https://ictv.global/taxonomy/taxondetails?taxnode_id=202303221","ictv.global=202303221")</f>
        <v>ictv.global=202303221</v>
      </c>
    </row>
    <row r="6322" spans="1:21">
      <c r="A6322">
        <v>6321</v>
      </c>
      <c r="B6322" s="30" t="s">
        <v>1956</v>
      </c>
      <c r="D6322" s="30" t="s">
        <v>1985</v>
      </c>
      <c r="F6322" s="30" t="s">
        <v>2009</v>
      </c>
      <c r="H6322" s="30" t="s">
        <v>2018</v>
      </c>
      <c r="J6322" s="30" t="s">
        <v>2019</v>
      </c>
      <c r="L6322" s="30" t="s">
        <v>499</v>
      </c>
      <c r="N6322" s="30" t="s">
        <v>500</v>
      </c>
      <c r="P6322" s="30" t="s">
        <v>13452</v>
      </c>
      <c r="Q6322" t="s">
        <v>622</v>
      </c>
      <c r="R6322" t="s">
        <v>920</v>
      </c>
      <c r="S6322">
        <v>39</v>
      </c>
      <c r="T6322" s="29" t="str">
        <f t="shared" si="286"/>
        <v>2023.015P.Geminiviridae_rename_sp.zip</v>
      </c>
      <c r="U6322" s="29" t="str">
        <f>HYPERLINK("https://ictv.global/taxonomy/taxondetails?taxnode_id=202303219","ictv.global=202303219")</f>
        <v>ictv.global=202303219</v>
      </c>
    </row>
    <row r="6323" spans="1:21">
      <c r="A6323">
        <v>6322</v>
      </c>
      <c r="B6323" s="30" t="s">
        <v>1956</v>
      </c>
      <c r="D6323" s="30" t="s">
        <v>1985</v>
      </c>
      <c r="F6323" s="30" t="s">
        <v>2009</v>
      </c>
      <c r="H6323" s="30" t="s">
        <v>2018</v>
      </c>
      <c r="J6323" s="30" t="s">
        <v>2019</v>
      </c>
      <c r="L6323" s="30" t="s">
        <v>499</v>
      </c>
      <c r="N6323" s="30" t="s">
        <v>500</v>
      </c>
      <c r="P6323" s="30" t="s">
        <v>13453</v>
      </c>
      <c r="Q6323" t="s">
        <v>622</v>
      </c>
      <c r="R6323" t="s">
        <v>920</v>
      </c>
      <c r="S6323">
        <v>39</v>
      </c>
      <c r="T6323" s="29" t="str">
        <f t="shared" si="286"/>
        <v>2023.015P.Geminiviridae_rename_sp.zip</v>
      </c>
      <c r="U6323" s="29" t="str">
        <f>HYPERLINK("https://ictv.global/taxonomy/taxondetails?taxnode_id=202303222","ictv.global=202303222")</f>
        <v>ictv.global=202303222</v>
      </c>
    </row>
    <row r="6324" spans="1:21">
      <c r="A6324">
        <v>6323</v>
      </c>
      <c r="B6324" s="30" t="s">
        <v>1956</v>
      </c>
      <c r="D6324" s="30" t="s">
        <v>1985</v>
      </c>
      <c r="F6324" s="30" t="s">
        <v>2009</v>
      </c>
      <c r="H6324" s="30" t="s">
        <v>2018</v>
      </c>
      <c r="J6324" s="30" t="s">
        <v>2019</v>
      </c>
      <c r="L6324" s="30" t="s">
        <v>499</v>
      </c>
      <c r="N6324" s="30" t="s">
        <v>500</v>
      </c>
      <c r="P6324" s="30" t="s">
        <v>13454</v>
      </c>
      <c r="Q6324" t="s">
        <v>622</v>
      </c>
      <c r="R6324" t="s">
        <v>920</v>
      </c>
      <c r="S6324">
        <v>39</v>
      </c>
      <c r="T6324" s="29" t="str">
        <f t="shared" si="286"/>
        <v>2023.015P.Geminiviridae_rename_sp.zip</v>
      </c>
      <c r="U6324" s="29" t="str">
        <f>HYPERLINK("https://ictv.global/taxonomy/taxondetails?taxnode_id=202303190","ictv.global=202303190")</f>
        <v>ictv.global=202303190</v>
      </c>
    </row>
    <row r="6325" spans="1:21">
      <c r="A6325">
        <v>6324</v>
      </c>
      <c r="B6325" s="30" t="s">
        <v>1956</v>
      </c>
      <c r="D6325" s="30" t="s">
        <v>1985</v>
      </c>
      <c r="F6325" s="30" t="s">
        <v>2009</v>
      </c>
      <c r="H6325" s="30" t="s">
        <v>2018</v>
      </c>
      <c r="J6325" s="30" t="s">
        <v>2019</v>
      </c>
      <c r="L6325" s="30" t="s">
        <v>499</v>
      </c>
      <c r="N6325" s="30" t="s">
        <v>500</v>
      </c>
      <c r="P6325" s="30" t="s">
        <v>13455</v>
      </c>
      <c r="Q6325" t="s">
        <v>622</v>
      </c>
      <c r="R6325" t="s">
        <v>920</v>
      </c>
      <c r="S6325">
        <v>39</v>
      </c>
      <c r="T6325" s="29" t="str">
        <f t="shared" si="286"/>
        <v>2023.015P.Geminiviridae_rename_sp.zip</v>
      </c>
      <c r="U6325" s="29" t="str">
        <f>HYPERLINK("https://ictv.global/taxonomy/taxondetails?taxnode_id=202303231","ictv.global=202303231")</f>
        <v>ictv.global=202303231</v>
      </c>
    </row>
    <row r="6326" spans="1:21">
      <c r="A6326">
        <v>6325</v>
      </c>
      <c r="B6326" s="30" t="s">
        <v>1956</v>
      </c>
      <c r="D6326" s="30" t="s">
        <v>1985</v>
      </c>
      <c r="F6326" s="30" t="s">
        <v>2009</v>
      </c>
      <c r="H6326" s="30" t="s">
        <v>2018</v>
      </c>
      <c r="J6326" s="30" t="s">
        <v>2019</v>
      </c>
      <c r="L6326" s="30" t="s">
        <v>499</v>
      </c>
      <c r="N6326" s="30" t="s">
        <v>500</v>
      </c>
      <c r="P6326" s="30" t="s">
        <v>13456</v>
      </c>
      <c r="Q6326" t="s">
        <v>622</v>
      </c>
      <c r="R6326" t="s">
        <v>920</v>
      </c>
      <c r="S6326">
        <v>39</v>
      </c>
      <c r="T6326" s="29" t="str">
        <f t="shared" si="286"/>
        <v>2023.015P.Geminiviridae_rename_sp.zip</v>
      </c>
      <c r="U6326" s="29" t="str">
        <f>HYPERLINK("https://ictv.global/taxonomy/taxondetails?taxnode_id=202303378","ictv.global=202303378")</f>
        <v>ictv.global=202303378</v>
      </c>
    </row>
    <row r="6327" spans="1:21">
      <c r="A6327">
        <v>6326</v>
      </c>
      <c r="B6327" s="30" t="s">
        <v>1956</v>
      </c>
      <c r="D6327" s="30" t="s">
        <v>1985</v>
      </c>
      <c r="F6327" s="30" t="s">
        <v>2009</v>
      </c>
      <c r="H6327" s="30" t="s">
        <v>2018</v>
      </c>
      <c r="J6327" s="30" t="s">
        <v>2019</v>
      </c>
      <c r="L6327" s="30" t="s">
        <v>499</v>
      </c>
      <c r="N6327" s="30" t="s">
        <v>500</v>
      </c>
      <c r="P6327" s="30" t="s">
        <v>13457</v>
      </c>
      <c r="Q6327" t="s">
        <v>622</v>
      </c>
      <c r="R6327" t="s">
        <v>920</v>
      </c>
      <c r="S6327">
        <v>39</v>
      </c>
      <c r="T6327" s="29" t="str">
        <f t="shared" si="286"/>
        <v>2023.015P.Geminiviridae_rename_sp.zip</v>
      </c>
      <c r="U6327" s="29" t="str">
        <f>HYPERLINK("https://ictv.global/taxonomy/taxondetails?taxnode_id=202303232","ictv.global=202303232")</f>
        <v>ictv.global=202303232</v>
      </c>
    </row>
    <row r="6328" spans="1:21">
      <c r="A6328">
        <v>6327</v>
      </c>
      <c r="B6328" s="30" t="s">
        <v>1956</v>
      </c>
      <c r="D6328" s="30" t="s">
        <v>1985</v>
      </c>
      <c r="F6328" s="30" t="s">
        <v>2009</v>
      </c>
      <c r="H6328" s="30" t="s">
        <v>2018</v>
      </c>
      <c r="J6328" s="30" t="s">
        <v>2019</v>
      </c>
      <c r="L6328" s="30" t="s">
        <v>499</v>
      </c>
      <c r="N6328" s="30" t="s">
        <v>500</v>
      </c>
      <c r="P6328" s="30" t="s">
        <v>13458</v>
      </c>
      <c r="Q6328" t="s">
        <v>739</v>
      </c>
      <c r="R6328" t="s">
        <v>920</v>
      </c>
      <c r="S6328">
        <v>39</v>
      </c>
      <c r="T6328" s="29" t="str">
        <f t="shared" si="286"/>
        <v>2023.015P.Geminiviridae_rename_sp.zip</v>
      </c>
      <c r="U6328" s="29" t="str">
        <f>HYPERLINK("https://ictv.global/taxonomy/taxondetails?taxnode_id=202307521","ictv.global=202307521")</f>
        <v>ictv.global=202307521</v>
      </c>
    </row>
    <row r="6329" spans="1:21">
      <c r="A6329">
        <v>6328</v>
      </c>
      <c r="B6329" s="30" t="s">
        <v>1956</v>
      </c>
      <c r="D6329" s="30" t="s">
        <v>1985</v>
      </c>
      <c r="F6329" s="30" t="s">
        <v>2009</v>
      </c>
      <c r="H6329" s="30" t="s">
        <v>2018</v>
      </c>
      <c r="J6329" s="30" t="s">
        <v>2019</v>
      </c>
      <c r="L6329" s="30" t="s">
        <v>499</v>
      </c>
      <c r="N6329" s="30" t="s">
        <v>500</v>
      </c>
      <c r="P6329" s="30" t="s">
        <v>13459</v>
      </c>
      <c r="Q6329" t="s">
        <v>739</v>
      </c>
      <c r="R6329" t="s">
        <v>920</v>
      </c>
      <c r="S6329">
        <v>39</v>
      </c>
      <c r="T6329" s="29" t="str">
        <f t="shared" si="286"/>
        <v>2023.015P.Geminiviridae_rename_sp.zip</v>
      </c>
      <c r="U6329" s="29" t="str">
        <f>HYPERLINK("https://ictv.global/taxonomy/taxondetails?taxnode_id=202309120","ictv.global=202309120")</f>
        <v>ictv.global=202309120</v>
      </c>
    </row>
    <row r="6330" spans="1:21">
      <c r="A6330">
        <v>6329</v>
      </c>
      <c r="B6330" s="30" t="s">
        <v>1956</v>
      </c>
      <c r="D6330" s="30" t="s">
        <v>1985</v>
      </c>
      <c r="F6330" s="30" t="s">
        <v>2009</v>
      </c>
      <c r="H6330" s="30" t="s">
        <v>2018</v>
      </c>
      <c r="J6330" s="30" t="s">
        <v>2019</v>
      </c>
      <c r="L6330" s="30" t="s">
        <v>499</v>
      </c>
      <c r="N6330" s="30" t="s">
        <v>500</v>
      </c>
      <c r="P6330" s="30" t="s">
        <v>13460</v>
      </c>
      <c r="Q6330" t="s">
        <v>739</v>
      </c>
      <c r="R6330" t="s">
        <v>920</v>
      </c>
      <c r="S6330">
        <v>39</v>
      </c>
      <c r="T6330" s="29" t="str">
        <f t="shared" si="286"/>
        <v>2023.015P.Geminiviridae_rename_sp.zip</v>
      </c>
      <c r="U6330" s="29" t="str">
        <f>HYPERLINK("https://ictv.global/taxonomy/taxondetails?taxnode_id=202307526","ictv.global=202307526")</f>
        <v>ictv.global=202307526</v>
      </c>
    </row>
    <row r="6331" spans="1:21">
      <c r="A6331">
        <v>6330</v>
      </c>
      <c r="B6331" s="30" t="s">
        <v>1956</v>
      </c>
      <c r="D6331" s="30" t="s">
        <v>1985</v>
      </c>
      <c r="F6331" s="30" t="s">
        <v>2009</v>
      </c>
      <c r="H6331" s="30" t="s">
        <v>2018</v>
      </c>
      <c r="J6331" s="30" t="s">
        <v>2019</v>
      </c>
      <c r="L6331" s="30" t="s">
        <v>499</v>
      </c>
      <c r="N6331" s="30" t="s">
        <v>500</v>
      </c>
      <c r="P6331" s="30" t="s">
        <v>13461</v>
      </c>
      <c r="Q6331" t="s">
        <v>622</v>
      </c>
      <c r="R6331" t="s">
        <v>920</v>
      </c>
      <c r="S6331">
        <v>39</v>
      </c>
      <c r="T6331" s="29" t="str">
        <f t="shared" si="286"/>
        <v>2023.015P.Geminiviridae_rename_sp.zip</v>
      </c>
      <c r="U6331" s="29" t="str">
        <f>HYPERLINK("https://ictv.global/taxonomy/taxondetails?taxnode_id=202303288","ictv.global=202303288")</f>
        <v>ictv.global=202303288</v>
      </c>
    </row>
    <row r="6332" spans="1:21">
      <c r="A6332">
        <v>6331</v>
      </c>
      <c r="B6332" s="30" t="s">
        <v>1956</v>
      </c>
      <c r="D6332" s="30" t="s">
        <v>1985</v>
      </c>
      <c r="F6332" s="30" t="s">
        <v>2009</v>
      </c>
      <c r="H6332" s="30" t="s">
        <v>2018</v>
      </c>
      <c r="J6332" s="30" t="s">
        <v>2019</v>
      </c>
      <c r="L6332" s="30" t="s">
        <v>499</v>
      </c>
      <c r="N6332" s="30" t="s">
        <v>500</v>
      </c>
      <c r="P6332" s="30" t="s">
        <v>13462</v>
      </c>
      <c r="Q6332" t="s">
        <v>622</v>
      </c>
      <c r="R6332" t="s">
        <v>920</v>
      </c>
      <c r="S6332">
        <v>39</v>
      </c>
      <c r="T6332" s="29" t="str">
        <f t="shared" si="286"/>
        <v>2023.015P.Geminiviridae_rename_sp.zip</v>
      </c>
      <c r="U6332" s="29" t="str">
        <f>HYPERLINK("https://ictv.global/taxonomy/taxondetails?taxnode_id=202303371","ictv.global=202303371")</f>
        <v>ictv.global=202303371</v>
      </c>
    </row>
    <row r="6333" spans="1:21">
      <c r="A6333">
        <v>6332</v>
      </c>
      <c r="B6333" s="30" t="s">
        <v>1956</v>
      </c>
      <c r="D6333" s="30" t="s">
        <v>1985</v>
      </c>
      <c r="F6333" s="30" t="s">
        <v>2009</v>
      </c>
      <c r="H6333" s="30" t="s">
        <v>2018</v>
      </c>
      <c r="J6333" s="30" t="s">
        <v>2019</v>
      </c>
      <c r="L6333" s="30" t="s">
        <v>499</v>
      </c>
      <c r="N6333" s="30" t="s">
        <v>500</v>
      </c>
      <c r="P6333" s="30" t="s">
        <v>13463</v>
      </c>
      <c r="Q6333" t="s">
        <v>622</v>
      </c>
      <c r="R6333" t="s">
        <v>920</v>
      </c>
      <c r="S6333">
        <v>39</v>
      </c>
      <c r="T6333" s="29" t="str">
        <f t="shared" si="286"/>
        <v>2023.015P.Geminiviridae_rename_sp.zip</v>
      </c>
      <c r="U6333" s="29" t="str">
        <f>HYPERLINK("https://ictv.global/taxonomy/taxondetails?taxnode_id=202303233","ictv.global=202303233")</f>
        <v>ictv.global=202303233</v>
      </c>
    </row>
    <row r="6334" spans="1:21">
      <c r="A6334">
        <v>6333</v>
      </c>
      <c r="B6334" s="30" t="s">
        <v>1956</v>
      </c>
      <c r="D6334" s="30" t="s">
        <v>1985</v>
      </c>
      <c r="F6334" s="30" t="s">
        <v>2009</v>
      </c>
      <c r="H6334" s="30" t="s">
        <v>2018</v>
      </c>
      <c r="J6334" s="30" t="s">
        <v>2019</v>
      </c>
      <c r="L6334" s="30" t="s">
        <v>499</v>
      </c>
      <c r="N6334" s="30" t="s">
        <v>500</v>
      </c>
      <c r="P6334" s="30" t="s">
        <v>13464</v>
      </c>
      <c r="Q6334" t="s">
        <v>622</v>
      </c>
      <c r="R6334" t="s">
        <v>920</v>
      </c>
      <c r="S6334">
        <v>39</v>
      </c>
      <c r="T6334" s="29" t="str">
        <f t="shared" si="286"/>
        <v>2023.015P.Geminiviridae_rename_sp.zip</v>
      </c>
      <c r="U6334" s="29" t="str">
        <f>HYPERLINK("https://ictv.global/taxonomy/taxondetails?taxnode_id=202303320","ictv.global=202303320")</f>
        <v>ictv.global=202303320</v>
      </c>
    </row>
    <row r="6335" spans="1:21">
      <c r="A6335">
        <v>6334</v>
      </c>
      <c r="B6335" s="30" t="s">
        <v>1956</v>
      </c>
      <c r="D6335" s="30" t="s">
        <v>1985</v>
      </c>
      <c r="F6335" s="30" t="s">
        <v>2009</v>
      </c>
      <c r="H6335" s="30" t="s">
        <v>2018</v>
      </c>
      <c r="J6335" s="30" t="s">
        <v>2019</v>
      </c>
      <c r="L6335" s="30" t="s">
        <v>499</v>
      </c>
      <c r="N6335" s="30" t="s">
        <v>500</v>
      </c>
      <c r="P6335" s="30" t="s">
        <v>13465</v>
      </c>
      <c r="Q6335" t="s">
        <v>622</v>
      </c>
      <c r="R6335" t="s">
        <v>920</v>
      </c>
      <c r="S6335">
        <v>39</v>
      </c>
      <c r="T6335" s="29" t="str">
        <f t="shared" si="286"/>
        <v>2023.015P.Geminiviridae_rename_sp.zip</v>
      </c>
      <c r="U6335" s="29" t="str">
        <f>HYPERLINK("https://ictv.global/taxonomy/taxondetails?taxnode_id=202303373","ictv.global=202303373")</f>
        <v>ictv.global=202303373</v>
      </c>
    </row>
    <row r="6336" spans="1:21">
      <c r="A6336">
        <v>6335</v>
      </c>
      <c r="B6336" s="30" t="s">
        <v>1956</v>
      </c>
      <c r="D6336" s="30" t="s">
        <v>1985</v>
      </c>
      <c r="F6336" s="30" t="s">
        <v>2009</v>
      </c>
      <c r="H6336" s="30" t="s">
        <v>2018</v>
      </c>
      <c r="J6336" s="30" t="s">
        <v>2019</v>
      </c>
      <c r="L6336" s="30" t="s">
        <v>499</v>
      </c>
      <c r="N6336" s="30" t="s">
        <v>500</v>
      </c>
      <c r="P6336" s="30" t="s">
        <v>13466</v>
      </c>
      <c r="Q6336" t="s">
        <v>622</v>
      </c>
      <c r="R6336" t="s">
        <v>920</v>
      </c>
      <c r="S6336">
        <v>39</v>
      </c>
      <c r="T6336" s="29" t="str">
        <f t="shared" si="286"/>
        <v>2023.015P.Geminiviridae_rename_sp.zip</v>
      </c>
      <c r="U6336" s="29" t="str">
        <f>HYPERLINK("https://ictv.global/taxonomy/taxondetails?taxnode_id=202303372","ictv.global=202303372")</f>
        <v>ictv.global=202303372</v>
      </c>
    </row>
    <row r="6337" spans="1:21">
      <c r="A6337">
        <v>6336</v>
      </c>
      <c r="B6337" s="30" t="s">
        <v>1956</v>
      </c>
      <c r="D6337" s="30" t="s">
        <v>1985</v>
      </c>
      <c r="F6337" s="30" t="s">
        <v>2009</v>
      </c>
      <c r="H6337" s="30" t="s">
        <v>2018</v>
      </c>
      <c r="J6337" s="30" t="s">
        <v>2019</v>
      </c>
      <c r="L6337" s="30" t="s">
        <v>499</v>
      </c>
      <c r="N6337" s="30" t="s">
        <v>500</v>
      </c>
      <c r="P6337" s="30" t="s">
        <v>13467</v>
      </c>
      <c r="Q6337" t="s">
        <v>622</v>
      </c>
      <c r="R6337" t="s">
        <v>920</v>
      </c>
      <c r="S6337">
        <v>39</v>
      </c>
      <c r="T6337" s="29" t="str">
        <f t="shared" si="286"/>
        <v>2023.015P.Geminiviridae_rename_sp.zip</v>
      </c>
      <c r="U6337" s="29" t="str">
        <f>HYPERLINK("https://ictv.global/taxonomy/taxondetails?taxnode_id=202303375","ictv.global=202303375")</f>
        <v>ictv.global=202303375</v>
      </c>
    </row>
    <row r="6338" spans="1:21">
      <c r="A6338">
        <v>6337</v>
      </c>
      <c r="B6338" s="30" t="s">
        <v>1956</v>
      </c>
      <c r="D6338" s="30" t="s">
        <v>1985</v>
      </c>
      <c r="F6338" s="30" t="s">
        <v>2009</v>
      </c>
      <c r="H6338" s="30" t="s">
        <v>2018</v>
      </c>
      <c r="J6338" s="30" t="s">
        <v>2019</v>
      </c>
      <c r="L6338" s="30" t="s">
        <v>499</v>
      </c>
      <c r="N6338" s="30" t="s">
        <v>500</v>
      </c>
      <c r="P6338" s="30" t="s">
        <v>13468</v>
      </c>
      <c r="Q6338" t="s">
        <v>622</v>
      </c>
      <c r="R6338" t="s">
        <v>920</v>
      </c>
      <c r="S6338">
        <v>39</v>
      </c>
      <c r="T6338" s="29" t="str">
        <f t="shared" si="286"/>
        <v>2023.015P.Geminiviridae_rename_sp.zip</v>
      </c>
      <c r="U6338" s="29" t="str">
        <f>HYPERLINK("https://ictv.global/taxonomy/taxondetails?taxnode_id=202303374","ictv.global=202303374")</f>
        <v>ictv.global=202303374</v>
      </c>
    </row>
    <row r="6339" spans="1:21">
      <c r="A6339">
        <v>6338</v>
      </c>
      <c r="B6339" s="30" t="s">
        <v>1956</v>
      </c>
      <c r="D6339" s="30" t="s">
        <v>1985</v>
      </c>
      <c r="F6339" s="30" t="s">
        <v>2009</v>
      </c>
      <c r="H6339" s="30" t="s">
        <v>2018</v>
      </c>
      <c r="J6339" s="30" t="s">
        <v>2019</v>
      </c>
      <c r="L6339" s="30" t="s">
        <v>499</v>
      </c>
      <c r="N6339" s="30" t="s">
        <v>500</v>
      </c>
      <c r="P6339" s="30" t="s">
        <v>13469</v>
      </c>
      <c r="Q6339" t="s">
        <v>622</v>
      </c>
      <c r="R6339" t="s">
        <v>920</v>
      </c>
      <c r="S6339">
        <v>39</v>
      </c>
      <c r="T6339" s="29" t="str">
        <f t="shared" si="286"/>
        <v>2023.015P.Geminiviridae_rename_sp.zip</v>
      </c>
      <c r="U6339" s="29" t="str">
        <f>HYPERLINK("https://ictv.global/taxonomy/taxondetails?taxnode_id=202303234","ictv.global=202303234")</f>
        <v>ictv.global=202303234</v>
      </c>
    </row>
    <row r="6340" spans="1:21">
      <c r="A6340">
        <v>6339</v>
      </c>
      <c r="B6340" s="30" t="s">
        <v>1956</v>
      </c>
      <c r="D6340" s="30" t="s">
        <v>1985</v>
      </c>
      <c r="F6340" s="30" t="s">
        <v>2009</v>
      </c>
      <c r="H6340" s="30" t="s">
        <v>2018</v>
      </c>
      <c r="J6340" s="30" t="s">
        <v>2019</v>
      </c>
      <c r="L6340" s="30" t="s">
        <v>499</v>
      </c>
      <c r="N6340" s="30" t="s">
        <v>500</v>
      </c>
      <c r="P6340" s="30" t="s">
        <v>13470</v>
      </c>
      <c r="Q6340" t="s">
        <v>622</v>
      </c>
      <c r="R6340" t="s">
        <v>920</v>
      </c>
      <c r="S6340">
        <v>39</v>
      </c>
      <c r="T6340" s="29" t="str">
        <f t="shared" si="286"/>
        <v>2023.015P.Geminiviridae_rename_sp.zip</v>
      </c>
      <c r="U6340" s="29" t="str">
        <f>HYPERLINK("https://ictv.global/taxonomy/taxondetails?taxnode_id=202303235","ictv.global=202303235")</f>
        <v>ictv.global=202303235</v>
      </c>
    </row>
    <row r="6341" spans="1:21">
      <c r="A6341">
        <v>6340</v>
      </c>
      <c r="B6341" s="30" t="s">
        <v>1956</v>
      </c>
      <c r="D6341" s="30" t="s">
        <v>1985</v>
      </c>
      <c r="F6341" s="30" t="s">
        <v>2009</v>
      </c>
      <c r="H6341" s="30" t="s">
        <v>2018</v>
      </c>
      <c r="J6341" s="30" t="s">
        <v>2019</v>
      </c>
      <c r="L6341" s="30" t="s">
        <v>499</v>
      </c>
      <c r="N6341" s="30" t="s">
        <v>500</v>
      </c>
      <c r="P6341" s="30" t="s">
        <v>13471</v>
      </c>
      <c r="Q6341" t="s">
        <v>622</v>
      </c>
      <c r="R6341" t="s">
        <v>920</v>
      </c>
      <c r="S6341">
        <v>39</v>
      </c>
      <c r="T6341" s="29" t="str">
        <f t="shared" si="286"/>
        <v>2023.015P.Geminiviridae_rename_sp.zip</v>
      </c>
      <c r="U6341" s="29" t="str">
        <f>HYPERLINK("https://ictv.global/taxonomy/taxondetails?taxnode_id=202306700","ictv.global=202306700")</f>
        <v>ictv.global=202306700</v>
      </c>
    </row>
    <row r="6342" spans="1:21">
      <c r="A6342">
        <v>6341</v>
      </c>
      <c r="B6342" s="30" t="s">
        <v>1956</v>
      </c>
      <c r="D6342" s="30" t="s">
        <v>1985</v>
      </c>
      <c r="F6342" s="30" t="s">
        <v>2009</v>
      </c>
      <c r="H6342" s="30" t="s">
        <v>2018</v>
      </c>
      <c r="J6342" s="30" t="s">
        <v>2019</v>
      </c>
      <c r="L6342" s="30" t="s">
        <v>499</v>
      </c>
      <c r="N6342" s="30" t="s">
        <v>500</v>
      </c>
      <c r="P6342" s="30" t="s">
        <v>13472</v>
      </c>
      <c r="Q6342" t="s">
        <v>622</v>
      </c>
      <c r="R6342" t="s">
        <v>920</v>
      </c>
      <c r="S6342">
        <v>39</v>
      </c>
      <c r="T6342" s="29" t="str">
        <f t="shared" si="286"/>
        <v>2023.015P.Geminiviridae_rename_sp.zip</v>
      </c>
      <c r="U6342" s="29" t="str">
        <f>HYPERLINK("https://ictv.global/taxonomy/taxondetails?taxnode_id=202305797","ictv.global=202305797")</f>
        <v>ictv.global=202305797</v>
      </c>
    </row>
    <row r="6343" spans="1:21">
      <c r="A6343">
        <v>6342</v>
      </c>
      <c r="B6343" s="30" t="s">
        <v>1956</v>
      </c>
      <c r="D6343" s="30" t="s">
        <v>1985</v>
      </c>
      <c r="F6343" s="30" t="s">
        <v>2009</v>
      </c>
      <c r="H6343" s="30" t="s">
        <v>2018</v>
      </c>
      <c r="J6343" s="30" t="s">
        <v>2019</v>
      </c>
      <c r="L6343" s="30" t="s">
        <v>499</v>
      </c>
      <c r="N6343" s="30" t="s">
        <v>500</v>
      </c>
      <c r="P6343" s="30" t="s">
        <v>13473</v>
      </c>
      <c r="Q6343" t="s">
        <v>622</v>
      </c>
      <c r="R6343" t="s">
        <v>920</v>
      </c>
      <c r="S6343">
        <v>39</v>
      </c>
      <c r="T6343" s="29" t="str">
        <f t="shared" si="286"/>
        <v>2023.015P.Geminiviridae_rename_sp.zip</v>
      </c>
      <c r="U6343" s="29" t="str">
        <f>HYPERLINK("https://ictv.global/taxonomy/taxondetails?taxnode_id=202305798","ictv.global=202305798")</f>
        <v>ictv.global=202305798</v>
      </c>
    </row>
    <row r="6344" spans="1:21">
      <c r="A6344">
        <v>6343</v>
      </c>
      <c r="B6344" s="30" t="s">
        <v>1956</v>
      </c>
      <c r="D6344" s="30" t="s">
        <v>1985</v>
      </c>
      <c r="F6344" s="30" t="s">
        <v>2009</v>
      </c>
      <c r="H6344" s="30" t="s">
        <v>2018</v>
      </c>
      <c r="J6344" s="30" t="s">
        <v>2019</v>
      </c>
      <c r="L6344" s="30" t="s">
        <v>499</v>
      </c>
      <c r="N6344" s="30" t="s">
        <v>500</v>
      </c>
      <c r="P6344" s="30" t="s">
        <v>13474</v>
      </c>
      <c r="Q6344" t="s">
        <v>622</v>
      </c>
      <c r="R6344" t="s">
        <v>920</v>
      </c>
      <c r="S6344">
        <v>39</v>
      </c>
      <c r="T6344" s="29" t="str">
        <f t="shared" si="286"/>
        <v>2023.015P.Geminiviridae_rename_sp.zip</v>
      </c>
      <c r="U6344" s="29" t="str">
        <f>HYPERLINK("https://ictv.global/taxonomy/taxondetails?taxnode_id=202303236","ictv.global=202303236")</f>
        <v>ictv.global=202303236</v>
      </c>
    </row>
    <row r="6345" spans="1:21">
      <c r="A6345">
        <v>6344</v>
      </c>
      <c r="B6345" s="30" t="s">
        <v>1956</v>
      </c>
      <c r="D6345" s="30" t="s">
        <v>1985</v>
      </c>
      <c r="F6345" s="30" t="s">
        <v>2009</v>
      </c>
      <c r="H6345" s="30" t="s">
        <v>2018</v>
      </c>
      <c r="J6345" s="30" t="s">
        <v>2019</v>
      </c>
      <c r="L6345" s="30" t="s">
        <v>499</v>
      </c>
      <c r="N6345" s="30" t="s">
        <v>500</v>
      </c>
      <c r="P6345" s="30" t="s">
        <v>13475</v>
      </c>
      <c r="Q6345" t="s">
        <v>622</v>
      </c>
      <c r="R6345" t="s">
        <v>920</v>
      </c>
      <c r="S6345">
        <v>39</v>
      </c>
      <c r="T6345" s="29" t="str">
        <f t="shared" si="286"/>
        <v>2023.015P.Geminiviridae_rename_sp.zip</v>
      </c>
      <c r="U6345" s="29" t="str">
        <f>HYPERLINK("https://ictv.global/taxonomy/taxondetails?taxnode_id=202303237","ictv.global=202303237")</f>
        <v>ictv.global=202303237</v>
      </c>
    </row>
    <row r="6346" spans="1:21">
      <c r="A6346">
        <v>6345</v>
      </c>
      <c r="B6346" s="30" t="s">
        <v>1956</v>
      </c>
      <c r="D6346" s="30" t="s">
        <v>1985</v>
      </c>
      <c r="F6346" s="30" t="s">
        <v>2009</v>
      </c>
      <c r="H6346" s="30" t="s">
        <v>2018</v>
      </c>
      <c r="J6346" s="30" t="s">
        <v>2019</v>
      </c>
      <c r="L6346" s="30" t="s">
        <v>499</v>
      </c>
      <c r="N6346" s="30" t="s">
        <v>500</v>
      </c>
      <c r="P6346" s="30" t="s">
        <v>13476</v>
      </c>
      <c r="Q6346" t="s">
        <v>622</v>
      </c>
      <c r="R6346" t="s">
        <v>920</v>
      </c>
      <c r="S6346">
        <v>39</v>
      </c>
      <c r="T6346" s="29" t="str">
        <f t="shared" si="286"/>
        <v>2023.015P.Geminiviridae_rename_sp.zip</v>
      </c>
      <c r="U6346" s="29" t="str">
        <f>HYPERLINK("https://ictv.global/taxonomy/taxondetails?taxnode_id=202303238","ictv.global=202303238")</f>
        <v>ictv.global=202303238</v>
      </c>
    </row>
    <row r="6347" spans="1:21">
      <c r="A6347">
        <v>6346</v>
      </c>
      <c r="B6347" s="30" t="s">
        <v>1956</v>
      </c>
      <c r="D6347" s="30" t="s">
        <v>1985</v>
      </c>
      <c r="F6347" s="30" t="s">
        <v>2009</v>
      </c>
      <c r="H6347" s="30" t="s">
        <v>2018</v>
      </c>
      <c r="J6347" s="30" t="s">
        <v>2019</v>
      </c>
      <c r="L6347" s="30" t="s">
        <v>499</v>
      </c>
      <c r="N6347" s="30" t="s">
        <v>500</v>
      </c>
      <c r="P6347" s="30" t="s">
        <v>13477</v>
      </c>
      <c r="Q6347" t="s">
        <v>622</v>
      </c>
      <c r="R6347" t="s">
        <v>920</v>
      </c>
      <c r="S6347">
        <v>39</v>
      </c>
      <c r="T6347" s="29" t="str">
        <f t="shared" si="286"/>
        <v>2023.015P.Geminiviridae_rename_sp.zip</v>
      </c>
      <c r="U6347" s="29" t="str">
        <f>HYPERLINK("https://ictv.global/taxonomy/taxondetails?taxnode_id=202303239","ictv.global=202303239")</f>
        <v>ictv.global=202303239</v>
      </c>
    </row>
    <row r="6348" spans="1:21">
      <c r="A6348">
        <v>6347</v>
      </c>
      <c r="B6348" s="30" t="s">
        <v>1956</v>
      </c>
      <c r="D6348" s="30" t="s">
        <v>1985</v>
      </c>
      <c r="F6348" s="30" t="s">
        <v>2009</v>
      </c>
      <c r="H6348" s="30" t="s">
        <v>2018</v>
      </c>
      <c r="J6348" s="30" t="s">
        <v>2019</v>
      </c>
      <c r="L6348" s="30" t="s">
        <v>499</v>
      </c>
      <c r="N6348" s="30" t="s">
        <v>500</v>
      </c>
      <c r="P6348" s="30" t="s">
        <v>13478</v>
      </c>
      <c r="Q6348" t="s">
        <v>622</v>
      </c>
      <c r="R6348" t="s">
        <v>920</v>
      </c>
      <c r="S6348">
        <v>39</v>
      </c>
      <c r="T6348" s="29" t="str">
        <f t="shared" si="286"/>
        <v>2023.015P.Geminiviridae_rename_sp.zip</v>
      </c>
      <c r="U6348" s="29" t="str">
        <f>HYPERLINK("https://ictv.global/taxonomy/taxondetails?taxnode_id=202305799","ictv.global=202305799")</f>
        <v>ictv.global=202305799</v>
      </c>
    </row>
    <row r="6349" spans="1:21">
      <c r="A6349">
        <v>6348</v>
      </c>
      <c r="B6349" s="30" t="s">
        <v>1956</v>
      </c>
      <c r="D6349" s="30" t="s">
        <v>1985</v>
      </c>
      <c r="F6349" s="30" t="s">
        <v>2009</v>
      </c>
      <c r="H6349" s="30" t="s">
        <v>2018</v>
      </c>
      <c r="J6349" s="30" t="s">
        <v>2019</v>
      </c>
      <c r="L6349" s="30" t="s">
        <v>499</v>
      </c>
      <c r="N6349" s="30" t="s">
        <v>500</v>
      </c>
      <c r="P6349" s="30" t="s">
        <v>13479</v>
      </c>
      <c r="Q6349" t="s">
        <v>622</v>
      </c>
      <c r="R6349" t="s">
        <v>920</v>
      </c>
      <c r="S6349">
        <v>39</v>
      </c>
      <c r="T6349" s="29" t="str">
        <f t="shared" si="286"/>
        <v>2023.015P.Geminiviridae_rename_sp.zip</v>
      </c>
      <c r="U6349" s="29" t="str">
        <f>HYPERLINK("https://ictv.global/taxonomy/taxondetails?taxnode_id=202306701","ictv.global=202306701")</f>
        <v>ictv.global=202306701</v>
      </c>
    </row>
    <row r="6350" spans="1:21">
      <c r="A6350">
        <v>6349</v>
      </c>
      <c r="B6350" s="30" t="s">
        <v>1956</v>
      </c>
      <c r="D6350" s="30" t="s">
        <v>1985</v>
      </c>
      <c r="F6350" s="30" t="s">
        <v>2009</v>
      </c>
      <c r="H6350" s="30" t="s">
        <v>2018</v>
      </c>
      <c r="J6350" s="30" t="s">
        <v>2019</v>
      </c>
      <c r="L6350" s="30" t="s">
        <v>499</v>
      </c>
      <c r="N6350" s="30" t="s">
        <v>500</v>
      </c>
      <c r="P6350" s="30" t="s">
        <v>13480</v>
      </c>
      <c r="Q6350" t="s">
        <v>622</v>
      </c>
      <c r="R6350" t="s">
        <v>920</v>
      </c>
      <c r="S6350">
        <v>39</v>
      </c>
      <c r="T6350" s="29" t="str">
        <f t="shared" si="286"/>
        <v>2023.015P.Geminiviridae_rename_sp.zip</v>
      </c>
      <c r="U6350" s="29" t="str">
        <f>HYPERLINK("https://ictv.global/taxonomy/taxondetails?taxnode_id=202303245","ictv.global=202303245")</f>
        <v>ictv.global=202303245</v>
      </c>
    </row>
    <row r="6351" spans="1:21">
      <c r="A6351">
        <v>6350</v>
      </c>
      <c r="B6351" s="30" t="s">
        <v>1956</v>
      </c>
      <c r="D6351" s="30" t="s">
        <v>1985</v>
      </c>
      <c r="F6351" s="30" t="s">
        <v>2009</v>
      </c>
      <c r="H6351" s="30" t="s">
        <v>2018</v>
      </c>
      <c r="J6351" s="30" t="s">
        <v>2019</v>
      </c>
      <c r="L6351" s="30" t="s">
        <v>499</v>
      </c>
      <c r="N6351" s="30" t="s">
        <v>500</v>
      </c>
      <c r="P6351" s="30" t="s">
        <v>13481</v>
      </c>
      <c r="Q6351" t="s">
        <v>739</v>
      </c>
      <c r="R6351" t="s">
        <v>920</v>
      </c>
      <c r="S6351">
        <v>39</v>
      </c>
      <c r="T6351" s="29" t="str">
        <f t="shared" si="286"/>
        <v>2023.015P.Geminiviridae_rename_sp.zip</v>
      </c>
      <c r="U6351" s="29" t="str">
        <f>HYPERLINK("https://ictv.global/taxonomy/taxondetails?taxnode_id=202307522","ictv.global=202307522")</f>
        <v>ictv.global=202307522</v>
      </c>
    </row>
    <row r="6352" spans="1:21">
      <c r="A6352">
        <v>6351</v>
      </c>
      <c r="B6352" s="30" t="s">
        <v>1956</v>
      </c>
      <c r="D6352" s="30" t="s">
        <v>1985</v>
      </c>
      <c r="F6352" s="30" t="s">
        <v>2009</v>
      </c>
      <c r="H6352" s="30" t="s">
        <v>2018</v>
      </c>
      <c r="J6352" s="30" t="s">
        <v>2019</v>
      </c>
      <c r="L6352" s="30" t="s">
        <v>499</v>
      </c>
      <c r="N6352" s="30" t="s">
        <v>500</v>
      </c>
      <c r="P6352" s="30" t="s">
        <v>13482</v>
      </c>
      <c r="Q6352" t="s">
        <v>622</v>
      </c>
      <c r="R6352" t="s">
        <v>920</v>
      </c>
      <c r="S6352">
        <v>39</v>
      </c>
      <c r="T6352" s="29" t="str">
        <f t="shared" si="286"/>
        <v>2023.015P.Geminiviridae_rename_sp.zip</v>
      </c>
      <c r="U6352" s="29" t="str">
        <f>HYPERLINK("https://ictv.global/taxonomy/taxondetails?taxnode_id=202306702","ictv.global=202306702")</f>
        <v>ictv.global=202306702</v>
      </c>
    </row>
    <row r="6353" spans="1:21">
      <c r="A6353">
        <v>6352</v>
      </c>
      <c r="B6353" s="30" t="s">
        <v>1956</v>
      </c>
      <c r="D6353" s="30" t="s">
        <v>1985</v>
      </c>
      <c r="F6353" s="30" t="s">
        <v>2009</v>
      </c>
      <c r="H6353" s="30" t="s">
        <v>2018</v>
      </c>
      <c r="J6353" s="30" t="s">
        <v>2019</v>
      </c>
      <c r="L6353" s="30" t="s">
        <v>499</v>
      </c>
      <c r="N6353" s="30" t="s">
        <v>500</v>
      </c>
      <c r="P6353" s="30" t="s">
        <v>13483</v>
      </c>
      <c r="Q6353" t="s">
        <v>622</v>
      </c>
      <c r="R6353" t="s">
        <v>920</v>
      </c>
      <c r="S6353">
        <v>39</v>
      </c>
      <c r="T6353" s="29" t="str">
        <f t="shared" si="286"/>
        <v>2023.015P.Geminiviridae_rename_sp.zip</v>
      </c>
      <c r="U6353" s="29" t="str">
        <f>HYPERLINK("https://ictv.global/taxonomy/taxondetails?taxnode_id=202303246","ictv.global=202303246")</f>
        <v>ictv.global=202303246</v>
      </c>
    </row>
    <row r="6354" spans="1:21">
      <c r="A6354">
        <v>6353</v>
      </c>
      <c r="B6354" s="30" t="s">
        <v>1956</v>
      </c>
      <c r="D6354" s="30" t="s">
        <v>1985</v>
      </c>
      <c r="F6354" s="30" t="s">
        <v>2009</v>
      </c>
      <c r="H6354" s="30" t="s">
        <v>2018</v>
      </c>
      <c r="J6354" s="30" t="s">
        <v>2019</v>
      </c>
      <c r="L6354" s="30" t="s">
        <v>499</v>
      </c>
      <c r="N6354" s="30" t="s">
        <v>500</v>
      </c>
      <c r="P6354" s="30" t="s">
        <v>13484</v>
      </c>
      <c r="Q6354" t="s">
        <v>622</v>
      </c>
      <c r="R6354" t="s">
        <v>920</v>
      </c>
      <c r="S6354">
        <v>39</v>
      </c>
      <c r="T6354" s="29" t="str">
        <f t="shared" si="286"/>
        <v>2023.015P.Geminiviridae_rename_sp.zip</v>
      </c>
      <c r="U6354" s="29" t="str">
        <f>HYPERLINK("https://ictv.global/taxonomy/taxondetails?taxnode_id=202303248","ictv.global=202303248")</f>
        <v>ictv.global=202303248</v>
      </c>
    </row>
    <row r="6355" spans="1:21">
      <c r="A6355">
        <v>6354</v>
      </c>
      <c r="B6355" s="30" t="s">
        <v>1956</v>
      </c>
      <c r="D6355" s="30" t="s">
        <v>1985</v>
      </c>
      <c r="F6355" s="30" t="s">
        <v>2009</v>
      </c>
      <c r="H6355" s="30" t="s">
        <v>2018</v>
      </c>
      <c r="J6355" s="30" t="s">
        <v>2019</v>
      </c>
      <c r="L6355" s="30" t="s">
        <v>499</v>
      </c>
      <c r="N6355" s="30" t="s">
        <v>500</v>
      </c>
      <c r="P6355" s="30" t="s">
        <v>13485</v>
      </c>
      <c r="Q6355" t="s">
        <v>622</v>
      </c>
      <c r="R6355" t="s">
        <v>920</v>
      </c>
      <c r="S6355">
        <v>39</v>
      </c>
      <c r="T6355" s="29" t="str">
        <f t="shared" si="286"/>
        <v>2023.015P.Geminiviridae_rename_sp.zip</v>
      </c>
      <c r="U6355" s="29" t="str">
        <f>HYPERLINK("https://ictv.global/taxonomy/taxondetails?taxnode_id=202303250","ictv.global=202303250")</f>
        <v>ictv.global=202303250</v>
      </c>
    </row>
    <row r="6356" spans="1:21">
      <c r="A6356">
        <v>6355</v>
      </c>
      <c r="B6356" s="30" t="s">
        <v>1956</v>
      </c>
      <c r="D6356" s="30" t="s">
        <v>1985</v>
      </c>
      <c r="F6356" s="30" t="s">
        <v>2009</v>
      </c>
      <c r="H6356" s="30" t="s">
        <v>2018</v>
      </c>
      <c r="J6356" s="30" t="s">
        <v>2019</v>
      </c>
      <c r="L6356" s="30" t="s">
        <v>499</v>
      </c>
      <c r="N6356" s="30" t="s">
        <v>500</v>
      </c>
      <c r="P6356" s="30" t="s">
        <v>13486</v>
      </c>
      <c r="Q6356" t="s">
        <v>622</v>
      </c>
      <c r="R6356" t="s">
        <v>920</v>
      </c>
      <c r="S6356">
        <v>39</v>
      </c>
      <c r="T6356" s="29" t="str">
        <f t="shared" si="286"/>
        <v>2023.015P.Geminiviridae_rename_sp.zip</v>
      </c>
      <c r="U6356" s="29" t="str">
        <f>HYPERLINK("https://ictv.global/taxonomy/taxondetails?taxnode_id=202305801","ictv.global=202305801")</f>
        <v>ictv.global=202305801</v>
      </c>
    </row>
    <row r="6357" spans="1:21">
      <c r="A6357">
        <v>6356</v>
      </c>
      <c r="B6357" s="30" t="s">
        <v>1956</v>
      </c>
      <c r="D6357" s="30" t="s">
        <v>1985</v>
      </c>
      <c r="F6357" s="30" t="s">
        <v>2009</v>
      </c>
      <c r="H6357" s="30" t="s">
        <v>2018</v>
      </c>
      <c r="J6357" s="30" t="s">
        <v>2019</v>
      </c>
      <c r="L6357" s="30" t="s">
        <v>499</v>
      </c>
      <c r="N6357" s="30" t="s">
        <v>500</v>
      </c>
      <c r="P6357" s="30" t="s">
        <v>13487</v>
      </c>
      <c r="Q6357" t="s">
        <v>622</v>
      </c>
      <c r="R6357" t="s">
        <v>920</v>
      </c>
      <c r="S6357">
        <v>39</v>
      </c>
      <c r="T6357" s="29" t="str">
        <f t="shared" si="286"/>
        <v>2023.015P.Geminiviridae_rename_sp.zip</v>
      </c>
      <c r="U6357" s="29" t="str">
        <f>HYPERLINK("https://ictv.global/taxonomy/taxondetails?taxnode_id=202303249","ictv.global=202303249")</f>
        <v>ictv.global=202303249</v>
      </c>
    </row>
    <row r="6358" spans="1:21">
      <c r="A6358">
        <v>6357</v>
      </c>
      <c r="B6358" s="30" t="s">
        <v>1956</v>
      </c>
      <c r="D6358" s="30" t="s">
        <v>1985</v>
      </c>
      <c r="F6358" s="30" t="s">
        <v>2009</v>
      </c>
      <c r="H6358" s="30" t="s">
        <v>2018</v>
      </c>
      <c r="J6358" s="30" t="s">
        <v>2019</v>
      </c>
      <c r="L6358" s="30" t="s">
        <v>499</v>
      </c>
      <c r="N6358" s="30" t="s">
        <v>500</v>
      </c>
      <c r="P6358" s="30" t="s">
        <v>13488</v>
      </c>
      <c r="Q6358" t="s">
        <v>622</v>
      </c>
      <c r="R6358" t="s">
        <v>920</v>
      </c>
      <c r="S6358">
        <v>39</v>
      </c>
      <c r="T6358" s="29" t="str">
        <f t="shared" ref="T6358:T6421" si="287">HYPERLINK("https://ictv.global/ictv/proposals/2023.015P.Geminiviridae_rename_sp.zip","2023.015P.Geminiviridae_rename_sp.zip")</f>
        <v>2023.015P.Geminiviridae_rename_sp.zip</v>
      </c>
      <c r="U6358" s="29" t="str">
        <f>HYPERLINK("https://ictv.global/taxonomy/taxondetails?taxnode_id=202303251","ictv.global=202303251")</f>
        <v>ictv.global=202303251</v>
      </c>
    </row>
    <row r="6359" spans="1:21">
      <c r="A6359">
        <v>6358</v>
      </c>
      <c r="B6359" s="30" t="s">
        <v>1956</v>
      </c>
      <c r="D6359" s="30" t="s">
        <v>1985</v>
      </c>
      <c r="F6359" s="30" t="s">
        <v>2009</v>
      </c>
      <c r="H6359" s="30" t="s">
        <v>2018</v>
      </c>
      <c r="J6359" s="30" t="s">
        <v>2019</v>
      </c>
      <c r="L6359" s="30" t="s">
        <v>499</v>
      </c>
      <c r="N6359" s="30" t="s">
        <v>500</v>
      </c>
      <c r="P6359" s="30" t="s">
        <v>13489</v>
      </c>
      <c r="Q6359" t="s">
        <v>622</v>
      </c>
      <c r="R6359" t="s">
        <v>920</v>
      </c>
      <c r="S6359">
        <v>39</v>
      </c>
      <c r="T6359" s="29" t="str">
        <f t="shared" si="287"/>
        <v>2023.015P.Geminiviridae_rename_sp.zip</v>
      </c>
      <c r="U6359" s="29" t="str">
        <f>HYPERLINK("https://ictv.global/taxonomy/taxondetails?taxnode_id=202303252","ictv.global=202303252")</f>
        <v>ictv.global=202303252</v>
      </c>
    </row>
    <row r="6360" spans="1:21">
      <c r="A6360">
        <v>6359</v>
      </c>
      <c r="B6360" s="30" t="s">
        <v>1956</v>
      </c>
      <c r="D6360" s="30" t="s">
        <v>1985</v>
      </c>
      <c r="F6360" s="30" t="s">
        <v>2009</v>
      </c>
      <c r="H6360" s="30" t="s">
        <v>2018</v>
      </c>
      <c r="J6360" s="30" t="s">
        <v>2019</v>
      </c>
      <c r="L6360" s="30" t="s">
        <v>499</v>
      </c>
      <c r="N6360" s="30" t="s">
        <v>500</v>
      </c>
      <c r="P6360" s="30" t="s">
        <v>13490</v>
      </c>
      <c r="Q6360" t="s">
        <v>622</v>
      </c>
      <c r="R6360" t="s">
        <v>920</v>
      </c>
      <c r="S6360">
        <v>39</v>
      </c>
      <c r="T6360" s="29" t="str">
        <f t="shared" si="287"/>
        <v>2023.015P.Geminiviridae_rename_sp.zip</v>
      </c>
      <c r="U6360" s="29" t="str">
        <f>HYPERLINK("https://ictv.global/taxonomy/taxondetails?taxnode_id=202305800","ictv.global=202305800")</f>
        <v>ictv.global=202305800</v>
      </c>
    </row>
    <row r="6361" spans="1:21">
      <c r="A6361">
        <v>6360</v>
      </c>
      <c r="B6361" s="30" t="s">
        <v>1956</v>
      </c>
      <c r="D6361" s="30" t="s">
        <v>1985</v>
      </c>
      <c r="F6361" s="30" t="s">
        <v>2009</v>
      </c>
      <c r="H6361" s="30" t="s">
        <v>2018</v>
      </c>
      <c r="J6361" s="30" t="s">
        <v>2019</v>
      </c>
      <c r="L6361" s="30" t="s">
        <v>499</v>
      </c>
      <c r="N6361" s="30" t="s">
        <v>500</v>
      </c>
      <c r="P6361" s="30" t="s">
        <v>13491</v>
      </c>
      <c r="Q6361" t="s">
        <v>622</v>
      </c>
      <c r="R6361" t="s">
        <v>920</v>
      </c>
      <c r="S6361">
        <v>39</v>
      </c>
      <c r="T6361" s="29" t="str">
        <f t="shared" si="287"/>
        <v>2023.015P.Geminiviridae_rename_sp.zip</v>
      </c>
      <c r="U6361" s="29" t="str">
        <f>HYPERLINK("https://ictv.global/taxonomy/taxondetails?taxnode_id=202303367","ictv.global=202303367")</f>
        <v>ictv.global=202303367</v>
      </c>
    </row>
    <row r="6362" spans="1:21">
      <c r="A6362">
        <v>6361</v>
      </c>
      <c r="B6362" s="30" t="s">
        <v>1956</v>
      </c>
      <c r="D6362" s="30" t="s">
        <v>1985</v>
      </c>
      <c r="F6362" s="30" t="s">
        <v>2009</v>
      </c>
      <c r="H6362" s="30" t="s">
        <v>2018</v>
      </c>
      <c r="J6362" s="30" t="s">
        <v>2019</v>
      </c>
      <c r="L6362" s="30" t="s">
        <v>499</v>
      </c>
      <c r="N6362" s="30" t="s">
        <v>500</v>
      </c>
      <c r="P6362" s="30" t="s">
        <v>13492</v>
      </c>
      <c r="Q6362" t="s">
        <v>622</v>
      </c>
      <c r="R6362" t="s">
        <v>920</v>
      </c>
      <c r="S6362">
        <v>39</v>
      </c>
      <c r="T6362" s="29" t="str">
        <f t="shared" si="287"/>
        <v>2023.015P.Geminiviridae_rename_sp.zip</v>
      </c>
      <c r="U6362" s="29" t="str">
        <f>HYPERLINK("https://ictv.global/taxonomy/taxondetails?taxnode_id=202303368","ictv.global=202303368")</f>
        <v>ictv.global=202303368</v>
      </c>
    </row>
    <row r="6363" spans="1:21">
      <c r="A6363">
        <v>6362</v>
      </c>
      <c r="B6363" s="30" t="s">
        <v>1956</v>
      </c>
      <c r="D6363" s="30" t="s">
        <v>1985</v>
      </c>
      <c r="F6363" s="30" t="s">
        <v>2009</v>
      </c>
      <c r="H6363" s="30" t="s">
        <v>2018</v>
      </c>
      <c r="J6363" s="30" t="s">
        <v>2019</v>
      </c>
      <c r="L6363" s="30" t="s">
        <v>499</v>
      </c>
      <c r="N6363" s="30" t="s">
        <v>500</v>
      </c>
      <c r="P6363" s="30" t="s">
        <v>13493</v>
      </c>
      <c r="Q6363" t="s">
        <v>622</v>
      </c>
      <c r="R6363" t="s">
        <v>920</v>
      </c>
      <c r="S6363">
        <v>39</v>
      </c>
      <c r="T6363" s="29" t="str">
        <f t="shared" si="287"/>
        <v>2023.015P.Geminiviridae_rename_sp.zip</v>
      </c>
      <c r="U6363" s="29" t="str">
        <f>HYPERLINK("https://ictv.global/taxonomy/taxondetails?taxnode_id=202303366","ictv.global=202303366")</f>
        <v>ictv.global=202303366</v>
      </c>
    </row>
    <row r="6364" spans="1:21">
      <c r="A6364">
        <v>6363</v>
      </c>
      <c r="B6364" s="30" t="s">
        <v>1956</v>
      </c>
      <c r="D6364" s="30" t="s">
        <v>1985</v>
      </c>
      <c r="F6364" s="30" t="s">
        <v>2009</v>
      </c>
      <c r="H6364" s="30" t="s">
        <v>2018</v>
      </c>
      <c r="J6364" s="30" t="s">
        <v>2019</v>
      </c>
      <c r="L6364" s="30" t="s">
        <v>499</v>
      </c>
      <c r="N6364" s="30" t="s">
        <v>500</v>
      </c>
      <c r="P6364" s="30" t="s">
        <v>13494</v>
      </c>
      <c r="Q6364" t="s">
        <v>622</v>
      </c>
      <c r="R6364" t="s">
        <v>920</v>
      </c>
      <c r="S6364">
        <v>39</v>
      </c>
      <c r="T6364" s="29" t="str">
        <f t="shared" si="287"/>
        <v>2023.015P.Geminiviridae_rename_sp.zip</v>
      </c>
      <c r="U6364" s="29" t="str">
        <f>HYPERLINK("https://ictv.global/taxonomy/taxondetails?taxnode_id=202303225","ictv.global=202303225")</f>
        <v>ictv.global=202303225</v>
      </c>
    </row>
    <row r="6365" spans="1:21">
      <c r="A6365">
        <v>6364</v>
      </c>
      <c r="B6365" s="30" t="s">
        <v>1956</v>
      </c>
      <c r="D6365" s="30" t="s">
        <v>1985</v>
      </c>
      <c r="F6365" s="30" t="s">
        <v>2009</v>
      </c>
      <c r="H6365" s="30" t="s">
        <v>2018</v>
      </c>
      <c r="J6365" s="30" t="s">
        <v>2019</v>
      </c>
      <c r="L6365" s="30" t="s">
        <v>499</v>
      </c>
      <c r="N6365" s="30" t="s">
        <v>500</v>
      </c>
      <c r="P6365" s="30" t="s">
        <v>13495</v>
      </c>
      <c r="Q6365" t="s">
        <v>622</v>
      </c>
      <c r="R6365" t="s">
        <v>920</v>
      </c>
      <c r="S6365">
        <v>39</v>
      </c>
      <c r="T6365" s="29" t="str">
        <f t="shared" si="287"/>
        <v>2023.015P.Geminiviridae_rename_sp.zip</v>
      </c>
      <c r="U6365" s="29" t="str">
        <f>HYPERLINK("https://ictv.global/taxonomy/taxondetails?taxnode_id=202303226","ictv.global=202303226")</f>
        <v>ictv.global=202303226</v>
      </c>
    </row>
    <row r="6366" spans="1:21">
      <c r="A6366">
        <v>6365</v>
      </c>
      <c r="B6366" s="30" t="s">
        <v>1956</v>
      </c>
      <c r="D6366" s="30" t="s">
        <v>1985</v>
      </c>
      <c r="F6366" s="30" t="s">
        <v>2009</v>
      </c>
      <c r="H6366" s="30" t="s">
        <v>2018</v>
      </c>
      <c r="J6366" s="30" t="s">
        <v>2019</v>
      </c>
      <c r="L6366" s="30" t="s">
        <v>499</v>
      </c>
      <c r="N6366" s="30" t="s">
        <v>500</v>
      </c>
      <c r="P6366" s="30" t="s">
        <v>13496</v>
      </c>
      <c r="Q6366" t="s">
        <v>622</v>
      </c>
      <c r="R6366" t="s">
        <v>920</v>
      </c>
      <c r="S6366">
        <v>39</v>
      </c>
      <c r="T6366" s="29" t="str">
        <f t="shared" si="287"/>
        <v>2023.015P.Geminiviridae_rename_sp.zip</v>
      </c>
      <c r="U6366" s="29" t="str">
        <f>HYPERLINK("https://ictv.global/taxonomy/taxondetails?taxnode_id=202305795","ictv.global=202305795")</f>
        <v>ictv.global=202305795</v>
      </c>
    </row>
    <row r="6367" spans="1:21">
      <c r="A6367">
        <v>6366</v>
      </c>
      <c r="B6367" s="30" t="s">
        <v>1956</v>
      </c>
      <c r="D6367" s="30" t="s">
        <v>1985</v>
      </c>
      <c r="F6367" s="30" t="s">
        <v>2009</v>
      </c>
      <c r="H6367" s="30" t="s">
        <v>2018</v>
      </c>
      <c r="J6367" s="30" t="s">
        <v>2019</v>
      </c>
      <c r="L6367" s="30" t="s">
        <v>499</v>
      </c>
      <c r="N6367" s="30" t="s">
        <v>500</v>
      </c>
      <c r="P6367" s="30" t="s">
        <v>13497</v>
      </c>
      <c r="Q6367" t="s">
        <v>622</v>
      </c>
      <c r="R6367" t="s">
        <v>920</v>
      </c>
      <c r="S6367">
        <v>39</v>
      </c>
      <c r="T6367" s="29" t="str">
        <f t="shared" si="287"/>
        <v>2023.015P.Geminiviridae_rename_sp.zip</v>
      </c>
      <c r="U6367" s="29" t="str">
        <f>HYPERLINK("https://ictv.global/taxonomy/taxondetails?taxnode_id=202305796","ictv.global=202305796")</f>
        <v>ictv.global=202305796</v>
      </c>
    </row>
    <row r="6368" spans="1:21">
      <c r="A6368">
        <v>6367</v>
      </c>
      <c r="B6368" s="30" t="s">
        <v>1956</v>
      </c>
      <c r="D6368" s="30" t="s">
        <v>1985</v>
      </c>
      <c r="F6368" s="30" t="s">
        <v>2009</v>
      </c>
      <c r="H6368" s="30" t="s">
        <v>2018</v>
      </c>
      <c r="J6368" s="30" t="s">
        <v>2019</v>
      </c>
      <c r="L6368" s="30" t="s">
        <v>499</v>
      </c>
      <c r="N6368" s="30" t="s">
        <v>500</v>
      </c>
      <c r="P6368" s="30" t="s">
        <v>13498</v>
      </c>
      <c r="Q6368" t="s">
        <v>622</v>
      </c>
      <c r="R6368" t="s">
        <v>920</v>
      </c>
      <c r="S6368">
        <v>39</v>
      </c>
      <c r="T6368" s="29" t="str">
        <f t="shared" si="287"/>
        <v>2023.015P.Geminiviridae_rename_sp.zip</v>
      </c>
      <c r="U6368" s="29" t="str">
        <f>HYPERLINK("https://ictv.global/taxonomy/taxondetails?taxnode_id=202303227","ictv.global=202303227")</f>
        <v>ictv.global=202303227</v>
      </c>
    </row>
    <row r="6369" spans="1:21">
      <c r="A6369">
        <v>6368</v>
      </c>
      <c r="B6369" s="30" t="s">
        <v>1956</v>
      </c>
      <c r="D6369" s="30" t="s">
        <v>1985</v>
      </c>
      <c r="F6369" s="30" t="s">
        <v>2009</v>
      </c>
      <c r="H6369" s="30" t="s">
        <v>2018</v>
      </c>
      <c r="J6369" s="30" t="s">
        <v>2019</v>
      </c>
      <c r="L6369" s="30" t="s">
        <v>499</v>
      </c>
      <c r="N6369" s="30" t="s">
        <v>500</v>
      </c>
      <c r="P6369" s="30" t="s">
        <v>13499</v>
      </c>
      <c r="Q6369" t="s">
        <v>622</v>
      </c>
      <c r="R6369" t="s">
        <v>920</v>
      </c>
      <c r="S6369">
        <v>39</v>
      </c>
      <c r="T6369" s="29" t="str">
        <f t="shared" si="287"/>
        <v>2023.015P.Geminiviridae_rename_sp.zip</v>
      </c>
      <c r="U6369" s="29" t="str">
        <f>HYPERLINK("https://ictv.global/taxonomy/taxondetails?taxnode_id=202303224","ictv.global=202303224")</f>
        <v>ictv.global=202303224</v>
      </c>
    </row>
    <row r="6370" spans="1:21">
      <c r="A6370">
        <v>6369</v>
      </c>
      <c r="B6370" s="30" t="s">
        <v>1956</v>
      </c>
      <c r="D6370" s="30" t="s">
        <v>1985</v>
      </c>
      <c r="F6370" s="30" t="s">
        <v>2009</v>
      </c>
      <c r="H6370" s="30" t="s">
        <v>2018</v>
      </c>
      <c r="J6370" s="30" t="s">
        <v>2019</v>
      </c>
      <c r="L6370" s="30" t="s">
        <v>499</v>
      </c>
      <c r="N6370" s="30" t="s">
        <v>500</v>
      </c>
      <c r="P6370" s="30" t="s">
        <v>13500</v>
      </c>
      <c r="Q6370" t="s">
        <v>622</v>
      </c>
      <c r="R6370" t="s">
        <v>920</v>
      </c>
      <c r="S6370">
        <v>39</v>
      </c>
      <c r="T6370" s="29" t="str">
        <f t="shared" si="287"/>
        <v>2023.015P.Geminiviridae_rename_sp.zip</v>
      </c>
      <c r="U6370" s="29" t="str">
        <f>HYPERLINK("https://ictv.global/taxonomy/taxondetails?taxnode_id=202303228","ictv.global=202303228")</f>
        <v>ictv.global=202303228</v>
      </c>
    </row>
    <row r="6371" spans="1:21">
      <c r="A6371">
        <v>6370</v>
      </c>
      <c r="B6371" s="30" t="s">
        <v>1956</v>
      </c>
      <c r="D6371" s="30" t="s">
        <v>1985</v>
      </c>
      <c r="F6371" s="30" t="s">
        <v>2009</v>
      </c>
      <c r="H6371" s="30" t="s">
        <v>2018</v>
      </c>
      <c r="J6371" s="30" t="s">
        <v>2019</v>
      </c>
      <c r="L6371" s="30" t="s">
        <v>499</v>
      </c>
      <c r="N6371" s="30" t="s">
        <v>500</v>
      </c>
      <c r="P6371" s="30" t="s">
        <v>13501</v>
      </c>
      <c r="Q6371" t="s">
        <v>622</v>
      </c>
      <c r="R6371" t="s">
        <v>920</v>
      </c>
      <c r="S6371">
        <v>39</v>
      </c>
      <c r="T6371" s="29" t="str">
        <f t="shared" si="287"/>
        <v>2023.015P.Geminiviridae_rename_sp.zip</v>
      </c>
      <c r="U6371" s="29" t="str">
        <f>HYPERLINK("https://ictv.global/taxonomy/taxondetails?taxnode_id=202303223","ictv.global=202303223")</f>
        <v>ictv.global=202303223</v>
      </c>
    </row>
    <row r="6372" spans="1:21">
      <c r="A6372">
        <v>6371</v>
      </c>
      <c r="B6372" s="30" t="s">
        <v>1956</v>
      </c>
      <c r="D6372" s="30" t="s">
        <v>1985</v>
      </c>
      <c r="F6372" s="30" t="s">
        <v>2009</v>
      </c>
      <c r="H6372" s="30" t="s">
        <v>2018</v>
      </c>
      <c r="J6372" s="30" t="s">
        <v>2019</v>
      </c>
      <c r="L6372" s="30" t="s">
        <v>499</v>
      </c>
      <c r="N6372" s="30" t="s">
        <v>500</v>
      </c>
      <c r="P6372" s="30" t="s">
        <v>13502</v>
      </c>
      <c r="Q6372" t="s">
        <v>622</v>
      </c>
      <c r="R6372" t="s">
        <v>920</v>
      </c>
      <c r="S6372">
        <v>39</v>
      </c>
      <c r="T6372" s="29" t="str">
        <f t="shared" si="287"/>
        <v>2023.015P.Geminiviridae_rename_sp.zip</v>
      </c>
      <c r="U6372" s="29" t="str">
        <f>HYPERLINK("https://ictv.global/taxonomy/taxondetails?taxnode_id=202303229","ictv.global=202303229")</f>
        <v>ictv.global=202303229</v>
      </c>
    </row>
    <row r="6373" spans="1:21">
      <c r="A6373">
        <v>6372</v>
      </c>
      <c r="B6373" s="30" t="s">
        <v>1956</v>
      </c>
      <c r="D6373" s="30" t="s">
        <v>1985</v>
      </c>
      <c r="F6373" s="30" t="s">
        <v>2009</v>
      </c>
      <c r="H6373" s="30" t="s">
        <v>2018</v>
      </c>
      <c r="J6373" s="30" t="s">
        <v>2019</v>
      </c>
      <c r="L6373" s="30" t="s">
        <v>499</v>
      </c>
      <c r="N6373" s="30" t="s">
        <v>500</v>
      </c>
      <c r="P6373" s="30" t="s">
        <v>13503</v>
      </c>
      <c r="Q6373" t="s">
        <v>622</v>
      </c>
      <c r="R6373" t="s">
        <v>920</v>
      </c>
      <c r="S6373">
        <v>39</v>
      </c>
      <c r="T6373" s="29" t="str">
        <f t="shared" si="287"/>
        <v>2023.015P.Geminiviridae_rename_sp.zip</v>
      </c>
      <c r="U6373" s="29" t="str">
        <f>HYPERLINK("https://ictv.global/taxonomy/taxondetails?taxnode_id=202303254","ictv.global=202303254")</f>
        <v>ictv.global=202303254</v>
      </c>
    </row>
    <row r="6374" spans="1:21">
      <c r="A6374">
        <v>6373</v>
      </c>
      <c r="B6374" s="30" t="s">
        <v>1956</v>
      </c>
      <c r="D6374" s="30" t="s">
        <v>1985</v>
      </c>
      <c r="F6374" s="30" t="s">
        <v>2009</v>
      </c>
      <c r="H6374" s="30" t="s">
        <v>2018</v>
      </c>
      <c r="J6374" s="30" t="s">
        <v>2019</v>
      </c>
      <c r="L6374" s="30" t="s">
        <v>499</v>
      </c>
      <c r="N6374" s="30" t="s">
        <v>500</v>
      </c>
      <c r="P6374" s="30" t="s">
        <v>13504</v>
      </c>
      <c r="Q6374" t="s">
        <v>622</v>
      </c>
      <c r="R6374" t="s">
        <v>920</v>
      </c>
      <c r="S6374">
        <v>39</v>
      </c>
      <c r="T6374" s="29" t="str">
        <f t="shared" si="287"/>
        <v>2023.015P.Geminiviridae_rename_sp.zip</v>
      </c>
      <c r="U6374" s="29" t="str">
        <f>HYPERLINK("https://ictv.global/taxonomy/taxondetails?taxnode_id=202303255","ictv.global=202303255")</f>
        <v>ictv.global=202303255</v>
      </c>
    </row>
    <row r="6375" spans="1:21">
      <c r="A6375">
        <v>6374</v>
      </c>
      <c r="B6375" s="30" t="s">
        <v>1956</v>
      </c>
      <c r="D6375" s="30" t="s">
        <v>1985</v>
      </c>
      <c r="F6375" s="30" t="s">
        <v>2009</v>
      </c>
      <c r="H6375" s="30" t="s">
        <v>2018</v>
      </c>
      <c r="J6375" s="30" t="s">
        <v>2019</v>
      </c>
      <c r="L6375" s="30" t="s">
        <v>499</v>
      </c>
      <c r="N6375" s="30" t="s">
        <v>500</v>
      </c>
      <c r="P6375" s="30" t="s">
        <v>13505</v>
      </c>
      <c r="Q6375" t="s">
        <v>739</v>
      </c>
      <c r="R6375" t="s">
        <v>920</v>
      </c>
      <c r="S6375">
        <v>39</v>
      </c>
      <c r="T6375" s="29" t="str">
        <f t="shared" si="287"/>
        <v>2023.015P.Geminiviridae_rename_sp.zip</v>
      </c>
      <c r="U6375" s="29" t="str">
        <f>HYPERLINK("https://ictv.global/taxonomy/taxondetails?taxnode_id=202307523","ictv.global=202307523")</f>
        <v>ictv.global=202307523</v>
      </c>
    </row>
    <row r="6376" spans="1:21">
      <c r="A6376">
        <v>6375</v>
      </c>
      <c r="B6376" s="30" t="s">
        <v>1956</v>
      </c>
      <c r="D6376" s="30" t="s">
        <v>1985</v>
      </c>
      <c r="F6376" s="30" t="s">
        <v>2009</v>
      </c>
      <c r="H6376" s="30" t="s">
        <v>2018</v>
      </c>
      <c r="J6376" s="30" t="s">
        <v>2019</v>
      </c>
      <c r="L6376" s="30" t="s">
        <v>499</v>
      </c>
      <c r="N6376" s="30" t="s">
        <v>500</v>
      </c>
      <c r="P6376" s="30" t="s">
        <v>13506</v>
      </c>
      <c r="Q6376" t="s">
        <v>739</v>
      </c>
      <c r="R6376" t="s">
        <v>920</v>
      </c>
      <c r="S6376">
        <v>39</v>
      </c>
      <c r="T6376" s="29" t="str">
        <f t="shared" si="287"/>
        <v>2023.015P.Geminiviridae_rename_sp.zip</v>
      </c>
      <c r="U6376" s="29" t="str">
        <f>HYPERLINK("https://ictv.global/taxonomy/taxondetails?taxnode_id=202309121","ictv.global=202309121")</f>
        <v>ictv.global=202309121</v>
      </c>
    </row>
    <row r="6377" spans="1:21">
      <c r="A6377">
        <v>6376</v>
      </c>
      <c r="B6377" s="30" t="s">
        <v>1956</v>
      </c>
      <c r="D6377" s="30" t="s">
        <v>1985</v>
      </c>
      <c r="F6377" s="30" t="s">
        <v>2009</v>
      </c>
      <c r="H6377" s="30" t="s">
        <v>2018</v>
      </c>
      <c r="J6377" s="30" t="s">
        <v>2019</v>
      </c>
      <c r="L6377" s="30" t="s">
        <v>499</v>
      </c>
      <c r="N6377" s="30" t="s">
        <v>500</v>
      </c>
      <c r="P6377" s="30" t="s">
        <v>13507</v>
      </c>
      <c r="Q6377" t="s">
        <v>739</v>
      </c>
      <c r="R6377" t="s">
        <v>920</v>
      </c>
      <c r="S6377">
        <v>39</v>
      </c>
      <c r="T6377" s="29" t="str">
        <f t="shared" si="287"/>
        <v>2023.015P.Geminiviridae_rename_sp.zip</v>
      </c>
      <c r="U6377" s="29" t="str">
        <f>HYPERLINK("https://ictv.global/taxonomy/taxondetails?taxnode_id=202309122","ictv.global=202309122")</f>
        <v>ictv.global=202309122</v>
      </c>
    </row>
    <row r="6378" spans="1:21">
      <c r="A6378">
        <v>6377</v>
      </c>
      <c r="B6378" s="30" t="s">
        <v>1956</v>
      </c>
      <c r="D6378" s="30" t="s">
        <v>1985</v>
      </c>
      <c r="F6378" s="30" t="s">
        <v>2009</v>
      </c>
      <c r="H6378" s="30" t="s">
        <v>2018</v>
      </c>
      <c r="J6378" s="30" t="s">
        <v>2019</v>
      </c>
      <c r="L6378" s="30" t="s">
        <v>499</v>
      </c>
      <c r="N6378" s="30" t="s">
        <v>500</v>
      </c>
      <c r="P6378" s="30" t="s">
        <v>13508</v>
      </c>
      <c r="Q6378" t="s">
        <v>622</v>
      </c>
      <c r="R6378" t="s">
        <v>920</v>
      </c>
      <c r="S6378">
        <v>39</v>
      </c>
      <c r="T6378" s="29" t="str">
        <f t="shared" si="287"/>
        <v>2023.015P.Geminiviridae_rename_sp.zip</v>
      </c>
      <c r="U6378" s="29" t="str">
        <f>HYPERLINK("https://ictv.global/taxonomy/taxondetails?taxnode_id=202303379","ictv.global=202303379")</f>
        <v>ictv.global=202303379</v>
      </c>
    </row>
    <row r="6379" spans="1:21">
      <c r="A6379">
        <v>6378</v>
      </c>
      <c r="B6379" s="30" t="s">
        <v>1956</v>
      </c>
      <c r="D6379" s="30" t="s">
        <v>1985</v>
      </c>
      <c r="F6379" s="30" t="s">
        <v>2009</v>
      </c>
      <c r="H6379" s="30" t="s">
        <v>2018</v>
      </c>
      <c r="J6379" s="30" t="s">
        <v>2019</v>
      </c>
      <c r="L6379" s="30" t="s">
        <v>499</v>
      </c>
      <c r="N6379" s="30" t="s">
        <v>500</v>
      </c>
      <c r="P6379" s="30" t="s">
        <v>13509</v>
      </c>
      <c r="Q6379" t="s">
        <v>622</v>
      </c>
      <c r="R6379" t="s">
        <v>920</v>
      </c>
      <c r="S6379">
        <v>39</v>
      </c>
      <c r="T6379" s="29" t="str">
        <f t="shared" si="287"/>
        <v>2023.015P.Geminiviridae_rename_sp.zip</v>
      </c>
      <c r="U6379" s="29" t="str">
        <f>HYPERLINK("https://ictv.global/taxonomy/taxondetails?taxnode_id=202303380","ictv.global=202303380")</f>
        <v>ictv.global=202303380</v>
      </c>
    </row>
    <row r="6380" spans="1:21">
      <c r="A6380">
        <v>6379</v>
      </c>
      <c r="B6380" s="30" t="s">
        <v>1956</v>
      </c>
      <c r="D6380" s="30" t="s">
        <v>1985</v>
      </c>
      <c r="F6380" s="30" t="s">
        <v>2009</v>
      </c>
      <c r="H6380" s="30" t="s">
        <v>2018</v>
      </c>
      <c r="J6380" s="30" t="s">
        <v>2019</v>
      </c>
      <c r="L6380" s="30" t="s">
        <v>499</v>
      </c>
      <c r="N6380" s="30" t="s">
        <v>500</v>
      </c>
      <c r="P6380" s="30" t="s">
        <v>13510</v>
      </c>
      <c r="Q6380" t="s">
        <v>622</v>
      </c>
      <c r="R6380" t="s">
        <v>920</v>
      </c>
      <c r="S6380">
        <v>39</v>
      </c>
      <c r="T6380" s="29" t="str">
        <f t="shared" si="287"/>
        <v>2023.015P.Geminiviridae_rename_sp.zip</v>
      </c>
      <c r="U6380" s="29" t="str">
        <f>HYPERLINK("https://ictv.global/taxonomy/taxondetails?taxnode_id=202303388","ictv.global=202303388")</f>
        <v>ictv.global=202303388</v>
      </c>
    </row>
    <row r="6381" spans="1:21">
      <c r="A6381">
        <v>6380</v>
      </c>
      <c r="B6381" s="30" t="s">
        <v>1956</v>
      </c>
      <c r="D6381" s="30" t="s">
        <v>1985</v>
      </c>
      <c r="F6381" s="30" t="s">
        <v>2009</v>
      </c>
      <c r="H6381" s="30" t="s">
        <v>2018</v>
      </c>
      <c r="J6381" s="30" t="s">
        <v>2019</v>
      </c>
      <c r="L6381" s="30" t="s">
        <v>499</v>
      </c>
      <c r="N6381" s="30" t="s">
        <v>500</v>
      </c>
      <c r="P6381" s="30" t="s">
        <v>13511</v>
      </c>
      <c r="Q6381" t="s">
        <v>622</v>
      </c>
      <c r="R6381" t="s">
        <v>920</v>
      </c>
      <c r="S6381">
        <v>39</v>
      </c>
      <c r="T6381" s="29" t="str">
        <f t="shared" si="287"/>
        <v>2023.015P.Geminiviridae_rename_sp.zip</v>
      </c>
      <c r="U6381" s="29" t="str">
        <f>HYPERLINK("https://ictv.global/taxonomy/taxondetails?taxnode_id=202303381","ictv.global=202303381")</f>
        <v>ictv.global=202303381</v>
      </c>
    </row>
    <row r="6382" spans="1:21">
      <c r="A6382">
        <v>6381</v>
      </c>
      <c r="B6382" s="30" t="s">
        <v>1956</v>
      </c>
      <c r="D6382" s="30" t="s">
        <v>1985</v>
      </c>
      <c r="F6382" s="30" t="s">
        <v>2009</v>
      </c>
      <c r="H6382" s="30" t="s">
        <v>2018</v>
      </c>
      <c r="J6382" s="30" t="s">
        <v>2019</v>
      </c>
      <c r="L6382" s="30" t="s">
        <v>499</v>
      </c>
      <c r="N6382" s="30" t="s">
        <v>500</v>
      </c>
      <c r="P6382" s="30" t="s">
        <v>13512</v>
      </c>
      <c r="Q6382" t="s">
        <v>622</v>
      </c>
      <c r="R6382" t="s">
        <v>920</v>
      </c>
      <c r="S6382">
        <v>39</v>
      </c>
      <c r="T6382" s="29" t="str">
        <f t="shared" si="287"/>
        <v>2023.015P.Geminiviridae_rename_sp.zip</v>
      </c>
      <c r="U6382" s="29" t="str">
        <f>HYPERLINK("https://ictv.global/taxonomy/taxondetails?taxnode_id=202305831","ictv.global=202305831")</f>
        <v>ictv.global=202305831</v>
      </c>
    </row>
    <row r="6383" spans="1:21">
      <c r="A6383">
        <v>6382</v>
      </c>
      <c r="B6383" s="30" t="s">
        <v>1956</v>
      </c>
      <c r="D6383" s="30" t="s">
        <v>1985</v>
      </c>
      <c r="F6383" s="30" t="s">
        <v>2009</v>
      </c>
      <c r="H6383" s="30" t="s">
        <v>2018</v>
      </c>
      <c r="J6383" s="30" t="s">
        <v>2019</v>
      </c>
      <c r="L6383" s="30" t="s">
        <v>499</v>
      </c>
      <c r="N6383" s="30" t="s">
        <v>500</v>
      </c>
      <c r="P6383" s="30" t="s">
        <v>13513</v>
      </c>
      <c r="Q6383" t="s">
        <v>622</v>
      </c>
      <c r="R6383" t="s">
        <v>920</v>
      </c>
      <c r="S6383">
        <v>39</v>
      </c>
      <c r="T6383" s="29" t="str">
        <f t="shared" si="287"/>
        <v>2023.015P.Geminiviridae_rename_sp.zip</v>
      </c>
      <c r="U6383" s="29" t="str">
        <f>HYPERLINK("https://ictv.global/taxonomy/taxondetails?taxnode_id=202303382","ictv.global=202303382")</f>
        <v>ictv.global=202303382</v>
      </c>
    </row>
    <row r="6384" spans="1:21">
      <c r="A6384">
        <v>6383</v>
      </c>
      <c r="B6384" s="30" t="s">
        <v>1956</v>
      </c>
      <c r="D6384" s="30" t="s">
        <v>1985</v>
      </c>
      <c r="F6384" s="30" t="s">
        <v>2009</v>
      </c>
      <c r="H6384" s="30" t="s">
        <v>2018</v>
      </c>
      <c r="J6384" s="30" t="s">
        <v>2019</v>
      </c>
      <c r="L6384" s="30" t="s">
        <v>499</v>
      </c>
      <c r="N6384" s="30" t="s">
        <v>500</v>
      </c>
      <c r="P6384" s="30" t="s">
        <v>13514</v>
      </c>
      <c r="Q6384" t="s">
        <v>739</v>
      </c>
      <c r="R6384" t="s">
        <v>920</v>
      </c>
      <c r="S6384">
        <v>39</v>
      </c>
      <c r="T6384" s="29" t="str">
        <f t="shared" si="287"/>
        <v>2023.015P.Geminiviridae_rename_sp.zip</v>
      </c>
      <c r="U6384" s="29" t="str">
        <f>HYPERLINK("https://ictv.global/taxonomy/taxondetails?taxnode_id=202307533","ictv.global=202307533")</f>
        <v>ictv.global=202307533</v>
      </c>
    </row>
    <row r="6385" spans="1:21">
      <c r="A6385">
        <v>6384</v>
      </c>
      <c r="B6385" s="30" t="s">
        <v>1956</v>
      </c>
      <c r="D6385" s="30" t="s">
        <v>1985</v>
      </c>
      <c r="F6385" s="30" t="s">
        <v>2009</v>
      </c>
      <c r="H6385" s="30" t="s">
        <v>2018</v>
      </c>
      <c r="J6385" s="30" t="s">
        <v>2019</v>
      </c>
      <c r="L6385" s="30" t="s">
        <v>499</v>
      </c>
      <c r="N6385" s="30" t="s">
        <v>500</v>
      </c>
      <c r="P6385" s="30" t="s">
        <v>13515</v>
      </c>
      <c r="Q6385" t="s">
        <v>622</v>
      </c>
      <c r="R6385" t="s">
        <v>920</v>
      </c>
      <c r="S6385">
        <v>39</v>
      </c>
      <c r="T6385" s="29" t="str">
        <f t="shared" si="287"/>
        <v>2023.015P.Geminiviridae_rename_sp.zip</v>
      </c>
      <c r="U6385" s="29" t="str">
        <f>HYPERLINK("https://ictv.global/taxonomy/taxondetails?taxnode_id=202305830","ictv.global=202305830")</f>
        <v>ictv.global=202305830</v>
      </c>
    </row>
    <row r="6386" spans="1:21">
      <c r="A6386">
        <v>6385</v>
      </c>
      <c r="B6386" s="30" t="s">
        <v>1956</v>
      </c>
      <c r="D6386" s="30" t="s">
        <v>1985</v>
      </c>
      <c r="F6386" s="30" t="s">
        <v>2009</v>
      </c>
      <c r="H6386" s="30" t="s">
        <v>2018</v>
      </c>
      <c r="J6386" s="30" t="s">
        <v>2019</v>
      </c>
      <c r="L6386" s="30" t="s">
        <v>499</v>
      </c>
      <c r="N6386" s="30" t="s">
        <v>500</v>
      </c>
      <c r="P6386" s="30" t="s">
        <v>13516</v>
      </c>
      <c r="Q6386" t="s">
        <v>622</v>
      </c>
      <c r="R6386" t="s">
        <v>920</v>
      </c>
      <c r="S6386">
        <v>39</v>
      </c>
      <c r="T6386" s="29" t="str">
        <f t="shared" si="287"/>
        <v>2023.015P.Geminiviridae_rename_sp.zip</v>
      </c>
      <c r="U6386" s="29" t="str">
        <f>HYPERLINK("https://ictv.global/taxonomy/taxondetails?taxnode_id=202303389","ictv.global=202303389")</f>
        <v>ictv.global=202303389</v>
      </c>
    </row>
    <row r="6387" spans="1:21">
      <c r="A6387">
        <v>6386</v>
      </c>
      <c r="B6387" s="30" t="s">
        <v>1956</v>
      </c>
      <c r="D6387" s="30" t="s">
        <v>1985</v>
      </c>
      <c r="F6387" s="30" t="s">
        <v>2009</v>
      </c>
      <c r="H6387" s="30" t="s">
        <v>2018</v>
      </c>
      <c r="J6387" s="30" t="s">
        <v>2019</v>
      </c>
      <c r="L6387" s="30" t="s">
        <v>499</v>
      </c>
      <c r="N6387" s="30" t="s">
        <v>500</v>
      </c>
      <c r="P6387" s="30" t="s">
        <v>13517</v>
      </c>
      <c r="Q6387" t="s">
        <v>622</v>
      </c>
      <c r="R6387" t="s">
        <v>920</v>
      </c>
      <c r="S6387">
        <v>39</v>
      </c>
      <c r="T6387" s="29" t="str">
        <f t="shared" si="287"/>
        <v>2023.015P.Geminiviridae_rename_sp.zip</v>
      </c>
      <c r="U6387" s="29" t="str">
        <f>HYPERLINK("https://ictv.global/taxonomy/taxondetails?taxnode_id=202303383","ictv.global=202303383")</f>
        <v>ictv.global=202303383</v>
      </c>
    </row>
    <row r="6388" spans="1:21">
      <c r="A6388">
        <v>6387</v>
      </c>
      <c r="B6388" s="30" t="s">
        <v>1956</v>
      </c>
      <c r="D6388" s="30" t="s">
        <v>1985</v>
      </c>
      <c r="F6388" s="30" t="s">
        <v>2009</v>
      </c>
      <c r="H6388" s="30" t="s">
        <v>2018</v>
      </c>
      <c r="J6388" s="30" t="s">
        <v>2019</v>
      </c>
      <c r="L6388" s="30" t="s">
        <v>499</v>
      </c>
      <c r="N6388" s="30" t="s">
        <v>500</v>
      </c>
      <c r="P6388" s="30" t="s">
        <v>13518</v>
      </c>
      <c r="Q6388" t="s">
        <v>622</v>
      </c>
      <c r="R6388" t="s">
        <v>920</v>
      </c>
      <c r="S6388">
        <v>39</v>
      </c>
      <c r="T6388" s="29" t="str">
        <f t="shared" si="287"/>
        <v>2023.015P.Geminiviridae_rename_sp.zip</v>
      </c>
      <c r="U6388" s="29" t="str">
        <f>HYPERLINK("https://ictv.global/taxonomy/taxondetails?taxnode_id=202306708","ictv.global=202306708")</f>
        <v>ictv.global=202306708</v>
      </c>
    </row>
    <row r="6389" spans="1:21">
      <c r="A6389">
        <v>6388</v>
      </c>
      <c r="B6389" s="30" t="s">
        <v>1956</v>
      </c>
      <c r="D6389" s="30" t="s">
        <v>1985</v>
      </c>
      <c r="F6389" s="30" t="s">
        <v>2009</v>
      </c>
      <c r="H6389" s="30" t="s">
        <v>2018</v>
      </c>
      <c r="J6389" s="30" t="s">
        <v>2019</v>
      </c>
      <c r="L6389" s="30" t="s">
        <v>499</v>
      </c>
      <c r="N6389" s="30" t="s">
        <v>500</v>
      </c>
      <c r="P6389" s="30" t="s">
        <v>13519</v>
      </c>
      <c r="Q6389" t="s">
        <v>622</v>
      </c>
      <c r="R6389" t="s">
        <v>920</v>
      </c>
      <c r="S6389">
        <v>39</v>
      </c>
      <c r="T6389" s="29" t="str">
        <f t="shared" si="287"/>
        <v>2023.015P.Geminiviridae_rename_sp.zip</v>
      </c>
      <c r="U6389" s="29" t="str">
        <f>HYPERLINK("https://ictv.global/taxonomy/taxondetails?taxnode_id=202303384","ictv.global=202303384")</f>
        <v>ictv.global=202303384</v>
      </c>
    </row>
    <row r="6390" spans="1:21">
      <c r="A6390">
        <v>6389</v>
      </c>
      <c r="B6390" s="30" t="s">
        <v>1956</v>
      </c>
      <c r="D6390" s="30" t="s">
        <v>1985</v>
      </c>
      <c r="F6390" s="30" t="s">
        <v>2009</v>
      </c>
      <c r="H6390" s="30" t="s">
        <v>2018</v>
      </c>
      <c r="J6390" s="30" t="s">
        <v>2019</v>
      </c>
      <c r="L6390" s="30" t="s">
        <v>499</v>
      </c>
      <c r="N6390" s="30" t="s">
        <v>500</v>
      </c>
      <c r="P6390" s="30" t="s">
        <v>13520</v>
      </c>
      <c r="Q6390" t="s">
        <v>622</v>
      </c>
      <c r="R6390" t="s">
        <v>920</v>
      </c>
      <c r="S6390">
        <v>39</v>
      </c>
      <c r="T6390" s="29" t="str">
        <f t="shared" si="287"/>
        <v>2023.015P.Geminiviridae_rename_sp.zip</v>
      </c>
      <c r="U6390" s="29" t="str">
        <f>HYPERLINK("https://ictv.global/taxonomy/taxondetails?taxnode_id=202303385","ictv.global=202303385")</f>
        <v>ictv.global=202303385</v>
      </c>
    </row>
    <row r="6391" spans="1:21">
      <c r="A6391">
        <v>6390</v>
      </c>
      <c r="B6391" s="30" t="s">
        <v>1956</v>
      </c>
      <c r="D6391" s="30" t="s">
        <v>1985</v>
      </c>
      <c r="F6391" s="30" t="s">
        <v>2009</v>
      </c>
      <c r="H6391" s="30" t="s">
        <v>2018</v>
      </c>
      <c r="J6391" s="30" t="s">
        <v>2019</v>
      </c>
      <c r="L6391" s="30" t="s">
        <v>499</v>
      </c>
      <c r="N6391" s="30" t="s">
        <v>500</v>
      </c>
      <c r="P6391" s="30" t="s">
        <v>13521</v>
      </c>
      <c r="Q6391" t="s">
        <v>622</v>
      </c>
      <c r="R6391" t="s">
        <v>920</v>
      </c>
      <c r="S6391">
        <v>39</v>
      </c>
      <c r="T6391" s="29" t="str">
        <f t="shared" si="287"/>
        <v>2023.015P.Geminiviridae_rename_sp.zip</v>
      </c>
      <c r="U6391" s="29" t="str">
        <f>HYPERLINK("https://ictv.global/taxonomy/taxondetails?taxnode_id=202303386","ictv.global=202303386")</f>
        <v>ictv.global=202303386</v>
      </c>
    </row>
    <row r="6392" spans="1:21">
      <c r="A6392">
        <v>6391</v>
      </c>
      <c r="B6392" s="30" t="s">
        <v>1956</v>
      </c>
      <c r="D6392" s="30" t="s">
        <v>1985</v>
      </c>
      <c r="F6392" s="30" t="s">
        <v>2009</v>
      </c>
      <c r="H6392" s="30" t="s">
        <v>2018</v>
      </c>
      <c r="J6392" s="30" t="s">
        <v>2019</v>
      </c>
      <c r="L6392" s="30" t="s">
        <v>499</v>
      </c>
      <c r="N6392" s="30" t="s">
        <v>500</v>
      </c>
      <c r="P6392" s="30" t="s">
        <v>13522</v>
      </c>
      <c r="Q6392" t="s">
        <v>622</v>
      </c>
      <c r="R6392" t="s">
        <v>920</v>
      </c>
      <c r="S6392">
        <v>39</v>
      </c>
      <c r="T6392" s="29" t="str">
        <f t="shared" si="287"/>
        <v>2023.015P.Geminiviridae_rename_sp.zip</v>
      </c>
      <c r="U6392" s="29" t="str">
        <f>HYPERLINK("https://ictv.global/taxonomy/taxondetails?taxnode_id=202305803","ictv.global=202305803")</f>
        <v>ictv.global=202305803</v>
      </c>
    </row>
    <row r="6393" spans="1:21">
      <c r="A6393">
        <v>6392</v>
      </c>
      <c r="B6393" s="30" t="s">
        <v>1956</v>
      </c>
      <c r="D6393" s="30" t="s">
        <v>1985</v>
      </c>
      <c r="F6393" s="30" t="s">
        <v>2009</v>
      </c>
      <c r="H6393" s="30" t="s">
        <v>2018</v>
      </c>
      <c r="J6393" s="30" t="s">
        <v>2019</v>
      </c>
      <c r="L6393" s="30" t="s">
        <v>499</v>
      </c>
      <c r="N6393" s="30" t="s">
        <v>500</v>
      </c>
      <c r="P6393" s="30" t="s">
        <v>13523</v>
      </c>
      <c r="Q6393" t="s">
        <v>622</v>
      </c>
      <c r="R6393" t="s">
        <v>920</v>
      </c>
      <c r="S6393">
        <v>39</v>
      </c>
      <c r="T6393" s="29" t="str">
        <f t="shared" si="287"/>
        <v>2023.015P.Geminiviridae_rename_sp.zip</v>
      </c>
      <c r="U6393" s="29" t="str">
        <f>HYPERLINK("https://ictv.global/taxonomy/taxondetails?taxnode_id=202306704","ictv.global=202306704")</f>
        <v>ictv.global=202306704</v>
      </c>
    </row>
    <row r="6394" spans="1:21">
      <c r="A6394">
        <v>6393</v>
      </c>
      <c r="B6394" s="30" t="s">
        <v>1956</v>
      </c>
      <c r="D6394" s="30" t="s">
        <v>1985</v>
      </c>
      <c r="F6394" s="30" t="s">
        <v>2009</v>
      </c>
      <c r="H6394" s="30" t="s">
        <v>2018</v>
      </c>
      <c r="J6394" s="30" t="s">
        <v>2019</v>
      </c>
      <c r="L6394" s="30" t="s">
        <v>499</v>
      </c>
      <c r="N6394" s="30" t="s">
        <v>500</v>
      </c>
      <c r="P6394" s="30" t="s">
        <v>13524</v>
      </c>
      <c r="Q6394" t="s">
        <v>622</v>
      </c>
      <c r="R6394" t="s">
        <v>920</v>
      </c>
      <c r="S6394">
        <v>39</v>
      </c>
      <c r="T6394" s="29" t="str">
        <f t="shared" si="287"/>
        <v>2023.015P.Geminiviridae_rename_sp.zip</v>
      </c>
      <c r="U6394" s="29" t="str">
        <f>HYPERLINK("https://ictv.global/taxonomy/taxondetails?taxnode_id=202303261","ictv.global=202303261")</f>
        <v>ictv.global=202303261</v>
      </c>
    </row>
    <row r="6395" spans="1:21">
      <c r="A6395">
        <v>6394</v>
      </c>
      <c r="B6395" s="30" t="s">
        <v>1956</v>
      </c>
      <c r="D6395" s="30" t="s">
        <v>1985</v>
      </c>
      <c r="F6395" s="30" t="s">
        <v>2009</v>
      </c>
      <c r="H6395" s="30" t="s">
        <v>2018</v>
      </c>
      <c r="J6395" s="30" t="s">
        <v>2019</v>
      </c>
      <c r="L6395" s="30" t="s">
        <v>499</v>
      </c>
      <c r="N6395" s="30" t="s">
        <v>500</v>
      </c>
      <c r="P6395" s="30" t="s">
        <v>13525</v>
      </c>
      <c r="Q6395" t="s">
        <v>622</v>
      </c>
      <c r="R6395" t="s">
        <v>920</v>
      </c>
      <c r="S6395">
        <v>39</v>
      </c>
      <c r="T6395" s="29" t="str">
        <f t="shared" si="287"/>
        <v>2023.015P.Geminiviridae_rename_sp.zip</v>
      </c>
      <c r="U6395" s="29" t="str">
        <f>HYPERLINK("https://ictv.global/taxonomy/taxondetails?taxnode_id=202303262","ictv.global=202303262")</f>
        <v>ictv.global=202303262</v>
      </c>
    </row>
    <row r="6396" spans="1:21">
      <c r="A6396">
        <v>6395</v>
      </c>
      <c r="B6396" s="30" t="s">
        <v>1956</v>
      </c>
      <c r="D6396" s="30" t="s">
        <v>1985</v>
      </c>
      <c r="F6396" s="30" t="s">
        <v>2009</v>
      </c>
      <c r="H6396" s="30" t="s">
        <v>2018</v>
      </c>
      <c r="J6396" s="30" t="s">
        <v>2019</v>
      </c>
      <c r="L6396" s="30" t="s">
        <v>499</v>
      </c>
      <c r="N6396" s="30" t="s">
        <v>500</v>
      </c>
      <c r="P6396" s="30" t="s">
        <v>13526</v>
      </c>
      <c r="Q6396" t="s">
        <v>622</v>
      </c>
      <c r="R6396" t="s">
        <v>920</v>
      </c>
      <c r="S6396">
        <v>39</v>
      </c>
      <c r="T6396" s="29" t="str">
        <f t="shared" si="287"/>
        <v>2023.015P.Geminiviridae_rename_sp.zip</v>
      </c>
      <c r="U6396" s="29" t="str">
        <f>HYPERLINK("https://ictv.global/taxonomy/taxondetails?taxnode_id=202303266","ictv.global=202303266")</f>
        <v>ictv.global=202303266</v>
      </c>
    </row>
    <row r="6397" spans="1:21">
      <c r="A6397">
        <v>6396</v>
      </c>
      <c r="B6397" s="30" t="s">
        <v>1956</v>
      </c>
      <c r="D6397" s="30" t="s">
        <v>1985</v>
      </c>
      <c r="F6397" s="30" t="s">
        <v>2009</v>
      </c>
      <c r="H6397" s="30" t="s">
        <v>2018</v>
      </c>
      <c r="J6397" s="30" t="s">
        <v>2019</v>
      </c>
      <c r="L6397" s="30" t="s">
        <v>499</v>
      </c>
      <c r="N6397" s="30" t="s">
        <v>500</v>
      </c>
      <c r="P6397" s="30" t="s">
        <v>13527</v>
      </c>
      <c r="Q6397" t="s">
        <v>622</v>
      </c>
      <c r="R6397" t="s">
        <v>920</v>
      </c>
      <c r="S6397">
        <v>39</v>
      </c>
      <c r="T6397" s="29" t="str">
        <f t="shared" si="287"/>
        <v>2023.015P.Geminiviridae_rename_sp.zip</v>
      </c>
      <c r="U6397" s="29" t="str">
        <f>HYPERLINK("https://ictv.global/taxonomy/taxondetails?taxnode_id=202305805","ictv.global=202305805")</f>
        <v>ictv.global=202305805</v>
      </c>
    </row>
    <row r="6398" spans="1:21">
      <c r="A6398">
        <v>6397</v>
      </c>
      <c r="B6398" s="30" t="s">
        <v>1956</v>
      </c>
      <c r="D6398" s="30" t="s">
        <v>1985</v>
      </c>
      <c r="F6398" s="30" t="s">
        <v>2009</v>
      </c>
      <c r="H6398" s="30" t="s">
        <v>2018</v>
      </c>
      <c r="J6398" s="30" t="s">
        <v>2019</v>
      </c>
      <c r="L6398" s="30" t="s">
        <v>499</v>
      </c>
      <c r="N6398" s="30" t="s">
        <v>500</v>
      </c>
      <c r="P6398" s="30" t="s">
        <v>13528</v>
      </c>
      <c r="Q6398" t="s">
        <v>622</v>
      </c>
      <c r="R6398" t="s">
        <v>920</v>
      </c>
      <c r="S6398">
        <v>39</v>
      </c>
      <c r="T6398" s="29" t="str">
        <f t="shared" si="287"/>
        <v>2023.015P.Geminiviridae_rename_sp.zip</v>
      </c>
      <c r="U6398" s="29" t="str">
        <f>HYPERLINK("https://ictv.global/taxonomy/taxondetails?taxnode_id=202305804","ictv.global=202305804")</f>
        <v>ictv.global=202305804</v>
      </c>
    </row>
    <row r="6399" spans="1:21">
      <c r="A6399">
        <v>6398</v>
      </c>
      <c r="B6399" s="30" t="s">
        <v>1956</v>
      </c>
      <c r="D6399" s="30" t="s">
        <v>1985</v>
      </c>
      <c r="F6399" s="30" t="s">
        <v>2009</v>
      </c>
      <c r="H6399" s="30" t="s">
        <v>2018</v>
      </c>
      <c r="J6399" s="30" t="s">
        <v>2019</v>
      </c>
      <c r="L6399" s="30" t="s">
        <v>499</v>
      </c>
      <c r="N6399" s="30" t="s">
        <v>500</v>
      </c>
      <c r="P6399" s="30" t="s">
        <v>13529</v>
      </c>
      <c r="Q6399" t="s">
        <v>622</v>
      </c>
      <c r="R6399" t="s">
        <v>920</v>
      </c>
      <c r="S6399">
        <v>39</v>
      </c>
      <c r="T6399" s="29" t="str">
        <f t="shared" si="287"/>
        <v>2023.015P.Geminiviridae_rename_sp.zip</v>
      </c>
      <c r="U6399" s="29" t="str">
        <f>HYPERLINK("https://ictv.global/taxonomy/taxondetails?taxnode_id=202303263","ictv.global=202303263")</f>
        <v>ictv.global=202303263</v>
      </c>
    </row>
    <row r="6400" spans="1:21">
      <c r="A6400">
        <v>6399</v>
      </c>
      <c r="B6400" s="30" t="s">
        <v>1956</v>
      </c>
      <c r="D6400" s="30" t="s">
        <v>1985</v>
      </c>
      <c r="F6400" s="30" t="s">
        <v>2009</v>
      </c>
      <c r="H6400" s="30" t="s">
        <v>2018</v>
      </c>
      <c r="J6400" s="30" t="s">
        <v>2019</v>
      </c>
      <c r="L6400" s="30" t="s">
        <v>499</v>
      </c>
      <c r="N6400" s="30" t="s">
        <v>500</v>
      </c>
      <c r="P6400" s="30" t="s">
        <v>13530</v>
      </c>
      <c r="Q6400" t="s">
        <v>622</v>
      </c>
      <c r="R6400" t="s">
        <v>920</v>
      </c>
      <c r="S6400">
        <v>39</v>
      </c>
      <c r="T6400" s="29" t="str">
        <f t="shared" si="287"/>
        <v>2023.015P.Geminiviridae_rename_sp.zip</v>
      </c>
      <c r="U6400" s="29" t="str">
        <f>HYPERLINK("https://ictv.global/taxonomy/taxondetails?taxnode_id=202303265","ictv.global=202303265")</f>
        <v>ictv.global=202303265</v>
      </c>
    </row>
    <row r="6401" spans="1:21">
      <c r="A6401">
        <v>6400</v>
      </c>
      <c r="B6401" s="30" t="s">
        <v>1956</v>
      </c>
      <c r="D6401" s="30" t="s">
        <v>1985</v>
      </c>
      <c r="F6401" s="30" t="s">
        <v>2009</v>
      </c>
      <c r="H6401" s="30" t="s">
        <v>2018</v>
      </c>
      <c r="J6401" s="30" t="s">
        <v>2019</v>
      </c>
      <c r="L6401" s="30" t="s">
        <v>499</v>
      </c>
      <c r="N6401" s="30" t="s">
        <v>500</v>
      </c>
      <c r="P6401" s="30" t="s">
        <v>13531</v>
      </c>
      <c r="Q6401" t="s">
        <v>622</v>
      </c>
      <c r="R6401" t="s">
        <v>920</v>
      </c>
      <c r="S6401">
        <v>39</v>
      </c>
      <c r="T6401" s="29" t="str">
        <f t="shared" si="287"/>
        <v>2023.015P.Geminiviridae_rename_sp.zip</v>
      </c>
      <c r="U6401" s="29" t="str">
        <f>HYPERLINK("https://ictv.global/taxonomy/taxondetails?taxnode_id=202303264","ictv.global=202303264")</f>
        <v>ictv.global=202303264</v>
      </c>
    </row>
    <row r="6402" spans="1:21">
      <c r="A6402">
        <v>6401</v>
      </c>
      <c r="B6402" s="30" t="s">
        <v>1956</v>
      </c>
      <c r="D6402" s="30" t="s">
        <v>1985</v>
      </c>
      <c r="F6402" s="30" t="s">
        <v>2009</v>
      </c>
      <c r="H6402" s="30" t="s">
        <v>2018</v>
      </c>
      <c r="J6402" s="30" t="s">
        <v>2019</v>
      </c>
      <c r="L6402" s="30" t="s">
        <v>499</v>
      </c>
      <c r="N6402" s="30" t="s">
        <v>500</v>
      </c>
      <c r="P6402" s="30" t="s">
        <v>13532</v>
      </c>
      <c r="Q6402" t="s">
        <v>622</v>
      </c>
      <c r="R6402" t="s">
        <v>920</v>
      </c>
      <c r="S6402">
        <v>39</v>
      </c>
      <c r="T6402" s="29" t="str">
        <f t="shared" si="287"/>
        <v>2023.015P.Geminiviridae_rename_sp.zip</v>
      </c>
      <c r="U6402" s="29" t="str">
        <f>HYPERLINK("https://ictv.global/taxonomy/taxondetails?taxnode_id=202303176","ictv.global=202303176")</f>
        <v>ictv.global=202303176</v>
      </c>
    </row>
    <row r="6403" spans="1:21">
      <c r="A6403">
        <v>6402</v>
      </c>
      <c r="B6403" s="30" t="s">
        <v>1956</v>
      </c>
      <c r="D6403" s="30" t="s">
        <v>1985</v>
      </c>
      <c r="F6403" s="30" t="s">
        <v>2009</v>
      </c>
      <c r="H6403" s="30" t="s">
        <v>2018</v>
      </c>
      <c r="J6403" s="30" t="s">
        <v>2019</v>
      </c>
      <c r="L6403" s="30" t="s">
        <v>499</v>
      </c>
      <c r="N6403" s="30" t="s">
        <v>500</v>
      </c>
      <c r="P6403" s="30" t="s">
        <v>13533</v>
      </c>
      <c r="Q6403" t="s">
        <v>622</v>
      </c>
      <c r="R6403" t="s">
        <v>920</v>
      </c>
      <c r="S6403">
        <v>39</v>
      </c>
      <c r="T6403" s="29" t="str">
        <f t="shared" si="287"/>
        <v>2023.015P.Geminiviridae_rename_sp.zip</v>
      </c>
      <c r="U6403" s="29" t="str">
        <f>HYPERLINK("https://ictv.global/taxonomy/taxondetails?taxnode_id=202303247","ictv.global=202303247")</f>
        <v>ictv.global=202303247</v>
      </c>
    </row>
    <row r="6404" spans="1:21">
      <c r="A6404">
        <v>6403</v>
      </c>
      <c r="B6404" s="30" t="s">
        <v>1956</v>
      </c>
      <c r="D6404" s="30" t="s">
        <v>1985</v>
      </c>
      <c r="F6404" s="30" t="s">
        <v>2009</v>
      </c>
      <c r="H6404" s="30" t="s">
        <v>2018</v>
      </c>
      <c r="J6404" s="30" t="s">
        <v>2019</v>
      </c>
      <c r="L6404" s="30" t="s">
        <v>499</v>
      </c>
      <c r="N6404" s="30" t="s">
        <v>500</v>
      </c>
      <c r="P6404" s="30" t="s">
        <v>13534</v>
      </c>
      <c r="Q6404" t="s">
        <v>622</v>
      </c>
      <c r="R6404" t="s">
        <v>920</v>
      </c>
      <c r="S6404">
        <v>39</v>
      </c>
      <c r="T6404" s="29" t="str">
        <f t="shared" si="287"/>
        <v>2023.015P.Geminiviridae_rename_sp.zip</v>
      </c>
      <c r="U6404" s="29" t="str">
        <f>HYPERLINK("https://ictv.global/taxonomy/taxondetails?taxnode_id=202303268","ictv.global=202303268")</f>
        <v>ictv.global=202303268</v>
      </c>
    </row>
    <row r="6405" spans="1:21">
      <c r="A6405">
        <v>6404</v>
      </c>
      <c r="B6405" s="30" t="s">
        <v>1956</v>
      </c>
      <c r="D6405" s="30" t="s">
        <v>1985</v>
      </c>
      <c r="F6405" s="30" t="s">
        <v>2009</v>
      </c>
      <c r="H6405" s="30" t="s">
        <v>2018</v>
      </c>
      <c r="J6405" s="30" t="s">
        <v>2019</v>
      </c>
      <c r="L6405" s="30" t="s">
        <v>499</v>
      </c>
      <c r="N6405" s="30" t="s">
        <v>500</v>
      </c>
      <c r="P6405" s="30" t="s">
        <v>13535</v>
      </c>
      <c r="Q6405" t="s">
        <v>622</v>
      </c>
      <c r="R6405" t="s">
        <v>920</v>
      </c>
      <c r="S6405">
        <v>39</v>
      </c>
      <c r="T6405" s="29" t="str">
        <f t="shared" si="287"/>
        <v>2023.015P.Geminiviridae_rename_sp.zip</v>
      </c>
      <c r="U6405" s="29" t="str">
        <f>HYPERLINK("https://ictv.global/taxonomy/taxondetails?taxnode_id=202303269","ictv.global=202303269")</f>
        <v>ictv.global=202303269</v>
      </c>
    </row>
    <row r="6406" spans="1:21">
      <c r="A6406">
        <v>6405</v>
      </c>
      <c r="B6406" s="30" t="s">
        <v>1956</v>
      </c>
      <c r="D6406" s="30" t="s">
        <v>1985</v>
      </c>
      <c r="F6406" s="30" t="s">
        <v>2009</v>
      </c>
      <c r="H6406" s="30" t="s">
        <v>2018</v>
      </c>
      <c r="J6406" s="30" t="s">
        <v>2019</v>
      </c>
      <c r="L6406" s="30" t="s">
        <v>499</v>
      </c>
      <c r="N6406" s="30" t="s">
        <v>500</v>
      </c>
      <c r="P6406" s="30" t="s">
        <v>13536</v>
      </c>
      <c r="Q6406" t="s">
        <v>622</v>
      </c>
      <c r="R6406" t="s">
        <v>920</v>
      </c>
      <c r="S6406">
        <v>39</v>
      </c>
      <c r="T6406" s="29" t="str">
        <f t="shared" si="287"/>
        <v>2023.015P.Geminiviridae_rename_sp.zip</v>
      </c>
      <c r="U6406" s="29" t="str">
        <f>HYPERLINK("https://ictv.global/taxonomy/taxondetails?taxnode_id=202305806","ictv.global=202305806")</f>
        <v>ictv.global=202305806</v>
      </c>
    </row>
    <row r="6407" spans="1:21">
      <c r="A6407">
        <v>6406</v>
      </c>
      <c r="B6407" s="30" t="s">
        <v>1956</v>
      </c>
      <c r="D6407" s="30" t="s">
        <v>1985</v>
      </c>
      <c r="F6407" s="30" t="s">
        <v>2009</v>
      </c>
      <c r="H6407" s="30" t="s">
        <v>2018</v>
      </c>
      <c r="J6407" s="30" t="s">
        <v>2019</v>
      </c>
      <c r="L6407" s="30" t="s">
        <v>499</v>
      </c>
      <c r="N6407" s="30" t="s">
        <v>500</v>
      </c>
      <c r="P6407" s="30" t="s">
        <v>13537</v>
      </c>
      <c r="Q6407" t="s">
        <v>622</v>
      </c>
      <c r="R6407" t="s">
        <v>920</v>
      </c>
      <c r="S6407">
        <v>39</v>
      </c>
      <c r="T6407" s="29" t="str">
        <f t="shared" si="287"/>
        <v>2023.015P.Geminiviridae_rename_sp.zip</v>
      </c>
      <c r="U6407" s="29" t="str">
        <f>HYPERLINK("https://ictv.global/taxonomy/taxondetails?taxnode_id=202303259","ictv.global=202303259")</f>
        <v>ictv.global=202303259</v>
      </c>
    </row>
    <row r="6408" spans="1:21">
      <c r="A6408">
        <v>6407</v>
      </c>
      <c r="B6408" s="30" t="s">
        <v>1956</v>
      </c>
      <c r="D6408" s="30" t="s">
        <v>1985</v>
      </c>
      <c r="F6408" s="30" t="s">
        <v>2009</v>
      </c>
      <c r="H6408" s="30" t="s">
        <v>2018</v>
      </c>
      <c r="J6408" s="30" t="s">
        <v>2019</v>
      </c>
      <c r="L6408" s="30" t="s">
        <v>499</v>
      </c>
      <c r="N6408" s="30" t="s">
        <v>500</v>
      </c>
      <c r="P6408" s="30" t="s">
        <v>13538</v>
      </c>
      <c r="Q6408" t="s">
        <v>622</v>
      </c>
      <c r="R6408" t="s">
        <v>920</v>
      </c>
      <c r="S6408">
        <v>39</v>
      </c>
      <c r="T6408" s="29" t="str">
        <f t="shared" si="287"/>
        <v>2023.015P.Geminiviridae_rename_sp.zip</v>
      </c>
      <c r="U6408" s="29" t="str">
        <f>HYPERLINK("https://ictv.global/taxonomy/taxondetails?taxnode_id=202303271","ictv.global=202303271")</f>
        <v>ictv.global=202303271</v>
      </c>
    </row>
    <row r="6409" spans="1:21">
      <c r="A6409">
        <v>6408</v>
      </c>
      <c r="B6409" s="30" t="s">
        <v>1956</v>
      </c>
      <c r="D6409" s="30" t="s">
        <v>1985</v>
      </c>
      <c r="F6409" s="30" t="s">
        <v>2009</v>
      </c>
      <c r="H6409" s="30" t="s">
        <v>2018</v>
      </c>
      <c r="J6409" s="30" t="s">
        <v>2019</v>
      </c>
      <c r="L6409" s="30" t="s">
        <v>499</v>
      </c>
      <c r="N6409" s="30" t="s">
        <v>500</v>
      </c>
      <c r="P6409" s="30" t="s">
        <v>13539</v>
      </c>
      <c r="Q6409" t="s">
        <v>622</v>
      </c>
      <c r="R6409" t="s">
        <v>920</v>
      </c>
      <c r="S6409">
        <v>39</v>
      </c>
      <c r="T6409" s="29" t="str">
        <f t="shared" si="287"/>
        <v>2023.015P.Geminiviridae_rename_sp.zip</v>
      </c>
      <c r="U6409" s="29" t="str">
        <f>HYPERLINK("https://ictv.global/taxonomy/taxondetails?taxnode_id=202303270","ictv.global=202303270")</f>
        <v>ictv.global=202303270</v>
      </c>
    </row>
    <row r="6410" spans="1:21">
      <c r="A6410">
        <v>6409</v>
      </c>
      <c r="B6410" s="30" t="s">
        <v>1956</v>
      </c>
      <c r="D6410" s="30" t="s">
        <v>1985</v>
      </c>
      <c r="F6410" s="30" t="s">
        <v>2009</v>
      </c>
      <c r="H6410" s="30" t="s">
        <v>2018</v>
      </c>
      <c r="J6410" s="30" t="s">
        <v>2019</v>
      </c>
      <c r="L6410" s="30" t="s">
        <v>499</v>
      </c>
      <c r="N6410" s="30" t="s">
        <v>500</v>
      </c>
      <c r="P6410" s="30" t="s">
        <v>13540</v>
      </c>
      <c r="Q6410" t="s">
        <v>622</v>
      </c>
      <c r="R6410" t="s">
        <v>920</v>
      </c>
      <c r="S6410">
        <v>39</v>
      </c>
      <c r="T6410" s="29" t="str">
        <f t="shared" si="287"/>
        <v>2023.015P.Geminiviridae_rename_sp.zip</v>
      </c>
      <c r="U6410" s="29" t="str">
        <f>HYPERLINK("https://ictv.global/taxonomy/taxondetails?taxnode_id=202303272","ictv.global=202303272")</f>
        <v>ictv.global=202303272</v>
      </c>
    </row>
    <row r="6411" spans="1:21">
      <c r="A6411">
        <v>6410</v>
      </c>
      <c r="B6411" s="30" t="s">
        <v>1956</v>
      </c>
      <c r="D6411" s="30" t="s">
        <v>1985</v>
      </c>
      <c r="F6411" s="30" t="s">
        <v>2009</v>
      </c>
      <c r="H6411" s="30" t="s">
        <v>2018</v>
      </c>
      <c r="J6411" s="30" t="s">
        <v>2019</v>
      </c>
      <c r="L6411" s="30" t="s">
        <v>499</v>
      </c>
      <c r="N6411" s="30" t="s">
        <v>500</v>
      </c>
      <c r="P6411" s="30" t="s">
        <v>13541</v>
      </c>
      <c r="Q6411" t="s">
        <v>622</v>
      </c>
      <c r="R6411" t="s">
        <v>920</v>
      </c>
      <c r="S6411">
        <v>39</v>
      </c>
      <c r="T6411" s="29" t="str">
        <f t="shared" si="287"/>
        <v>2023.015P.Geminiviridae_rename_sp.zip</v>
      </c>
      <c r="U6411" s="29" t="str">
        <f>HYPERLINK("https://ictv.global/taxonomy/taxondetails?taxnode_id=202305807","ictv.global=202305807")</f>
        <v>ictv.global=202305807</v>
      </c>
    </row>
    <row r="6412" spans="1:21">
      <c r="A6412">
        <v>6411</v>
      </c>
      <c r="B6412" s="30" t="s">
        <v>1956</v>
      </c>
      <c r="D6412" s="30" t="s">
        <v>1985</v>
      </c>
      <c r="F6412" s="30" t="s">
        <v>2009</v>
      </c>
      <c r="H6412" s="30" t="s">
        <v>2018</v>
      </c>
      <c r="J6412" s="30" t="s">
        <v>2019</v>
      </c>
      <c r="L6412" s="30" t="s">
        <v>499</v>
      </c>
      <c r="N6412" s="30" t="s">
        <v>500</v>
      </c>
      <c r="P6412" s="30" t="s">
        <v>13542</v>
      </c>
      <c r="Q6412" t="s">
        <v>622</v>
      </c>
      <c r="R6412" t="s">
        <v>920</v>
      </c>
      <c r="S6412">
        <v>39</v>
      </c>
      <c r="T6412" s="29" t="str">
        <f t="shared" si="287"/>
        <v>2023.015P.Geminiviridae_rename_sp.zip</v>
      </c>
      <c r="U6412" s="29" t="str">
        <f>HYPERLINK("https://ictv.global/taxonomy/taxondetails?taxnode_id=202303273","ictv.global=202303273")</f>
        <v>ictv.global=202303273</v>
      </c>
    </row>
    <row r="6413" spans="1:21">
      <c r="A6413">
        <v>6412</v>
      </c>
      <c r="B6413" s="30" t="s">
        <v>1956</v>
      </c>
      <c r="D6413" s="30" t="s">
        <v>1985</v>
      </c>
      <c r="F6413" s="30" t="s">
        <v>2009</v>
      </c>
      <c r="H6413" s="30" t="s">
        <v>2018</v>
      </c>
      <c r="J6413" s="30" t="s">
        <v>2019</v>
      </c>
      <c r="L6413" s="30" t="s">
        <v>499</v>
      </c>
      <c r="N6413" s="30" t="s">
        <v>500</v>
      </c>
      <c r="P6413" s="30" t="s">
        <v>13543</v>
      </c>
      <c r="Q6413" t="s">
        <v>622</v>
      </c>
      <c r="R6413" t="s">
        <v>920</v>
      </c>
      <c r="S6413">
        <v>39</v>
      </c>
      <c r="T6413" s="29" t="str">
        <f t="shared" si="287"/>
        <v>2023.015P.Geminiviridae_rename_sp.zip</v>
      </c>
      <c r="U6413" s="29" t="str">
        <f>HYPERLINK("https://ictv.global/taxonomy/taxondetails?taxnode_id=202305809","ictv.global=202305809")</f>
        <v>ictv.global=202305809</v>
      </c>
    </row>
    <row r="6414" spans="1:21">
      <c r="A6414">
        <v>6413</v>
      </c>
      <c r="B6414" s="30" t="s">
        <v>1956</v>
      </c>
      <c r="D6414" s="30" t="s">
        <v>1985</v>
      </c>
      <c r="F6414" s="30" t="s">
        <v>2009</v>
      </c>
      <c r="H6414" s="30" t="s">
        <v>2018</v>
      </c>
      <c r="J6414" s="30" t="s">
        <v>2019</v>
      </c>
      <c r="L6414" s="30" t="s">
        <v>499</v>
      </c>
      <c r="N6414" s="30" t="s">
        <v>500</v>
      </c>
      <c r="P6414" s="30" t="s">
        <v>13544</v>
      </c>
      <c r="Q6414" t="s">
        <v>622</v>
      </c>
      <c r="R6414" t="s">
        <v>920</v>
      </c>
      <c r="S6414">
        <v>39</v>
      </c>
      <c r="T6414" s="29" t="str">
        <f t="shared" si="287"/>
        <v>2023.015P.Geminiviridae_rename_sp.zip</v>
      </c>
      <c r="U6414" s="29" t="str">
        <f>HYPERLINK("https://ictv.global/taxonomy/taxondetails?taxnode_id=202303275","ictv.global=202303275")</f>
        <v>ictv.global=202303275</v>
      </c>
    </row>
    <row r="6415" spans="1:21">
      <c r="A6415">
        <v>6414</v>
      </c>
      <c r="B6415" s="30" t="s">
        <v>1956</v>
      </c>
      <c r="D6415" s="30" t="s">
        <v>1985</v>
      </c>
      <c r="F6415" s="30" t="s">
        <v>2009</v>
      </c>
      <c r="H6415" s="30" t="s">
        <v>2018</v>
      </c>
      <c r="J6415" s="30" t="s">
        <v>2019</v>
      </c>
      <c r="L6415" s="30" t="s">
        <v>499</v>
      </c>
      <c r="N6415" s="30" t="s">
        <v>500</v>
      </c>
      <c r="P6415" s="30" t="s">
        <v>13545</v>
      </c>
      <c r="Q6415" t="s">
        <v>622</v>
      </c>
      <c r="R6415" t="s">
        <v>920</v>
      </c>
      <c r="S6415">
        <v>39</v>
      </c>
      <c r="T6415" s="29" t="str">
        <f t="shared" si="287"/>
        <v>2023.015P.Geminiviridae_rename_sp.zip</v>
      </c>
      <c r="U6415" s="29" t="str">
        <f>HYPERLINK("https://ictv.global/taxonomy/taxondetails?taxnode_id=202303276","ictv.global=202303276")</f>
        <v>ictv.global=202303276</v>
      </c>
    </row>
    <row r="6416" spans="1:21">
      <c r="A6416">
        <v>6415</v>
      </c>
      <c r="B6416" s="30" t="s">
        <v>1956</v>
      </c>
      <c r="D6416" s="30" t="s">
        <v>1985</v>
      </c>
      <c r="F6416" s="30" t="s">
        <v>2009</v>
      </c>
      <c r="H6416" s="30" t="s">
        <v>2018</v>
      </c>
      <c r="J6416" s="30" t="s">
        <v>2019</v>
      </c>
      <c r="L6416" s="30" t="s">
        <v>499</v>
      </c>
      <c r="N6416" s="30" t="s">
        <v>500</v>
      </c>
      <c r="P6416" s="30" t="s">
        <v>13546</v>
      </c>
      <c r="Q6416" t="s">
        <v>622</v>
      </c>
      <c r="R6416" t="s">
        <v>920</v>
      </c>
      <c r="S6416">
        <v>39</v>
      </c>
      <c r="T6416" s="29" t="str">
        <f t="shared" si="287"/>
        <v>2023.015P.Geminiviridae_rename_sp.zip</v>
      </c>
      <c r="U6416" s="29" t="str">
        <f>HYPERLINK("https://ictv.global/taxonomy/taxondetails?taxnode_id=202303277","ictv.global=202303277")</f>
        <v>ictv.global=202303277</v>
      </c>
    </row>
    <row r="6417" spans="1:21">
      <c r="A6417">
        <v>6416</v>
      </c>
      <c r="B6417" s="30" t="s">
        <v>1956</v>
      </c>
      <c r="D6417" s="30" t="s">
        <v>1985</v>
      </c>
      <c r="F6417" s="30" t="s">
        <v>2009</v>
      </c>
      <c r="H6417" s="30" t="s">
        <v>2018</v>
      </c>
      <c r="J6417" s="30" t="s">
        <v>2019</v>
      </c>
      <c r="L6417" s="30" t="s">
        <v>499</v>
      </c>
      <c r="N6417" s="30" t="s">
        <v>500</v>
      </c>
      <c r="P6417" s="30" t="s">
        <v>13547</v>
      </c>
      <c r="Q6417" t="s">
        <v>622</v>
      </c>
      <c r="R6417" t="s">
        <v>920</v>
      </c>
      <c r="S6417">
        <v>39</v>
      </c>
      <c r="T6417" s="29" t="str">
        <f t="shared" si="287"/>
        <v>2023.015P.Geminiviridae_rename_sp.zip</v>
      </c>
      <c r="U6417" s="29" t="str">
        <f>HYPERLINK("https://ictv.global/taxonomy/taxondetails?taxnode_id=202305808","ictv.global=202305808")</f>
        <v>ictv.global=202305808</v>
      </c>
    </row>
    <row r="6418" spans="1:21">
      <c r="A6418">
        <v>6417</v>
      </c>
      <c r="B6418" s="30" t="s">
        <v>1956</v>
      </c>
      <c r="D6418" s="30" t="s">
        <v>1985</v>
      </c>
      <c r="F6418" s="30" t="s">
        <v>2009</v>
      </c>
      <c r="H6418" s="30" t="s">
        <v>2018</v>
      </c>
      <c r="J6418" s="30" t="s">
        <v>2019</v>
      </c>
      <c r="L6418" s="30" t="s">
        <v>499</v>
      </c>
      <c r="N6418" s="30" t="s">
        <v>500</v>
      </c>
      <c r="P6418" s="30" t="s">
        <v>13548</v>
      </c>
      <c r="Q6418" t="s">
        <v>622</v>
      </c>
      <c r="R6418" t="s">
        <v>920</v>
      </c>
      <c r="S6418">
        <v>39</v>
      </c>
      <c r="T6418" s="29" t="str">
        <f t="shared" si="287"/>
        <v>2023.015P.Geminiviridae_rename_sp.zip</v>
      </c>
      <c r="U6418" s="29" t="str">
        <f>HYPERLINK("https://ictv.global/taxonomy/taxondetails?taxnode_id=202303274","ictv.global=202303274")</f>
        <v>ictv.global=202303274</v>
      </c>
    </row>
    <row r="6419" spans="1:21">
      <c r="A6419">
        <v>6418</v>
      </c>
      <c r="B6419" s="30" t="s">
        <v>1956</v>
      </c>
      <c r="D6419" s="30" t="s">
        <v>1985</v>
      </c>
      <c r="F6419" s="30" t="s">
        <v>2009</v>
      </c>
      <c r="H6419" s="30" t="s">
        <v>2018</v>
      </c>
      <c r="J6419" s="30" t="s">
        <v>2019</v>
      </c>
      <c r="L6419" s="30" t="s">
        <v>499</v>
      </c>
      <c r="N6419" s="30" t="s">
        <v>500</v>
      </c>
      <c r="P6419" s="30" t="s">
        <v>13549</v>
      </c>
      <c r="Q6419" t="s">
        <v>622</v>
      </c>
      <c r="R6419" t="s">
        <v>920</v>
      </c>
      <c r="S6419">
        <v>39</v>
      </c>
      <c r="T6419" s="29" t="str">
        <f t="shared" si="287"/>
        <v>2023.015P.Geminiviridae_rename_sp.zip</v>
      </c>
      <c r="U6419" s="29" t="str">
        <f>HYPERLINK("https://ictv.global/taxonomy/taxondetails?taxnode_id=202303278","ictv.global=202303278")</f>
        <v>ictv.global=202303278</v>
      </c>
    </row>
    <row r="6420" spans="1:21">
      <c r="A6420">
        <v>6419</v>
      </c>
      <c r="B6420" s="30" t="s">
        <v>1956</v>
      </c>
      <c r="D6420" s="30" t="s">
        <v>1985</v>
      </c>
      <c r="F6420" s="30" t="s">
        <v>2009</v>
      </c>
      <c r="H6420" s="30" t="s">
        <v>2018</v>
      </c>
      <c r="J6420" s="30" t="s">
        <v>2019</v>
      </c>
      <c r="L6420" s="30" t="s">
        <v>499</v>
      </c>
      <c r="N6420" s="30" t="s">
        <v>500</v>
      </c>
      <c r="P6420" s="30" t="s">
        <v>13550</v>
      </c>
      <c r="Q6420" t="s">
        <v>622</v>
      </c>
      <c r="R6420" t="s">
        <v>920</v>
      </c>
      <c r="S6420">
        <v>39</v>
      </c>
      <c r="T6420" s="29" t="str">
        <f t="shared" si="287"/>
        <v>2023.015P.Geminiviridae_rename_sp.zip</v>
      </c>
      <c r="U6420" s="29" t="str">
        <f>HYPERLINK("https://ictv.global/taxonomy/taxondetails?taxnode_id=202303258","ictv.global=202303258")</f>
        <v>ictv.global=202303258</v>
      </c>
    </row>
    <row r="6421" spans="1:21">
      <c r="A6421">
        <v>6420</v>
      </c>
      <c r="B6421" s="30" t="s">
        <v>1956</v>
      </c>
      <c r="D6421" s="30" t="s">
        <v>1985</v>
      </c>
      <c r="F6421" s="30" t="s">
        <v>2009</v>
      </c>
      <c r="H6421" s="30" t="s">
        <v>2018</v>
      </c>
      <c r="J6421" s="30" t="s">
        <v>2019</v>
      </c>
      <c r="L6421" s="30" t="s">
        <v>499</v>
      </c>
      <c r="N6421" s="30" t="s">
        <v>500</v>
      </c>
      <c r="P6421" s="30" t="s">
        <v>13551</v>
      </c>
      <c r="Q6421" t="s">
        <v>622</v>
      </c>
      <c r="R6421" t="s">
        <v>920</v>
      </c>
      <c r="S6421">
        <v>39</v>
      </c>
      <c r="T6421" s="29" t="str">
        <f t="shared" si="287"/>
        <v>2023.015P.Geminiviridae_rename_sp.zip</v>
      </c>
      <c r="U6421" s="29" t="str">
        <f>HYPERLINK("https://ictv.global/taxonomy/taxondetails?taxnode_id=202303280","ictv.global=202303280")</f>
        <v>ictv.global=202303280</v>
      </c>
    </row>
    <row r="6422" spans="1:21">
      <c r="A6422">
        <v>6421</v>
      </c>
      <c r="B6422" s="30" t="s">
        <v>1956</v>
      </c>
      <c r="D6422" s="30" t="s">
        <v>1985</v>
      </c>
      <c r="F6422" s="30" t="s">
        <v>2009</v>
      </c>
      <c r="H6422" s="30" t="s">
        <v>2018</v>
      </c>
      <c r="J6422" s="30" t="s">
        <v>2019</v>
      </c>
      <c r="L6422" s="30" t="s">
        <v>499</v>
      </c>
      <c r="N6422" s="30" t="s">
        <v>500</v>
      </c>
      <c r="P6422" s="30" t="s">
        <v>13552</v>
      </c>
      <c r="Q6422" t="s">
        <v>622</v>
      </c>
      <c r="R6422" t="s">
        <v>920</v>
      </c>
      <c r="S6422">
        <v>39</v>
      </c>
      <c r="T6422" s="29" t="str">
        <f t="shared" ref="T6422:T6485" si="288">HYPERLINK("https://ictv.global/ictv/proposals/2023.015P.Geminiviridae_rename_sp.zip","2023.015P.Geminiviridae_rename_sp.zip")</f>
        <v>2023.015P.Geminiviridae_rename_sp.zip</v>
      </c>
      <c r="U6422" s="29" t="str">
        <f>HYPERLINK("https://ictv.global/taxonomy/taxondetails?taxnode_id=202305811","ictv.global=202305811")</f>
        <v>ictv.global=202305811</v>
      </c>
    </row>
    <row r="6423" spans="1:21">
      <c r="A6423">
        <v>6422</v>
      </c>
      <c r="B6423" s="30" t="s">
        <v>1956</v>
      </c>
      <c r="D6423" s="30" t="s">
        <v>1985</v>
      </c>
      <c r="F6423" s="30" t="s">
        <v>2009</v>
      </c>
      <c r="H6423" s="30" t="s">
        <v>2018</v>
      </c>
      <c r="J6423" s="30" t="s">
        <v>2019</v>
      </c>
      <c r="L6423" s="30" t="s">
        <v>499</v>
      </c>
      <c r="N6423" s="30" t="s">
        <v>500</v>
      </c>
      <c r="P6423" s="30" t="s">
        <v>13553</v>
      </c>
      <c r="Q6423" t="s">
        <v>622</v>
      </c>
      <c r="R6423" t="s">
        <v>920</v>
      </c>
      <c r="S6423">
        <v>39</v>
      </c>
      <c r="T6423" s="29" t="str">
        <f t="shared" si="288"/>
        <v>2023.015P.Geminiviridae_rename_sp.zip</v>
      </c>
      <c r="U6423" s="29" t="str">
        <f>HYPERLINK("https://ictv.global/taxonomy/taxondetails?taxnode_id=202305810","ictv.global=202305810")</f>
        <v>ictv.global=202305810</v>
      </c>
    </row>
    <row r="6424" spans="1:21">
      <c r="A6424">
        <v>6423</v>
      </c>
      <c r="B6424" s="30" t="s">
        <v>1956</v>
      </c>
      <c r="D6424" s="30" t="s">
        <v>1985</v>
      </c>
      <c r="F6424" s="30" t="s">
        <v>2009</v>
      </c>
      <c r="H6424" s="30" t="s">
        <v>2018</v>
      </c>
      <c r="J6424" s="30" t="s">
        <v>2019</v>
      </c>
      <c r="L6424" s="30" t="s">
        <v>499</v>
      </c>
      <c r="N6424" s="30" t="s">
        <v>500</v>
      </c>
      <c r="P6424" s="30" t="s">
        <v>13554</v>
      </c>
      <c r="Q6424" t="s">
        <v>622</v>
      </c>
      <c r="R6424" t="s">
        <v>920</v>
      </c>
      <c r="S6424">
        <v>39</v>
      </c>
      <c r="T6424" s="29" t="str">
        <f t="shared" si="288"/>
        <v>2023.015P.Geminiviridae_rename_sp.zip</v>
      </c>
      <c r="U6424" s="29" t="str">
        <f>HYPERLINK("https://ictv.global/taxonomy/taxondetails?taxnode_id=202303281","ictv.global=202303281")</f>
        <v>ictv.global=202303281</v>
      </c>
    </row>
    <row r="6425" spans="1:21">
      <c r="A6425">
        <v>6424</v>
      </c>
      <c r="B6425" s="30" t="s">
        <v>1956</v>
      </c>
      <c r="D6425" s="30" t="s">
        <v>1985</v>
      </c>
      <c r="F6425" s="30" t="s">
        <v>2009</v>
      </c>
      <c r="H6425" s="30" t="s">
        <v>2018</v>
      </c>
      <c r="J6425" s="30" t="s">
        <v>2019</v>
      </c>
      <c r="L6425" s="30" t="s">
        <v>499</v>
      </c>
      <c r="N6425" s="30" t="s">
        <v>500</v>
      </c>
      <c r="P6425" s="30" t="s">
        <v>13555</v>
      </c>
      <c r="Q6425" t="s">
        <v>622</v>
      </c>
      <c r="R6425" t="s">
        <v>920</v>
      </c>
      <c r="S6425">
        <v>39</v>
      </c>
      <c r="T6425" s="29" t="str">
        <f t="shared" si="288"/>
        <v>2023.015P.Geminiviridae_rename_sp.zip</v>
      </c>
      <c r="U6425" s="29" t="str">
        <f>HYPERLINK("https://ictv.global/taxonomy/taxondetails?taxnode_id=202303284","ictv.global=202303284")</f>
        <v>ictv.global=202303284</v>
      </c>
    </row>
    <row r="6426" spans="1:21">
      <c r="A6426">
        <v>6425</v>
      </c>
      <c r="B6426" s="30" t="s">
        <v>1956</v>
      </c>
      <c r="D6426" s="30" t="s">
        <v>1985</v>
      </c>
      <c r="F6426" s="30" t="s">
        <v>2009</v>
      </c>
      <c r="H6426" s="30" t="s">
        <v>2018</v>
      </c>
      <c r="J6426" s="30" t="s">
        <v>2019</v>
      </c>
      <c r="L6426" s="30" t="s">
        <v>499</v>
      </c>
      <c r="N6426" s="30" t="s">
        <v>500</v>
      </c>
      <c r="P6426" s="30" t="s">
        <v>13556</v>
      </c>
      <c r="Q6426" t="s">
        <v>622</v>
      </c>
      <c r="R6426" t="s">
        <v>920</v>
      </c>
      <c r="S6426">
        <v>39</v>
      </c>
      <c r="T6426" s="29" t="str">
        <f t="shared" si="288"/>
        <v>2023.015P.Geminiviridae_rename_sp.zip</v>
      </c>
      <c r="U6426" s="29" t="str">
        <f>HYPERLINK("https://ictv.global/taxonomy/taxondetails?taxnode_id=202303282","ictv.global=202303282")</f>
        <v>ictv.global=202303282</v>
      </c>
    </row>
    <row r="6427" spans="1:21">
      <c r="A6427">
        <v>6426</v>
      </c>
      <c r="B6427" s="30" t="s">
        <v>1956</v>
      </c>
      <c r="D6427" s="30" t="s">
        <v>1985</v>
      </c>
      <c r="F6427" s="30" t="s">
        <v>2009</v>
      </c>
      <c r="H6427" s="30" t="s">
        <v>2018</v>
      </c>
      <c r="J6427" s="30" t="s">
        <v>2019</v>
      </c>
      <c r="L6427" s="30" t="s">
        <v>499</v>
      </c>
      <c r="N6427" s="30" t="s">
        <v>500</v>
      </c>
      <c r="P6427" s="30" t="s">
        <v>13557</v>
      </c>
      <c r="Q6427" t="s">
        <v>739</v>
      </c>
      <c r="R6427" t="s">
        <v>920</v>
      </c>
      <c r="S6427">
        <v>39</v>
      </c>
      <c r="T6427" s="29" t="str">
        <f t="shared" si="288"/>
        <v>2023.015P.Geminiviridae_rename_sp.zip</v>
      </c>
      <c r="U6427" s="29" t="str">
        <f>HYPERLINK("https://ictv.global/taxonomy/taxondetails?taxnode_id=202307525","ictv.global=202307525")</f>
        <v>ictv.global=202307525</v>
      </c>
    </row>
    <row r="6428" spans="1:21">
      <c r="A6428">
        <v>6427</v>
      </c>
      <c r="B6428" s="30" t="s">
        <v>1956</v>
      </c>
      <c r="D6428" s="30" t="s">
        <v>1985</v>
      </c>
      <c r="F6428" s="30" t="s">
        <v>2009</v>
      </c>
      <c r="H6428" s="30" t="s">
        <v>2018</v>
      </c>
      <c r="J6428" s="30" t="s">
        <v>2019</v>
      </c>
      <c r="L6428" s="30" t="s">
        <v>499</v>
      </c>
      <c r="N6428" s="30" t="s">
        <v>500</v>
      </c>
      <c r="P6428" s="30" t="s">
        <v>13558</v>
      </c>
      <c r="Q6428" t="s">
        <v>622</v>
      </c>
      <c r="R6428" t="s">
        <v>920</v>
      </c>
      <c r="S6428">
        <v>39</v>
      </c>
      <c r="T6428" s="29" t="str">
        <f t="shared" si="288"/>
        <v>2023.015P.Geminiviridae_rename_sp.zip</v>
      </c>
      <c r="U6428" s="29" t="str">
        <f>HYPERLINK("https://ictv.global/taxonomy/taxondetails?taxnode_id=202303283","ictv.global=202303283")</f>
        <v>ictv.global=202303283</v>
      </c>
    </row>
    <row r="6429" spans="1:21">
      <c r="A6429">
        <v>6428</v>
      </c>
      <c r="B6429" s="30" t="s">
        <v>1956</v>
      </c>
      <c r="D6429" s="30" t="s">
        <v>1985</v>
      </c>
      <c r="F6429" s="30" t="s">
        <v>2009</v>
      </c>
      <c r="H6429" s="30" t="s">
        <v>2018</v>
      </c>
      <c r="J6429" s="30" t="s">
        <v>2019</v>
      </c>
      <c r="L6429" s="30" t="s">
        <v>499</v>
      </c>
      <c r="N6429" s="30" t="s">
        <v>500</v>
      </c>
      <c r="P6429" s="30" t="s">
        <v>13559</v>
      </c>
      <c r="Q6429" t="s">
        <v>622</v>
      </c>
      <c r="R6429" t="s">
        <v>920</v>
      </c>
      <c r="S6429">
        <v>39</v>
      </c>
      <c r="T6429" s="29" t="str">
        <f t="shared" si="288"/>
        <v>2023.015P.Geminiviridae_rename_sp.zip</v>
      </c>
      <c r="U6429" s="29" t="str">
        <f>HYPERLINK("https://ictv.global/taxonomy/taxondetails?taxnode_id=202303279","ictv.global=202303279")</f>
        <v>ictv.global=202303279</v>
      </c>
    </row>
    <row r="6430" spans="1:21">
      <c r="A6430">
        <v>6429</v>
      </c>
      <c r="B6430" s="30" t="s">
        <v>1956</v>
      </c>
      <c r="D6430" s="30" t="s">
        <v>1985</v>
      </c>
      <c r="F6430" s="30" t="s">
        <v>2009</v>
      </c>
      <c r="H6430" s="30" t="s">
        <v>2018</v>
      </c>
      <c r="J6430" s="30" t="s">
        <v>2019</v>
      </c>
      <c r="L6430" s="30" t="s">
        <v>499</v>
      </c>
      <c r="N6430" s="30" t="s">
        <v>500</v>
      </c>
      <c r="P6430" s="30" t="s">
        <v>13560</v>
      </c>
      <c r="Q6430" t="s">
        <v>622</v>
      </c>
      <c r="R6430" t="s">
        <v>920</v>
      </c>
      <c r="S6430">
        <v>39</v>
      </c>
      <c r="T6430" s="29" t="str">
        <f t="shared" si="288"/>
        <v>2023.015P.Geminiviridae_rename_sp.zip</v>
      </c>
      <c r="U6430" s="29" t="str">
        <f>HYPERLINK("https://ictv.global/taxonomy/taxondetails?taxnode_id=202303286","ictv.global=202303286")</f>
        <v>ictv.global=202303286</v>
      </c>
    </row>
    <row r="6431" spans="1:21">
      <c r="A6431">
        <v>6430</v>
      </c>
      <c r="B6431" s="30" t="s">
        <v>1956</v>
      </c>
      <c r="D6431" s="30" t="s">
        <v>1985</v>
      </c>
      <c r="F6431" s="30" t="s">
        <v>2009</v>
      </c>
      <c r="H6431" s="30" t="s">
        <v>2018</v>
      </c>
      <c r="J6431" s="30" t="s">
        <v>2019</v>
      </c>
      <c r="L6431" s="30" t="s">
        <v>499</v>
      </c>
      <c r="N6431" s="30" t="s">
        <v>500</v>
      </c>
      <c r="P6431" s="30" t="s">
        <v>13561</v>
      </c>
      <c r="Q6431" t="s">
        <v>622</v>
      </c>
      <c r="R6431" t="s">
        <v>920</v>
      </c>
      <c r="S6431">
        <v>39</v>
      </c>
      <c r="T6431" s="29" t="str">
        <f t="shared" si="288"/>
        <v>2023.015P.Geminiviridae_rename_sp.zip</v>
      </c>
      <c r="U6431" s="29" t="str">
        <f>HYPERLINK("https://ictv.global/taxonomy/taxondetails?taxnode_id=202303285","ictv.global=202303285")</f>
        <v>ictv.global=202303285</v>
      </c>
    </row>
    <row r="6432" spans="1:21">
      <c r="A6432">
        <v>6431</v>
      </c>
      <c r="B6432" s="30" t="s">
        <v>1956</v>
      </c>
      <c r="D6432" s="30" t="s">
        <v>1985</v>
      </c>
      <c r="F6432" s="30" t="s">
        <v>2009</v>
      </c>
      <c r="H6432" s="30" t="s">
        <v>2018</v>
      </c>
      <c r="J6432" s="30" t="s">
        <v>2019</v>
      </c>
      <c r="L6432" s="30" t="s">
        <v>499</v>
      </c>
      <c r="N6432" s="30" t="s">
        <v>500</v>
      </c>
      <c r="P6432" s="30" t="s">
        <v>13562</v>
      </c>
      <c r="Q6432" t="s">
        <v>622</v>
      </c>
      <c r="R6432" t="s">
        <v>920</v>
      </c>
      <c r="S6432">
        <v>39</v>
      </c>
      <c r="T6432" s="29" t="str">
        <f t="shared" si="288"/>
        <v>2023.015P.Geminiviridae_rename_sp.zip</v>
      </c>
      <c r="U6432" s="29" t="str">
        <f>HYPERLINK("https://ictv.global/taxonomy/taxondetails?taxnode_id=202303179","ictv.global=202303179")</f>
        <v>ictv.global=202303179</v>
      </c>
    </row>
    <row r="6433" spans="1:21">
      <c r="A6433">
        <v>6432</v>
      </c>
      <c r="B6433" s="30" t="s">
        <v>1956</v>
      </c>
      <c r="D6433" s="30" t="s">
        <v>1985</v>
      </c>
      <c r="F6433" s="30" t="s">
        <v>2009</v>
      </c>
      <c r="H6433" s="30" t="s">
        <v>2018</v>
      </c>
      <c r="J6433" s="30" t="s">
        <v>2019</v>
      </c>
      <c r="L6433" s="30" t="s">
        <v>499</v>
      </c>
      <c r="N6433" s="30" t="s">
        <v>500</v>
      </c>
      <c r="P6433" s="30" t="s">
        <v>13563</v>
      </c>
      <c r="Q6433" t="s">
        <v>622</v>
      </c>
      <c r="R6433" t="s">
        <v>920</v>
      </c>
      <c r="S6433">
        <v>39</v>
      </c>
      <c r="T6433" s="29" t="str">
        <f t="shared" si="288"/>
        <v>2023.015P.Geminiviridae_rename_sp.zip</v>
      </c>
      <c r="U6433" s="29" t="str">
        <f>HYPERLINK("https://ictv.global/taxonomy/taxondetails?taxnode_id=202303243","ictv.global=202303243")</f>
        <v>ictv.global=202303243</v>
      </c>
    </row>
    <row r="6434" spans="1:21">
      <c r="A6434">
        <v>6433</v>
      </c>
      <c r="B6434" s="30" t="s">
        <v>1956</v>
      </c>
      <c r="D6434" s="30" t="s">
        <v>1985</v>
      </c>
      <c r="F6434" s="30" t="s">
        <v>2009</v>
      </c>
      <c r="H6434" s="30" t="s">
        <v>2018</v>
      </c>
      <c r="J6434" s="30" t="s">
        <v>2019</v>
      </c>
      <c r="L6434" s="30" t="s">
        <v>499</v>
      </c>
      <c r="N6434" s="30" t="s">
        <v>500</v>
      </c>
      <c r="P6434" s="30" t="s">
        <v>13564</v>
      </c>
      <c r="Q6434" t="s">
        <v>622</v>
      </c>
      <c r="R6434" t="s">
        <v>920</v>
      </c>
      <c r="S6434">
        <v>39</v>
      </c>
      <c r="T6434" s="29" t="str">
        <f t="shared" si="288"/>
        <v>2023.015P.Geminiviridae_rename_sp.zip</v>
      </c>
      <c r="U6434" s="29" t="str">
        <f>HYPERLINK("https://ictv.global/taxonomy/taxondetails?taxnode_id=202306693","ictv.global=202306693")</f>
        <v>ictv.global=202306693</v>
      </c>
    </row>
    <row r="6435" spans="1:21">
      <c r="A6435">
        <v>6434</v>
      </c>
      <c r="B6435" s="30" t="s">
        <v>1956</v>
      </c>
      <c r="D6435" s="30" t="s">
        <v>1985</v>
      </c>
      <c r="F6435" s="30" t="s">
        <v>2009</v>
      </c>
      <c r="H6435" s="30" t="s">
        <v>2018</v>
      </c>
      <c r="J6435" s="30" t="s">
        <v>2019</v>
      </c>
      <c r="L6435" s="30" t="s">
        <v>499</v>
      </c>
      <c r="N6435" s="30" t="s">
        <v>500</v>
      </c>
      <c r="P6435" s="30" t="s">
        <v>13565</v>
      </c>
      <c r="Q6435" t="s">
        <v>622</v>
      </c>
      <c r="R6435" t="s">
        <v>920</v>
      </c>
      <c r="S6435">
        <v>39</v>
      </c>
      <c r="T6435" s="29" t="str">
        <f t="shared" si="288"/>
        <v>2023.015P.Geminiviridae_rename_sp.zip</v>
      </c>
      <c r="U6435" s="29" t="str">
        <f>HYPERLINK("https://ictv.global/taxonomy/taxondetails?taxnode_id=202303240","ictv.global=202303240")</f>
        <v>ictv.global=202303240</v>
      </c>
    </row>
    <row r="6436" spans="1:21">
      <c r="A6436">
        <v>6435</v>
      </c>
      <c r="B6436" s="30" t="s">
        <v>1956</v>
      </c>
      <c r="D6436" s="30" t="s">
        <v>1985</v>
      </c>
      <c r="F6436" s="30" t="s">
        <v>2009</v>
      </c>
      <c r="H6436" s="30" t="s">
        <v>2018</v>
      </c>
      <c r="J6436" s="30" t="s">
        <v>2019</v>
      </c>
      <c r="L6436" s="30" t="s">
        <v>499</v>
      </c>
      <c r="N6436" s="30" t="s">
        <v>500</v>
      </c>
      <c r="P6436" s="30" t="s">
        <v>13566</v>
      </c>
      <c r="Q6436" t="s">
        <v>622</v>
      </c>
      <c r="R6436" t="s">
        <v>920</v>
      </c>
      <c r="S6436">
        <v>39</v>
      </c>
      <c r="T6436" s="29" t="str">
        <f t="shared" si="288"/>
        <v>2023.015P.Geminiviridae_rename_sp.zip</v>
      </c>
      <c r="U6436" s="29" t="str">
        <f>HYPERLINK("https://ictv.global/taxonomy/taxondetails?taxnode_id=202303260","ictv.global=202303260")</f>
        <v>ictv.global=202303260</v>
      </c>
    </row>
    <row r="6437" spans="1:21">
      <c r="A6437">
        <v>6436</v>
      </c>
      <c r="B6437" s="30" t="s">
        <v>1956</v>
      </c>
      <c r="D6437" s="30" t="s">
        <v>1985</v>
      </c>
      <c r="F6437" s="30" t="s">
        <v>2009</v>
      </c>
      <c r="H6437" s="30" t="s">
        <v>2018</v>
      </c>
      <c r="J6437" s="30" t="s">
        <v>2019</v>
      </c>
      <c r="L6437" s="30" t="s">
        <v>499</v>
      </c>
      <c r="N6437" s="30" t="s">
        <v>500</v>
      </c>
      <c r="P6437" s="30" t="s">
        <v>13567</v>
      </c>
      <c r="Q6437" t="s">
        <v>622</v>
      </c>
      <c r="R6437" t="s">
        <v>920</v>
      </c>
      <c r="S6437">
        <v>39</v>
      </c>
      <c r="T6437" s="29" t="str">
        <f t="shared" si="288"/>
        <v>2023.015P.Geminiviridae_rename_sp.zip</v>
      </c>
      <c r="U6437" s="29" t="str">
        <f>HYPERLINK("https://ictv.global/taxonomy/taxondetails?taxnode_id=202303241","ictv.global=202303241")</f>
        <v>ictv.global=202303241</v>
      </c>
    </row>
    <row r="6438" spans="1:21">
      <c r="A6438">
        <v>6437</v>
      </c>
      <c r="B6438" s="30" t="s">
        <v>1956</v>
      </c>
      <c r="D6438" s="30" t="s">
        <v>1985</v>
      </c>
      <c r="F6438" s="30" t="s">
        <v>2009</v>
      </c>
      <c r="H6438" s="30" t="s">
        <v>2018</v>
      </c>
      <c r="J6438" s="30" t="s">
        <v>2019</v>
      </c>
      <c r="L6438" s="30" t="s">
        <v>499</v>
      </c>
      <c r="N6438" s="30" t="s">
        <v>500</v>
      </c>
      <c r="P6438" s="30" t="s">
        <v>13568</v>
      </c>
      <c r="Q6438" t="s">
        <v>622</v>
      </c>
      <c r="R6438" t="s">
        <v>920</v>
      </c>
      <c r="S6438">
        <v>39</v>
      </c>
      <c r="T6438" s="29" t="str">
        <f t="shared" si="288"/>
        <v>2023.015P.Geminiviridae_rename_sp.zip</v>
      </c>
      <c r="U6438" s="29" t="str">
        <f>HYPERLINK("https://ictv.global/taxonomy/taxondetails?taxnode_id=202303202","ictv.global=202303202")</f>
        <v>ictv.global=202303202</v>
      </c>
    </row>
    <row r="6439" spans="1:21">
      <c r="A6439">
        <v>6438</v>
      </c>
      <c r="B6439" s="30" t="s">
        <v>1956</v>
      </c>
      <c r="D6439" s="30" t="s">
        <v>1985</v>
      </c>
      <c r="F6439" s="30" t="s">
        <v>2009</v>
      </c>
      <c r="H6439" s="30" t="s">
        <v>2018</v>
      </c>
      <c r="J6439" s="30" t="s">
        <v>2019</v>
      </c>
      <c r="L6439" s="30" t="s">
        <v>499</v>
      </c>
      <c r="N6439" s="30" t="s">
        <v>500</v>
      </c>
      <c r="P6439" s="30" t="s">
        <v>13569</v>
      </c>
      <c r="Q6439" t="s">
        <v>622</v>
      </c>
      <c r="R6439" t="s">
        <v>920</v>
      </c>
      <c r="S6439">
        <v>39</v>
      </c>
      <c r="T6439" s="29" t="str">
        <f t="shared" si="288"/>
        <v>2023.015P.Geminiviridae_rename_sp.zip</v>
      </c>
      <c r="U6439" s="29" t="str">
        <f>HYPERLINK("https://ictv.global/taxonomy/taxondetails?taxnode_id=202303242","ictv.global=202303242")</f>
        <v>ictv.global=202303242</v>
      </c>
    </row>
    <row r="6440" spans="1:21">
      <c r="A6440">
        <v>6439</v>
      </c>
      <c r="B6440" s="30" t="s">
        <v>1956</v>
      </c>
      <c r="D6440" s="30" t="s">
        <v>1985</v>
      </c>
      <c r="F6440" s="30" t="s">
        <v>2009</v>
      </c>
      <c r="H6440" s="30" t="s">
        <v>2018</v>
      </c>
      <c r="J6440" s="30" t="s">
        <v>2019</v>
      </c>
      <c r="L6440" s="30" t="s">
        <v>499</v>
      </c>
      <c r="N6440" s="30" t="s">
        <v>500</v>
      </c>
      <c r="P6440" s="30" t="s">
        <v>13570</v>
      </c>
      <c r="Q6440" t="s">
        <v>622</v>
      </c>
      <c r="R6440" t="s">
        <v>920</v>
      </c>
      <c r="S6440">
        <v>39</v>
      </c>
      <c r="T6440" s="29" t="str">
        <f t="shared" si="288"/>
        <v>2023.015P.Geminiviridae_rename_sp.zip</v>
      </c>
      <c r="U6440" s="29" t="str">
        <f>HYPERLINK("https://ictv.global/taxonomy/taxondetails?taxnode_id=202303244","ictv.global=202303244")</f>
        <v>ictv.global=202303244</v>
      </c>
    </row>
    <row r="6441" spans="1:21">
      <c r="A6441">
        <v>6440</v>
      </c>
      <c r="B6441" s="30" t="s">
        <v>1956</v>
      </c>
      <c r="D6441" s="30" t="s">
        <v>1985</v>
      </c>
      <c r="F6441" s="30" t="s">
        <v>2009</v>
      </c>
      <c r="H6441" s="30" t="s">
        <v>2018</v>
      </c>
      <c r="J6441" s="30" t="s">
        <v>2019</v>
      </c>
      <c r="L6441" s="30" t="s">
        <v>499</v>
      </c>
      <c r="N6441" s="30" t="s">
        <v>500</v>
      </c>
      <c r="P6441" s="30" t="s">
        <v>13571</v>
      </c>
      <c r="Q6441" t="s">
        <v>622</v>
      </c>
      <c r="R6441" t="s">
        <v>920</v>
      </c>
      <c r="S6441">
        <v>39</v>
      </c>
      <c r="T6441" s="29" t="str">
        <f t="shared" si="288"/>
        <v>2023.015P.Geminiviridae_rename_sp.zip</v>
      </c>
      <c r="U6441" s="29" t="str">
        <f>HYPERLINK("https://ictv.global/taxonomy/taxondetails?taxnode_id=202305812","ictv.global=202305812")</f>
        <v>ictv.global=202305812</v>
      </c>
    </row>
    <row r="6442" spans="1:21">
      <c r="A6442">
        <v>6441</v>
      </c>
      <c r="B6442" s="30" t="s">
        <v>1956</v>
      </c>
      <c r="D6442" s="30" t="s">
        <v>1985</v>
      </c>
      <c r="F6442" s="30" t="s">
        <v>2009</v>
      </c>
      <c r="H6442" s="30" t="s">
        <v>2018</v>
      </c>
      <c r="J6442" s="30" t="s">
        <v>2019</v>
      </c>
      <c r="L6442" s="30" t="s">
        <v>499</v>
      </c>
      <c r="N6442" s="30" t="s">
        <v>500</v>
      </c>
      <c r="P6442" s="30" t="s">
        <v>13572</v>
      </c>
      <c r="Q6442" t="s">
        <v>622</v>
      </c>
      <c r="R6442" t="s">
        <v>920</v>
      </c>
      <c r="S6442">
        <v>39</v>
      </c>
      <c r="T6442" s="29" t="str">
        <f t="shared" si="288"/>
        <v>2023.015P.Geminiviridae_rename_sp.zip</v>
      </c>
      <c r="U6442" s="29" t="str">
        <f>HYPERLINK("https://ictv.global/taxonomy/taxondetails?taxnode_id=202305813","ictv.global=202305813")</f>
        <v>ictv.global=202305813</v>
      </c>
    </row>
    <row r="6443" spans="1:21">
      <c r="A6443">
        <v>6442</v>
      </c>
      <c r="B6443" s="30" t="s">
        <v>1956</v>
      </c>
      <c r="D6443" s="30" t="s">
        <v>1985</v>
      </c>
      <c r="F6443" s="30" t="s">
        <v>2009</v>
      </c>
      <c r="H6443" s="30" t="s">
        <v>2018</v>
      </c>
      <c r="J6443" s="30" t="s">
        <v>2019</v>
      </c>
      <c r="L6443" s="30" t="s">
        <v>499</v>
      </c>
      <c r="N6443" s="30" t="s">
        <v>500</v>
      </c>
      <c r="P6443" s="30" t="s">
        <v>13573</v>
      </c>
      <c r="Q6443" t="s">
        <v>622</v>
      </c>
      <c r="R6443" t="s">
        <v>920</v>
      </c>
      <c r="S6443">
        <v>39</v>
      </c>
      <c r="T6443" s="29" t="str">
        <f t="shared" si="288"/>
        <v>2023.015P.Geminiviridae_rename_sp.zip</v>
      </c>
      <c r="U6443" s="29" t="str">
        <f>HYPERLINK("https://ictv.global/taxonomy/taxondetails?taxnode_id=202303290","ictv.global=202303290")</f>
        <v>ictv.global=202303290</v>
      </c>
    </row>
    <row r="6444" spans="1:21">
      <c r="A6444">
        <v>6443</v>
      </c>
      <c r="B6444" s="30" t="s">
        <v>1956</v>
      </c>
      <c r="D6444" s="30" t="s">
        <v>1985</v>
      </c>
      <c r="F6444" s="30" t="s">
        <v>2009</v>
      </c>
      <c r="H6444" s="30" t="s">
        <v>2018</v>
      </c>
      <c r="J6444" s="30" t="s">
        <v>2019</v>
      </c>
      <c r="L6444" s="30" t="s">
        <v>499</v>
      </c>
      <c r="N6444" s="30" t="s">
        <v>500</v>
      </c>
      <c r="P6444" s="30" t="s">
        <v>13574</v>
      </c>
      <c r="Q6444" t="s">
        <v>622</v>
      </c>
      <c r="R6444" t="s">
        <v>920</v>
      </c>
      <c r="S6444">
        <v>39</v>
      </c>
      <c r="T6444" s="29" t="str">
        <f t="shared" si="288"/>
        <v>2023.015P.Geminiviridae_rename_sp.zip</v>
      </c>
      <c r="U6444" s="29" t="str">
        <f>HYPERLINK("https://ictv.global/taxonomy/taxondetails?taxnode_id=202303289","ictv.global=202303289")</f>
        <v>ictv.global=202303289</v>
      </c>
    </row>
    <row r="6445" spans="1:21">
      <c r="A6445">
        <v>6444</v>
      </c>
      <c r="B6445" s="30" t="s">
        <v>1956</v>
      </c>
      <c r="D6445" s="30" t="s">
        <v>1985</v>
      </c>
      <c r="F6445" s="30" t="s">
        <v>2009</v>
      </c>
      <c r="H6445" s="30" t="s">
        <v>2018</v>
      </c>
      <c r="J6445" s="30" t="s">
        <v>2019</v>
      </c>
      <c r="L6445" s="30" t="s">
        <v>499</v>
      </c>
      <c r="N6445" s="30" t="s">
        <v>500</v>
      </c>
      <c r="P6445" s="30" t="s">
        <v>13575</v>
      </c>
      <c r="Q6445" t="s">
        <v>622</v>
      </c>
      <c r="R6445" t="s">
        <v>920</v>
      </c>
      <c r="S6445">
        <v>39</v>
      </c>
      <c r="T6445" s="29" t="str">
        <f t="shared" si="288"/>
        <v>2023.015P.Geminiviridae_rename_sp.zip</v>
      </c>
      <c r="U6445" s="29" t="str">
        <f>HYPERLINK("https://ictv.global/taxonomy/taxondetails?taxnode_id=202303291","ictv.global=202303291")</f>
        <v>ictv.global=202303291</v>
      </c>
    </row>
    <row r="6446" spans="1:21">
      <c r="A6446">
        <v>6445</v>
      </c>
      <c r="B6446" s="30" t="s">
        <v>1956</v>
      </c>
      <c r="D6446" s="30" t="s">
        <v>1985</v>
      </c>
      <c r="F6446" s="30" t="s">
        <v>2009</v>
      </c>
      <c r="H6446" s="30" t="s">
        <v>2018</v>
      </c>
      <c r="J6446" s="30" t="s">
        <v>2019</v>
      </c>
      <c r="L6446" s="30" t="s">
        <v>499</v>
      </c>
      <c r="N6446" s="30" t="s">
        <v>500</v>
      </c>
      <c r="P6446" s="30" t="s">
        <v>13576</v>
      </c>
      <c r="Q6446" t="s">
        <v>622</v>
      </c>
      <c r="R6446" t="s">
        <v>920</v>
      </c>
      <c r="S6446">
        <v>39</v>
      </c>
      <c r="T6446" s="29" t="str">
        <f t="shared" si="288"/>
        <v>2023.015P.Geminiviridae_rename_sp.zip</v>
      </c>
      <c r="U6446" s="29" t="str">
        <f>HYPERLINK("https://ictv.global/taxonomy/taxondetails?taxnode_id=202303293","ictv.global=202303293")</f>
        <v>ictv.global=202303293</v>
      </c>
    </row>
    <row r="6447" spans="1:21">
      <c r="A6447">
        <v>6446</v>
      </c>
      <c r="B6447" s="30" t="s">
        <v>1956</v>
      </c>
      <c r="D6447" s="30" t="s">
        <v>1985</v>
      </c>
      <c r="F6447" s="30" t="s">
        <v>2009</v>
      </c>
      <c r="H6447" s="30" t="s">
        <v>2018</v>
      </c>
      <c r="J6447" s="30" t="s">
        <v>2019</v>
      </c>
      <c r="L6447" s="30" t="s">
        <v>499</v>
      </c>
      <c r="N6447" s="30" t="s">
        <v>500</v>
      </c>
      <c r="P6447" s="30" t="s">
        <v>13577</v>
      </c>
      <c r="Q6447" t="s">
        <v>622</v>
      </c>
      <c r="R6447" t="s">
        <v>920</v>
      </c>
      <c r="S6447">
        <v>39</v>
      </c>
      <c r="T6447" s="29" t="str">
        <f t="shared" si="288"/>
        <v>2023.015P.Geminiviridae_rename_sp.zip</v>
      </c>
      <c r="U6447" s="29" t="str">
        <f>HYPERLINK("https://ictv.global/taxonomy/taxondetails?taxnode_id=202305814","ictv.global=202305814")</f>
        <v>ictv.global=202305814</v>
      </c>
    </row>
    <row r="6448" spans="1:21">
      <c r="A6448">
        <v>6447</v>
      </c>
      <c r="B6448" s="30" t="s">
        <v>1956</v>
      </c>
      <c r="D6448" s="30" t="s">
        <v>1985</v>
      </c>
      <c r="F6448" s="30" t="s">
        <v>2009</v>
      </c>
      <c r="H6448" s="30" t="s">
        <v>2018</v>
      </c>
      <c r="J6448" s="30" t="s">
        <v>2019</v>
      </c>
      <c r="L6448" s="30" t="s">
        <v>499</v>
      </c>
      <c r="N6448" s="30" t="s">
        <v>500</v>
      </c>
      <c r="P6448" s="30" t="s">
        <v>13578</v>
      </c>
      <c r="Q6448" t="s">
        <v>739</v>
      </c>
      <c r="R6448" t="s">
        <v>920</v>
      </c>
      <c r="S6448">
        <v>39</v>
      </c>
      <c r="T6448" s="29" t="str">
        <f t="shared" si="288"/>
        <v>2023.015P.Geminiviridae_rename_sp.zip</v>
      </c>
      <c r="U6448" s="29" t="str">
        <f>HYPERLINK("https://ictv.global/taxonomy/taxondetails?taxnode_id=202307519","ictv.global=202307519")</f>
        <v>ictv.global=202307519</v>
      </c>
    </row>
    <row r="6449" spans="1:21">
      <c r="A6449">
        <v>6448</v>
      </c>
      <c r="B6449" s="30" t="s">
        <v>1956</v>
      </c>
      <c r="D6449" s="30" t="s">
        <v>1985</v>
      </c>
      <c r="F6449" s="30" t="s">
        <v>2009</v>
      </c>
      <c r="H6449" s="30" t="s">
        <v>2018</v>
      </c>
      <c r="J6449" s="30" t="s">
        <v>2019</v>
      </c>
      <c r="L6449" s="30" t="s">
        <v>499</v>
      </c>
      <c r="N6449" s="30" t="s">
        <v>500</v>
      </c>
      <c r="P6449" s="30" t="s">
        <v>13579</v>
      </c>
      <c r="Q6449" t="s">
        <v>622</v>
      </c>
      <c r="R6449" t="s">
        <v>920</v>
      </c>
      <c r="S6449">
        <v>39</v>
      </c>
      <c r="T6449" s="29" t="str">
        <f t="shared" si="288"/>
        <v>2023.015P.Geminiviridae_rename_sp.zip</v>
      </c>
      <c r="U6449" s="29" t="str">
        <f>HYPERLINK("https://ictv.global/taxonomy/taxondetails?taxnode_id=202303189","ictv.global=202303189")</f>
        <v>ictv.global=202303189</v>
      </c>
    </row>
    <row r="6450" spans="1:21">
      <c r="A6450">
        <v>6449</v>
      </c>
      <c r="B6450" s="30" t="s">
        <v>1956</v>
      </c>
      <c r="D6450" s="30" t="s">
        <v>1985</v>
      </c>
      <c r="F6450" s="30" t="s">
        <v>2009</v>
      </c>
      <c r="H6450" s="30" t="s">
        <v>2018</v>
      </c>
      <c r="J6450" s="30" t="s">
        <v>2019</v>
      </c>
      <c r="L6450" s="30" t="s">
        <v>499</v>
      </c>
      <c r="N6450" s="30" t="s">
        <v>500</v>
      </c>
      <c r="P6450" s="30" t="s">
        <v>13580</v>
      </c>
      <c r="Q6450" t="s">
        <v>622</v>
      </c>
      <c r="R6450" t="s">
        <v>920</v>
      </c>
      <c r="S6450">
        <v>39</v>
      </c>
      <c r="T6450" s="29" t="str">
        <f t="shared" si="288"/>
        <v>2023.015P.Geminiviridae_rename_sp.zip</v>
      </c>
      <c r="U6450" s="29" t="str">
        <f>HYPERLINK("https://ictv.global/taxonomy/taxondetails?taxnode_id=202303490","ictv.global=202303490")</f>
        <v>ictv.global=202303490</v>
      </c>
    </row>
    <row r="6451" spans="1:21">
      <c r="A6451">
        <v>6450</v>
      </c>
      <c r="B6451" s="30" t="s">
        <v>1956</v>
      </c>
      <c r="D6451" s="30" t="s">
        <v>1985</v>
      </c>
      <c r="F6451" s="30" t="s">
        <v>2009</v>
      </c>
      <c r="H6451" s="30" t="s">
        <v>2018</v>
      </c>
      <c r="J6451" s="30" t="s">
        <v>2019</v>
      </c>
      <c r="L6451" s="30" t="s">
        <v>499</v>
      </c>
      <c r="N6451" s="30" t="s">
        <v>500</v>
      </c>
      <c r="P6451" s="30" t="s">
        <v>13581</v>
      </c>
      <c r="Q6451" t="s">
        <v>622</v>
      </c>
      <c r="R6451" t="s">
        <v>920</v>
      </c>
      <c r="S6451">
        <v>39</v>
      </c>
      <c r="T6451" s="29" t="str">
        <f t="shared" si="288"/>
        <v>2023.015P.Geminiviridae_rename_sp.zip</v>
      </c>
      <c r="U6451" s="29" t="str">
        <f>HYPERLINK("https://ictv.global/taxonomy/taxondetails?taxnode_id=202305843","ictv.global=202305843")</f>
        <v>ictv.global=202305843</v>
      </c>
    </row>
    <row r="6452" spans="1:21">
      <c r="A6452">
        <v>6451</v>
      </c>
      <c r="B6452" s="30" t="s">
        <v>1956</v>
      </c>
      <c r="D6452" s="30" t="s">
        <v>1985</v>
      </c>
      <c r="F6452" s="30" t="s">
        <v>2009</v>
      </c>
      <c r="H6452" s="30" t="s">
        <v>2018</v>
      </c>
      <c r="J6452" s="30" t="s">
        <v>2019</v>
      </c>
      <c r="L6452" s="30" t="s">
        <v>499</v>
      </c>
      <c r="N6452" s="30" t="s">
        <v>500</v>
      </c>
      <c r="P6452" s="30" t="s">
        <v>13582</v>
      </c>
      <c r="Q6452" t="s">
        <v>622</v>
      </c>
      <c r="R6452" t="s">
        <v>920</v>
      </c>
      <c r="S6452">
        <v>39</v>
      </c>
      <c r="T6452" s="29" t="str">
        <f t="shared" si="288"/>
        <v>2023.015P.Geminiviridae_rename_sp.zip</v>
      </c>
      <c r="U6452" s="29" t="str">
        <f>HYPERLINK("https://ictv.global/taxonomy/taxondetails?taxnode_id=202303391","ictv.global=202303391")</f>
        <v>ictv.global=202303391</v>
      </c>
    </row>
    <row r="6453" spans="1:21">
      <c r="A6453">
        <v>6452</v>
      </c>
      <c r="B6453" s="30" t="s">
        <v>1956</v>
      </c>
      <c r="D6453" s="30" t="s">
        <v>1985</v>
      </c>
      <c r="F6453" s="30" t="s">
        <v>2009</v>
      </c>
      <c r="H6453" s="30" t="s">
        <v>2018</v>
      </c>
      <c r="J6453" s="30" t="s">
        <v>2019</v>
      </c>
      <c r="L6453" s="30" t="s">
        <v>499</v>
      </c>
      <c r="N6453" s="30" t="s">
        <v>500</v>
      </c>
      <c r="P6453" s="30" t="s">
        <v>13583</v>
      </c>
      <c r="Q6453" t="s">
        <v>622</v>
      </c>
      <c r="R6453" t="s">
        <v>920</v>
      </c>
      <c r="S6453">
        <v>39</v>
      </c>
      <c r="T6453" s="29" t="str">
        <f t="shared" si="288"/>
        <v>2023.015P.Geminiviridae_rename_sp.zip</v>
      </c>
      <c r="U6453" s="29" t="str">
        <f>HYPERLINK("https://ictv.global/taxonomy/taxondetails?taxnode_id=202303392","ictv.global=202303392")</f>
        <v>ictv.global=202303392</v>
      </c>
    </row>
    <row r="6454" spans="1:21">
      <c r="A6454">
        <v>6453</v>
      </c>
      <c r="B6454" s="30" t="s">
        <v>1956</v>
      </c>
      <c r="D6454" s="30" t="s">
        <v>1985</v>
      </c>
      <c r="F6454" s="30" t="s">
        <v>2009</v>
      </c>
      <c r="H6454" s="30" t="s">
        <v>2018</v>
      </c>
      <c r="J6454" s="30" t="s">
        <v>2019</v>
      </c>
      <c r="L6454" s="30" t="s">
        <v>499</v>
      </c>
      <c r="N6454" s="30" t="s">
        <v>500</v>
      </c>
      <c r="P6454" s="30" t="s">
        <v>13584</v>
      </c>
      <c r="Q6454" t="s">
        <v>739</v>
      </c>
      <c r="R6454" t="s">
        <v>920</v>
      </c>
      <c r="S6454">
        <v>39</v>
      </c>
      <c r="T6454" s="29" t="str">
        <f t="shared" si="288"/>
        <v>2023.015P.Geminiviridae_rename_sp.zip</v>
      </c>
      <c r="U6454" s="29" t="str">
        <f>HYPERLINK("https://ictv.global/taxonomy/taxondetails?taxnode_id=202307529","ictv.global=202307529")</f>
        <v>ictv.global=202307529</v>
      </c>
    </row>
    <row r="6455" spans="1:21">
      <c r="A6455">
        <v>6454</v>
      </c>
      <c r="B6455" s="30" t="s">
        <v>1956</v>
      </c>
      <c r="D6455" s="30" t="s">
        <v>1985</v>
      </c>
      <c r="F6455" s="30" t="s">
        <v>2009</v>
      </c>
      <c r="H6455" s="30" t="s">
        <v>2018</v>
      </c>
      <c r="J6455" s="30" t="s">
        <v>2019</v>
      </c>
      <c r="L6455" s="30" t="s">
        <v>499</v>
      </c>
      <c r="N6455" s="30" t="s">
        <v>500</v>
      </c>
      <c r="P6455" s="30" t="s">
        <v>13585</v>
      </c>
      <c r="Q6455" t="s">
        <v>622</v>
      </c>
      <c r="R6455" t="s">
        <v>920</v>
      </c>
      <c r="S6455">
        <v>39</v>
      </c>
      <c r="T6455" s="29" t="str">
        <f t="shared" si="288"/>
        <v>2023.015P.Geminiviridae_rename_sp.zip</v>
      </c>
      <c r="U6455" s="29" t="str">
        <f>HYPERLINK("https://ictv.global/taxonomy/taxondetails?taxnode_id=202303390","ictv.global=202303390")</f>
        <v>ictv.global=202303390</v>
      </c>
    </row>
    <row r="6456" spans="1:21">
      <c r="A6456">
        <v>6455</v>
      </c>
      <c r="B6456" s="30" t="s">
        <v>1956</v>
      </c>
      <c r="D6456" s="30" t="s">
        <v>1985</v>
      </c>
      <c r="F6456" s="30" t="s">
        <v>2009</v>
      </c>
      <c r="H6456" s="30" t="s">
        <v>2018</v>
      </c>
      <c r="J6456" s="30" t="s">
        <v>2019</v>
      </c>
      <c r="L6456" s="30" t="s">
        <v>499</v>
      </c>
      <c r="N6456" s="30" t="s">
        <v>500</v>
      </c>
      <c r="P6456" s="30" t="s">
        <v>13586</v>
      </c>
      <c r="Q6456" t="s">
        <v>622</v>
      </c>
      <c r="R6456" t="s">
        <v>920</v>
      </c>
      <c r="S6456">
        <v>39</v>
      </c>
      <c r="T6456" s="29" t="str">
        <f t="shared" si="288"/>
        <v>2023.015P.Geminiviridae_rename_sp.zip</v>
      </c>
      <c r="U6456" s="29" t="str">
        <f>HYPERLINK("https://ictv.global/taxonomy/taxondetails?taxnode_id=202303400","ictv.global=202303400")</f>
        <v>ictv.global=202303400</v>
      </c>
    </row>
    <row r="6457" spans="1:21">
      <c r="A6457">
        <v>6456</v>
      </c>
      <c r="B6457" s="30" t="s">
        <v>1956</v>
      </c>
      <c r="D6457" s="30" t="s">
        <v>1985</v>
      </c>
      <c r="F6457" s="30" t="s">
        <v>2009</v>
      </c>
      <c r="H6457" s="30" t="s">
        <v>2018</v>
      </c>
      <c r="J6457" s="30" t="s">
        <v>2019</v>
      </c>
      <c r="L6457" s="30" t="s">
        <v>499</v>
      </c>
      <c r="N6457" s="30" t="s">
        <v>500</v>
      </c>
      <c r="P6457" s="30" t="s">
        <v>13587</v>
      </c>
      <c r="Q6457" t="s">
        <v>622</v>
      </c>
      <c r="R6457" t="s">
        <v>920</v>
      </c>
      <c r="S6457">
        <v>39</v>
      </c>
      <c r="T6457" s="29" t="str">
        <f t="shared" si="288"/>
        <v>2023.015P.Geminiviridae_rename_sp.zip</v>
      </c>
      <c r="U6457" s="29" t="str">
        <f>HYPERLINK("https://ictv.global/taxonomy/taxondetails?taxnode_id=202303394","ictv.global=202303394")</f>
        <v>ictv.global=202303394</v>
      </c>
    </row>
    <row r="6458" spans="1:21">
      <c r="A6458">
        <v>6457</v>
      </c>
      <c r="B6458" s="30" t="s">
        <v>1956</v>
      </c>
      <c r="D6458" s="30" t="s">
        <v>1985</v>
      </c>
      <c r="F6458" s="30" t="s">
        <v>2009</v>
      </c>
      <c r="H6458" s="30" t="s">
        <v>2018</v>
      </c>
      <c r="J6458" s="30" t="s">
        <v>2019</v>
      </c>
      <c r="L6458" s="30" t="s">
        <v>499</v>
      </c>
      <c r="N6458" s="30" t="s">
        <v>500</v>
      </c>
      <c r="P6458" s="30" t="s">
        <v>13588</v>
      </c>
      <c r="Q6458" t="s">
        <v>622</v>
      </c>
      <c r="R6458" t="s">
        <v>920</v>
      </c>
      <c r="S6458">
        <v>39</v>
      </c>
      <c r="T6458" s="29" t="str">
        <f t="shared" si="288"/>
        <v>2023.015P.Geminiviridae_rename_sp.zip</v>
      </c>
      <c r="U6458" s="29" t="str">
        <f>HYPERLINK("https://ictv.global/taxonomy/taxondetails?taxnode_id=202303398","ictv.global=202303398")</f>
        <v>ictv.global=202303398</v>
      </c>
    </row>
    <row r="6459" spans="1:21">
      <c r="A6459">
        <v>6458</v>
      </c>
      <c r="B6459" s="30" t="s">
        <v>1956</v>
      </c>
      <c r="D6459" s="30" t="s">
        <v>1985</v>
      </c>
      <c r="F6459" s="30" t="s">
        <v>2009</v>
      </c>
      <c r="H6459" s="30" t="s">
        <v>2018</v>
      </c>
      <c r="J6459" s="30" t="s">
        <v>2019</v>
      </c>
      <c r="L6459" s="30" t="s">
        <v>499</v>
      </c>
      <c r="N6459" s="30" t="s">
        <v>500</v>
      </c>
      <c r="P6459" s="30" t="s">
        <v>13589</v>
      </c>
      <c r="Q6459" t="s">
        <v>622</v>
      </c>
      <c r="R6459" t="s">
        <v>920</v>
      </c>
      <c r="S6459">
        <v>39</v>
      </c>
      <c r="T6459" s="29" t="str">
        <f t="shared" si="288"/>
        <v>2023.015P.Geminiviridae_rename_sp.zip</v>
      </c>
      <c r="U6459" s="29" t="str">
        <f>HYPERLINK("https://ictv.global/taxonomy/taxondetails?taxnode_id=202303395","ictv.global=202303395")</f>
        <v>ictv.global=202303395</v>
      </c>
    </row>
    <row r="6460" spans="1:21">
      <c r="A6460">
        <v>6459</v>
      </c>
      <c r="B6460" s="30" t="s">
        <v>1956</v>
      </c>
      <c r="D6460" s="30" t="s">
        <v>1985</v>
      </c>
      <c r="F6460" s="30" t="s">
        <v>2009</v>
      </c>
      <c r="H6460" s="30" t="s">
        <v>2018</v>
      </c>
      <c r="J6460" s="30" t="s">
        <v>2019</v>
      </c>
      <c r="L6460" s="30" t="s">
        <v>499</v>
      </c>
      <c r="N6460" s="30" t="s">
        <v>500</v>
      </c>
      <c r="P6460" s="30" t="s">
        <v>13590</v>
      </c>
      <c r="Q6460" t="s">
        <v>622</v>
      </c>
      <c r="R6460" t="s">
        <v>920</v>
      </c>
      <c r="S6460">
        <v>39</v>
      </c>
      <c r="T6460" s="29" t="str">
        <f t="shared" si="288"/>
        <v>2023.015P.Geminiviridae_rename_sp.zip</v>
      </c>
      <c r="U6460" s="29" t="str">
        <f>HYPERLINK("https://ictv.global/taxonomy/taxondetails?taxnode_id=202303399","ictv.global=202303399")</f>
        <v>ictv.global=202303399</v>
      </c>
    </row>
    <row r="6461" spans="1:21">
      <c r="A6461">
        <v>6460</v>
      </c>
      <c r="B6461" s="30" t="s">
        <v>1956</v>
      </c>
      <c r="D6461" s="30" t="s">
        <v>1985</v>
      </c>
      <c r="F6461" s="30" t="s">
        <v>2009</v>
      </c>
      <c r="H6461" s="30" t="s">
        <v>2018</v>
      </c>
      <c r="J6461" s="30" t="s">
        <v>2019</v>
      </c>
      <c r="L6461" s="30" t="s">
        <v>499</v>
      </c>
      <c r="N6461" s="30" t="s">
        <v>500</v>
      </c>
      <c r="P6461" s="30" t="s">
        <v>13591</v>
      </c>
      <c r="Q6461" t="s">
        <v>622</v>
      </c>
      <c r="R6461" t="s">
        <v>920</v>
      </c>
      <c r="S6461">
        <v>39</v>
      </c>
      <c r="T6461" s="29" t="str">
        <f t="shared" si="288"/>
        <v>2023.015P.Geminiviridae_rename_sp.zip</v>
      </c>
      <c r="U6461" s="29" t="str">
        <f>HYPERLINK("https://ictv.global/taxonomy/taxondetails?taxnode_id=202303396","ictv.global=202303396")</f>
        <v>ictv.global=202303396</v>
      </c>
    </row>
    <row r="6462" spans="1:21">
      <c r="A6462">
        <v>6461</v>
      </c>
      <c r="B6462" s="30" t="s">
        <v>1956</v>
      </c>
      <c r="D6462" s="30" t="s">
        <v>1985</v>
      </c>
      <c r="F6462" s="30" t="s">
        <v>2009</v>
      </c>
      <c r="H6462" s="30" t="s">
        <v>2018</v>
      </c>
      <c r="J6462" s="30" t="s">
        <v>2019</v>
      </c>
      <c r="L6462" s="30" t="s">
        <v>499</v>
      </c>
      <c r="N6462" s="30" t="s">
        <v>500</v>
      </c>
      <c r="P6462" s="30" t="s">
        <v>13592</v>
      </c>
      <c r="Q6462" t="s">
        <v>622</v>
      </c>
      <c r="R6462" t="s">
        <v>920</v>
      </c>
      <c r="S6462">
        <v>39</v>
      </c>
      <c r="T6462" s="29" t="str">
        <f t="shared" si="288"/>
        <v>2023.015P.Geminiviridae_rename_sp.zip</v>
      </c>
      <c r="U6462" s="29" t="str">
        <f>HYPERLINK("https://ictv.global/taxonomy/taxondetails?taxnode_id=202303397","ictv.global=202303397")</f>
        <v>ictv.global=202303397</v>
      </c>
    </row>
    <row r="6463" spans="1:21">
      <c r="A6463">
        <v>6462</v>
      </c>
      <c r="B6463" s="30" t="s">
        <v>1956</v>
      </c>
      <c r="D6463" s="30" t="s">
        <v>1985</v>
      </c>
      <c r="F6463" s="30" t="s">
        <v>2009</v>
      </c>
      <c r="H6463" s="30" t="s">
        <v>2018</v>
      </c>
      <c r="J6463" s="30" t="s">
        <v>2019</v>
      </c>
      <c r="L6463" s="30" t="s">
        <v>499</v>
      </c>
      <c r="N6463" s="30" t="s">
        <v>500</v>
      </c>
      <c r="P6463" s="30" t="s">
        <v>13593</v>
      </c>
      <c r="Q6463" t="s">
        <v>739</v>
      </c>
      <c r="R6463" t="s">
        <v>920</v>
      </c>
      <c r="S6463">
        <v>39</v>
      </c>
      <c r="T6463" s="29" t="str">
        <f t="shared" si="288"/>
        <v>2023.015P.Geminiviridae_rename_sp.zip</v>
      </c>
      <c r="U6463" s="29" t="str">
        <f>HYPERLINK("https://ictv.global/taxonomy/taxondetails?taxnode_id=202309125","ictv.global=202309125")</f>
        <v>ictv.global=202309125</v>
      </c>
    </row>
    <row r="6464" spans="1:21">
      <c r="A6464">
        <v>6463</v>
      </c>
      <c r="B6464" s="30" t="s">
        <v>1956</v>
      </c>
      <c r="D6464" s="30" t="s">
        <v>1985</v>
      </c>
      <c r="F6464" s="30" t="s">
        <v>2009</v>
      </c>
      <c r="H6464" s="30" t="s">
        <v>2018</v>
      </c>
      <c r="J6464" s="30" t="s">
        <v>2019</v>
      </c>
      <c r="L6464" s="30" t="s">
        <v>499</v>
      </c>
      <c r="N6464" s="30" t="s">
        <v>500</v>
      </c>
      <c r="P6464" s="30" t="s">
        <v>13594</v>
      </c>
      <c r="Q6464" t="s">
        <v>739</v>
      </c>
      <c r="R6464" t="s">
        <v>920</v>
      </c>
      <c r="S6464">
        <v>39</v>
      </c>
      <c r="T6464" s="29" t="str">
        <f t="shared" si="288"/>
        <v>2023.015P.Geminiviridae_rename_sp.zip</v>
      </c>
      <c r="U6464" s="29" t="str">
        <f>HYPERLINK("https://ictv.global/taxonomy/taxondetails?taxnode_id=202309124","ictv.global=202309124")</f>
        <v>ictv.global=202309124</v>
      </c>
    </row>
    <row r="6465" spans="1:21">
      <c r="A6465">
        <v>6464</v>
      </c>
      <c r="B6465" s="30" t="s">
        <v>1956</v>
      </c>
      <c r="D6465" s="30" t="s">
        <v>1985</v>
      </c>
      <c r="F6465" s="30" t="s">
        <v>2009</v>
      </c>
      <c r="H6465" s="30" t="s">
        <v>2018</v>
      </c>
      <c r="J6465" s="30" t="s">
        <v>2019</v>
      </c>
      <c r="L6465" s="30" t="s">
        <v>499</v>
      </c>
      <c r="N6465" s="30" t="s">
        <v>500</v>
      </c>
      <c r="P6465" s="30" t="s">
        <v>13595</v>
      </c>
      <c r="Q6465" t="s">
        <v>739</v>
      </c>
      <c r="R6465" t="s">
        <v>920</v>
      </c>
      <c r="S6465">
        <v>39</v>
      </c>
      <c r="T6465" s="29" t="str">
        <f t="shared" si="288"/>
        <v>2023.015P.Geminiviridae_rename_sp.zip</v>
      </c>
      <c r="U6465" s="29" t="str">
        <f>HYPERLINK("https://ictv.global/taxonomy/taxondetails?taxnode_id=202309123","ictv.global=202309123")</f>
        <v>ictv.global=202309123</v>
      </c>
    </row>
    <row r="6466" spans="1:21">
      <c r="A6466">
        <v>6465</v>
      </c>
      <c r="B6466" s="30" t="s">
        <v>1956</v>
      </c>
      <c r="D6466" s="30" t="s">
        <v>1985</v>
      </c>
      <c r="F6466" s="30" t="s">
        <v>2009</v>
      </c>
      <c r="H6466" s="30" t="s">
        <v>2018</v>
      </c>
      <c r="J6466" s="30" t="s">
        <v>2019</v>
      </c>
      <c r="L6466" s="30" t="s">
        <v>499</v>
      </c>
      <c r="N6466" s="30" t="s">
        <v>500</v>
      </c>
      <c r="P6466" s="30" t="s">
        <v>13596</v>
      </c>
      <c r="Q6466" t="s">
        <v>622</v>
      </c>
      <c r="R6466" t="s">
        <v>920</v>
      </c>
      <c r="S6466">
        <v>39</v>
      </c>
      <c r="T6466" s="29" t="str">
        <f t="shared" si="288"/>
        <v>2023.015P.Geminiviridae_rename_sp.zip</v>
      </c>
      <c r="U6466" s="29" t="str">
        <f>HYPERLINK("https://ictv.global/taxonomy/taxondetails?taxnode_id=202303300","ictv.global=202303300")</f>
        <v>ictv.global=202303300</v>
      </c>
    </row>
    <row r="6467" spans="1:21">
      <c r="A6467">
        <v>6466</v>
      </c>
      <c r="B6467" s="30" t="s">
        <v>1956</v>
      </c>
      <c r="D6467" s="30" t="s">
        <v>1985</v>
      </c>
      <c r="F6467" s="30" t="s">
        <v>2009</v>
      </c>
      <c r="H6467" s="30" t="s">
        <v>2018</v>
      </c>
      <c r="J6467" s="30" t="s">
        <v>2019</v>
      </c>
      <c r="L6467" s="30" t="s">
        <v>499</v>
      </c>
      <c r="N6467" s="30" t="s">
        <v>500</v>
      </c>
      <c r="P6467" s="30" t="s">
        <v>13597</v>
      </c>
      <c r="Q6467" t="s">
        <v>622</v>
      </c>
      <c r="R6467" t="s">
        <v>920</v>
      </c>
      <c r="S6467">
        <v>39</v>
      </c>
      <c r="T6467" s="29" t="str">
        <f t="shared" si="288"/>
        <v>2023.015P.Geminiviridae_rename_sp.zip</v>
      </c>
      <c r="U6467" s="29" t="str">
        <f>HYPERLINK("https://ictv.global/taxonomy/taxondetails?taxnode_id=202305817","ictv.global=202305817")</f>
        <v>ictv.global=202305817</v>
      </c>
    </row>
    <row r="6468" spans="1:21">
      <c r="A6468">
        <v>6467</v>
      </c>
      <c r="B6468" s="30" t="s">
        <v>1956</v>
      </c>
      <c r="D6468" s="30" t="s">
        <v>1985</v>
      </c>
      <c r="F6468" s="30" t="s">
        <v>2009</v>
      </c>
      <c r="H6468" s="30" t="s">
        <v>2018</v>
      </c>
      <c r="J6468" s="30" t="s">
        <v>2019</v>
      </c>
      <c r="L6468" s="30" t="s">
        <v>499</v>
      </c>
      <c r="N6468" s="30" t="s">
        <v>500</v>
      </c>
      <c r="P6468" s="30" t="s">
        <v>13598</v>
      </c>
      <c r="Q6468" t="s">
        <v>739</v>
      </c>
      <c r="R6468" t="s">
        <v>920</v>
      </c>
      <c r="S6468">
        <v>39</v>
      </c>
      <c r="T6468" s="29" t="str">
        <f t="shared" si="288"/>
        <v>2023.015P.Geminiviridae_rename_sp.zip</v>
      </c>
      <c r="U6468" s="29" t="str">
        <f>HYPERLINK("https://ictv.global/taxonomy/taxondetails?taxnode_id=202307527","ictv.global=202307527")</f>
        <v>ictv.global=202307527</v>
      </c>
    </row>
    <row r="6469" spans="1:21">
      <c r="A6469">
        <v>6468</v>
      </c>
      <c r="B6469" s="30" t="s">
        <v>1956</v>
      </c>
      <c r="D6469" s="30" t="s">
        <v>1985</v>
      </c>
      <c r="F6469" s="30" t="s">
        <v>2009</v>
      </c>
      <c r="H6469" s="30" t="s">
        <v>2018</v>
      </c>
      <c r="J6469" s="30" t="s">
        <v>2019</v>
      </c>
      <c r="L6469" s="30" t="s">
        <v>499</v>
      </c>
      <c r="N6469" s="30" t="s">
        <v>500</v>
      </c>
      <c r="P6469" s="30" t="s">
        <v>13599</v>
      </c>
      <c r="Q6469" t="s">
        <v>622</v>
      </c>
      <c r="R6469" t="s">
        <v>920</v>
      </c>
      <c r="S6469">
        <v>39</v>
      </c>
      <c r="T6469" s="29" t="str">
        <f t="shared" si="288"/>
        <v>2023.015P.Geminiviridae_rename_sp.zip</v>
      </c>
      <c r="U6469" s="29" t="str">
        <f>HYPERLINK("https://ictv.global/taxonomy/taxondetails?taxnode_id=202303304","ictv.global=202303304")</f>
        <v>ictv.global=202303304</v>
      </c>
    </row>
    <row r="6470" spans="1:21">
      <c r="A6470">
        <v>6469</v>
      </c>
      <c r="B6470" s="30" t="s">
        <v>1956</v>
      </c>
      <c r="D6470" s="30" t="s">
        <v>1985</v>
      </c>
      <c r="F6470" s="30" t="s">
        <v>2009</v>
      </c>
      <c r="H6470" s="30" t="s">
        <v>2018</v>
      </c>
      <c r="J6470" s="30" t="s">
        <v>2019</v>
      </c>
      <c r="L6470" s="30" t="s">
        <v>499</v>
      </c>
      <c r="N6470" s="30" t="s">
        <v>500</v>
      </c>
      <c r="P6470" s="30" t="s">
        <v>13600</v>
      </c>
      <c r="Q6470" t="s">
        <v>622</v>
      </c>
      <c r="R6470" t="s">
        <v>920</v>
      </c>
      <c r="S6470">
        <v>39</v>
      </c>
      <c r="T6470" s="29" t="str">
        <f t="shared" si="288"/>
        <v>2023.015P.Geminiviridae_rename_sp.zip</v>
      </c>
      <c r="U6470" s="29" t="str">
        <f>HYPERLINK("https://ictv.global/taxonomy/taxondetails?taxnode_id=202305818","ictv.global=202305818")</f>
        <v>ictv.global=202305818</v>
      </c>
    </row>
    <row r="6471" spans="1:21">
      <c r="A6471">
        <v>6470</v>
      </c>
      <c r="B6471" s="30" t="s">
        <v>1956</v>
      </c>
      <c r="D6471" s="30" t="s">
        <v>1985</v>
      </c>
      <c r="F6471" s="30" t="s">
        <v>2009</v>
      </c>
      <c r="H6471" s="30" t="s">
        <v>2018</v>
      </c>
      <c r="J6471" s="30" t="s">
        <v>2019</v>
      </c>
      <c r="L6471" s="30" t="s">
        <v>499</v>
      </c>
      <c r="N6471" s="30" t="s">
        <v>500</v>
      </c>
      <c r="P6471" s="30" t="s">
        <v>13601</v>
      </c>
      <c r="Q6471" t="s">
        <v>622</v>
      </c>
      <c r="R6471" t="s">
        <v>920</v>
      </c>
      <c r="S6471">
        <v>39</v>
      </c>
      <c r="T6471" s="29" t="str">
        <f t="shared" si="288"/>
        <v>2023.015P.Geminiviridae_rename_sp.zip</v>
      </c>
      <c r="U6471" s="29" t="str">
        <f>HYPERLINK("https://ictv.global/taxonomy/taxondetails?taxnode_id=202305819","ictv.global=202305819")</f>
        <v>ictv.global=202305819</v>
      </c>
    </row>
    <row r="6472" spans="1:21">
      <c r="A6472">
        <v>6471</v>
      </c>
      <c r="B6472" s="30" t="s">
        <v>1956</v>
      </c>
      <c r="D6472" s="30" t="s">
        <v>1985</v>
      </c>
      <c r="F6472" s="30" t="s">
        <v>2009</v>
      </c>
      <c r="H6472" s="30" t="s">
        <v>2018</v>
      </c>
      <c r="J6472" s="30" t="s">
        <v>2019</v>
      </c>
      <c r="L6472" s="30" t="s">
        <v>499</v>
      </c>
      <c r="N6472" s="30" t="s">
        <v>500</v>
      </c>
      <c r="P6472" s="30" t="s">
        <v>13602</v>
      </c>
      <c r="Q6472" t="s">
        <v>622</v>
      </c>
      <c r="R6472" t="s">
        <v>920</v>
      </c>
      <c r="S6472">
        <v>39</v>
      </c>
      <c r="T6472" s="29" t="str">
        <f t="shared" si="288"/>
        <v>2023.015P.Geminiviridae_rename_sp.zip</v>
      </c>
      <c r="U6472" s="29" t="str">
        <f>HYPERLINK("https://ictv.global/taxonomy/taxondetails?taxnode_id=202303305","ictv.global=202303305")</f>
        <v>ictv.global=202303305</v>
      </c>
    </row>
    <row r="6473" spans="1:21">
      <c r="A6473">
        <v>6472</v>
      </c>
      <c r="B6473" s="30" t="s">
        <v>1956</v>
      </c>
      <c r="D6473" s="30" t="s">
        <v>1985</v>
      </c>
      <c r="F6473" s="30" t="s">
        <v>2009</v>
      </c>
      <c r="H6473" s="30" t="s">
        <v>2018</v>
      </c>
      <c r="J6473" s="30" t="s">
        <v>2019</v>
      </c>
      <c r="L6473" s="30" t="s">
        <v>499</v>
      </c>
      <c r="N6473" s="30" t="s">
        <v>500</v>
      </c>
      <c r="P6473" s="30" t="s">
        <v>13603</v>
      </c>
      <c r="Q6473" t="s">
        <v>622</v>
      </c>
      <c r="R6473" t="s">
        <v>920</v>
      </c>
      <c r="S6473">
        <v>39</v>
      </c>
      <c r="T6473" s="29" t="str">
        <f t="shared" si="288"/>
        <v>2023.015P.Geminiviridae_rename_sp.zip</v>
      </c>
      <c r="U6473" s="29" t="str">
        <f>HYPERLINK("https://ictv.global/taxonomy/taxondetails?taxnode_id=202306694","ictv.global=202306694")</f>
        <v>ictv.global=202306694</v>
      </c>
    </row>
    <row r="6474" spans="1:21">
      <c r="A6474">
        <v>6473</v>
      </c>
      <c r="B6474" s="30" t="s">
        <v>1956</v>
      </c>
      <c r="D6474" s="30" t="s">
        <v>1985</v>
      </c>
      <c r="F6474" s="30" t="s">
        <v>2009</v>
      </c>
      <c r="H6474" s="30" t="s">
        <v>2018</v>
      </c>
      <c r="J6474" s="30" t="s">
        <v>2019</v>
      </c>
      <c r="L6474" s="30" t="s">
        <v>499</v>
      </c>
      <c r="N6474" s="30" t="s">
        <v>500</v>
      </c>
      <c r="P6474" s="30" t="s">
        <v>13604</v>
      </c>
      <c r="Q6474" t="s">
        <v>622</v>
      </c>
      <c r="R6474" t="s">
        <v>920</v>
      </c>
      <c r="S6474">
        <v>39</v>
      </c>
      <c r="T6474" s="29" t="str">
        <f t="shared" si="288"/>
        <v>2023.015P.Geminiviridae_rename_sp.zip</v>
      </c>
      <c r="U6474" s="29" t="str">
        <f>HYPERLINK("https://ictv.global/taxonomy/taxondetails?taxnode_id=202305790","ictv.global=202305790")</f>
        <v>ictv.global=202305790</v>
      </c>
    </row>
    <row r="6475" spans="1:21">
      <c r="A6475">
        <v>6474</v>
      </c>
      <c r="B6475" s="30" t="s">
        <v>1956</v>
      </c>
      <c r="D6475" s="30" t="s">
        <v>1985</v>
      </c>
      <c r="F6475" s="30" t="s">
        <v>2009</v>
      </c>
      <c r="H6475" s="30" t="s">
        <v>2018</v>
      </c>
      <c r="J6475" s="30" t="s">
        <v>2019</v>
      </c>
      <c r="L6475" s="30" t="s">
        <v>499</v>
      </c>
      <c r="N6475" s="30" t="s">
        <v>500</v>
      </c>
      <c r="P6475" s="30" t="s">
        <v>13605</v>
      </c>
      <c r="Q6475" t="s">
        <v>622</v>
      </c>
      <c r="R6475" t="s">
        <v>920</v>
      </c>
      <c r="S6475">
        <v>39</v>
      </c>
      <c r="T6475" s="29" t="str">
        <f t="shared" si="288"/>
        <v>2023.015P.Geminiviridae_rename_sp.zip</v>
      </c>
      <c r="U6475" s="29" t="str">
        <f>HYPERLINK("https://ictv.global/taxonomy/taxondetails?taxnode_id=202303187","ictv.global=202303187")</f>
        <v>ictv.global=202303187</v>
      </c>
    </row>
    <row r="6476" spans="1:21">
      <c r="A6476">
        <v>6475</v>
      </c>
      <c r="B6476" s="30" t="s">
        <v>1956</v>
      </c>
      <c r="D6476" s="30" t="s">
        <v>1985</v>
      </c>
      <c r="F6476" s="30" t="s">
        <v>2009</v>
      </c>
      <c r="H6476" s="30" t="s">
        <v>2018</v>
      </c>
      <c r="J6476" s="30" t="s">
        <v>2019</v>
      </c>
      <c r="L6476" s="30" t="s">
        <v>499</v>
      </c>
      <c r="N6476" s="30" t="s">
        <v>500</v>
      </c>
      <c r="P6476" s="30" t="s">
        <v>13606</v>
      </c>
      <c r="Q6476" t="s">
        <v>622</v>
      </c>
      <c r="R6476" t="s">
        <v>920</v>
      </c>
      <c r="S6476">
        <v>39</v>
      </c>
      <c r="T6476" s="29" t="str">
        <f t="shared" si="288"/>
        <v>2023.015P.Geminiviridae_rename_sp.zip</v>
      </c>
      <c r="U6476" s="29" t="str">
        <f>HYPERLINK("https://ictv.global/taxonomy/taxondetails?taxnode_id=202303188","ictv.global=202303188")</f>
        <v>ictv.global=202303188</v>
      </c>
    </row>
    <row r="6477" spans="1:21">
      <c r="A6477">
        <v>6476</v>
      </c>
      <c r="B6477" s="30" t="s">
        <v>1956</v>
      </c>
      <c r="D6477" s="30" t="s">
        <v>1985</v>
      </c>
      <c r="F6477" s="30" t="s">
        <v>2009</v>
      </c>
      <c r="H6477" s="30" t="s">
        <v>2018</v>
      </c>
      <c r="J6477" s="30" t="s">
        <v>2019</v>
      </c>
      <c r="L6477" s="30" t="s">
        <v>499</v>
      </c>
      <c r="N6477" s="30" t="s">
        <v>500</v>
      </c>
      <c r="P6477" s="30" t="s">
        <v>13607</v>
      </c>
      <c r="Q6477" t="s">
        <v>622</v>
      </c>
      <c r="R6477" t="s">
        <v>920</v>
      </c>
      <c r="S6477">
        <v>39</v>
      </c>
      <c r="T6477" s="29" t="str">
        <f t="shared" si="288"/>
        <v>2023.015P.Geminiviridae_rename_sp.zip</v>
      </c>
      <c r="U6477" s="29" t="str">
        <f>HYPERLINK("https://ictv.global/taxonomy/taxondetails?taxnode_id=202303253","ictv.global=202303253")</f>
        <v>ictv.global=202303253</v>
      </c>
    </row>
    <row r="6478" spans="1:21">
      <c r="A6478">
        <v>6477</v>
      </c>
      <c r="B6478" s="30" t="s">
        <v>1956</v>
      </c>
      <c r="D6478" s="30" t="s">
        <v>1985</v>
      </c>
      <c r="F6478" s="30" t="s">
        <v>2009</v>
      </c>
      <c r="H6478" s="30" t="s">
        <v>2018</v>
      </c>
      <c r="J6478" s="30" t="s">
        <v>2019</v>
      </c>
      <c r="L6478" s="30" t="s">
        <v>499</v>
      </c>
      <c r="N6478" s="30" t="s">
        <v>500</v>
      </c>
      <c r="P6478" s="30" t="s">
        <v>13608</v>
      </c>
      <c r="Q6478" t="s">
        <v>739</v>
      </c>
      <c r="R6478" t="s">
        <v>920</v>
      </c>
      <c r="S6478">
        <v>39</v>
      </c>
      <c r="T6478" s="29" t="str">
        <f t="shared" si="288"/>
        <v>2023.015P.Geminiviridae_rename_sp.zip</v>
      </c>
      <c r="U6478" s="29" t="str">
        <f>HYPERLINK("https://ictv.global/taxonomy/taxondetails?taxnode_id=202309118","ictv.global=202309118")</f>
        <v>ictv.global=202309118</v>
      </c>
    </row>
    <row r="6479" spans="1:21">
      <c r="A6479">
        <v>6478</v>
      </c>
      <c r="B6479" s="30" t="s">
        <v>1956</v>
      </c>
      <c r="D6479" s="30" t="s">
        <v>1985</v>
      </c>
      <c r="F6479" s="30" t="s">
        <v>2009</v>
      </c>
      <c r="H6479" s="30" t="s">
        <v>2018</v>
      </c>
      <c r="J6479" s="30" t="s">
        <v>2019</v>
      </c>
      <c r="L6479" s="30" t="s">
        <v>499</v>
      </c>
      <c r="N6479" s="30" t="s">
        <v>500</v>
      </c>
      <c r="P6479" s="30" t="s">
        <v>13609</v>
      </c>
      <c r="Q6479" t="s">
        <v>622</v>
      </c>
      <c r="R6479" t="s">
        <v>920</v>
      </c>
      <c r="S6479">
        <v>39</v>
      </c>
      <c r="T6479" s="29" t="str">
        <f t="shared" si="288"/>
        <v>2023.015P.Geminiviridae_rename_sp.zip</v>
      </c>
      <c r="U6479" s="29" t="str">
        <f>HYPERLINK("https://ictv.global/taxonomy/taxondetails?taxnode_id=202303192","ictv.global=202303192")</f>
        <v>ictv.global=202303192</v>
      </c>
    </row>
    <row r="6480" spans="1:21">
      <c r="A6480">
        <v>6479</v>
      </c>
      <c r="B6480" s="30" t="s">
        <v>1956</v>
      </c>
      <c r="D6480" s="30" t="s">
        <v>1985</v>
      </c>
      <c r="F6480" s="30" t="s">
        <v>2009</v>
      </c>
      <c r="H6480" s="30" t="s">
        <v>2018</v>
      </c>
      <c r="J6480" s="30" t="s">
        <v>2019</v>
      </c>
      <c r="L6480" s="30" t="s">
        <v>499</v>
      </c>
      <c r="N6480" s="30" t="s">
        <v>500</v>
      </c>
      <c r="P6480" s="30" t="s">
        <v>13610</v>
      </c>
      <c r="Q6480" t="s">
        <v>739</v>
      </c>
      <c r="R6480" t="s">
        <v>920</v>
      </c>
      <c r="S6480">
        <v>39</v>
      </c>
      <c r="T6480" s="29" t="str">
        <f t="shared" si="288"/>
        <v>2023.015P.Geminiviridae_rename_sp.zip</v>
      </c>
      <c r="U6480" s="29" t="str">
        <f>HYPERLINK("https://ictv.global/taxonomy/taxondetails?taxnode_id=202309117","ictv.global=202309117")</f>
        <v>ictv.global=202309117</v>
      </c>
    </row>
    <row r="6481" spans="1:21">
      <c r="A6481">
        <v>6480</v>
      </c>
      <c r="B6481" s="30" t="s">
        <v>1956</v>
      </c>
      <c r="D6481" s="30" t="s">
        <v>1985</v>
      </c>
      <c r="F6481" s="30" t="s">
        <v>2009</v>
      </c>
      <c r="H6481" s="30" t="s">
        <v>2018</v>
      </c>
      <c r="J6481" s="30" t="s">
        <v>2019</v>
      </c>
      <c r="L6481" s="30" t="s">
        <v>499</v>
      </c>
      <c r="N6481" s="30" t="s">
        <v>500</v>
      </c>
      <c r="P6481" s="30" t="s">
        <v>13611</v>
      </c>
      <c r="Q6481" t="s">
        <v>622</v>
      </c>
      <c r="R6481" t="s">
        <v>920</v>
      </c>
      <c r="S6481">
        <v>39</v>
      </c>
      <c r="T6481" s="29" t="str">
        <f t="shared" si="288"/>
        <v>2023.015P.Geminiviridae_rename_sp.zip</v>
      </c>
      <c r="U6481" s="29" t="str">
        <f>HYPERLINK("https://ictv.global/taxonomy/taxondetails?taxnode_id=202305793","ictv.global=202305793")</f>
        <v>ictv.global=202305793</v>
      </c>
    </row>
    <row r="6482" spans="1:21">
      <c r="A6482">
        <v>6481</v>
      </c>
      <c r="B6482" s="30" t="s">
        <v>1956</v>
      </c>
      <c r="D6482" s="30" t="s">
        <v>1985</v>
      </c>
      <c r="F6482" s="30" t="s">
        <v>2009</v>
      </c>
      <c r="H6482" s="30" t="s">
        <v>2018</v>
      </c>
      <c r="J6482" s="30" t="s">
        <v>2019</v>
      </c>
      <c r="L6482" s="30" t="s">
        <v>499</v>
      </c>
      <c r="N6482" s="30" t="s">
        <v>500</v>
      </c>
      <c r="P6482" s="30" t="s">
        <v>13612</v>
      </c>
      <c r="Q6482" t="s">
        <v>622</v>
      </c>
      <c r="R6482" t="s">
        <v>920</v>
      </c>
      <c r="S6482">
        <v>39</v>
      </c>
      <c r="T6482" s="29" t="str">
        <f t="shared" si="288"/>
        <v>2023.015P.Geminiviridae_rename_sp.zip</v>
      </c>
      <c r="U6482" s="29" t="str">
        <f>HYPERLINK("https://ictv.global/taxonomy/taxondetails?taxnode_id=202305820","ictv.global=202305820")</f>
        <v>ictv.global=202305820</v>
      </c>
    </row>
    <row r="6483" spans="1:21">
      <c r="A6483">
        <v>6482</v>
      </c>
      <c r="B6483" s="30" t="s">
        <v>1956</v>
      </c>
      <c r="D6483" s="30" t="s">
        <v>1985</v>
      </c>
      <c r="F6483" s="30" t="s">
        <v>2009</v>
      </c>
      <c r="H6483" s="30" t="s">
        <v>2018</v>
      </c>
      <c r="J6483" s="30" t="s">
        <v>2019</v>
      </c>
      <c r="L6483" s="30" t="s">
        <v>499</v>
      </c>
      <c r="N6483" s="30" t="s">
        <v>500</v>
      </c>
      <c r="P6483" s="30" t="s">
        <v>13613</v>
      </c>
      <c r="Q6483" t="s">
        <v>739</v>
      </c>
      <c r="R6483" t="s">
        <v>920</v>
      </c>
      <c r="S6483">
        <v>39</v>
      </c>
      <c r="T6483" s="29" t="str">
        <f t="shared" si="288"/>
        <v>2023.015P.Geminiviridae_rename_sp.zip</v>
      </c>
      <c r="U6483" s="29" t="str">
        <f>HYPERLINK("https://ictv.global/taxonomy/taxondetails?taxnode_id=202309130","ictv.global=202309130")</f>
        <v>ictv.global=202309130</v>
      </c>
    </row>
    <row r="6484" spans="1:21">
      <c r="A6484">
        <v>6483</v>
      </c>
      <c r="B6484" s="30" t="s">
        <v>1956</v>
      </c>
      <c r="D6484" s="30" t="s">
        <v>1985</v>
      </c>
      <c r="F6484" s="30" t="s">
        <v>2009</v>
      </c>
      <c r="H6484" s="30" t="s">
        <v>2018</v>
      </c>
      <c r="J6484" s="30" t="s">
        <v>2019</v>
      </c>
      <c r="L6484" s="30" t="s">
        <v>499</v>
      </c>
      <c r="N6484" s="30" t="s">
        <v>500</v>
      </c>
      <c r="P6484" s="30" t="s">
        <v>13614</v>
      </c>
      <c r="Q6484" t="s">
        <v>622</v>
      </c>
      <c r="R6484" t="s">
        <v>920</v>
      </c>
      <c r="S6484">
        <v>39</v>
      </c>
      <c r="T6484" s="29" t="str">
        <f t="shared" si="288"/>
        <v>2023.015P.Geminiviridae_rename_sp.zip</v>
      </c>
      <c r="U6484" s="29" t="str">
        <f>HYPERLINK("https://ictv.global/taxonomy/taxondetails?taxnode_id=202303317","ictv.global=202303317")</f>
        <v>ictv.global=202303317</v>
      </c>
    </row>
    <row r="6485" spans="1:21">
      <c r="A6485">
        <v>6484</v>
      </c>
      <c r="B6485" s="30" t="s">
        <v>1956</v>
      </c>
      <c r="D6485" s="30" t="s">
        <v>1985</v>
      </c>
      <c r="F6485" s="30" t="s">
        <v>2009</v>
      </c>
      <c r="H6485" s="30" t="s">
        <v>2018</v>
      </c>
      <c r="J6485" s="30" t="s">
        <v>2019</v>
      </c>
      <c r="L6485" s="30" t="s">
        <v>499</v>
      </c>
      <c r="N6485" s="30" t="s">
        <v>500</v>
      </c>
      <c r="P6485" s="30" t="s">
        <v>13615</v>
      </c>
      <c r="Q6485" t="s">
        <v>622</v>
      </c>
      <c r="R6485" t="s">
        <v>920</v>
      </c>
      <c r="S6485">
        <v>39</v>
      </c>
      <c r="T6485" s="29" t="str">
        <f t="shared" si="288"/>
        <v>2023.015P.Geminiviridae_rename_sp.zip</v>
      </c>
      <c r="U6485" s="29" t="str">
        <f>HYPERLINK("https://ictv.global/taxonomy/taxondetails?taxnode_id=202306707","ictv.global=202306707")</f>
        <v>ictv.global=202306707</v>
      </c>
    </row>
    <row r="6486" spans="1:21">
      <c r="A6486">
        <v>6485</v>
      </c>
      <c r="B6486" s="30" t="s">
        <v>1956</v>
      </c>
      <c r="D6486" s="30" t="s">
        <v>1985</v>
      </c>
      <c r="F6486" s="30" t="s">
        <v>2009</v>
      </c>
      <c r="H6486" s="30" t="s">
        <v>2018</v>
      </c>
      <c r="J6486" s="30" t="s">
        <v>2019</v>
      </c>
      <c r="L6486" s="30" t="s">
        <v>499</v>
      </c>
      <c r="N6486" s="30" t="s">
        <v>500</v>
      </c>
      <c r="P6486" s="30" t="s">
        <v>13616</v>
      </c>
      <c r="Q6486" t="s">
        <v>622</v>
      </c>
      <c r="R6486" t="s">
        <v>920</v>
      </c>
      <c r="S6486">
        <v>39</v>
      </c>
      <c r="T6486" s="29" t="str">
        <f t="shared" ref="T6486:T6549" si="289">HYPERLINK("https://ictv.global/ictv/proposals/2023.015P.Geminiviridae_rename_sp.zip","2023.015P.Geminiviridae_rename_sp.zip")</f>
        <v>2023.015P.Geminiviridae_rename_sp.zip</v>
      </c>
      <c r="U6486" s="29" t="str">
        <f>HYPERLINK("https://ictv.global/taxonomy/taxondetails?taxnode_id=202303318","ictv.global=202303318")</f>
        <v>ictv.global=202303318</v>
      </c>
    </row>
    <row r="6487" spans="1:21">
      <c r="A6487">
        <v>6486</v>
      </c>
      <c r="B6487" s="30" t="s">
        <v>1956</v>
      </c>
      <c r="D6487" s="30" t="s">
        <v>1985</v>
      </c>
      <c r="F6487" s="30" t="s">
        <v>2009</v>
      </c>
      <c r="H6487" s="30" t="s">
        <v>2018</v>
      </c>
      <c r="J6487" s="30" t="s">
        <v>2019</v>
      </c>
      <c r="L6487" s="30" t="s">
        <v>499</v>
      </c>
      <c r="N6487" s="30" t="s">
        <v>500</v>
      </c>
      <c r="P6487" s="30" t="s">
        <v>13617</v>
      </c>
      <c r="Q6487" t="s">
        <v>622</v>
      </c>
      <c r="R6487" t="s">
        <v>920</v>
      </c>
      <c r="S6487">
        <v>39</v>
      </c>
      <c r="T6487" s="29" t="str">
        <f t="shared" si="289"/>
        <v>2023.015P.Geminiviridae_rename_sp.zip</v>
      </c>
      <c r="U6487" s="29" t="str">
        <f>HYPERLINK("https://ictv.global/taxonomy/taxondetails?taxnode_id=202303319","ictv.global=202303319")</f>
        <v>ictv.global=202303319</v>
      </c>
    </row>
    <row r="6488" spans="1:21">
      <c r="A6488">
        <v>6487</v>
      </c>
      <c r="B6488" s="30" t="s">
        <v>1956</v>
      </c>
      <c r="D6488" s="30" t="s">
        <v>1985</v>
      </c>
      <c r="F6488" s="30" t="s">
        <v>2009</v>
      </c>
      <c r="H6488" s="30" t="s">
        <v>2018</v>
      </c>
      <c r="J6488" s="30" t="s">
        <v>2019</v>
      </c>
      <c r="L6488" s="30" t="s">
        <v>499</v>
      </c>
      <c r="N6488" s="30" t="s">
        <v>500</v>
      </c>
      <c r="P6488" s="30" t="s">
        <v>13618</v>
      </c>
      <c r="Q6488" t="s">
        <v>622</v>
      </c>
      <c r="R6488" t="s">
        <v>920</v>
      </c>
      <c r="S6488">
        <v>39</v>
      </c>
      <c r="T6488" s="29" t="str">
        <f t="shared" si="289"/>
        <v>2023.015P.Geminiviridae_rename_sp.zip</v>
      </c>
      <c r="U6488" s="29" t="str">
        <f>HYPERLINK("https://ictv.global/taxonomy/taxondetails?taxnode_id=202303267","ictv.global=202303267")</f>
        <v>ictv.global=202303267</v>
      </c>
    </row>
    <row r="6489" spans="1:21">
      <c r="A6489">
        <v>6488</v>
      </c>
      <c r="B6489" s="30" t="s">
        <v>1956</v>
      </c>
      <c r="D6489" s="30" t="s">
        <v>1985</v>
      </c>
      <c r="F6489" s="30" t="s">
        <v>2009</v>
      </c>
      <c r="H6489" s="30" t="s">
        <v>2018</v>
      </c>
      <c r="J6489" s="30" t="s">
        <v>2019</v>
      </c>
      <c r="L6489" s="30" t="s">
        <v>499</v>
      </c>
      <c r="N6489" s="30" t="s">
        <v>500</v>
      </c>
      <c r="P6489" s="30" t="s">
        <v>13619</v>
      </c>
      <c r="Q6489" t="s">
        <v>622</v>
      </c>
      <c r="R6489" t="s">
        <v>920</v>
      </c>
      <c r="S6489">
        <v>39</v>
      </c>
      <c r="T6489" s="29" t="str">
        <f t="shared" si="289"/>
        <v>2023.015P.Geminiviridae_rename_sp.zip</v>
      </c>
      <c r="U6489" s="29" t="str">
        <f>HYPERLINK("https://ictv.global/taxonomy/taxondetails?taxnode_id=202305822","ictv.global=202305822")</f>
        <v>ictv.global=202305822</v>
      </c>
    </row>
    <row r="6490" spans="1:21">
      <c r="A6490">
        <v>6489</v>
      </c>
      <c r="B6490" s="30" t="s">
        <v>1956</v>
      </c>
      <c r="D6490" s="30" t="s">
        <v>1985</v>
      </c>
      <c r="F6490" s="30" t="s">
        <v>2009</v>
      </c>
      <c r="H6490" s="30" t="s">
        <v>2018</v>
      </c>
      <c r="J6490" s="30" t="s">
        <v>2019</v>
      </c>
      <c r="L6490" s="30" t="s">
        <v>499</v>
      </c>
      <c r="N6490" s="30" t="s">
        <v>500</v>
      </c>
      <c r="P6490" s="30" t="s">
        <v>13620</v>
      </c>
      <c r="Q6490" t="s">
        <v>622</v>
      </c>
      <c r="R6490" t="s">
        <v>920</v>
      </c>
      <c r="S6490">
        <v>39</v>
      </c>
      <c r="T6490" s="29" t="str">
        <f t="shared" si="289"/>
        <v>2023.015P.Geminiviridae_rename_sp.zip</v>
      </c>
      <c r="U6490" s="29" t="str">
        <f>HYPERLINK("https://ictv.global/taxonomy/taxondetails?taxnode_id=202303326","ictv.global=202303326")</f>
        <v>ictv.global=202303326</v>
      </c>
    </row>
    <row r="6491" spans="1:21">
      <c r="A6491">
        <v>6490</v>
      </c>
      <c r="B6491" s="30" t="s">
        <v>1956</v>
      </c>
      <c r="D6491" s="30" t="s">
        <v>1985</v>
      </c>
      <c r="F6491" s="30" t="s">
        <v>2009</v>
      </c>
      <c r="H6491" s="30" t="s">
        <v>2018</v>
      </c>
      <c r="J6491" s="30" t="s">
        <v>2019</v>
      </c>
      <c r="L6491" s="30" t="s">
        <v>499</v>
      </c>
      <c r="N6491" s="30" t="s">
        <v>500</v>
      </c>
      <c r="P6491" s="30" t="s">
        <v>13621</v>
      </c>
      <c r="Q6491" t="s">
        <v>622</v>
      </c>
      <c r="R6491" t="s">
        <v>920</v>
      </c>
      <c r="S6491">
        <v>39</v>
      </c>
      <c r="T6491" s="29" t="str">
        <f t="shared" si="289"/>
        <v>2023.015P.Geminiviridae_rename_sp.zip</v>
      </c>
      <c r="U6491" s="29" t="str">
        <f>HYPERLINK("https://ictv.global/taxonomy/taxondetails?taxnode_id=202303329","ictv.global=202303329")</f>
        <v>ictv.global=202303329</v>
      </c>
    </row>
    <row r="6492" spans="1:21">
      <c r="A6492">
        <v>6491</v>
      </c>
      <c r="B6492" s="30" t="s">
        <v>1956</v>
      </c>
      <c r="D6492" s="30" t="s">
        <v>1985</v>
      </c>
      <c r="F6492" s="30" t="s">
        <v>2009</v>
      </c>
      <c r="H6492" s="30" t="s">
        <v>2018</v>
      </c>
      <c r="J6492" s="30" t="s">
        <v>2019</v>
      </c>
      <c r="L6492" s="30" t="s">
        <v>499</v>
      </c>
      <c r="N6492" s="30" t="s">
        <v>500</v>
      </c>
      <c r="P6492" s="30" t="s">
        <v>13622</v>
      </c>
      <c r="Q6492" t="s">
        <v>622</v>
      </c>
      <c r="R6492" t="s">
        <v>920</v>
      </c>
      <c r="S6492">
        <v>39</v>
      </c>
      <c r="T6492" s="29" t="str">
        <f t="shared" si="289"/>
        <v>2023.015P.Geminiviridae_rename_sp.zip</v>
      </c>
      <c r="U6492" s="29" t="str">
        <f>HYPERLINK("https://ictv.global/taxonomy/taxondetails?taxnode_id=202303322","ictv.global=202303322")</f>
        <v>ictv.global=202303322</v>
      </c>
    </row>
    <row r="6493" spans="1:21">
      <c r="A6493">
        <v>6492</v>
      </c>
      <c r="B6493" s="30" t="s">
        <v>1956</v>
      </c>
      <c r="D6493" s="30" t="s">
        <v>1985</v>
      </c>
      <c r="F6493" s="30" t="s">
        <v>2009</v>
      </c>
      <c r="H6493" s="30" t="s">
        <v>2018</v>
      </c>
      <c r="J6493" s="30" t="s">
        <v>2019</v>
      </c>
      <c r="L6493" s="30" t="s">
        <v>499</v>
      </c>
      <c r="N6493" s="30" t="s">
        <v>500</v>
      </c>
      <c r="P6493" s="30" t="s">
        <v>13623</v>
      </c>
      <c r="Q6493" t="s">
        <v>622</v>
      </c>
      <c r="R6493" t="s">
        <v>920</v>
      </c>
      <c r="S6493">
        <v>39</v>
      </c>
      <c r="T6493" s="29" t="str">
        <f t="shared" si="289"/>
        <v>2023.015P.Geminiviridae_rename_sp.zip</v>
      </c>
      <c r="U6493" s="29" t="str">
        <f>HYPERLINK("https://ictv.global/taxonomy/taxondetails?taxnode_id=202303328","ictv.global=202303328")</f>
        <v>ictv.global=202303328</v>
      </c>
    </row>
    <row r="6494" spans="1:21">
      <c r="A6494">
        <v>6493</v>
      </c>
      <c r="B6494" s="30" t="s">
        <v>1956</v>
      </c>
      <c r="D6494" s="30" t="s">
        <v>1985</v>
      </c>
      <c r="F6494" s="30" t="s">
        <v>2009</v>
      </c>
      <c r="H6494" s="30" t="s">
        <v>2018</v>
      </c>
      <c r="J6494" s="30" t="s">
        <v>2019</v>
      </c>
      <c r="L6494" s="30" t="s">
        <v>499</v>
      </c>
      <c r="N6494" s="30" t="s">
        <v>500</v>
      </c>
      <c r="P6494" s="30" t="s">
        <v>13624</v>
      </c>
      <c r="Q6494" t="s">
        <v>622</v>
      </c>
      <c r="R6494" t="s">
        <v>920</v>
      </c>
      <c r="S6494">
        <v>39</v>
      </c>
      <c r="T6494" s="29" t="str">
        <f t="shared" si="289"/>
        <v>2023.015P.Geminiviridae_rename_sp.zip</v>
      </c>
      <c r="U6494" s="29" t="str">
        <f>HYPERLINK("https://ictv.global/taxonomy/taxondetails?taxnode_id=202303327","ictv.global=202303327")</f>
        <v>ictv.global=202303327</v>
      </c>
    </row>
    <row r="6495" spans="1:21">
      <c r="A6495">
        <v>6494</v>
      </c>
      <c r="B6495" s="30" t="s">
        <v>1956</v>
      </c>
      <c r="D6495" s="30" t="s">
        <v>1985</v>
      </c>
      <c r="F6495" s="30" t="s">
        <v>2009</v>
      </c>
      <c r="H6495" s="30" t="s">
        <v>2018</v>
      </c>
      <c r="J6495" s="30" t="s">
        <v>2019</v>
      </c>
      <c r="L6495" s="30" t="s">
        <v>499</v>
      </c>
      <c r="N6495" s="30" t="s">
        <v>500</v>
      </c>
      <c r="P6495" s="30" t="s">
        <v>13625</v>
      </c>
      <c r="Q6495" t="s">
        <v>622</v>
      </c>
      <c r="R6495" t="s">
        <v>920</v>
      </c>
      <c r="S6495">
        <v>39</v>
      </c>
      <c r="T6495" s="29" t="str">
        <f t="shared" si="289"/>
        <v>2023.015P.Geminiviridae_rename_sp.zip</v>
      </c>
      <c r="U6495" s="29" t="str">
        <f>HYPERLINK("https://ictv.global/taxonomy/taxondetails?taxnode_id=202303323","ictv.global=202303323")</f>
        <v>ictv.global=202303323</v>
      </c>
    </row>
    <row r="6496" spans="1:21">
      <c r="A6496">
        <v>6495</v>
      </c>
      <c r="B6496" s="30" t="s">
        <v>1956</v>
      </c>
      <c r="D6496" s="30" t="s">
        <v>1985</v>
      </c>
      <c r="F6496" s="30" t="s">
        <v>2009</v>
      </c>
      <c r="H6496" s="30" t="s">
        <v>2018</v>
      </c>
      <c r="J6496" s="30" t="s">
        <v>2019</v>
      </c>
      <c r="L6496" s="30" t="s">
        <v>499</v>
      </c>
      <c r="N6496" s="30" t="s">
        <v>500</v>
      </c>
      <c r="P6496" s="30" t="s">
        <v>13626</v>
      </c>
      <c r="Q6496" t="s">
        <v>622</v>
      </c>
      <c r="R6496" t="s">
        <v>920</v>
      </c>
      <c r="S6496">
        <v>39</v>
      </c>
      <c r="T6496" s="29" t="str">
        <f t="shared" si="289"/>
        <v>2023.015P.Geminiviridae_rename_sp.zip</v>
      </c>
      <c r="U6496" s="29" t="str">
        <f>HYPERLINK("https://ictv.global/taxonomy/taxondetails?taxnode_id=202303324","ictv.global=202303324")</f>
        <v>ictv.global=202303324</v>
      </c>
    </row>
    <row r="6497" spans="1:21">
      <c r="A6497">
        <v>6496</v>
      </c>
      <c r="B6497" s="30" t="s">
        <v>1956</v>
      </c>
      <c r="D6497" s="30" t="s">
        <v>1985</v>
      </c>
      <c r="F6497" s="30" t="s">
        <v>2009</v>
      </c>
      <c r="H6497" s="30" t="s">
        <v>2018</v>
      </c>
      <c r="J6497" s="30" t="s">
        <v>2019</v>
      </c>
      <c r="L6497" s="30" t="s">
        <v>499</v>
      </c>
      <c r="N6497" s="30" t="s">
        <v>500</v>
      </c>
      <c r="P6497" s="30" t="s">
        <v>13627</v>
      </c>
      <c r="Q6497" t="s">
        <v>622</v>
      </c>
      <c r="R6497" t="s">
        <v>920</v>
      </c>
      <c r="S6497">
        <v>39</v>
      </c>
      <c r="T6497" s="29" t="str">
        <f t="shared" si="289"/>
        <v>2023.015P.Geminiviridae_rename_sp.zip</v>
      </c>
      <c r="U6497" s="29" t="str">
        <f>HYPERLINK("https://ictv.global/taxonomy/taxondetails?taxnode_id=202303330","ictv.global=202303330")</f>
        <v>ictv.global=202303330</v>
      </c>
    </row>
    <row r="6498" spans="1:21">
      <c r="A6498">
        <v>6497</v>
      </c>
      <c r="B6498" s="30" t="s">
        <v>1956</v>
      </c>
      <c r="D6498" s="30" t="s">
        <v>1985</v>
      </c>
      <c r="F6498" s="30" t="s">
        <v>2009</v>
      </c>
      <c r="H6498" s="30" t="s">
        <v>2018</v>
      </c>
      <c r="J6498" s="30" t="s">
        <v>2019</v>
      </c>
      <c r="L6498" s="30" t="s">
        <v>499</v>
      </c>
      <c r="N6498" s="30" t="s">
        <v>500</v>
      </c>
      <c r="P6498" s="30" t="s">
        <v>13628</v>
      </c>
      <c r="Q6498" t="s">
        <v>622</v>
      </c>
      <c r="R6498" t="s">
        <v>920</v>
      </c>
      <c r="S6498">
        <v>39</v>
      </c>
      <c r="T6498" s="29" t="str">
        <f t="shared" si="289"/>
        <v>2023.015P.Geminiviridae_rename_sp.zip</v>
      </c>
      <c r="U6498" s="29" t="str">
        <f>HYPERLINK("https://ictv.global/taxonomy/taxondetails?taxnode_id=202303331","ictv.global=202303331")</f>
        <v>ictv.global=202303331</v>
      </c>
    </row>
    <row r="6499" spans="1:21">
      <c r="A6499">
        <v>6498</v>
      </c>
      <c r="B6499" s="30" t="s">
        <v>1956</v>
      </c>
      <c r="D6499" s="30" t="s">
        <v>1985</v>
      </c>
      <c r="F6499" s="30" t="s">
        <v>2009</v>
      </c>
      <c r="H6499" s="30" t="s">
        <v>2018</v>
      </c>
      <c r="J6499" s="30" t="s">
        <v>2019</v>
      </c>
      <c r="L6499" s="30" t="s">
        <v>499</v>
      </c>
      <c r="N6499" s="30" t="s">
        <v>500</v>
      </c>
      <c r="P6499" s="30" t="s">
        <v>13629</v>
      </c>
      <c r="Q6499" t="s">
        <v>622</v>
      </c>
      <c r="R6499" t="s">
        <v>920</v>
      </c>
      <c r="S6499">
        <v>39</v>
      </c>
      <c r="T6499" s="29" t="str">
        <f t="shared" si="289"/>
        <v>2023.015P.Geminiviridae_rename_sp.zip</v>
      </c>
      <c r="U6499" s="29" t="str">
        <f>HYPERLINK("https://ictv.global/taxonomy/taxondetails?taxnode_id=202303332","ictv.global=202303332")</f>
        <v>ictv.global=202303332</v>
      </c>
    </row>
    <row r="6500" spans="1:21">
      <c r="A6500">
        <v>6499</v>
      </c>
      <c r="B6500" s="30" t="s">
        <v>1956</v>
      </c>
      <c r="D6500" s="30" t="s">
        <v>1985</v>
      </c>
      <c r="F6500" s="30" t="s">
        <v>2009</v>
      </c>
      <c r="H6500" s="30" t="s">
        <v>2018</v>
      </c>
      <c r="J6500" s="30" t="s">
        <v>2019</v>
      </c>
      <c r="L6500" s="30" t="s">
        <v>499</v>
      </c>
      <c r="N6500" s="30" t="s">
        <v>500</v>
      </c>
      <c r="P6500" s="30" t="s">
        <v>13630</v>
      </c>
      <c r="Q6500" t="s">
        <v>622</v>
      </c>
      <c r="R6500" t="s">
        <v>920</v>
      </c>
      <c r="S6500">
        <v>39</v>
      </c>
      <c r="T6500" s="29" t="str">
        <f t="shared" si="289"/>
        <v>2023.015P.Geminiviridae_rename_sp.zip</v>
      </c>
      <c r="U6500" s="29" t="str">
        <f>HYPERLINK("https://ictv.global/taxonomy/taxondetails?taxnode_id=202305823","ictv.global=202305823")</f>
        <v>ictv.global=202305823</v>
      </c>
    </row>
    <row r="6501" spans="1:21">
      <c r="A6501">
        <v>6500</v>
      </c>
      <c r="B6501" s="30" t="s">
        <v>1956</v>
      </c>
      <c r="D6501" s="30" t="s">
        <v>1985</v>
      </c>
      <c r="F6501" s="30" t="s">
        <v>2009</v>
      </c>
      <c r="H6501" s="30" t="s">
        <v>2018</v>
      </c>
      <c r="J6501" s="30" t="s">
        <v>2019</v>
      </c>
      <c r="L6501" s="30" t="s">
        <v>499</v>
      </c>
      <c r="N6501" s="30" t="s">
        <v>500</v>
      </c>
      <c r="P6501" s="30" t="s">
        <v>13631</v>
      </c>
      <c r="Q6501" t="s">
        <v>622</v>
      </c>
      <c r="R6501" t="s">
        <v>920</v>
      </c>
      <c r="S6501">
        <v>39</v>
      </c>
      <c r="T6501" s="29" t="str">
        <f t="shared" si="289"/>
        <v>2023.015P.Geminiviridae_rename_sp.zip</v>
      </c>
      <c r="U6501" s="29" t="str">
        <f>HYPERLINK("https://ictv.global/taxonomy/taxondetails?taxnode_id=202303346","ictv.global=202303346")</f>
        <v>ictv.global=202303346</v>
      </c>
    </row>
    <row r="6502" spans="1:21">
      <c r="A6502">
        <v>6501</v>
      </c>
      <c r="B6502" s="30" t="s">
        <v>1956</v>
      </c>
      <c r="D6502" s="30" t="s">
        <v>1985</v>
      </c>
      <c r="F6502" s="30" t="s">
        <v>2009</v>
      </c>
      <c r="H6502" s="30" t="s">
        <v>2018</v>
      </c>
      <c r="J6502" s="30" t="s">
        <v>2019</v>
      </c>
      <c r="L6502" s="30" t="s">
        <v>499</v>
      </c>
      <c r="N6502" s="30" t="s">
        <v>500</v>
      </c>
      <c r="P6502" s="30" t="s">
        <v>13632</v>
      </c>
      <c r="Q6502" t="s">
        <v>622</v>
      </c>
      <c r="R6502" t="s">
        <v>920</v>
      </c>
      <c r="S6502">
        <v>39</v>
      </c>
      <c r="T6502" s="29" t="str">
        <f t="shared" si="289"/>
        <v>2023.015P.Geminiviridae_rename_sp.zip</v>
      </c>
      <c r="U6502" s="29" t="str">
        <f>HYPERLINK("https://ictv.global/taxonomy/taxondetails?taxnode_id=202303348","ictv.global=202303348")</f>
        <v>ictv.global=202303348</v>
      </c>
    </row>
    <row r="6503" spans="1:21">
      <c r="A6503">
        <v>6502</v>
      </c>
      <c r="B6503" s="30" t="s">
        <v>1956</v>
      </c>
      <c r="D6503" s="30" t="s">
        <v>1985</v>
      </c>
      <c r="F6503" s="30" t="s">
        <v>2009</v>
      </c>
      <c r="H6503" s="30" t="s">
        <v>2018</v>
      </c>
      <c r="J6503" s="30" t="s">
        <v>2019</v>
      </c>
      <c r="L6503" s="30" t="s">
        <v>499</v>
      </c>
      <c r="N6503" s="30" t="s">
        <v>500</v>
      </c>
      <c r="P6503" s="30" t="s">
        <v>13633</v>
      </c>
      <c r="Q6503" t="s">
        <v>622</v>
      </c>
      <c r="R6503" t="s">
        <v>920</v>
      </c>
      <c r="S6503">
        <v>39</v>
      </c>
      <c r="T6503" s="29" t="str">
        <f t="shared" si="289"/>
        <v>2023.015P.Geminiviridae_rename_sp.zip</v>
      </c>
      <c r="U6503" s="29" t="str">
        <f>HYPERLINK("https://ictv.global/taxonomy/taxondetails?taxnode_id=202303347","ictv.global=202303347")</f>
        <v>ictv.global=202303347</v>
      </c>
    </row>
    <row r="6504" spans="1:21">
      <c r="A6504">
        <v>6503</v>
      </c>
      <c r="B6504" s="30" t="s">
        <v>1956</v>
      </c>
      <c r="D6504" s="30" t="s">
        <v>1985</v>
      </c>
      <c r="F6504" s="30" t="s">
        <v>2009</v>
      </c>
      <c r="H6504" s="30" t="s">
        <v>2018</v>
      </c>
      <c r="J6504" s="30" t="s">
        <v>2019</v>
      </c>
      <c r="L6504" s="30" t="s">
        <v>499</v>
      </c>
      <c r="N6504" s="30" t="s">
        <v>500</v>
      </c>
      <c r="P6504" s="30" t="s">
        <v>13634</v>
      </c>
      <c r="Q6504" t="s">
        <v>622</v>
      </c>
      <c r="R6504" t="s">
        <v>920</v>
      </c>
      <c r="S6504">
        <v>39</v>
      </c>
      <c r="T6504" s="29" t="str">
        <f t="shared" si="289"/>
        <v>2023.015P.Geminiviridae_rename_sp.zip</v>
      </c>
      <c r="U6504" s="29" t="str">
        <f>HYPERLINK("https://ictv.global/taxonomy/taxondetails?taxnode_id=202303333","ictv.global=202303333")</f>
        <v>ictv.global=202303333</v>
      </c>
    </row>
    <row r="6505" spans="1:21">
      <c r="A6505">
        <v>6504</v>
      </c>
      <c r="B6505" s="30" t="s">
        <v>1956</v>
      </c>
      <c r="D6505" s="30" t="s">
        <v>1985</v>
      </c>
      <c r="F6505" s="30" t="s">
        <v>2009</v>
      </c>
      <c r="H6505" s="30" t="s">
        <v>2018</v>
      </c>
      <c r="J6505" s="30" t="s">
        <v>2019</v>
      </c>
      <c r="L6505" s="30" t="s">
        <v>499</v>
      </c>
      <c r="N6505" s="30" t="s">
        <v>500</v>
      </c>
      <c r="P6505" s="30" t="s">
        <v>13635</v>
      </c>
      <c r="Q6505" t="s">
        <v>622</v>
      </c>
      <c r="R6505" t="s">
        <v>920</v>
      </c>
      <c r="S6505">
        <v>39</v>
      </c>
      <c r="T6505" s="29" t="str">
        <f t="shared" si="289"/>
        <v>2023.015P.Geminiviridae_rename_sp.zip</v>
      </c>
      <c r="U6505" s="29" t="str">
        <f>HYPERLINK("https://ictv.global/taxonomy/taxondetails?taxnode_id=202303344","ictv.global=202303344")</f>
        <v>ictv.global=202303344</v>
      </c>
    </row>
    <row r="6506" spans="1:21">
      <c r="A6506">
        <v>6505</v>
      </c>
      <c r="B6506" s="30" t="s">
        <v>1956</v>
      </c>
      <c r="D6506" s="30" t="s">
        <v>1985</v>
      </c>
      <c r="F6506" s="30" t="s">
        <v>2009</v>
      </c>
      <c r="H6506" s="30" t="s">
        <v>2018</v>
      </c>
      <c r="J6506" s="30" t="s">
        <v>2019</v>
      </c>
      <c r="L6506" s="30" t="s">
        <v>499</v>
      </c>
      <c r="N6506" s="30" t="s">
        <v>500</v>
      </c>
      <c r="P6506" s="30" t="s">
        <v>13636</v>
      </c>
      <c r="Q6506" t="s">
        <v>622</v>
      </c>
      <c r="R6506" t="s">
        <v>920</v>
      </c>
      <c r="S6506">
        <v>39</v>
      </c>
      <c r="T6506" s="29" t="str">
        <f t="shared" si="289"/>
        <v>2023.015P.Geminiviridae_rename_sp.zip</v>
      </c>
      <c r="U6506" s="29" t="str">
        <f>HYPERLINK("https://ictv.global/taxonomy/taxondetails?taxnode_id=202303355","ictv.global=202303355")</f>
        <v>ictv.global=202303355</v>
      </c>
    </row>
    <row r="6507" spans="1:21">
      <c r="A6507">
        <v>6506</v>
      </c>
      <c r="B6507" s="30" t="s">
        <v>1956</v>
      </c>
      <c r="D6507" s="30" t="s">
        <v>1985</v>
      </c>
      <c r="F6507" s="30" t="s">
        <v>2009</v>
      </c>
      <c r="H6507" s="30" t="s">
        <v>2018</v>
      </c>
      <c r="J6507" s="30" t="s">
        <v>2019</v>
      </c>
      <c r="L6507" s="30" t="s">
        <v>499</v>
      </c>
      <c r="N6507" s="30" t="s">
        <v>500</v>
      </c>
      <c r="P6507" s="30" t="s">
        <v>13637</v>
      </c>
      <c r="Q6507" t="s">
        <v>622</v>
      </c>
      <c r="R6507" t="s">
        <v>920</v>
      </c>
      <c r="S6507">
        <v>39</v>
      </c>
      <c r="T6507" s="29" t="str">
        <f t="shared" si="289"/>
        <v>2023.015P.Geminiviridae_rename_sp.zip</v>
      </c>
      <c r="U6507" s="29" t="str">
        <f>HYPERLINK("https://ictv.global/taxonomy/taxondetails?taxnode_id=202303353","ictv.global=202303353")</f>
        <v>ictv.global=202303353</v>
      </c>
    </row>
    <row r="6508" spans="1:21">
      <c r="A6508">
        <v>6507</v>
      </c>
      <c r="B6508" s="30" t="s">
        <v>1956</v>
      </c>
      <c r="D6508" s="30" t="s">
        <v>1985</v>
      </c>
      <c r="F6508" s="30" t="s">
        <v>2009</v>
      </c>
      <c r="H6508" s="30" t="s">
        <v>2018</v>
      </c>
      <c r="J6508" s="30" t="s">
        <v>2019</v>
      </c>
      <c r="L6508" s="30" t="s">
        <v>499</v>
      </c>
      <c r="N6508" s="30" t="s">
        <v>500</v>
      </c>
      <c r="P6508" s="30" t="s">
        <v>13638</v>
      </c>
      <c r="Q6508" t="s">
        <v>622</v>
      </c>
      <c r="R6508" t="s">
        <v>920</v>
      </c>
      <c r="S6508">
        <v>39</v>
      </c>
      <c r="T6508" s="29" t="str">
        <f t="shared" si="289"/>
        <v>2023.015P.Geminiviridae_rename_sp.zip</v>
      </c>
      <c r="U6508" s="29" t="str">
        <f>HYPERLINK("https://ictv.global/taxonomy/taxondetails?taxnode_id=202303354","ictv.global=202303354")</f>
        <v>ictv.global=202303354</v>
      </c>
    </row>
    <row r="6509" spans="1:21">
      <c r="A6509">
        <v>6508</v>
      </c>
      <c r="B6509" s="30" t="s">
        <v>1956</v>
      </c>
      <c r="D6509" s="30" t="s">
        <v>1985</v>
      </c>
      <c r="F6509" s="30" t="s">
        <v>2009</v>
      </c>
      <c r="H6509" s="30" t="s">
        <v>2018</v>
      </c>
      <c r="J6509" s="30" t="s">
        <v>2019</v>
      </c>
      <c r="L6509" s="30" t="s">
        <v>499</v>
      </c>
      <c r="N6509" s="30" t="s">
        <v>500</v>
      </c>
      <c r="P6509" s="30" t="s">
        <v>13639</v>
      </c>
      <c r="Q6509" t="s">
        <v>622</v>
      </c>
      <c r="R6509" t="s">
        <v>920</v>
      </c>
      <c r="S6509">
        <v>39</v>
      </c>
      <c r="T6509" s="29" t="str">
        <f t="shared" si="289"/>
        <v>2023.015P.Geminiviridae_rename_sp.zip</v>
      </c>
      <c r="U6509" s="29" t="str">
        <f>HYPERLINK("https://ictv.global/taxonomy/taxondetails?taxnode_id=202303352","ictv.global=202303352")</f>
        <v>ictv.global=202303352</v>
      </c>
    </row>
    <row r="6510" spans="1:21">
      <c r="A6510">
        <v>6509</v>
      </c>
      <c r="B6510" s="30" t="s">
        <v>1956</v>
      </c>
      <c r="D6510" s="30" t="s">
        <v>1985</v>
      </c>
      <c r="F6510" s="30" t="s">
        <v>2009</v>
      </c>
      <c r="H6510" s="30" t="s">
        <v>2018</v>
      </c>
      <c r="J6510" s="30" t="s">
        <v>2019</v>
      </c>
      <c r="L6510" s="30" t="s">
        <v>499</v>
      </c>
      <c r="N6510" s="30" t="s">
        <v>500</v>
      </c>
      <c r="P6510" s="30" t="s">
        <v>13640</v>
      </c>
      <c r="Q6510" t="s">
        <v>622</v>
      </c>
      <c r="R6510" t="s">
        <v>920</v>
      </c>
      <c r="S6510">
        <v>39</v>
      </c>
      <c r="T6510" s="29" t="str">
        <f t="shared" si="289"/>
        <v>2023.015P.Geminiviridae_rename_sp.zip</v>
      </c>
      <c r="U6510" s="29" t="str">
        <f>HYPERLINK("https://ictv.global/taxonomy/taxondetails?taxnode_id=202303356","ictv.global=202303356")</f>
        <v>ictv.global=202303356</v>
      </c>
    </row>
    <row r="6511" spans="1:21">
      <c r="A6511">
        <v>6510</v>
      </c>
      <c r="B6511" s="30" t="s">
        <v>1956</v>
      </c>
      <c r="D6511" s="30" t="s">
        <v>1985</v>
      </c>
      <c r="F6511" s="30" t="s">
        <v>2009</v>
      </c>
      <c r="H6511" s="30" t="s">
        <v>2018</v>
      </c>
      <c r="J6511" s="30" t="s">
        <v>2019</v>
      </c>
      <c r="L6511" s="30" t="s">
        <v>499</v>
      </c>
      <c r="N6511" s="30" t="s">
        <v>500</v>
      </c>
      <c r="P6511" s="30" t="s">
        <v>13641</v>
      </c>
      <c r="Q6511" t="s">
        <v>622</v>
      </c>
      <c r="R6511" t="s">
        <v>920</v>
      </c>
      <c r="S6511">
        <v>39</v>
      </c>
      <c r="T6511" s="29" t="str">
        <f t="shared" si="289"/>
        <v>2023.015P.Geminiviridae_rename_sp.zip</v>
      </c>
      <c r="U6511" s="29" t="str">
        <f>HYPERLINK("https://ictv.global/taxonomy/taxondetails?taxnode_id=202303359","ictv.global=202303359")</f>
        <v>ictv.global=202303359</v>
      </c>
    </row>
    <row r="6512" spans="1:21">
      <c r="A6512">
        <v>6511</v>
      </c>
      <c r="B6512" s="30" t="s">
        <v>1956</v>
      </c>
      <c r="D6512" s="30" t="s">
        <v>1985</v>
      </c>
      <c r="F6512" s="30" t="s">
        <v>2009</v>
      </c>
      <c r="H6512" s="30" t="s">
        <v>2018</v>
      </c>
      <c r="J6512" s="30" t="s">
        <v>2019</v>
      </c>
      <c r="L6512" s="30" t="s">
        <v>499</v>
      </c>
      <c r="N6512" s="30" t="s">
        <v>500</v>
      </c>
      <c r="P6512" s="30" t="s">
        <v>13642</v>
      </c>
      <c r="Q6512" t="s">
        <v>739</v>
      </c>
      <c r="R6512" t="s">
        <v>920</v>
      </c>
      <c r="S6512">
        <v>39</v>
      </c>
      <c r="T6512" s="29" t="str">
        <f t="shared" si="289"/>
        <v>2023.015P.Geminiviridae_rename_sp.zip</v>
      </c>
      <c r="U6512" s="29" t="str">
        <f>HYPERLINK("https://ictv.global/taxonomy/taxondetails?taxnode_id=202309133","ictv.global=202309133")</f>
        <v>ictv.global=202309133</v>
      </c>
    </row>
    <row r="6513" spans="1:21">
      <c r="A6513">
        <v>6512</v>
      </c>
      <c r="B6513" s="30" t="s">
        <v>1956</v>
      </c>
      <c r="D6513" s="30" t="s">
        <v>1985</v>
      </c>
      <c r="F6513" s="30" t="s">
        <v>2009</v>
      </c>
      <c r="H6513" s="30" t="s">
        <v>2018</v>
      </c>
      <c r="J6513" s="30" t="s">
        <v>2019</v>
      </c>
      <c r="L6513" s="30" t="s">
        <v>499</v>
      </c>
      <c r="N6513" s="30" t="s">
        <v>500</v>
      </c>
      <c r="P6513" s="30" t="s">
        <v>13643</v>
      </c>
      <c r="Q6513" t="s">
        <v>622</v>
      </c>
      <c r="R6513" t="s">
        <v>920</v>
      </c>
      <c r="S6513">
        <v>39</v>
      </c>
      <c r="T6513" s="29" t="str">
        <f t="shared" si="289"/>
        <v>2023.015P.Geminiviridae_rename_sp.zip</v>
      </c>
      <c r="U6513" s="29" t="str">
        <f>HYPERLINK("https://ictv.global/taxonomy/taxondetails?taxnode_id=202303358","ictv.global=202303358")</f>
        <v>ictv.global=202303358</v>
      </c>
    </row>
    <row r="6514" spans="1:21">
      <c r="A6514">
        <v>6513</v>
      </c>
      <c r="B6514" s="30" t="s">
        <v>1956</v>
      </c>
      <c r="D6514" s="30" t="s">
        <v>1985</v>
      </c>
      <c r="F6514" s="30" t="s">
        <v>2009</v>
      </c>
      <c r="H6514" s="30" t="s">
        <v>2018</v>
      </c>
      <c r="J6514" s="30" t="s">
        <v>2019</v>
      </c>
      <c r="L6514" s="30" t="s">
        <v>499</v>
      </c>
      <c r="N6514" s="30" t="s">
        <v>500</v>
      </c>
      <c r="P6514" s="30" t="s">
        <v>13644</v>
      </c>
      <c r="Q6514" t="s">
        <v>622</v>
      </c>
      <c r="R6514" t="s">
        <v>920</v>
      </c>
      <c r="S6514">
        <v>39</v>
      </c>
      <c r="T6514" s="29" t="str">
        <f t="shared" si="289"/>
        <v>2023.015P.Geminiviridae_rename_sp.zip</v>
      </c>
      <c r="U6514" s="29" t="str">
        <f>HYPERLINK("https://ictv.global/taxonomy/taxondetails?taxnode_id=202303361","ictv.global=202303361")</f>
        <v>ictv.global=202303361</v>
      </c>
    </row>
    <row r="6515" spans="1:21">
      <c r="A6515">
        <v>6514</v>
      </c>
      <c r="B6515" s="30" t="s">
        <v>1956</v>
      </c>
      <c r="D6515" s="30" t="s">
        <v>1985</v>
      </c>
      <c r="F6515" s="30" t="s">
        <v>2009</v>
      </c>
      <c r="H6515" s="30" t="s">
        <v>2018</v>
      </c>
      <c r="J6515" s="30" t="s">
        <v>2019</v>
      </c>
      <c r="L6515" s="30" t="s">
        <v>499</v>
      </c>
      <c r="N6515" s="30" t="s">
        <v>500</v>
      </c>
      <c r="P6515" s="30" t="s">
        <v>13645</v>
      </c>
      <c r="Q6515" t="s">
        <v>622</v>
      </c>
      <c r="R6515" t="s">
        <v>920</v>
      </c>
      <c r="S6515">
        <v>39</v>
      </c>
      <c r="T6515" s="29" t="str">
        <f t="shared" si="289"/>
        <v>2023.015P.Geminiviridae_rename_sp.zip</v>
      </c>
      <c r="U6515" s="29" t="str">
        <f>HYPERLINK("https://ictv.global/taxonomy/taxondetails?taxnode_id=202303360","ictv.global=202303360")</f>
        <v>ictv.global=202303360</v>
      </c>
    </row>
    <row r="6516" spans="1:21">
      <c r="A6516">
        <v>6515</v>
      </c>
      <c r="B6516" s="30" t="s">
        <v>1956</v>
      </c>
      <c r="D6516" s="30" t="s">
        <v>1985</v>
      </c>
      <c r="F6516" s="30" t="s">
        <v>2009</v>
      </c>
      <c r="H6516" s="30" t="s">
        <v>2018</v>
      </c>
      <c r="J6516" s="30" t="s">
        <v>2019</v>
      </c>
      <c r="L6516" s="30" t="s">
        <v>499</v>
      </c>
      <c r="N6516" s="30" t="s">
        <v>500</v>
      </c>
      <c r="P6516" s="30" t="s">
        <v>13646</v>
      </c>
      <c r="Q6516" t="s">
        <v>622</v>
      </c>
      <c r="R6516" t="s">
        <v>920</v>
      </c>
      <c r="S6516">
        <v>39</v>
      </c>
      <c r="T6516" s="29" t="str">
        <f t="shared" si="289"/>
        <v>2023.015P.Geminiviridae_rename_sp.zip</v>
      </c>
      <c r="U6516" s="29" t="str">
        <f>HYPERLINK("https://ictv.global/taxonomy/taxondetails?taxnode_id=202303357","ictv.global=202303357")</f>
        <v>ictv.global=202303357</v>
      </c>
    </row>
    <row r="6517" spans="1:21">
      <c r="A6517">
        <v>6516</v>
      </c>
      <c r="B6517" s="30" t="s">
        <v>1956</v>
      </c>
      <c r="D6517" s="30" t="s">
        <v>1985</v>
      </c>
      <c r="F6517" s="30" t="s">
        <v>2009</v>
      </c>
      <c r="H6517" s="30" t="s">
        <v>2018</v>
      </c>
      <c r="J6517" s="30" t="s">
        <v>2019</v>
      </c>
      <c r="L6517" s="30" t="s">
        <v>499</v>
      </c>
      <c r="N6517" s="30" t="s">
        <v>500</v>
      </c>
      <c r="P6517" s="30" t="s">
        <v>13647</v>
      </c>
      <c r="Q6517" t="s">
        <v>622</v>
      </c>
      <c r="R6517" t="s">
        <v>920</v>
      </c>
      <c r="S6517">
        <v>39</v>
      </c>
      <c r="T6517" s="29" t="str">
        <f t="shared" si="289"/>
        <v>2023.015P.Geminiviridae_rename_sp.zip</v>
      </c>
      <c r="U6517" s="29" t="str">
        <f>HYPERLINK("https://ictv.global/taxonomy/taxondetails?taxnode_id=202305825","ictv.global=202305825")</f>
        <v>ictv.global=202305825</v>
      </c>
    </row>
    <row r="6518" spans="1:21">
      <c r="A6518">
        <v>6517</v>
      </c>
      <c r="B6518" s="30" t="s">
        <v>1956</v>
      </c>
      <c r="D6518" s="30" t="s">
        <v>1985</v>
      </c>
      <c r="F6518" s="30" t="s">
        <v>2009</v>
      </c>
      <c r="H6518" s="30" t="s">
        <v>2018</v>
      </c>
      <c r="J6518" s="30" t="s">
        <v>2019</v>
      </c>
      <c r="L6518" s="30" t="s">
        <v>499</v>
      </c>
      <c r="N6518" s="30" t="s">
        <v>500</v>
      </c>
      <c r="P6518" s="30" t="s">
        <v>13648</v>
      </c>
      <c r="Q6518" t="s">
        <v>739</v>
      </c>
      <c r="R6518" t="s">
        <v>920</v>
      </c>
      <c r="S6518">
        <v>39</v>
      </c>
      <c r="T6518" s="29" t="str">
        <f t="shared" si="289"/>
        <v>2023.015P.Geminiviridae_rename_sp.zip</v>
      </c>
      <c r="U6518" s="29" t="str">
        <f>HYPERLINK("https://ictv.global/taxonomy/taxondetails?taxnode_id=202309132","ictv.global=202309132")</f>
        <v>ictv.global=202309132</v>
      </c>
    </row>
    <row r="6519" spans="1:21">
      <c r="A6519">
        <v>6518</v>
      </c>
      <c r="B6519" s="30" t="s">
        <v>1956</v>
      </c>
      <c r="D6519" s="30" t="s">
        <v>1985</v>
      </c>
      <c r="F6519" s="30" t="s">
        <v>2009</v>
      </c>
      <c r="H6519" s="30" t="s">
        <v>2018</v>
      </c>
      <c r="J6519" s="30" t="s">
        <v>2019</v>
      </c>
      <c r="L6519" s="30" t="s">
        <v>499</v>
      </c>
      <c r="N6519" s="30" t="s">
        <v>500</v>
      </c>
      <c r="P6519" s="30" t="s">
        <v>13649</v>
      </c>
      <c r="Q6519" t="s">
        <v>622</v>
      </c>
      <c r="R6519" t="s">
        <v>920</v>
      </c>
      <c r="S6519">
        <v>39</v>
      </c>
      <c r="T6519" s="29" t="str">
        <f t="shared" si="289"/>
        <v>2023.015P.Geminiviridae_rename_sp.zip</v>
      </c>
      <c r="U6519" s="29" t="str">
        <f>HYPERLINK("https://ictv.global/taxonomy/taxondetails?taxnode_id=202303345","ictv.global=202303345")</f>
        <v>ictv.global=202303345</v>
      </c>
    </row>
    <row r="6520" spans="1:21">
      <c r="A6520">
        <v>6519</v>
      </c>
      <c r="B6520" s="30" t="s">
        <v>1956</v>
      </c>
      <c r="D6520" s="30" t="s">
        <v>1985</v>
      </c>
      <c r="F6520" s="30" t="s">
        <v>2009</v>
      </c>
      <c r="H6520" s="30" t="s">
        <v>2018</v>
      </c>
      <c r="J6520" s="30" t="s">
        <v>2019</v>
      </c>
      <c r="L6520" s="30" t="s">
        <v>499</v>
      </c>
      <c r="N6520" s="30" t="s">
        <v>500</v>
      </c>
      <c r="P6520" s="30" t="s">
        <v>13650</v>
      </c>
      <c r="Q6520" t="s">
        <v>622</v>
      </c>
      <c r="R6520" t="s">
        <v>920</v>
      </c>
      <c r="S6520">
        <v>39</v>
      </c>
      <c r="T6520" s="29" t="str">
        <f t="shared" si="289"/>
        <v>2023.015P.Geminiviridae_rename_sp.zip</v>
      </c>
      <c r="U6520" s="29" t="str">
        <f>HYPERLINK("https://ictv.global/taxonomy/taxondetails?taxnode_id=202305824","ictv.global=202305824")</f>
        <v>ictv.global=202305824</v>
      </c>
    </row>
    <row r="6521" spans="1:21">
      <c r="A6521">
        <v>6520</v>
      </c>
      <c r="B6521" s="30" t="s">
        <v>1956</v>
      </c>
      <c r="D6521" s="30" t="s">
        <v>1985</v>
      </c>
      <c r="F6521" s="30" t="s">
        <v>2009</v>
      </c>
      <c r="H6521" s="30" t="s">
        <v>2018</v>
      </c>
      <c r="J6521" s="30" t="s">
        <v>2019</v>
      </c>
      <c r="L6521" s="30" t="s">
        <v>499</v>
      </c>
      <c r="N6521" s="30" t="s">
        <v>500</v>
      </c>
      <c r="P6521" s="30" t="s">
        <v>13651</v>
      </c>
      <c r="Q6521" t="s">
        <v>739</v>
      </c>
      <c r="R6521" t="s">
        <v>920</v>
      </c>
      <c r="S6521">
        <v>39</v>
      </c>
      <c r="T6521" s="29" t="str">
        <f t="shared" si="289"/>
        <v>2023.015P.Geminiviridae_rename_sp.zip</v>
      </c>
      <c r="U6521" s="29" t="str">
        <f>HYPERLINK("https://ictv.global/taxonomy/taxondetails?taxnode_id=202309131","ictv.global=202309131")</f>
        <v>ictv.global=202309131</v>
      </c>
    </row>
    <row r="6522" spans="1:21">
      <c r="A6522">
        <v>6521</v>
      </c>
      <c r="B6522" s="30" t="s">
        <v>1956</v>
      </c>
      <c r="D6522" s="30" t="s">
        <v>1985</v>
      </c>
      <c r="F6522" s="30" t="s">
        <v>2009</v>
      </c>
      <c r="H6522" s="30" t="s">
        <v>2018</v>
      </c>
      <c r="J6522" s="30" t="s">
        <v>2019</v>
      </c>
      <c r="L6522" s="30" t="s">
        <v>499</v>
      </c>
      <c r="N6522" s="30" t="s">
        <v>500</v>
      </c>
      <c r="P6522" s="30" t="s">
        <v>13652</v>
      </c>
      <c r="Q6522" t="s">
        <v>622</v>
      </c>
      <c r="R6522" t="s">
        <v>920</v>
      </c>
      <c r="S6522">
        <v>39</v>
      </c>
      <c r="T6522" s="29" t="str">
        <f t="shared" si="289"/>
        <v>2023.015P.Geminiviridae_rename_sp.zip</v>
      </c>
      <c r="U6522" s="29" t="str">
        <f>HYPERLINK("https://ictv.global/taxonomy/taxondetails?taxnode_id=202305826","ictv.global=202305826")</f>
        <v>ictv.global=202305826</v>
      </c>
    </row>
    <row r="6523" spans="1:21">
      <c r="A6523">
        <v>6522</v>
      </c>
      <c r="B6523" s="30" t="s">
        <v>1956</v>
      </c>
      <c r="D6523" s="30" t="s">
        <v>1985</v>
      </c>
      <c r="F6523" s="30" t="s">
        <v>2009</v>
      </c>
      <c r="H6523" s="30" t="s">
        <v>2018</v>
      </c>
      <c r="J6523" s="30" t="s">
        <v>2019</v>
      </c>
      <c r="L6523" s="30" t="s">
        <v>499</v>
      </c>
      <c r="N6523" s="30" t="s">
        <v>500</v>
      </c>
      <c r="P6523" s="30" t="s">
        <v>13653</v>
      </c>
      <c r="Q6523" t="s">
        <v>622</v>
      </c>
      <c r="R6523" t="s">
        <v>920</v>
      </c>
      <c r="S6523">
        <v>39</v>
      </c>
      <c r="T6523" s="29" t="str">
        <f t="shared" si="289"/>
        <v>2023.015P.Geminiviridae_rename_sp.zip</v>
      </c>
      <c r="U6523" s="29" t="str">
        <f>HYPERLINK("https://ictv.global/taxonomy/taxondetails?taxnode_id=202303349","ictv.global=202303349")</f>
        <v>ictv.global=202303349</v>
      </c>
    </row>
    <row r="6524" spans="1:21">
      <c r="A6524">
        <v>6523</v>
      </c>
      <c r="B6524" s="30" t="s">
        <v>1956</v>
      </c>
      <c r="D6524" s="30" t="s">
        <v>1985</v>
      </c>
      <c r="F6524" s="30" t="s">
        <v>2009</v>
      </c>
      <c r="H6524" s="30" t="s">
        <v>2018</v>
      </c>
      <c r="J6524" s="30" t="s">
        <v>2019</v>
      </c>
      <c r="L6524" s="30" t="s">
        <v>499</v>
      </c>
      <c r="N6524" s="30" t="s">
        <v>500</v>
      </c>
      <c r="P6524" s="30" t="s">
        <v>13654</v>
      </c>
      <c r="Q6524" t="s">
        <v>622</v>
      </c>
      <c r="R6524" t="s">
        <v>920</v>
      </c>
      <c r="S6524">
        <v>39</v>
      </c>
      <c r="T6524" s="29" t="str">
        <f t="shared" si="289"/>
        <v>2023.015P.Geminiviridae_rename_sp.zip</v>
      </c>
      <c r="U6524" s="29" t="str">
        <f>HYPERLINK("https://ictv.global/taxonomy/taxondetails?taxnode_id=202303362","ictv.global=202303362")</f>
        <v>ictv.global=202303362</v>
      </c>
    </row>
    <row r="6525" spans="1:21">
      <c r="A6525">
        <v>6524</v>
      </c>
      <c r="B6525" s="30" t="s">
        <v>1956</v>
      </c>
      <c r="D6525" s="30" t="s">
        <v>1985</v>
      </c>
      <c r="F6525" s="30" t="s">
        <v>2009</v>
      </c>
      <c r="H6525" s="30" t="s">
        <v>2018</v>
      </c>
      <c r="J6525" s="30" t="s">
        <v>2019</v>
      </c>
      <c r="L6525" s="30" t="s">
        <v>499</v>
      </c>
      <c r="N6525" s="30" t="s">
        <v>500</v>
      </c>
      <c r="P6525" s="30" t="s">
        <v>13655</v>
      </c>
      <c r="Q6525" t="s">
        <v>622</v>
      </c>
      <c r="R6525" t="s">
        <v>920</v>
      </c>
      <c r="S6525">
        <v>39</v>
      </c>
      <c r="T6525" s="29" t="str">
        <f t="shared" si="289"/>
        <v>2023.015P.Geminiviridae_rename_sp.zip</v>
      </c>
      <c r="U6525" s="29" t="str">
        <f>HYPERLINK("https://ictv.global/taxonomy/taxondetails?taxnode_id=202303335","ictv.global=202303335")</f>
        <v>ictv.global=202303335</v>
      </c>
    </row>
    <row r="6526" spans="1:21">
      <c r="A6526">
        <v>6525</v>
      </c>
      <c r="B6526" s="30" t="s">
        <v>1956</v>
      </c>
      <c r="D6526" s="30" t="s">
        <v>1985</v>
      </c>
      <c r="F6526" s="30" t="s">
        <v>2009</v>
      </c>
      <c r="H6526" s="30" t="s">
        <v>2018</v>
      </c>
      <c r="J6526" s="30" t="s">
        <v>2019</v>
      </c>
      <c r="L6526" s="30" t="s">
        <v>499</v>
      </c>
      <c r="N6526" s="30" t="s">
        <v>500</v>
      </c>
      <c r="P6526" s="30" t="s">
        <v>13656</v>
      </c>
      <c r="Q6526" t="s">
        <v>622</v>
      </c>
      <c r="R6526" t="s">
        <v>920</v>
      </c>
      <c r="S6526">
        <v>39</v>
      </c>
      <c r="T6526" s="29" t="str">
        <f t="shared" si="289"/>
        <v>2023.015P.Geminiviridae_rename_sp.zip</v>
      </c>
      <c r="U6526" s="29" t="str">
        <f>HYPERLINK("https://ictv.global/taxonomy/taxondetails?taxnode_id=202303336","ictv.global=202303336")</f>
        <v>ictv.global=202303336</v>
      </c>
    </row>
    <row r="6527" spans="1:21">
      <c r="A6527">
        <v>6526</v>
      </c>
      <c r="B6527" s="30" t="s">
        <v>1956</v>
      </c>
      <c r="D6527" s="30" t="s">
        <v>1985</v>
      </c>
      <c r="F6527" s="30" t="s">
        <v>2009</v>
      </c>
      <c r="H6527" s="30" t="s">
        <v>2018</v>
      </c>
      <c r="J6527" s="30" t="s">
        <v>2019</v>
      </c>
      <c r="L6527" s="30" t="s">
        <v>499</v>
      </c>
      <c r="N6527" s="30" t="s">
        <v>500</v>
      </c>
      <c r="P6527" s="30" t="s">
        <v>13657</v>
      </c>
      <c r="Q6527" t="s">
        <v>622</v>
      </c>
      <c r="R6527" t="s">
        <v>920</v>
      </c>
      <c r="S6527">
        <v>39</v>
      </c>
      <c r="T6527" s="29" t="str">
        <f t="shared" si="289"/>
        <v>2023.015P.Geminiviridae_rename_sp.zip</v>
      </c>
      <c r="U6527" s="29" t="str">
        <f>HYPERLINK("https://ictv.global/taxonomy/taxondetails?taxnode_id=202303337","ictv.global=202303337")</f>
        <v>ictv.global=202303337</v>
      </c>
    </row>
    <row r="6528" spans="1:21">
      <c r="A6528">
        <v>6527</v>
      </c>
      <c r="B6528" s="30" t="s">
        <v>1956</v>
      </c>
      <c r="D6528" s="30" t="s">
        <v>1985</v>
      </c>
      <c r="F6528" s="30" t="s">
        <v>2009</v>
      </c>
      <c r="H6528" s="30" t="s">
        <v>2018</v>
      </c>
      <c r="J6528" s="30" t="s">
        <v>2019</v>
      </c>
      <c r="L6528" s="30" t="s">
        <v>499</v>
      </c>
      <c r="N6528" s="30" t="s">
        <v>500</v>
      </c>
      <c r="P6528" s="30" t="s">
        <v>13658</v>
      </c>
      <c r="Q6528" t="s">
        <v>622</v>
      </c>
      <c r="R6528" t="s">
        <v>920</v>
      </c>
      <c r="S6528">
        <v>39</v>
      </c>
      <c r="T6528" s="29" t="str">
        <f t="shared" si="289"/>
        <v>2023.015P.Geminiviridae_rename_sp.zip</v>
      </c>
      <c r="U6528" s="29" t="str">
        <f>HYPERLINK("https://ictv.global/taxonomy/taxondetails?taxnode_id=202303338","ictv.global=202303338")</f>
        <v>ictv.global=202303338</v>
      </c>
    </row>
    <row r="6529" spans="1:21">
      <c r="A6529">
        <v>6528</v>
      </c>
      <c r="B6529" s="30" t="s">
        <v>1956</v>
      </c>
      <c r="D6529" s="30" t="s">
        <v>1985</v>
      </c>
      <c r="F6529" s="30" t="s">
        <v>2009</v>
      </c>
      <c r="H6529" s="30" t="s">
        <v>2018</v>
      </c>
      <c r="J6529" s="30" t="s">
        <v>2019</v>
      </c>
      <c r="L6529" s="30" t="s">
        <v>499</v>
      </c>
      <c r="N6529" s="30" t="s">
        <v>500</v>
      </c>
      <c r="P6529" s="30" t="s">
        <v>13659</v>
      </c>
      <c r="Q6529" t="s">
        <v>622</v>
      </c>
      <c r="R6529" t="s">
        <v>920</v>
      </c>
      <c r="S6529">
        <v>39</v>
      </c>
      <c r="T6529" s="29" t="str">
        <f t="shared" si="289"/>
        <v>2023.015P.Geminiviridae_rename_sp.zip</v>
      </c>
      <c r="U6529" s="29" t="str">
        <f>HYPERLINK("https://ictv.global/taxonomy/taxondetails?taxnode_id=202303341","ictv.global=202303341")</f>
        <v>ictv.global=202303341</v>
      </c>
    </row>
    <row r="6530" spans="1:21">
      <c r="A6530">
        <v>6529</v>
      </c>
      <c r="B6530" s="30" t="s">
        <v>1956</v>
      </c>
      <c r="D6530" s="30" t="s">
        <v>1985</v>
      </c>
      <c r="F6530" s="30" t="s">
        <v>2009</v>
      </c>
      <c r="H6530" s="30" t="s">
        <v>2018</v>
      </c>
      <c r="J6530" s="30" t="s">
        <v>2019</v>
      </c>
      <c r="L6530" s="30" t="s">
        <v>499</v>
      </c>
      <c r="N6530" s="30" t="s">
        <v>500</v>
      </c>
      <c r="P6530" s="30" t="s">
        <v>13660</v>
      </c>
      <c r="Q6530" t="s">
        <v>622</v>
      </c>
      <c r="R6530" t="s">
        <v>920</v>
      </c>
      <c r="S6530">
        <v>39</v>
      </c>
      <c r="T6530" s="29" t="str">
        <f t="shared" si="289"/>
        <v>2023.015P.Geminiviridae_rename_sp.zip</v>
      </c>
      <c r="U6530" s="29" t="str">
        <f>HYPERLINK("https://ictv.global/taxonomy/taxondetails?taxnode_id=202303339","ictv.global=202303339")</f>
        <v>ictv.global=202303339</v>
      </c>
    </row>
    <row r="6531" spans="1:21">
      <c r="A6531">
        <v>6530</v>
      </c>
      <c r="B6531" s="30" t="s">
        <v>1956</v>
      </c>
      <c r="D6531" s="30" t="s">
        <v>1985</v>
      </c>
      <c r="F6531" s="30" t="s">
        <v>2009</v>
      </c>
      <c r="H6531" s="30" t="s">
        <v>2018</v>
      </c>
      <c r="J6531" s="30" t="s">
        <v>2019</v>
      </c>
      <c r="L6531" s="30" t="s">
        <v>499</v>
      </c>
      <c r="N6531" s="30" t="s">
        <v>500</v>
      </c>
      <c r="P6531" s="30" t="s">
        <v>13661</v>
      </c>
      <c r="Q6531" t="s">
        <v>622</v>
      </c>
      <c r="R6531" t="s">
        <v>920</v>
      </c>
      <c r="S6531">
        <v>39</v>
      </c>
      <c r="T6531" s="29" t="str">
        <f t="shared" si="289"/>
        <v>2023.015P.Geminiviridae_rename_sp.zip</v>
      </c>
      <c r="U6531" s="29" t="str">
        <f>HYPERLINK("https://ictv.global/taxonomy/taxondetails?taxnode_id=202303340","ictv.global=202303340")</f>
        <v>ictv.global=202303340</v>
      </c>
    </row>
    <row r="6532" spans="1:21">
      <c r="A6532">
        <v>6531</v>
      </c>
      <c r="B6532" s="30" t="s">
        <v>1956</v>
      </c>
      <c r="D6532" s="30" t="s">
        <v>1985</v>
      </c>
      <c r="F6532" s="30" t="s">
        <v>2009</v>
      </c>
      <c r="H6532" s="30" t="s">
        <v>2018</v>
      </c>
      <c r="J6532" s="30" t="s">
        <v>2019</v>
      </c>
      <c r="L6532" s="30" t="s">
        <v>499</v>
      </c>
      <c r="N6532" s="30" t="s">
        <v>500</v>
      </c>
      <c r="P6532" s="30" t="s">
        <v>13662</v>
      </c>
      <c r="Q6532" t="s">
        <v>622</v>
      </c>
      <c r="R6532" t="s">
        <v>920</v>
      </c>
      <c r="S6532">
        <v>39</v>
      </c>
      <c r="T6532" s="29" t="str">
        <f t="shared" si="289"/>
        <v>2023.015P.Geminiviridae_rename_sp.zip</v>
      </c>
      <c r="U6532" s="29" t="str">
        <f>HYPERLINK("https://ictv.global/taxonomy/taxondetails?taxnode_id=202305828","ictv.global=202305828")</f>
        <v>ictv.global=202305828</v>
      </c>
    </row>
    <row r="6533" spans="1:21">
      <c r="A6533">
        <v>6532</v>
      </c>
      <c r="B6533" s="30" t="s">
        <v>1956</v>
      </c>
      <c r="D6533" s="30" t="s">
        <v>1985</v>
      </c>
      <c r="F6533" s="30" t="s">
        <v>2009</v>
      </c>
      <c r="H6533" s="30" t="s">
        <v>2018</v>
      </c>
      <c r="J6533" s="30" t="s">
        <v>2019</v>
      </c>
      <c r="L6533" s="30" t="s">
        <v>499</v>
      </c>
      <c r="N6533" s="30" t="s">
        <v>500</v>
      </c>
      <c r="P6533" s="30" t="s">
        <v>13663</v>
      </c>
      <c r="Q6533" t="s">
        <v>622</v>
      </c>
      <c r="R6533" t="s">
        <v>920</v>
      </c>
      <c r="S6533">
        <v>39</v>
      </c>
      <c r="T6533" s="29" t="str">
        <f t="shared" si="289"/>
        <v>2023.015P.Geminiviridae_rename_sp.zip</v>
      </c>
      <c r="U6533" s="29" t="str">
        <f>HYPERLINK("https://ictv.global/taxonomy/taxondetails?taxnode_id=202303342","ictv.global=202303342")</f>
        <v>ictv.global=202303342</v>
      </c>
    </row>
    <row r="6534" spans="1:21">
      <c r="A6534">
        <v>6533</v>
      </c>
      <c r="B6534" s="30" t="s">
        <v>1956</v>
      </c>
      <c r="D6534" s="30" t="s">
        <v>1985</v>
      </c>
      <c r="F6534" s="30" t="s">
        <v>2009</v>
      </c>
      <c r="H6534" s="30" t="s">
        <v>2018</v>
      </c>
      <c r="J6534" s="30" t="s">
        <v>2019</v>
      </c>
      <c r="L6534" s="30" t="s">
        <v>499</v>
      </c>
      <c r="N6534" s="30" t="s">
        <v>500</v>
      </c>
      <c r="P6534" s="30" t="s">
        <v>13664</v>
      </c>
      <c r="Q6534" t="s">
        <v>622</v>
      </c>
      <c r="R6534" t="s">
        <v>920</v>
      </c>
      <c r="S6534">
        <v>39</v>
      </c>
      <c r="T6534" s="29" t="str">
        <f t="shared" si="289"/>
        <v>2023.015P.Geminiviridae_rename_sp.zip</v>
      </c>
      <c r="U6534" s="29" t="str">
        <f>HYPERLINK("https://ictv.global/taxonomy/taxondetails?taxnode_id=202303343","ictv.global=202303343")</f>
        <v>ictv.global=202303343</v>
      </c>
    </row>
    <row r="6535" spans="1:21">
      <c r="A6535">
        <v>6534</v>
      </c>
      <c r="B6535" s="30" t="s">
        <v>1956</v>
      </c>
      <c r="D6535" s="30" t="s">
        <v>1985</v>
      </c>
      <c r="F6535" s="30" t="s">
        <v>2009</v>
      </c>
      <c r="H6535" s="30" t="s">
        <v>2018</v>
      </c>
      <c r="J6535" s="30" t="s">
        <v>2019</v>
      </c>
      <c r="L6535" s="30" t="s">
        <v>499</v>
      </c>
      <c r="N6535" s="30" t="s">
        <v>500</v>
      </c>
      <c r="P6535" s="30" t="s">
        <v>13665</v>
      </c>
      <c r="Q6535" t="s">
        <v>622</v>
      </c>
      <c r="R6535" t="s">
        <v>920</v>
      </c>
      <c r="S6535">
        <v>39</v>
      </c>
      <c r="T6535" s="29" t="str">
        <f t="shared" si="289"/>
        <v>2023.015P.Geminiviridae_rename_sp.zip</v>
      </c>
      <c r="U6535" s="29" t="str">
        <f>HYPERLINK("https://ictv.global/taxonomy/taxondetails?taxnode_id=202303351","ictv.global=202303351")</f>
        <v>ictv.global=202303351</v>
      </c>
    </row>
    <row r="6536" spans="1:21">
      <c r="A6536">
        <v>6535</v>
      </c>
      <c r="B6536" s="30" t="s">
        <v>1956</v>
      </c>
      <c r="D6536" s="30" t="s">
        <v>1985</v>
      </c>
      <c r="F6536" s="30" t="s">
        <v>2009</v>
      </c>
      <c r="H6536" s="30" t="s">
        <v>2018</v>
      </c>
      <c r="J6536" s="30" t="s">
        <v>2019</v>
      </c>
      <c r="L6536" s="30" t="s">
        <v>499</v>
      </c>
      <c r="N6536" s="30" t="s">
        <v>500</v>
      </c>
      <c r="P6536" s="30" t="s">
        <v>13666</v>
      </c>
      <c r="Q6536" t="s">
        <v>622</v>
      </c>
      <c r="R6536" t="s">
        <v>920</v>
      </c>
      <c r="S6536">
        <v>39</v>
      </c>
      <c r="T6536" s="29" t="str">
        <f t="shared" si="289"/>
        <v>2023.015P.Geminiviridae_rename_sp.zip</v>
      </c>
      <c r="U6536" s="29" t="str">
        <f>HYPERLINK("https://ictv.global/taxonomy/taxondetails?taxnode_id=202303350","ictv.global=202303350")</f>
        <v>ictv.global=202303350</v>
      </c>
    </row>
    <row r="6537" spans="1:21">
      <c r="A6537">
        <v>6536</v>
      </c>
      <c r="B6537" s="30" t="s">
        <v>1956</v>
      </c>
      <c r="D6537" s="30" t="s">
        <v>1985</v>
      </c>
      <c r="F6537" s="30" t="s">
        <v>2009</v>
      </c>
      <c r="H6537" s="30" t="s">
        <v>2018</v>
      </c>
      <c r="J6537" s="30" t="s">
        <v>2019</v>
      </c>
      <c r="L6537" s="30" t="s">
        <v>499</v>
      </c>
      <c r="N6537" s="30" t="s">
        <v>500</v>
      </c>
      <c r="P6537" s="30" t="s">
        <v>13667</v>
      </c>
      <c r="Q6537" t="s">
        <v>622</v>
      </c>
      <c r="R6537" t="s">
        <v>920</v>
      </c>
      <c r="S6537">
        <v>39</v>
      </c>
      <c r="T6537" s="29" t="str">
        <f t="shared" si="289"/>
        <v>2023.015P.Geminiviridae_rename_sp.zip</v>
      </c>
      <c r="U6537" s="29" t="str">
        <f>HYPERLINK("https://ictv.global/taxonomy/taxondetails?taxnode_id=202305827","ictv.global=202305827")</f>
        <v>ictv.global=202305827</v>
      </c>
    </row>
    <row r="6538" spans="1:21">
      <c r="A6538">
        <v>6537</v>
      </c>
      <c r="B6538" s="30" t="s">
        <v>1956</v>
      </c>
      <c r="D6538" s="30" t="s">
        <v>1985</v>
      </c>
      <c r="F6538" s="30" t="s">
        <v>2009</v>
      </c>
      <c r="H6538" s="30" t="s">
        <v>2018</v>
      </c>
      <c r="J6538" s="30" t="s">
        <v>2019</v>
      </c>
      <c r="L6538" s="30" t="s">
        <v>499</v>
      </c>
      <c r="N6538" s="30" t="s">
        <v>500</v>
      </c>
      <c r="P6538" s="30" t="s">
        <v>13668</v>
      </c>
      <c r="Q6538" t="s">
        <v>622</v>
      </c>
      <c r="R6538" t="s">
        <v>920</v>
      </c>
      <c r="S6538">
        <v>39</v>
      </c>
      <c r="T6538" s="29" t="str">
        <f t="shared" si="289"/>
        <v>2023.015P.Geminiviridae_rename_sp.zip</v>
      </c>
      <c r="U6538" s="29" t="str">
        <f>HYPERLINK("https://ictv.global/taxonomy/taxondetails?taxnode_id=202303334","ictv.global=202303334")</f>
        <v>ictv.global=202303334</v>
      </c>
    </row>
    <row r="6539" spans="1:21">
      <c r="A6539">
        <v>6538</v>
      </c>
      <c r="B6539" s="30" t="s">
        <v>1956</v>
      </c>
      <c r="D6539" s="30" t="s">
        <v>1985</v>
      </c>
      <c r="F6539" s="30" t="s">
        <v>2009</v>
      </c>
      <c r="H6539" s="30" t="s">
        <v>2018</v>
      </c>
      <c r="J6539" s="30" t="s">
        <v>2019</v>
      </c>
      <c r="L6539" s="30" t="s">
        <v>499</v>
      </c>
      <c r="N6539" s="30" t="s">
        <v>500</v>
      </c>
      <c r="P6539" s="30" t="s">
        <v>13669</v>
      </c>
      <c r="Q6539" t="s">
        <v>622</v>
      </c>
      <c r="R6539" t="s">
        <v>920</v>
      </c>
      <c r="S6539">
        <v>39</v>
      </c>
      <c r="T6539" s="29" t="str">
        <f t="shared" si="289"/>
        <v>2023.015P.Geminiviridae_rename_sp.zip</v>
      </c>
      <c r="U6539" s="29" t="str">
        <f>HYPERLINK("https://ictv.global/taxonomy/taxondetails?taxnode_id=202303364","ictv.global=202303364")</f>
        <v>ictv.global=202303364</v>
      </c>
    </row>
    <row r="6540" spans="1:21">
      <c r="A6540">
        <v>6539</v>
      </c>
      <c r="B6540" s="30" t="s">
        <v>1956</v>
      </c>
      <c r="D6540" s="30" t="s">
        <v>1985</v>
      </c>
      <c r="F6540" s="30" t="s">
        <v>2009</v>
      </c>
      <c r="H6540" s="30" t="s">
        <v>2018</v>
      </c>
      <c r="J6540" s="30" t="s">
        <v>2019</v>
      </c>
      <c r="L6540" s="30" t="s">
        <v>499</v>
      </c>
      <c r="N6540" s="30" t="s">
        <v>500</v>
      </c>
      <c r="P6540" s="30" t="s">
        <v>13670</v>
      </c>
      <c r="Q6540" t="s">
        <v>622</v>
      </c>
      <c r="R6540" t="s">
        <v>920</v>
      </c>
      <c r="S6540">
        <v>39</v>
      </c>
      <c r="T6540" s="29" t="str">
        <f t="shared" si="289"/>
        <v>2023.015P.Geminiviridae_rename_sp.zip</v>
      </c>
      <c r="U6540" s="29" t="str">
        <f>HYPERLINK("https://ictv.global/taxonomy/taxondetails?taxnode_id=202303363","ictv.global=202303363")</f>
        <v>ictv.global=202303363</v>
      </c>
    </row>
    <row r="6541" spans="1:21">
      <c r="A6541">
        <v>6540</v>
      </c>
      <c r="B6541" s="30" t="s">
        <v>1956</v>
      </c>
      <c r="D6541" s="30" t="s">
        <v>1985</v>
      </c>
      <c r="F6541" s="30" t="s">
        <v>2009</v>
      </c>
      <c r="H6541" s="30" t="s">
        <v>2018</v>
      </c>
      <c r="J6541" s="30" t="s">
        <v>2019</v>
      </c>
      <c r="L6541" s="30" t="s">
        <v>499</v>
      </c>
      <c r="N6541" s="30" t="s">
        <v>500</v>
      </c>
      <c r="P6541" s="30" t="s">
        <v>13671</v>
      </c>
      <c r="Q6541" t="s">
        <v>622</v>
      </c>
      <c r="R6541" t="s">
        <v>920</v>
      </c>
      <c r="S6541">
        <v>39</v>
      </c>
      <c r="T6541" s="29" t="str">
        <f t="shared" si="289"/>
        <v>2023.015P.Geminiviridae_rename_sp.zip</v>
      </c>
      <c r="U6541" s="29" t="str">
        <f>HYPERLINK("https://ictv.global/taxonomy/taxondetails?taxnode_id=202303211","ictv.global=202303211")</f>
        <v>ictv.global=202303211</v>
      </c>
    </row>
    <row r="6542" spans="1:21">
      <c r="A6542">
        <v>6541</v>
      </c>
      <c r="B6542" s="30" t="s">
        <v>1956</v>
      </c>
      <c r="D6542" s="30" t="s">
        <v>1985</v>
      </c>
      <c r="F6542" s="30" t="s">
        <v>2009</v>
      </c>
      <c r="H6542" s="30" t="s">
        <v>2018</v>
      </c>
      <c r="J6542" s="30" t="s">
        <v>2019</v>
      </c>
      <c r="L6542" s="30" t="s">
        <v>499</v>
      </c>
      <c r="N6542" s="30" t="s">
        <v>500</v>
      </c>
      <c r="P6542" s="30" t="s">
        <v>13672</v>
      </c>
      <c r="Q6542" t="s">
        <v>622</v>
      </c>
      <c r="R6542" t="s">
        <v>920</v>
      </c>
      <c r="S6542">
        <v>39</v>
      </c>
      <c r="T6542" s="29" t="str">
        <f t="shared" si="289"/>
        <v>2023.015P.Geminiviridae_rename_sp.zip</v>
      </c>
      <c r="U6542" s="29" t="str">
        <f>HYPERLINK("https://ictv.global/taxonomy/taxondetails?taxnode_id=202303414","ictv.global=202303414")</f>
        <v>ictv.global=202303414</v>
      </c>
    </row>
    <row r="6543" spans="1:21">
      <c r="A6543">
        <v>6542</v>
      </c>
      <c r="B6543" s="30" t="s">
        <v>1956</v>
      </c>
      <c r="D6543" s="30" t="s">
        <v>1985</v>
      </c>
      <c r="F6543" s="30" t="s">
        <v>2009</v>
      </c>
      <c r="H6543" s="30" t="s">
        <v>2018</v>
      </c>
      <c r="J6543" s="30" t="s">
        <v>2019</v>
      </c>
      <c r="L6543" s="30" t="s">
        <v>499</v>
      </c>
      <c r="N6543" s="30" t="s">
        <v>500</v>
      </c>
      <c r="P6543" s="30" t="s">
        <v>13673</v>
      </c>
      <c r="Q6543" t="s">
        <v>622</v>
      </c>
      <c r="R6543" t="s">
        <v>920</v>
      </c>
      <c r="S6543">
        <v>39</v>
      </c>
      <c r="T6543" s="29" t="str">
        <f t="shared" si="289"/>
        <v>2023.015P.Geminiviridae_rename_sp.zip</v>
      </c>
      <c r="U6543" s="29" t="str">
        <f>HYPERLINK("https://ictv.global/taxonomy/taxondetails?taxnode_id=202303465","ictv.global=202303465")</f>
        <v>ictv.global=202303465</v>
      </c>
    </row>
    <row r="6544" spans="1:21">
      <c r="A6544">
        <v>6543</v>
      </c>
      <c r="B6544" s="30" t="s">
        <v>1956</v>
      </c>
      <c r="D6544" s="30" t="s">
        <v>1985</v>
      </c>
      <c r="F6544" s="30" t="s">
        <v>2009</v>
      </c>
      <c r="H6544" s="30" t="s">
        <v>2018</v>
      </c>
      <c r="J6544" s="30" t="s">
        <v>2019</v>
      </c>
      <c r="L6544" s="30" t="s">
        <v>499</v>
      </c>
      <c r="N6544" s="30" t="s">
        <v>500</v>
      </c>
      <c r="P6544" s="30" t="s">
        <v>13674</v>
      </c>
      <c r="Q6544" t="s">
        <v>622</v>
      </c>
      <c r="R6544" t="s">
        <v>920</v>
      </c>
      <c r="S6544">
        <v>39</v>
      </c>
      <c r="T6544" s="29" t="str">
        <f t="shared" si="289"/>
        <v>2023.015P.Geminiviridae_rename_sp.zip</v>
      </c>
      <c r="U6544" s="29" t="str">
        <f>HYPERLINK("https://ictv.global/taxonomy/taxondetails?taxnode_id=202305839","ictv.global=202305839")</f>
        <v>ictv.global=202305839</v>
      </c>
    </row>
    <row r="6545" spans="1:21">
      <c r="A6545">
        <v>6544</v>
      </c>
      <c r="B6545" s="30" t="s">
        <v>1956</v>
      </c>
      <c r="D6545" s="30" t="s">
        <v>1985</v>
      </c>
      <c r="F6545" s="30" t="s">
        <v>2009</v>
      </c>
      <c r="H6545" s="30" t="s">
        <v>2018</v>
      </c>
      <c r="J6545" s="30" t="s">
        <v>2019</v>
      </c>
      <c r="L6545" s="30" t="s">
        <v>499</v>
      </c>
      <c r="N6545" s="30" t="s">
        <v>500</v>
      </c>
      <c r="P6545" s="30" t="s">
        <v>13675</v>
      </c>
      <c r="Q6545" t="s">
        <v>622</v>
      </c>
      <c r="R6545" t="s">
        <v>920</v>
      </c>
      <c r="S6545">
        <v>39</v>
      </c>
      <c r="T6545" s="29" t="str">
        <f t="shared" si="289"/>
        <v>2023.015P.Geminiviridae_rename_sp.zip</v>
      </c>
      <c r="U6545" s="29" t="str">
        <f>HYPERLINK("https://ictv.global/taxonomy/taxondetails?taxnode_id=202303415","ictv.global=202303415")</f>
        <v>ictv.global=202303415</v>
      </c>
    </row>
    <row r="6546" spans="1:21">
      <c r="A6546">
        <v>6545</v>
      </c>
      <c r="B6546" s="30" t="s">
        <v>1956</v>
      </c>
      <c r="D6546" s="30" t="s">
        <v>1985</v>
      </c>
      <c r="F6546" s="30" t="s">
        <v>2009</v>
      </c>
      <c r="H6546" s="30" t="s">
        <v>2018</v>
      </c>
      <c r="J6546" s="30" t="s">
        <v>2019</v>
      </c>
      <c r="L6546" s="30" t="s">
        <v>499</v>
      </c>
      <c r="N6546" s="30" t="s">
        <v>500</v>
      </c>
      <c r="P6546" s="30" t="s">
        <v>13676</v>
      </c>
      <c r="Q6546" t="s">
        <v>622</v>
      </c>
      <c r="R6546" t="s">
        <v>920</v>
      </c>
      <c r="S6546">
        <v>39</v>
      </c>
      <c r="T6546" s="29" t="str">
        <f t="shared" si="289"/>
        <v>2023.015P.Geminiviridae_rename_sp.zip</v>
      </c>
      <c r="U6546" s="29" t="str">
        <f>HYPERLINK("https://ictv.global/taxonomy/taxondetails?taxnode_id=202303409","ictv.global=202303409")</f>
        <v>ictv.global=202303409</v>
      </c>
    </row>
    <row r="6547" spans="1:21">
      <c r="A6547">
        <v>6546</v>
      </c>
      <c r="B6547" s="30" t="s">
        <v>1956</v>
      </c>
      <c r="D6547" s="30" t="s">
        <v>1985</v>
      </c>
      <c r="F6547" s="30" t="s">
        <v>2009</v>
      </c>
      <c r="H6547" s="30" t="s">
        <v>2018</v>
      </c>
      <c r="J6547" s="30" t="s">
        <v>2019</v>
      </c>
      <c r="L6547" s="30" t="s">
        <v>499</v>
      </c>
      <c r="N6547" s="30" t="s">
        <v>500</v>
      </c>
      <c r="P6547" s="30" t="s">
        <v>13677</v>
      </c>
      <c r="Q6547" t="s">
        <v>622</v>
      </c>
      <c r="R6547" t="s">
        <v>920</v>
      </c>
      <c r="S6547">
        <v>39</v>
      </c>
      <c r="T6547" s="29" t="str">
        <f t="shared" si="289"/>
        <v>2023.015P.Geminiviridae_rename_sp.zip</v>
      </c>
      <c r="U6547" s="29" t="str">
        <f>HYPERLINK("https://ictv.global/taxonomy/taxondetails?taxnode_id=202305836","ictv.global=202305836")</f>
        <v>ictv.global=202305836</v>
      </c>
    </row>
    <row r="6548" spans="1:21">
      <c r="A6548">
        <v>6547</v>
      </c>
      <c r="B6548" s="30" t="s">
        <v>1956</v>
      </c>
      <c r="D6548" s="30" t="s">
        <v>1985</v>
      </c>
      <c r="F6548" s="30" t="s">
        <v>2009</v>
      </c>
      <c r="H6548" s="30" t="s">
        <v>2018</v>
      </c>
      <c r="J6548" s="30" t="s">
        <v>2019</v>
      </c>
      <c r="L6548" s="30" t="s">
        <v>499</v>
      </c>
      <c r="N6548" s="30" t="s">
        <v>500</v>
      </c>
      <c r="P6548" s="30" t="s">
        <v>13678</v>
      </c>
      <c r="Q6548" t="s">
        <v>622</v>
      </c>
      <c r="R6548" t="s">
        <v>920</v>
      </c>
      <c r="S6548">
        <v>39</v>
      </c>
      <c r="T6548" s="29" t="str">
        <f t="shared" si="289"/>
        <v>2023.015P.Geminiviridae_rename_sp.zip</v>
      </c>
      <c r="U6548" s="29" t="str">
        <f>HYPERLINK("https://ictv.global/taxonomy/taxondetails?taxnode_id=202303410","ictv.global=202303410")</f>
        <v>ictv.global=202303410</v>
      </c>
    </row>
    <row r="6549" spans="1:21">
      <c r="A6549">
        <v>6548</v>
      </c>
      <c r="B6549" s="30" t="s">
        <v>1956</v>
      </c>
      <c r="D6549" s="30" t="s">
        <v>1985</v>
      </c>
      <c r="F6549" s="30" t="s">
        <v>2009</v>
      </c>
      <c r="H6549" s="30" t="s">
        <v>2018</v>
      </c>
      <c r="J6549" s="30" t="s">
        <v>2019</v>
      </c>
      <c r="L6549" s="30" t="s">
        <v>499</v>
      </c>
      <c r="N6549" s="30" t="s">
        <v>500</v>
      </c>
      <c r="P6549" s="30" t="s">
        <v>13679</v>
      </c>
      <c r="Q6549" t="s">
        <v>622</v>
      </c>
      <c r="R6549" t="s">
        <v>920</v>
      </c>
      <c r="S6549">
        <v>39</v>
      </c>
      <c r="T6549" s="29" t="str">
        <f t="shared" si="289"/>
        <v>2023.015P.Geminiviridae_rename_sp.zip</v>
      </c>
      <c r="U6549" s="29" t="str">
        <f>HYPERLINK("https://ictv.global/taxonomy/taxondetails?taxnode_id=202303411","ictv.global=202303411")</f>
        <v>ictv.global=202303411</v>
      </c>
    </row>
    <row r="6550" spans="1:21">
      <c r="A6550">
        <v>6549</v>
      </c>
      <c r="B6550" s="30" t="s">
        <v>1956</v>
      </c>
      <c r="D6550" s="30" t="s">
        <v>1985</v>
      </c>
      <c r="F6550" s="30" t="s">
        <v>2009</v>
      </c>
      <c r="H6550" s="30" t="s">
        <v>2018</v>
      </c>
      <c r="J6550" s="30" t="s">
        <v>2019</v>
      </c>
      <c r="L6550" s="30" t="s">
        <v>499</v>
      </c>
      <c r="N6550" s="30" t="s">
        <v>500</v>
      </c>
      <c r="P6550" s="30" t="s">
        <v>13680</v>
      </c>
      <c r="Q6550" t="s">
        <v>622</v>
      </c>
      <c r="R6550" t="s">
        <v>920</v>
      </c>
      <c r="S6550">
        <v>39</v>
      </c>
      <c r="T6550" s="29" t="str">
        <f t="shared" ref="T6550:T6613" si="290">HYPERLINK("https://ictv.global/ictv/proposals/2023.015P.Geminiviridae_rename_sp.zip","2023.015P.Geminiviridae_rename_sp.zip")</f>
        <v>2023.015P.Geminiviridae_rename_sp.zip</v>
      </c>
      <c r="U6550" s="29" t="str">
        <f>HYPERLINK("https://ictv.global/taxonomy/taxondetails?taxnode_id=202303412","ictv.global=202303412")</f>
        <v>ictv.global=202303412</v>
      </c>
    </row>
    <row r="6551" spans="1:21">
      <c r="A6551">
        <v>6550</v>
      </c>
      <c r="B6551" s="30" t="s">
        <v>1956</v>
      </c>
      <c r="D6551" s="30" t="s">
        <v>1985</v>
      </c>
      <c r="F6551" s="30" t="s">
        <v>2009</v>
      </c>
      <c r="H6551" s="30" t="s">
        <v>2018</v>
      </c>
      <c r="J6551" s="30" t="s">
        <v>2019</v>
      </c>
      <c r="L6551" s="30" t="s">
        <v>499</v>
      </c>
      <c r="N6551" s="30" t="s">
        <v>500</v>
      </c>
      <c r="P6551" s="30" t="s">
        <v>13681</v>
      </c>
      <c r="Q6551" t="s">
        <v>622</v>
      </c>
      <c r="R6551" t="s">
        <v>920</v>
      </c>
      <c r="S6551">
        <v>39</v>
      </c>
      <c r="T6551" s="29" t="str">
        <f t="shared" si="290"/>
        <v>2023.015P.Geminiviridae_rename_sp.zip</v>
      </c>
      <c r="U6551" s="29" t="str">
        <f>HYPERLINK("https://ictv.global/taxonomy/taxondetails?taxnode_id=202303461","ictv.global=202303461")</f>
        <v>ictv.global=202303461</v>
      </c>
    </row>
    <row r="6552" spans="1:21">
      <c r="A6552">
        <v>6551</v>
      </c>
      <c r="B6552" s="30" t="s">
        <v>1956</v>
      </c>
      <c r="D6552" s="30" t="s">
        <v>1985</v>
      </c>
      <c r="F6552" s="30" t="s">
        <v>2009</v>
      </c>
      <c r="H6552" s="30" t="s">
        <v>2018</v>
      </c>
      <c r="J6552" s="30" t="s">
        <v>2019</v>
      </c>
      <c r="L6552" s="30" t="s">
        <v>499</v>
      </c>
      <c r="N6552" s="30" t="s">
        <v>500</v>
      </c>
      <c r="P6552" s="30" t="s">
        <v>13682</v>
      </c>
      <c r="Q6552" t="s">
        <v>622</v>
      </c>
      <c r="R6552" t="s">
        <v>920</v>
      </c>
      <c r="S6552">
        <v>39</v>
      </c>
      <c r="T6552" s="29" t="str">
        <f t="shared" si="290"/>
        <v>2023.015P.Geminiviridae_rename_sp.zip</v>
      </c>
      <c r="U6552" s="29" t="str">
        <f>HYPERLINK("https://ictv.global/taxonomy/taxondetails?taxnode_id=202303416","ictv.global=202303416")</f>
        <v>ictv.global=202303416</v>
      </c>
    </row>
    <row r="6553" spans="1:21">
      <c r="A6553">
        <v>6552</v>
      </c>
      <c r="B6553" s="30" t="s">
        <v>1956</v>
      </c>
      <c r="D6553" s="30" t="s">
        <v>1985</v>
      </c>
      <c r="F6553" s="30" t="s">
        <v>2009</v>
      </c>
      <c r="H6553" s="30" t="s">
        <v>2018</v>
      </c>
      <c r="J6553" s="30" t="s">
        <v>2019</v>
      </c>
      <c r="L6553" s="30" t="s">
        <v>499</v>
      </c>
      <c r="N6553" s="30" t="s">
        <v>500</v>
      </c>
      <c r="P6553" s="30" t="s">
        <v>13683</v>
      </c>
      <c r="Q6553" t="s">
        <v>622</v>
      </c>
      <c r="R6553" t="s">
        <v>920</v>
      </c>
      <c r="S6553">
        <v>39</v>
      </c>
      <c r="T6553" s="29" t="str">
        <f t="shared" si="290"/>
        <v>2023.015P.Geminiviridae_rename_sp.zip</v>
      </c>
      <c r="U6553" s="29" t="str">
        <f>HYPERLINK("https://ictv.global/taxonomy/taxondetails?taxnode_id=202303417","ictv.global=202303417")</f>
        <v>ictv.global=202303417</v>
      </c>
    </row>
    <row r="6554" spans="1:21">
      <c r="A6554">
        <v>6553</v>
      </c>
      <c r="B6554" s="30" t="s">
        <v>1956</v>
      </c>
      <c r="D6554" s="30" t="s">
        <v>1985</v>
      </c>
      <c r="F6554" s="30" t="s">
        <v>2009</v>
      </c>
      <c r="H6554" s="30" t="s">
        <v>2018</v>
      </c>
      <c r="J6554" s="30" t="s">
        <v>2019</v>
      </c>
      <c r="L6554" s="30" t="s">
        <v>499</v>
      </c>
      <c r="N6554" s="30" t="s">
        <v>500</v>
      </c>
      <c r="P6554" s="30" t="s">
        <v>13684</v>
      </c>
      <c r="Q6554" t="s">
        <v>622</v>
      </c>
      <c r="R6554" t="s">
        <v>920</v>
      </c>
      <c r="S6554">
        <v>39</v>
      </c>
      <c r="T6554" s="29" t="str">
        <f t="shared" si="290"/>
        <v>2023.015P.Geminiviridae_rename_sp.zip</v>
      </c>
      <c r="U6554" s="29" t="str">
        <f>HYPERLINK("https://ictv.global/taxonomy/taxondetails?taxnode_id=202305829","ictv.global=202305829")</f>
        <v>ictv.global=202305829</v>
      </c>
    </row>
    <row r="6555" spans="1:21">
      <c r="A6555">
        <v>6554</v>
      </c>
      <c r="B6555" s="30" t="s">
        <v>1956</v>
      </c>
      <c r="D6555" s="30" t="s">
        <v>1985</v>
      </c>
      <c r="F6555" s="30" t="s">
        <v>2009</v>
      </c>
      <c r="H6555" s="30" t="s">
        <v>2018</v>
      </c>
      <c r="J6555" s="30" t="s">
        <v>2019</v>
      </c>
      <c r="L6555" s="30" t="s">
        <v>499</v>
      </c>
      <c r="N6555" s="30" t="s">
        <v>500</v>
      </c>
      <c r="P6555" s="30" t="s">
        <v>13685</v>
      </c>
      <c r="Q6555" t="s">
        <v>622</v>
      </c>
      <c r="R6555" t="s">
        <v>920</v>
      </c>
      <c r="S6555">
        <v>39</v>
      </c>
      <c r="T6555" s="29" t="str">
        <f t="shared" si="290"/>
        <v>2023.015P.Geminiviridae_rename_sp.zip</v>
      </c>
      <c r="U6555" s="29" t="str">
        <f>HYPERLINK("https://ictv.global/taxonomy/taxondetails?taxnode_id=202305838","ictv.global=202305838")</f>
        <v>ictv.global=202305838</v>
      </c>
    </row>
    <row r="6556" spans="1:21">
      <c r="A6556">
        <v>6555</v>
      </c>
      <c r="B6556" s="30" t="s">
        <v>1956</v>
      </c>
      <c r="D6556" s="30" t="s">
        <v>1985</v>
      </c>
      <c r="F6556" s="30" t="s">
        <v>2009</v>
      </c>
      <c r="H6556" s="30" t="s">
        <v>2018</v>
      </c>
      <c r="J6556" s="30" t="s">
        <v>2019</v>
      </c>
      <c r="L6556" s="30" t="s">
        <v>499</v>
      </c>
      <c r="N6556" s="30" t="s">
        <v>500</v>
      </c>
      <c r="P6556" s="30" t="s">
        <v>13686</v>
      </c>
      <c r="Q6556" t="s">
        <v>622</v>
      </c>
      <c r="R6556" t="s">
        <v>920</v>
      </c>
      <c r="S6556">
        <v>39</v>
      </c>
      <c r="T6556" s="29" t="str">
        <f t="shared" si="290"/>
        <v>2023.015P.Geminiviridae_rename_sp.zip</v>
      </c>
      <c r="U6556" s="29" t="str">
        <f>HYPERLINK("https://ictv.global/taxonomy/taxondetails?taxnode_id=202303418","ictv.global=202303418")</f>
        <v>ictv.global=202303418</v>
      </c>
    </row>
    <row r="6557" spans="1:21">
      <c r="A6557">
        <v>6556</v>
      </c>
      <c r="B6557" s="30" t="s">
        <v>1956</v>
      </c>
      <c r="D6557" s="30" t="s">
        <v>1985</v>
      </c>
      <c r="F6557" s="30" t="s">
        <v>2009</v>
      </c>
      <c r="H6557" s="30" t="s">
        <v>2018</v>
      </c>
      <c r="J6557" s="30" t="s">
        <v>2019</v>
      </c>
      <c r="L6557" s="30" t="s">
        <v>499</v>
      </c>
      <c r="N6557" s="30" t="s">
        <v>500</v>
      </c>
      <c r="P6557" s="30" t="s">
        <v>13687</v>
      </c>
      <c r="Q6557" t="s">
        <v>622</v>
      </c>
      <c r="R6557" t="s">
        <v>920</v>
      </c>
      <c r="S6557">
        <v>39</v>
      </c>
      <c r="T6557" s="29" t="str">
        <f t="shared" si="290"/>
        <v>2023.015P.Geminiviridae_rename_sp.zip</v>
      </c>
      <c r="U6557" s="29" t="str">
        <f>HYPERLINK("https://ictv.global/taxonomy/taxondetails?taxnode_id=202303419","ictv.global=202303419")</f>
        <v>ictv.global=202303419</v>
      </c>
    </row>
    <row r="6558" spans="1:21">
      <c r="A6558">
        <v>6557</v>
      </c>
      <c r="B6558" s="30" t="s">
        <v>1956</v>
      </c>
      <c r="D6558" s="30" t="s">
        <v>1985</v>
      </c>
      <c r="F6558" s="30" t="s">
        <v>2009</v>
      </c>
      <c r="H6558" s="30" t="s">
        <v>2018</v>
      </c>
      <c r="J6558" s="30" t="s">
        <v>2019</v>
      </c>
      <c r="L6558" s="30" t="s">
        <v>499</v>
      </c>
      <c r="N6558" s="30" t="s">
        <v>500</v>
      </c>
      <c r="P6558" s="30" t="s">
        <v>13688</v>
      </c>
      <c r="Q6558" t="s">
        <v>622</v>
      </c>
      <c r="R6558" t="s">
        <v>920</v>
      </c>
      <c r="S6558">
        <v>39</v>
      </c>
      <c r="T6558" s="29" t="str">
        <f t="shared" si="290"/>
        <v>2023.015P.Geminiviridae_rename_sp.zip</v>
      </c>
      <c r="U6558" s="29" t="str">
        <f>HYPERLINK("https://ictv.global/taxonomy/taxondetails?taxnode_id=202303420","ictv.global=202303420")</f>
        <v>ictv.global=202303420</v>
      </c>
    </row>
    <row r="6559" spans="1:21">
      <c r="A6559">
        <v>6558</v>
      </c>
      <c r="B6559" s="30" t="s">
        <v>1956</v>
      </c>
      <c r="D6559" s="30" t="s">
        <v>1985</v>
      </c>
      <c r="F6559" s="30" t="s">
        <v>2009</v>
      </c>
      <c r="H6559" s="30" t="s">
        <v>2018</v>
      </c>
      <c r="J6559" s="30" t="s">
        <v>2019</v>
      </c>
      <c r="L6559" s="30" t="s">
        <v>499</v>
      </c>
      <c r="N6559" s="30" t="s">
        <v>500</v>
      </c>
      <c r="P6559" s="30" t="s">
        <v>13689</v>
      </c>
      <c r="Q6559" t="s">
        <v>622</v>
      </c>
      <c r="R6559" t="s">
        <v>920</v>
      </c>
      <c r="S6559">
        <v>39</v>
      </c>
      <c r="T6559" s="29" t="str">
        <f t="shared" si="290"/>
        <v>2023.015P.Geminiviridae_rename_sp.zip</v>
      </c>
      <c r="U6559" s="29" t="str">
        <f>HYPERLINK("https://ictv.global/taxonomy/taxondetails?taxnode_id=202303463","ictv.global=202303463")</f>
        <v>ictv.global=202303463</v>
      </c>
    </row>
    <row r="6560" spans="1:21">
      <c r="A6560">
        <v>6559</v>
      </c>
      <c r="B6560" s="30" t="s">
        <v>1956</v>
      </c>
      <c r="D6560" s="30" t="s">
        <v>1985</v>
      </c>
      <c r="F6560" s="30" t="s">
        <v>2009</v>
      </c>
      <c r="H6560" s="30" t="s">
        <v>2018</v>
      </c>
      <c r="J6560" s="30" t="s">
        <v>2019</v>
      </c>
      <c r="L6560" s="30" t="s">
        <v>499</v>
      </c>
      <c r="N6560" s="30" t="s">
        <v>500</v>
      </c>
      <c r="P6560" s="30" t="s">
        <v>13690</v>
      </c>
      <c r="Q6560" t="s">
        <v>622</v>
      </c>
      <c r="R6560" t="s">
        <v>920</v>
      </c>
      <c r="S6560">
        <v>39</v>
      </c>
      <c r="T6560" s="29" t="str">
        <f t="shared" si="290"/>
        <v>2023.015P.Geminiviridae_rename_sp.zip</v>
      </c>
      <c r="U6560" s="29" t="str">
        <f>HYPERLINK("https://ictv.global/taxonomy/taxondetails?taxnode_id=202306716","ictv.global=202306716")</f>
        <v>ictv.global=202306716</v>
      </c>
    </row>
    <row r="6561" spans="1:21">
      <c r="A6561">
        <v>6560</v>
      </c>
      <c r="B6561" s="30" t="s">
        <v>1956</v>
      </c>
      <c r="D6561" s="30" t="s">
        <v>1985</v>
      </c>
      <c r="F6561" s="30" t="s">
        <v>2009</v>
      </c>
      <c r="H6561" s="30" t="s">
        <v>2018</v>
      </c>
      <c r="J6561" s="30" t="s">
        <v>2019</v>
      </c>
      <c r="L6561" s="30" t="s">
        <v>499</v>
      </c>
      <c r="N6561" s="30" t="s">
        <v>500</v>
      </c>
      <c r="P6561" s="30" t="s">
        <v>13691</v>
      </c>
      <c r="Q6561" t="s">
        <v>622</v>
      </c>
      <c r="R6561" t="s">
        <v>920</v>
      </c>
      <c r="S6561">
        <v>39</v>
      </c>
      <c r="T6561" s="29" t="str">
        <f t="shared" si="290"/>
        <v>2023.015P.Geminiviridae_rename_sp.zip</v>
      </c>
      <c r="U6561" s="29" t="str">
        <f>HYPERLINK("https://ictv.global/taxonomy/taxondetails?taxnode_id=202303442","ictv.global=202303442")</f>
        <v>ictv.global=202303442</v>
      </c>
    </row>
    <row r="6562" spans="1:21">
      <c r="A6562">
        <v>6561</v>
      </c>
      <c r="B6562" s="30" t="s">
        <v>1956</v>
      </c>
      <c r="D6562" s="30" t="s">
        <v>1985</v>
      </c>
      <c r="F6562" s="30" t="s">
        <v>2009</v>
      </c>
      <c r="H6562" s="30" t="s">
        <v>2018</v>
      </c>
      <c r="J6562" s="30" t="s">
        <v>2019</v>
      </c>
      <c r="L6562" s="30" t="s">
        <v>499</v>
      </c>
      <c r="N6562" s="30" t="s">
        <v>500</v>
      </c>
      <c r="P6562" s="30" t="s">
        <v>13692</v>
      </c>
      <c r="Q6562" t="s">
        <v>622</v>
      </c>
      <c r="R6562" t="s">
        <v>920</v>
      </c>
      <c r="S6562">
        <v>39</v>
      </c>
      <c r="T6562" s="29" t="str">
        <f t="shared" si="290"/>
        <v>2023.015P.Geminiviridae_rename_sp.zip</v>
      </c>
      <c r="U6562" s="29" t="str">
        <f>HYPERLINK("https://ictv.global/taxonomy/taxondetails?taxnode_id=202303444","ictv.global=202303444")</f>
        <v>ictv.global=202303444</v>
      </c>
    </row>
    <row r="6563" spans="1:21">
      <c r="A6563">
        <v>6562</v>
      </c>
      <c r="B6563" s="30" t="s">
        <v>1956</v>
      </c>
      <c r="D6563" s="30" t="s">
        <v>1985</v>
      </c>
      <c r="F6563" s="30" t="s">
        <v>2009</v>
      </c>
      <c r="H6563" s="30" t="s">
        <v>2018</v>
      </c>
      <c r="J6563" s="30" t="s">
        <v>2019</v>
      </c>
      <c r="L6563" s="30" t="s">
        <v>499</v>
      </c>
      <c r="N6563" s="30" t="s">
        <v>500</v>
      </c>
      <c r="P6563" s="30" t="s">
        <v>13693</v>
      </c>
      <c r="Q6563" t="s">
        <v>622</v>
      </c>
      <c r="R6563" t="s">
        <v>920</v>
      </c>
      <c r="S6563">
        <v>39</v>
      </c>
      <c r="T6563" s="29" t="str">
        <f t="shared" si="290"/>
        <v>2023.015P.Geminiviridae_rename_sp.zip</v>
      </c>
      <c r="U6563" s="29" t="str">
        <f>HYPERLINK("https://ictv.global/taxonomy/taxondetails?taxnode_id=202306711","ictv.global=202306711")</f>
        <v>ictv.global=202306711</v>
      </c>
    </row>
    <row r="6564" spans="1:21">
      <c r="A6564">
        <v>6563</v>
      </c>
      <c r="B6564" s="30" t="s">
        <v>1956</v>
      </c>
      <c r="D6564" s="30" t="s">
        <v>1985</v>
      </c>
      <c r="F6564" s="30" t="s">
        <v>2009</v>
      </c>
      <c r="H6564" s="30" t="s">
        <v>2018</v>
      </c>
      <c r="J6564" s="30" t="s">
        <v>2019</v>
      </c>
      <c r="L6564" s="30" t="s">
        <v>499</v>
      </c>
      <c r="N6564" s="30" t="s">
        <v>500</v>
      </c>
      <c r="P6564" s="30" t="s">
        <v>13694</v>
      </c>
      <c r="Q6564" t="s">
        <v>622</v>
      </c>
      <c r="R6564" t="s">
        <v>920</v>
      </c>
      <c r="S6564">
        <v>39</v>
      </c>
      <c r="T6564" s="29" t="str">
        <f t="shared" si="290"/>
        <v>2023.015P.Geminiviridae_rename_sp.zip</v>
      </c>
      <c r="U6564" s="29" t="str">
        <f>HYPERLINK("https://ictv.global/taxonomy/taxondetails?taxnode_id=202303443","ictv.global=202303443")</f>
        <v>ictv.global=202303443</v>
      </c>
    </row>
    <row r="6565" spans="1:21">
      <c r="A6565">
        <v>6564</v>
      </c>
      <c r="B6565" s="30" t="s">
        <v>1956</v>
      </c>
      <c r="D6565" s="30" t="s">
        <v>1985</v>
      </c>
      <c r="F6565" s="30" t="s">
        <v>2009</v>
      </c>
      <c r="H6565" s="30" t="s">
        <v>2018</v>
      </c>
      <c r="J6565" s="30" t="s">
        <v>2019</v>
      </c>
      <c r="L6565" s="30" t="s">
        <v>499</v>
      </c>
      <c r="N6565" s="30" t="s">
        <v>500</v>
      </c>
      <c r="P6565" s="30" t="s">
        <v>13695</v>
      </c>
      <c r="Q6565" t="s">
        <v>622</v>
      </c>
      <c r="R6565" t="s">
        <v>920</v>
      </c>
      <c r="S6565">
        <v>39</v>
      </c>
      <c r="T6565" s="29" t="str">
        <f t="shared" si="290"/>
        <v>2023.015P.Geminiviridae_rename_sp.zip</v>
      </c>
      <c r="U6565" s="29" t="str">
        <f>HYPERLINK("https://ictv.global/taxonomy/taxondetails?taxnode_id=202303462","ictv.global=202303462")</f>
        <v>ictv.global=202303462</v>
      </c>
    </row>
    <row r="6566" spans="1:21">
      <c r="A6566">
        <v>6565</v>
      </c>
      <c r="B6566" s="30" t="s">
        <v>1956</v>
      </c>
      <c r="D6566" s="30" t="s">
        <v>1985</v>
      </c>
      <c r="F6566" s="30" t="s">
        <v>2009</v>
      </c>
      <c r="H6566" s="30" t="s">
        <v>2018</v>
      </c>
      <c r="J6566" s="30" t="s">
        <v>2019</v>
      </c>
      <c r="L6566" s="30" t="s">
        <v>499</v>
      </c>
      <c r="N6566" s="30" t="s">
        <v>500</v>
      </c>
      <c r="P6566" s="30" t="s">
        <v>13696</v>
      </c>
      <c r="Q6566" t="s">
        <v>622</v>
      </c>
      <c r="R6566" t="s">
        <v>920</v>
      </c>
      <c r="S6566">
        <v>39</v>
      </c>
      <c r="T6566" s="29" t="str">
        <f t="shared" si="290"/>
        <v>2023.015P.Geminiviridae_rename_sp.zip</v>
      </c>
      <c r="U6566" s="29" t="str">
        <f>HYPERLINK("https://ictv.global/taxonomy/taxondetails?taxnode_id=202303421","ictv.global=202303421")</f>
        <v>ictv.global=202303421</v>
      </c>
    </row>
    <row r="6567" spans="1:21">
      <c r="A6567">
        <v>6566</v>
      </c>
      <c r="B6567" s="30" t="s">
        <v>1956</v>
      </c>
      <c r="D6567" s="30" t="s">
        <v>1985</v>
      </c>
      <c r="F6567" s="30" t="s">
        <v>2009</v>
      </c>
      <c r="H6567" s="30" t="s">
        <v>2018</v>
      </c>
      <c r="J6567" s="30" t="s">
        <v>2019</v>
      </c>
      <c r="L6567" s="30" t="s">
        <v>499</v>
      </c>
      <c r="N6567" s="30" t="s">
        <v>500</v>
      </c>
      <c r="P6567" s="30" t="s">
        <v>13697</v>
      </c>
      <c r="Q6567" t="s">
        <v>622</v>
      </c>
      <c r="R6567" t="s">
        <v>920</v>
      </c>
      <c r="S6567">
        <v>39</v>
      </c>
      <c r="T6567" s="29" t="str">
        <f t="shared" si="290"/>
        <v>2023.015P.Geminiviridae_rename_sp.zip</v>
      </c>
      <c r="U6567" s="29" t="str">
        <f>HYPERLINK("https://ictv.global/taxonomy/taxondetails?taxnode_id=202303402","ictv.global=202303402")</f>
        <v>ictv.global=202303402</v>
      </c>
    </row>
    <row r="6568" spans="1:21">
      <c r="A6568">
        <v>6567</v>
      </c>
      <c r="B6568" s="30" t="s">
        <v>1956</v>
      </c>
      <c r="D6568" s="30" t="s">
        <v>1985</v>
      </c>
      <c r="F6568" s="30" t="s">
        <v>2009</v>
      </c>
      <c r="H6568" s="30" t="s">
        <v>2018</v>
      </c>
      <c r="J6568" s="30" t="s">
        <v>2019</v>
      </c>
      <c r="L6568" s="30" t="s">
        <v>499</v>
      </c>
      <c r="N6568" s="30" t="s">
        <v>500</v>
      </c>
      <c r="P6568" s="30" t="s">
        <v>13698</v>
      </c>
      <c r="Q6568" t="s">
        <v>622</v>
      </c>
      <c r="R6568" t="s">
        <v>920</v>
      </c>
      <c r="S6568">
        <v>39</v>
      </c>
      <c r="T6568" s="29" t="str">
        <f t="shared" si="290"/>
        <v>2023.015P.Geminiviridae_rename_sp.zip</v>
      </c>
      <c r="U6568" s="29" t="str">
        <f>HYPERLINK("https://ictv.global/taxonomy/taxondetails?taxnode_id=202303212","ictv.global=202303212")</f>
        <v>ictv.global=202303212</v>
      </c>
    </row>
    <row r="6569" spans="1:21">
      <c r="A6569">
        <v>6568</v>
      </c>
      <c r="B6569" s="30" t="s">
        <v>1956</v>
      </c>
      <c r="D6569" s="30" t="s">
        <v>1985</v>
      </c>
      <c r="F6569" s="30" t="s">
        <v>2009</v>
      </c>
      <c r="H6569" s="30" t="s">
        <v>2018</v>
      </c>
      <c r="J6569" s="30" t="s">
        <v>2019</v>
      </c>
      <c r="L6569" s="30" t="s">
        <v>499</v>
      </c>
      <c r="N6569" s="30" t="s">
        <v>500</v>
      </c>
      <c r="P6569" s="30" t="s">
        <v>13699</v>
      </c>
      <c r="Q6569" t="s">
        <v>622</v>
      </c>
      <c r="R6569" t="s">
        <v>920</v>
      </c>
      <c r="S6569">
        <v>39</v>
      </c>
      <c r="T6569" s="29" t="str">
        <f t="shared" si="290"/>
        <v>2023.015P.Geminiviridae_rename_sp.zip</v>
      </c>
      <c r="U6569" s="29" t="str">
        <f>HYPERLINK("https://ictv.global/taxonomy/taxondetails?taxnode_id=202303481","ictv.global=202303481")</f>
        <v>ictv.global=202303481</v>
      </c>
    </row>
    <row r="6570" spans="1:21">
      <c r="A6570">
        <v>6569</v>
      </c>
      <c r="B6570" s="30" t="s">
        <v>1956</v>
      </c>
      <c r="D6570" s="30" t="s">
        <v>1985</v>
      </c>
      <c r="F6570" s="30" t="s">
        <v>2009</v>
      </c>
      <c r="H6570" s="30" t="s">
        <v>2018</v>
      </c>
      <c r="J6570" s="30" t="s">
        <v>2019</v>
      </c>
      <c r="L6570" s="30" t="s">
        <v>499</v>
      </c>
      <c r="N6570" s="30" t="s">
        <v>500</v>
      </c>
      <c r="P6570" s="30" t="s">
        <v>13700</v>
      </c>
      <c r="Q6570" t="s">
        <v>622</v>
      </c>
      <c r="R6570" t="s">
        <v>920</v>
      </c>
      <c r="S6570">
        <v>39</v>
      </c>
      <c r="T6570" s="29" t="str">
        <f t="shared" si="290"/>
        <v>2023.015P.Geminiviridae_rename_sp.zip</v>
      </c>
      <c r="U6570" s="29" t="str">
        <f>HYPERLINK("https://ictv.global/taxonomy/taxondetails?taxnode_id=202303474","ictv.global=202303474")</f>
        <v>ictv.global=202303474</v>
      </c>
    </row>
    <row r="6571" spans="1:21">
      <c r="A6571">
        <v>6570</v>
      </c>
      <c r="B6571" s="30" t="s">
        <v>1956</v>
      </c>
      <c r="D6571" s="30" t="s">
        <v>1985</v>
      </c>
      <c r="F6571" s="30" t="s">
        <v>2009</v>
      </c>
      <c r="H6571" s="30" t="s">
        <v>2018</v>
      </c>
      <c r="J6571" s="30" t="s">
        <v>2019</v>
      </c>
      <c r="L6571" s="30" t="s">
        <v>499</v>
      </c>
      <c r="N6571" s="30" t="s">
        <v>500</v>
      </c>
      <c r="P6571" s="30" t="s">
        <v>13701</v>
      </c>
      <c r="Q6571" t="s">
        <v>622</v>
      </c>
      <c r="R6571" t="s">
        <v>920</v>
      </c>
      <c r="S6571">
        <v>39</v>
      </c>
      <c r="T6571" s="29" t="str">
        <f t="shared" si="290"/>
        <v>2023.015P.Geminiviridae_rename_sp.zip</v>
      </c>
      <c r="U6571" s="29" t="str">
        <f>HYPERLINK("https://ictv.global/taxonomy/taxondetails?taxnode_id=202303475","ictv.global=202303475")</f>
        <v>ictv.global=202303475</v>
      </c>
    </row>
    <row r="6572" spans="1:21">
      <c r="A6572">
        <v>6571</v>
      </c>
      <c r="B6572" s="30" t="s">
        <v>1956</v>
      </c>
      <c r="D6572" s="30" t="s">
        <v>1985</v>
      </c>
      <c r="F6572" s="30" t="s">
        <v>2009</v>
      </c>
      <c r="H6572" s="30" t="s">
        <v>2018</v>
      </c>
      <c r="J6572" s="30" t="s">
        <v>2019</v>
      </c>
      <c r="L6572" s="30" t="s">
        <v>499</v>
      </c>
      <c r="N6572" s="30" t="s">
        <v>500</v>
      </c>
      <c r="P6572" s="30" t="s">
        <v>13702</v>
      </c>
      <c r="Q6572" t="s">
        <v>622</v>
      </c>
      <c r="R6572" t="s">
        <v>920</v>
      </c>
      <c r="S6572">
        <v>39</v>
      </c>
      <c r="T6572" s="29" t="str">
        <f t="shared" si="290"/>
        <v>2023.015P.Geminiviridae_rename_sp.zip</v>
      </c>
      <c r="U6572" s="29" t="str">
        <f>HYPERLINK("https://ictv.global/taxonomy/taxondetails?taxnode_id=202303485","ictv.global=202303485")</f>
        <v>ictv.global=202303485</v>
      </c>
    </row>
    <row r="6573" spans="1:21">
      <c r="A6573">
        <v>6572</v>
      </c>
      <c r="B6573" s="30" t="s">
        <v>1956</v>
      </c>
      <c r="D6573" s="30" t="s">
        <v>1985</v>
      </c>
      <c r="F6573" s="30" t="s">
        <v>2009</v>
      </c>
      <c r="H6573" s="30" t="s">
        <v>2018</v>
      </c>
      <c r="J6573" s="30" t="s">
        <v>2019</v>
      </c>
      <c r="L6573" s="30" t="s">
        <v>499</v>
      </c>
      <c r="N6573" s="30" t="s">
        <v>500</v>
      </c>
      <c r="P6573" s="30" t="s">
        <v>13703</v>
      </c>
      <c r="Q6573" t="s">
        <v>739</v>
      </c>
      <c r="R6573" t="s">
        <v>920</v>
      </c>
      <c r="S6573">
        <v>39</v>
      </c>
      <c r="T6573" s="29" t="str">
        <f t="shared" si="290"/>
        <v>2023.015P.Geminiviridae_rename_sp.zip</v>
      </c>
      <c r="U6573" s="29" t="str">
        <f>HYPERLINK("https://ictv.global/taxonomy/taxondetails?taxnode_id=202309137","ictv.global=202309137")</f>
        <v>ictv.global=202309137</v>
      </c>
    </row>
    <row r="6574" spans="1:21">
      <c r="A6574">
        <v>6573</v>
      </c>
      <c r="B6574" s="30" t="s">
        <v>1956</v>
      </c>
      <c r="D6574" s="30" t="s">
        <v>1985</v>
      </c>
      <c r="F6574" s="30" t="s">
        <v>2009</v>
      </c>
      <c r="H6574" s="30" t="s">
        <v>2018</v>
      </c>
      <c r="J6574" s="30" t="s">
        <v>2019</v>
      </c>
      <c r="L6574" s="30" t="s">
        <v>499</v>
      </c>
      <c r="N6574" s="30" t="s">
        <v>500</v>
      </c>
      <c r="P6574" s="30" t="s">
        <v>13704</v>
      </c>
      <c r="Q6574" t="s">
        <v>622</v>
      </c>
      <c r="R6574" t="s">
        <v>920</v>
      </c>
      <c r="S6574">
        <v>39</v>
      </c>
      <c r="T6574" s="29" t="str">
        <f t="shared" si="290"/>
        <v>2023.015P.Geminiviridae_rename_sp.zip</v>
      </c>
      <c r="U6574" s="29" t="str">
        <f>HYPERLINK("https://ictv.global/taxonomy/taxondetails?taxnode_id=202303476","ictv.global=202303476")</f>
        <v>ictv.global=202303476</v>
      </c>
    </row>
    <row r="6575" spans="1:21">
      <c r="A6575">
        <v>6574</v>
      </c>
      <c r="B6575" s="30" t="s">
        <v>1956</v>
      </c>
      <c r="D6575" s="30" t="s">
        <v>1985</v>
      </c>
      <c r="F6575" s="30" t="s">
        <v>2009</v>
      </c>
      <c r="H6575" s="30" t="s">
        <v>2018</v>
      </c>
      <c r="J6575" s="30" t="s">
        <v>2019</v>
      </c>
      <c r="L6575" s="30" t="s">
        <v>499</v>
      </c>
      <c r="N6575" s="30" t="s">
        <v>500</v>
      </c>
      <c r="P6575" s="30" t="s">
        <v>13705</v>
      </c>
      <c r="Q6575" t="s">
        <v>622</v>
      </c>
      <c r="R6575" t="s">
        <v>920</v>
      </c>
      <c r="S6575">
        <v>39</v>
      </c>
      <c r="T6575" s="29" t="str">
        <f t="shared" si="290"/>
        <v>2023.015P.Geminiviridae_rename_sp.zip</v>
      </c>
      <c r="U6575" s="29" t="str">
        <f>HYPERLINK("https://ictv.global/taxonomy/taxondetails?taxnode_id=202305840","ictv.global=202305840")</f>
        <v>ictv.global=202305840</v>
      </c>
    </row>
    <row r="6576" spans="1:21">
      <c r="A6576">
        <v>6575</v>
      </c>
      <c r="B6576" s="30" t="s">
        <v>1956</v>
      </c>
      <c r="D6576" s="30" t="s">
        <v>1985</v>
      </c>
      <c r="F6576" s="30" t="s">
        <v>2009</v>
      </c>
      <c r="H6576" s="30" t="s">
        <v>2018</v>
      </c>
      <c r="J6576" s="30" t="s">
        <v>2019</v>
      </c>
      <c r="L6576" s="30" t="s">
        <v>499</v>
      </c>
      <c r="N6576" s="30" t="s">
        <v>500</v>
      </c>
      <c r="P6576" s="30" t="s">
        <v>13706</v>
      </c>
      <c r="Q6576" t="s">
        <v>622</v>
      </c>
      <c r="R6576" t="s">
        <v>920</v>
      </c>
      <c r="S6576">
        <v>39</v>
      </c>
      <c r="T6576" s="29" t="str">
        <f t="shared" si="290"/>
        <v>2023.015P.Geminiviridae_rename_sp.zip</v>
      </c>
      <c r="U6576" s="29" t="str">
        <f>HYPERLINK("https://ictv.global/taxonomy/taxondetails?taxnode_id=202303477","ictv.global=202303477")</f>
        <v>ictv.global=202303477</v>
      </c>
    </row>
    <row r="6577" spans="1:21">
      <c r="A6577">
        <v>6576</v>
      </c>
      <c r="B6577" s="30" t="s">
        <v>1956</v>
      </c>
      <c r="D6577" s="30" t="s">
        <v>1985</v>
      </c>
      <c r="F6577" s="30" t="s">
        <v>2009</v>
      </c>
      <c r="H6577" s="30" t="s">
        <v>2018</v>
      </c>
      <c r="J6577" s="30" t="s">
        <v>2019</v>
      </c>
      <c r="L6577" s="30" t="s">
        <v>499</v>
      </c>
      <c r="N6577" s="30" t="s">
        <v>500</v>
      </c>
      <c r="P6577" s="30" t="s">
        <v>13707</v>
      </c>
      <c r="Q6577" t="s">
        <v>622</v>
      </c>
      <c r="R6577" t="s">
        <v>920</v>
      </c>
      <c r="S6577">
        <v>39</v>
      </c>
      <c r="T6577" s="29" t="str">
        <f t="shared" si="290"/>
        <v>2023.015P.Geminiviridae_rename_sp.zip</v>
      </c>
      <c r="U6577" s="29" t="str">
        <f>HYPERLINK("https://ictv.global/taxonomy/taxondetails?taxnode_id=202303478","ictv.global=202303478")</f>
        <v>ictv.global=202303478</v>
      </c>
    </row>
    <row r="6578" spans="1:21">
      <c r="A6578">
        <v>6577</v>
      </c>
      <c r="B6578" s="30" t="s">
        <v>1956</v>
      </c>
      <c r="D6578" s="30" t="s">
        <v>1985</v>
      </c>
      <c r="F6578" s="30" t="s">
        <v>2009</v>
      </c>
      <c r="H6578" s="30" t="s">
        <v>2018</v>
      </c>
      <c r="J6578" s="30" t="s">
        <v>2019</v>
      </c>
      <c r="L6578" s="30" t="s">
        <v>499</v>
      </c>
      <c r="N6578" s="30" t="s">
        <v>500</v>
      </c>
      <c r="P6578" s="30" t="s">
        <v>13708</v>
      </c>
      <c r="Q6578" t="s">
        <v>622</v>
      </c>
      <c r="R6578" t="s">
        <v>920</v>
      </c>
      <c r="S6578">
        <v>39</v>
      </c>
      <c r="T6578" s="29" t="str">
        <f t="shared" si="290"/>
        <v>2023.015P.Geminiviridae_rename_sp.zip</v>
      </c>
      <c r="U6578" s="29" t="str">
        <f>HYPERLINK("https://ictv.global/taxonomy/taxondetails?taxnode_id=202303488","ictv.global=202303488")</f>
        <v>ictv.global=202303488</v>
      </c>
    </row>
    <row r="6579" spans="1:21">
      <c r="A6579">
        <v>6578</v>
      </c>
      <c r="B6579" s="30" t="s">
        <v>1956</v>
      </c>
      <c r="D6579" s="30" t="s">
        <v>1985</v>
      </c>
      <c r="F6579" s="30" t="s">
        <v>2009</v>
      </c>
      <c r="H6579" s="30" t="s">
        <v>2018</v>
      </c>
      <c r="J6579" s="30" t="s">
        <v>2019</v>
      </c>
      <c r="L6579" s="30" t="s">
        <v>499</v>
      </c>
      <c r="N6579" s="30" t="s">
        <v>500</v>
      </c>
      <c r="P6579" s="30" t="s">
        <v>13709</v>
      </c>
      <c r="Q6579" t="s">
        <v>622</v>
      </c>
      <c r="R6579" t="s">
        <v>920</v>
      </c>
      <c r="S6579">
        <v>39</v>
      </c>
      <c r="T6579" s="29" t="str">
        <f t="shared" si="290"/>
        <v>2023.015P.Geminiviridae_rename_sp.zip</v>
      </c>
      <c r="U6579" s="29" t="str">
        <f>HYPERLINK("https://ictv.global/taxonomy/taxondetails?taxnode_id=202303479","ictv.global=202303479")</f>
        <v>ictv.global=202303479</v>
      </c>
    </row>
    <row r="6580" spans="1:21">
      <c r="A6580">
        <v>6579</v>
      </c>
      <c r="B6580" s="30" t="s">
        <v>1956</v>
      </c>
      <c r="D6580" s="30" t="s">
        <v>1985</v>
      </c>
      <c r="F6580" s="30" t="s">
        <v>2009</v>
      </c>
      <c r="H6580" s="30" t="s">
        <v>2018</v>
      </c>
      <c r="J6580" s="30" t="s">
        <v>2019</v>
      </c>
      <c r="L6580" s="30" t="s">
        <v>499</v>
      </c>
      <c r="N6580" s="30" t="s">
        <v>500</v>
      </c>
      <c r="P6580" s="30" t="s">
        <v>13710</v>
      </c>
      <c r="Q6580" t="s">
        <v>622</v>
      </c>
      <c r="R6580" t="s">
        <v>920</v>
      </c>
      <c r="S6580">
        <v>39</v>
      </c>
      <c r="T6580" s="29" t="str">
        <f t="shared" si="290"/>
        <v>2023.015P.Geminiviridae_rename_sp.zip</v>
      </c>
      <c r="U6580" s="29" t="str">
        <f>HYPERLINK("https://ictv.global/taxonomy/taxondetails?taxnode_id=202303480","ictv.global=202303480")</f>
        <v>ictv.global=202303480</v>
      </c>
    </row>
    <row r="6581" spans="1:21">
      <c r="A6581">
        <v>6580</v>
      </c>
      <c r="B6581" s="30" t="s">
        <v>1956</v>
      </c>
      <c r="D6581" s="30" t="s">
        <v>1985</v>
      </c>
      <c r="F6581" s="30" t="s">
        <v>2009</v>
      </c>
      <c r="H6581" s="30" t="s">
        <v>2018</v>
      </c>
      <c r="J6581" s="30" t="s">
        <v>2019</v>
      </c>
      <c r="L6581" s="30" t="s">
        <v>499</v>
      </c>
      <c r="N6581" s="30" t="s">
        <v>500</v>
      </c>
      <c r="P6581" s="30" t="s">
        <v>13711</v>
      </c>
      <c r="Q6581" t="s">
        <v>622</v>
      </c>
      <c r="R6581" t="s">
        <v>920</v>
      </c>
      <c r="S6581">
        <v>39</v>
      </c>
      <c r="T6581" s="29" t="str">
        <f t="shared" si="290"/>
        <v>2023.015P.Geminiviridae_rename_sp.zip</v>
      </c>
      <c r="U6581" s="29" t="str">
        <f>HYPERLINK("https://ictv.global/taxonomy/taxondetails?taxnode_id=202303486","ictv.global=202303486")</f>
        <v>ictv.global=202303486</v>
      </c>
    </row>
    <row r="6582" spans="1:21">
      <c r="A6582">
        <v>6581</v>
      </c>
      <c r="B6582" s="30" t="s">
        <v>1956</v>
      </c>
      <c r="D6582" s="30" t="s">
        <v>1985</v>
      </c>
      <c r="F6582" s="30" t="s">
        <v>2009</v>
      </c>
      <c r="H6582" s="30" t="s">
        <v>2018</v>
      </c>
      <c r="J6582" s="30" t="s">
        <v>2019</v>
      </c>
      <c r="L6582" s="30" t="s">
        <v>499</v>
      </c>
      <c r="N6582" s="30" t="s">
        <v>500</v>
      </c>
      <c r="P6582" s="30" t="s">
        <v>13712</v>
      </c>
      <c r="Q6582" t="s">
        <v>622</v>
      </c>
      <c r="R6582" t="s">
        <v>920</v>
      </c>
      <c r="S6582">
        <v>39</v>
      </c>
      <c r="T6582" s="29" t="str">
        <f t="shared" si="290"/>
        <v>2023.015P.Geminiviridae_rename_sp.zip</v>
      </c>
      <c r="U6582" s="29" t="str">
        <f>HYPERLINK("https://ictv.global/taxonomy/taxondetails?taxnode_id=202303482","ictv.global=202303482")</f>
        <v>ictv.global=202303482</v>
      </c>
    </row>
    <row r="6583" spans="1:21">
      <c r="A6583">
        <v>6582</v>
      </c>
      <c r="B6583" s="30" t="s">
        <v>1956</v>
      </c>
      <c r="D6583" s="30" t="s">
        <v>1985</v>
      </c>
      <c r="F6583" s="30" t="s">
        <v>2009</v>
      </c>
      <c r="H6583" s="30" t="s">
        <v>2018</v>
      </c>
      <c r="J6583" s="30" t="s">
        <v>2019</v>
      </c>
      <c r="L6583" s="30" t="s">
        <v>499</v>
      </c>
      <c r="N6583" s="30" t="s">
        <v>500</v>
      </c>
      <c r="P6583" s="30" t="s">
        <v>13713</v>
      </c>
      <c r="Q6583" t="s">
        <v>622</v>
      </c>
      <c r="R6583" t="s">
        <v>920</v>
      </c>
      <c r="S6583">
        <v>39</v>
      </c>
      <c r="T6583" s="29" t="str">
        <f t="shared" si="290"/>
        <v>2023.015P.Geminiviridae_rename_sp.zip</v>
      </c>
      <c r="U6583" s="29" t="str">
        <f>HYPERLINK("https://ictv.global/taxonomy/taxondetails?taxnode_id=202303487","ictv.global=202303487")</f>
        <v>ictv.global=202303487</v>
      </c>
    </row>
    <row r="6584" spans="1:21">
      <c r="A6584">
        <v>6583</v>
      </c>
      <c r="B6584" s="30" t="s">
        <v>1956</v>
      </c>
      <c r="D6584" s="30" t="s">
        <v>1985</v>
      </c>
      <c r="F6584" s="30" t="s">
        <v>2009</v>
      </c>
      <c r="H6584" s="30" t="s">
        <v>2018</v>
      </c>
      <c r="J6584" s="30" t="s">
        <v>2019</v>
      </c>
      <c r="L6584" s="30" t="s">
        <v>499</v>
      </c>
      <c r="N6584" s="30" t="s">
        <v>500</v>
      </c>
      <c r="P6584" s="30" t="s">
        <v>13714</v>
      </c>
      <c r="Q6584" t="s">
        <v>622</v>
      </c>
      <c r="R6584" t="s">
        <v>920</v>
      </c>
      <c r="S6584">
        <v>39</v>
      </c>
      <c r="T6584" s="29" t="str">
        <f t="shared" si="290"/>
        <v>2023.015P.Geminiviridae_rename_sp.zip</v>
      </c>
      <c r="U6584" s="29" t="str">
        <f>HYPERLINK("https://ictv.global/taxonomy/taxondetails?taxnode_id=202303489","ictv.global=202303489")</f>
        <v>ictv.global=202303489</v>
      </c>
    </row>
    <row r="6585" spans="1:21">
      <c r="A6585">
        <v>6584</v>
      </c>
      <c r="B6585" s="30" t="s">
        <v>1956</v>
      </c>
      <c r="D6585" s="30" t="s">
        <v>1985</v>
      </c>
      <c r="F6585" s="30" t="s">
        <v>2009</v>
      </c>
      <c r="H6585" s="30" t="s">
        <v>2018</v>
      </c>
      <c r="J6585" s="30" t="s">
        <v>2019</v>
      </c>
      <c r="L6585" s="30" t="s">
        <v>499</v>
      </c>
      <c r="N6585" s="30" t="s">
        <v>500</v>
      </c>
      <c r="P6585" s="30" t="s">
        <v>13715</v>
      </c>
      <c r="Q6585" t="s">
        <v>622</v>
      </c>
      <c r="R6585" t="s">
        <v>920</v>
      </c>
      <c r="S6585">
        <v>39</v>
      </c>
      <c r="T6585" s="29" t="str">
        <f t="shared" si="290"/>
        <v>2023.015P.Geminiviridae_rename_sp.zip</v>
      </c>
      <c r="U6585" s="29" t="str">
        <f>HYPERLINK("https://ictv.global/taxonomy/taxondetails?taxnode_id=202303483","ictv.global=202303483")</f>
        <v>ictv.global=202303483</v>
      </c>
    </row>
    <row r="6586" spans="1:21">
      <c r="A6586">
        <v>6585</v>
      </c>
      <c r="B6586" s="30" t="s">
        <v>1956</v>
      </c>
      <c r="D6586" s="30" t="s">
        <v>1985</v>
      </c>
      <c r="F6586" s="30" t="s">
        <v>2009</v>
      </c>
      <c r="H6586" s="30" t="s">
        <v>2018</v>
      </c>
      <c r="J6586" s="30" t="s">
        <v>2019</v>
      </c>
      <c r="L6586" s="30" t="s">
        <v>499</v>
      </c>
      <c r="N6586" s="30" t="s">
        <v>500</v>
      </c>
      <c r="P6586" s="30" t="s">
        <v>13716</v>
      </c>
      <c r="Q6586" t="s">
        <v>622</v>
      </c>
      <c r="R6586" t="s">
        <v>920</v>
      </c>
      <c r="S6586">
        <v>39</v>
      </c>
      <c r="T6586" s="29" t="str">
        <f t="shared" si="290"/>
        <v>2023.015P.Geminiviridae_rename_sp.zip</v>
      </c>
      <c r="U6586" s="29" t="str">
        <f>HYPERLINK("https://ictv.global/taxonomy/taxondetails?taxnode_id=202305841","ictv.global=202305841")</f>
        <v>ictv.global=202305841</v>
      </c>
    </row>
    <row r="6587" spans="1:21">
      <c r="A6587">
        <v>6586</v>
      </c>
      <c r="B6587" s="30" t="s">
        <v>1956</v>
      </c>
      <c r="D6587" s="30" t="s">
        <v>1985</v>
      </c>
      <c r="F6587" s="30" t="s">
        <v>2009</v>
      </c>
      <c r="H6587" s="30" t="s">
        <v>2018</v>
      </c>
      <c r="J6587" s="30" t="s">
        <v>2019</v>
      </c>
      <c r="L6587" s="30" t="s">
        <v>499</v>
      </c>
      <c r="N6587" s="30" t="s">
        <v>500</v>
      </c>
      <c r="P6587" s="30" t="s">
        <v>13717</v>
      </c>
      <c r="Q6587" t="s">
        <v>622</v>
      </c>
      <c r="R6587" t="s">
        <v>920</v>
      </c>
      <c r="S6587">
        <v>39</v>
      </c>
      <c r="T6587" s="29" t="str">
        <f t="shared" si="290"/>
        <v>2023.015P.Geminiviridae_rename_sp.zip</v>
      </c>
      <c r="U6587" s="29" t="str">
        <f>HYPERLINK("https://ictv.global/taxonomy/taxondetails?taxnode_id=202303422","ictv.global=202303422")</f>
        <v>ictv.global=202303422</v>
      </c>
    </row>
    <row r="6588" spans="1:21">
      <c r="A6588">
        <v>6587</v>
      </c>
      <c r="B6588" s="30" t="s">
        <v>1956</v>
      </c>
      <c r="D6588" s="30" t="s">
        <v>1985</v>
      </c>
      <c r="F6588" s="30" t="s">
        <v>2009</v>
      </c>
      <c r="H6588" s="30" t="s">
        <v>2018</v>
      </c>
      <c r="J6588" s="30" t="s">
        <v>2019</v>
      </c>
      <c r="L6588" s="30" t="s">
        <v>499</v>
      </c>
      <c r="N6588" s="30" t="s">
        <v>500</v>
      </c>
      <c r="P6588" s="30" t="s">
        <v>13718</v>
      </c>
      <c r="Q6588" t="s">
        <v>622</v>
      </c>
      <c r="R6588" t="s">
        <v>920</v>
      </c>
      <c r="S6588">
        <v>39</v>
      </c>
      <c r="T6588" s="29" t="str">
        <f t="shared" si="290"/>
        <v>2023.015P.Geminiviridae_rename_sp.zip</v>
      </c>
      <c r="U6588" s="29" t="str">
        <f>HYPERLINK("https://ictv.global/taxonomy/taxondetails?taxnode_id=202303423","ictv.global=202303423")</f>
        <v>ictv.global=202303423</v>
      </c>
    </row>
    <row r="6589" spans="1:21">
      <c r="A6589">
        <v>6588</v>
      </c>
      <c r="B6589" s="30" t="s">
        <v>1956</v>
      </c>
      <c r="D6589" s="30" t="s">
        <v>1985</v>
      </c>
      <c r="F6589" s="30" t="s">
        <v>2009</v>
      </c>
      <c r="H6589" s="30" t="s">
        <v>2018</v>
      </c>
      <c r="J6589" s="30" t="s">
        <v>2019</v>
      </c>
      <c r="L6589" s="30" t="s">
        <v>499</v>
      </c>
      <c r="N6589" s="30" t="s">
        <v>500</v>
      </c>
      <c r="P6589" s="30" t="s">
        <v>13719</v>
      </c>
      <c r="Q6589" t="s">
        <v>622</v>
      </c>
      <c r="R6589" t="s">
        <v>920</v>
      </c>
      <c r="S6589">
        <v>39</v>
      </c>
      <c r="T6589" s="29" t="str">
        <f t="shared" si="290"/>
        <v>2023.015P.Geminiviridae_rename_sp.zip</v>
      </c>
      <c r="U6589" s="29" t="str">
        <f>HYPERLINK("https://ictv.global/taxonomy/taxondetails?taxnode_id=202303424","ictv.global=202303424")</f>
        <v>ictv.global=202303424</v>
      </c>
    </row>
    <row r="6590" spans="1:21">
      <c r="A6590">
        <v>6589</v>
      </c>
      <c r="B6590" s="30" t="s">
        <v>1956</v>
      </c>
      <c r="D6590" s="30" t="s">
        <v>1985</v>
      </c>
      <c r="F6590" s="30" t="s">
        <v>2009</v>
      </c>
      <c r="H6590" s="30" t="s">
        <v>2018</v>
      </c>
      <c r="J6590" s="30" t="s">
        <v>2019</v>
      </c>
      <c r="L6590" s="30" t="s">
        <v>499</v>
      </c>
      <c r="N6590" s="30" t="s">
        <v>500</v>
      </c>
      <c r="P6590" s="30" t="s">
        <v>13720</v>
      </c>
      <c r="Q6590" t="s">
        <v>622</v>
      </c>
      <c r="R6590" t="s">
        <v>920</v>
      </c>
      <c r="S6590">
        <v>39</v>
      </c>
      <c r="T6590" s="29" t="str">
        <f t="shared" si="290"/>
        <v>2023.015P.Geminiviridae_rename_sp.zip</v>
      </c>
      <c r="U6590" s="29" t="str">
        <f>HYPERLINK("https://ictv.global/taxonomy/taxondetails?taxnode_id=202303425","ictv.global=202303425")</f>
        <v>ictv.global=202303425</v>
      </c>
    </row>
    <row r="6591" spans="1:21">
      <c r="A6591">
        <v>6590</v>
      </c>
      <c r="B6591" s="30" t="s">
        <v>1956</v>
      </c>
      <c r="D6591" s="30" t="s">
        <v>1985</v>
      </c>
      <c r="F6591" s="30" t="s">
        <v>2009</v>
      </c>
      <c r="H6591" s="30" t="s">
        <v>2018</v>
      </c>
      <c r="J6591" s="30" t="s">
        <v>2019</v>
      </c>
      <c r="L6591" s="30" t="s">
        <v>499</v>
      </c>
      <c r="N6591" s="30" t="s">
        <v>500</v>
      </c>
      <c r="P6591" s="30" t="s">
        <v>13721</v>
      </c>
      <c r="Q6591" t="s">
        <v>622</v>
      </c>
      <c r="R6591" t="s">
        <v>920</v>
      </c>
      <c r="S6591">
        <v>39</v>
      </c>
      <c r="T6591" s="29" t="str">
        <f t="shared" si="290"/>
        <v>2023.015P.Geminiviridae_rename_sp.zip</v>
      </c>
      <c r="U6591" s="29" t="str">
        <f>HYPERLINK("https://ictv.global/taxonomy/taxondetails?taxnode_id=202303426","ictv.global=202303426")</f>
        <v>ictv.global=202303426</v>
      </c>
    </row>
    <row r="6592" spans="1:21">
      <c r="A6592">
        <v>6591</v>
      </c>
      <c r="B6592" s="30" t="s">
        <v>1956</v>
      </c>
      <c r="D6592" s="30" t="s">
        <v>1985</v>
      </c>
      <c r="F6592" s="30" t="s">
        <v>2009</v>
      </c>
      <c r="H6592" s="30" t="s">
        <v>2018</v>
      </c>
      <c r="J6592" s="30" t="s">
        <v>2019</v>
      </c>
      <c r="L6592" s="30" t="s">
        <v>499</v>
      </c>
      <c r="N6592" s="30" t="s">
        <v>500</v>
      </c>
      <c r="P6592" s="30" t="s">
        <v>13722</v>
      </c>
      <c r="Q6592" t="s">
        <v>622</v>
      </c>
      <c r="R6592" t="s">
        <v>920</v>
      </c>
      <c r="S6592">
        <v>39</v>
      </c>
      <c r="T6592" s="29" t="str">
        <f t="shared" si="290"/>
        <v>2023.015P.Geminiviridae_rename_sp.zip</v>
      </c>
      <c r="U6592" s="29" t="str">
        <f>HYPERLINK("https://ictv.global/taxonomy/taxondetails?taxnode_id=202303427","ictv.global=202303427")</f>
        <v>ictv.global=202303427</v>
      </c>
    </row>
    <row r="6593" spans="1:21">
      <c r="A6593">
        <v>6592</v>
      </c>
      <c r="B6593" s="30" t="s">
        <v>1956</v>
      </c>
      <c r="D6593" s="30" t="s">
        <v>1985</v>
      </c>
      <c r="F6593" s="30" t="s">
        <v>2009</v>
      </c>
      <c r="H6593" s="30" t="s">
        <v>2018</v>
      </c>
      <c r="J6593" s="30" t="s">
        <v>2019</v>
      </c>
      <c r="L6593" s="30" t="s">
        <v>499</v>
      </c>
      <c r="N6593" s="30" t="s">
        <v>500</v>
      </c>
      <c r="P6593" s="30" t="s">
        <v>13723</v>
      </c>
      <c r="Q6593" t="s">
        <v>622</v>
      </c>
      <c r="R6593" t="s">
        <v>920</v>
      </c>
      <c r="S6593">
        <v>39</v>
      </c>
      <c r="T6593" s="29" t="str">
        <f t="shared" si="290"/>
        <v>2023.015P.Geminiviridae_rename_sp.zip</v>
      </c>
      <c r="U6593" s="29" t="str">
        <f>HYPERLINK("https://ictv.global/taxonomy/taxondetails?taxnode_id=202303466","ictv.global=202303466")</f>
        <v>ictv.global=202303466</v>
      </c>
    </row>
    <row r="6594" spans="1:21">
      <c r="A6594">
        <v>6593</v>
      </c>
      <c r="B6594" s="30" t="s">
        <v>1956</v>
      </c>
      <c r="D6594" s="30" t="s">
        <v>1985</v>
      </c>
      <c r="F6594" s="30" t="s">
        <v>2009</v>
      </c>
      <c r="H6594" s="30" t="s">
        <v>2018</v>
      </c>
      <c r="J6594" s="30" t="s">
        <v>2019</v>
      </c>
      <c r="L6594" s="30" t="s">
        <v>499</v>
      </c>
      <c r="N6594" s="30" t="s">
        <v>500</v>
      </c>
      <c r="P6594" s="30" t="s">
        <v>13724</v>
      </c>
      <c r="Q6594" t="s">
        <v>622</v>
      </c>
      <c r="R6594" t="s">
        <v>920</v>
      </c>
      <c r="S6594">
        <v>39</v>
      </c>
      <c r="T6594" s="29" t="str">
        <f t="shared" si="290"/>
        <v>2023.015P.Geminiviridae_rename_sp.zip</v>
      </c>
      <c r="U6594" s="29" t="str">
        <f>HYPERLINK("https://ictv.global/taxonomy/taxondetails?taxnode_id=202303428","ictv.global=202303428")</f>
        <v>ictv.global=202303428</v>
      </c>
    </row>
    <row r="6595" spans="1:21">
      <c r="A6595">
        <v>6594</v>
      </c>
      <c r="B6595" s="30" t="s">
        <v>1956</v>
      </c>
      <c r="D6595" s="30" t="s">
        <v>1985</v>
      </c>
      <c r="F6595" s="30" t="s">
        <v>2009</v>
      </c>
      <c r="H6595" s="30" t="s">
        <v>2018</v>
      </c>
      <c r="J6595" s="30" t="s">
        <v>2019</v>
      </c>
      <c r="L6595" s="30" t="s">
        <v>499</v>
      </c>
      <c r="N6595" s="30" t="s">
        <v>500</v>
      </c>
      <c r="P6595" s="30" t="s">
        <v>13725</v>
      </c>
      <c r="Q6595" t="s">
        <v>622</v>
      </c>
      <c r="R6595" t="s">
        <v>920</v>
      </c>
      <c r="S6595">
        <v>39</v>
      </c>
      <c r="T6595" s="29" t="str">
        <f t="shared" si="290"/>
        <v>2023.015P.Geminiviridae_rename_sp.zip</v>
      </c>
      <c r="U6595" s="29" t="str">
        <f>HYPERLINK("https://ictv.global/taxonomy/taxondetails?taxnode_id=202303413","ictv.global=202303413")</f>
        <v>ictv.global=202303413</v>
      </c>
    </row>
    <row r="6596" spans="1:21">
      <c r="A6596">
        <v>6595</v>
      </c>
      <c r="B6596" s="30" t="s">
        <v>1956</v>
      </c>
      <c r="D6596" s="30" t="s">
        <v>1985</v>
      </c>
      <c r="F6596" s="30" t="s">
        <v>2009</v>
      </c>
      <c r="H6596" s="30" t="s">
        <v>2018</v>
      </c>
      <c r="J6596" s="30" t="s">
        <v>2019</v>
      </c>
      <c r="L6596" s="30" t="s">
        <v>499</v>
      </c>
      <c r="N6596" s="30" t="s">
        <v>500</v>
      </c>
      <c r="P6596" s="30" t="s">
        <v>13726</v>
      </c>
      <c r="Q6596" t="s">
        <v>622</v>
      </c>
      <c r="R6596" t="s">
        <v>920</v>
      </c>
      <c r="S6596">
        <v>39</v>
      </c>
      <c r="T6596" s="29" t="str">
        <f t="shared" si="290"/>
        <v>2023.015P.Geminiviridae_rename_sp.zip</v>
      </c>
      <c r="U6596" s="29" t="str">
        <f>HYPERLINK("https://ictv.global/taxonomy/taxondetails?taxnode_id=202303429","ictv.global=202303429")</f>
        <v>ictv.global=202303429</v>
      </c>
    </row>
    <row r="6597" spans="1:21">
      <c r="A6597">
        <v>6596</v>
      </c>
      <c r="B6597" s="30" t="s">
        <v>1956</v>
      </c>
      <c r="D6597" s="30" t="s">
        <v>1985</v>
      </c>
      <c r="F6597" s="30" t="s">
        <v>2009</v>
      </c>
      <c r="H6597" s="30" t="s">
        <v>2018</v>
      </c>
      <c r="J6597" s="30" t="s">
        <v>2019</v>
      </c>
      <c r="L6597" s="30" t="s">
        <v>499</v>
      </c>
      <c r="N6597" s="30" t="s">
        <v>500</v>
      </c>
      <c r="P6597" s="30" t="s">
        <v>13727</v>
      </c>
      <c r="Q6597" t="s">
        <v>622</v>
      </c>
      <c r="R6597" t="s">
        <v>920</v>
      </c>
      <c r="S6597">
        <v>39</v>
      </c>
      <c r="T6597" s="29" t="str">
        <f t="shared" si="290"/>
        <v>2023.015P.Geminiviridae_rename_sp.zip</v>
      </c>
      <c r="U6597" s="29" t="str">
        <f>HYPERLINK("https://ictv.global/taxonomy/taxondetails?taxnode_id=202306709","ictv.global=202306709")</f>
        <v>ictv.global=202306709</v>
      </c>
    </row>
    <row r="6598" spans="1:21">
      <c r="A6598">
        <v>6597</v>
      </c>
      <c r="B6598" s="30" t="s">
        <v>1956</v>
      </c>
      <c r="D6598" s="30" t="s">
        <v>1985</v>
      </c>
      <c r="F6598" s="30" t="s">
        <v>2009</v>
      </c>
      <c r="H6598" s="30" t="s">
        <v>2018</v>
      </c>
      <c r="J6598" s="30" t="s">
        <v>2019</v>
      </c>
      <c r="L6598" s="30" t="s">
        <v>499</v>
      </c>
      <c r="N6598" s="30" t="s">
        <v>500</v>
      </c>
      <c r="P6598" s="30" t="s">
        <v>13728</v>
      </c>
      <c r="Q6598" t="s">
        <v>622</v>
      </c>
      <c r="R6598" t="s">
        <v>920</v>
      </c>
      <c r="S6598">
        <v>39</v>
      </c>
      <c r="T6598" s="29" t="str">
        <f t="shared" si="290"/>
        <v>2023.015P.Geminiviridae_rename_sp.zip</v>
      </c>
      <c r="U6598" s="29" t="str">
        <f>HYPERLINK("https://ictv.global/taxonomy/taxondetails?taxnode_id=202303430","ictv.global=202303430")</f>
        <v>ictv.global=202303430</v>
      </c>
    </row>
    <row r="6599" spans="1:21">
      <c r="A6599">
        <v>6598</v>
      </c>
      <c r="B6599" s="30" t="s">
        <v>1956</v>
      </c>
      <c r="D6599" s="30" t="s">
        <v>1985</v>
      </c>
      <c r="F6599" s="30" t="s">
        <v>2009</v>
      </c>
      <c r="H6599" s="30" t="s">
        <v>2018</v>
      </c>
      <c r="J6599" s="30" t="s">
        <v>2019</v>
      </c>
      <c r="L6599" s="30" t="s">
        <v>499</v>
      </c>
      <c r="N6599" s="30" t="s">
        <v>500</v>
      </c>
      <c r="P6599" s="30" t="s">
        <v>13729</v>
      </c>
      <c r="Q6599" t="s">
        <v>622</v>
      </c>
      <c r="R6599" t="s">
        <v>920</v>
      </c>
      <c r="S6599">
        <v>39</v>
      </c>
      <c r="T6599" s="29" t="str">
        <f t="shared" si="290"/>
        <v>2023.015P.Geminiviridae_rename_sp.zip</v>
      </c>
      <c r="U6599" s="29" t="str">
        <f>HYPERLINK("https://ictv.global/taxonomy/taxondetails?taxnode_id=202303431","ictv.global=202303431")</f>
        <v>ictv.global=202303431</v>
      </c>
    </row>
    <row r="6600" spans="1:21">
      <c r="A6600">
        <v>6599</v>
      </c>
      <c r="B6600" s="30" t="s">
        <v>1956</v>
      </c>
      <c r="D6600" s="30" t="s">
        <v>1985</v>
      </c>
      <c r="F6600" s="30" t="s">
        <v>2009</v>
      </c>
      <c r="H6600" s="30" t="s">
        <v>2018</v>
      </c>
      <c r="J6600" s="30" t="s">
        <v>2019</v>
      </c>
      <c r="L6600" s="30" t="s">
        <v>499</v>
      </c>
      <c r="N6600" s="30" t="s">
        <v>500</v>
      </c>
      <c r="P6600" s="30" t="s">
        <v>13730</v>
      </c>
      <c r="Q6600" t="s">
        <v>622</v>
      </c>
      <c r="R6600" t="s">
        <v>920</v>
      </c>
      <c r="S6600">
        <v>39</v>
      </c>
      <c r="T6600" s="29" t="str">
        <f t="shared" si="290"/>
        <v>2023.015P.Geminiviridae_rename_sp.zip</v>
      </c>
      <c r="U6600" s="29" t="str">
        <f>HYPERLINK("https://ictv.global/taxonomy/taxondetails?taxnode_id=202306715","ictv.global=202306715")</f>
        <v>ictv.global=202306715</v>
      </c>
    </row>
    <row r="6601" spans="1:21">
      <c r="A6601">
        <v>6600</v>
      </c>
      <c r="B6601" s="30" t="s">
        <v>1956</v>
      </c>
      <c r="D6601" s="30" t="s">
        <v>1985</v>
      </c>
      <c r="F6601" s="30" t="s">
        <v>2009</v>
      </c>
      <c r="H6601" s="30" t="s">
        <v>2018</v>
      </c>
      <c r="J6601" s="30" t="s">
        <v>2019</v>
      </c>
      <c r="L6601" s="30" t="s">
        <v>499</v>
      </c>
      <c r="N6601" s="30" t="s">
        <v>500</v>
      </c>
      <c r="P6601" s="30" t="s">
        <v>13731</v>
      </c>
      <c r="Q6601" t="s">
        <v>622</v>
      </c>
      <c r="R6601" t="s">
        <v>920</v>
      </c>
      <c r="S6601">
        <v>39</v>
      </c>
      <c r="T6601" s="29" t="str">
        <f t="shared" si="290"/>
        <v>2023.015P.Geminiviridae_rename_sp.zip</v>
      </c>
      <c r="U6601" s="29" t="str">
        <f>HYPERLINK("https://ictv.global/taxonomy/taxondetails?taxnode_id=202303432","ictv.global=202303432")</f>
        <v>ictv.global=202303432</v>
      </c>
    </row>
    <row r="6602" spans="1:21">
      <c r="A6602">
        <v>6601</v>
      </c>
      <c r="B6602" s="30" t="s">
        <v>1956</v>
      </c>
      <c r="D6602" s="30" t="s">
        <v>1985</v>
      </c>
      <c r="F6602" s="30" t="s">
        <v>2009</v>
      </c>
      <c r="H6602" s="30" t="s">
        <v>2018</v>
      </c>
      <c r="J6602" s="30" t="s">
        <v>2019</v>
      </c>
      <c r="L6602" s="30" t="s">
        <v>499</v>
      </c>
      <c r="N6602" s="30" t="s">
        <v>500</v>
      </c>
      <c r="P6602" s="30" t="s">
        <v>13732</v>
      </c>
      <c r="Q6602" t="s">
        <v>622</v>
      </c>
      <c r="R6602" t="s">
        <v>920</v>
      </c>
      <c r="S6602">
        <v>39</v>
      </c>
      <c r="T6602" s="29" t="str">
        <f t="shared" si="290"/>
        <v>2023.015P.Geminiviridae_rename_sp.zip</v>
      </c>
      <c r="U6602" s="29" t="str">
        <f>HYPERLINK("https://ictv.global/taxonomy/taxondetails?taxnode_id=202306713","ictv.global=202306713")</f>
        <v>ictv.global=202306713</v>
      </c>
    </row>
    <row r="6603" spans="1:21">
      <c r="A6603">
        <v>6602</v>
      </c>
      <c r="B6603" s="30" t="s">
        <v>1956</v>
      </c>
      <c r="D6603" s="30" t="s">
        <v>1985</v>
      </c>
      <c r="F6603" s="30" t="s">
        <v>2009</v>
      </c>
      <c r="H6603" s="30" t="s">
        <v>2018</v>
      </c>
      <c r="J6603" s="30" t="s">
        <v>2019</v>
      </c>
      <c r="L6603" s="30" t="s">
        <v>499</v>
      </c>
      <c r="N6603" s="30" t="s">
        <v>500</v>
      </c>
      <c r="P6603" s="30" t="s">
        <v>13733</v>
      </c>
      <c r="Q6603" t="s">
        <v>622</v>
      </c>
      <c r="R6603" t="s">
        <v>920</v>
      </c>
      <c r="S6603">
        <v>39</v>
      </c>
      <c r="T6603" s="29" t="str">
        <f t="shared" si="290"/>
        <v>2023.015P.Geminiviridae_rename_sp.zip</v>
      </c>
      <c r="U6603" s="29" t="str">
        <f>HYPERLINK("https://ictv.global/taxonomy/taxondetails?taxnode_id=202306714","ictv.global=202306714")</f>
        <v>ictv.global=202306714</v>
      </c>
    </row>
    <row r="6604" spans="1:21">
      <c r="A6604">
        <v>6603</v>
      </c>
      <c r="B6604" s="30" t="s">
        <v>1956</v>
      </c>
      <c r="D6604" s="30" t="s">
        <v>1985</v>
      </c>
      <c r="F6604" s="30" t="s">
        <v>2009</v>
      </c>
      <c r="H6604" s="30" t="s">
        <v>2018</v>
      </c>
      <c r="J6604" s="30" t="s">
        <v>2019</v>
      </c>
      <c r="L6604" s="30" t="s">
        <v>499</v>
      </c>
      <c r="N6604" s="30" t="s">
        <v>500</v>
      </c>
      <c r="P6604" s="30" t="s">
        <v>13734</v>
      </c>
      <c r="Q6604" t="s">
        <v>622</v>
      </c>
      <c r="R6604" t="s">
        <v>920</v>
      </c>
      <c r="S6604">
        <v>39</v>
      </c>
      <c r="T6604" s="29" t="str">
        <f t="shared" si="290"/>
        <v>2023.015P.Geminiviridae_rename_sp.zip</v>
      </c>
      <c r="U6604" s="29" t="str">
        <f>HYPERLINK("https://ictv.global/taxonomy/taxondetails?taxnode_id=202303433","ictv.global=202303433")</f>
        <v>ictv.global=202303433</v>
      </c>
    </row>
    <row r="6605" spans="1:21">
      <c r="A6605">
        <v>6604</v>
      </c>
      <c r="B6605" s="30" t="s">
        <v>1956</v>
      </c>
      <c r="D6605" s="30" t="s">
        <v>1985</v>
      </c>
      <c r="F6605" s="30" t="s">
        <v>2009</v>
      </c>
      <c r="H6605" s="30" t="s">
        <v>2018</v>
      </c>
      <c r="J6605" s="30" t="s">
        <v>2019</v>
      </c>
      <c r="L6605" s="30" t="s">
        <v>499</v>
      </c>
      <c r="N6605" s="30" t="s">
        <v>500</v>
      </c>
      <c r="P6605" s="30" t="s">
        <v>13735</v>
      </c>
      <c r="Q6605" t="s">
        <v>739</v>
      </c>
      <c r="R6605" t="s">
        <v>920</v>
      </c>
      <c r="S6605">
        <v>39</v>
      </c>
      <c r="T6605" s="29" t="str">
        <f t="shared" si="290"/>
        <v>2023.015P.Geminiviridae_rename_sp.zip</v>
      </c>
      <c r="U6605" s="29" t="str">
        <f>HYPERLINK("https://ictv.global/taxonomy/taxondetails?taxnode_id=202309134","ictv.global=202309134")</f>
        <v>ictv.global=202309134</v>
      </c>
    </row>
    <row r="6606" spans="1:21">
      <c r="A6606">
        <v>6605</v>
      </c>
      <c r="B6606" s="30" t="s">
        <v>1956</v>
      </c>
      <c r="D6606" s="30" t="s">
        <v>1985</v>
      </c>
      <c r="F6606" s="30" t="s">
        <v>2009</v>
      </c>
      <c r="H6606" s="30" t="s">
        <v>2018</v>
      </c>
      <c r="J6606" s="30" t="s">
        <v>2019</v>
      </c>
      <c r="L6606" s="30" t="s">
        <v>499</v>
      </c>
      <c r="N6606" s="30" t="s">
        <v>500</v>
      </c>
      <c r="P6606" s="30" t="s">
        <v>13736</v>
      </c>
      <c r="Q6606" t="s">
        <v>622</v>
      </c>
      <c r="R6606" t="s">
        <v>920</v>
      </c>
      <c r="S6606">
        <v>39</v>
      </c>
      <c r="T6606" s="29" t="str">
        <f t="shared" si="290"/>
        <v>2023.015P.Geminiviridae_rename_sp.zip</v>
      </c>
      <c r="U6606" s="29" t="str">
        <f>HYPERLINK("https://ictv.global/taxonomy/taxondetails?taxnode_id=202303434","ictv.global=202303434")</f>
        <v>ictv.global=202303434</v>
      </c>
    </row>
    <row r="6607" spans="1:21">
      <c r="A6607">
        <v>6606</v>
      </c>
      <c r="B6607" s="30" t="s">
        <v>1956</v>
      </c>
      <c r="D6607" s="30" t="s">
        <v>1985</v>
      </c>
      <c r="F6607" s="30" t="s">
        <v>2009</v>
      </c>
      <c r="H6607" s="30" t="s">
        <v>2018</v>
      </c>
      <c r="J6607" s="30" t="s">
        <v>2019</v>
      </c>
      <c r="L6607" s="30" t="s">
        <v>499</v>
      </c>
      <c r="N6607" s="30" t="s">
        <v>500</v>
      </c>
      <c r="P6607" s="30" t="s">
        <v>13737</v>
      </c>
      <c r="Q6607" t="s">
        <v>622</v>
      </c>
      <c r="R6607" t="s">
        <v>920</v>
      </c>
      <c r="S6607">
        <v>39</v>
      </c>
      <c r="T6607" s="29" t="str">
        <f t="shared" si="290"/>
        <v>2023.015P.Geminiviridae_rename_sp.zip</v>
      </c>
      <c r="U6607" s="29" t="str">
        <f>HYPERLINK("https://ictv.global/taxonomy/taxondetails?taxnode_id=202303403","ictv.global=202303403")</f>
        <v>ictv.global=202303403</v>
      </c>
    </row>
    <row r="6608" spans="1:21">
      <c r="A6608">
        <v>6607</v>
      </c>
      <c r="B6608" s="30" t="s">
        <v>1956</v>
      </c>
      <c r="D6608" s="30" t="s">
        <v>1985</v>
      </c>
      <c r="F6608" s="30" t="s">
        <v>2009</v>
      </c>
      <c r="H6608" s="30" t="s">
        <v>2018</v>
      </c>
      <c r="J6608" s="30" t="s">
        <v>2019</v>
      </c>
      <c r="L6608" s="30" t="s">
        <v>499</v>
      </c>
      <c r="N6608" s="30" t="s">
        <v>500</v>
      </c>
      <c r="P6608" s="30" t="s">
        <v>13738</v>
      </c>
      <c r="Q6608" t="s">
        <v>622</v>
      </c>
      <c r="R6608" t="s">
        <v>920</v>
      </c>
      <c r="S6608">
        <v>39</v>
      </c>
      <c r="T6608" s="29" t="str">
        <f t="shared" si="290"/>
        <v>2023.015P.Geminiviridae_rename_sp.zip</v>
      </c>
      <c r="U6608" s="29" t="str">
        <f>HYPERLINK("https://ictv.global/taxonomy/taxondetails?taxnode_id=202305837","ictv.global=202305837")</f>
        <v>ictv.global=202305837</v>
      </c>
    </row>
    <row r="6609" spans="1:21">
      <c r="A6609">
        <v>6608</v>
      </c>
      <c r="B6609" s="30" t="s">
        <v>1956</v>
      </c>
      <c r="D6609" s="30" t="s">
        <v>1985</v>
      </c>
      <c r="F6609" s="30" t="s">
        <v>2009</v>
      </c>
      <c r="H6609" s="30" t="s">
        <v>2018</v>
      </c>
      <c r="J6609" s="30" t="s">
        <v>2019</v>
      </c>
      <c r="L6609" s="30" t="s">
        <v>499</v>
      </c>
      <c r="N6609" s="30" t="s">
        <v>500</v>
      </c>
      <c r="P6609" s="30" t="s">
        <v>13739</v>
      </c>
      <c r="Q6609" t="s">
        <v>622</v>
      </c>
      <c r="R6609" t="s">
        <v>920</v>
      </c>
      <c r="S6609">
        <v>39</v>
      </c>
      <c r="T6609" s="29" t="str">
        <f t="shared" si="290"/>
        <v>2023.015P.Geminiviridae_rename_sp.zip</v>
      </c>
      <c r="U6609" s="29" t="str">
        <f>HYPERLINK("https://ictv.global/taxonomy/taxondetails?taxnode_id=202303435","ictv.global=202303435")</f>
        <v>ictv.global=202303435</v>
      </c>
    </row>
    <row r="6610" spans="1:21">
      <c r="A6610">
        <v>6609</v>
      </c>
      <c r="B6610" s="30" t="s">
        <v>1956</v>
      </c>
      <c r="D6610" s="30" t="s">
        <v>1985</v>
      </c>
      <c r="F6610" s="30" t="s">
        <v>2009</v>
      </c>
      <c r="H6610" s="30" t="s">
        <v>2018</v>
      </c>
      <c r="J6610" s="30" t="s">
        <v>2019</v>
      </c>
      <c r="L6610" s="30" t="s">
        <v>499</v>
      </c>
      <c r="N6610" s="30" t="s">
        <v>500</v>
      </c>
      <c r="P6610" s="30" t="s">
        <v>13740</v>
      </c>
      <c r="Q6610" t="s">
        <v>622</v>
      </c>
      <c r="R6610" t="s">
        <v>920</v>
      </c>
      <c r="S6610">
        <v>39</v>
      </c>
      <c r="T6610" s="29" t="str">
        <f t="shared" si="290"/>
        <v>2023.015P.Geminiviridae_rename_sp.zip</v>
      </c>
      <c r="U6610" s="29" t="str">
        <f>HYPERLINK("https://ictv.global/taxonomy/taxondetails?taxnode_id=202303436","ictv.global=202303436")</f>
        <v>ictv.global=202303436</v>
      </c>
    </row>
    <row r="6611" spans="1:21">
      <c r="A6611">
        <v>6610</v>
      </c>
      <c r="B6611" s="30" t="s">
        <v>1956</v>
      </c>
      <c r="D6611" s="30" t="s">
        <v>1985</v>
      </c>
      <c r="F6611" s="30" t="s">
        <v>2009</v>
      </c>
      <c r="H6611" s="30" t="s">
        <v>2018</v>
      </c>
      <c r="J6611" s="30" t="s">
        <v>2019</v>
      </c>
      <c r="L6611" s="30" t="s">
        <v>499</v>
      </c>
      <c r="N6611" s="30" t="s">
        <v>500</v>
      </c>
      <c r="P6611" s="30" t="s">
        <v>13741</v>
      </c>
      <c r="Q6611" t="s">
        <v>739</v>
      </c>
      <c r="R6611" t="s">
        <v>920</v>
      </c>
      <c r="S6611">
        <v>39</v>
      </c>
      <c r="T6611" s="29" t="str">
        <f t="shared" si="290"/>
        <v>2023.015P.Geminiviridae_rename_sp.zip</v>
      </c>
      <c r="U6611" s="29" t="str">
        <f>HYPERLINK("https://ictv.global/taxonomy/taxondetails?taxnode_id=202307531","ictv.global=202307531")</f>
        <v>ictv.global=202307531</v>
      </c>
    </row>
    <row r="6612" spans="1:21">
      <c r="A6612">
        <v>6611</v>
      </c>
      <c r="B6612" s="30" t="s">
        <v>1956</v>
      </c>
      <c r="D6612" s="30" t="s">
        <v>1985</v>
      </c>
      <c r="F6612" s="30" t="s">
        <v>2009</v>
      </c>
      <c r="H6612" s="30" t="s">
        <v>2018</v>
      </c>
      <c r="J6612" s="30" t="s">
        <v>2019</v>
      </c>
      <c r="L6612" s="30" t="s">
        <v>499</v>
      </c>
      <c r="N6612" s="30" t="s">
        <v>500</v>
      </c>
      <c r="P6612" s="30" t="s">
        <v>13742</v>
      </c>
      <c r="Q6612" t="s">
        <v>622</v>
      </c>
      <c r="R6612" t="s">
        <v>920</v>
      </c>
      <c r="S6612">
        <v>39</v>
      </c>
      <c r="T6612" s="29" t="str">
        <f t="shared" si="290"/>
        <v>2023.015P.Geminiviridae_rename_sp.zip</v>
      </c>
      <c r="U6612" s="29" t="str">
        <f>HYPERLINK("https://ictv.global/taxonomy/taxondetails?taxnode_id=202303437","ictv.global=202303437")</f>
        <v>ictv.global=202303437</v>
      </c>
    </row>
    <row r="6613" spans="1:21">
      <c r="A6613">
        <v>6612</v>
      </c>
      <c r="B6613" s="30" t="s">
        <v>1956</v>
      </c>
      <c r="D6613" s="30" t="s">
        <v>1985</v>
      </c>
      <c r="F6613" s="30" t="s">
        <v>2009</v>
      </c>
      <c r="H6613" s="30" t="s">
        <v>2018</v>
      </c>
      <c r="J6613" s="30" t="s">
        <v>2019</v>
      </c>
      <c r="L6613" s="30" t="s">
        <v>499</v>
      </c>
      <c r="N6613" s="30" t="s">
        <v>500</v>
      </c>
      <c r="P6613" s="30" t="s">
        <v>13743</v>
      </c>
      <c r="Q6613" t="s">
        <v>622</v>
      </c>
      <c r="R6613" t="s">
        <v>920</v>
      </c>
      <c r="S6613">
        <v>39</v>
      </c>
      <c r="T6613" s="29" t="str">
        <f t="shared" si="290"/>
        <v>2023.015P.Geminiviridae_rename_sp.zip</v>
      </c>
      <c r="U6613" s="29" t="str">
        <f>HYPERLINK("https://ictv.global/taxonomy/taxondetails?taxnode_id=202303438","ictv.global=202303438")</f>
        <v>ictv.global=202303438</v>
      </c>
    </row>
    <row r="6614" spans="1:21">
      <c r="A6614">
        <v>6613</v>
      </c>
      <c r="B6614" s="30" t="s">
        <v>1956</v>
      </c>
      <c r="D6614" s="30" t="s">
        <v>1985</v>
      </c>
      <c r="F6614" s="30" t="s">
        <v>2009</v>
      </c>
      <c r="H6614" s="30" t="s">
        <v>2018</v>
      </c>
      <c r="J6614" s="30" t="s">
        <v>2019</v>
      </c>
      <c r="L6614" s="30" t="s">
        <v>499</v>
      </c>
      <c r="N6614" s="30" t="s">
        <v>500</v>
      </c>
      <c r="P6614" s="30" t="s">
        <v>13744</v>
      </c>
      <c r="Q6614" t="s">
        <v>622</v>
      </c>
      <c r="R6614" t="s">
        <v>920</v>
      </c>
      <c r="S6614">
        <v>39</v>
      </c>
      <c r="T6614" s="29" t="str">
        <f t="shared" ref="T6614:T6677" si="291">HYPERLINK("https://ictv.global/ictv/proposals/2023.015P.Geminiviridae_rename_sp.zip","2023.015P.Geminiviridae_rename_sp.zip")</f>
        <v>2023.015P.Geminiviridae_rename_sp.zip</v>
      </c>
      <c r="U6614" s="29" t="str">
        <f>HYPERLINK("https://ictv.global/taxonomy/taxondetails?taxnode_id=202303439","ictv.global=202303439")</f>
        <v>ictv.global=202303439</v>
      </c>
    </row>
    <row r="6615" spans="1:21">
      <c r="A6615">
        <v>6614</v>
      </c>
      <c r="B6615" s="30" t="s">
        <v>1956</v>
      </c>
      <c r="D6615" s="30" t="s">
        <v>1985</v>
      </c>
      <c r="F6615" s="30" t="s">
        <v>2009</v>
      </c>
      <c r="H6615" s="30" t="s">
        <v>2018</v>
      </c>
      <c r="J6615" s="30" t="s">
        <v>2019</v>
      </c>
      <c r="L6615" s="30" t="s">
        <v>499</v>
      </c>
      <c r="N6615" s="30" t="s">
        <v>500</v>
      </c>
      <c r="P6615" s="30" t="s">
        <v>13745</v>
      </c>
      <c r="Q6615" t="s">
        <v>622</v>
      </c>
      <c r="R6615" t="s">
        <v>920</v>
      </c>
      <c r="S6615">
        <v>39</v>
      </c>
      <c r="T6615" s="29" t="str">
        <f t="shared" si="291"/>
        <v>2023.015P.Geminiviridae_rename_sp.zip</v>
      </c>
      <c r="U6615" s="29" t="str">
        <f>HYPERLINK("https://ictv.global/taxonomy/taxondetails?taxnode_id=202303440","ictv.global=202303440")</f>
        <v>ictv.global=202303440</v>
      </c>
    </row>
    <row r="6616" spans="1:21">
      <c r="A6616">
        <v>6615</v>
      </c>
      <c r="B6616" s="30" t="s">
        <v>1956</v>
      </c>
      <c r="D6616" s="30" t="s">
        <v>1985</v>
      </c>
      <c r="F6616" s="30" t="s">
        <v>2009</v>
      </c>
      <c r="H6616" s="30" t="s">
        <v>2018</v>
      </c>
      <c r="J6616" s="30" t="s">
        <v>2019</v>
      </c>
      <c r="L6616" s="30" t="s">
        <v>499</v>
      </c>
      <c r="N6616" s="30" t="s">
        <v>500</v>
      </c>
      <c r="P6616" s="30" t="s">
        <v>13746</v>
      </c>
      <c r="Q6616" t="s">
        <v>622</v>
      </c>
      <c r="R6616" t="s">
        <v>920</v>
      </c>
      <c r="S6616">
        <v>39</v>
      </c>
      <c r="T6616" s="29" t="str">
        <f t="shared" si="291"/>
        <v>2023.015P.Geminiviridae_rename_sp.zip</v>
      </c>
      <c r="U6616" s="29" t="str">
        <f>HYPERLINK("https://ictv.global/taxonomy/taxondetails?taxnode_id=202303401","ictv.global=202303401")</f>
        <v>ictv.global=202303401</v>
      </c>
    </row>
    <row r="6617" spans="1:21">
      <c r="A6617">
        <v>6616</v>
      </c>
      <c r="B6617" s="30" t="s">
        <v>1956</v>
      </c>
      <c r="D6617" s="30" t="s">
        <v>1985</v>
      </c>
      <c r="F6617" s="30" t="s">
        <v>2009</v>
      </c>
      <c r="H6617" s="30" t="s">
        <v>2018</v>
      </c>
      <c r="J6617" s="30" t="s">
        <v>2019</v>
      </c>
      <c r="L6617" s="30" t="s">
        <v>499</v>
      </c>
      <c r="N6617" s="30" t="s">
        <v>500</v>
      </c>
      <c r="P6617" s="30" t="s">
        <v>13747</v>
      </c>
      <c r="Q6617" t="s">
        <v>622</v>
      </c>
      <c r="R6617" t="s">
        <v>920</v>
      </c>
      <c r="S6617">
        <v>39</v>
      </c>
      <c r="T6617" s="29" t="str">
        <f t="shared" si="291"/>
        <v>2023.015P.Geminiviridae_rename_sp.zip</v>
      </c>
      <c r="U6617" s="29" t="str">
        <f>HYPERLINK("https://ictv.global/taxonomy/taxondetails?taxnode_id=202303441","ictv.global=202303441")</f>
        <v>ictv.global=202303441</v>
      </c>
    </row>
    <row r="6618" spans="1:21">
      <c r="A6618">
        <v>6617</v>
      </c>
      <c r="B6618" s="30" t="s">
        <v>1956</v>
      </c>
      <c r="D6618" s="30" t="s">
        <v>1985</v>
      </c>
      <c r="F6618" s="30" t="s">
        <v>2009</v>
      </c>
      <c r="H6618" s="30" t="s">
        <v>2018</v>
      </c>
      <c r="J6618" s="30" t="s">
        <v>2019</v>
      </c>
      <c r="L6618" s="30" t="s">
        <v>499</v>
      </c>
      <c r="N6618" s="30" t="s">
        <v>500</v>
      </c>
      <c r="P6618" s="30" t="s">
        <v>13748</v>
      </c>
      <c r="Q6618" t="s">
        <v>622</v>
      </c>
      <c r="R6618" t="s">
        <v>920</v>
      </c>
      <c r="S6618">
        <v>39</v>
      </c>
      <c r="T6618" s="29" t="str">
        <f t="shared" si="291"/>
        <v>2023.015P.Geminiviridae_rename_sp.zip</v>
      </c>
      <c r="U6618" s="29" t="str">
        <f>HYPERLINK("https://ictv.global/taxonomy/taxondetails?taxnode_id=202303445","ictv.global=202303445")</f>
        <v>ictv.global=202303445</v>
      </c>
    </row>
    <row r="6619" spans="1:21">
      <c r="A6619">
        <v>6618</v>
      </c>
      <c r="B6619" s="30" t="s">
        <v>1956</v>
      </c>
      <c r="D6619" s="30" t="s">
        <v>1985</v>
      </c>
      <c r="F6619" s="30" t="s">
        <v>2009</v>
      </c>
      <c r="H6619" s="30" t="s">
        <v>2018</v>
      </c>
      <c r="J6619" s="30" t="s">
        <v>2019</v>
      </c>
      <c r="L6619" s="30" t="s">
        <v>499</v>
      </c>
      <c r="N6619" s="30" t="s">
        <v>500</v>
      </c>
      <c r="P6619" s="30" t="s">
        <v>13749</v>
      </c>
      <c r="Q6619" t="s">
        <v>622</v>
      </c>
      <c r="R6619" t="s">
        <v>920</v>
      </c>
      <c r="S6619">
        <v>39</v>
      </c>
      <c r="T6619" s="29" t="str">
        <f t="shared" si="291"/>
        <v>2023.015P.Geminiviridae_rename_sp.zip</v>
      </c>
      <c r="U6619" s="29" t="str">
        <f>HYPERLINK("https://ictv.global/taxonomy/taxondetails?taxnode_id=202303447","ictv.global=202303447")</f>
        <v>ictv.global=202303447</v>
      </c>
    </row>
    <row r="6620" spans="1:21">
      <c r="A6620">
        <v>6619</v>
      </c>
      <c r="B6620" s="30" t="s">
        <v>1956</v>
      </c>
      <c r="D6620" s="30" t="s">
        <v>1985</v>
      </c>
      <c r="F6620" s="30" t="s">
        <v>2009</v>
      </c>
      <c r="H6620" s="30" t="s">
        <v>2018</v>
      </c>
      <c r="J6620" s="30" t="s">
        <v>2019</v>
      </c>
      <c r="L6620" s="30" t="s">
        <v>499</v>
      </c>
      <c r="N6620" s="30" t="s">
        <v>500</v>
      </c>
      <c r="P6620" s="30" t="s">
        <v>13750</v>
      </c>
      <c r="Q6620" t="s">
        <v>739</v>
      </c>
      <c r="R6620" t="s">
        <v>920</v>
      </c>
      <c r="S6620">
        <v>39</v>
      </c>
      <c r="T6620" s="29" t="str">
        <f t="shared" si="291"/>
        <v>2023.015P.Geminiviridae_rename_sp.zip</v>
      </c>
      <c r="U6620" s="29" t="str">
        <f>HYPERLINK("https://ictv.global/taxonomy/taxondetails?taxnode_id=202307530","ictv.global=202307530")</f>
        <v>ictv.global=202307530</v>
      </c>
    </row>
    <row r="6621" spans="1:21">
      <c r="A6621">
        <v>6620</v>
      </c>
      <c r="B6621" s="30" t="s">
        <v>1956</v>
      </c>
      <c r="D6621" s="30" t="s">
        <v>1985</v>
      </c>
      <c r="F6621" s="30" t="s">
        <v>2009</v>
      </c>
      <c r="H6621" s="30" t="s">
        <v>2018</v>
      </c>
      <c r="J6621" s="30" t="s">
        <v>2019</v>
      </c>
      <c r="L6621" s="30" t="s">
        <v>499</v>
      </c>
      <c r="N6621" s="30" t="s">
        <v>500</v>
      </c>
      <c r="P6621" s="30" t="s">
        <v>13751</v>
      </c>
      <c r="Q6621" t="s">
        <v>622</v>
      </c>
      <c r="R6621" t="s">
        <v>920</v>
      </c>
      <c r="S6621">
        <v>39</v>
      </c>
      <c r="T6621" s="29" t="str">
        <f t="shared" si="291"/>
        <v>2023.015P.Geminiviridae_rename_sp.zip</v>
      </c>
      <c r="U6621" s="29" t="str">
        <f>HYPERLINK("https://ictv.global/taxonomy/taxondetails?taxnode_id=202303404","ictv.global=202303404")</f>
        <v>ictv.global=202303404</v>
      </c>
    </row>
    <row r="6622" spans="1:21">
      <c r="A6622">
        <v>6621</v>
      </c>
      <c r="B6622" s="30" t="s">
        <v>1956</v>
      </c>
      <c r="D6622" s="30" t="s">
        <v>1985</v>
      </c>
      <c r="F6622" s="30" t="s">
        <v>2009</v>
      </c>
      <c r="H6622" s="30" t="s">
        <v>2018</v>
      </c>
      <c r="J6622" s="30" t="s">
        <v>2019</v>
      </c>
      <c r="L6622" s="30" t="s">
        <v>499</v>
      </c>
      <c r="N6622" s="30" t="s">
        <v>500</v>
      </c>
      <c r="P6622" s="30" t="s">
        <v>13752</v>
      </c>
      <c r="Q6622" t="s">
        <v>622</v>
      </c>
      <c r="R6622" t="s">
        <v>920</v>
      </c>
      <c r="S6622">
        <v>39</v>
      </c>
      <c r="T6622" s="29" t="str">
        <f t="shared" si="291"/>
        <v>2023.015P.Geminiviridae_rename_sp.zip</v>
      </c>
      <c r="U6622" s="29" t="str">
        <f>HYPERLINK("https://ictv.global/taxonomy/taxondetails?taxnode_id=202305834","ictv.global=202305834")</f>
        <v>ictv.global=202305834</v>
      </c>
    </row>
    <row r="6623" spans="1:21">
      <c r="A6623">
        <v>6622</v>
      </c>
      <c r="B6623" s="30" t="s">
        <v>1956</v>
      </c>
      <c r="D6623" s="30" t="s">
        <v>1985</v>
      </c>
      <c r="F6623" s="30" t="s">
        <v>2009</v>
      </c>
      <c r="H6623" s="30" t="s">
        <v>2018</v>
      </c>
      <c r="J6623" s="30" t="s">
        <v>2019</v>
      </c>
      <c r="L6623" s="30" t="s">
        <v>499</v>
      </c>
      <c r="N6623" s="30" t="s">
        <v>500</v>
      </c>
      <c r="P6623" s="30" t="s">
        <v>13753</v>
      </c>
      <c r="Q6623" t="s">
        <v>622</v>
      </c>
      <c r="R6623" t="s">
        <v>920</v>
      </c>
      <c r="S6623">
        <v>39</v>
      </c>
      <c r="T6623" s="29" t="str">
        <f t="shared" si="291"/>
        <v>2023.015P.Geminiviridae_rename_sp.zip</v>
      </c>
      <c r="U6623" s="29" t="str">
        <f>HYPERLINK("https://ictv.global/taxonomy/taxondetails?taxnode_id=202303405","ictv.global=202303405")</f>
        <v>ictv.global=202303405</v>
      </c>
    </row>
    <row r="6624" spans="1:21">
      <c r="A6624">
        <v>6623</v>
      </c>
      <c r="B6624" s="30" t="s">
        <v>1956</v>
      </c>
      <c r="D6624" s="30" t="s">
        <v>1985</v>
      </c>
      <c r="F6624" s="30" t="s">
        <v>2009</v>
      </c>
      <c r="H6624" s="30" t="s">
        <v>2018</v>
      </c>
      <c r="J6624" s="30" t="s">
        <v>2019</v>
      </c>
      <c r="L6624" s="30" t="s">
        <v>499</v>
      </c>
      <c r="N6624" s="30" t="s">
        <v>500</v>
      </c>
      <c r="P6624" s="30" t="s">
        <v>13754</v>
      </c>
      <c r="Q6624" t="s">
        <v>622</v>
      </c>
      <c r="R6624" t="s">
        <v>920</v>
      </c>
      <c r="S6624">
        <v>39</v>
      </c>
      <c r="T6624" s="29" t="str">
        <f t="shared" si="291"/>
        <v>2023.015P.Geminiviridae_rename_sp.zip</v>
      </c>
      <c r="U6624" s="29" t="str">
        <f>HYPERLINK("https://ictv.global/taxonomy/taxondetails?taxnode_id=202303408","ictv.global=202303408")</f>
        <v>ictv.global=202303408</v>
      </c>
    </row>
    <row r="6625" spans="1:21">
      <c r="A6625">
        <v>6624</v>
      </c>
      <c r="B6625" s="30" t="s">
        <v>1956</v>
      </c>
      <c r="D6625" s="30" t="s">
        <v>1985</v>
      </c>
      <c r="F6625" s="30" t="s">
        <v>2009</v>
      </c>
      <c r="H6625" s="30" t="s">
        <v>2018</v>
      </c>
      <c r="J6625" s="30" t="s">
        <v>2019</v>
      </c>
      <c r="L6625" s="30" t="s">
        <v>499</v>
      </c>
      <c r="N6625" s="30" t="s">
        <v>500</v>
      </c>
      <c r="P6625" s="30" t="s">
        <v>13755</v>
      </c>
      <c r="Q6625" t="s">
        <v>622</v>
      </c>
      <c r="R6625" t="s">
        <v>920</v>
      </c>
      <c r="S6625">
        <v>39</v>
      </c>
      <c r="T6625" s="29" t="str">
        <f t="shared" si="291"/>
        <v>2023.015P.Geminiviridae_rename_sp.zip</v>
      </c>
      <c r="U6625" s="29" t="str">
        <f>HYPERLINK("https://ictv.global/taxonomy/taxondetails?taxnode_id=202303448","ictv.global=202303448")</f>
        <v>ictv.global=202303448</v>
      </c>
    </row>
    <row r="6626" spans="1:21">
      <c r="A6626">
        <v>6625</v>
      </c>
      <c r="B6626" s="30" t="s">
        <v>1956</v>
      </c>
      <c r="D6626" s="30" t="s">
        <v>1985</v>
      </c>
      <c r="F6626" s="30" t="s">
        <v>2009</v>
      </c>
      <c r="H6626" s="30" t="s">
        <v>2018</v>
      </c>
      <c r="J6626" s="30" t="s">
        <v>2019</v>
      </c>
      <c r="L6626" s="30" t="s">
        <v>499</v>
      </c>
      <c r="N6626" s="30" t="s">
        <v>500</v>
      </c>
      <c r="P6626" s="30" t="s">
        <v>13756</v>
      </c>
      <c r="Q6626" t="s">
        <v>622</v>
      </c>
      <c r="R6626" t="s">
        <v>920</v>
      </c>
      <c r="S6626">
        <v>39</v>
      </c>
      <c r="T6626" s="29" t="str">
        <f t="shared" si="291"/>
        <v>2023.015P.Geminiviridae_rename_sp.zip</v>
      </c>
      <c r="U6626" s="29" t="str">
        <f>HYPERLINK("https://ictv.global/taxonomy/taxondetails?taxnode_id=202303449","ictv.global=202303449")</f>
        <v>ictv.global=202303449</v>
      </c>
    </row>
    <row r="6627" spans="1:21">
      <c r="A6627">
        <v>6626</v>
      </c>
      <c r="B6627" s="30" t="s">
        <v>1956</v>
      </c>
      <c r="D6627" s="30" t="s">
        <v>1985</v>
      </c>
      <c r="F6627" s="30" t="s">
        <v>2009</v>
      </c>
      <c r="H6627" s="30" t="s">
        <v>2018</v>
      </c>
      <c r="J6627" s="30" t="s">
        <v>2019</v>
      </c>
      <c r="L6627" s="30" t="s">
        <v>499</v>
      </c>
      <c r="N6627" s="30" t="s">
        <v>500</v>
      </c>
      <c r="P6627" s="30" t="s">
        <v>13757</v>
      </c>
      <c r="Q6627" t="s">
        <v>622</v>
      </c>
      <c r="R6627" t="s">
        <v>920</v>
      </c>
      <c r="S6627">
        <v>39</v>
      </c>
      <c r="T6627" s="29" t="str">
        <f t="shared" si="291"/>
        <v>2023.015P.Geminiviridae_rename_sp.zip</v>
      </c>
      <c r="U6627" s="29" t="str">
        <f>HYPERLINK("https://ictv.global/taxonomy/taxondetails?taxnode_id=202303450","ictv.global=202303450")</f>
        <v>ictv.global=202303450</v>
      </c>
    </row>
    <row r="6628" spans="1:21">
      <c r="A6628">
        <v>6627</v>
      </c>
      <c r="B6628" s="30" t="s">
        <v>1956</v>
      </c>
      <c r="D6628" s="30" t="s">
        <v>1985</v>
      </c>
      <c r="F6628" s="30" t="s">
        <v>2009</v>
      </c>
      <c r="H6628" s="30" t="s">
        <v>2018</v>
      </c>
      <c r="J6628" s="30" t="s">
        <v>2019</v>
      </c>
      <c r="L6628" s="30" t="s">
        <v>499</v>
      </c>
      <c r="N6628" s="30" t="s">
        <v>500</v>
      </c>
      <c r="P6628" s="30" t="s">
        <v>13758</v>
      </c>
      <c r="Q6628" t="s">
        <v>622</v>
      </c>
      <c r="R6628" t="s">
        <v>920</v>
      </c>
      <c r="S6628">
        <v>39</v>
      </c>
      <c r="T6628" s="29" t="str">
        <f t="shared" si="291"/>
        <v>2023.015P.Geminiviridae_rename_sp.zip</v>
      </c>
      <c r="U6628" s="29" t="str">
        <f>HYPERLINK("https://ictv.global/taxonomy/taxondetails?taxnode_id=202303451","ictv.global=202303451")</f>
        <v>ictv.global=202303451</v>
      </c>
    </row>
    <row r="6629" spans="1:21">
      <c r="A6629">
        <v>6628</v>
      </c>
      <c r="B6629" s="30" t="s">
        <v>1956</v>
      </c>
      <c r="D6629" s="30" t="s">
        <v>1985</v>
      </c>
      <c r="F6629" s="30" t="s">
        <v>2009</v>
      </c>
      <c r="H6629" s="30" t="s">
        <v>2018</v>
      </c>
      <c r="J6629" s="30" t="s">
        <v>2019</v>
      </c>
      <c r="L6629" s="30" t="s">
        <v>499</v>
      </c>
      <c r="N6629" s="30" t="s">
        <v>500</v>
      </c>
      <c r="P6629" s="30" t="s">
        <v>13759</v>
      </c>
      <c r="Q6629" t="s">
        <v>622</v>
      </c>
      <c r="R6629" t="s">
        <v>920</v>
      </c>
      <c r="S6629">
        <v>39</v>
      </c>
      <c r="T6629" s="29" t="str">
        <f t="shared" si="291"/>
        <v>2023.015P.Geminiviridae_rename_sp.zip</v>
      </c>
      <c r="U6629" s="29" t="str">
        <f>HYPERLINK("https://ictv.global/taxonomy/taxondetails?taxnode_id=202303407","ictv.global=202303407")</f>
        <v>ictv.global=202303407</v>
      </c>
    </row>
    <row r="6630" spans="1:21">
      <c r="A6630">
        <v>6629</v>
      </c>
      <c r="B6630" s="30" t="s">
        <v>1956</v>
      </c>
      <c r="D6630" s="30" t="s">
        <v>1985</v>
      </c>
      <c r="F6630" s="30" t="s">
        <v>2009</v>
      </c>
      <c r="H6630" s="30" t="s">
        <v>2018</v>
      </c>
      <c r="J6630" s="30" t="s">
        <v>2019</v>
      </c>
      <c r="L6630" s="30" t="s">
        <v>499</v>
      </c>
      <c r="N6630" s="30" t="s">
        <v>500</v>
      </c>
      <c r="P6630" s="30" t="s">
        <v>13760</v>
      </c>
      <c r="Q6630" t="s">
        <v>622</v>
      </c>
      <c r="R6630" t="s">
        <v>920</v>
      </c>
      <c r="S6630">
        <v>39</v>
      </c>
      <c r="T6630" s="29" t="str">
        <f t="shared" si="291"/>
        <v>2023.015P.Geminiviridae_rename_sp.zip</v>
      </c>
      <c r="U6630" s="29" t="str">
        <f>HYPERLINK("https://ictv.global/taxonomy/taxondetails?taxnode_id=202303470","ictv.global=202303470")</f>
        <v>ictv.global=202303470</v>
      </c>
    </row>
    <row r="6631" spans="1:21">
      <c r="A6631">
        <v>6630</v>
      </c>
      <c r="B6631" s="30" t="s">
        <v>1956</v>
      </c>
      <c r="D6631" s="30" t="s">
        <v>1985</v>
      </c>
      <c r="F6631" s="30" t="s">
        <v>2009</v>
      </c>
      <c r="H6631" s="30" t="s">
        <v>2018</v>
      </c>
      <c r="J6631" s="30" t="s">
        <v>2019</v>
      </c>
      <c r="L6631" s="30" t="s">
        <v>499</v>
      </c>
      <c r="N6631" s="30" t="s">
        <v>500</v>
      </c>
      <c r="P6631" s="30" t="s">
        <v>13761</v>
      </c>
      <c r="Q6631" t="s">
        <v>622</v>
      </c>
      <c r="R6631" t="s">
        <v>920</v>
      </c>
      <c r="S6631">
        <v>39</v>
      </c>
      <c r="T6631" s="29" t="str">
        <f t="shared" si="291"/>
        <v>2023.015P.Geminiviridae_rename_sp.zip</v>
      </c>
      <c r="U6631" s="29" t="str">
        <f>HYPERLINK("https://ictv.global/taxonomy/taxondetails?taxnode_id=202303471","ictv.global=202303471")</f>
        <v>ictv.global=202303471</v>
      </c>
    </row>
    <row r="6632" spans="1:21">
      <c r="A6632">
        <v>6631</v>
      </c>
      <c r="B6632" s="30" t="s">
        <v>1956</v>
      </c>
      <c r="D6632" s="30" t="s">
        <v>1985</v>
      </c>
      <c r="F6632" s="30" t="s">
        <v>2009</v>
      </c>
      <c r="H6632" s="30" t="s">
        <v>2018</v>
      </c>
      <c r="J6632" s="30" t="s">
        <v>2019</v>
      </c>
      <c r="L6632" s="30" t="s">
        <v>499</v>
      </c>
      <c r="N6632" s="30" t="s">
        <v>500</v>
      </c>
      <c r="P6632" s="30" t="s">
        <v>13762</v>
      </c>
      <c r="Q6632" t="s">
        <v>622</v>
      </c>
      <c r="R6632" t="s">
        <v>920</v>
      </c>
      <c r="S6632">
        <v>39</v>
      </c>
      <c r="T6632" s="29" t="str">
        <f t="shared" si="291"/>
        <v>2023.015P.Geminiviridae_rename_sp.zip</v>
      </c>
      <c r="U6632" s="29" t="str">
        <f>HYPERLINK("https://ictv.global/taxonomy/taxondetails?taxnode_id=202303472","ictv.global=202303472")</f>
        <v>ictv.global=202303472</v>
      </c>
    </row>
    <row r="6633" spans="1:21">
      <c r="A6633">
        <v>6632</v>
      </c>
      <c r="B6633" s="30" t="s">
        <v>1956</v>
      </c>
      <c r="D6633" s="30" t="s">
        <v>1985</v>
      </c>
      <c r="F6633" s="30" t="s">
        <v>2009</v>
      </c>
      <c r="H6633" s="30" t="s">
        <v>2018</v>
      </c>
      <c r="J6633" s="30" t="s">
        <v>2019</v>
      </c>
      <c r="L6633" s="30" t="s">
        <v>499</v>
      </c>
      <c r="N6633" s="30" t="s">
        <v>500</v>
      </c>
      <c r="P6633" s="30" t="s">
        <v>13763</v>
      </c>
      <c r="Q6633" t="s">
        <v>739</v>
      </c>
      <c r="R6633" t="s">
        <v>920</v>
      </c>
      <c r="S6633">
        <v>39</v>
      </c>
      <c r="T6633" s="29" t="str">
        <f t="shared" si="291"/>
        <v>2023.015P.Geminiviridae_rename_sp.zip</v>
      </c>
      <c r="U6633" s="29" t="str">
        <f>HYPERLINK("https://ictv.global/taxonomy/taxondetails?taxnode_id=202309135","ictv.global=202309135")</f>
        <v>ictv.global=202309135</v>
      </c>
    </row>
    <row r="6634" spans="1:21">
      <c r="A6634">
        <v>6633</v>
      </c>
      <c r="B6634" s="30" t="s">
        <v>1956</v>
      </c>
      <c r="D6634" s="30" t="s">
        <v>1985</v>
      </c>
      <c r="F6634" s="30" t="s">
        <v>2009</v>
      </c>
      <c r="H6634" s="30" t="s">
        <v>2018</v>
      </c>
      <c r="J6634" s="30" t="s">
        <v>2019</v>
      </c>
      <c r="L6634" s="30" t="s">
        <v>499</v>
      </c>
      <c r="N6634" s="30" t="s">
        <v>500</v>
      </c>
      <c r="P6634" s="30" t="s">
        <v>13764</v>
      </c>
      <c r="Q6634" t="s">
        <v>622</v>
      </c>
      <c r="R6634" t="s">
        <v>920</v>
      </c>
      <c r="S6634">
        <v>39</v>
      </c>
      <c r="T6634" s="29" t="str">
        <f t="shared" si="291"/>
        <v>2023.015P.Geminiviridae_rename_sp.zip</v>
      </c>
      <c r="U6634" s="29" t="str">
        <f>HYPERLINK("https://ictv.global/taxonomy/taxondetails?taxnode_id=202303473","ictv.global=202303473")</f>
        <v>ictv.global=202303473</v>
      </c>
    </row>
    <row r="6635" spans="1:21">
      <c r="A6635">
        <v>6634</v>
      </c>
      <c r="B6635" s="30" t="s">
        <v>1956</v>
      </c>
      <c r="D6635" s="30" t="s">
        <v>1985</v>
      </c>
      <c r="F6635" s="30" t="s">
        <v>2009</v>
      </c>
      <c r="H6635" s="30" t="s">
        <v>2018</v>
      </c>
      <c r="J6635" s="30" t="s">
        <v>2019</v>
      </c>
      <c r="L6635" s="30" t="s">
        <v>499</v>
      </c>
      <c r="N6635" s="30" t="s">
        <v>500</v>
      </c>
      <c r="P6635" s="30" t="s">
        <v>13765</v>
      </c>
      <c r="Q6635" t="s">
        <v>622</v>
      </c>
      <c r="R6635" t="s">
        <v>920</v>
      </c>
      <c r="S6635">
        <v>39</v>
      </c>
      <c r="T6635" s="29" t="str">
        <f t="shared" si="291"/>
        <v>2023.015P.Geminiviridae_rename_sp.zip</v>
      </c>
      <c r="U6635" s="29" t="str">
        <f>HYPERLINK("https://ictv.global/taxonomy/taxondetails?taxnode_id=202303452","ictv.global=202303452")</f>
        <v>ictv.global=202303452</v>
      </c>
    </row>
    <row r="6636" spans="1:21">
      <c r="A6636">
        <v>6635</v>
      </c>
      <c r="B6636" s="30" t="s">
        <v>1956</v>
      </c>
      <c r="D6636" s="30" t="s">
        <v>1985</v>
      </c>
      <c r="F6636" s="30" t="s">
        <v>2009</v>
      </c>
      <c r="H6636" s="30" t="s">
        <v>2018</v>
      </c>
      <c r="J6636" s="30" t="s">
        <v>2019</v>
      </c>
      <c r="L6636" s="30" t="s">
        <v>499</v>
      </c>
      <c r="N6636" s="30" t="s">
        <v>500</v>
      </c>
      <c r="P6636" s="30" t="s">
        <v>13766</v>
      </c>
      <c r="Q6636" t="s">
        <v>622</v>
      </c>
      <c r="R6636" t="s">
        <v>920</v>
      </c>
      <c r="S6636">
        <v>39</v>
      </c>
      <c r="T6636" s="29" t="str">
        <f t="shared" si="291"/>
        <v>2023.015P.Geminiviridae_rename_sp.zip</v>
      </c>
      <c r="U6636" s="29" t="str">
        <f>HYPERLINK("https://ictv.global/taxonomy/taxondetails?taxnode_id=202303453","ictv.global=202303453")</f>
        <v>ictv.global=202303453</v>
      </c>
    </row>
    <row r="6637" spans="1:21">
      <c r="A6637">
        <v>6636</v>
      </c>
      <c r="B6637" s="30" t="s">
        <v>1956</v>
      </c>
      <c r="D6637" s="30" t="s">
        <v>1985</v>
      </c>
      <c r="F6637" s="30" t="s">
        <v>2009</v>
      </c>
      <c r="H6637" s="30" t="s">
        <v>2018</v>
      </c>
      <c r="J6637" s="30" t="s">
        <v>2019</v>
      </c>
      <c r="L6637" s="30" t="s">
        <v>499</v>
      </c>
      <c r="N6637" s="30" t="s">
        <v>500</v>
      </c>
      <c r="P6637" s="30" t="s">
        <v>13767</v>
      </c>
      <c r="Q6637" t="s">
        <v>622</v>
      </c>
      <c r="R6637" t="s">
        <v>920</v>
      </c>
      <c r="S6637">
        <v>39</v>
      </c>
      <c r="T6637" s="29" t="str">
        <f t="shared" si="291"/>
        <v>2023.015P.Geminiviridae_rename_sp.zip</v>
      </c>
      <c r="U6637" s="29" t="str">
        <f>HYPERLINK("https://ictv.global/taxonomy/taxondetails?taxnode_id=202303454","ictv.global=202303454")</f>
        <v>ictv.global=202303454</v>
      </c>
    </row>
    <row r="6638" spans="1:21">
      <c r="A6638">
        <v>6637</v>
      </c>
      <c r="B6638" s="30" t="s">
        <v>1956</v>
      </c>
      <c r="D6638" s="30" t="s">
        <v>1985</v>
      </c>
      <c r="F6638" s="30" t="s">
        <v>2009</v>
      </c>
      <c r="H6638" s="30" t="s">
        <v>2018</v>
      </c>
      <c r="J6638" s="30" t="s">
        <v>2019</v>
      </c>
      <c r="L6638" s="30" t="s">
        <v>499</v>
      </c>
      <c r="N6638" s="30" t="s">
        <v>500</v>
      </c>
      <c r="P6638" s="30" t="s">
        <v>13768</v>
      </c>
      <c r="Q6638" t="s">
        <v>622</v>
      </c>
      <c r="R6638" t="s">
        <v>920</v>
      </c>
      <c r="S6638">
        <v>39</v>
      </c>
      <c r="T6638" s="29" t="str">
        <f t="shared" si="291"/>
        <v>2023.015P.Geminiviridae_rename_sp.zip</v>
      </c>
      <c r="U6638" s="29" t="str">
        <f>HYPERLINK("https://ictv.global/taxonomy/taxondetails?taxnode_id=202303455","ictv.global=202303455")</f>
        <v>ictv.global=202303455</v>
      </c>
    </row>
    <row r="6639" spans="1:21">
      <c r="A6639">
        <v>6638</v>
      </c>
      <c r="B6639" s="30" t="s">
        <v>1956</v>
      </c>
      <c r="D6639" s="30" t="s">
        <v>1985</v>
      </c>
      <c r="F6639" s="30" t="s">
        <v>2009</v>
      </c>
      <c r="H6639" s="30" t="s">
        <v>2018</v>
      </c>
      <c r="J6639" s="30" t="s">
        <v>2019</v>
      </c>
      <c r="L6639" s="30" t="s">
        <v>499</v>
      </c>
      <c r="N6639" s="30" t="s">
        <v>500</v>
      </c>
      <c r="P6639" s="30" t="s">
        <v>13769</v>
      </c>
      <c r="Q6639" t="s">
        <v>622</v>
      </c>
      <c r="R6639" t="s">
        <v>920</v>
      </c>
      <c r="S6639">
        <v>39</v>
      </c>
      <c r="T6639" s="29" t="str">
        <f t="shared" si="291"/>
        <v>2023.015P.Geminiviridae_rename_sp.zip</v>
      </c>
      <c r="U6639" s="29" t="str">
        <f>HYPERLINK("https://ictv.global/taxonomy/taxondetails?taxnode_id=202303456","ictv.global=202303456")</f>
        <v>ictv.global=202303456</v>
      </c>
    </row>
    <row r="6640" spans="1:21">
      <c r="A6640">
        <v>6639</v>
      </c>
      <c r="B6640" s="30" t="s">
        <v>1956</v>
      </c>
      <c r="D6640" s="30" t="s">
        <v>1985</v>
      </c>
      <c r="F6640" s="30" t="s">
        <v>2009</v>
      </c>
      <c r="H6640" s="30" t="s">
        <v>2018</v>
      </c>
      <c r="J6640" s="30" t="s">
        <v>2019</v>
      </c>
      <c r="L6640" s="30" t="s">
        <v>499</v>
      </c>
      <c r="N6640" s="30" t="s">
        <v>500</v>
      </c>
      <c r="P6640" s="30" t="s">
        <v>13770</v>
      </c>
      <c r="Q6640" t="s">
        <v>622</v>
      </c>
      <c r="R6640" t="s">
        <v>920</v>
      </c>
      <c r="S6640">
        <v>39</v>
      </c>
      <c r="T6640" s="29" t="str">
        <f t="shared" si="291"/>
        <v>2023.015P.Geminiviridae_rename_sp.zip</v>
      </c>
      <c r="U6640" s="29" t="str">
        <f>HYPERLINK("https://ictv.global/taxonomy/taxondetails?taxnode_id=202303468","ictv.global=202303468")</f>
        <v>ictv.global=202303468</v>
      </c>
    </row>
    <row r="6641" spans="1:21">
      <c r="A6641">
        <v>6640</v>
      </c>
      <c r="B6641" s="30" t="s">
        <v>1956</v>
      </c>
      <c r="D6641" s="30" t="s">
        <v>1985</v>
      </c>
      <c r="F6641" s="30" t="s">
        <v>2009</v>
      </c>
      <c r="H6641" s="30" t="s">
        <v>2018</v>
      </c>
      <c r="J6641" s="30" t="s">
        <v>2019</v>
      </c>
      <c r="L6641" s="30" t="s">
        <v>499</v>
      </c>
      <c r="N6641" s="30" t="s">
        <v>500</v>
      </c>
      <c r="P6641" s="30" t="s">
        <v>13771</v>
      </c>
      <c r="Q6641" t="s">
        <v>622</v>
      </c>
      <c r="R6641" t="s">
        <v>920</v>
      </c>
      <c r="S6641">
        <v>39</v>
      </c>
      <c r="T6641" s="29" t="str">
        <f t="shared" si="291"/>
        <v>2023.015P.Geminiviridae_rename_sp.zip</v>
      </c>
      <c r="U6641" s="29" t="str">
        <f>HYPERLINK("https://ictv.global/taxonomy/taxondetails?taxnode_id=202303457","ictv.global=202303457")</f>
        <v>ictv.global=202303457</v>
      </c>
    </row>
    <row r="6642" spans="1:21">
      <c r="A6642">
        <v>6641</v>
      </c>
      <c r="B6642" s="30" t="s">
        <v>1956</v>
      </c>
      <c r="D6642" s="30" t="s">
        <v>1985</v>
      </c>
      <c r="F6642" s="30" t="s">
        <v>2009</v>
      </c>
      <c r="H6642" s="30" t="s">
        <v>2018</v>
      </c>
      <c r="J6642" s="30" t="s">
        <v>2019</v>
      </c>
      <c r="L6642" s="30" t="s">
        <v>499</v>
      </c>
      <c r="N6642" s="30" t="s">
        <v>500</v>
      </c>
      <c r="P6642" s="30" t="s">
        <v>13772</v>
      </c>
      <c r="Q6642" t="s">
        <v>622</v>
      </c>
      <c r="R6642" t="s">
        <v>920</v>
      </c>
      <c r="S6642">
        <v>39</v>
      </c>
      <c r="T6642" s="29" t="str">
        <f t="shared" si="291"/>
        <v>2023.015P.Geminiviridae_rename_sp.zip</v>
      </c>
      <c r="U6642" s="29" t="str">
        <f>HYPERLINK("https://ictv.global/taxonomy/taxondetails?taxnode_id=202306712","ictv.global=202306712")</f>
        <v>ictv.global=202306712</v>
      </c>
    </row>
    <row r="6643" spans="1:21">
      <c r="A6643">
        <v>6642</v>
      </c>
      <c r="B6643" s="30" t="s">
        <v>1956</v>
      </c>
      <c r="D6643" s="30" t="s">
        <v>1985</v>
      </c>
      <c r="F6643" s="30" t="s">
        <v>2009</v>
      </c>
      <c r="H6643" s="30" t="s">
        <v>2018</v>
      </c>
      <c r="J6643" s="30" t="s">
        <v>2019</v>
      </c>
      <c r="L6643" s="30" t="s">
        <v>499</v>
      </c>
      <c r="N6643" s="30" t="s">
        <v>500</v>
      </c>
      <c r="P6643" s="30" t="s">
        <v>13773</v>
      </c>
      <c r="Q6643" t="s">
        <v>622</v>
      </c>
      <c r="R6643" t="s">
        <v>920</v>
      </c>
      <c r="S6643">
        <v>39</v>
      </c>
      <c r="T6643" s="29" t="str">
        <f t="shared" si="291"/>
        <v>2023.015P.Geminiviridae_rename_sp.zip</v>
      </c>
      <c r="U6643" s="29" t="str">
        <f>HYPERLINK("https://ictv.global/taxonomy/taxondetails?taxnode_id=202303464","ictv.global=202303464")</f>
        <v>ictv.global=202303464</v>
      </c>
    </row>
    <row r="6644" spans="1:21">
      <c r="A6644">
        <v>6643</v>
      </c>
      <c r="B6644" s="30" t="s">
        <v>1956</v>
      </c>
      <c r="D6644" s="30" t="s">
        <v>1985</v>
      </c>
      <c r="F6644" s="30" t="s">
        <v>2009</v>
      </c>
      <c r="H6644" s="30" t="s">
        <v>2018</v>
      </c>
      <c r="J6644" s="30" t="s">
        <v>2019</v>
      </c>
      <c r="L6644" s="30" t="s">
        <v>499</v>
      </c>
      <c r="N6644" s="30" t="s">
        <v>500</v>
      </c>
      <c r="P6644" s="30" t="s">
        <v>13774</v>
      </c>
      <c r="Q6644" t="s">
        <v>622</v>
      </c>
      <c r="R6644" t="s">
        <v>920</v>
      </c>
      <c r="S6644">
        <v>39</v>
      </c>
      <c r="T6644" s="29" t="str">
        <f t="shared" si="291"/>
        <v>2023.015P.Geminiviridae_rename_sp.zip</v>
      </c>
      <c r="U6644" s="29" t="str">
        <f>HYPERLINK("https://ictv.global/taxonomy/taxondetails?taxnode_id=202303458","ictv.global=202303458")</f>
        <v>ictv.global=202303458</v>
      </c>
    </row>
    <row r="6645" spans="1:21">
      <c r="A6645">
        <v>6644</v>
      </c>
      <c r="B6645" s="30" t="s">
        <v>1956</v>
      </c>
      <c r="D6645" s="30" t="s">
        <v>1985</v>
      </c>
      <c r="F6645" s="30" t="s">
        <v>2009</v>
      </c>
      <c r="H6645" s="30" t="s">
        <v>2018</v>
      </c>
      <c r="J6645" s="30" t="s">
        <v>2019</v>
      </c>
      <c r="L6645" s="30" t="s">
        <v>499</v>
      </c>
      <c r="N6645" s="30" t="s">
        <v>500</v>
      </c>
      <c r="P6645" s="30" t="s">
        <v>13775</v>
      </c>
      <c r="Q6645" t="s">
        <v>739</v>
      </c>
      <c r="R6645" t="s">
        <v>920</v>
      </c>
      <c r="S6645">
        <v>39</v>
      </c>
      <c r="T6645" s="29" t="str">
        <f t="shared" si="291"/>
        <v>2023.015P.Geminiviridae_rename_sp.zip</v>
      </c>
      <c r="U6645" s="29" t="str">
        <f>HYPERLINK("https://ictv.global/taxonomy/taxondetails?taxnode_id=202307532","ictv.global=202307532")</f>
        <v>ictv.global=202307532</v>
      </c>
    </row>
    <row r="6646" spans="1:21">
      <c r="A6646">
        <v>6645</v>
      </c>
      <c r="B6646" s="30" t="s">
        <v>1956</v>
      </c>
      <c r="D6646" s="30" t="s">
        <v>1985</v>
      </c>
      <c r="F6646" s="30" t="s">
        <v>2009</v>
      </c>
      <c r="H6646" s="30" t="s">
        <v>2018</v>
      </c>
      <c r="J6646" s="30" t="s">
        <v>2019</v>
      </c>
      <c r="L6646" s="30" t="s">
        <v>499</v>
      </c>
      <c r="N6646" s="30" t="s">
        <v>500</v>
      </c>
      <c r="P6646" s="30" t="s">
        <v>13776</v>
      </c>
      <c r="Q6646" t="s">
        <v>622</v>
      </c>
      <c r="R6646" t="s">
        <v>920</v>
      </c>
      <c r="S6646">
        <v>39</v>
      </c>
      <c r="T6646" s="29" t="str">
        <f t="shared" si="291"/>
        <v>2023.015P.Geminiviridae_rename_sp.zip</v>
      </c>
      <c r="U6646" s="29" t="str">
        <f>HYPERLINK("https://ictv.global/taxonomy/taxondetails?taxnode_id=202305835","ictv.global=202305835")</f>
        <v>ictv.global=202305835</v>
      </c>
    </row>
    <row r="6647" spans="1:21">
      <c r="A6647">
        <v>6646</v>
      </c>
      <c r="B6647" s="30" t="s">
        <v>1956</v>
      </c>
      <c r="D6647" s="30" t="s">
        <v>1985</v>
      </c>
      <c r="F6647" s="30" t="s">
        <v>2009</v>
      </c>
      <c r="H6647" s="30" t="s">
        <v>2018</v>
      </c>
      <c r="J6647" s="30" t="s">
        <v>2019</v>
      </c>
      <c r="L6647" s="30" t="s">
        <v>499</v>
      </c>
      <c r="N6647" s="30" t="s">
        <v>500</v>
      </c>
      <c r="P6647" s="30" t="s">
        <v>13777</v>
      </c>
      <c r="Q6647" t="s">
        <v>622</v>
      </c>
      <c r="R6647" t="s">
        <v>920</v>
      </c>
      <c r="S6647">
        <v>39</v>
      </c>
      <c r="T6647" s="29" t="str">
        <f t="shared" si="291"/>
        <v>2023.015P.Geminiviridae_rename_sp.zip</v>
      </c>
      <c r="U6647" s="29" t="str">
        <f>HYPERLINK("https://ictv.global/taxonomy/taxondetails?taxnode_id=202303459","ictv.global=202303459")</f>
        <v>ictv.global=202303459</v>
      </c>
    </row>
    <row r="6648" spans="1:21">
      <c r="A6648">
        <v>6647</v>
      </c>
      <c r="B6648" s="30" t="s">
        <v>1956</v>
      </c>
      <c r="D6648" s="30" t="s">
        <v>1985</v>
      </c>
      <c r="F6648" s="30" t="s">
        <v>2009</v>
      </c>
      <c r="H6648" s="30" t="s">
        <v>2018</v>
      </c>
      <c r="J6648" s="30" t="s">
        <v>2019</v>
      </c>
      <c r="L6648" s="30" t="s">
        <v>499</v>
      </c>
      <c r="N6648" s="30" t="s">
        <v>500</v>
      </c>
      <c r="P6648" s="30" t="s">
        <v>13778</v>
      </c>
      <c r="Q6648" t="s">
        <v>622</v>
      </c>
      <c r="R6648" t="s">
        <v>920</v>
      </c>
      <c r="S6648">
        <v>39</v>
      </c>
      <c r="T6648" s="29" t="str">
        <f t="shared" si="291"/>
        <v>2023.015P.Geminiviridae_rename_sp.zip</v>
      </c>
      <c r="U6648" s="29" t="str">
        <f>HYPERLINK("https://ictv.global/taxonomy/taxondetails?taxnode_id=202303469","ictv.global=202303469")</f>
        <v>ictv.global=202303469</v>
      </c>
    </row>
    <row r="6649" spans="1:21">
      <c r="A6649">
        <v>6648</v>
      </c>
      <c r="B6649" s="30" t="s">
        <v>1956</v>
      </c>
      <c r="D6649" s="30" t="s">
        <v>1985</v>
      </c>
      <c r="F6649" s="30" t="s">
        <v>2009</v>
      </c>
      <c r="H6649" s="30" t="s">
        <v>2018</v>
      </c>
      <c r="J6649" s="30" t="s">
        <v>2019</v>
      </c>
      <c r="L6649" s="30" t="s">
        <v>499</v>
      </c>
      <c r="N6649" s="30" t="s">
        <v>500</v>
      </c>
      <c r="P6649" s="30" t="s">
        <v>13779</v>
      </c>
      <c r="Q6649" t="s">
        <v>622</v>
      </c>
      <c r="R6649" t="s">
        <v>920</v>
      </c>
      <c r="S6649">
        <v>39</v>
      </c>
      <c r="T6649" s="29" t="str">
        <f t="shared" si="291"/>
        <v>2023.015P.Geminiviridae_rename_sp.zip</v>
      </c>
      <c r="U6649" s="29" t="str">
        <f>HYPERLINK("https://ictv.global/taxonomy/taxondetails?taxnode_id=202303467","ictv.global=202303467")</f>
        <v>ictv.global=202303467</v>
      </c>
    </row>
    <row r="6650" spans="1:21">
      <c r="A6650">
        <v>6649</v>
      </c>
      <c r="B6650" s="30" t="s">
        <v>1956</v>
      </c>
      <c r="D6650" s="30" t="s">
        <v>1985</v>
      </c>
      <c r="F6650" s="30" t="s">
        <v>2009</v>
      </c>
      <c r="H6650" s="30" t="s">
        <v>2018</v>
      </c>
      <c r="J6650" s="30" t="s">
        <v>2019</v>
      </c>
      <c r="L6650" s="30" t="s">
        <v>499</v>
      </c>
      <c r="N6650" s="30" t="s">
        <v>500</v>
      </c>
      <c r="P6650" s="30" t="s">
        <v>13780</v>
      </c>
      <c r="Q6650" t="s">
        <v>739</v>
      </c>
      <c r="R6650" t="s">
        <v>920</v>
      </c>
      <c r="S6650">
        <v>39</v>
      </c>
      <c r="T6650" s="29" t="str">
        <f t="shared" si="291"/>
        <v>2023.015P.Geminiviridae_rename_sp.zip</v>
      </c>
      <c r="U6650" s="29" t="str">
        <f>HYPERLINK("https://ictv.global/taxonomy/taxondetails?taxnode_id=202309136","ictv.global=202309136")</f>
        <v>ictv.global=202309136</v>
      </c>
    </row>
    <row r="6651" spans="1:21">
      <c r="A6651">
        <v>6650</v>
      </c>
      <c r="B6651" s="30" t="s">
        <v>1956</v>
      </c>
      <c r="D6651" s="30" t="s">
        <v>1985</v>
      </c>
      <c r="F6651" s="30" t="s">
        <v>2009</v>
      </c>
      <c r="H6651" s="30" t="s">
        <v>2018</v>
      </c>
      <c r="J6651" s="30" t="s">
        <v>2019</v>
      </c>
      <c r="L6651" s="30" t="s">
        <v>499</v>
      </c>
      <c r="N6651" s="30" t="s">
        <v>500</v>
      </c>
      <c r="P6651" s="30" t="s">
        <v>13781</v>
      </c>
      <c r="Q6651" t="s">
        <v>622</v>
      </c>
      <c r="R6651" t="s">
        <v>920</v>
      </c>
      <c r="S6651">
        <v>39</v>
      </c>
      <c r="T6651" s="29" t="str">
        <f t="shared" si="291"/>
        <v>2023.015P.Geminiviridae_rename_sp.zip</v>
      </c>
      <c r="U6651" s="29" t="str">
        <f>HYPERLINK("https://ictv.global/taxonomy/taxondetails?taxnode_id=202303460","ictv.global=202303460")</f>
        <v>ictv.global=202303460</v>
      </c>
    </row>
    <row r="6652" spans="1:21">
      <c r="A6652">
        <v>6651</v>
      </c>
      <c r="B6652" s="30" t="s">
        <v>1956</v>
      </c>
      <c r="D6652" s="30" t="s">
        <v>1985</v>
      </c>
      <c r="F6652" s="30" t="s">
        <v>2009</v>
      </c>
      <c r="H6652" s="30" t="s">
        <v>2018</v>
      </c>
      <c r="J6652" s="30" t="s">
        <v>2019</v>
      </c>
      <c r="L6652" s="30" t="s">
        <v>499</v>
      </c>
      <c r="N6652" s="30" t="s">
        <v>500</v>
      </c>
      <c r="P6652" s="30" t="s">
        <v>13782</v>
      </c>
      <c r="Q6652" t="s">
        <v>622</v>
      </c>
      <c r="R6652" t="s">
        <v>920</v>
      </c>
      <c r="S6652">
        <v>39</v>
      </c>
      <c r="T6652" s="29" t="str">
        <f t="shared" si="291"/>
        <v>2023.015P.Geminiviridae_rename_sp.zip</v>
      </c>
      <c r="U6652" s="29" t="str">
        <f>HYPERLINK("https://ictv.global/taxonomy/taxondetails?taxnode_id=202306710","ictv.global=202306710")</f>
        <v>ictv.global=202306710</v>
      </c>
    </row>
    <row r="6653" spans="1:21">
      <c r="A6653">
        <v>6652</v>
      </c>
      <c r="B6653" s="30" t="s">
        <v>1956</v>
      </c>
      <c r="D6653" s="30" t="s">
        <v>1985</v>
      </c>
      <c r="F6653" s="30" t="s">
        <v>2009</v>
      </c>
      <c r="H6653" s="30" t="s">
        <v>2018</v>
      </c>
      <c r="J6653" s="30" t="s">
        <v>2019</v>
      </c>
      <c r="L6653" s="30" t="s">
        <v>499</v>
      </c>
      <c r="N6653" s="30" t="s">
        <v>500</v>
      </c>
      <c r="P6653" s="30" t="s">
        <v>13783</v>
      </c>
      <c r="Q6653" t="s">
        <v>622</v>
      </c>
      <c r="R6653" t="s">
        <v>920</v>
      </c>
      <c r="S6653">
        <v>39</v>
      </c>
      <c r="T6653" s="29" t="str">
        <f t="shared" si="291"/>
        <v>2023.015P.Geminiviridae_rename_sp.zip</v>
      </c>
      <c r="U6653" s="29" t="str">
        <f>HYPERLINK("https://ictv.global/taxonomy/taxondetails?taxnode_id=202303406","ictv.global=202303406")</f>
        <v>ictv.global=202303406</v>
      </c>
    </row>
    <row r="6654" spans="1:21">
      <c r="A6654">
        <v>6653</v>
      </c>
      <c r="B6654" s="30" t="s">
        <v>1956</v>
      </c>
      <c r="D6654" s="30" t="s">
        <v>1985</v>
      </c>
      <c r="F6654" s="30" t="s">
        <v>2009</v>
      </c>
      <c r="H6654" s="30" t="s">
        <v>2018</v>
      </c>
      <c r="J6654" s="30" t="s">
        <v>2019</v>
      </c>
      <c r="L6654" s="30" t="s">
        <v>499</v>
      </c>
      <c r="N6654" s="30" t="s">
        <v>500</v>
      </c>
      <c r="P6654" s="30" t="s">
        <v>13784</v>
      </c>
      <c r="Q6654" t="s">
        <v>622</v>
      </c>
      <c r="R6654" t="s">
        <v>920</v>
      </c>
      <c r="S6654">
        <v>39</v>
      </c>
      <c r="T6654" s="29" t="str">
        <f t="shared" si="291"/>
        <v>2023.015P.Geminiviridae_rename_sp.zip</v>
      </c>
      <c r="U6654" s="29" t="str">
        <f>HYPERLINK("https://ictv.global/taxonomy/taxondetails?taxnode_id=202303369","ictv.global=202303369")</f>
        <v>ictv.global=202303369</v>
      </c>
    </row>
    <row r="6655" spans="1:21">
      <c r="A6655">
        <v>6654</v>
      </c>
      <c r="B6655" s="30" t="s">
        <v>1956</v>
      </c>
      <c r="D6655" s="30" t="s">
        <v>1985</v>
      </c>
      <c r="F6655" s="30" t="s">
        <v>2009</v>
      </c>
      <c r="H6655" s="30" t="s">
        <v>2018</v>
      </c>
      <c r="J6655" s="30" t="s">
        <v>2019</v>
      </c>
      <c r="L6655" s="30" t="s">
        <v>499</v>
      </c>
      <c r="N6655" s="30" t="s">
        <v>500</v>
      </c>
      <c r="P6655" s="30" t="s">
        <v>13785</v>
      </c>
      <c r="Q6655" t="s">
        <v>622</v>
      </c>
      <c r="R6655" t="s">
        <v>920</v>
      </c>
      <c r="S6655">
        <v>39</v>
      </c>
      <c r="T6655" s="29" t="str">
        <f t="shared" si="291"/>
        <v>2023.015P.Geminiviridae_rename_sp.zip</v>
      </c>
      <c r="U6655" s="29" t="str">
        <f>HYPERLINK("https://ictv.global/taxonomy/taxondetails?taxnode_id=202303370","ictv.global=202303370")</f>
        <v>ictv.global=202303370</v>
      </c>
    </row>
    <row r="6656" spans="1:21">
      <c r="A6656">
        <v>6655</v>
      </c>
      <c r="B6656" s="30" t="s">
        <v>1956</v>
      </c>
      <c r="D6656" s="30" t="s">
        <v>1985</v>
      </c>
      <c r="F6656" s="30" t="s">
        <v>2009</v>
      </c>
      <c r="H6656" s="30" t="s">
        <v>2018</v>
      </c>
      <c r="J6656" s="30" t="s">
        <v>2019</v>
      </c>
      <c r="L6656" s="30" t="s">
        <v>499</v>
      </c>
      <c r="N6656" s="30" t="s">
        <v>500</v>
      </c>
      <c r="P6656" s="30" t="s">
        <v>13786</v>
      </c>
      <c r="Q6656" t="s">
        <v>622</v>
      </c>
      <c r="R6656" t="s">
        <v>920</v>
      </c>
      <c r="S6656">
        <v>39</v>
      </c>
      <c r="T6656" s="29" t="str">
        <f t="shared" si="291"/>
        <v>2023.015P.Geminiviridae_rename_sp.zip</v>
      </c>
      <c r="U6656" s="29" t="str">
        <f>HYPERLINK("https://ictv.global/taxonomy/taxondetails?taxnode_id=202303377","ictv.global=202303377")</f>
        <v>ictv.global=202303377</v>
      </c>
    </row>
    <row r="6657" spans="1:21">
      <c r="A6657">
        <v>6656</v>
      </c>
      <c r="B6657" s="30" t="s">
        <v>1956</v>
      </c>
      <c r="D6657" s="30" t="s">
        <v>1985</v>
      </c>
      <c r="F6657" s="30" t="s">
        <v>2009</v>
      </c>
      <c r="H6657" s="30" t="s">
        <v>2018</v>
      </c>
      <c r="J6657" s="30" t="s">
        <v>2019</v>
      </c>
      <c r="L6657" s="30" t="s">
        <v>499</v>
      </c>
      <c r="N6657" s="30" t="s">
        <v>500</v>
      </c>
      <c r="P6657" s="30" t="s">
        <v>13787</v>
      </c>
      <c r="Q6657" t="s">
        <v>622</v>
      </c>
      <c r="R6657" t="s">
        <v>920</v>
      </c>
      <c r="S6657">
        <v>39</v>
      </c>
      <c r="T6657" s="29" t="str">
        <f t="shared" si="291"/>
        <v>2023.015P.Geminiviridae_rename_sp.zip</v>
      </c>
      <c r="U6657" s="29" t="str">
        <f>HYPERLINK("https://ictv.global/taxonomy/taxondetails?taxnode_id=202303376","ictv.global=202303376")</f>
        <v>ictv.global=202303376</v>
      </c>
    </row>
    <row r="6658" spans="1:21">
      <c r="A6658">
        <v>6657</v>
      </c>
      <c r="B6658" s="30" t="s">
        <v>1956</v>
      </c>
      <c r="D6658" s="30" t="s">
        <v>1985</v>
      </c>
      <c r="F6658" s="30" t="s">
        <v>2009</v>
      </c>
      <c r="H6658" s="30" t="s">
        <v>2018</v>
      </c>
      <c r="J6658" s="30" t="s">
        <v>2019</v>
      </c>
      <c r="L6658" s="30" t="s">
        <v>499</v>
      </c>
      <c r="N6658" s="30" t="s">
        <v>500</v>
      </c>
      <c r="P6658" s="30" t="s">
        <v>13788</v>
      </c>
      <c r="Q6658" t="s">
        <v>622</v>
      </c>
      <c r="R6658" t="s">
        <v>920</v>
      </c>
      <c r="S6658">
        <v>39</v>
      </c>
      <c r="T6658" s="29" t="str">
        <f t="shared" si="291"/>
        <v>2023.015P.Geminiviridae_rename_sp.zip</v>
      </c>
      <c r="U6658" s="29" t="str">
        <f>HYPERLINK("https://ictv.global/taxonomy/taxondetails?taxnode_id=202305832","ictv.global=202305832")</f>
        <v>ictv.global=202305832</v>
      </c>
    </row>
    <row r="6659" spans="1:21">
      <c r="A6659">
        <v>6658</v>
      </c>
      <c r="B6659" s="30" t="s">
        <v>1956</v>
      </c>
      <c r="D6659" s="30" t="s">
        <v>1985</v>
      </c>
      <c r="F6659" s="30" t="s">
        <v>2009</v>
      </c>
      <c r="H6659" s="30" t="s">
        <v>2018</v>
      </c>
      <c r="J6659" s="30" t="s">
        <v>2019</v>
      </c>
      <c r="L6659" s="30" t="s">
        <v>499</v>
      </c>
      <c r="N6659" s="30" t="s">
        <v>500</v>
      </c>
      <c r="P6659" s="30" t="s">
        <v>13789</v>
      </c>
      <c r="Q6659" t="s">
        <v>622</v>
      </c>
      <c r="R6659" t="s">
        <v>920</v>
      </c>
      <c r="S6659">
        <v>39</v>
      </c>
      <c r="T6659" s="29" t="str">
        <f t="shared" si="291"/>
        <v>2023.015P.Geminiviridae_rename_sp.zip</v>
      </c>
      <c r="U6659" s="29" t="str">
        <f>HYPERLINK("https://ictv.global/taxonomy/taxondetails?taxnode_id=202305833","ictv.global=202305833")</f>
        <v>ictv.global=202305833</v>
      </c>
    </row>
    <row r="6660" spans="1:21">
      <c r="A6660">
        <v>6659</v>
      </c>
      <c r="B6660" s="30" t="s">
        <v>1956</v>
      </c>
      <c r="D6660" s="30" t="s">
        <v>1985</v>
      </c>
      <c r="F6660" s="30" t="s">
        <v>2009</v>
      </c>
      <c r="H6660" s="30" t="s">
        <v>2018</v>
      </c>
      <c r="J6660" s="30" t="s">
        <v>2019</v>
      </c>
      <c r="L6660" s="30" t="s">
        <v>499</v>
      </c>
      <c r="N6660" s="30" t="s">
        <v>500</v>
      </c>
      <c r="P6660" s="30" t="s">
        <v>13790</v>
      </c>
      <c r="Q6660" t="s">
        <v>622</v>
      </c>
      <c r="R6660" t="s">
        <v>920</v>
      </c>
      <c r="S6660">
        <v>39</v>
      </c>
      <c r="T6660" s="29" t="str">
        <f t="shared" si="291"/>
        <v>2023.015P.Geminiviridae_rename_sp.zip</v>
      </c>
      <c r="U6660" s="29" t="str">
        <f>HYPERLINK("https://ictv.global/taxonomy/taxondetails?taxnode_id=202305842","ictv.global=202305842")</f>
        <v>ictv.global=202305842</v>
      </c>
    </row>
    <row r="6661" spans="1:21">
      <c r="A6661">
        <v>6660</v>
      </c>
      <c r="B6661" s="30" t="s">
        <v>1956</v>
      </c>
      <c r="D6661" s="30" t="s">
        <v>1985</v>
      </c>
      <c r="F6661" s="30" t="s">
        <v>2009</v>
      </c>
      <c r="H6661" s="30" t="s">
        <v>2018</v>
      </c>
      <c r="J6661" s="30" t="s">
        <v>2019</v>
      </c>
      <c r="L6661" s="30" t="s">
        <v>499</v>
      </c>
      <c r="N6661" s="30" t="s">
        <v>500</v>
      </c>
      <c r="P6661" s="30" t="s">
        <v>13791</v>
      </c>
      <c r="Q6661" t="s">
        <v>622</v>
      </c>
      <c r="R6661" t="s">
        <v>920</v>
      </c>
      <c r="S6661">
        <v>39</v>
      </c>
      <c r="T6661" s="29" t="str">
        <f t="shared" si="291"/>
        <v>2023.015P.Geminiviridae_rename_sp.zip</v>
      </c>
      <c r="U6661" s="29" t="str">
        <f>HYPERLINK("https://ictv.global/taxonomy/taxondetails?taxnode_id=202303316","ictv.global=202303316")</f>
        <v>ictv.global=202303316</v>
      </c>
    </row>
    <row r="6662" spans="1:21">
      <c r="A6662">
        <v>6661</v>
      </c>
      <c r="B6662" s="30" t="s">
        <v>1956</v>
      </c>
      <c r="D6662" s="30" t="s">
        <v>1985</v>
      </c>
      <c r="F6662" s="30" t="s">
        <v>2009</v>
      </c>
      <c r="H6662" s="30" t="s">
        <v>2018</v>
      </c>
      <c r="J6662" s="30" t="s">
        <v>2019</v>
      </c>
      <c r="L6662" s="30" t="s">
        <v>499</v>
      </c>
      <c r="N6662" s="30" t="s">
        <v>500</v>
      </c>
      <c r="P6662" s="30" t="s">
        <v>13792</v>
      </c>
      <c r="Q6662" t="s">
        <v>622</v>
      </c>
      <c r="R6662" t="s">
        <v>920</v>
      </c>
      <c r="S6662">
        <v>39</v>
      </c>
      <c r="T6662" s="29" t="str">
        <f t="shared" si="291"/>
        <v>2023.015P.Geminiviridae_rename_sp.zip</v>
      </c>
      <c r="U6662" s="29" t="str">
        <f>HYPERLINK("https://ictv.global/taxonomy/taxondetails?taxnode_id=202303315","ictv.global=202303315")</f>
        <v>ictv.global=202303315</v>
      </c>
    </row>
    <row r="6663" spans="1:21">
      <c r="A6663">
        <v>6662</v>
      </c>
      <c r="B6663" s="30" t="s">
        <v>1956</v>
      </c>
      <c r="D6663" s="30" t="s">
        <v>1985</v>
      </c>
      <c r="F6663" s="30" t="s">
        <v>2009</v>
      </c>
      <c r="H6663" s="30" t="s">
        <v>2018</v>
      </c>
      <c r="J6663" s="30" t="s">
        <v>2019</v>
      </c>
      <c r="L6663" s="30" t="s">
        <v>499</v>
      </c>
      <c r="N6663" s="30" t="s">
        <v>500</v>
      </c>
      <c r="P6663" s="30" t="s">
        <v>13793</v>
      </c>
      <c r="Q6663" t="s">
        <v>739</v>
      </c>
      <c r="R6663" t="s">
        <v>920</v>
      </c>
      <c r="S6663">
        <v>39</v>
      </c>
      <c r="T6663" s="29" t="str">
        <f t="shared" si="291"/>
        <v>2023.015P.Geminiviridae_rename_sp.zip</v>
      </c>
      <c r="U6663" s="29" t="str">
        <f>HYPERLINK("https://ictv.global/taxonomy/taxondetails?taxnode_id=202309138","ictv.global=202309138")</f>
        <v>ictv.global=202309138</v>
      </c>
    </row>
    <row r="6664" spans="1:21">
      <c r="A6664">
        <v>6663</v>
      </c>
      <c r="B6664" s="30" t="s">
        <v>1956</v>
      </c>
      <c r="D6664" s="30" t="s">
        <v>1985</v>
      </c>
      <c r="F6664" s="30" t="s">
        <v>2009</v>
      </c>
      <c r="H6664" s="30" t="s">
        <v>2018</v>
      </c>
      <c r="J6664" s="30" t="s">
        <v>2019</v>
      </c>
      <c r="L6664" s="30" t="s">
        <v>499</v>
      </c>
      <c r="N6664" s="30" t="s">
        <v>500</v>
      </c>
      <c r="P6664" s="30" t="s">
        <v>13794</v>
      </c>
      <c r="Q6664" t="s">
        <v>622</v>
      </c>
      <c r="R6664" t="s">
        <v>920</v>
      </c>
      <c r="S6664">
        <v>39</v>
      </c>
      <c r="T6664" s="29" t="str">
        <f t="shared" si="291"/>
        <v>2023.015P.Geminiviridae_rename_sp.zip</v>
      </c>
      <c r="U6664" s="29" t="str">
        <f>HYPERLINK("https://ictv.global/taxonomy/taxondetails?taxnode_id=202305844","ictv.global=202305844")</f>
        <v>ictv.global=202305844</v>
      </c>
    </row>
    <row r="6665" spans="1:21">
      <c r="A6665">
        <v>6664</v>
      </c>
      <c r="B6665" s="30" t="s">
        <v>1956</v>
      </c>
      <c r="D6665" s="30" t="s">
        <v>1985</v>
      </c>
      <c r="F6665" s="30" t="s">
        <v>2009</v>
      </c>
      <c r="H6665" s="30" t="s">
        <v>2018</v>
      </c>
      <c r="J6665" s="30" t="s">
        <v>2019</v>
      </c>
      <c r="L6665" s="30" t="s">
        <v>499</v>
      </c>
      <c r="N6665" s="30" t="s">
        <v>500</v>
      </c>
      <c r="P6665" s="30" t="s">
        <v>13795</v>
      </c>
      <c r="Q6665" t="s">
        <v>622</v>
      </c>
      <c r="R6665" t="s">
        <v>920</v>
      </c>
      <c r="S6665">
        <v>39</v>
      </c>
      <c r="T6665" s="29" t="str">
        <f t="shared" si="291"/>
        <v>2023.015P.Geminiviridae_rename_sp.zip</v>
      </c>
      <c r="U6665" s="29" t="str">
        <f>HYPERLINK("https://ictv.global/taxonomy/taxondetails?taxnode_id=202306717","ictv.global=202306717")</f>
        <v>ictv.global=202306717</v>
      </c>
    </row>
    <row r="6666" spans="1:21">
      <c r="A6666">
        <v>6665</v>
      </c>
      <c r="B6666" s="30" t="s">
        <v>1956</v>
      </c>
      <c r="D6666" s="30" t="s">
        <v>1985</v>
      </c>
      <c r="F6666" s="30" t="s">
        <v>2009</v>
      </c>
      <c r="H6666" s="30" t="s">
        <v>2018</v>
      </c>
      <c r="J6666" s="30" t="s">
        <v>2019</v>
      </c>
      <c r="L6666" s="30" t="s">
        <v>499</v>
      </c>
      <c r="N6666" s="30" t="s">
        <v>500</v>
      </c>
      <c r="P6666" s="30" t="s">
        <v>13796</v>
      </c>
      <c r="Q6666" t="s">
        <v>622</v>
      </c>
      <c r="R6666" t="s">
        <v>920</v>
      </c>
      <c r="S6666">
        <v>39</v>
      </c>
      <c r="T6666" s="29" t="str">
        <f t="shared" si="291"/>
        <v>2023.015P.Geminiviridae_rename_sp.zip</v>
      </c>
      <c r="U6666" s="29" t="str">
        <f>HYPERLINK("https://ictv.global/taxonomy/taxondetails?taxnode_id=202303491","ictv.global=202303491")</f>
        <v>ictv.global=202303491</v>
      </c>
    </row>
    <row r="6667" spans="1:21">
      <c r="A6667">
        <v>6666</v>
      </c>
      <c r="B6667" s="30" t="s">
        <v>1956</v>
      </c>
      <c r="D6667" s="30" t="s">
        <v>1985</v>
      </c>
      <c r="F6667" s="30" t="s">
        <v>2009</v>
      </c>
      <c r="H6667" s="30" t="s">
        <v>2018</v>
      </c>
      <c r="J6667" s="30" t="s">
        <v>2019</v>
      </c>
      <c r="L6667" s="30" t="s">
        <v>499</v>
      </c>
      <c r="N6667" s="30" t="s">
        <v>500</v>
      </c>
      <c r="P6667" s="30" t="s">
        <v>13797</v>
      </c>
      <c r="Q6667" t="s">
        <v>622</v>
      </c>
      <c r="R6667" t="s">
        <v>920</v>
      </c>
      <c r="S6667">
        <v>39</v>
      </c>
      <c r="T6667" s="29" t="str">
        <f t="shared" si="291"/>
        <v>2023.015P.Geminiviridae_rename_sp.zip</v>
      </c>
      <c r="U6667" s="29" t="str">
        <f>HYPERLINK("https://ictv.global/taxonomy/taxondetails?taxnode_id=202303492","ictv.global=202303492")</f>
        <v>ictv.global=202303492</v>
      </c>
    </row>
    <row r="6668" spans="1:21">
      <c r="A6668">
        <v>6667</v>
      </c>
      <c r="B6668" s="30" t="s">
        <v>1956</v>
      </c>
      <c r="D6668" s="30" t="s">
        <v>1985</v>
      </c>
      <c r="F6668" s="30" t="s">
        <v>2009</v>
      </c>
      <c r="H6668" s="30" t="s">
        <v>2018</v>
      </c>
      <c r="J6668" s="30" t="s">
        <v>2019</v>
      </c>
      <c r="L6668" s="30" t="s">
        <v>499</v>
      </c>
      <c r="N6668" s="30" t="s">
        <v>500</v>
      </c>
      <c r="P6668" s="30" t="s">
        <v>13798</v>
      </c>
      <c r="Q6668" t="s">
        <v>739</v>
      </c>
      <c r="R6668" t="s">
        <v>920</v>
      </c>
      <c r="S6668">
        <v>39</v>
      </c>
      <c r="T6668" s="29" t="str">
        <f t="shared" si="291"/>
        <v>2023.015P.Geminiviridae_rename_sp.zip</v>
      </c>
      <c r="U6668" s="29" t="str">
        <f>HYPERLINK("https://ictv.global/taxonomy/taxondetails?taxnode_id=202307520","ictv.global=202307520")</f>
        <v>ictv.global=202307520</v>
      </c>
    </row>
    <row r="6669" spans="1:21">
      <c r="A6669">
        <v>6668</v>
      </c>
      <c r="B6669" s="30" t="s">
        <v>1956</v>
      </c>
      <c r="D6669" s="30" t="s">
        <v>1985</v>
      </c>
      <c r="F6669" s="30" t="s">
        <v>2009</v>
      </c>
      <c r="H6669" s="30" t="s">
        <v>2018</v>
      </c>
      <c r="J6669" s="30" t="s">
        <v>2019</v>
      </c>
      <c r="L6669" s="30" t="s">
        <v>499</v>
      </c>
      <c r="N6669" s="30" t="s">
        <v>500</v>
      </c>
      <c r="P6669" s="30" t="s">
        <v>13799</v>
      </c>
      <c r="Q6669" t="s">
        <v>622</v>
      </c>
      <c r="R6669" t="s">
        <v>920</v>
      </c>
      <c r="S6669">
        <v>39</v>
      </c>
      <c r="T6669" s="29" t="str">
        <f t="shared" si="291"/>
        <v>2023.015P.Geminiviridae_rename_sp.zip</v>
      </c>
      <c r="U6669" s="29" t="str">
        <f>HYPERLINK("https://ictv.global/taxonomy/taxondetails?taxnode_id=202303230","ictv.global=202303230")</f>
        <v>ictv.global=202303230</v>
      </c>
    </row>
    <row r="6670" spans="1:21">
      <c r="A6670">
        <v>6669</v>
      </c>
      <c r="B6670" s="30" t="s">
        <v>1956</v>
      </c>
      <c r="D6670" s="30" t="s">
        <v>1985</v>
      </c>
      <c r="F6670" s="30" t="s">
        <v>2009</v>
      </c>
      <c r="H6670" s="30" t="s">
        <v>2018</v>
      </c>
      <c r="J6670" s="30" t="s">
        <v>2019</v>
      </c>
      <c r="L6670" s="30" t="s">
        <v>499</v>
      </c>
      <c r="N6670" s="30" t="s">
        <v>500</v>
      </c>
      <c r="P6670" s="30" t="s">
        <v>13800</v>
      </c>
      <c r="Q6670" t="s">
        <v>622</v>
      </c>
      <c r="R6670" t="s">
        <v>920</v>
      </c>
      <c r="S6670">
        <v>39</v>
      </c>
      <c r="T6670" s="29" t="str">
        <f t="shared" si="291"/>
        <v>2023.015P.Geminiviridae_rename_sp.zip</v>
      </c>
      <c r="U6670" s="29" t="str">
        <f>HYPERLINK("https://ictv.global/taxonomy/taxondetails?taxnode_id=202303295","ictv.global=202303295")</f>
        <v>ictv.global=202303295</v>
      </c>
    </row>
    <row r="6671" spans="1:21">
      <c r="A6671">
        <v>6670</v>
      </c>
      <c r="B6671" s="30" t="s">
        <v>1956</v>
      </c>
      <c r="D6671" s="30" t="s">
        <v>1985</v>
      </c>
      <c r="F6671" s="30" t="s">
        <v>2009</v>
      </c>
      <c r="H6671" s="30" t="s">
        <v>2018</v>
      </c>
      <c r="J6671" s="30" t="s">
        <v>2019</v>
      </c>
      <c r="L6671" s="30" t="s">
        <v>499</v>
      </c>
      <c r="N6671" s="30" t="s">
        <v>500</v>
      </c>
      <c r="P6671" s="30" t="s">
        <v>13801</v>
      </c>
      <c r="Q6671" t="s">
        <v>622</v>
      </c>
      <c r="R6671" t="s">
        <v>920</v>
      </c>
      <c r="S6671">
        <v>39</v>
      </c>
      <c r="T6671" s="29" t="str">
        <f t="shared" si="291"/>
        <v>2023.015P.Geminiviridae_rename_sp.zip</v>
      </c>
      <c r="U6671" s="29" t="str">
        <f>HYPERLINK("https://ictv.global/taxonomy/taxondetails?taxnode_id=202303294","ictv.global=202303294")</f>
        <v>ictv.global=202303294</v>
      </c>
    </row>
    <row r="6672" spans="1:21">
      <c r="A6672">
        <v>6671</v>
      </c>
      <c r="B6672" s="30" t="s">
        <v>1956</v>
      </c>
      <c r="D6672" s="30" t="s">
        <v>1985</v>
      </c>
      <c r="F6672" s="30" t="s">
        <v>2009</v>
      </c>
      <c r="H6672" s="30" t="s">
        <v>2018</v>
      </c>
      <c r="J6672" s="30" t="s">
        <v>2019</v>
      </c>
      <c r="L6672" s="30" t="s">
        <v>499</v>
      </c>
      <c r="N6672" s="30" t="s">
        <v>500</v>
      </c>
      <c r="P6672" s="30" t="s">
        <v>13802</v>
      </c>
      <c r="Q6672" t="s">
        <v>622</v>
      </c>
      <c r="R6672" t="s">
        <v>920</v>
      </c>
      <c r="S6672">
        <v>39</v>
      </c>
      <c r="T6672" s="29" t="str">
        <f t="shared" si="291"/>
        <v>2023.015P.Geminiviridae_rename_sp.zip</v>
      </c>
      <c r="U6672" s="29" t="str">
        <f>HYPERLINK("https://ictv.global/taxonomy/taxondetails?taxnode_id=202305845","ictv.global=202305845")</f>
        <v>ictv.global=202305845</v>
      </c>
    </row>
    <row r="6673" spans="1:21">
      <c r="A6673">
        <v>6672</v>
      </c>
      <c r="B6673" s="30" t="s">
        <v>1956</v>
      </c>
      <c r="D6673" s="30" t="s">
        <v>1985</v>
      </c>
      <c r="F6673" s="30" t="s">
        <v>2009</v>
      </c>
      <c r="H6673" s="30" t="s">
        <v>2018</v>
      </c>
      <c r="J6673" s="30" t="s">
        <v>2019</v>
      </c>
      <c r="L6673" s="30" t="s">
        <v>499</v>
      </c>
      <c r="N6673" s="30" t="s">
        <v>500</v>
      </c>
      <c r="P6673" s="30" t="s">
        <v>13803</v>
      </c>
      <c r="Q6673" t="s">
        <v>622</v>
      </c>
      <c r="R6673" t="s">
        <v>920</v>
      </c>
      <c r="S6673">
        <v>39</v>
      </c>
      <c r="T6673" s="29" t="str">
        <f t="shared" si="291"/>
        <v>2023.015P.Geminiviridae_rename_sp.zip</v>
      </c>
      <c r="U6673" s="29" t="str">
        <f>HYPERLINK("https://ictv.global/taxonomy/taxondetails?taxnode_id=202305794","ictv.global=202305794")</f>
        <v>ictv.global=202305794</v>
      </c>
    </row>
    <row r="6674" spans="1:21">
      <c r="A6674">
        <v>6673</v>
      </c>
      <c r="B6674" s="30" t="s">
        <v>1956</v>
      </c>
      <c r="D6674" s="30" t="s">
        <v>1985</v>
      </c>
      <c r="F6674" s="30" t="s">
        <v>2009</v>
      </c>
      <c r="H6674" s="30" t="s">
        <v>2018</v>
      </c>
      <c r="J6674" s="30" t="s">
        <v>2019</v>
      </c>
      <c r="L6674" s="30" t="s">
        <v>499</v>
      </c>
      <c r="N6674" s="30" t="s">
        <v>500</v>
      </c>
      <c r="P6674" s="30" t="s">
        <v>13804</v>
      </c>
      <c r="Q6674" t="s">
        <v>622</v>
      </c>
      <c r="R6674" t="s">
        <v>920</v>
      </c>
      <c r="S6674">
        <v>39</v>
      </c>
      <c r="T6674" s="29" t="str">
        <f t="shared" si="291"/>
        <v>2023.015P.Geminiviridae_rename_sp.zip</v>
      </c>
      <c r="U6674" s="29" t="str">
        <f>HYPERLINK("https://ictv.global/taxonomy/taxondetails?taxnode_id=202303365","ictv.global=202303365")</f>
        <v>ictv.global=202303365</v>
      </c>
    </row>
    <row r="6675" spans="1:21">
      <c r="A6675">
        <v>6674</v>
      </c>
      <c r="B6675" s="30" t="s">
        <v>1956</v>
      </c>
      <c r="D6675" s="30" t="s">
        <v>1985</v>
      </c>
      <c r="F6675" s="30" t="s">
        <v>2009</v>
      </c>
      <c r="H6675" s="30" t="s">
        <v>2018</v>
      </c>
      <c r="J6675" s="30" t="s">
        <v>2019</v>
      </c>
      <c r="L6675" s="30" t="s">
        <v>499</v>
      </c>
      <c r="N6675" s="30" t="s">
        <v>500</v>
      </c>
      <c r="P6675" s="30" t="s">
        <v>13805</v>
      </c>
      <c r="Q6675" t="s">
        <v>622</v>
      </c>
      <c r="R6675" t="s">
        <v>920</v>
      </c>
      <c r="S6675">
        <v>39</v>
      </c>
      <c r="T6675" s="29" t="str">
        <f t="shared" si="291"/>
        <v>2023.015P.Geminiviridae_rename_sp.zip</v>
      </c>
      <c r="U6675" s="29" t="str">
        <f>HYPERLINK("https://ictv.global/taxonomy/taxondetails?taxnode_id=202303496","ictv.global=202303496")</f>
        <v>ictv.global=202303496</v>
      </c>
    </row>
    <row r="6676" spans="1:21">
      <c r="A6676">
        <v>6675</v>
      </c>
      <c r="B6676" s="30" t="s">
        <v>1956</v>
      </c>
      <c r="D6676" s="30" t="s">
        <v>1985</v>
      </c>
      <c r="F6676" s="30" t="s">
        <v>2009</v>
      </c>
      <c r="H6676" s="30" t="s">
        <v>2018</v>
      </c>
      <c r="J6676" s="30" t="s">
        <v>2019</v>
      </c>
      <c r="L6676" s="30" t="s">
        <v>499</v>
      </c>
      <c r="N6676" s="30" t="s">
        <v>500</v>
      </c>
      <c r="P6676" s="30" t="s">
        <v>13806</v>
      </c>
      <c r="Q6676" t="s">
        <v>622</v>
      </c>
      <c r="R6676" t="s">
        <v>920</v>
      </c>
      <c r="S6676">
        <v>39</v>
      </c>
      <c r="T6676" s="29" t="str">
        <f t="shared" si="291"/>
        <v>2023.015P.Geminiviridae_rename_sp.zip</v>
      </c>
      <c r="U6676" s="29" t="str">
        <f>HYPERLINK("https://ictv.global/taxonomy/taxondetails?taxnode_id=202305852","ictv.global=202305852")</f>
        <v>ictv.global=202305852</v>
      </c>
    </row>
    <row r="6677" spans="1:21">
      <c r="A6677">
        <v>6676</v>
      </c>
      <c r="B6677" s="30" t="s">
        <v>1956</v>
      </c>
      <c r="D6677" s="30" t="s">
        <v>1985</v>
      </c>
      <c r="F6677" s="30" t="s">
        <v>2009</v>
      </c>
      <c r="H6677" s="30" t="s">
        <v>2018</v>
      </c>
      <c r="J6677" s="30" t="s">
        <v>2019</v>
      </c>
      <c r="L6677" s="30" t="s">
        <v>499</v>
      </c>
      <c r="N6677" s="30" t="s">
        <v>500</v>
      </c>
      <c r="P6677" s="30" t="s">
        <v>13807</v>
      </c>
      <c r="Q6677" t="s">
        <v>622</v>
      </c>
      <c r="R6677" t="s">
        <v>920</v>
      </c>
      <c r="S6677">
        <v>39</v>
      </c>
      <c r="T6677" s="29" t="str">
        <f t="shared" si="291"/>
        <v>2023.015P.Geminiviridae_rename_sp.zip</v>
      </c>
      <c r="U6677" s="29" t="str">
        <f>HYPERLINK("https://ictv.global/taxonomy/taxondetails?taxnode_id=202305816","ictv.global=202305816")</f>
        <v>ictv.global=202305816</v>
      </c>
    </row>
    <row r="6678" spans="1:21">
      <c r="A6678">
        <v>6677</v>
      </c>
      <c r="B6678" s="30" t="s">
        <v>1956</v>
      </c>
      <c r="D6678" s="30" t="s">
        <v>1985</v>
      </c>
      <c r="F6678" s="30" t="s">
        <v>2009</v>
      </c>
      <c r="H6678" s="30" t="s">
        <v>2018</v>
      </c>
      <c r="J6678" s="30" t="s">
        <v>2019</v>
      </c>
      <c r="L6678" s="30" t="s">
        <v>499</v>
      </c>
      <c r="N6678" s="30" t="s">
        <v>897</v>
      </c>
      <c r="P6678" s="30" t="s">
        <v>13808</v>
      </c>
      <c r="Q6678" t="s">
        <v>622</v>
      </c>
      <c r="R6678" t="s">
        <v>920</v>
      </c>
      <c r="S6678">
        <v>39</v>
      </c>
      <c r="T6678" s="29" t="str">
        <f t="shared" ref="T6678:T6741" si="292">HYPERLINK("https://ictv.global/ictv/proposals/2023.015P.Geminiviridae_rename_sp.zip","2023.015P.Geminiviridae_rename_sp.zip")</f>
        <v>2023.015P.Geminiviridae_rename_sp.zip</v>
      </c>
      <c r="U6678" s="29" t="str">
        <f>HYPERLINK("https://ictv.global/taxonomy/taxondetails?taxnode_id=202303499","ictv.global=202303499")</f>
        <v>ictv.global=202303499</v>
      </c>
    </row>
    <row r="6679" spans="1:21">
      <c r="A6679">
        <v>6678</v>
      </c>
      <c r="B6679" s="30" t="s">
        <v>1956</v>
      </c>
      <c r="D6679" s="30" t="s">
        <v>1985</v>
      </c>
      <c r="F6679" s="30" t="s">
        <v>2009</v>
      </c>
      <c r="H6679" s="30" t="s">
        <v>2018</v>
      </c>
      <c r="J6679" s="30" t="s">
        <v>2019</v>
      </c>
      <c r="L6679" s="30" t="s">
        <v>499</v>
      </c>
      <c r="N6679" s="30" t="s">
        <v>897</v>
      </c>
      <c r="P6679" s="30" t="s">
        <v>13809</v>
      </c>
      <c r="Q6679" t="s">
        <v>622</v>
      </c>
      <c r="R6679" t="s">
        <v>920</v>
      </c>
      <c r="S6679">
        <v>39</v>
      </c>
      <c r="T6679" s="29" t="str">
        <f t="shared" si="292"/>
        <v>2023.015P.Geminiviridae_rename_sp.zip</v>
      </c>
      <c r="U6679" s="29" t="str">
        <f>HYPERLINK("https://ictv.global/taxonomy/taxondetails?taxnode_id=202303498","ictv.global=202303498")</f>
        <v>ictv.global=202303498</v>
      </c>
    </row>
    <row r="6680" spans="1:21">
      <c r="A6680">
        <v>6679</v>
      </c>
      <c r="B6680" s="30" t="s">
        <v>1956</v>
      </c>
      <c r="D6680" s="30" t="s">
        <v>1985</v>
      </c>
      <c r="F6680" s="30" t="s">
        <v>2009</v>
      </c>
      <c r="H6680" s="30" t="s">
        <v>2018</v>
      </c>
      <c r="J6680" s="30" t="s">
        <v>2019</v>
      </c>
      <c r="L6680" s="30" t="s">
        <v>499</v>
      </c>
      <c r="N6680" s="30" t="s">
        <v>897</v>
      </c>
      <c r="P6680" s="30" t="s">
        <v>13810</v>
      </c>
      <c r="Q6680" t="s">
        <v>622</v>
      </c>
      <c r="R6680" t="s">
        <v>920</v>
      </c>
      <c r="S6680">
        <v>39</v>
      </c>
      <c r="T6680" s="29" t="str">
        <f t="shared" si="292"/>
        <v>2023.015P.Geminiviridae_rename_sp.zip</v>
      </c>
      <c r="U6680" s="29" t="str">
        <f>HYPERLINK("https://ictv.global/taxonomy/taxondetails?taxnode_id=202303500","ictv.global=202303500")</f>
        <v>ictv.global=202303500</v>
      </c>
    </row>
    <row r="6681" spans="1:21">
      <c r="A6681">
        <v>6680</v>
      </c>
      <c r="B6681" s="30" t="s">
        <v>1956</v>
      </c>
      <c r="D6681" s="30" t="s">
        <v>1985</v>
      </c>
      <c r="F6681" s="30" t="s">
        <v>2009</v>
      </c>
      <c r="H6681" s="30" t="s">
        <v>2018</v>
      </c>
      <c r="J6681" s="30" t="s">
        <v>2019</v>
      </c>
      <c r="L6681" s="30" t="s">
        <v>499</v>
      </c>
      <c r="N6681" s="30" t="s">
        <v>897</v>
      </c>
      <c r="P6681" s="30" t="s">
        <v>13811</v>
      </c>
      <c r="Q6681" t="s">
        <v>622</v>
      </c>
      <c r="R6681" t="s">
        <v>920</v>
      </c>
      <c r="S6681">
        <v>39</v>
      </c>
      <c r="T6681" s="29" t="str">
        <f t="shared" si="292"/>
        <v>2023.015P.Geminiviridae_rename_sp.zip</v>
      </c>
      <c r="U6681" s="29" t="str">
        <f>HYPERLINK("https://ictv.global/taxonomy/taxondetails?taxnode_id=202303501","ictv.global=202303501")</f>
        <v>ictv.global=202303501</v>
      </c>
    </row>
    <row r="6682" spans="1:21">
      <c r="A6682">
        <v>6681</v>
      </c>
      <c r="B6682" s="30" t="s">
        <v>1956</v>
      </c>
      <c r="D6682" s="30" t="s">
        <v>1985</v>
      </c>
      <c r="F6682" s="30" t="s">
        <v>2009</v>
      </c>
      <c r="H6682" s="30" t="s">
        <v>2018</v>
      </c>
      <c r="J6682" s="30" t="s">
        <v>2019</v>
      </c>
      <c r="L6682" s="30" t="s">
        <v>499</v>
      </c>
      <c r="N6682" s="30" t="s">
        <v>2612</v>
      </c>
      <c r="P6682" s="30" t="s">
        <v>13812</v>
      </c>
      <c r="Q6682" t="s">
        <v>739</v>
      </c>
      <c r="R6682" t="s">
        <v>920</v>
      </c>
      <c r="S6682">
        <v>39</v>
      </c>
      <c r="T6682" s="29" t="str">
        <f t="shared" si="292"/>
        <v>2023.015P.Geminiviridae_rename_sp.zip</v>
      </c>
      <c r="U6682" s="29" t="str">
        <f>HYPERLINK("https://ictv.global/taxonomy/taxondetails?taxnode_id=202309792","ictv.global=202309792")</f>
        <v>ictv.global=202309792</v>
      </c>
    </row>
    <row r="6683" spans="1:21">
      <c r="A6683">
        <v>6682</v>
      </c>
      <c r="B6683" s="30" t="s">
        <v>1956</v>
      </c>
      <c r="D6683" s="30" t="s">
        <v>1985</v>
      </c>
      <c r="F6683" s="30" t="s">
        <v>2009</v>
      </c>
      <c r="H6683" s="30" t="s">
        <v>2018</v>
      </c>
      <c r="J6683" s="30" t="s">
        <v>2019</v>
      </c>
      <c r="L6683" s="30" t="s">
        <v>499</v>
      </c>
      <c r="N6683" s="30" t="s">
        <v>2612</v>
      </c>
      <c r="P6683" s="30" t="s">
        <v>13813</v>
      </c>
      <c r="Q6683" t="s">
        <v>739</v>
      </c>
      <c r="R6683" t="s">
        <v>920</v>
      </c>
      <c r="S6683">
        <v>39</v>
      </c>
      <c r="T6683" s="29" t="str">
        <f t="shared" si="292"/>
        <v>2023.015P.Geminiviridae_rename_sp.zip</v>
      </c>
      <c r="U6683" s="29" t="str">
        <f>HYPERLINK("https://ictv.global/taxonomy/taxondetails?taxnode_id=202309175","ictv.global=202309175")</f>
        <v>ictv.global=202309175</v>
      </c>
    </row>
    <row r="6684" spans="1:21">
      <c r="A6684">
        <v>6683</v>
      </c>
      <c r="B6684" s="30" t="s">
        <v>1956</v>
      </c>
      <c r="D6684" s="30" t="s">
        <v>1985</v>
      </c>
      <c r="F6684" s="30" t="s">
        <v>2009</v>
      </c>
      <c r="H6684" s="30" t="s">
        <v>2018</v>
      </c>
      <c r="J6684" s="30" t="s">
        <v>2019</v>
      </c>
      <c r="L6684" s="30" t="s">
        <v>499</v>
      </c>
      <c r="N6684" s="30" t="s">
        <v>2612</v>
      </c>
      <c r="P6684" s="30" t="s">
        <v>13814</v>
      </c>
      <c r="Q6684" t="s">
        <v>739</v>
      </c>
      <c r="R6684" t="s">
        <v>920</v>
      </c>
      <c r="S6684">
        <v>39</v>
      </c>
      <c r="T6684" s="29" t="str">
        <f t="shared" si="292"/>
        <v>2023.015P.Geminiviridae_rename_sp.zip</v>
      </c>
      <c r="U6684" s="29" t="str">
        <f>HYPERLINK("https://ictv.global/taxonomy/taxondetails?taxnode_id=202303548","ictv.global=202303548")</f>
        <v>ictv.global=202303548</v>
      </c>
    </row>
    <row r="6685" spans="1:21">
      <c r="A6685">
        <v>6684</v>
      </c>
      <c r="B6685" s="30" t="s">
        <v>1956</v>
      </c>
      <c r="D6685" s="30" t="s">
        <v>1985</v>
      </c>
      <c r="F6685" s="30" t="s">
        <v>2009</v>
      </c>
      <c r="H6685" s="30" t="s">
        <v>2018</v>
      </c>
      <c r="J6685" s="30" t="s">
        <v>2019</v>
      </c>
      <c r="L6685" s="30" t="s">
        <v>499</v>
      </c>
      <c r="N6685" s="30" t="s">
        <v>2612</v>
      </c>
      <c r="P6685" s="30" t="s">
        <v>13815</v>
      </c>
      <c r="Q6685" t="s">
        <v>739</v>
      </c>
      <c r="R6685" t="s">
        <v>920</v>
      </c>
      <c r="S6685">
        <v>39</v>
      </c>
      <c r="T6685" s="29" t="str">
        <f t="shared" si="292"/>
        <v>2023.015P.Geminiviridae_rename_sp.zip</v>
      </c>
      <c r="U6685" s="29" t="str">
        <f>HYPERLINK("https://ictv.global/taxonomy/taxondetails?taxnode_id=202309176","ictv.global=202309176")</f>
        <v>ictv.global=202309176</v>
      </c>
    </row>
    <row r="6686" spans="1:21">
      <c r="A6686">
        <v>6685</v>
      </c>
      <c r="B6686" s="30" t="s">
        <v>1956</v>
      </c>
      <c r="D6686" s="30" t="s">
        <v>1985</v>
      </c>
      <c r="F6686" s="30" t="s">
        <v>2009</v>
      </c>
      <c r="H6686" s="30" t="s">
        <v>2018</v>
      </c>
      <c r="J6686" s="30" t="s">
        <v>2019</v>
      </c>
      <c r="L6686" s="30" t="s">
        <v>499</v>
      </c>
      <c r="N6686" s="30" t="s">
        <v>301</v>
      </c>
      <c r="P6686" s="30" t="s">
        <v>13816</v>
      </c>
      <c r="Q6686" t="s">
        <v>622</v>
      </c>
      <c r="R6686" t="s">
        <v>920</v>
      </c>
      <c r="S6686">
        <v>39</v>
      </c>
      <c r="T6686" s="29" t="str">
        <f t="shared" si="292"/>
        <v>2023.015P.Geminiviridae_rename_sp.zip</v>
      </c>
      <c r="U6686" s="29" t="str">
        <f>HYPERLINK("https://ictv.global/taxonomy/taxondetails?taxnode_id=202303504","ictv.global=202303504")</f>
        <v>ictv.global=202303504</v>
      </c>
    </row>
    <row r="6687" spans="1:21">
      <c r="A6687">
        <v>6686</v>
      </c>
      <c r="B6687" s="30" t="s">
        <v>1956</v>
      </c>
      <c r="D6687" s="30" t="s">
        <v>1985</v>
      </c>
      <c r="F6687" s="30" t="s">
        <v>2009</v>
      </c>
      <c r="H6687" s="30" t="s">
        <v>2018</v>
      </c>
      <c r="J6687" s="30" t="s">
        <v>2019</v>
      </c>
      <c r="L6687" s="30" t="s">
        <v>499</v>
      </c>
      <c r="N6687" s="30" t="s">
        <v>301</v>
      </c>
      <c r="P6687" s="30" t="s">
        <v>13817</v>
      </c>
      <c r="Q6687" t="s">
        <v>622</v>
      </c>
      <c r="R6687" t="s">
        <v>920</v>
      </c>
      <c r="S6687">
        <v>39</v>
      </c>
      <c r="T6687" s="29" t="str">
        <f t="shared" si="292"/>
        <v>2023.015P.Geminiviridae_rename_sp.zip</v>
      </c>
      <c r="U6687" s="29" t="str">
        <f>HYPERLINK("https://ictv.global/taxonomy/taxondetails?taxnode_id=202303503","ictv.global=202303503")</f>
        <v>ictv.global=202303503</v>
      </c>
    </row>
    <row r="6688" spans="1:21">
      <c r="A6688">
        <v>6687</v>
      </c>
      <c r="B6688" s="30" t="s">
        <v>1956</v>
      </c>
      <c r="D6688" s="30" t="s">
        <v>1985</v>
      </c>
      <c r="F6688" s="30" t="s">
        <v>2009</v>
      </c>
      <c r="H6688" s="30" t="s">
        <v>2018</v>
      </c>
      <c r="J6688" s="30" t="s">
        <v>2019</v>
      </c>
      <c r="L6688" s="30" t="s">
        <v>499</v>
      </c>
      <c r="N6688" s="30" t="s">
        <v>301</v>
      </c>
      <c r="P6688" s="30" t="s">
        <v>13818</v>
      </c>
      <c r="Q6688" t="s">
        <v>622</v>
      </c>
      <c r="R6688" t="s">
        <v>920</v>
      </c>
      <c r="S6688">
        <v>39</v>
      </c>
      <c r="T6688" s="29" t="str">
        <f t="shared" si="292"/>
        <v>2023.015P.Geminiviridae_rename_sp.zip</v>
      </c>
      <c r="U6688" s="29" t="str">
        <f>HYPERLINK("https://ictv.global/taxonomy/taxondetails?taxnode_id=202303505","ictv.global=202303505")</f>
        <v>ictv.global=202303505</v>
      </c>
    </row>
    <row r="6689" spans="1:21">
      <c r="A6689">
        <v>6688</v>
      </c>
      <c r="B6689" s="30" t="s">
        <v>1956</v>
      </c>
      <c r="D6689" s="30" t="s">
        <v>1985</v>
      </c>
      <c r="F6689" s="30" t="s">
        <v>2009</v>
      </c>
      <c r="H6689" s="30" t="s">
        <v>2018</v>
      </c>
      <c r="J6689" s="30" t="s">
        <v>2019</v>
      </c>
      <c r="L6689" s="30" t="s">
        <v>499</v>
      </c>
      <c r="N6689" s="30" t="s">
        <v>522</v>
      </c>
      <c r="P6689" s="30" t="s">
        <v>13819</v>
      </c>
      <c r="Q6689" t="s">
        <v>622</v>
      </c>
      <c r="R6689" t="s">
        <v>920</v>
      </c>
      <c r="S6689">
        <v>39</v>
      </c>
      <c r="T6689" s="29" t="str">
        <f t="shared" si="292"/>
        <v>2023.015P.Geminiviridae_rename_sp.zip</v>
      </c>
      <c r="U6689" s="29" t="str">
        <f>HYPERLINK("https://ictv.global/taxonomy/taxondetails?taxnode_id=202303507","ictv.global=202303507")</f>
        <v>ictv.global=202303507</v>
      </c>
    </row>
    <row r="6690" spans="1:21">
      <c r="A6690">
        <v>6689</v>
      </c>
      <c r="B6690" s="30" t="s">
        <v>1956</v>
      </c>
      <c r="D6690" s="30" t="s">
        <v>1985</v>
      </c>
      <c r="F6690" s="30" t="s">
        <v>2009</v>
      </c>
      <c r="H6690" s="30" t="s">
        <v>2018</v>
      </c>
      <c r="J6690" s="30" t="s">
        <v>2019</v>
      </c>
      <c r="L6690" s="30" t="s">
        <v>499</v>
      </c>
      <c r="N6690" s="30" t="s">
        <v>898</v>
      </c>
      <c r="P6690" s="30" t="s">
        <v>13820</v>
      </c>
      <c r="Q6690" t="s">
        <v>622</v>
      </c>
      <c r="R6690" t="s">
        <v>920</v>
      </c>
      <c r="S6690">
        <v>39</v>
      </c>
      <c r="T6690" s="29" t="str">
        <f t="shared" si="292"/>
        <v>2023.015P.Geminiviridae_rename_sp.zip</v>
      </c>
      <c r="U6690" s="29" t="str">
        <f>HYPERLINK("https://ictv.global/taxonomy/taxondetails?taxnode_id=202306690","ictv.global=202306690")</f>
        <v>ictv.global=202306690</v>
      </c>
    </row>
    <row r="6691" spans="1:21">
      <c r="A6691">
        <v>6690</v>
      </c>
      <c r="B6691" s="30" t="s">
        <v>1956</v>
      </c>
      <c r="D6691" s="30" t="s">
        <v>1985</v>
      </c>
      <c r="F6691" s="30" t="s">
        <v>2009</v>
      </c>
      <c r="H6691" s="30" t="s">
        <v>2018</v>
      </c>
      <c r="J6691" s="30" t="s">
        <v>2019</v>
      </c>
      <c r="L6691" s="30" t="s">
        <v>499</v>
      </c>
      <c r="N6691" s="30" t="s">
        <v>898</v>
      </c>
      <c r="P6691" s="30" t="s">
        <v>13821</v>
      </c>
      <c r="Q6691" t="s">
        <v>622</v>
      </c>
      <c r="R6691" t="s">
        <v>920</v>
      </c>
      <c r="S6691">
        <v>39</v>
      </c>
      <c r="T6691" s="29" t="str">
        <f t="shared" si="292"/>
        <v>2023.015P.Geminiviridae_rename_sp.zip</v>
      </c>
      <c r="U6691" s="29" t="str">
        <f>HYPERLINK("https://ictv.global/taxonomy/taxondetails?taxnode_id=202306689","ictv.global=202306689")</f>
        <v>ictv.global=202306689</v>
      </c>
    </row>
    <row r="6692" spans="1:21">
      <c r="A6692">
        <v>6691</v>
      </c>
      <c r="B6692" s="30" t="s">
        <v>1956</v>
      </c>
      <c r="D6692" s="30" t="s">
        <v>1985</v>
      </c>
      <c r="F6692" s="30" t="s">
        <v>2009</v>
      </c>
      <c r="H6692" s="30" t="s">
        <v>2018</v>
      </c>
      <c r="J6692" s="30" t="s">
        <v>2019</v>
      </c>
      <c r="L6692" s="30" t="s">
        <v>499</v>
      </c>
      <c r="N6692" s="30" t="s">
        <v>898</v>
      </c>
      <c r="P6692" s="30" t="s">
        <v>13822</v>
      </c>
      <c r="Q6692" t="s">
        <v>622</v>
      </c>
      <c r="R6692" t="s">
        <v>920</v>
      </c>
      <c r="S6692">
        <v>39</v>
      </c>
      <c r="T6692" s="29" t="str">
        <f t="shared" si="292"/>
        <v>2023.015P.Geminiviridae_rename_sp.zip</v>
      </c>
      <c r="U6692" s="29" t="str">
        <f>HYPERLINK("https://ictv.global/taxonomy/taxondetails?taxnode_id=202303509","ictv.global=202303509")</f>
        <v>ictv.global=202303509</v>
      </c>
    </row>
    <row r="6693" spans="1:21">
      <c r="A6693">
        <v>6692</v>
      </c>
      <c r="B6693" s="30" t="s">
        <v>1956</v>
      </c>
      <c r="D6693" s="30" t="s">
        <v>1985</v>
      </c>
      <c r="F6693" s="30" t="s">
        <v>2009</v>
      </c>
      <c r="H6693" s="30" t="s">
        <v>2018</v>
      </c>
      <c r="J6693" s="30" t="s">
        <v>2019</v>
      </c>
      <c r="L6693" s="30" t="s">
        <v>499</v>
      </c>
      <c r="N6693" s="30" t="s">
        <v>2613</v>
      </c>
      <c r="P6693" s="30" t="s">
        <v>13823</v>
      </c>
      <c r="Q6693" t="s">
        <v>739</v>
      </c>
      <c r="R6693" t="s">
        <v>920</v>
      </c>
      <c r="S6693">
        <v>39</v>
      </c>
      <c r="T6693" s="29" t="str">
        <f t="shared" si="292"/>
        <v>2023.015P.Geminiviridae_rename_sp.zip</v>
      </c>
      <c r="U6693" s="29" t="str">
        <f>HYPERLINK("https://ictv.global/taxonomy/taxondetails?taxnode_id=202309171","ictv.global=202309171")</f>
        <v>ictv.global=202309171</v>
      </c>
    </row>
    <row r="6694" spans="1:21">
      <c r="A6694">
        <v>6693</v>
      </c>
      <c r="B6694" s="30" t="s">
        <v>1956</v>
      </c>
      <c r="D6694" s="30" t="s">
        <v>1985</v>
      </c>
      <c r="F6694" s="30" t="s">
        <v>2009</v>
      </c>
      <c r="H6694" s="30" t="s">
        <v>2018</v>
      </c>
      <c r="J6694" s="30" t="s">
        <v>2019</v>
      </c>
      <c r="L6694" s="30" t="s">
        <v>499</v>
      </c>
      <c r="N6694" s="30" t="s">
        <v>2613</v>
      </c>
      <c r="P6694" s="30" t="s">
        <v>13824</v>
      </c>
      <c r="Q6694" t="s">
        <v>739</v>
      </c>
      <c r="R6694" t="s">
        <v>920</v>
      </c>
      <c r="S6694">
        <v>39</v>
      </c>
      <c r="T6694" s="29" t="str">
        <f t="shared" si="292"/>
        <v>2023.015P.Geminiviridae_rename_sp.zip</v>
      </c>
      <c r="U6694" s="29" t="str">
        <f>HYPERLINK("https://ictv.global/taxonomy/taxondetails?taxnode_id=202309169","ictv.global=202309169")</f>
        <v>ictv.global=202309169</v>
      </c>
    </row>
    <row r="6695" spans="1:21">
      <c r="A6695">
        <v>6694</v>
      </c>
      <c r="B6695" s="30" t="s">
        <v>1956</v>
      </c>
      <c r="D6695" s="30" t="s">
        <v>1985</v>
      </c>
      <c r="F6695" s="30" t="s">
        <v>2009</v>
      </c>
      <c r="H6695" s="30" t="s">
        <v>2018</v>
      </c>
      <c r="J6695" s="30" t="s">
        <v>2019</v>
      </c>
      <c r="L6695" s="30" t="s">
        <v>499</v>
      </c>
      <c r="N6695" s="30" t="s">
        <v>2613</v>
      </c>
      <c r="P6695" s="30" t="s">
        <v>13825</v>
      </c>
      <c r="Q6695" t="s">
        <v>739</v>
      </c>
      <c r="R6695" t="s">
        <v>920</v>
      </c>
      <c r="S6695">
        <v>39</v>
      </c>
      <c r="T6695" s="29" t="str">
        <f t="shared" si="292"/>
        <v>2023.015P.Geminiviridae_rename_sp.zip</v>
      </c>
      <c r="U6695" s="29" t="str">
        <f>HYPERLINK("https://ictv.global/taxonomy/taxondetails?taxnode_id=202309170","ictv.global=202309170")</f>
        <v>ictv.global=202309170</v>
      </c>
    </row>
    <row r="6696" spans="1:21">
      <c r="A6696">
        <v>6695</v>
      </c>
      <c r="B6696" s="30" t="s">
        <v>1956</v>
      </c>
      <c r="D6696" s="30" t="s">
        <v>1985</v>
      </c>
      <c r="F6696" s="30" t="s">
        <v>2009</v>
      </c>
      <c r="H6696" s="30" t="s">
        <v>2018</v>
      </c>
      <c r="J6696" s="30" t="s">
        <v>2019</v>
      </c>
      <c r="L6696" s="30" t="s">
        <v>499</v>
      </c>
      <c r="N6696" s="30" t="s">
        <v>192</v>
      </c>
      <c r="P6696" s="30" t="s">
        <v>13826</v>
      </c>
      <c r="Q6696" t="s">
        <v>622</v>
      </c>
      <c r="R6696" t="s">
        <v>920</v>
      </c>
      <c r="S6696">
        <v>39</v>
      </c>
      <c r="T6696" s="29" t="str">
        <f t="shared" si="292"/>
        <v>2023.015P.Geminiviridae_rename_sp.zip</v>
      </c>
      <c r="U6696" s="29" t="str">
        <f>HYPERLINK("https://ictv.global/taxonomy/taxondetails?taxnode_id=202303513","ictv.global=202303513")</f>
        <v>ictv.global=202303513</v>
      </c>
    </row>
    <row r="6697" spans="1:21">
      <c r="A6697">
        <v>6696</v>
      </c>
      <c r="B6697" s="30" t="s">
        <v>1956</v>
      </c>
      <c r="D6697" s="30" t="s">
        <v>1985</v>
      </c>
      <c r="F6697" s="30" t="s">
        <v>2009</v>
      </c>
      <c r="H6697" s="30" t="s">
        <v>2018</v>
      </c>
      <c r="J6697" s="30" t="s">
        <v>2019</v>
      </c>
      <c r="L6697" s="30" t="s">
        <v>499</v>
      </c>
      <c r="N6697" s="30" t="s">
        <v>192</v>
      </c>
      <c r="P6697" s="30" t="s">
        <v>13827</v>
      </c>
      <c r="Q6697" t="s">
        <v>622</v>
      </c>
      <c r="R6697" t="s">
        <v>920</v>
      </c>
      <c r="S6697">
        <v>39</v>
      </c>
      <c r="T6697" s="29" t="str">
        <f t="shared" si="292"/>
        <v>2023.015P.Geminiviridae_rename_sp.zip</v>
      </c>
      <c r="U6697" s="29" t="str">
        <f>HYPERLINK("https://ictv.global/taxonomy/taxondetails?taxnode_id=202303527","ictv.global=202303527")</f>
        <v>ictv.global=202303527</v>
      </c>
    </row>
    <row r="6698" spans="1:21">
      <c r="A6698">
        <v>6697</v>
      </c>
      <c r="B6698" s="30" t="s">
        <v>1956</v>
      </c>
      <c r="D6698" s="30" t="s">
        <v>1985</v>
      </c>
      <c r="F6698" s="30" t="s">
        <v>2009</v>
      </c>
      <c r="H6698" s="30" t="s">
        <v>2018</v>
      </c>
      <c r="J6698" s="30" t="s">
        <v>2019</v>
      </c>
      <c r="L6698" s="30" t="s">
        <v>499</v>
      </c>
      <c r="N6698" s="30" t="s">
        <v>192</v>
      </c>
      <c r="P6698" s="30" t="s">
        <v>13828</v>
      </c>
      <c r="Q6698" t="s">
        <v>622</v>
      </c>
      <c r="R6698" t="s">
        <v>920</v>
      </c>
      <c r="S6698">
        <v>39</v>
      </c>
      <c r="T6698" s="29" t="str">
        <f t="shared" si="292"/>
        <v>2023.015P.Geminiviridae_rename_sp.zip</v>
      </c>
      <c r="U6698" s="29" t="str">
        <f>HYPERLINK("https://ictv.global/taxonomy/taxondetails?taxnode_id=202303511","ictv.global=202303511")</f>
        <v>ictv.global=202303511</v>
      </c>
    </row>
    <row r="6699" spans="1:21">
      <c r="A6699">
        <v>6698</v>
      </c>
      <c r="B6699" s="30" t="s">
        <v>1956</v>
      </c>
      <c r="D6699" s="30" t="s">
        <v>1985</v>
      </c>
      <c r="F6699" s="30" t="s">
        <v>2009</v>
      </c>
      <c r="H6699" s="30" t="s">
        <v>2018</v>
      </c>
      <c r="J6699" s="30" t="s">
        <v>2019</v>
      </c>
      <c r="L6699" s="30" t="s">
        <v>499</v>
      </c>
      <c r="N6699" s="30" t="s">
        <v>192</v>
      </c>
      <c r="P6699" s="30" t="s">
        <v>13829</v>
      </c>
      <c r="Q6699" t="s">
        <v>622</v>
      </c>
      <c r="R6699" t="s">
        <v>920</v>
      </c>
      <c r="S6699">
        <v>39</v>
      </c>
      <c r="T6699" s="29" t="str">
        <f t="shared" si="292"/>
        <v>2023.015P.Geminiviridae_rename_sp.zip</v>
      </c>
      <c r="U6699" s="29" t="str">
        <f>HYPERLINK("https://ictv.global/taxonomy/taxondetails?taxnode_id=202303524","ictv.global=202303524")</f>
        <v>ictv.global=202303524</v>
      </c>
    </row>
    <row r="6700" spans="1:21">
      <c r="A6700">
        <v>6699</v>
      </c>
      <c r="B6700" s="30" t="s">
        <v>1956</v>
      </c>
      <c r="D6700" s="30" t="s">
        <v>1985</v>
      </c>
      <c r="F6700" s="30" t="s">
        <v>2009</v>
      </c>
      <c r="H6700" s="30" t="s">
        <v>2018</v>
      </c>
      <c r="J6700" s="30" t="s">
        <v>2019</v>
      </c>
      <c r="L6700" s="30" t="s">
        <v>499</v>
      </c>
      <c r="N6700" s="30" t="s">
        <v>192</v>
      </c>
      <c r="P6700" s="30" t="s">
        <v>13830</v>
      </c>
      <c r="Q6700" t="s">
        <v>622</v>
      </c>
      <c r="R6700" t="s">
        <v>920</v>
      </c>
      <c r="S6700">
        <v>39</v>
      </c>
      <c r="T6700" s="29" t="str">
        <f t="shared" si="292"/>
        <v>2023.015P.Geminiviridae_rename_sp.zip</v>
      </c>
      <c r="U6700" s="29" t="str">
        <f>HYPERLINK("https://ictv.global/taxonomy/taxondetails?taxnode_id=202303512","ictv.global=202303512")</f>
        <v>ictv.global=202303512</v>
      </c>
    </row>
    <row r="6701" spans="1:21">
      <c r="A6701">
        <v>6700</v>
      </c>
      <c r="B6701" s="30" t="s">
        <v>1956</v>
      </c>
      <c r="D6701" s="30" t="s">
        <v>1985</v>
      </c>
      <c r="F6701" s="30" t="s">
        <v>2009</v>
      </c>
      <c r="H6701" s="30" t="s">
        <v>2018</v>
      </c>
      <c r="J6701" s="30" t="s">
        <v>2019</v>
      </c>
      <c r="L6701" s="30" t="s">
        <v>499</v>
      </c>
      <c r="N6701" s="30" t="s">
        <v>192</v>
      </c>
      <c r="P6701" s="30" t="s">
        <v>13831</v>
      </c>
      <c r="Q6701" t="s">
        <v>622</v>
      </c>
      <c r="R6701" t="s">
        <v>920</v>
      </c>
      <c r="S6701">
        <v>39</v>
      </c>
      <c r="T6701" s="29" t="str">
        <f t="shared" si="292"/>
        <v>2023.015P.Geminiviridae_rename_sp.zip</v>
      </c>
      <c r="U6701" s="29" t="str">
        <f>HYPERLINK("https://ictv.global/taxonomy/taxondetails?taxnode_id=202303518","ictv.global=202303518")</f>
        <v>ictv.global=202303518</v>
      </c>
    </row>
    <row r="6702" spans="1:21">
      <c r="A6702">
        <v>6701</v>
      </c>
      <c r="B6702" s="30" t="s">
        <v>1956</v>
      </c>
      <c r="D6702" s="30" t="s">
        <v>1985</v>
      </c>
      <c r="F6702" s="30" t="s">
        <v>2009</v>
      </c>
      <c r="H6702" s="30" t="s">
        <v>2018</v>
      </c>
      <c r="J6702" s="30" t="s">
        <v>2019</v>
      </c>
      <c r="L6702" s="30" t="s">
        <v>499</v>
      </c>
      <c r="N6702" s="30" t="s">
        <v>192</v>
      </c>
      <c r="P6702" s="30" t="s">
        <v>13832</v>
      </c>
      <c r="Q6702" t="s">
        <v>622</v>
      </c>
      <c r="R6702" t="s">
        <v>920</v>
      </c>
      <c r="S6702">
        <v>39</v>
      </c>
      <c r="T6702" s="29" t="str">
        <f t="shared" si="292"/>
        <v>2023.015P.Geminiviridae_rename_sp.zip</v>
      </c>
      <c r="U6702" s="29" t="str">
        <f>HYPERLINK("https://ictv.global/taxonomy/taxondetails?taxnode_id=202303514","ictv.global=202303514")</f>
        <v>ictv.global=202303514</v>
      </c>
    </row>
    <row r="6703" spans="1:21">
      <c r="A6703">
        <v>6702</v>
      </c>
      <c r="B6703" s="30" t="s">
        <v>1956</v>
      </c>
      <c r="D6703" s="30" t="s">
        <v>1985</v>
      </c>
      <c r="F6703" s="30" t="s">
        <v>2009</v>
      </c>
      <c r="H6703" s="30" t="s">
        <v>2018</v>
      </c>
      <c r="J6703" s="30" t="s">
        <v>2019</v>
      </c>
      <c r="L6703" s="30" t="s">
        <v>499</v>
      </c>
      <c r="N6703" s="30" t="s">
        <v>192</v>
      </c>
      <c r="P6703" s="30" t="s">
        <v>13833</v>
      </c>
      <c r="Q6703" t="s">
        <v>622</v>
      </c>
      <c r="R6703" t="s">
        <v>920</v>
      </c>
      <c r="S6703">
        <v>39</v>
      </c>
      <c r="T6703" s="29" t="str">
        <f t="shared" si="292"/>
        <v>2023.015P.Geminiviridae_rename_sp.zip</v>
      </c>
      <c r="U6703" s="29" t="str">
        <f>HYPERLINK("https://ictv.global/taxonomy/taxondetails?taxnode_id=202303515","ictv.global=202303515")</f>
        <v>ictv.global=202303515</v>
      </c>
    </row>
    <row r="6704" spans="1:21">
      <c r="A6704">
        <v>6703</v>
      </c>
      <c r="B6704" s="30" t="s">
        <v>1956</v>
      </c>
      <c r="D6704" s="30" t="s">
        <v>1985</v>
      </c>
      <c r="F6704" s="30" t="s">
        <v>2009</v>
      </c>
      <c r="H6704" s="30" t="s">
        <v>2018</v>
      </c>
      <c r="J6704" s="30" t="s">
        <v>2019</v>
      </c>
      <c r="L6704" s="30" t="s">
        <v>499</v>
      </c>
      <c r="N6704" s="30" t="s">
        <v>192</v>
      </c>
      <c r="P6704" s="30" t="s">
        <v>13834</v>
      </c>
      <c r="Q6704" t="s">
        <v>622</v>
      </c>
      <c r="R6704" t="s">
        <v>920</v>
      </c>
      <c r="S6704">
        <v>39</v>
      </c>
      <c r="T6704" s="29" t="str">
        <f t="shared" si="292"/>
        <v>2023.015P.Geminiviridae_rename_sp.zip</v>
      </c>
      <c r="U6704" s="29" t="str">
        <f>HYPERLINK("https://ictv.global/taxonomy/taxondetails?taxnode_id=202303519","ictv.global=202303519")</f>
        <v>ictv.global=202303519</v>
      </c>
    </row>
    <row r="6705" spans="1:21">
      <c r="A6705">
        <v>6704</v>
      </c>
      <c r="B6705" s="30" t="s">
        <v>1956</v>
      </c>
      <c r="D6705" s="30" t="s">
        <v>1985</v>
      </c>
      <c r="F6705" s="30" t="s">
        <v>2009</v>
      </c>
      <c r="H6705" s="30" t="s">
        <v>2018</v>
      </c>
      <c r="J6705" s="30" t="s">
        <v>2019</v>
      </c>
      <c r="L6705" s="30" t="s">
        <v>499</v>
      </c>
      <c r="N6705" s="30" t="s">
        <v>192</v>
      </c>
      <c r="P6705" s="30" t="s">
        <v>13835</v>
      </c>
      <c r="Q6705" t="s">
        <v>622</v>
      </c>
      <c r="R6705" t="s">
        <v>920</v>
      </c>
      <c r="S6705">
        <v>39</v>
      </c>
      <c r="T6705" s="29" t="str">
        <f t="shared" si="292"/>
        <v>2023.015P.Geminiviridae_rename_sp.zip</v>
      </c>
      <c r="U6705" s="29" t="str">
        <f>HYPERLINK("https://ictv.global/taxonomy/taxondetails?taxnode_id=202303520","ictv.global=202303520")</f>
        <v>ictv.global=202303520</v>
      </c>
    </row>
    <row r="6706" spans="1:21">
      <c r="A6706">
        <v>6705</v>
      </c>
      <c r="B6706" s="30" t="s">
        <v>1956</v>
      </c>
      <c r="D6706" s="30" t="s">
        <v>1985</v>
      </c>
      <c r="F6706" s="30" t="s">
        <v>2009</v>
      </c>
      <c r="H6706" s="30" t="s">
        <v>2018</v>
      </c>
      <c r="J6706" s="30" t="s">
        <v>2019</v>
      </c>
      <c r="L6706" s="30" t="s">
        <v>499</v>
      </c>
      <c r="N6706" s="30" t="s">
        <v>192</v>
      </c>
      <c r="P6706" s="30" t="s">
        <v>13836</v>
      </c>
      <c r="Q6706" t="s">
        <v>622</v>
      </c>
      <c r="R6706" t="s">
        <v>920</v>
      </c>
      <c r="S6706">
        <v>39</v>
      </c>
      <c r="T6706" s="29" t="str">
        <f t="shared" si="292"/>
        <v>2023.015P.Geminiviridae_rename_sp.zip</v>
      </c>
      <c r="U6706" s="29" t="str">
        <f>HYPERLINK("https://ictv.global/taxonomy/taxondetails?taxnode_id=202303521","ictv.global=202303521")</f>
        <v>ictv.global=202303521</v>
      </c>
    </row>
    <row r="6707" spans="1:21">
      <c r="A6707">
        <v>6706</v>
      </c>
      <c r="B6707" s="30" t="s">
        <v>1956</v>
      </c>
      <c r="D6707" s="30" t="s">
        <v>1985</v>
      </c>
      <c r="F6707" s="30" t="s">
        <v>2009</v>
      </c>
      <c r="H6707" s="30" t="s">
        <v>2018</v>
      </c>
      <c r="J6707" s="30" t="s">
        <v>2019</v>
      </c>
      <c r="L6707" s="30" t="s">
        <v>499</v>
      </c>
      <c r="N6707" s="30" t="s">
        <v>192</v>
      </c>
      <c r="P6707" s="30" t="s">
        <v>13837</v>
      </c>
      <c r="Q6707" t="s">
        <v>622</v>
      </c>
      <c r="R6707" t="s">
        <v>920</v>
      </c>
      <c r="S6707">
        <v>39</v>
      </c>
      <c r="T6707" s="29" t="str">
        <f t="shared" si="292"/>
        <v>2023.015P.Geminiviridae_rename_sp.zip</v>
      </c>
      <c r="U6707" s="29" t="str">
        <f>HYPERLINK("https://ictv.global/taxonomy/taxondetails?taxnode_id=202303529","ictv.global=202303529")</f>
        <v>ictv.global=202303529</v>
      </c>
    </row>
    <row r="6708" spans="1:21">
      <c r="A6708">
        <v>6707</v>
      </c>
      <c r="B6708" s="30" t="s">
        <v>1956</v>
      </c>
      <c r="D6708" s="30" t="s">
        <v>1985</v>
      </c>
      <c r="F6708" s="30" t="s">
        <v>2009</v>
      </c>
      <c r="H6708" s="30" t="s">
        <v>2018</v>
      </c>
      <c r="J6708" s="30" t="s">
        <v>2019</v>
      </c>
      <c r="L6708" s="30" t="s">
        <v>499</v>
      </c>
      <c r="N6708" s="30" t="s">
        <v>192</v>
      </c>
      <c r="P6708" s="30" t="s">
        <v>13838</v>
      </c>
      <c r="Q6708" t="s">
        <v>739</v>
      </c>
      <c r="R6708" t="s">
        <v>920</v>
      </c>
      <c r="S6708">
        <v>39</v>
      </c>
      <c r="T6708" s="29" t="str">
        <f t="shared" si="292"/>
        <v>2023.015P.Geminiviridae_rename_sp.zip</v>
      </c>
      <c r="U6708" s="29" t="str">
        <f>HYPERLINK("https://ictv.global/taxonomy/taxondetails?taxnode_id=202309105","ictv.global=202309105")</f>
        <v>ictv.global=202309105</v>
      </c>
    </row>
    <row r="6709" spans="1:21">
      <c r="A6709">
        <v>6708</v>
      </c>
      <c r="B6709" s="30" t="s">
        <v>1956</v>
      </c>
      <c r="D6709" s="30" t="s">
        <v>1985</v>
      </c>
      <c r="F6709" s="30" t="s">
        <v>2009</v>
      </c>
      <c r="H6709" s="30" t="s">
        <v>2018</v>
      </c>
      <c r="J6709" s="30" t="s">
        <v>2019</v>
      </c>
      <c r="L6709" s="30" t="s">
        <v>499</v>
      </c>
      <c r="N6709" s="30" t="s">
        <v>192</v>
      </c>
      <c r="P6709" s="30" t="s">
        <v>13839</v>
      </c>
      <c r="Q6709" t="s">
        <v>622</v>
      </c>
      <c r="R6709" t="s">
        <v>920</v>
      </c>
      <c r="S6709">
        <v>39</v>
      </c>
      <c r="T6709" s="29" t="str">
        <f t="shared" si="292"/>
        <v>2023.015P.Geminiviridae_rename_sp.zip</v>
      </c>
      <c r="U6709" s="29" t="str">
        <f>HYPERLINK("https://ictv.global/taxonomy/taxondetails?taxnode_id=202303523","ictv.global=202303523")</f>
        <v>ictv.global=202303523</v>
      </c>
    </row>
    <row r="6710" spans="1:21">
      <c r="A6710">
        <v>6709</v>
      </c>
      <c r="B6710" s="30" t="s">
        <v>1956</v>
      </c>
      <c r="D6710" s="30" t="s">
        <v>1985</v>
      </c>
      <c r="F6710" s="30" t="s">
        <v>2009</v>
      </c>
      <c r="H6710" s="30" t="s">
        <v>2018</v>
      </c>
      <c r="J6710" s="30" t="s">
        <v>2019</v>
      </c>
      <c r="L6710" s="30" t="s">
        <v>499</v>
      </c>
      <c r="N6710" s="30" t="s">
        <v>192</v>
      </c>
      <c r="P6710" s="30" t="s">
        <v>13840</v>
      </c>
      <c r="Q6710" t="s">
        <v>622</v>
      </c>
      <c r="R6710" t="s">
        <v>920</v>
      </c>
      <c r="S6710">
        <v>39</v>
      </c>
      <c r="T6710" s="29" t="str">
        <f t="shared" si="292"/>
        <v>2023.015P.Geminiviridae_rename_sp.zip</v>
      </c>
      <c r="U6710" s="29" t="str">
        <f>HYPERLINK("https://ictv.global/taxonomy/taxondetails?taxnode_id=202303522","ictv.global=202303522")</f>
        <v>ictv.global=202303522</v>
      </c>
    </row>
    <row r="6711" spans="1:21">
      <c r="A6711">
        <v>6710</v>
      </c>
      <c r="B6711" s="30" t="s">
        <v>1956</v>
      </c>
      <c r="D6711" s="30" t="s">
        <v>1985</v>
      </c>
      <c r="F6711" s="30" t="s">
        <v>2009</v>
      </c>
      <c r="H6711" s="30" t="s">
        <v>2018</v>
      </c>
      <c r="J6711" s="30" t="s">
        <v>2019</v>
      </c>
      <c r="L6711" s="30" t="s">
        <v>499</v>
      </c>
      <c r="N6711" s="30" t="s">
        <v>192</v>
      </c>
      <c r="P6711" s="30" t="s">
        <v>13841</v>
      </c>
      <c r="Q6711" t="s">
        <v>622</v>
      </c>
      <c r="R6711" t="s">
        <v>920</v>
      </c>
      <c r="S6711">
        <v>39</v>
      </c>
      <c r="T6711" s="29" t="str">
        <f t="shared" si="292"/>
        <v>2023.015P.Geminiviridae_rename_sp.zip</v>
      </c>
      <c r="U6711" s="29" t="str">
        <f>HYPERLINK("https://ictv.global/taxonomy/taxondetails?taxnode_id=202305854","ictv.global=202305854")</f>
        <v>ictv.global=202305854</v>
      </c>
    </row>
    <row r="6712" spans="1:21">
      <c r="A6712">
        <v>6711</v>
      </c>
      <c r="B6712" s="30" t="s">
        <v>1956</v>
      </c>
      <c r="D6712" s="30" t="s">
        <v>1985</v>
      </c>
      <c r="F6712" s="30" t="s">
        <v>2009</v>
      </c>
      <c r="H6712" s="30" t="s">
        <v>2018</v>
      </c>
      <c r="J6712" s="30" t="s">
        <v>2019</v>
      </c>
      <c r="L6712" s="30" t="s">
        <v>499</v>
      </c>
      <c r="N6712" s="30" t="s">
        <v>192</v>
      </c>
      <c r="P6712" s="30" t="s">
        <v>13842</v>
      </c>
      <c r="Q6712" t="s">
        <v>622</v>
      </c>
      <c r="R6712" t="s">
        <v>920</v>
      </c>
      <c r="S6712">
        <v>39</v>
      </c>
      <c r="T6712" s="29" t="str">
        <f t="shared" si="292"/>
        <v>2023.015P.Geminiviridae_rename_sp.zip</v>
      </c>
      <c r="U6712" s="29" t="str">
        <f>HYPERLINK("https://ictv.global/taxonomy/taxondetails?taxnode_id=202305853","ictv.global=202305853")</f>
        <v>ictv.global=202305853</v>
      </c>
    </row>
    <row r="6713" spans="1:21">
      <c r="A6713">
        <v>6712</v>
      </c>
      <c r="B6713" s="30" t="s">
        <v>1956</v>
      </c>
      <c r="D6713" s="30" t="s">
        <v>1985</v>
      </c>
      <c r="F6713" s="30" t="s">
        <v>2009</v>
      </c>
      <c r="H6713" s="30" t="s">
        <v>2018</v>
      </c>
      <c r="J6713" s="30" t="s">
        <v>2019</v>
      </c>
      <c r="L6713" s="30" t="s">
        <v>499</v>
      </c>
      <c r="N6713" s="30" t="s">
        <v>192</v>
      </c>
      <c r="P6713" s="30" t="s">
        <v>13843</v>
      </c>
      <c r="Q6713" t="s">
        <v>622</v>
      </c>
      <c r="R6713" t="s">
        <v>920</v>
      </c>
      <c r="S6713">
        <v>39</v>
      </c>
      <c r="T6713" s="29" t="str">
        <f t="shared" si="292"/>
        <v>2023.015P.Geminiviridae_rename_sp.zip</v>
      </c>
      <c r="U6713" s="29" t="str">
        <f>HYPERLINK("https://ictv.global/taxonomy/taxondetails?taxnode_id=202303517","ictv.global=202303517")</f>
        <v>ictv.global=202303517</v>
      </c>
    </row>
    <row r="6714" spans="1:21">
      <c r="A6714">
        <v>6713</v>
      </c>
      <c r="B6714" s="30" t="s">
        <v>1956</v>
      </c>
      <c r="D6714" s="30" t="s">
        <v>1985</v>
      </c>
      <c r="F6714" s="30" t="s">
        <v>2009</v>
      </c>
      <c r="H6714" s="30" t="s">
        <v>2018</v>
      </c>
      <c r="J6714" s="30" t="s">
        <v>2019</v>
      </c>
      <c r="L6714" s="30" t="s">
        <v>499</v>
      </c>
      <c r="N6714" s="30" t="s">
        <v>192</v>
      </c>
      <c r="P6714" s="30" t="s">
        <v>13844</v>
      </c>
      <c r="Q6714" t="s">
        <v>739</v>
      </c>
      <c r="R6714" t="s">
        <v>920</v>
      </c>
      <c r="S6714">
        <v>39</v>
      </c>
      <c r="T6714" s="29" t="str">
        <f t="shared" si="292"/>
        <v>2023.015P.Geminiviridae_rename_sp.zip</v>
      </c>
      <c r="U6714" s="29" t="str">
        <f>HYPERLINK("https://ictv.global/taxonomy/taxondetails?taxnode_id=202308695","ictv.global=202308695")</f>
        <v>ictv.global=202308695</v>
      </c>
    </row>
    <row r="6715" spans="1:21">
      <c r="A6715">
        <v>6714</v>
      </c>
      <c r="B6715" s="30" t="s">
        <v>1956</v>
      </c>
      <c r="D6715" s="30" t="s">
        <v>1985</v>
      </c>
      <c r="F6715" s="30" t="s">
        <v>2009</v>
      </c>
      <c r="H6715" s="30" t="s">
        <v>2018</v>
      </c>
      <c r="J6715" s="30" t="s">
        <v>2019</v>
      </c>
      <c r="L6715" s="30" t="s">
        <v>499</v>
      </c>
      <c r="N6715" s="30" t="s">
        <v>192</v>
      </c>
      <c r="P6715" s="30" t="s">
        <v>13845</v>
      </c>
      <c r="Q6715" t="s">
        <v>622</v>
      </c>
      <c r="R6715" t="s">
        <v>920</v>
      </c>
      <c r="S6715">
        <v>39</v>
      </c>
      <c r="T6715" s="29" t="str">
        <f t="shared" si="292"/>
        <v>2023.015P.Geminiviridae_rename_sp.zip</v>
      </c>
      <c r="U6715" s="29" t="str">
        <f>HYPERLINK("https://ictv.global/taxonomy/taxondetails?taxnode_id=202303542","ictv.global=202303542")</f>
        <v>ictv.global=202303542</v>
      </c>
    </row>
    <row r="6716" spans="1:21">
      <c r="A6716">
        <v>6715</v>
      </c>
      <c r="B6716" s="30" t="s">
        <v>1956</v>
      </c>
      <c r="D6716" s="30" t="s">
        <v>1985</v>
      </c>
      <c r="F6716" s="30" t="s">
        <v>2009</v>
      </c>
      <c r="H6716" s="30" t="s">
        <v>2018</v>
      </c>
      <c r="J6716" s="30" t="s">
        <v>2019</v>
      </c>
      <c r="L6716" s="30" t="s">
        <v>499</v>
      </c>
      <c r="N6716" s="30" t="s">
        <v>192</v>
      </c>
      <c r="P6716" s="30" t="s">
        <v>13846</v>
      </c>
      <c r="Q6716" t="s">
        <v>622</v>
      </c>
      <c r="R6716" t="s">
        <v>920</v>
      </c>
      <c r="S6716">
        <v>39</v>
      </c>
      <c r="T6716" s="29" t="str">
        <f t="shared" si="292"/>
        <v>2023.015P.Geminiviridae_rename_sp.zip</v>
      </c>
      <c r="U6716" s="29" t="str">
        <f>HYPERLINK("https://ictv.global/taxonomy/taxondetails?taxnode_id=202305857","ictv.global=202305857")</f>
        <v>ictv.global=202305857</v>
      </c>
    </row>
    <row r="6717" spans="1:21">
      <c r="A6717">
        <v>6716</v>
      </c>
      <c r="B6717" s="30" t="s">
        <v>1956</v>
      </c>
      <c r="D6717" s="30" t="s">
        <v>1985</v>
      </c>
      <c r="F6717" s="30" t="s">
        <v>2009</v>
      </c>
      <c r="H6717" s="30" t="s">
        <v>2018</v>
      </c>
      <c r="J6717" s="30" t="s">
        <v>2019</v>
      </c>
      <c r="L6717" s="30" t="s">
        <v>499</v>
      </c>
      <c r="N6717" s="30" t="s">
        <v>192</v>
      </c>
      <c r="P6717" s="30" t="s">
        <v>13847</v>
      </c>
      <c r="Q6717" t="s">
        <v>739</v>
      </c>
      <c r="R6717" t="s">
        <v>920</v>
      </c>
      <c r="S6717">
        <v>39</v>
      </c>
      <c r="T6717" s="29" t="str">
        <f t="shared" si="292"/>
        <v>2023.015P.Geminiviridae_rename_sp.zip</v>
      </c>
      <c r="U6717" s="29" t="str">
        <f>HYPERLINK("https://ictv.global/taxonomy/taxondetails?taxnode_id=202309106","ictv.global=202309106")</f>
        <v>ictv.global=202309106</v>
      </c>
    </row>
    <row r="6718" spans="1:21">
      <c r="A6718">
        <v>6717</v>
      </c>
      <c r="B6718" s="30" t="s">
        <v>1956</v>
      </c>
      <c r="D6718" s="30" t="s">
        <v>1985</v>
      </c>
      <c r="F6718" s="30" t="s">
        <v>2009</v>
      </c>
      <c r="H6718" s="30" t="s">
        <v>2018</v>
      </c>
      <c r="J6718" s="30" t="s">
        <v>2019</v>
      </c>
      <c r="L6718" s="30" t="s">
        <v>499</v>
      </c>
      <c r="N6718" s="30" t="s">
        <v>192</v>
      </c>
      <c r="P6718" s="30" t="s">
        <v>13848</v>
      </c>
      <c r="Q6718" t="s">
        <v>622</v>
      </c>
      <c r="R6718" t="s">
        <v>920</v>
      </c>
      <c r="S6718">
        <v>39</v>
      </c>
      <c r="T6718" s="29" t="str">
        <f t="shared" si="292"/>
        <v>2023.015P.Geminiviridae_rename_sp.zip</v>
      </c>
      <c r="U6718" s="29" t="str">
        <f>HYPERLINK("https://ictv.global/taxonomy/taxondetails?taxnode_id=202303526","ictv.global=202303526")</f>
        <v>ictv.global=202303526</v>
      </c>
    </row>
    <row r="6719" spans="1:21">
      <c r="A6719">
        <v>6718</v>
      </c>
      <c r="B6719" s="30" t="s">
        <v>1956</v>
      </c>
      <c r="D6719" s="30" t="s">
        <v>1985</v>
      </c>
      <c r="F6719" s="30" t="s">
        <v>2009</v>
      </c>
      <c r="H6719" s="30" t="s">
        <v>2018</v>
      </c>
      <c r="J6719" s="30" t="s">
        <v>2019</v>
      </c>
      <c r="L6719" s="30" t="s">
        <v>499</v>
      </c>
      <c r="N6719" s="30" t="s">
        <v>192</v>
      </c>
      <c r="P6719" s="30" t="s">
        <v>13849</v>
      </c>
      <c r="Q6719" t="s">
        <v>622</v>
      </c>
      <c r="R6719" t="s">
        <v>920</v>
      </c>
      <c r="S6719">
        <v>39</v>
      </c>
      <c r="T6719" s="29" t="str">
        <f t="shared" si="292"/>
        <v>2023.015P.Geminiviridae_rename_sp.zip</v>
      </c>
      <c r="U6719" s="29" t="str">
        <f>HYPERLINK("https://ictv.global/taxonomy/taxondetails?taxnode_id=202306686","ictv.global=202306686")</f>
        <v>ictv.global=202306686</v>
      </c>
    </row>
    <row r="6720" spans="1:21">
      <c r="A6720">
        <v>6719</v>
      </c>
      <c r="B6720" s="30" t="s">
        <v>1956</v>
      </c>
      <c r="D6720" s="30" t="s">
        <v>1985</v>
      </c>
      <c r="F6720" s="30" t="s">
        <v>2009</v>
      </c>
      <c r="H6720" s="30" t="s">
        <v>2018</v>
      </c>
      <c r="J6720" s="30" t="s">
        <v>2019</v>
      </c>
      <c r="L6720" s="30" t="s">
        <v>499</v>
      </c>
      <c r="N6720" s="30" t="s">
        <v>192</v>
      </c>
      <c r="P6720" s="30" t="s">
        <v>13850</v>
      </c>
      <c r="Q6720" t="s">
        <v>622</v>
      </c>
      <c r="R6720" t="s">
        <v>920</v>
      </c>
      <c r="S6720">
        <v>39</v>
      </c>
      <c r="T6720" s="29" t="str">
        <f t="shared" si="292"/>
        <v>2023.015P.Geminiviridae_rename_sp.zip</v>
      </c>
      <c r="U6720" s="29" t="str">
        <f>HYPERLINK("https://ictv.global/taxonomy/taxondetails?taxnode_id=202306687","ictv.global=202306687")</f>
        <v>ictv.global=202306687</v>
      </c>
    </row>
    <row r="6721" spans="1:21">
      <c r="A6721">
        <v>6720</v>
      </c>
      <c r="B6721" s="30" t="s">
        <v>1956</v>
      </c>
      <c r="D6721" s="30" t="s">
        <v>1985</v>
      </c>
      <c r="F6721" s="30" t="s">
        <v>2009</v>
      </c>
      <c r="H6721" s="30" t="s">
        <v>2018</v>
      </c>
      <c r="J6721" s="30" t="s">
        <v>2019</v>
      </c>
      <c r="L6721" s="30" t="s">
        <v>499</v>
      </c>
      <c r="N6721" s="30" t="s">
        <v>192</v>
      </c>
      <c r="P6721" s="30" t="s">
        <v>13851</v>
      </c>
      <c r="Q6721" t="s">
        <v>622</v>
      </c>
      <c r="R6721" t="s">
        <v>920</v>
      </c>
      <c r="S6721">
        <v>39</v>
      </c>
      <c r="T6721" s="29" t="str">
        <f t="shared" si="292"/>
        <v>2023.015P.Geminiviridae_rename_sp.zip</v>
      </c>
      <c r="U6721" s="29" t="str">
        <f>HYPERLINK("https://ictv.global/taxonomy/taxondetails?taxnode_id=202303528","ictv.global=202303528")</f>
        <v>ictv.global=202303528</v>
      </c>
    </row>
    <row r="6722" spans="1:21">
      <c r="A6722">
        <v>6721</v>
      </c>
      <c r="B6722" s="30" t="s">
        <v>1956</v>
      </c>
      <c r="D6722" s="30" t="s">
        <v>1985</v>
      </c>
      <c r="F6722" s="30" t="s">
        <v>2009</v>
      </c>
      <c r="H6722" s="30" t="s">
        <v>2018</v>
      </c>
      <c r="J6722" s="30" t="s">
        <v>2019</v>
      </c>
      <c r="L6722" s="30" t="s">
        <v>499</v>
      </c>
      <c r="N6722" s="30" t="s">
        <v>192</v>
      </c>
      <c r="P6722" s="30" t="s">
        <v>13852</v>
      </c>
      <c r="Q6722" t="s">
        <v>622</v>
      </c>
      <c r="R6722" t="s">
        <v>920</v>
      </c>
      <c r="S6722">
        <v>39</v>
      </c>
      <c r="T6722" s="29" t="str">
        <f t="shared" si="292"/>
        <v>2023.015P.Geminiviridae_rename_sp.zip</v>
      </c>
      <c r="U6722" s="29" t="str">
        <f>HYPERLINK("https://ictv.global/taxonomy/taxondetails?taxnode_id=202303530","ictv.global=202303530")</f>
        <v>ictv.global=202303530</v>
      </c>
    </row>
    <row r="6723" spans="1:21">
      <c r="A6723">
        <v>6722</v>
      </c>
      <c r="B6723" s="30" t="s">
        <v>1956</v>
      </c>
      <c r="D6723" s="30" t="s">
        <v>1985</v>
      </c>
      <c r="F6723" s="30" t="s">
        <v>2009</v>
      </c>
      <c r="H6723" s="30" t="s">
        <v>2018</v>
      </c>
      <c r="J6723" s="30" t="s">
        <v>2019</v>
      </c>
      <c r="L6723" s="30" t="s">
        <v>499</v>
      </c>
      <c r="N6723" s="30" t="s">
        <v>192</v>
      </c>
      <c r="P6723" s="30" t="s">
        <v>13853</v>
      </c>
      <c r="Q6723" t="s">
        <v>622</v>
      </c>
      <c r="R6723" t="s">
        <v>920</v>
      </c>
      <c r="S6723">
        <v>39</v>
      </c>
      <c r="T6723" s="29" t="str">
        <f t="shared" si="292"/>
        <v>2023.015P.Geminiviridae_rename_sp.zip</v>
      </c>
      <c r="U6723" s="29" t="str">
        <f>HYPERLINK("https://ictv.global/taxonomy/taxondetails?taxnode_id=202303516","ictv.global=202303516")</f>
        <v>ictv.global=202303516</v>
      </c>
    </row>
    <row r="6724" spans="1:21">
      <c r="A6724">
        <v>6723</v>
      </c>
      <c r="B6724" s="30" t="s">
        <v>1956</v>
      </c>
      <c r="D6724" s="30" t="s">
        <v>1985</v>
      </c>
      <c r="F6724" s="30" t="s">
        <v>2009</v>
      </c>
      <c r="H6724" s="30" t="s">
        <v>2018</v>
      </c>
      <c r="J6724" s="30" t="s">
        <v>2019</v>
      </c>
      <c r="L6724" s="30" t="s">
        <v>499</v>
      </c>
      <c r="N6724" s="30" t="s">
        <v>192</v>
      </c>
      <c r="P6724" s="30" t="s">
        <v>13854</v>
      </c>
      <c r="Q6724" t="s">
        <v>739</v>
      </c>
      <c r="R6724" t="s">
        <v>920</v>
      </c>
      <c r="S6724">
        <v>39</v>
      </c>
      <c r="T6724" s="29" t="str">
        <f t="shared" si="292"/>
        <v>2023.015P.Geminiviridae_rename_sp.zip</v>
      </c>
      <c r="U6724" s="29" t="str">
        <f>HYPERLINK("https://ictv.global/taxonomy/taxondetails?taxnode_id=202309104","ictv.global=202309104")</f>
        <v>ictv.global=202309104</v>
      </c>
    </row>
    <row r="6725" spans="1:21">
      <c r="A6725">
        <v>6724</v>
      </c>
      <c r="B6725" s="30" t="s">
        <v>1956</v>
      </c>
      <c r="D6725" s="30" t="s">
        <v>1985</v>
      </c>
      <c r="F6725" s="30" t="s">
        <v>2009</v>
      </c>
      <c r="H6725" s="30" t="s">
        <v>2018</v>
      </c>
      <c r="J6725" s="30" t="s">
        <v>2019</v>
      </c>
      <c r="L6725" s="30" t="s">
        <v>499</v>
      </c>
      <c r="N6725" s="30" t="s">
        <v>192</v>
      </c>
      <c r="P6725" s="30" t="s">
        <v>13855</v>
      </c>
      <c r="Q6725" t="s">
        <v>622</v>
      </c>
      <c r="R6725" t="s">
        <v>920</v>
      </c>
      <c r="S6725">
        <v>39</v>
      </c>
      <c r="T6725" s="29" t="str">
        <f t="shared" si="292"/>
        <v>2023.015P.Geminiviridae_rename_sp.zip</v>
      </c>
      <c r="U6725" s="29" t="str">
        <f>HYPERLINK("https://ictv.global/taxonomy/taxondetails?taxnode_id=202303531","ictv.global=202303531")</f>
        <v>ictv.global=202303531</v>
      </c>
    </row>
    <row r="6726" spans="1:21">
      <c r="A6726">
        <v>6725</v>
      </c>
      <c r="B6726" s="30" t="s">
        <v>1956</v>
      </c>
      <c r="D6726" s="30" t="s">
        <v>1985</v>
      </c>
      <c r="F6726" s="30" t="s">
        <v>2009</v>
      </c>
      <c r="H6726" s="30" t="s">
        <v>2018</v>
      </c>
      <c r="J6726" s="30" t="s">
        <v>2019</v>
      </c>
      <c r="L6726" s="30" t="s">
        <v>499</v>
      </c>
      <c r="N6726" s="30" t="s">
        <v>192</v>
      </c>
      <c r="P6726" s="30" t="s">
        <v>13856</v>
      </c>
      <c r="Q6726" t="s">
        <v>622</v>
      </c>
      <c r="R6726" t="s">
        <v>920</v>
      </c>
      <c r="S6726">
        <v>39</v>
      </c>
      <c r="T6726" s="29" t="str">
        <f t="shared" si="292"/>
        <v>2023.015P.Geminiviridae_rename_sp.zip</v>
      </c>
      <c r="U6726" s="29" t="str">
        <f>HYPERLINK("https://ictv.global/taxonomy/taxondetails?taxnode_id=202303536","ictv.global=202303536")</f>
        <v>ictv.global=202303536</v>
      </c>
    </row>
    <row r="6727" spans="1:21">
      <c r="A6727">
        <v>6726</v>
      </c>
      <c r="B6727" s="30" t="s">
        <v>1956</v>
      </c>
      <c r="D6727" s="30" t="s">
        <v>1985</v>
      </c>
      <c r="F6727" s="30" t="s">
        <v>2009</v>
      </c>
      <c r="H6727" s="30" t="s">
        <v>2018</v>
      </c>
      <c r="J6727" s="30" t="s">
        <v>2019</v>
      </c>
      <c r="L6727" s="30" t="s">
        <v>499</v>
      </c>
      <c r="N6727" s="30" t="s">
        <v>192</v>
      </c>
      <c r="P6727" s="30" t="s">
        <v>13857</v>
      </c>
      <c r="Q6727" t="s">
        <v>622</v>
      </c>
      <c r="R6727" t="s">
        <v>920</v>
      </c>
      <c r="S6727">
        <v>39</v>
      </c>
      <c r="T6727" s="29" t="str">
        <f t="shared" si="292"/>
        <v>2023.015P.Geminiviridae_rename_sp.zip</v>
      </c>
      <c r="U6727" s="29" t="str">
        <f>HYPERLINK("https://ictv.global/taxonomy/taxondetails?taxnode_id=202303537","ictv.global=202303537")</f>
        <v>ictv.global=202303537</v>
      </c>
    </row>
    <row r="6728" spans="1:21">
      <c r="A6728">
        <v>6727</v>
      </c>
      <c r="B6728" s="30" t="s">
        <v>1956</v>
      </c>
      <c r="D6728" s="30" t="s">
        <v>1985</v>
      </c>
      <c r="F6728" s="30" t="s">
        <v>2009</v>
      </c>
      <c r="H6728" s="30" t="s">
        <v>2018</v>
      </c>
      <c r="J6728" s="30" t="s">
        <v>2019</v>
      </c>
      <c r="L6728" s="30" t="s">
        <v>499</v>
      </c>
      <c r="N6728" s="30" t="s">
        <v>192</v>
      </c>
      <c r="P6728" s="30" t="s">
        <v>13858</v>
      </c>
      <c r="Q6728" t="s">
        <v>622</v>
      </c>
      <c r="R6728" t="s">
        <v>920</v>
      </c>
      <c r="S6728">
        <v>39</v>
      </c>
      <c r="T6728" s="29" t="str">
        <f t="shared" si="292"/>
        <v>2023.015P.Geminiviridae_rename_sp.zip</v>
      </c>
      <c r="U6728" s="29" t="str">
        <f>HYPERLINK("https://ictv.global/taxonomy/taxondetails?taxnode_id=202303535","ictv.global=202303535")</f>
        <v>ictv.global=202303535</v>
      </c>
    </row>
    <row r="6729" spans="1:21">
      <c r="A6729">
        <v>6728</v>
      </c>
      <c r="B6729" s="30" t="s">
        <v>1956</v>
      </c>
      <c r="D6729" s="30" t="s">
        <v>1985</v>
      </c>
      <c r="F6729" s="30" t="s">
        <v>2009</v>
      </c>
      <c r="H6729" s="30" t="s">
        <v>2018</v>
      </c>
      <c r="J6729" s="30" t="s">
        <v>2019</v>
      </c>
      <c r="L6729" s="30" t="s">
        <v>499</v>
      </c>
      <c r="N6729" s="30" t="s">
        <v>192</v>
      </c>
      <c r="P6729" s="30" t="s">
        <v>13859</v>
      </c>
      <c r="Q6729" t="s">
        <v>622</v>
      </c>
      <c r="R6729" t="s">
        <v>920</v>
      </c>
      <c r="S6729">
        <v>39</v>
      </c>
      <c r="T6729" s="29" t="str">
        <f t="shared" si="292"/>
        <v>2023.015P.Geminiviridae_rename_sp.zip</v>
      </c>
      <c r="U6729" s="29" t="str">
        <f>HYPERLINK("https://ictv.global/taxonomy/taxondetails?taxnode_id=202303534","ictv.global=202303534")</f>
        <v>ictv.global=202303534</v>
      </c>
    </row>
    <row r="6730" spans="1:21">
      <c r="A6730">
        <v>6729</v>
      </c>
      <c r="B6730" s="30" t="s">
        <v>1956</v>
      </c>
      <c r="D6730" s="30" t="s">
        <v>1985</v>
      </c>
      <c r="F6730" s="30" t="s">
        <v>2009</v>
      </c>
      <c r="H6730" s="30" t="s">
        <v>2018</v>
      </c>
      <c r="J6730" s="30" t="s">
        <v>2019</v>
      </c>
      <c r="L6730" s="30" t="s">
        <v>499</v>
      </c>
      <c r="N6730" s="30" t="s">
        <v>192</v>
      </c>
      <c r="P6730" s="30" t="s">
        <v>13860</v>
      </c>
      <c r="Q6730" t="s">
        <v>622</v>
      </c>
      <c r="R6730" t="s">
        <v>920</v>
      </c>
      <c r="S6730">
        <v>39</v>
      </c>
      <c r="T6730" s="29" t="str">
        <f t="shared" si="292"/>
        <v>2023.015P.Geminiviridae_rename_sp.zip</v>
      </c>
      <c r="U6730" s="29" t="str">
        <f>HYPERLINK("https://ictv.global/taxonomy/taxondetails?taxnode_id=202305855","ictv.global=202305855")</f>
        <v>ictv.global=202305855</v>
      </c>
    </row>
    <row r="6731" spans="1:21">
      <c r="A6731">
        <v>6730</v>
      </c>
      <c r="B6731" s="30" t="s">
        <v>1956</v>
      </c>
      <c r="D6731" s="30" t="s">
        <v>1985</v>
      </c>
      <c r="F6731" s="30" t="s">
        <v>2009</v>
      </c>
      <c r="H6731" s="30" t="s">
        <v>2018</v>
      </c>
      <c r="J6731" s="30" t="s">
        <v>2019</v>
      </c>
      <c r="L6731" s="30" t="s">
        <v>499</v>
      </c>
      <c r="N6731" s="30" t="s">
        <v>192</v>
      </c>
      <c r="P6731" s="30" t="s">
        <v>13861</v>
      </c>
      <c r="Q6731" t="s">
        <v>622</v>
      </c>
      <c r="R6731" t="s">
        <v>920</v>
      </c>
      <c r="S6731">
        <v>39</v>
      </c>
      <c r="T6731" s="29" t="str">
        <f t="shared" si="292"/>
        <v>2023.015P.Geminiviridae_rename_sp.zip</v>
      </c>
      <c r="U6731" s="29" t="str">
        <f>HYPERLINK("https://ictv.global/taxonomy/taxondetails?taxnode_id=202305856","ictv.global=202305856")</f>
        <v>ictv.global=202305856</v>
      </c>
    </row>
    <row r="6732" spans="1:21">
      <c r="A6732">
        <v>6731</v>
      </c>
      <c r="B6732" s="30" t="s">
        <v>1956</v>
      </c>
      <c r="D6732" s="30" t="s">
        <v>1985</v>
      </c>
      <c r="F6732" s="30" t="s">
        <v>2009</v>
      </c>
      <c r="H6732" s="30" t="s">
        <v>2018</v>
      </c>
      <c r="J6732" s="30" t="s">
        <v>2019</v>
      </c>
      <c r="L6732" s="30" t="s">
        <v>499</v>
      </c>
      <c r="N6732" s="30" t="s">
        <v>192</v>
      </c>
      <c r="P6732" s="30" t="s">
        <v>13862</v>
      </c>
      <c r="Q6732" t="s">
        <v>739</v>
      </c>
      <c r="R6732" t="s">
        <v>920</v>
      </c>
      <c r="S6732">
        <v>39</v>
      </c>
      <c r="T6732" s="29" t="str">
        <f t="shared" si="292"/>
        <v>2023.015P.Geminiviridae_rename_sp.zip</v>
      </c>
      <c r="U6732" s="29" t="str">
        <f>HYPERLINK("https://ictv.global/taxonomy/taxondetails?taxnode_id=202309107","ictv.global=202309107")</f>
        <v>ictv.global=202309107</v>
      </c>
    </row>
    <row r="6733" spans="1:21">
      <c r="A6733">
        <v>6732</v>
      </c>
      <c r="B6733" s="30" t="s">
        <v>1956</v>
      </c>
      <c r="D6733" s="30" t="s">
        <v>1985</v>
      </c>
      <c r="F6733" s="30" t="s">
        <v>2009</v>
      </c>
      <c r="H6733" s="30" t="s">
        <v>2018</v>
      </c>
      <c r="J6733" s="30" t="s">
        <v>2019</v>
      </c>
      <c r="L6733" s="30" t="s">
        <v>499</v>
      </c>
      <c r="N6733" s="30" t="s">
        <v>192</v>
      </c>
      <c r="P6733" s="30" t="s">
        <v>13863</v>
      </c>
      <c r="Q6733" t="s">
        <v>622</v>
      </c>
      <c r="R6733" t="s">
        <v>920</v>
      </c>
      <c r="S6733">
        <v>39</v>
      </c>
      <c r="T6733" s="29" t="str">
        <f t="shared" si="292"/>
        <v>2023.015P.Geminiviridae_rename_sp.zip</v>
      </c>
      <c r="U6733" s="29" t="str">
        <f>HYPERLINK("https://ictv.global/taxonomy/taxondetails?taxnode_id=202303532","ictv.global=202303532")</f>
        <v>ictv.global=202303532</v>
      </c>
    </row>
    <row r="6734" spans="1:21">
      <c r="A6734">
        <v>6733</v>
      </c>
      <c r="B6734" s="30" t="s">
        <v>1956</v>
      </c>
      <c r="D6734" s="30" t="s">
        <v>1985</v>
      </c>
      <c r="F6734" s="30" t="s">
        <v>2009</v>
      </c>
      <c r="H6734" s="30" t="s">
        <v>2018</v>
      </c>
      <c r="J6734" s="30" t="s">
        <v>2019</v>
      </c>
      <c r="L6734" s="30" t="s">
        <v>499</v>
      </c>
      <c r="N6734" s="30" t="s">
        <v>192</v>
      </c>
      <c r="P6734" s="30" t="s">
        <v>13864</v>
      </c>
      <c r="Q6734" t="s">
        <v>622</v>
      </c>
      <c r="R6734" t="s">
        <v>920</v>
      </c>
      <c r="S6734">
        <v>39</v>
      </c>
      <c r="T6734" s="29" t="str">
        <f t="shared" si="292"/>
        <v>2023.015P.Geminiviridae_rename_sp.zip</v>
      </c>
      <c r="U6734" s="29" t="str">
        <f>HYPERLINK("https://ictv.global/taxonomy/taxondetails?taxnode_id=202303533","ictv.global=202303533")</f>
        <v>ictv.global=202303533</v>
      </c>
    </row>
    <row r="6735" spans="1:21">
      <c r="A6735">
        <v>6734</v>
      </c>
      <c r="B6735" s="30" t="s">
        <v>1956</v>
      </c>
      <c r="D6735" s="30" t="s">
        <v>1985</v>
      </c>
      <c r="F6735" s="30" t="s">
        <v>2009</v>
      </c>
      <c r="H6735" s="30" t="s">
        <v>2018</v>
      </c>
      <c r="J6735" s="30" t="s">
        <v>2019</v>
      </c>
      <c r="L6735" s="30" t="s">
        <v>499</v>
      </c>
      <c r="N6735" s="30" t="s">
        <v>192</v>
      </c>
      <c r="P6735" s="30" t="s">
        <v>13865</v>
      </c>
      <c r="Q6735" t="s">
        <v>622</v>
      </c>
      <c r="R6735" t="s">
        <v>920</v>
      </c>
      <c r="S6735">
        <v>39</v>
      </c>
      <c r="T6735" s="29" t="str">
        <f t="shared" si="292"/>
        <v>2023.015P.Geminiviridae_rename_sp.zip</v>
      </c>
      <c r="U6735" s="29" t="str">
        <f>HYPERLINK("https://ictv.global/taxonomy/taxondetails?taxnode_id=202303525","ictv.global=202303525")</f>
        <v>ictv.global=202303525</v>
      </c>
    </row>
    <row r="6736" spans="1:21">
      <c r="A6736">
        <v>6735</v>
      </c>
      <c r="B6736" s="30" t="s">
        <v>1956</v>
      </c>
      <c r="D6736" s="30" t="s">
        <v>1985</v>
      </c>
      <c r="F6736" s="30" t="s">
        <v>2009</v>
      </c>
      <c r="H6736" s="30" t="s">
        <v>2018</v>
      </c>
      <c r="J6736" s="30" t="s">
        <v>2019</v>
      </c>
      <c r="L6736" s="30" t="s">
        <v>499</v>
      </c>
      <c r="N6736" s="30" t="s">
        <v>192</v>
      </c>
      <c r="P6736" s="30" t="s">
        <v>13866</v>
      </c>
      <c r="Q6736" t="s">
        <v>622</v>
      </c>
      <c r="R6736" t="s">
        <v>920</v>
      </c>
      <c r="S6736">
        <v>39</v>
      </c>
      <c r="T6736" s="29" t="str">
        <f t="shared" si="292"/>
        <v>2023.015P.Geminiviridae_rename_sp.zip</v>
      </c>
      <c r="U6736" s="29" t="str">
        <f>HYPERLINK("https://ictv.global/taxonomy/taxondetails?taxnode_id=202306685","ictv.global=202306685")</f>
        <v>ictv.global=202306685</v>
      </c>
    </row>
    <row r="6737" spans="1:21">
      <c r="A6737">
        <v>6736</v>
      </c>
      <c r="B6737" s="30" t="s">
        <v>1956</v>
      </c>
      <c r="D6737" s="30" t="s">
        <v>1985</v>
      </c>
      <c r="F6737" s="30" t="s">
        <v>2009</v>
      </c>
      <c r="H6737" s="30" t="s">
        <v>2018</v>
      </c>
      <c r="J6737" s="30" t="s">
        <v>2019</v>
      </c>
      <c r="L6737" s="30" t="s">
        <v>499</v>
      </c>
      <c r="N6737" s="30" t="s">
        <v>192</v>
      </c>
      <c r="P6737" s="30" t="s">
        <v>13867</v>
      </c>
      <c r="Q6737" t="s">
        <v>622</v>
      </c>
      <c r="R6737" t="s">
        <v>920</v>
      </c>
      <c r="S6737">
        <v>39</v>
      </c>
      <c r="T6737" s="29" t="str">
        <f t="shared" si="292"/>
        <v>2023.015P.Geminiviridae_rename_sp.zip</v>
      </c>
      <c r="U6737" s="29" t="str">
        <f>HYPERLINK("https://ictv.global/taxonomy/taxondetails?taxnode_id=202303539","ictv.global=202303539")</f>
        <v>ictv.global=202303539</v>
      </c>
    </row>
    <row r="6738" spans="1:21">
      <c r="A6738">
        <v>6737</v>
      </c>
      <c r="B6738" s="30" t="s">
        <v>1956</v>
      </c>
      <c r="D6738" s="30" t="s">
        <v>1985</v>
      </c>
      <c r="F6738" s="30" t="s">
        <v>2009</v>
      </c>
      <c r="H6738" s="30" t="s">
        <v>2018</v>
      </c>
      <c r="J6738" s="30" t="s">
        <v>2019</v>
      </c>
      <c r="L6738" s="30" t="s">
        <v>499</v>
      </c>
      <c r="N6738" s="30" t="s">
        <v>192</v>
      </c>
      <c r="P6738" s="30" t="s">
        <v>13868</v>
      </c>
      <c r="Q6738" t="s">
        <v>622</v>
      </c>
      <c r="R6738" t="s">
        <v>920</v>
      </c>
      <c r="S6738">
        <v>39</v>
      </c>
      <c r="T6738" s="29" t="str">
        <f t="shared" si="292"/>
        <v>2023.015P.Geminiviridae_rename_sp.zip</v>
      </c>
      <c r="U6738" s="29" t="str">
        <f>HYPERLINK("https://ictv.global/taxonomy/taxondetails?taxnode_id=202303541","ictv.global=202303541")</f>
        <v>ictv.global=202303541</v>
      </c>
    </row>
    <row r="6739" spans="1:21">
      <c r="A6739">
        <v>6738</v>
      </c>
      <c r="B6739" s="30" t="s">
        <v>1956</v>
      </c>
      <c r="D6739" s="30" t="s">
        <v>1985</v>
      </c>
      <c r="F6739" s="30" t="s">
        <v>2009</v>
      </c>
      <c r="H6739" s="30" t="s">
        <v>2018</v>
      </c>
      <c r="J6739" s="30" t="s">
        <v>2019</v>
      </c>
      <c r="L6739" s="30" t="s">
        <v>499</v>
      </c>
      <c r="N6739" s="30" t="s">
        <v>192</v>
      </c>
      <c r="P6739" s="30" t="s">
        <v>13869</v>
      </c>
      <c r="Q6739" t="s">
        <v>622</v>
      </c>
      <c r="R6739" t="s">
        <v>920</v>
      </c>
      <c r="S6739">
        <v>39</v>
      </c>
      <c r="T6739" s="29" t="str">
        <f t="shared" si="292"/>
        <v>2023.015P.Geminiviridae_rename_sp.zip</v>
      </c>
      <c r="U6739" s="29" t="str">
        <f>HYPERLINK("https://ictv.global/taxonomy/taxondetails?taxnode_id=202303540","ictv.global=202303540")</f>
        <v>ictv.global=202303540</v>
      </c>
    </row>
    <row r="6740" spans="1:21">
      <c r="A6740">
        <v>6739</v>
      </c>
      <c r="B6740" s="30" t="s">
        <v>1956</v>
      </c>
      <c r="D6740" s="30" t="s">
        <v>1985</v>
      </c>
      <c r="F6740" s="30" t="s">
        <v>2009</v>
      </c>
      <c r="H6740" s="30" t="s">
        <v>2018</v>
      </c>
      <c r="J6740" s="30" t="s">
        <v>2019</v>
      </c>
      <c r="L6740" s="30" t="s">
        <v>499</v>
      </c>
      <c r="N6740" s="30" t="s">
        <v>192</v>
      </c>
      <c r="P6740" s="30" t="s">
        <v>13870</v>
      </c>
      <c r="Q6740" t="s">
        <v>622</v>
      </c>
      <c r="R6740" t="s">
        <v>920</v>
      </c>
      <c r="S6740">
        <v>39</v>
      </c>
      <c r="T6740" s="29" t="str">
        <f t="shared" si="292"/>
        <v>2023.015P.Geminiviridae_rename_sp.zip</v>
      </c>
      <c r="U6740" s="29" t="str">
        <f>HYPERLINK("https://ictv.global/taxonomy/taxondetails?taxnode_id=202303538","ictv.global=202303538")</f>
        <v>ictv.global=202303538</v>
      </c>
    </row>
    <row r="6741" spans="1:21">
      <c r="A6741">
        <v>6740</v>
      </c>
      <c r="B6741" s="30" t="s">
        <v>1956</v>
      </c>
      <c r="D6741" s="30" t="s">
        <v>1985</v>
      </c>
      <c r="F6741" s="30" t="s">
        <v>2009</v>
      </c>
      <c r="H6741" s="30" t="s">
        <v>2018</v>
      </c>
      <c r="J6741" s="30" t="s">
        <v>2019</v>
      </c>
      <c r="L6741" s="30" t="s">
        <v>499</v>
      </c>
      <c r="N6741" s="30" t="s">
        <v>2614</v>
      </c>
      <c r="P6741" s="30" t="s">
        <v>13871</v>
      </c>
      <c r="Q6741" t="s">
        <v>739</v>
      </c>
      <c r="R6741" t="s">
        <v>920</v>
      </c>
      <c r="S6741">
        <v>39</v>
      </c>
      <c r="T6741" s="29" t="str">
        <f t="shared" si="292"/>
        <v>2023.015P.Geminiviridae_rename_sp.zip</v>
      </c>
      <c r="U6741" s="29" t="str">
        <f>HYPERLINK("https://ictv.global/taxonomy/taxondetails?taxnode_id=202309791","ictv.global=202309791")</f>
        <v>ictv.global=202309791</v>
      </c>
    </row>
    <row r="6742" spans="1:21">
      <c r="A6742">
        <v>6741</v>
      </c>
      <c r="B6742" s="30" t="s">
        <v>1956</v>
      </c>
      <c r="D6742" s="30" t="s">
        <v>1985</v>
      </c>
      <c r="F6742" s="30" t="s">
        <v>2009</v>
      </c>
      <c r="H6742" s="30" t="s">
        <v>2018</v>
      </c>
      <c r="J6742" s="30" t="s">
        <v>2019</v>
      </c>
      <c r="L6742" s="30" t="s">
        <v>499</v>
      </c>
      <c r="N6742" s="30" t="s">
        <v>2614</v>
      </c>
      <c r="P6742" s="30" t="s">
        <v>13872</v>
      </c>
      <c r="Q6742" t="s">
        <v>739</v>
      </c>
      <c r="R6742" t="s">
        <v>920</v>
      </c>
      <c r="S6742">
        <v>39</v>
      </c>
      <c r="T6742" s="29" t="str">
        <f t="shared" ref="T6742:T6749" si="293">HYPERLINK("https://ictv.global/ictv/proposals/2023.015P.Geminiviridae_rename_sp.zip","2023.015P.Geminiviridae_rename_sp.zip")</f>
        <v>2023.015P.Geminiviridae_rename_sp.zip</v>
      </c>
      <c r="U6742" s="29" t="str">
        <f>HYPERLINK("https://ictv.global/taxonomy/taxondetails?taxnode_id=202309181","ictv.global=202309181")</f>
        <v>ictv.global=202309181</v>
      </c>
    </row>
    <row r="6743" spans="1:21">
      <c r="A6743">
        <v>6742</v>
      </c>
      <c r="B6743" s="30" t="s">
        <v>1956</v>
      </c>
      <c r="D6743" s="30" t="s">
        <v>1985</v>
      </c>
      <c r="F6743" s="30" t="s">
        <v>2009</v>
      </c>
      <c r="H6743" s="30" t="s">
        <v>2018</v>
      </c>
      <c r="J6743" s="30" t="s">
        <v>2019</v>
      </c>
      <c r="L6743" s="30" t="s">
        <v>499</v>
      </c>
      <c r="N6743" s="30" t="s">
        <v>2615</v>
      </c>
      <c r="P6743" s="30" t="s">
        <v>13873</v>
      </c>
      <c r="Q6743" t="s">
        <v>739</v>
      </c>
      <c r="R6743" t="s">
        <v>920</v>
      </c>
      <c r="S6743">
        <v>39</v>
      </c>
      <c r="T6743" s="29" t="str">
        <f t="shared" si="293"/>
        <v>2023.015P.Geminiviridae_rename_sp.zip</v>
      </c>
      <c r="U6743" s="29" t="str">
        <f>HYPERLINK("https://ictv.global/taxonomy/taxondetails?taxnode_id=202309173","ictv.global=202309173")</f>
        <v>ictv.global=202309173</v>
      </c>
    </row>
    <row r="6744" spans="1:21">
      <c r="A6744">
        <v>6743</v>
      </c>
      <c r="B6744" s="30" t="s">
        <v>1956</v>
      </c>
      <c r="D6744" s="30" t="s">
        <v>1985</v>
      </c>
      <c r="F6744" s="30" t="s">
        <v>2009</v>
      </c>
      <c r="H6744" s="30" t="s">
        <v>2018</v>
      </c>
      <c r="J6744" s="30" t="s">
        <v>2019</v>
      </c>
      <c r="L6744" s="30" t="s">
        <v>499</v>
      </c>
      <c r="N6744" s="30" t="s">
        <v>2616</v>
      </c>
      <c r="P6744" s="30" t="s">
        <v>13874</v>
      </c>
      <c r="Q6744" t="s">
        <v>739</v>
      </c>
      <c r="R6744" t="s">
        <v>920</v>
      </c>
      <c r="S6744">
        <v>39</v>
      </c>
      <c r="T6744" s="29" t="str">
        <f t="shared" si="293"/>
        <v>2023.015P.Geminiviridae_rename_sp.zip</v>
      </c>
      <c r="U6744" s="29" t="str">
        <f>HYPERLINK("https://ictv.global/taxonomy/taxondetails?taxnode_id=202309179","ictv.global=202309179")</f>
        <v>ictv.global=202309179</v>
      </c>
    </row>
    <row r="6745" spans="1:21">
      <c r="A6745">
        <v>6744</v>
      </c>
      <c r="B6745" s="30" t="s">
        <v>1956</v>
      </c>
      <c r="D6745" s="30" t="s">
        <v>1985</v>
      </c>
      <c r="F6745" s="30" t="s">
        <v>2009</v>
      </c>
      <c r="H6745" s="30" t="s">
        <v>2018</v>
      </c>
      <c r="J6745" s="30" t="s">
        <v>2019</v>
      </c>
      <c r="L6745" s="30" t="s">
        <v>499</v>
      </c>
      <c r="N6745" s="30" t="s">
        <v>2616</v>
      </c>
      <c r="P6745" s="30" t="s">
        <v>13875</v>
      </c>
      <c r="Q6745" t="s">
        <v>739</v>
      </c>
      <c r="R6745" t="s">
        <v>920</v>
      </c>
      <c r="S6745">
        <v>39</v>
      </c>
      <c r="T6745" s="29" t="str">
        <f t="shared" si="293"/>
        <v>2023.015P.Geminiviridae_rename_sp.zip</v>
      </c>
      <c r="U6745" s="29" t="str">
        <f>HYPERLINK("https://ictv.global/taxonomy/taxondetails?taxnode_id=202309178","ictv.global=202309178")</f>
        <v>ictv.global=202309178</v>
      </c>
    </row>
    <row r="6746" spans="1:21">
      <c r="A6746">
        <v>6745</v>
      </c>
      <c r="B6746" s="30" t="s">
        <v>1956</v>
      </c>
      <c r="D6746" s="30" t="s">
        <v>1985</v>
      </c>
      <c r="F6746" s="30" t="s">
        <v>2009</v>
      </c>
      <c r="H6746" s="30" t="s">
        <v>2018</v>
      </c>
      <c r="J6746" s="30" t="s">
        <v>2019</v>
      </c>
      <c r="L6746" s="30" t="s">
        <v>499</v>
      </c>
      <c r="N6746" s="30" t="s">
        <v>146</v>
      </c>
      <c r="P6746" s="30" t="s">
        <v>13876</v>
      </c>
      <c r="Q6746" t="s">
        <v>622</v>
      </c>
      <c r="R6746" t="s">
        <v>920</v>
      </c>
      <c r="S6746">
        <v>39</v>
      </c>
      <c r="T6746" s="29" t="str">
        <f t="shared" si="293"/>
        <v>2023.015P.Geminiviridae_rename_sp.zip</v>
      </c>
      <c r="U6746" s="29" t="str">
        <f>HYPERLINK("https://ictv.global/taxonomy/taxondetails?taxnode_id=202303544","ictv.global=202303544")</f>
        <v>ictv.global=202303544</v>
      </c>
    </row>
    <row r="6747" spans="1:21">
      <c r="A6747">
        <v>6746</v>
      </c>
      <c r="B6747" s="30" t="s">
        <v>1956</v>
      </c>
      <c r="D6747" s="30" t="s">
        <v>1985</v>
      </c>
      <c r="F6747" s="30" t="s">
        <v>2009</v>
      </c>
      <c r="H6747" s="30" t="s">
        <v>2018</v>
      </c>
      <c r="J6747" s="30" t="s">
        <v>2019</v>
      </c>
      <c r="L6747" s="30" t="s">
        <v>499</v>
      </c>
      <c r="N6747" s="30" t="s">
        <v>523</v>
      </c>
      <c r="P6747" s="30" t="s">
        <v>13877</v>
      </c>
      <c r="Q6747" t="s">
        <v>622</v>
      </c>
      <c r="R6747" t="s">
        <v>920</v>
      </c>
      <c r="S6747">
        <v>39</v>
      </c>
      <c r="T6747" s="29" t="str">
        <f t="shared" si="293"/>
        <v>2023.015P.Geminiviridae_rename_sp.zip</v>
      </c>
      <c r="U6747" s="29" t="str">
        <f>HYPERLINK("https://ictv.global/taxonomy/taxondetails?taxnode_id=202303546","ictv.global=202303546")</f>
        <v>ictv.global=202303546</v>
      </c>
    </row>
    <row r="6748" spans="1:21">
      <c r="A6748">
        <v>6747</v>
      </c>
      <c r="B6748" s="30" t="s">
        <v>1956</v>
      </c>
      <c r="D6748" s="30" t="s">
        <v>1985</v>
      </c>
      <c r="F6748" s="30" t="s">
        <v>2009</v>
      </c>
      <c r="H6748" s="30" t="s">
        <v>2018</v>
      </c>
      <c r="J6748" s="30" t="s">
        <v>2019</v>
      </c>
      <c r="L6748" s="30" t="s">
        <v>499</v>
      </c>
      <c r="N6748" s="30" t="s">
        <v>523</v>
      </c>
      <c r="P6748" s="30" t="s">
        <v>13878</v>
      </c>
      <c r="Q6748" t="s">
        <v>622</v>
      </c>
      <c r="R6748" t="s">
        <v>920</v>
      </c>
      <c r="S6748">
        <v>39</v>
      </c>
      <c r="T6748" s="29" t="str">
        <f t="shared" si="293"/>
        <v>2023.015P.Geminiviridae_rename_sp.zip</v>
      </c>
      <c r="U6748" s="29" t="str">
        <f>HYPERLINK("https://ictv.global/taxonomy/taxondetails?taxnode_id=202305858","ictv.global=202305858")</f>
        <v>ictv.global=202305858</v>
      </c>
    </row>
    <row r="6749" spans="1:21">
      <c r="A6749">
        <v>6748</v>
      </c>
      <c r="B6749" s="30" t="s">
        <v>1956</v>
      </c>
      <c r="D6749" s="30" t="s">
        <v>1985</v>
      </c>
      <c r="F6749" s="30" t="s">
        <v>2009</v>
      </c>
      <c r="H6749" s="30" t="s">
        <v>2018</v>
      </c>
      <c r="J6749" s="30" t="s">
        <v>2019</v>
      </c>
      <c r="L6749" s="30" t="s">
        <v>499</v>
      </c>
      <c r="N6749" s="30" t="s">
        <v>523</v>
      </c>
      <c r="P6749" s="30" t="s">
        <v>13879</v>
      </c>
      <c r="Q6749" t="s">
        <v>739</v>
      </c>
      <c r="R6749" t="s">
        <v>920</v>
      </c>
      <c r="S6749">
        <v>39</v>
      </c>
      <c r="T6749" s="29" t="str">
        <f t="shared" si="293"/>
        <v>2023.015P.Geminiviridae_rename_sp.zip</v>
      </c>
      <c r="U6749" s="29" t="str">
        <f>HYPERLINK("https://ictv.global/taxonomy/taxondetails?taxnode_id=202308673","ictv.global=202308673")</f>
        <v>ictv.global=202308673</v>
      </c>
    </row>
    <row r="6750" spans="1:21">
      <c r="A6750">
        <v>6749</v>
      </c>
      <c r="B6750" s="30" t="s">
        <v>1956</v>
      </c>
      <c r="D6750" s="30" t="s">
        <v>1985</v>
      </c>
      <c r="F6750" s="30" t="s">
        <v>2009</v>
      </c>
      <c r="H6750" s="30" t="s">
        <v>2018</v>
      </c>
      <c r="J6750" s="30" t="s">
        <v>2019</v>
      </c>
      <c r="L6750" s="30" t="s">
        <v>499</v>
      </c>
      <c r="N6750" s="30" t="s">
        <v>13880</v>
      </c>
      <c r="P6750" s="30" t="s">
        <v>13881</v>
      </c>
      <c r="Q6750" t="s">
        <v>622</v>
      </c>
      <c r="R6750" t="s">
        <v>917</v>
      </c>
      <c r="S6750">
        <v>39</v>
      </c>
      <c r="T6750" s="29" t="str">
        <f>HYPERLINK("https://ictv.global/ictv/proposals/2023.014P.Geminiviridae_1ng_2nsp.zip","2023.014P.Geminiviridae_1ng_2nsp.zip")</f>
        <v>2023.014P.Geminiviridae_1ng_2nsp.zip</v>
      </c>
      <c r="U6750" s="29" t="str">
        <f>HYPERLINK("https://ictv.global/taxonomy/taxondetails?taxnode_id=202318096","ictv.global=202318096")</f>
        <v>ictv.global=202318096</v>
      </c>
    </row>
    <row r="6751" spans="1:21">
      <c r="A6751">
        <v>6750</v>
      </c>
      <c r="B6751" s="30" t="s">
        <v>1956</v>
      </c>
      <c r="D6751" s="30" t="s">
        <v>1985</v>
      </c>
      <c r="F6751" s="30" t="s">
        <v>2009</v>
      </c>
      <c r="H6751" s="30" t="s">
        <v>2018</v>
      </c>
      <c r="J6751" s="30" t="s">
        <v>2019</v>
      </c>
      <c r="L6751" s="30" t="s">
        <v>499</v>
      </c>
      <c r="N6751" s="30" t="s">
        <v>13880</v>
      </c>
      <c r="P6751" s="30" t="s">
        <v>13882</v>
      </c>
      <c r="Q6751" t="s">
        <v>622</v>
      </c>
      <c r="R6751" t="s">
        <v>917</v>
      </c>
      <c r="S6751">
        <v>39</v>
      </c>
      <c r="T6751" s="29" t="str">
        <f>HYPERLINK("https://ictv.global/ictv/proposals/2023.014P.Geminiviridae_1ng_2nsp.zip","2023.014P.Geminiviridae_1ng_2nsp.zip")</f>
        <v>2023.014P.Geminiviridae_1ng_2nsp.zip</v>
      </c>
      <c r="U6751" s="29" t="str">
        <f>HYPERLINK("https://ictv.global/taxonomy/taxondetails?taxnode_id=202318095","ictv.global=202318095")</f>
        <v>ictv.global=202318095</v>
      </c>
    </row>
    <row r="6752" spans="1:21">
      <c r="A6752">
        <v>6751</v>
      </c>
      <c r="B6752" s="30" t="s">
        <v>1956</v>
      </c>
      <c r="D6752" s="30" t="s">
        <v>1985</v>
      </c>
      <c r="F6752" s="30" t="s">
        <v>2009</v>
      </c>
      <c r="H6752" s="30" t="s">
        <v>2018</v>
      </c>
      <c r="J6752" s="30" t="s">
        <v>2019</v>
      </c>
      <c r="L6752" s="30" t="s">
        <v>737</v>
      </c>
      <c r="N6752" s="30" t="s">
        <v>738</v>
      </c>
      <c r="P6752" s="30" t="s">
        <v>2617</v>
      </c>
      <c r="Q6752" t="s">
        <v>735</v>
      </c>
      <c r="R6752" t="s">
        <v>917</v>
      </c>
      <c r="S6752">
        <v>36</v>
      </c>
      <c r="T6752" s="29" t="str">
        <f t="shared" ref="T6752:T6783" si="294">HYPERLINK("https://ictv.global/ictv/proposals/2020.005F.R.Genomoviridae.zip","2020.005F.R.Genomoviridae.zip")</f>
        <v>2020.005F.R.Genomoviridae.zip</v>
      </c>
      <c r="U6752" s="29" t="str">
        <f>HYPERLINK("https://ictv.global/taxonomy/taxondetails?taxnode_id=202308943","ictv.global=202308943")</f>
        <v>ictv.global=202308943</v>
      </c>
    </row>
    <row r="6753" spans="1:21">
      <c r="A6753">
        <v>6752</v>
      </c>
      <c r="B6753" s="30" t="s">
        <v>1956</v>
      </c>
      <c r="D6753" s="30" t="s">
        <v>1985</v>
      </c>
      <c r="F6753" s="30" t="s">
        <v>2009</v>
      </c>
      <c r="H6753" s="30" t="s">
        <v>2018</v>
      </c>
      <c r="J6753" s="30" t="s">
        <v>2019</v>
      </c>
      <c r="L6753" s="30" t="s">
        <v>737</v>
      </c>
      <c r="N6753" s="30" t="s">
        <v>738</v>
      </c>
      <c r="P6753" s="30" t="s">
        <v>2618</v>
      </c>
      <c r="Q6753" t="s">
        <v>735</v>
      </c>
      <c r="R6753" t="s">
        <v>917</v>
      </c>
      <c r="S6753">
        <v>36</v>
      </c>
      <c r="T6753" s="29" t="str">
        <f t="shared" si="294"/>
        <v>2020.005F.R.Genomoviridae.zip</v>
      </c>
      <c r="U6753" s="29" t="str">
        <f>HYPERLINK("https://ictv.global/taxonomy/taxondetails?taxnode_id=202308968","ictv.global=202308968")</f>
        <v>ictv.global=202308968</v>
      </c>
    </row>
    <row r="6754" spans="1:21">
      <c r="A6754">
        <v>6753</v>
      </c>
      <c r="B6754" s="30" t="s">
        <v>1956</v>
      </c>
      <c r="D6754" s="30" t="s">
        <v>1985</v>
      </c>
      <c r="F6754" s="30" t="s">
        <v>2009</v>
      </c>
      <c r="H6754" s="30" t="s">
        <v>2018</v>
      </c>
      <c r="J6754" s="30" t="s">
        <v>2019</v>
      </c>
      <c r="L6754" s="30" t="s">
        <v>737</v>
      </c>
      <c r="N6754" s="30" t="s">
        <v>738</v>
      </c>
      <c r="P6754" s="30" t="s">
        <v>2619</v>
      </c>
      <c r="Q6754" t="s">
        <v>735</v>
      </c>
      <c r="R6754" t="s">
        <v>917</v>
      </c>
      <c r="S6754">
        <v>36</v>
      </c>
      <c r="T6754" s="29" t="str">
        <f t="shared" si="294"/>
        <v>2020.005F.R.Genomoviridae.zip</v>
      </c>
      <c r="U6754" s="29" t="str">
        <f>HYPERLINK("https://ictv.global/taxonomy/taxondetails?taxnode_id=202308937","ictv.global=202308937")</f>
        <v>ictv.global=202308937</v>
      </c>
    </row>
    <row r="6755" spans="1:21">
      <c r="A6755">
        <v>6754</v>
      </c>
      <c r="B6755" s="30" t="s">
        <v>1956</v>
      </c>
      <c r="D6755" s="30" t="s">
        <v>1985</v>
      </c>
      <c r="F6755" s="30" t="s">
        <v>2009</v>
      </c>
      <c r="H6755" s="30" t="s">
        <v>2018</v>
      </c>
      <c r="J6755" s="30" t="s">
        <v>2019</v>
      </c>
      <c r="L6755" s="30" t="s">
        <v>737</v>
      </c>
      <c r="N6755" s="30" t="s">
        <v>738</v>
      </c>
      <c r="P6755" s="30" t="s">
        <v>2620</v>
      </c>
      <c r="Q6755" t="s">
        <v>735</v>
      </c>
      <c r="R6755" t="s">
        <v>917</v>
      </c>
      <c r="S6755">
        <v>36</v>
      </c>
      <c r="T6755" s="29" t="str">
        <f t="shared" si="294"/>
        <v>2020.005F.R.Genomoviridae.zip</v>
      </c>
      <c r="U6755" s="29" t="str">
        <f>HYPERLINK("https://ictv.global/taxonomy/taxondetails?taxnode_id=202308994","ictv.global=202308994")</f>
        <v>ictv.global=202308994</v>
      </c>
    </row>
    <row r="6756" spans="1:21">
      <c r="A6756">
        <v>6755</v>
      </c>
      <c r="B6756" s="30" t="s">
        <v>1956</v>
      </c>
      <c r="D6756" s="30" t="s">
        <v>1985</v>
      </c>
      <c r="F6756" s="30" t="s">
        <v>2009</v>
      </c>
      <c r="H6756" s="30" t="s">
        <v>2018</v>
      </c>
      <c r="J6756" s="30" t="s">
        <v>2019</v>
      </c>
      <c r="L6756" s="30" t="s">
        <v>737</v>
      </c>
      <c r="N6756" s="30" t="s">
        <v>738</v>
      </c>
      <c r="P6756" s="30" t="s">
        <v>2621</v>
      </c>
      <c r="Q6756" t="s">
        <v>735</v>
      </c>
      <c r="R6756" t="s">
        <v>917</v>
      </c>
      <c r="S6756">
        <v>36</v>
      </c>
      <c r="T6756" s="29" t="str">
        <f t="shared" si="294"/>
        <v>2020.005F.R.Genomoviridae.zip</v>
      </c>
      <c r="U6756" s="29" t="str">
        <f>HYPERLINK("https://ictv.global/taxonomy/taxondetails?taxnode_id=202308938","ictv.global=202308938")</f>
        <v>ictv.global=202308938</v>
      </c>
    </row>
    <row r="6757" spans="1:21">
      <c r="A6757">
        <v>6756</v>
      </c>
      <c r="B6757" s="30" t="s">
        <v>1956</v>
      </c>
      <c r="D6757" s="30" t="s">
        <v>1985</v>
      </c>
      <c r="F6757" s="30" t="s">
        <v>2009</v>
      </c>
      <c r="H6757" s="30" t="s">
        <v>2018</v>
      </c>
      <c r="J6757" s="30" t="s">
        <v>2019</v>
      </c>
      <c r="L6757" s="30" t="s">
        <v>737</v>
      </c>
      <c r="N6757" s="30" t="s">
        <v>738</v>
      </c>
      <c r="P6757" s="30" t="s">
        <v>2622</v>
      </c>
      <c r="Q6757" t="s">
        <v>735</v>
      </c>
      <c r="R6757" t="s">
        <v>917</v>
      </c>
      <c r="S6757">
        <v>36</v>
      </c>
      <c r="T6757" s="29" t="str">
        <f t="shared" si="294"/>
        <v>2020.005F.R.Genomoviridae.zip</v>
      </c>
      <c r="U6757" s="29" t="str">
        <f>HYPERLINK("https://ictv.global/taxonomy/taxondetails?taxnode_id=202308960","ictv.global=202308960")</f>
        <v>ictv.global=202308960</v>
      </c>
    </row>
    <row r="6758" spans="1:21">
      <c r="A6758">
        <v>6757</v>
      </c>
      <c r="B6758" s="30" t="s">
        <v>1956</v>
      </c>
      <c r="D6758" s="30" t="s">
        <v>1985</v>
      </c>
      <c r="F6758" s="30" t="s">
        <v>2009</v>
      </c>
      <c r="H6758" s="30" t="s">
        <v>2018</v>
      </c>
      <c r="J6758" s="30" t="s">
        <v>2019</v>
      </c>
      <c r="L6758" s="30" t="s">
        <v>737</v>
      </c>
      <c r="N6758" s="30" t="s">
        <v>738</v>
      </c>
      <c r="P6758" s="30" t="s">
        <v>2623</v>
      </c>
      <c r="Q6758" t="s">
        <v>735</v>
      </c>
      <c r="R6758" t="s">
        <v>917</v>
      </c>
      <c r="S6758">
        <v>36</v>
      </c>
      <c r="T6758" s="29" t="str">
        <f t="shared" si="294"/>
        <v>2020.005F.R.Genomoviridae.zip</v>
      </c>
      <c r="U6758" s="29" t="str">
        <f>HYPERLINK("https://ictv.global/taxonomy/taxondetails?taxnode_id=202308961","ictv.global=202308961")</f>
        <v>ictv.global=202308961</v>
      </c>
    </row>
    <row r="6759" spans="1:21">
      <c r="A6759">
        <v>6758</v>
      </c>
      <c r="B6759" s="30" t="s">
        <v>1956</v>
      </c>
      <c r="D6759" s="30" t="s">
        <v>1985</v>
      </c>
      <c r="F6759" s="30" t="s">
        <v>2009</v>
      </c>
      <c r="H6759" s="30" t="s">
        <v>2018</v>
      </c>
      <c r="J6759" s="30" t="s">
        <v>2019</v>
      </c>
      <c r="L6759" s="30" t="s">
        <v>737</v>
      </c>
      <c r="N6759" s="30" t="s">
        <v>738</v>
      </c>
      <c r="P6759" s="30" t="s">
        <v>2624</v>
      </c>
      <c r="Q6759" t="s">
        <v>735</v>
      </c>
      <c r="R6759" t="s">
        <v>917</v>
      </c>
      <c r="S6759">
        <v>36</v>
      </c>
      <c r="T6759" s="29" t="str">
        <f t="shared" si="294"/>
        <v>2020.005F.R.Genomoviridae.zip</v>
      </c>
      <c r="U6759" s="29" t="str">
        <f>HYPERLINK("https://ictv.global/taxonomy/taxondetails?taxnode_id=202308999","ictv.global=202308999")</f>
        <v>ictv.global=202308999</v>
      </c>
    </row>
    <row r="6760" spans="1:21">
      <c r="A6760">
        <v>6759</v>
      </c>
      <c r="B6760" s="30" t="s">
        <v>1956</v>
      </c>
      <c r="D6760" s="30" t="s">
        <v>1985</v>
      </c>
      <c r="F6760" s="30" t="s">
        <v>2009</v>
      </c>
      <c r="H6760" s="30" t="s">
        <v>2018</v>
      </c>
      <c r="J6760" s="30" t="s">
        <v>2019</v>
      </c>
      <c r="L6760" s="30" t="s">
        <v>737</v>
      </c>
      <c r="N6760" s="30" t="s">
        <v>738</v>
      </c>
      <c r="P6760" s="30" t="s">
        <v>2625</v>
      </c>
      <c r="Q6760" t="s">
        <v>735</v>
      </c>
      <c r="R6760" t="s">
        <v>917</v>
      </c>
      <c r="S6760">
        <v>36</v>
      </c>
      <c r="T6760" s="29" t="str">
        <f t="shared" si="294"/>
        <v>2020.005F.R.Genomoviridae.zip</v>
      </c>
      <c r="U6760" s="29" t="str">
        <f>HYPERLINK("https://ictv.global/taxonomy/taxondetails?taxnode_id=202308987","ictv.global=202308987")</f>
        <v>ictv.global=202308987</v>
      </c>
    </row>
    <row r="6761" spans="1:21">
      <c r="A6761">
        <v>6760</v>
      </c>
      <c r="B6761" s="30" t="s">
        <v>1956</v>
      </c>
      <c r="D6761" s="30" t="s">
        <v>1985</v>
      </c>
      <c r="F6761" s="30" t="s">
        <v>2009</v>
      </c>
      <c r="H6761" s="30" t="s">
        <v>2018</v>
      </c>
      <c r="J6761" s="30" t="s">
        <v>2019</v>
      </c>
      <c r="L6761" s="30" t="s">
        <v>737</v>
      </c>
      <c r="N6761" s="30" t="s">
        <v>738</v>
      </c>
      <c r="P6761" s="30" t="s">
        <v>2626</v>
      </c>
      <c r="Q6761" t="s">
        <v>735</v>
      </c>
      <c r="R6761" t="s">
        <v>917</v>
      </c>
      <c r="S6761">
        <v>36</v>
      </c>
      <c r="T6761" s="29" t="str">
        <f t="shared" si="294"/>
        <v>2020.005F.R.Genomoviridae.zip</v>
      </c>
      <c r="U6761" s="29" t="str">
        <f>HYPERLINK("https://ictv.global/taxonomy/taxondetails?taxnode_id=202309011","ictv.global=202309011")</f>
        <v>ictv.global=202309011</v>
      </c>
    </row>
    <row r="6762" spans="1:21">
      <c r="A6762">
        <v>6761</v>
      </c>
      <c r="B6762" s="30" t="s">
        <v>1956</v>
      </c>
      <c r="D6762" s="30" t="s">
        <v>1985</v>
      </c>
      <c r="F6762" s="30" t="s">
        <v>2009</v>
      </c>
      <c r="H6762" s="30" t="s">
        <v>2018</v>
      </c>
      <c r="J6762" s="30" t="s">
        <v>2019</v>
      </c>
      <c r="L6762" s="30" t="s">
        <v>737</v>
      </c>
      <c r="N6762" s="30" t="s">
        <v>738</v>
      </c>
      <c r="P6762" s="30" t="s">
        <v>2627</v>
      </c>
      <c r="Q6762" t="s">
        <v>735</v>
      </c>
      <c r="R6762" t="s">
        <v>917</v>
      </c>
      <c r="S6762">
        <v>36</v>
      </c>
      <c r="T6762" s="29" t="str">
        <f t="shared" si="294"/>
        <v>2020.005F.R.Genomoviridae.zip</v>
      </c>
      <c r="U6762" s="29" t="str">
        <f>HYPERLINK("https://ictv.global/taxonomy/taxondetails?taxnode_id=202308942","ictv.global=202308942")</f>
        <v>ictv.global=202308942</v>
      </c>
    </row>
    <row r="6763" spans="1:21">
      <c r="A6763">
        <v>6762</v>
      </c>
      <c r="B6763" s="30" t="s">
        <v>1956</v>
      </c>
      <c r="D6763" s="30" t="s">
        <v>1985</v>
      </c>
      <c r="F6763" s="30" t="s">
        <v>2009</v>
      </c>
      <c r="H6763" s="30" t="s">
        <v>2018</v>
      </c>
      <c r="J6763" s="30" t="s">
        <v>2019</v>
      </c>
      <c r="L6763" s="30" t="s">
        <v>737</v>
      </c>
      <c r="N6763" s="30" t="s">
        <v>738</v>
      </c>
      <c r="P6763" s="30" t="s">
        <v>2628</v>
      </c>
      <c r="Q6763" t="s">
        <v>735</v>
      </c>
      <c r="R6763" t="s">
        <v>917</v>
      </c>
      <c r="S6763">
        <v>36</v>
      </c>
      <c r="T6763" s="29" t="str">
        <f t="shared" si="294"/>
        <v>2020.005F.R.Genomoviridae.zip</v>
      </c>
      <c r="U6763" s="29" t="str">
        <f>HYPERLINK("https://ictv.global/taxonomy/taxondetails?taxnode_id=202308973","ictv.global=202308973")</f>
        <v>ictv.global=202308973</v>
      </c>
    </row>
    <row r="6764" spans="1:21">
      <c r="A6764">
        <v>6763</v>
      </c>
      <c r="B6764" s="30" t="s">
        <v>1956</v>
      </c>
      <c r="D6764" s="30" t="s">
        <v>1985</v>
      </c>
      <c r="F6764" s="30" t="s">
        <v>2009</v>
      </c>
      <c r="H6764" s="30" t="s">
        <v>2018</v>
      </c>
      <c r="J6764" s="30" t="s">
        <v>2019</v>
      </c>
      <c r="L6764" s="30" t="s">
        <v>737</v>
      </c>
      <c r="N6764" s="30" t="s">
        <v>738</v>
      </c>
      <c r="P6764" s="30" t="s">
        <v>2629</v>
      </c>
      <c r="Q6764" t="s">
        <v>622</v>
      </c>
      <c r="R6764" t="s">
        <v>920</v>
      </c>
      <c r="S6764">
        <v>36</v>
      </c>
      <c r="T6764" s="29" t="str">
        <f t="shared" si="294"/>
        <v>2020.005F.R.Genomoviridae.zip</v>
      </c>
      <c r="U6764" s="29" t="str">
        <f>HYPERLINK("https://ictv.global/taxonomy/taxondetails?taxnode_id=202303553","ictv.global=202303553")</f>
        <v>ictv.global=202303553</v>
      </c>
    </row>
    <row r="6765" spans="1:21">
      <c r="A6765">
        <v>6764</v>
      </c>
      <c r="B6765" s="30" t="s">
        <v>1956</v>
      </c>
      <c r="D6765" s="30" t="s">
        <v>1985</v>
      </c>
      <c r="F6765" s="30" t="s">
        <v>2009</v>
      </c>
      <c r="H6765" s="30" t="s">
        <v>2018</v>
      </c>
      <c r="J6765" s="30" t="s">
        <v>2019</v>
      </c>
      <c r="L6765" s="30" t="s">
        <v>737</v>
      </c>
      <c r="N6765" s="30" t="s">
        <v>738</v>
      </c>
      <c r="P6765" s="30" t="s">
        <v>2630</v>
      </c>
      <c r="Q6765" t="s">
        <v>622</v>
      </c>
      <c r="R6765" t="s">
        <v>920</v>
      </c>
      <c r="S6765">
        <v>36</v>
      </c>
      <c r="T6765" s="29" t="str">
        <f t="shared" si="294"/>
        <v>2020.005F.R.Genomoviridae.zip</v>
      </c>
      <c r="U6765" s="29" t="str">
        <f>HYPERLINK("https://ictv.global/taxonomy/taxondetails?taxnode_id=202303554","ictv.global=202303554")</f>
        <v>ictv.global=202303554</v>
      </c>
    </row>
    <row r="6766" spans="1:21">
      <c r="A6766">
        <v>6765</v>
      </c>
      <c r="B6766" s="30" t="s">
        <v>1956</v>
      </c>
      <c r="D6766" s="30" t="s">
        <v>1985</v>
      </c>
      <c r="F6766" s="30" t="s">
        <v>2009</v>
      </c>
      <c r="H6766" s="30" t="s">
        <v>2018</v>
      </c>
      <c r="J6766" s="30" t="s">
        <v>2019</v>
      </c>
      <c r="L6766" s="30" t="s">
        <v>737</v>
      </c>
      <c r="N6766" s="30" t="s">
        <v>738</v>
      </c>
      <c r="P6766" s="30" t="s">
        <v>2631</v>
      </c>
      <c r="Q6766" t="s">
        <v>622</v>
      </c>
      <c r="R6766" t="s">
        <v>920</v>
      </c>
      <c r="S6766">
        <v>36</v>
      </c>
      <c r="T6766" s="29" t="str">
        <f t="shared" si="294"/>
        <v>2020.005F.R.Genomoviridae.zip</v>
      </c>
      <c r="U6766" s="29" t="str">
        <f>HYPERLINK("https://ictv.global/taxonomy/taxondetails?taxnode_id=202303555","ictv.global=202303555")</f>
        <v>ictv.global=202303555</v>
      </c>
    </row>
    <row r="6767" spans="1:21">
      <c r="A6767">
        <v>6766</v>
      </c>
      <c r="B6767" s="30" t="s">
        <v>1956</v>
      </c>
      <c r="D6767" s="30" t="s">
        <v>1985</v>
      </c>
      <c r="F6767" s="30" t="s">
        <v>2009</v>
      </c>
      <c r="H6767" s="30" t="s">
        <v>2018</v>
      </c>
      <c r="J6767" s="30" t="s">
        <v>2019</v>
      </c>
      <c r="L6767" s="30" t="s">
        <v>737</v>
      </c>
      <c r="N6767" s="30" t="s">
        <v>738</v>
      </c>
      <c r="P6767" s="30" t="s">
        <v>2632</v>
      </c>
      <c r="Q6767" t="s">
        <v>735</v>
      </c>
      <c r="R6767" t="s">
        <v>917</v>
      </c>
      <c r="S6767">
        <v>36</v>
      </c>
      <c r="T6767" s="29" t="str">
        <f t="shared" si="294"/>
        <v>2020.005F.R.Genomoviridae.zip</v>
      </c>
      <c r="U6767" s="29" t="str">
        <f>HYPERLINK("https://ictv.global/taxonomy/taxondetails?taxnode_id=202308984","ictv.global=202308984")</f>
        <v>ictv.global=202308984</v>
      </c>
    </row>
    <row r="6768" spans="1:21">
      <c r="A6768">
        <v>6767</v>
      </c>
      <c r="B6768" s="30" t="s">
        <v>1956</v>
      </c>
      <c r="D6768" s="30" t="s">
        <v>1985</v>
      </c>
      <c r="F6768" s="30" t="s">
        <v>2009</v>
      </c>
      <c r="H6768" s="30" t="s">
        <v>2018</v>
      </c>
      <c r="J6768" s="30" t="s">
        <v>2019</v>
      </c>
      <c r="L6768" s="30" t="s">
        <v>737</v>
      </c>
      <c r="N6768" s="30" t="s">
        <v>738</v>
      </c>
      <c r="P6768" s="30" t="s">
        <v>2633</v>
      </c>
      <c r="Q6768" t="s">
        <v>735</v>
      </c>
      <c r="R6768" t="s">
        <v>920</v>
      </c>
      <c r="S6768">
        <v>36</v>
      </c>
      <c r="T6768" s="29" t="str">
        <f t="shared" si="294"/>
        <v>2020.005F.R.Genomoviridae.zip</v>
      </c>
      <c r="U6768" s="29" t="str">
        <f>HYPERLINK("https://ictv.global/taxonomy/taxondetails?taxnode_id=202303556","ictv.global=202303556")</f>
        <v>ictv.global=202303556</v>
      </c>
    </row>
    <row r="6769" spans="1:21">
      <c r="A6769">
        <v>6768</v>
      </c>
      <c r="B6769" s="30" t="s">
        <v>1956</v>
      </c>
      <c r="D6769" s="30" t="s">
        <v>1985</v>
      </c>
      <c r="F6769" s="30" t="s">
        <v>2009</v>
      </c>
      <c r="H6769" s="30" t="s">
        <v>2018</v>
      </c>
      <c r="J6769" s="30" t="s">
        <v>2019</v>
      </c>
      <c r="L6769" s="30" t="s">
        <v>737</v>
      </c>
      <c r="N6769" s="30" t="s">
        <v>738</v>
      </c>
      <c r="P6769" s="30" t="s">
        <v>2634</v>
      </c>
      <c r="Q6769" t="s">
        <v>622</v>
      </c>
      <c r="R6769" t="s">
        <v>920</v>
      </c>
      <c r="S6769">
        <v>36</v>
      </c>
      <c r="T6769" s="29" t="str">
        <f t="shared" si="294"/>
        <v>2020.005F.R.Genomoviridae.zip</v>
      </c>
      <c r="U6769" s="29" t="str">
        <f>HYPERLINK("https://ictv.global/taxonomy/taxondetails?taxnode_id=202303558","ictv.global=202303558")</f>
        <v>ictv.global=202303558</v>
      </c>
    </row>
    <row r="6770" spans="1:21">
      <c r="A6770">
        <v>6769</v>
      </c>
      <c r="B6770" s="30" t="s">
        <v>1956</v>
      </c>
      <c r="D6770" s="30" t="s">
        <v>1985</v>
      </c>
      <c r="F6770" s="30" t="s">
        <v>2009</v>
      </c>
      <c r="H6770" s="30" t="s">
        <v>2018</v>
      </c>
      <c r="J6770" s="30" t="s">
        <v>2019</v>
      </c>
      <c r="L6770" s="30" t="s">
        <v>737</v>
      </c>
      <c r="N6770" s="30" t="s">
        <v>738</v>
      </c>
      <c r="P6770" s="30" t="s">
        <v>2635</v>
      </c>
      <c r="Q6770" t="s">
        <v>622</v>
      </c>
      <c r="R6770" t="s">
        <v>920</v>
      </c>
      <c r="S6770">
        <v>36</v>
      </c>
      <c r="T6770" s="29" t="str">
        <f t="shared" si="294"/>
        <v>2020.005F.R.Genomoviridae.zip</v>
      </c>
      <c r="U6770" s="29" t="str">
        <f>HYPERLINK("https://ictv.global/taxonomy/taxondetails?taxnode_id=202303559","ictv.global=202303559")</f>
        <v>ictv.global=202303559</v>
      </c>
    </row>
    <row r="6771" spans="1:21">
      <c r="A6771">
        <v>6770</v>
      </c>
      <c r="B6771" s="30" t="s">
        <v>1956</v>
      </c>
      <c r="D6771" s="30" t="s">
        <v>1985</v>
      </c>
      <c r="F6771" s="30" t="s">
        <v>2009</v>
      </c>
      <c r="H6771" s="30" t="s">
        <v>2018</v>
      </c>
      <c r="J6771" s="30" t="s">
        <v>2019</v>
      </c>
      <c r="L6771" s="30" t="s">
        <v>737</v>
      </c>
      <c r="N6771" s="30" t="s">
        <v>738</v>
      </c>
      <c r="P6771" s="30" t="s">
        <v>2636</v>
      </c>
      <c r="Q6771" t="s">
        <v>622</v>
      </c>
      <c r="R6771" t="s">
        <v>920</v>
      </c>
      <c r="S6771">
        <v>36</v>
      </c>
      <c r="T6771" s="29" t="str">
        <f t="shared" si="294"/>
        <v>2020.005F.R.Genomoviridae.zip</v>
      </c>
      <c r="U6771" s="29" t="str">
        <f>HYPERLINK("https://ictv.global/taxonomy/taxondetails?taxnode_id=202303557","ictv.global=202303557")</f>
        <v>ictv.global=202303557</v>
      </c>
    </row>
    <row r="6772" spans="1:21">
      <c r="A6772">
        <v>6771</v>
      </c>
      <c r="B6772" s="30" t="s">
        <v>1956</v>
      </c>
      <c r="D6772" s="30" t="s">
        <v>1985</v>
      </c>
      <c r="F6772" s="30" t="s">
        <v>2009</v>
      </c>
      <c r="H6772" s="30" t="s">
        <v>2018</v>
      </c>
      <c r="J6772" s="30" t="s">
        <v>2019</v>
      </c>
      <c r="L6772" s="30" t="s">
        <v>737</v>
      </c>
      <c r="N6772" s="30" t="s">
        <v>738</v>
      </c>
      <c r="P6772" s="30" t="s">
        <v>2637</v>
      </c>
      <c r="Q6772" t="s">
        <v>735</v>
      </c>
      <c r="R6772" t="s">
        <v>917</v>
      </c>
      <c r="S6772">
        <v>36</v>
      </c>
      <c r="T6772" s="29" t="str">
        <f t="shared" si="294"/>
        <v>2020.005F.R.Genomoviridae.zip</v>
      </c>
      <c r="U6772" s="29" t="str">
        <f>HYPERLINK("https://ictv.global/taxonomy/taxondetails?taxnode_id=202308971","ictv.global=202308971")</f>
        <v>ictv.global=202308971</v>
      </c>
    </row>
    <row r="6773" spans="1:21">
      <c r="A6773">
        <v>6772</v>
      </c>
      <c r="B6773" s="30" t="s">
        <v>1956</v>
      </c>
      <c r="D6773" s="30" t="s">
        <v>1985</v>
      </c>
      <c r="F6773" s="30" t="s">
        <v>2009</v>
      </c>
      <c r="H6773" s="30" t="s">
        <v>2018</v>
      </c>
      <c r="J6773" s="30" t="s">
        <v>2019</v>
      </c>
      <c r="L6773" s="30" t="s">
        <v>737</v>
      </c>
      <c r="N6773" s="30" t="s">
        <v>738</v>
      </c>
      <c r="P6773" s="30" t="s">
        <v>2638</v>
      </c>
      <c r="Q6773" t="s">
        <v>735</v>
      </c>
      <c r="R6773" t="s">
        <v>917</v>
      </c>
      <c r="S6773">
        <v>36</v>
      </c>
      <c r="T6773" s="29" t="str">
        <f t="shared" si="294"/>
        <v>2020.005F.R.Genomoviridae.zip</v>
      </c>
      <c r="U6773" s="29" t="str">
        <f>HYPERLINK("https://ictv.global/taxonomy/taxondetails?taxnode_id=202308964","ictv.global=202308964")</f>
        <v>ictv.global=202308964</v>
      </c>
    </row>
    <row r="6774" spans="1:21">
      <c r="A6774">
        <v>6773</v>
      </c>
      <c r="B6774" s="30" t="s">
        <v>1956</v>
      </c>
      <c r="D6774" s="30" t="s">
        <v>1985</v>
      </c>
      <c r="F6774" s="30" t="s">
        <v>2009</v>
      </c>
      <c r="H6774" s="30" t="s">
        <v>2018</v>
      </c>
      <c r="J6774" s="30" t="s">
        <v>2019</v>
      </c>
      <c r="L6774" s="30" t="s">
        <v>737</v>
      </c>
      <c r="N6774" s="30" t="s">
        <v>738</v>
      </c>
      <c r="P6774" s="30" t="s">
        <v>2639</v>
      </c>
      <c r="Q6774" t="s">
        <v>735</v>
      </c>
      <c r="R6774" t="s">
        <v>917</v>
      </c>
      <c r="S6774">
        <v>36</v>
      </c>
      <c r="T6774" s="29" t="str">
        <f t="shared" si="294"/>
        <v>2020.005F.R.Genomoviridae.zip</v>
      </c>
      <c r="U6774" s="29" t="str">
        <f>HYPERLINK("https://ictv.global/taxonomy/taxondetails?taxnode_id=202309012","ictv.global=202309012")</f>
        <v>ictv.global=202309012</v>
      </c>
    </row>
    <row r="6775" spans="1:21">
      <c r="A6775">
        <v>6774</v>
      </c>
      <c r="B6775" s="30" t="s">
        <v>1956</v>
      </c>
      <c r="D6775" s="30" t="s">
        <v>1985</v>
      </c>
      <c r="F6775" s="30" t="s">
        <v>2009</v>
      </c>
      <c r="H6775" s="30" t="s">
        <v>2018</v>
      </c>
      <c r="J6775" s="30" t="s">
        <v>2019</v>
      </c>
      <c r="L6775" s="30" t="s">
        <v>737</v>
      </c>
      <c r="N6775" s="30" t="s">
        <v>738</v>
      </c>
      <c r="P6775" s="30" t="s">
        <v>2640</v>
      </c>
      <c r="Q6775" t="s">
        <v>735</v>
      </c>
      <c r="R6775" t="s">
        <v>917</v>
      </c>
      <c r="S6775">
        <v>36</v>
      </c>
      <c r="T6775" s="29" t="str">
        <f t="shared" si="294"/>
        <v>2020.005F.R.Genomoviridae.zip</v>
      </c>
      <c r="U6775" s="29" t="str">
        <f>HYPERLINK("https://ictv.global/taxonomy/taxondetails?taxnode_id=202309013","ictv.global=202309013")</f>
        <v>ictv.global=202309013</v>
      </c>
    </row>
    <row r="6776" spans="1:21">
      <c r="A6776">
        <v>6775</v>
      </c>
      <c r="B6776" s="30" t="s">
        <v>1956</v>
      </c>
      <c r="D6776" s="30" t="s">
        <v>1985</v>
      </c>
      <c r="F6776" s="30" t="s">
        <v>2009</v>
      </c>
      <c r="H6776" s="30" t="s">
        <v>2018</v>
      </c>
      <c r="J6776" s="30" t="s">
        <v>2019</v>
      </c>
      <c r="L6776" s="30" t="s">
        <v>737</v>
      </c>
      <c r="N6776" s="30" t="s">
        <v>738</v>
      </c>
      <c r="P6776" s="30" t="s">
        <v>2641</v>
      </c>
      <c r="Q6776" t="s">
        <v>735</v>
      </c>
      <c r="R6776" t="s">
        <v>917</v>
      </c>
      <c r="S6776">
        <v>36</v>
      </c>
      <c r="T6776" s="29" t="str">
        <f t="shared" si="294"/>
        <v>2020.005F.R.Genomoviridae.zip</v>
      </c>
      <c r="U6776" s="29" t="str">
        <f>HYPERLINK("https://ictv.global/taxonomy/taxondetails?taxnode_id=202309014","ictv.global=202309014")</f>
        <v>ictv.global=202309014</v>
      </c>
    </row>
    <row r="6777" spans="1:21">
      <c r="A6777">
        <v>6776</v>
      </c>
      <c r="B6777" s="30" t="s">
        <v>1956</v>
      </c>
      <c r="D6777" s="30" t="s">
        <v>1985</v>
      </c>
      <c r="F6777" s="30" t="s">
        <v>2009</v>
      </c>
      <c r="H6777" s="30" t="s">
        <v>2018</v>
      </c>
      <c r="J6777" s="30" t="s">
        <v>2019</v>
      </c>
      <c r="L6777" s="30" t="s">
        <v>737</v>
      </c>
      <c r="N6777" s="30" t="s">
        <v>738</v>
      </c>
      <c r="P6777" s="30" t="s">
        <v>2642</v>
      </c>
      <c r="Q6777" t="s">
        <v>735</v>
      </c>
      <c r="R6777" t="s">
        <v>917</v>
      </c>
      <c r="S6777">
        <v>36</v>
      </c>
      <c r="T6777" s="29" t="str">
        <f t="shared" si="294"/>
        <v>2020.005F.R.Genomoviridae.zip</v>
      </c>
      <c r="U6777" s="29" t="str">
        <f>HYPERLINK("https://ictv.global/taxonomy/taxondetails?taxnode_id=202309017","ictv.global=202309017")</f>
        <v>ictv.global=202309017</v>
      </c>
    </row>
    <row r="6778" spans="1:21">
      <c r="A6778">
        <v>6777</v>
      </c>
      <c r="B6778" s="30" t="s">
        <v>1956</v>
      </c>
      <c r="D6778" s="30" t="s">
        <v>1985</v>
      </c>
      <c r="F6778" s="30" t="s">
        <v>2009</v>
      </c>
      <c r="H6778" s="30" t="s">
        <v>2018</v>
      </c>
      <c r="J6778" s="30" t="s">
        <v>2019</v>
      </c>
      <c r="L6778" s="30" t="s">
        <v>737</v>
      </c>
      <c r="N6778" s="30" t="s">
        <v>738</v>
      </c>
      <c r="P6778" s="30" t="s">
        <v>2643</v>
      </c>
      <c r="Q6778" t="s">
        <v>735</v>
      </c>
      <c r="R6778" t="s">
        <v>917</v>
      </c>
      <c r="S6778">
        <v>36</v>
      </c>
      <c r="T6778" s="29" t="str">
        <f t="shared" si="294"/>
        <v>2020.005F.R.Genomoviridae.zip</v>
      </c>
      <c r="U6778" s="29" t="str">
        <f>HYPERLINK("https://ictv.global/taxonomy/taxondetails?taxnode_id=202308977","ictv.global=202308977")</f>
        <v>ictv.global=202308977</v>
      </c>
    </row>
    <row r="6779" spans="1:21">
      <c r="A6779">
        <v>6778</v>
      </c>
      <c r="B6779" s="30" t="s">
        <v>1956</v>
      </c>
      <c r="D6779" s="30" t="s">
        <v>1985</v>
      </c>
      <c r="F6779" s="30" t="s">
        <v>2009</v>
      </c>
      <c r="H6779" s="30" t="s">
        <v>2018</v>
      </c>
      <c r="J6779" s="30" t="s">
        <v>2019</v>
      </c>
      <c r="L6779" s="30" t="s">
        <v>737</v>
      </c>
      <c r="N6779" s="30" t="s">
        <v>738</v>
      </c>
      <c r="P6779" s="30" t="s">
        <v>2644</v>
      </c>
      <c r="Q6779" t="s">
        <v>735</v>
      </c>
      <c r="R6779" t="s">
        <v>917</v>
      </c>
      <c r="S6779">
        <v>36</v>
      </c>
      <c r="T6779" s="29" t="str">
        <f t="shared" si="294"/>
        <v>2020.005F.R.Genomoviridae.zip</v>
      </c>
      <c r="U6779" s="29" t="str">
        <f>HYPERLINK("https://ictv.global/taxonomy/taxondetails?taxnode_id=202308980","ictv.global=202308980")</f>
        <v>ictv.global=202308980</v>
      </c>
    </row>
    <row r="6780" spans="1:21">
      <c r="A6780">
        <v>6779</v>
      </c>
      <c r="B6780" s="30" t="s">
        <v>1956</v>
      </c>
      <c r="D6780" s="30" t="s">
        <v>1985</v>
      </c>
      <c r="F6780" s="30" t="s">
        <v>2009</v>
      </c>
      <c r="H6780" s="30" t="s">
        <v>2018</v>
      </c>
      <c r="J6780" s="30" t="s">
        <v>2019</v>
      </c>
      <c r="L6780" s="30" t="s">
        <v>737</v>
      </c>
      <c r="N6780" s="30" t="s">
        <v>738</v>
      </c>
      <c r="P6780" s="30" t="s">
        <v>2645</v>
      </c>
      <c r="Q6780" t="s">
        <v>735</v>
      </c>
      <c r="R6780" t="s">
        <v>917</v>
      </c>
      <c r="S6780">
        <v>36</v>
      </c>
      <c r="T6780" s="29" t="str">
        <f t="shared" si="294"/>
        <v>2020.005F.R.Genomoviridae.zip</v>
      </c>
      <c r="U6780" s="29" t="str">
        <f>HYPERLINK("https://ictv.global/taxonomy/taxondetails?taxnode_id=202308955","ictv.global=202308955")</f>
        <v>ictv.global=202308955</v>
      </c>
    </row>
    <row r="6781" spans="1:21">
      <c r="A6781">
        <v>6780</v>
      </c>
      <c r="B6781" s="30" t="s">
        <v>1956</v>
      </c>
      <c r="D6781" s="30" t="s">
        <v>1985</v>
      </c>
      <c r="F6781" s="30" t="s">
        <v>2009</v>
      </c>
      <c r="H6781" s="30" t="s">
        <v>2018</v>
      </c>
      <c r="J6781" s="30" t="s">
        <v>2019</v>
      </c>
      <c r="L6781" s="30" t="s">
        <v>737</v>
      </c>
      <c r="N6781" s="30" t="s">
        <v>738</v>
      </c>
      <c r="P6781" s="30" t="s">
        <v>2646</v>
      </c>
      <c r="Q6781" t="s">
        <v>735</v>
      </c>
      <c r="R6781" t="s">
        <v>920</v>
      </c>
      <c r="S6781">
        <v>36</v>
      </c>
      <c r="T6781" s="29" t="str">
        <f t="shared" si="294"/>
        <v>2020.005F.R.Genomoviridae.zip</v>
      </c>
      <c r="U6781" s="29" t="str">
        <f>HYPERLINK("https://ictv.global/taxonomy/taxondetails?taxnode_id=202303560","ictv.global=202303560")</f>
        <v>ictv.global=202303560</v>
      </c>
    </row>
    <row r="6782" spans="1:21">
      <c r="A6782">
        <v>6781</v>
      </c>
      <c r="B6782" s="30" t="s">
        <v>1956</v>
      </c>
      <c r="D6782" s="30" t="s">
        <v>1985</v>
      </c>
      <c r="F6782" s="30" t="s">
        <v>2009</v>
      </c>
      <c r="H6782" s="30" t="s">
        <v>2018</v>
      </c>
      <c r="J6782" s="30" t="s">
        <v>2019</v>
      </c>
      <c r="L6782" s="30" t="s">
        <v>737</v>
      </c>
      <c r="N6782" s="30" t="s">
        <v>738</v>
      </c>
      <c r="P6782" s="30" t="s">
        <v>2647</v>
      </c>
      <c r="Q6782" t="s">
        <v>735</v>
      </c>
      <c r="R6782" t="s">
        <v>917</v>
      </c>
      <c r="S6782">
        <v>36</v>
      </c>
      <c r="T6782" s="29" t="str">
        <f t="shared" si="294"/>
        <v>2020.005F.R.Genomoviridae.zip</v>
      </c>
      <c r="U6782" s="29" t="str">
        <f>HYPERLINK("https://ictv.global/taxonomy/taxondetails?taxnode_id=202308990","ictv.global=202308990")</f>
        <v>ictv.global=202308990</v>
      </c>
    </row>
    <row r="6783" spans="1:21">
      <c r="A6783">
        <v>6782</v>
      </c>
      <c r="B6783" s="30" t="s">
        <v>1956</v>
      </c>
      <c r="D6783" s="30" t="s">
        <v>1985</v>
      </c>
      <c r="F6783" s="30" t="s">
        <v>2009</v>
      </c>
      <c r="H6783" s="30" t="s">
        <v>2018</v>
      </c>
      <c r="J6783" s="30" t="s">
        <v>2019</v>
      </c>
      <c r="L6783" s="30" t="s">
        <v>737</v>
      </c>
      <c r="N6783" s="30" t="s">
        <v>738</v>
      </c>
      <c r="P6783" s="30" t="s">
        <v>2648</v>
      </c>
      <c r="Q6783" t="s">
        <v>622</v>
      </c>
      <c r="R6783" t="s">
        <v>920</v>
      </c>
      <c r="S6783">
        <v>36</v>
      </c>
      <c r="T6783" s="29" t="str">
        <f t="shared" si="294"/>
        <v>2020.005F.R.Genomoviridae.zip</v>
      </c>
      <c r="U6783" s="29" t="str">
        <f>HYPERLINK("https://ictv.global/taxonomy/taxondetails?taxnode_id=202303561","ictv.global=202303561")</f>
        <v>ictv.global=202303561</v>
      </c>
    </row>
    <row r="6784" spans="1:21">
      <c r="A6784">
        <v>6783</v>
      </c>
      <c r="B6784" s="30" t="s">
        <v>1956</v>
      </c>
      <c r="D6784" s="30" t="s">
        <v>1985</v>
      </c>
      <c r="F6784" s="30" t="s">
        <v>2009</v>
      </c>
      <c r="H6784" s="30" t="s">
        <v>2018</v>
      </c>
      <c r="J6784" s="30" t="s">
        <v>2019</v>
      </c>
      <c r="L6784" s="30" t="s">
        <v>737</v>
      </c>
      <c r="N6784" s="30" t="s">
        <v>738</v>
      </c>
      <c r="P6784" s="30" t="s">
        <v>2649</v>
      </c>
      <c r="Q6784" t="s">
        <v>735</v>
      </c>
      <c r="R6784" t="s">
        <v>917</v>
      </c>
      <c r="S6784">
        <v>36</v>
      </c>
      <c r="T6784" s="29" t="str">
        <f t="shared" ref="T6784:T6815" si="295">HYPERLINK("https://ictv.global/ictv/proposals/2020.005F.R.Genomoviridae.zip","2020.005F.R.Genomoviridae.zip")</f>
        <v>2020.005F.R.Genomoviridae.zip</v>
      </c>
      <c r="U6784" s="29" t="str">
        <f>HYPERLINK("https://ictv.global/taxonomy/taxondetails?taxnode_id=202308959","ictv.global=202308959")</f>
        <v>ictv.global=202308959</v>
      </c>
    </row>
    <row r="6785" spans="1:21">
      <c r="A6785">
        <v>6784</v>
      </c>
      <c r="B6785" s="30" t="s">
        <v>1956</v>
      </c>
      <c r="D6785" s="30" t="s">
        <v>1985</v>
      </c>
      <c r="F6785" s="30" t="s">
        <v>2009</v>
      </c>
      <c r="H6785" s="30" t="s">
        <v>2018</v>
      </c>
      <c r="J6785" s="30" t="s">
        <v>2019</v>
      </c>
      <c r="L6785" s="30" t="s">
        <v>737</v>
      </c>
      <c r="N6785" s="30" t="s">
        <v>738</v>
      </c>
      <c r="P6785" s="30" t="s">
        <v>2650</v>
      </c>
      <c r="Q6785" t="s">
        <v>735</v>
      </c>
      <c r="R6785" t="s">
        <v>917</v>
      </c>
      <c r="S6785">
        <v>36</v>
      </c>
      <c r="T6785" s="29" t="str">
        <f t="shared" si="295"/>
        <v>2020.005F.R.Genomoviridae.zip</v>
      </c>
      <c r="U6785" s="29" t="str">
        <f>HYPERLINK("https://ictv.global/taxonomy/taxondetails?taxnode_id=202308970","ictv.global=202308970")</f>
        <v>ictv.global=202308970</v>
      </c>
    </row>
    <row r="6786" spans="1:21">
      <c r="A6786">
        <v>6785</v>
      </c>
      <c r="B6786" s="30" t="s">
        <v>1956</v>
      </c>
      <c r="D6786" s="30" t="s">
        <v>1985</v>
      </c>
      <c r="F6786" s="30" t="s">
        <v>2009</v>
      </c>
      <c r="H6786" s="30" t="s">
        <v>2018</v>
      </c>
      <c r="J6786" s="30" t="s">
        <v>2019</v>
      </c>
      <c r="L6786" s="30" t="s">
        <v>737</v>
      </c>
      <c r="N6786" s="30" t="s">
        <v>738</v>
      </c>
      <c r="P6786" s="30" t="s">
        <v>2651</v>
      </c>
      <c r="Q6786" t="s">
        <v>735</v>
      </c>
      <c r="R6786" t="s">
        <v>920</v>
      </c>
      <c r="S6786">
        <v>36</v>
      </c>
      <c r="T6786" s="29" t="str">
        <f t="shared" si="295"/>
        <v>2020.005F.R.Genomoviridae.zip</v>
      </c>
      <c r="U6786" s="29" t="str">
        <f>HYPERLINK("https://ictv.global/taxonomy/taxondetails?taxnode_id=202303562","ictv.global=202303562")</f>
        <v>ictv.global=202303562</v>
      </c>
    </row>
    <row r="6787" spans="1:21">
      <c r="A6787">
        <v>6786</v>
      </c>
      <c r="B6787" s="30" t="s">
        <v>1956</v>
      </c>
      <c r="D6787" s="30" t="s">
        <v>1985</v>
      </c>
      <c r="F6787" s="30" t="s">
        <v>2009</v>
      </c>
      <c r="H6787" s="30" t="s">
        <v>2018</v>
      </c>
      <c r="J6787" s="30" t="s">
        <v>2019</v>
      </c>
      <c r="L6787" s="30" t="s">
        <v>737</v>
      </c>
      <c r="N6787" s="30" t="s">
        <v>738</v>
      </c>
      <c r="P6787" s="30" t="s">
        <v>2652</v>
      </c>
      <c r="Q6787" t="s">
        <v>735</v>
      </c>
      <c r="R6787" t="s">
        <v>920</v>
      </c>
      <c r="S6787">
        <v>36</v>
      </c>
      <c r="T6787" s="29" t="str">
        <f t="shared" si="295"/>
        <v>2020.005F.R.Genomoviridae.zip</v>
      </c>
      <c r="U6787" s="29" t="str">
        <f>HYPERLINK("https://ictv.global/taxonomy/taxondetails?taxnode_id=202303563","ictv.global=202303563")</f>
        <v>ictv.global=202303563</v>
      </c>
    </row>
    <row r="6788" spans="1:21">
      <c r="A6788">
        <v>6787</v>
      </c>
      <c r="B6788" s="30" t="s">
        <v>1956</v>
      </c>
      <c r="D6788" s="30" t="s">
        <v>1985</v>
      </c>
      <c r="F6788" s="30" t="s">
        <v>2009</v>
      </c>
      <c r="H6788" s="30" t="s">
        <v>2018</v>
      </c>
      <c r="J6788" s="30" t="s">
        <v>2019</v>
      </c>
      <c r="L6788" s="30" t="s">
        <v>737</v>
      </c>
      <c r="N6788" s="30" t="s">
        <v>738</v>
      </c>
      <c r="P6788" s="30" t="s">
        <v>2653</v>
      </c>
      <c r="Q6788" t="s">
        <v>735</v>
      </c>
      <c r="R6788" t="s">
        <v>920</v>
      </c>
      <c r="S6788">
        <v>36</v>
      </c>
      <c r="T6788" s="29" t="str">
        <f t="shared" si="295"/>
        <v>2020.005F.R.Genomoviridae.zip</v>
      </c>
      <c r="U6788" s="29" t="str">
        <f>HYPERLINK("https://ictv.global/taxonomy/taxondetails?taxnode_id=202303564","ictv.global=202303564")</f>
        <v>ictv.global=202303564</v>
      </c>
    </row>
    <row r="6789" spans="1:21">
      <c r="A6789">
        <v>6788</v>
      </c>
      <c r="B6789" s="30" t="s">
        <v>1956</v>
      </c>
      <c r="D6789" s="30" t="s">
        <v>1985</v>
      </c>
      <c r="F6789" s="30" t="s">
        <v>2009</v>
      </c>
      <c r="H6789" s="30" t="s">
        <v>2018</v>
      </c>
      <c r="J6789" s="30" t="s">
        <v>2019</v>
      </c>
      <c r="L6789" s="30" t="s">
        <v>737</v>
      </c>
      <c r="N6789" s="30" t="s">
        <v>738</v>
      </c>
      <c r="P6789" s="30" t="s">
        <v>2654</v>
      </c>
      <c r="Q6789" t="s">
        <v>735</v>
      </c>
      <c r="R6789" t="s">
        <v>920</v>
      </c>
      <c r="S6789">
        <v>36</v>
      </c>
      <c r="T6789" s="29" t="str">
        <f t="shared" si="295"/>
        <v>2020.005F.R.Genomoviridae.zip</v>
      </c>
      <c r="U6789" s="29" t="str">
        <f>HYPERLINK("https://ictv.global/taxonomy/taxondetails?taxnode_id=202303565","ictv.global=202303565")</f>
        <v>ictv.global=202303565</v>
      </c>
    </row>
    <row r="6790" spans="1:21">
      <c r="A6790">
        <v>6789</v>
      </c>
      <c r="B6790" s="30" t="s">
        <v>1956</v>
      </c>
      <c r="D6790" s="30" t="s">
        <v>1985</v>
      </c>
      <c r="F6790" s="30" t="s">
        <v>2009</v>
      </c>
      <c r="H6790" s="30" t="s">
        <v>2018</v>
      </c>
      <c r="J6790" s="30" t="s">
        <v>2019</v>
      </c>
      <c r="L6790" s="30" t="s">
        <v>737</v>
      </c>
      <c r="N6790" s="30" t="s">
        <v>738</v>
      </c>
      <c r="P6790" s="30" t="s">
        <v>2655</v>
      </c>
      <c r="Q6790" t="s">
        <v>735</v>
      </c>
      <c r="R6790" t="s">
        <v>917</v>
      </c>
      <c r="S6790">
        <v>36</v>
      </c>
      <c r="T6790" s="29" t="str">
        <f t="shared" si="295"/>
        <v>2020.005F.R.Genomoviridae.zip</v>
      </c>
      <c r="U6790" s="29" t="str">
        <f>HYPERLINK("https://ictv.global/taxonomy/taxondetails?taxnode_id=202308966","ictv.global=202308966")</f>
        <v>ictv.global=202308966</v>
      </c>
    </row>
    <row r="6791" spans="1:21">
      <c r="A6791">
        <v>6790</v>
      </c>
      <c r="B6791" s="30" t="s">
        <v>1956</v>
      </c>
      <c r="D6791" s="30" t="s">
        <v>1985</v>
      </c>
      <c r="F6791" s="30" t="s">
        <v>2009</v>
      </c>
      <c r="H6791" s="30" t="s">
        <v>2018</v>
      </c>
      <c r="J6791" s="30" t="s">
        <v>2019</v>
      </c>
      <c r="L6791" s="30" t="s">
        <v>737</v>
      </c>
      <c r="N6791" s="30" t="s">
        <v>738</v>
      </c>
      <c r="P6791" s="30" t="s">
        <v>2656</v>
      </c>
      <c r="Q6791" t="s">
        <v>735</v>
      </c>
      <c r="R6791" t="s">
        <v>917</v>
      </c>
      <c r="S6791">
        <v>36</v>
      </c>
      <c r="T6791" s="29" t="str">
        <f t="shared" si="295"/>
        <v>2020.005F.R.Genomoviridae.zip</v>
      </c>
      <c r="U6791" s="29" t="str">
        <f>HYPERLINK("https://ictv.global/taxonomy/taxondetails?taxnode_id=202308983","ictv.global=202308983")</f>
        <v>ictv.global=202308983</v>
      </c>
    </row>
    <row r="6792" spans="1:21">
      <c r="A6792">
        <v>6791</v>
      </c>
      <c r="B6792" s="30" t="s">
        <v>1956</v>
      </c>
      <c r="D6792" s="30" t="s">
        <v>1985</v>
      </c>
      <c r="F6792" s="30" t="s">
        <v>2009</v>
      </c>
      <c r="H6792" s="30" t="s">
        <v>2018</v>
      </c>
      <c r="J6792" s="30" t="s">
        <v>2019</v>
      </c>
      <c r="L6792" s="30" t="s">
        <v>737</v>
      </c>
      <c r="N6792" s="30" t="s">
        <v>738</v>
      </c>
      <c r="P6792" s="30" t="s">
        <v>2657</v>
      </c>
      <c r="Q6792" t="s">
        <v>735</v>
      </c>
      <c r="R6792" t="s">
        <v>917</v>
      </c>
      <c r="S6792">
        <v>36</v>
      </c>
      <c r="T6792" s="29" t="str">
        <f t="shared" si="295"/>
        <v>2020.005F.R.Genomoviridae.zip</v>
      </c>
      <c r="U6792" s="29" t="str">
        <f>HYPERLINK("https://ictv.global/taxonomy/taxondetails?taxnode_id=202308988","ictv.global=202308988")</f>
        <v>ictv.global=202308988</v>
      </c>
    </row>
    <row r="6793" spans="1:21">
      <c r="A6793">
        <v>6792</v>
      </c>
      <c r="B6793" s="30" t="s">
        <v>1956</v>
      </c>
      <c r="D6793" s="30" t="s">
        <v>1985</v>
      </c>
      <c r="F6793" s="30" t="s">
        <v>2009</v>
      </c>
      <c r="H6793" s="30" t="s">
        <v>2018</v>
      </c>
      <c r="J6793" s="30" t="s">
        <v>2019</v>
      </c>
      <c r="L6793" s="30" t="s">
        <v>737</v>
      </c>
      <c r="N6793" s="30" t="s">
        <v>738</v>
      </c>
      <c r="P6793" s="30" t="s">
        <v>2658</v>
      </c>
      <c r="Q6793" t="s">
        <v>735</v>
      </c>
      <c r="R6793" t="s">
        <v>917</v>
      </c>
      <c r="S6793">
        <v>36</v>
      </c>
      <c r="T6793" s="29" t="str">
        <f t="shared" si="295"/>
        <v>2020.005F.R.Genomoviridae.zip</v>
      </c>
      <c r="U6793" s="29" t="str">
        <f>HYPERLINK("https://ictv.global/taxonomy/taxondetails?taxnode_id=202308991","ictv.global=202308991")</f>
        <v>ictv.global=202308991</v>
      </c>
    </row>
    <row r="6794" spans="1:21">
      <c r="A6794">
        <v>6793</v>
      </c>
      <c r="B6794" s="30" t="s">
        <v>1956</v>
      </c>
      <c r="D6794" s="30" t="s">
        <v>1985</v>
      </c>
      <c r="F6794" s="30" t="s">
        <v>2009</v>
      </c>
      <c r="H6794" s="30" t="s">
        <v>2018</v>
      </c>
      <c r="J6794" s="30" t="s">
        <v>2019</v>
      </c>
      <c r="L6794" s="30" t="s">
        <v>737</v>
      </c>
      <c r="N6794" s="30" t="s">
        <v>738</v>
      </c>
      <c r="P6794" s="30" t="s">
        <v>2659</v>
      </c>
      <c r="Q6794" t="s">
        <v>735</v>
      </c>
      <c r="R6794" t="s">
        <v>917</v>
      </c>
      <c r="S6794">
        <v>36</v>
      </c>
      <c r="T6794" s="29" t="str">
        <f t="shared" si="295"/>
        <v>2020.005F.R.Genomoviridae.zip</v>
      </c>
      <c r="U6794" s="29" t="str">
        <f>HYPERLINK("https://ictv.global/taxonomy/taxondetails?taxnode_id=202308998","ictv.global=202308998")</f>
        <v>ictv.global=202308998</v>
      </c>
    </row>
    <row r="6795" spans="1:21">
      <c r="A6795">
        <v>6794</v>
      </c>
      <c r="B6795" s="30" t="s">
        <v>1956</v>
      </c>
      <c r="D6795" s="30" t="s">
        <v>1985</v>
      </c>
      <c r="F6795" s="30" t="s">
        <v>2009</v>
      </c>
      <c r="H6795" s="30" t="s">
        <v>2018</v>
      </c>
      <c r="J6795" s="30" t="s">
        <v>2019</v>
      </c>
      <c r="L6795" s="30" t="s">
        <v>737</v>
      </c>
      <c r="N6795" s="30" t="s">
        <v>738</v>
      </c>
      <c r="P6795" s="30" t="s">
        <v>2660</v>
      </c>
      <c r="Q6795" t="s">
        <v>735</v>
      </c>
      <c r="R6795" t="s">
        <v>917</v>
      </c>
      <c r="S6795">
        <v>36</v>
      </c>
      <c r="T6795" s="29" t="str">
        <f t="shared" si="295"/>
        <v>2020.005F.R.Genomoviridae.zip</v>
      </c>
      <c r="U6795" s="29" t="str">
        <f>HYPERLINK("https://ictv.global/taxonomy/taxondetails?taxnode_id=202309008","ictv.global=202309008")</f>
        <v>ictv.global=202309008</v>
      </c>
    </row>
    <row r="6796" spans="1:21">
      <c r="A6796">
        <v>6795</v>
      </c>
      <c r="B6796" s="30" t="s">
        <v>1956</v>
      </c>
      <c r="D6796" s="30" t="s">
        <v>1985</v>
      </c>
      <c r="F6796" s="30" t="s">
        <v>2009</v>
      </c>
      <c r="H6796" s="30" t="s">
        <v>2018</v>
      </c>
      <c r="J6796" s="30" t="s">
        <v>2019</v>
      </c>
      <c r="L6796" s="30" t="s">
        <v>737</v>
      </c>
      <c r="N6796" s="30" t="s">
        <v>738</v>
      </c>
      <c r="P6796" s="30" t="s">
        <v>2661</v>
      </c>
      <c r="Q6796" t="s">
        <v>735</v>
      </c>
      <c r="R6796" t="s">
        <v>917</v>
      </c>
      <c r="S6796">
        <v>36</v>
      </c>
      <c r="T6796" s="29" t="str">
        <f t="shared" si="295"/>
        <v>2020.005F.R.Genomoviridae.zip</v>
      </c>
      <c r="U6796" s="29" t="str">
        <f>HYPERLINK("https://ictv.global/taxonomy/taxondetails?taxnode_id=202309010","ictv.global=202309010")</f>
        <v>ictv.global=202309010</v>
      </c>
    </row>
    <row r="6797" spans="1:21">
      <c r="A6797">
        <v>6796</v>
      </c>
      <c r="B6797" s="30" t="s">
        <v>1956</v>
      </c>
      <c r="D6797" s="30" t="s">
        <v>1985</v>
      </c>
      <c r="F6797" s="30" t="s">
        <v>2009</v>
      </c>
      <c r="H6797" s="30" t="s">
        <v>2018</v>
      </c>
      <c r="J6797" s="30" t="s">
        <v>2019</v>
      </c>
      <c r="L6797" s="30" t="s">
        <v>737</v>
      </c>
      <c r="N6797" s="30" t="s">
        <v>738</v>
      </c>
      <c r="P6797" s="30" t="s">
        <v>2662</v>
      </c>
      <c r="Q6797" t="s">
        <v>735</v>
      </c>
      <c r="R6797" t="s">
        <v>917</v>
      </c>
      <c r="S6797">
        <v>36</v>
      </c>
      <c r="T6797" s="29" t="str">
        <f t="shared" si="295"/>
        <v>2020.005F.R.Genomoviridae.zip</v>
      </c>
      <c r="U6797" s="29" t="str">
        <f>HYPERLINK("https://ictv.global/taxonomy/taxondetails?taxnode_id=202308946","ictv.global=202308946")</f>
        <v>ictv.global=202308946</v>
      </c>
    </row>
    <row r="6798" spans="1:21">
      <c r="A6798">
        <v>6797</v>
      </c>
      <c r="B6798" s="30" t="s">
        <v>1956</v>
      </c>
      <c r="D6798" s="30" t="s">
        <v>1985</v>
      </c>
      <c r="F6798" s="30" t="s">
        <v>2009</v>
      </c>
      <c r="H6798" s="30" t="s">
        <v>2018</v>
      </c>
      <c r="J6798" s="30" t="s">
        <v>2019</v>
      </c>
      <c r="L6798" s="30" t="s">
        <v>737</v>
      </c>
      <c r="N6798" s="30" t="s">
        <v>738</v>
      </c>
      <c r="P6798" s="30" t="s">
        <v>2663</v>
      </c>
      <c r="Q6798" t="s">
        <v>735</v>
      </c>
      <c r="R6798" t="s">
        <v>917</v>
      </c>
      <c r="S6798">
        <v>36</v>
      </c>
      <c r="T6798" s="29" t="str">
        <f t="shared" si="295"/>
        <v>2020.005F.R.Genomoviridae.zip</v>
      </c>
      <c r="U6798" s="29" t="str">
        <f>HYPERLINK("https://ictv.global/taxonomy/taxondetails?taxnode_id=202308956","ictv.global=202308956")</f>
        <v>ictv.global=202308956</v>
      </c>
    </row>
    <row r="6799" spans="1:21">
      <c r="A6799">
        <v>6798</v>
      </c>
      <c r="B6799" s="30" t="s">
        <v>1956</v>
      </c>
      <c r="D6799" s="30" t="s">
        <v>1985</v>
      </c>
      <c r="F6799" s="30" t="s">
        <v>2009</v>
      </c>
      <c r="H6799" s="30" t="s">
        <v>2018</v>
      </c>
      <c r="J6799" s="30" t="s">
        <v>2019</v>
      </c>
      <c r="L6799" s="30" t="s">
        <v>737</v>
      </c>
      <c r="N6799" s="30" t="s">
        <v>738</v>
      </c>
      <c r="P6799" s="30" t="s">
        <v>2664</v>
      </c>
      <c r="Q6799" t="s">
        <v>735</v>
      </c>
      <c r="R6799" t="s">
        <v>917</v>
      </c>
      <c r="S6799">
        <v>36</v>
      </c>
      <c r="T6799" s="29" t="str">
        <f t="shared" si="295"/>
        <v>2020.005F.R.Genomoviridae.zip</v>
      </c>
      <c r="U6799" s="29" t="str">
        <f>HYPERLINK("https://ictv.global/taxonomy/taxondetails?taxnode_id=202309005","ictv.global=202309005")</f>
        <v>ictv.global=202309005</v>
      </c>
    </row>
    <row r="6800" spans="1:21">
      <c r="A6800">
        <v>6799</v>
      </c>
      <c r="B6800" s="30" t="s">
        <v>1956</v>
      </c>
      <c r="D6800" s="30" t="s">
        <v>1985</v>
      </c>
      <c r="F6800" s="30" t="s">
        <v>2009</v>
      </c>
      <c r="H6800" s="30" t="s">
        <v>2018</v>
      </c>
      <c r="J6800" s="30" t="s">
        <v>2019</v>
      </c>
      <c r="L6800" s="30" t="s">
        <v>737</v>
      </c>
      <c r="N6800" s="30" t="s">
        <v>738</v>
      </c>
      <c r="P6800" s="30" t="s">
        <v>2665</v>
      </c>
      <c r="Q6800" t="s">
        <v>735</v>
      </c>
      <c r="R6800" t="s">
        <v>917</v>
      </c>
      <c r="S6800">
        <v>36</v>
      </c>
      <c r="T6800" s="29" t="str">
        <f t="shared" si="295"/>
        <v>2020.005F.R.Genomoviridae.zip</v>
      </c>
      <c r="U6800" s="29" t="str">
        <f>HYPERLINK("https://ictv.global/taxonomy/taxondetails?taxnode_id=202309006","ictv.global=202309006")</f>
        <v>ictv.global=202309006</v>
      </c>
    </row>
    <row r="6801" spans="1:21">
      <c r="A6801">
        <v>6800</v>
      </c>
      <c r="B6801" s="30" t="s">
        <v>1956</v>
      </c>
      <c r="D6801" s="30" t="s">
        <v>1985</v>
      </c>
      <c r="F6801" s="30" t="s">
        <v>2009</v>
      </c>
      <c r="H6801" s="30" t="s">
        <v>2018</v>
      </c>
      <c r="J6801" s="30" t="s">
        <v>2019</v>
      </c>
      <c r="L6801" s="30" t="s">
        <v>737</v>
      </c>
      <c r="N6801" s="30" t="s">
        <v>738</v>
      </c>
      <c r="P6801" s="30" t="s">
        <v>2666</v>
      </c>
      <c r="Q6801" t="s">
        <v>735</v>
      </c>
      <c r="R6801" t="s">
        <v>917</v>
      </c>
      <c r="S6801">
        <v>36</v>
      </c>
      <c r="T6801" s="29" t="str">
        <f t="shared" si="295"/>
        <v>2020.005F.R.Genomoviridae.zip</v>
      </c>
      <c r="U6801" s="29" t="str">
        <f>HYPERLINK("https://ictv.global/taxonomy/taxondetails?taxnode_id=202308954","ictv.global=202308954")</f>
        <v>ictv.global=202308954</v>
      </c>
    </row>
    <row r="6802" spans="1:21">
      <c r="A6802">
        <v>6801</v>
      </c>
      <c r="B6802" s="30" t="s">
        <v>1956</v>
      </c>
      <c r="D6802" s="30" t="s">
        <v>1985</v>
      </c>
      <c r="F6802" s="30" t="s">
        <v>2009</v>
      </c>
      <c r="H6802" s="30" t="s">
        <v>2018</v>
      </c>
      <c r="J6802" s="30" t="s">
        <v>2019</v>
      </c>
      <c r="L6802" s="30" t="s">
        <v>737</v>
      </c>
      <c r="N6802" s="30" t="s">
        <v>738</v>
      </c>
      <c r="P6802" s="30" t="s">
        <v>2667</v>
      </c>
      <c r="Q6802" t="s">
        <v>735</v>
      </c>
      <c r="R6802" t="s">
        <v>917</v>
      </c>
      <c r="S6802">
        <v>36</v>
      </c>
      <c r="T6802" s="29" t="str">
        <f t="shared" si="295"/>
        <v>2020.005F.R.Genomoviridae.zip</v>
      </c>
      <c r="U6802" s="29" t="str">
        <f>HYPERLINK("https://ictv.global/taxonomy/taxondetails?taxnode_id=202308958","ictv.global=202308958")</f>
        <v>ictv.global=202308958</v>
      </c>
    </row>
    <row r="6803" spans="1:21">
      <c r="A6803">
        <v>6802</v>
      </c>
      <c r="B6803" s="30" t="s">
        <v>1956</v>
      </c>
      <c r="D6803" s="30" t="s">
        <v>1985</v>
      </c>
      <c r="F6803" s="30" t="s">
        <v>2009</v>
      </c>
      <c r="H6803" s="30" t="s">
        <v>2018</v>
      </c>
      <c r="J6803" s="30" t="s">
        <v>2019</v>
      </c>
      <c r="L6803" s="30" t="s">
        <v>737</v>
      </c>
      <c r="N6803" s="30" t="s">
        <v>738</v>
      </c>
      <c r="P6803" s="30" t="s">
        <v>2668</v>
      </c>
      <c r="Q6803" t="s">
        <v>735</v>
      </c>
      <c r="R6803" t="s">
        <v>917</v>
      </c>
      <c r="S6803">
        <v>36</v>
      </c>
      <c r="T6803" s="29" t="str">
        <f t="shared" si="295"/>
        <v>2020.005F.R.Genomoviridae.zip</v>
      </c>
      <c r="U6803" s="29" t="str">
        <f>HYPERLINK("https://ictv.global/taxonomy/taxondetails?taxnode_id=202309002","ictv.global=202309002")</f>
        <v>ictv.global=202309002</v>
      </c>
    </row>
    <row r="6804" spans="1:21">
      <c r="A6804">
        <v>6803</v>
      </c>
      <c r="B6804" s="30" t="s">
        <v>1956</v>
      </c>
      <c r="D6804" s="30" t="s">
        <v>1985</v>
      </c>
      <c r="F6804" s="30" t="s">
        <v>2009</v>
      </c>
      <c r="H6804" s="30" t="s">
        <v>2018</v>
      </c>
      <c r="J6804" s="30" t="s">
        <v>2019</v>
      </c>
      <c r="L6804" s="30" t="s">
        <v>737</v>
      </c>
      <c r="N6804" s="30" t="s">
        <v>738</v>
      </c>
      <c r="P6804" s="30" t="s">
        <v>2669</v>
      </c>
      <c r="Q6804" t="s">
        <v>735</v>
      </c>
      <c r="R6804" t="s">
        <v>917</v>
      </c>
      <c r="S6804">
        <v>36</v>
      </c>
      <c r="T6804" s="29" t="str">
        <f t="shared" si="295"/>
        <v>2020.005F.R.Genomoviridae.zip</v>
      </c>
      <c r="U6804" s="29" t="str">
        <f>HYPERLINK("https://ictv.global/taxonomy/taxondetails?taxnode_id=202308995","ictv.global=202308995")</f>
        <v>ictv.global=202308995</v>
      </c>
    </row>
    <row r="6805" spans="1:21">
      <c r="A6805">
        <v>6804</v>
      </c>
      <c r="B6805" s="30" t="s">
        <v>1956</v>
      </c>
      <c r="D6805" s="30" t="s">
        <v>1985</v>
      </c>
      <c r="F6805" s="30" t="s">
        <v>2009</v>
      </c>
      <c r="H6805" s="30" t="s">
        <v>2018</v>
      </c>
      <c r="J6805" s="30" t="s">
        <v>2019</v>
      </c>
      <c r="L6805" s="30" t="s">
        <v>737</v>
      </c>
      <c r="N6805" s="30" t="s">
        <v>738</v>
      </c>
      <c r="P6805" s="30" t="s">
        <v>2670</v>
      </c>
      <c r="Q6805" t="s">
        <v>735</v>
      </c>
      <c r="R6805" t="s">
        <v>920</v>
      </c>
      <c r="S6805">
        <v>36</v>
      </c>
      <c r="T6805" s="29" t="str">
        <f t="shared" si="295"/>
        <v>2020.005F.R.Genomoviridae.zip</v>
      </c>
      <c r="U6805" s="29" t="str">
        <f>HYPERLINK("https://ictv.global/taxonomy/taxondetails?taxnode_id=202303566","ictv.global=202303566")</f>
        <v>ictv.global=202303566</v>
      </c>
    </row>
    <row r="6806" spans="1:21">
      <c r="A6806">
        <v>6805</v>
      </c>
      <c r="B6806" s="30" t="s">
        <v>1956</v>
      </c>
      <c r="D6806" s="30" t="s">
        <v>1985</v>
      </c>
      <c r="F6806" s="30" t="s">
        <v>2009</v>
      </c>
      <c r="H6806" s="30" t="s">
        <v>2018</v>
      </c>
      <c r="J6806" s="30" t="s">
        <v>2019</v>
      </c>
      <c r="L6806" s="30" t="s">
        <v>737</v>
      </c>
      <c r="N6806" s="30" t="s">
        <v>738</v>
      </c>
      <c r="P6806" s="30" t="s">
        <v>2671</v>
      </c>
      <c r="Q6806" t="s">
        <v>735</v>
      </c>
      <c r="R6806" t="s">
        <v>917</v>
      </c>
      <c r="S6806">
        <v>36</v>
      </c>
      <c r="T6806" s="29" t="str">
        <f t="shared" si="295"/>
        <v>2020.005F.R.Genomoviridae.zip</v>
      </c>
      <c r="U6806" s="29" t="str">
        <f>HYPERLINK("https://ictv.global/taxonomy/taxondetails?taxnode_id=202308979","ictv.global=202308979")</f>
        <v>ictv.global=202308979</v>
      </c>
    </row>
    <row r="6807" spans="1:21">
      <c r="A6807">
        <v>6806</v>
      </c>
      <c r="B6807" s="30" t="s">
        <v>1956</v>
      </c>
      <c r="D6807" s="30" t="s">
        <v>1985</v>
      </c>
      <c r="F6807" s="30" t="s">
        <v>2009</v>
      </c>
      <c r="H6807" s="30" t="s">
        <v>2018</v>
      </c>
      <c r="J6807" s="30" t="s">
        <v>2019</v>
      </c>
      <c r="L6807" s="30" t="s">
        <v>737</v>
      </c>
      <c r="N6807" s="30" t="s">
        <v>738</v>
      </c>
      <c r="P6807" s="30" t="s">
        <v>2672</v>
      </c>
      <c r="Q6807" t="s">
        <v>622</v>
      </c>
      <c r="R6807" t="s">
        <v>920</v>
      </c>
      <c r="S6807">
        <v>36</v>
      </c>
      <c r="T6807" s="29" t="str">
        <f t="shared" si="295"/>
        <v>2020.005F.R.Genomoviridae.zip</v>
      </c>
      <c r="U6807" s="29" t="str">
        <f>HYPERLINK("https://ictv.global/taxonomy/taxondetails?taxnode_id=202303567","ictv.global=202303567")</f>
        <v>ictv.global=202303567</v>
      </c>
    </row>
    <row r="6808" spans="1:21">
      <c r="A6808">
        <v>6807</v>
      </c>
      <c r="B6808" s="30" t="s">
        <v>1956</v>
      </c>
      <c r="D6808" s="30" t="s">
        <v>1985</v>
      </c>
      <c r="F6808" s="30" t="s">
        <v>2009</v>
      </c>
      <c r="H6808" s="30" t="s">
        <v>2018</v>
      </c>
      <c r="J6808" s="30" t="s">
        <v>2019</v>
      </c>
      <c r="L6808" s="30" t="s">
        <v>737</v>
      </c>
      <c r="N6808" s="30" t="s">
        <v>738</v>
      </c>
      <c r="P6808" s="30" t="s">
        <v>2673</v>
      </c>
      <c r="Q6808" t="s">
        <v>735</v>
      </c>
      <c r="R6808" t="s">
        <v>917</v>
      </c>
      <c r="S6808">
        <v>36</v>
      </c>
      <c r="T6808" s="29" t="str">
        <f t="shared" si="295"/>
        <v>2020.005F.R.Genomoviridae.zip</v>
      </c>
      <c r="U6808" s="29" t="str">
        <f>HYPERLINK("https://ictv.global/taxonomy/taxondetails?taxnode_id=202308940","ictv.global=202308940")</f>
        <v>ictv.global=202308940</v>
      </c>
    </row>
    <row r="6809" spans="1:21">
      <c r="A6809">
        <v>6808</v>
      </c>
      <c r="B6809" s="30" t="s">
        <v>1956</v>
      </c>
      <c r="D6809" s="30" t="s">
        <v>1985</v>
      </c>
      <c r="F6809" s="30" t="s">
        <v>2009</v>
      </c>
      <c r="H6809" s="30" t="s">
        <v>2018</v>
      </c>
      <c r="J6809" s="30" t="s">
        <v>2019</v>
      </c>
      <c r="L6809" s="30" t="s">
        <v>737</v>
      </c>
      <c r="N6809" s="30" t="s">
        <v>738</v>
      </c>
      <c r="P6809" s="30" t="s">
        <v>2674</v>
      </c>
      <c r="Q6809" t="s">
        <v>735</v>
      </c>
      <c r="R6809" t="s">
        <v>917</v>
      </c>
      <c r="S6809">
        <v>36</v>
      </c>
      <c r="T6809" s="29" t="str">
        <f t="shared" si="295"/>
        <v>2020.005F.R.Genomoviridae.zip</v>
      </c>
      <c r="U6809" s="29" t="str">
        <f>HYPERLINK("https://ictv.global/taxonomy/taxondetails?taxnode_id=202308965","ictv.global=202308965")</f>
        <v>ictv.global=202308965</v>
      </c>
    </row>
    <row r="6810" spans="1:21">
      <c r="A6810">
        <v>6809</v>
      </c>
      <c r="B6810" s="30" t="s">
        <v>1956</v>
      </c>
      <c r="D6810" s="30" t="s">
        <v>1985</v>
      </c>
      <c r="F6810" s="30" t="s">
        <v>2009</v>
      </c>
      <c r="H6810" s="30" t="s">
        <v>2018</v>
      </c>
      <c r="J6810" s="30" t="s">
        <v>2019</v>
      </c>
      <c r="L6810" s="30" t="s">
        <v>737</v>
      </c>
      <c r="N6810" s="30" t="s">
        <v>738</v>
      </c>
      <c r="P6810" s="30" t="s">
        <v>2675</v>
      </c>
      <c r="Q6810" t="s">
        <v>735</v>
      </c>
      <c r="R6810" t="s">
        <v>917</v>
      </c>
      <c r="S6810">
        <v>36</v>
      </c>
      <c r="T6810" s="29" t="str">
        <f t="shared" si="295"/>
        <v>2020.005F.R.Genomoviridae.zip</v>
      </c>
      <c r="U6810" s="29" t="str">
        <f>HYPERLINK("https://ictv.global/taxonomy/taxondetails?taxnode_id=202309018","ictv.global=202309018")</f>
        <v>ictv.global=202309018</v>
      </c>
    </row>
    <row r="6811" spans="1:21">
      <c r="A6811">
        <v>6810</v>
      </c>
      <c r="B6811" s="30" t="s">
        <v>1956</v>
      </c>
      <c r="D6811" s="30" t="s">
        <v>1985</v>
      </c>
      <c r="F6811" s="30" t="s">
        <v>2009</v>
      </c>
      <c r="H6811" s="30" t="s">
        <v>2018</v>
      </c>
      <c r="J6811" s="30" t="s">
        <v>2019</v>
      </c>
      <c r="L6811" s="30" t="s">
        <v>737</v>
      </c>
      <c r="N6811" s="30" t="s">
        <v>738</v>
      </c>
      <c r="P6811" s="30" t="s">
        <v>2676</v>
      </c>
      <c r="Q6811" t="s">
        <v>735</v>
      </c>
      <c r="R6811" t="s">
        <v>917</v>
      </c>
      <c r="S6811">
        <v>36</v>
      </c>
      <c r="T6811" s="29" t="str">
        <f t="shared" si="295"/>
        <v>2020.005F.R.Genomoviridae.zip</v>
      </c>
      <c r="U6811" s="29" t="str">
        <f>HYPERLINK("https://ictv.global/taxonomy/taxondetails?taxnode_id=202308936","ictv.global=202308936")</f>
        <v>ictv.global=202308936</v>
      </c>
    </row>
    <row r="6812" spans="1:21">
      <c r="A6812">
        <v>6811</v>
      </c>
      <c r="B6812" s="30" t="s">
        <v>1956</v>
      </c>
      <c r="D6812" s="30" t="s">
        <v>1985</v>
      </c>
      <c r="F6812" s="30" t="s">
        <v>2009</v>
      </c>
      <c r="H6812" s="30" t="s">
        <v>2018</v>
      </c>
      <c r="J6812" s="30" t="s">
        <v>2019</v>
      </c>
      <c r="L6812" s="30" t="s">
        <v>737</v>
      </c>
      <c r="N6812" s="30" t="s">
        <v>738</v>
      </c>
      <c r="P6812" s="30" t="s">
        <v>2677</v>
      </c>
      <c r="Q6812" t="s">
        <v>735</v>
      </c>
      <c r="R6812" t="s">
        <v>917</v>
      </c>
      <c r="S6812">
        <v>36</v>
      </c>
      <c r="T6812" s="29" t="str">
        <f t="shared" si="295"/>
        <v>2020.005F.R.Genomoviridae.zip</v>
      </c>
      <c r="U6812" s="29" t="str">
        <f>HYPERLINK("https://ictv.global/taxonomy/taxondetails?taxnode_id=202309015","ictv.global=202309015")</f>
        <v>ictv.global=202309015</v>
      </c>
    </row>
    <row r="6813" spans="1:21">
      <c r="A6813">
        <v>6812</v>
      </c>
      <c r="B6813" s="30" t="s">
        <v>1956</v>
      </c>
      <c r="D6813" s="30" t="s">
        <v>1985</v>
      </c>
      <c r="F6813" s="30" t="s">
        <v>2009</v>
      </c>
      <c r="H6813" s="30" t="s">
        <v>2018</v>
      </c>
      <c r="J6813" s="30" t="s">
        <v>2019</v>
      </c>
      <c r="L6813" s="30" t="s">
        <v>737</v>
      </c>
      <c r="N6813" s="30" t="s">
        <v>738</v>
      </c>
      <c r="P6813" s="30" t="s">
        <v>2678</v>
      </c>
      <c r="Q6813" t="s">
        <v>735</v>
      </c>
      <c r="R6813" t="s">
        <v>917</v>
      </c>
      <c r="S6813">
        <v>36</v>
      </c>
      <c r="T6813" s="29" t="str">
        <f t="shared" si="295"/>
        <v>2020.005F.R.Genomoviridae.zip</v>
      </c>
      <c r="U6813" s="29" t="str">
        <f>HYPERLINK("https://ictv.global/taxonomy/taxondetails?taxnode_id=202309016","ictv.global=202309016")</f>
        <v>ictv.global=202309016</v>
      </c>
    </row>
    <row r="6814" spans="1:21">
      <c r="A6814">
        <v>6813</v>
      </c>
      <c r="B6814" s="30" t="s">
        <v>1956</v>
      </c>
      <c r="D6814" s="30" t="s">
        <v>1985</v>
      </c>
      <c r="F6814" s="30" t="s">
        <v>2009</v>
      </c>
      <c r="H6814" s="30" t="s">
        <v>2018</v>
      </c>
      <c r="J6814" s="30" t="s">
        <v>2019</v>
      </c>
      <c r="L6814" s="30" t="s">
        <v>737</v>
      </c>
      <c r="N6814" s="30" t="s">
        <v>738</v>
      </c>
      <c r="P6814" s="30" t="s">
        <v>2679</v>
      </c>
      <c r="Q6814" t="s">
        <v>735</v>
      </c>
      <c r="R6814" t="s">
        <v>917</v>
      </c>
      <c r="S6814">
        <v>36</v>
      </c>
      <c r="T6814" s="29" t="str">
        <f t="shared" si="295"/>
        <v>2020.005F.R.Genomoviridae.zip</v>
      </c>
      <c r="U6814" s="29" t="str">
        <f>HYPERLINK("https://ictv.global/taxonomy/taxondetails?taxnode_id=202308962","ictv.global=202308962")</f>
        <v>ictv.global=202308962</v>
      </c>
    </row>
    <row r="6815" spans="1:21">
      <c r="A6815">
        <v>6814</v>
      </c>
      <c r="B6815" s="30" t="s">
        <v>1956</v>
      </c>
      <c r="D6815" s="30" t="s">
        <v>1985</v>
      </c>
      <c r="F6815" s="30" t="s">
        <v>2009</v>
      </c>
      <c r="H6815" s="30" t="s">
        <v>2018</v>
      </c>
      <c r="J6815" s="30" t="s">
        <v>2019</v>
      </c>
      <c r="L6815" s="30" t="s">
        <v>737</v>
      </c>
      <c r="N6815" s="30" t="s">
        <v>738</v>
      </c>
      <c r="P6815" s="30" t="s">
        <v>2680</v>
      </c>
      <c r="Q6815" t="s">
        <v>735</v>
      </c>
      <c r="R6815" t="s">
        <v>917</v>
      </c>
      <c r="S6815">
        <v>36</v>
      </c>
      <c r="T6815" s="29" t="str">
        <f t="shared" si="295"/>
        <v>2020.005F.R.Genomoviridae.zip</v>
      </c>
      <c r="U6815" s="29" t="str">
        <f>HYPERLINK("https://ictv.global/taxonomy/taxondetails?taxnode_id=202309000","ictv.global=202309000")</f>
        <v>ictv.global=202309000</v>
      </c>
    </row>
    <row r="6816" spans="1:21">
      <c r="A6816">
        <v>6815</v>
      </c>
      <c r="B6816" s="30" t="s">
        <v>1956</v>
      </c>
      <c r="D6816" s="30" t="s">
        <v>1985</v>
      </c>
      <c r="F6816" s="30" t="s">
        <v>2009</v>
      </c>
      <c r="H6816" s="30" t="s">
        <v>2018</v>
      </c>
      <c r="J6816" s="30" t="s">
        <v>2019</v>
      </c>
      <c r="L6816" s="30" t="s">
        <v>737</v>
      </c>
      <c r="N6816" s="30" t="s">
        <v>738</v>
      </c>
      <c r="P6816" s="30" t="s">
        <v>2681</v>
      </c>
      <c r="Q6816" t="s">
        <v>735</v>
      </c>
      <c r="R6816" t="s">
        <v>917</v>
      </c>
      <c r="S6816">
        <v>36</v>
      </c>
      <c r="T6816" s="29" t="str">
        <f t="shared" ref="T6816:T6847" si="296">HYPERLINK("https://ictv.global/ictv/proposals/2020.005F.R.Genomoviridae.zip","2020.005F.R.Genomoviridae.zip")</f>
        <v>2020.005F.R.Genomoviridae.zip</v>
      </c>
      <c r="U6816" s="29" t="str">
        <f>HYPERLINK("https://ictv.global/taxonomy/taxondetails?taxnode_id=202308967","ictv.global=202308967")</f>
        <v>ictv.global=202308967</v>
      </c>
    </row>
    <row r="6817" spans="1:21">
      <c r="A6817">
        <v>6816</v>
      </c>
      <c r="B6817" s="30" t="s">
        <v>1956</v>
      </c>
      <c r="D6817" s="30" t="s">
        <v>1985</v>
      </c>
      <c r="F6817" s="30" t="s">
        <v>2009</v>
      </c>
      <c r="H6817" s="30" t="s">
        <v>2018</v>
      </c>
      <c r="J6817" s="30" t="s">
        <v>2019</v>
      </c>
      <c r="L6817" s="30" t="s">
        <v>737</v>
      </c>
      <c r="N6817" s="30" t="s">
        <v>738</v>
      </c>
      <c r="P6817" s="30" t="s">
        <v>2682</v>
      </c>
      <c r="Q6817" t="s">
        <v>735</v>
      </c>
      <c r="R6817" t="s">
        <v>917</v>
      </c>
      <c r="S6817">
        <v>36</v>
      </c>
      <c r="T6817" s="29" t="str">
        <f t="shared" si="296"/>
        <v>2020.005F.R.Genomoviridae.zip</v>
      </c>
      <c r="U6817" s="29" t="str">
        <f>HYPERLINK("https://ictv.global/taxonomy/taxondetails?taxnode_id=202309001","ictv.global=202309001")</f>
        <v>ictv.global=202309001</v>
      </c>
    </row>
    <row r="6818" spans="1:21">
      <c r="A6818">
        <v>6817</v>
      </c>
      <c r="B6818" s="30" t="s">
        <v>1956</v>
      </c>
      <c r="D6818" s="30" t="s">
        <v>1985</v>
      </c>
      <c r="F6818" s="30" t="s">
        <v>2009</v>
      </c>
      <c r="H6818" s="30" t="s">
        <v>2018</v>
      </c>
      <c r="J6818" s="30" t="s">
        <v>2019</v>
      </c>
      <c r="L6818" s="30" t="s">
        <v>737</v>
      </c>
      <c r="N6818" s="30" t="s">
        <v>738</v>
      </c>
      <c r="P6818" s="30" t="s">
        <v>2683</v>
      </c>
      <c r="Q6818" t="s">
        <v>735</v>
      </c>
      <c r="R6818" t="s">
        <v>920</v>
      </c>
      <c r="S6818">
        <v>36</v>
      </c>
      <c r="T6818" s="29" t="str">
        <f t="shared" si="296"/>
        <v>2020.005F.R.Genomoviridae.zip</v>
      </c>
      <c r="U6818" s="29" t="str">
        <f>HYPERLINK("https://ictv.global/taxonomy/taxondetails?taxnode_id=202303568","ictv.global=202303568")</f>
        <v>ictv.global=202303568</v>
      </c>
    </row>
    <row r="6819" spans="1:21">
      <c r="A6819">
        <v>6818</v>
      </c>
      <c r="B6819" s="30" t="s">
        <v>1956</v>
      </c>
      <c r="D6819" s="30" t="s">
        <v>1985</v>
      </c>
      <c r="F6819" s="30" t="s">
        <v>2009</v>
      </c>
      <c r="H6819" s="30" t="s">
        <v>2018</v>
      </c>
      <c r="J6819" s="30" t="s">
        <v>2019</v>
      </c>
      <c r="L6819" s="30" t="s">
        <v>737</v>
      </c>
      <c r="N6819" s="30" t="s">
        <v>738</v>
      </c>
      <c r="P6819" s="30" t="s">
        <v>2684</v>
      </c>
      <c r="Q6819" t="s">
        <v>622</v>
      </c>
      <c r="R6819" t="s">
        <v>920</v>
      </c>
      <c r="S6819">
        <v>36</v>
      </c>
      <c r="T6819" s="29" t="str">
        <f t="shared" si="296"/>
        <v>2020.005F.R.Genomoviridae.zip</v>
      </c>
      <c r="U6819" s="29" t="str">
        <f>HYPERLINK("https://ictv.global/taxonomy/taxondetails?taxnode_id=202303569","ictv.global=202303569")</f>
        <v>ictv.global=202303569</v>
      </c>
    </row>
    <row r="6820" spans="1:21">
      <c r="A6820">
        <v>6819</v>
      </c>
      <c r="B6820" s="30" t="s">
        <v>1956</v>
      </c>
      <c r="D6820" s="30" t="s">
        <v>1985</v>
      </c>
      <c r="F6820" s="30" t="s">
        <v>2009</v>
      </c>
      <c r="H6820" s="30" t="s">
        <v>2018</v>
      </c>
      <c r="J6820" s="30" t="s">
        <v>2019</v>
      </c>
      <c r="L6820" s="30" t="s">
        <v>737</v>
      </c>
      <c r="N6820" s="30" t="s">
        <v>738</v>
      </c>
      <c r="P6820" s="30" t="s">
        <v>2685</v>
      </c>
      <c r="Q6820" t="s">
        <v>735</v>
      </c>
      <c r="R6820" t="s">
        <v>917</v>
      </c>
      <c r="S6820">
        <v>36</v>
      </c>
      <c r="T6820" s="29" t="str">
        <f t="shared" si="296"/>
        <v>2020.005F.R.Genomoviridae.zip</v>
      </c>
      <c r="U6820" s="29" t="str">
        <f>HYPERLINK("https://ictv.global/taxonomy/taxondetails?taxnode_id=202309004","ictv.global=202309004")</f>
        <v>ictv.global=202309004</v>
      </c>
    </row>
    <row r="6821" spans="1:21">
      <c r="A6821">
        <v>6820</v>
      </c>
      <c r="B6821" s="30" t="s">
        <v>1956</v>
      </c>
      <c r="D6821" s="30" t="s">
        <v>1985</v>
      </c>
      <c r="F6821" s="30" t="s">
        <v>2009</v>
      </c>
      <c r="H6821" s="30" t="s">
        <v>2018</v>
      </c>
      <c r="J6821" s="30" t="s">
        <v>2019</v>
      </c>
      <c r="L6821" s="30" t="s">
        <v>737</v>
      </c>
      <c r="N6821" s="30" t="s">
        <v>738</v>
      </c>
      <c r="P6821" s="30" t="s">
        <v>2686</v>
      </c>
      <c r="Q6821" t="s">
        <v>735</v>
      </c>
      <c r="R6821" t="s">
        <v>917</v>
      </c>
      <c r="S6821">
        <v>36</v>
      </c>
      <c r="T6821" s="29" t="str">
        <f t="shared" si="296"/>
        <v>2020.005F.R.Genomoviridae.zip</v>
      </c>
      <c r="U6821" s="29" t="str">
        <f>HYPERLINK("https://ictv.global/taxonomy/taxondetails?taxnode_id=202308947","ictv.global=202308947")</f>
        <v>ictv.global=202308947</v>
      </c>
    </row>
    <row r="6822" spans="1:21">
      <c r="A6822">
        <v>6821</v>
      </c>
      <c r="B6822" s="30" t="s">
        <v>1956</v>
      </c>
      <c r="D6822" s="30" t="s">
        <v>1985</v>
      </c>
      <c r="F6822" s="30" t="s">
        <v>2009</v>
      </c>
      <c r="H6822" s="30" t="s">
        <v>2018</v>
      </c>
      <c r="J6822" s="30" t="s">
        <v>2019</v>
      </c>
      <c r="L6822" s="30" t="s">
        <v>737</v>
      </c>
      <c r="N6822" s="30" t="s">
        <v>738</v>
      </c>
      <c r="P6822" s="30" t="s">
        <v>2687</v>
      </c>
      <c r="Q6822" t="s">
        <v>735</v>
      </c>
      <c r="R6822" t="s">
        <v>917</v>
      </c>
      <c r="S6822">
        <v>36</v>
      </c>
      <c r="T6822" s="29" t="str">
        <f t="shared" si="296"/>
        <v>2020.005F.R.Genomoviridae.zip</v>
      </c>
      <c r="U6822" s="29" t="str">
        <f>HYPERLINK("https://ictv.global/taxonomy/taxondetails?taxnode_id=202308997","ictv.global=202308997")</f>
        <v>ictv.global=202308997</v>
      </c>
    </row>
    <row r="6823" spans="1:21">
      <c r="A6823">
        <v>6822</v>
      </c>
      <c r="B6823" s="30" t="s">
        <v>1956</v>
      </c>
      <c r="D6823" s="30" t="s">
        <v>1985</v>
      </c>
      <c r="F6823" s="30" t="s">
        <v>2009</v>
      </c>
      <c r="H6823" s="30" t="s">
        <v>2018</v>
      </c>
      <c r="J6823" s="30" t="s">
        <v>2019</v>
      </c>
      <c r="L6823" s="30" t="s">
        <v>737</v>
      </c>
      <c r="N6823" s="30" t="s">
        <v>738</v>
      </c>
      <c r="P6823" s="30" t="s">
        <v>2688</v>
      </c>
      <c r="Q6823" t="s">
        <v>735</v>
      </c>
      <c r="R6823" t="s">
        <v>917</v>
      </c>
      <c r="S6823">
        <v>36</v>
      </c>
      <c r="T6823" s="29" t="str">
        <f t="shared" si="296"/>
        <v>2020.005F.R.Genomoviridae.zip</v>
      </c>
      <c r="U6823" s="29" t="str">
        <f>HYPERLINK("https://ictv.global/taxonomy/taxondetails?taxnode_id=202308945","ictv.global=202308945")</f>
        <v>ictv.global=202308945</v>
      </c>
    </row>
    <row r="6824" spans="1:21">
      <c r="A6824">
        <v>6823</v>
      </c>
      <c r="B6824" s="30" t="s">
        <v>1956</v>
      </c>
      <c r="D6824" s="30" t="s">
        <v>1985</v>
      </c>
      <c r="F6824" s="30" t="s">
        <v>2009</v>
      </c>
      <c r="H6824" s="30" t="s">
        <v>2018</v>
      </c>
      <c r="J6824" s="30" t="s">
        <v>2019</v>
      </c>
      <c r="L6824" s="30" t="s">
        <v>737</v>
      </c>
      <c r="N6824" s="30" t="s">
        <v>738</v>
      </c>
      <c r="P6824" s="30" t="s">
        <v>2689</v>
      </c>
      <c r="Q6824" t="s">
        <v>735</v>
      </c>
      <c r="R6824" t="s">
        <v>917</v>
      </c>
      <c r="S6824">
        <v>36</v>
      </c>
      <c r="T6824" s="29" t="str">
        <f t="shared" si="296"/>
        <v>2020.005F.R.Genomoviridae.zip</v>
      </c>
      <c r="U6824" s="29" t="str">
        <f>HYPERLINK("https://ictv.global/taxonomy/taxondetails?taxnode_id=202308950","ictv.global=202308950")</f>
        <v>ictv.global=202308950</v>
      </c>
    </row>
    <row r="6825" spans="1:21">
      <c r="A6825">
        <v>6824</v>
      </c>
      <c r="B6825" s="30" t="s">
        <v>1956</v>
      </c>
      <c r="D6825" s="30" t="s">
        <v>1985</v>
      </c>
      <c r="F6825" s="30" t="s">
        <v>2009</v>
      </c>
      <c r="H6825" s="30" t="s">
        <v>2018</v>
      </c>
      <c r="J6825" s="30" t="s">
        <v>2019</v>
      </c>
      <c r="L6825" s="30" t="s">
        <v>737</v>
      </c>
      <c r="N6825" s="30" t="s">
        <v>738</v>
      </c>
      <c r="P6825" s="30" t="s">
        <v>2690</v>
      </c>
      <c r="Q6825" t="s">
        <v>735</v>
      </c>
      <c r="R6825" t="s">
        <v>917</v>
      </c>
      <c r="S6825">
        <v>36</v>
      </c>
      <c r="T6825" s="29" t="str">
        <f t="shared" si="296"/>
        <v>2020.005F.R.Genomoviridae.zip</v>
      </c>
      <c r="U6825" s="29" t="str">
        <f>HYPERLINK("https://ictv.global/taxonomy/taxondetails?taxnode_id=202308975","ictv.global=202308975")</f>
        <v>ictv.global=202308975</v>
      </c>
    </row>
    <row r="6826" spans="1:21">
      <c r="A6826">
        <v>6825</v>
      </c>
      <c r="B6826" s="30" t="s">
        <v>1956</v>
      </c>
      <c r="D6826" s="30" t="s">
        <v>1985</v>
      </c>
      <c r="F6826" s="30" t="s">
        <v>2009</v>
      </c>
      <c r="H6826" s="30" t="s">
        <v>2018</v>
      </c>
      <c r="J6826" s="30" t="s">
        <v>2019</v>
      </c>
      <c r="L6826" s="30" t="s">
        <v>737</v>
      </c>
      <c r="N6826" s="30" t="s">
        <v>738</v>
      </c>
      <c r="P6826" s="30" t="s">
        <v>2691</v>
      </c>
      <c r="Q6826" t="s">
        <v>735</v>
      </c>
      <c r="R6826" t="s">
        <v>920</v>
      </c>
      <c r="S6826">
        <v>36</v>
      </c>
      <c r="T6826" s="29" t="str">
        <f t="shared" si="296"/>
        <v>2020.005F.R.Genomoviridae.zip</v>
      </c>
      <c r="U6826" s="29" t="str">
        <f>HYPERLINK("https://ictv.global/taxonomy/taxondetails?taxnode_id=202303570","ictv.global=202303570")</f>
        <v>ictv.global=202303570</v>
      </c>
    </row>
    <row r="6827" spans="1:21">
      <c r="A6827">
        <v>6826</v>
      </c>
      <c r="B6827" s="30" t="s">
        <v>1956</v>
      </c>
      <c r="D6827" s="30" t="s">
        <v>1985</v>
      </c>
      <c r="F6827" s="30" t="s">
        <v>2009</v>
      </c>
      <c r="H6827" s="30" t="s">
        <v>2018</v>
      </c>
      <c r="J6827" s="30" t="s">
        <v>2019</v>
      </c>
      <c r="L6827" s="30" t="s">
        <v>737</v>
      </c>
      <c r="N6827" s="30" t="s">
        <v>738</v>
      </c>
      <c r="P6827" s="30" t="s">
        <v>2692</v>
      </c>
      <c r="Q6827" t="s">
        <v>622</v>
      </c>
      <c r="R6827" t="s">
        <v>920</v>
      </c>
      <c r="S6827">
        <v>36</v>
      </c>
      <c r="T6827" s="29" t="str">
        <f t="shared" si="296"/>
        <v>2020.005F.R.Genomoviridae.zip</v>
      </c>
      <c r="U6827" s="29" t="str">
        <f>HYPERLINK("https://ictv.global/taxonomy/taxondetails?taxnode_id=202303571","ictv.global=202303571")</f>
        <v>ictv.global=202303571</v>
      </c>
    </row>
    <row r="6828" spans="1:21">
      <c r="A6828">
        <v>6827</v>
      </c>
      <c r="B6828" s="30" t="s">
        <v>1956</v>
      </c>
      <c r="D6828" s="30" t="s">
        <v>1985</v>
      </c>
      <c r="F6828" s="30" t="s">
        <v>2009</v>
      </c>
      <c r="H6828" s="30" t="s">
        <v>2018</v>
      </c>
      <c r="J6828" s="30" t="s">
        <v>2019</v>
      </c>
      <c r="L6828" s="30" t="s">
        <v>737</v>
      </c>
      <c r="N6828" s="30" t="s">
        <v>738</v>
      </c>
      <c r="P6828" s="30" t="s">
        <v>2693</v>
      </c>
      <c r="Q6828" t="s">
        <v>735</v>
      </c>
      <c r="R6828" t="s">
        <v>917</v>
      </c>
      <c r="S6828">
        <v>36</v>
      </c>
      <c r="T6828" s="29" t="str">
        <f t="shared" si="296"/>
        <v>2020.005F.R.Genomoviridae.zip</v>
      </c>
      <c r="U6828" s="29" t="str">
        <f>HYPERLINK("https://ictv.global/taxonomy/taxondetails?taxnode_id=202308953","ictv.global=202308953")</f>
        <v>ictv.global=202308953</v>
      </c>
    </row>
    <row r="6829" spans="1:21">
      <c r="A6829">
        <v>6828</v>
      </c>
      <c r="B6829" s="30" t="s">
        <v>1956</v>
      </c>
      <c r="D6829" s="30" t="s">
        <v>1985</v>
      </c>
      <c r="F6829" s="30" t="s">
        <v>2009</v>
      </c>
      <c r="H6829" s="30" t="s">
        <v>2018</v>
      </c>
      <c r="J6829" s="30" t="s">
        <v>2019</v>
      </c>
      <c r="L6829" s="30" t="s">
        <v>737</v>
      </c>
      <c r="N6829" s="30" t="s">
        <v>738</v>
      </c>
      <c r="P6829" s="30" t="s">
        <v>2694</v>
      </c>
      <c r="Q6829" t="s">
        <v>735</v>
      </c>
      <c r="R6829" t="s">
        <v>917</v>
      </c>
      <c r="S6829">
        <v>36</v>
      </c>
      <c r="T6829" s="29" t="str">
        <f t="shared" si="296"/>
        <v>2020.005F.R.Genomoviridae.zip</v>
      </c>
      <c r="U6829" s="29" t="str">
        <f>HYPERLINK("https://ictv.global/taxonomy/taxondetails?taxnode_id=202308976","ictv.global=202308976")</f>
        <v>ictv.global=202308976</v>
      </c>
    </row>
    <row r="6830" spans="1:21">
      <c r="A6830">
        <v>6829</v>
      </c>
      <c r="B6830" s="30" t="s">
        <v>1956</v>
      </c>
      <c r="D6830" s="30" t="s">
        <v>1985</v>
      </c>
      <c r="F6830" s="30" t="s">
        <v>2009</v>
      </c>
      <c r="H6830" s="30" t="s">
        <v>2018</v>
      </c>
      <c r="J6830" s="30" t="s">
        <v>2019</v>
      </c>
      <c r="L6830" s="30" t="s">
        <v>737</v>
      </c>
      <c r="N6830" s="30" t="s">
        <v>738</v>
      </c>
      <c r="P6830" s="30" t="s">
        <v>2695</v>
      </c>
      <c r="Q6830" t="s">
        <v>735</v>
      </c>
      <c r="R6830" t="s">
        <v>917</v>
      </c>
      <c r="S6830">
        <v>36</v>
      </c>
      <c r="T6830" s="29" t="str">
        <f t="shared" si="296"/>
        <v>2020.005F.R.Genomoviridae.zip</v>
      </c>
      <c r="U6830" s="29" t="str">
        <f>HYPERLINK("https://ictv.global/taxonomy/taxondetails?taxnode_id=202308978","ictv.global=202308978")</f>
        <v>ictv.global=202308978</v>
      </c>
    </row>
    <row r="6831" spans="1:21">
      <c r="A6831">
        <v>6830</v>
      </c>
      <c r="B6831" s="30" t="s">
        <v>1956</v>
      </c>
      <c r="D6831" s="30" t="s">
        <v>1985</v>
      </c>
      <c r="F6831" s="30" t="s">
        <v>2009</v>
      </c>
      <c r="H6831" s="30" t="s">
        <v>2018</v>
      </c>
      <c r="J6831" s="30" t="s">
        <v>2019</v>
      </c>
      <c r="L6831" s="30" t="s">
        <v>737</v>
      </c>
      <c r="N6831" s="30" t="s">
        <v>738</v>
      </c>
      <c r="P6831" s="30" t="s">
        <v>2696</v>
      </c>
      <c r="Q6831" t="s">
        <v>735</v>
      </c>
      <c r="R6831" t="s">
        <v>917</v>
      </c>
      <c r="S6831">
        <v>36</v>
      </c>
      <c r="T6831" s="29" t="str">
        <f t="shared" si="296"/>
        <v>2020.005F.R.Genomoviridae.zip</v>
      </c>
      <c r="U6831" s="29" t="str">
        <f>HYPERLINK("https://ictv.global/taxonomy/taxondetails?taxnode_id=202308982","ictv.global=202308982")</f>
        <v>ictv.global=202308982</v>
      </c>
    </row>
    <row r="6832" spans="1:21">
      <c r="A6832">
        <v>6831</v>
      </c>
      <c r="B6832" s="30" t="s">
        <v>1956</v>
      </c>
      <c r="D6832" s="30" t="s">
        <v>1985</v>
      </c>
      <c r="F6832" s="30" t="s">
        <v>2009</v>
      </c>
      <c r="H6832" s="30" t="s">
        <v>2018</v>
      </c>
      <c r="J6832" s="30" t="s">
        <v>2019</v>
      </c>
      <c r="L6832" s="30" t="s">
        <v>737</v>
      </c>
      <c r="N6832" s="30" t="s">
        <v>738</v>
      </c>
      <c r="P6832" s="30" t="s">
        <v>2697</v>
      </c>
      <c r="Q6832" t="s">
        <v>735</v>
      </c>
      <c r="R6832" t="s">
        <v>917</v>
      </c>
      <c r="S6832">
        <v>36</v>
      </c>
      <c r="T6832" s="29" t="str">
        <f t="shared" si="296"/>
        <v>2020.005F.R.Genomoviridae.zip</v>
      </c>
      <c r="U6832" s="29" t="str">
        <f>HYPERLINK("https://ictv.global/taxonomy/taxondetails?taxnode_id=202308989","ictv.global=202308989")</f>
        <v>ictv.global=202308989</v>
      </c>
    </row>
    <row r="6833" spans="1:21">
      <c r="A6833">
        <v>6832</v>
      </c>
      <c r="B6833" s="30" t="s">
        <v>1956</v>
      </c>
      <c r="D6833" s="30" t="s">
        <v>1985</v>
      </c>
      <c r="F6833" s="30" t="s">
        <v>2009</v>
      </c>
      <c r="H6833" s="30" t="s">
        <v>2018</v>
      </c>
      <c r="J6833" s="30" t="s">
        <v>2019</v>
      </c>
      <c r="L6833" s="30" t="s">
        <v>737</v>
      </c>
      <c r="N6833" s="30" t="s">
        <v>738</v>
      </c>
      <c r="P6833" s="30" t="s">
        <v>2698</v>
      </c>
      <c r="Q6833" t="s">
        <v>735</v>
      </c>
      <c r="R6833" t="s">
        <v>917</v>
      </c>
      <c r="S6833">
        <v>36</v>
      </c>
      <c r="T6833" s="29" t="str">
        <f t="shared" si="296"/>
        <v>2020.005F.R.Genomoviridae.zip</v>
      </c>
      <c r="U6833" s="29" t="str">
        <f>HYPERLINK("https://ictv.global/taxonomy/taxondetails?taxnode_id=202308993","ictv.global=202308993")</f>
        <v>ictv.global=202308993</v>
      </c>
    </row>
    <row r="6834" spans="1:21">
      <c r="A6834">
        <v>6833</v>
      </c>
      <c r="B6834" s="30" t="s">
        <v>1956</v>
      </c>
      <c r="D6834" s="30" t="s">
        <v>1985</v>
      </c>
      <c r="F6834" s="30" t="s">
        <v>2009</v>
      </c>
      <c r="H6834" s="30" t="s">
        <v>2018</v>
      </c>
      <c r="J6834" s="30" t="s">
        <v>2019</v>
      </c>
      <c r="L6834" s="30" t="s">
        <v>737</v>
      </c>
      <c r="N6834" s="30" t="s">
        <v>738</v>
      </c>
      <c r="P6834" s="30" t="s">
        <v>2699</v>
      </c>
      <c r="Q6834" t="s">
        <v>735</v>
      </c>
      <c r="R6834" t="s">
        <v>917</v>
      </c>
      <c r="S6834">
        <v>36</v>
      </c>
      <c r="T6834" s="29" t="str">
        <f t="shared" si="296"/>
        <v>2020.005F.R.Genomoviridae.zip</v>
      </c>
      <c r="U6834" s="29" t="str">
        <f>HYPERLINK("https://ictv.global/taxonomy/taxondetails?taxnode_id=202309009","ictv.global=202309009")</f>
        <v>ictv.global=202309009</v>
      </c>
    </row>
    <row r="6835" spans="1:21">
      <c r="A6835">
        <v>6834</v>
      </c>
      <c r="B6835" s="30" t="s">
        <v>1956</v>
      </c>
      <c r="D6835" s="30" t="s">
        <v>1985</v>
      </c>
      <c r="F6835" s="30" t="s">
        <v>2009</v>
      </c>
      <c r="H6835" s="30" t="s">
        <v>2018</v>
      </c>
      <c r="J6835" s="30" t="s">
        <v>2019</v>
      </c>
      <c r="L6835" s="30" t="s">
        <v>737</v>
      </c>
      <c r="N6835" s="30" t="s">
        <v>738</v>
      </c>
      <c r="P6835" s="30" t="s">
        <v>2700</v>
      </c>
      <c r="Q6835" t="s">
        <v>735</v>
      </c>
      <c r="R6835" t="s">
        <v>917</v>
      </c>
      <c r="S6835">
        <v>36</v>
      </c>
      <c r="T6835" s="29" t="str">
        <f t="shared" si="296"/>
        <v>2020.005F.R.Genomoviridae.zip</v>
      </c>
      <c r="U6835" s="29" t="str">
        <f>HYPERLINK("https://ictv.global/taxonomy/taxondetails?taxnode_id=202308941","ictv.global=202308941")</f>
        <v>ictv.global=202308941</v>
      </c>
    </row>
    <row r="6836" spans="1:21">
      <c r="A6836">
        <v>6835</v>
      </c>
      <c r="B6836" s="30" t="s">
        <v>1956</v>
      </c>
      <c r="D6836" s="30" t="s">
        <v>1985</v>
      </c>
      <c r="F6836" s="30" t="s">
        <v>2009</v>
      </c>
      <c r="H6836" s="30" t="s">
        <v>2018</v>
      </c>
      <c r="J6836" s="30" t="s">
        <v>2019</v>
      </c>
      <c r="L6836" s="30" t="s">
        <v>737</v>
      </c>
      <c r="N6836" s="30" t="s">
        <v>738</v>
      </c>
      <c r="P6836" s="30" t="s">
        <v>2701</v>
      </c>
      <c r="Q6836" t="s">
        <v>735</v>
      </c>
      <c r="R6836" t="s">
        <v>917</v>
      </c>
      <c r="S6836">
        <v>36</v>
      </c>
      <c r="T6836" s="29" t="str">
        <f t="shared" si="296"/>
        <v>2020.005F.R.Genomoviridae.zip</v>
      </c>
      <c r="U6836" s="29" t="str">
        <f>HYPERLINK("https://ictv.global/taxonomy/taxondetails?taxnode_id=202308948","ictv.global=202308948")</f>
        <v>ictv.global=202308948</v>
      </c>
    </row>
    <row r="6837" spans="1:21">
      <c r="A6837">
        <v>6836</v>
      </c>
      <c r="B6837" s="30" t="s">
        <v>1956</v>
      </c>
      <c r="D6837" s="30" t="s">
        <v>1985</v>
      </c>
      <c r="F6837" s="30" t="s">
        <v>2009</v>
      </c>
      <c r="H6837" s="30" t="s">
        <v>2018</v>
      </c>
      <c r="J6837" s="30" t="s">
        <v>2019</v>
      </c>
      <c r="L6837" s="30" t="s">
        <v>737</v>
      </c>
      <c r="N6837" s="30" t="s">
        <v>738</v>
      </c>
      <c r="P6837" s="30" t="s">
        <v>2702</v>
      </c>
      <c r="Q6837" t="s">
        <v>735</v>
      </c>
      <c r="R6837" t="s">
        <v>917</v>
      </c>
      <c r="S6837">
        <v>36</v>
      </c>
      <c r="T6837" s="29" t="str">
        <f t="shared" si="296"/>
        <v>2020.005F.R.Genomoviridae.zip</v>
      </c>
      <c r="U6837" s="29" t="str">
        <f>HYPERLINK("https://ictv.global/taxonomy/taxondetails?taxnode_id=202308951","ictv.global=202308951")</f>
        <v>ictv.global=202308951</v>
      </c>
    </row>
    <row r="6838" spans="1:21">
      <c r="A6838">
        <v>6837</v>
      </c>
      <c r="B6838" s="30" t="s">
        <v>1956</v>
      </c>
      <c r="D6838" s="30" t="s">
        <v>1985</v>
      </c>
      <c r="F6838" s="30" t="s">
        <v>2009</v>
      </c>
      <c r="H6838" s="30" t="s">
        <v>2018</v>
      </c>
      <c r="J6838" s="30" t="s">
        <v>2019</v>
      </c>
      <c r="L6838" s="30" t="s">
        <v>737</v>
      </c>
      <c r="N6838" s="30" t="s">
        <v>738</v>
      </c>
      <c r="P6838" s="30" t="s">
        <v>2703</v>
      </c>
      <c r="Q6838" t="s">
        <v>735</v>
      </c>
      <c r="R6838" t="s">
        <v>917</v>
      </c>
      <c r="S6838">
        <v>36</v>
      </c>
      <c r="T6838" s="29" t="str">
        <f t="shared" si="296"/>
        <v>2020.005F.R.Genomoviridae.zip</v>
      </c>
      <c r="U6838" s="29" t="str">
        <f>HYPERLINK("https://ictv.global/taxonomy/taxondetails?taxnode_id=202308952","ictv.global=202308952")</f>
        <v>ictv.global=202308952</v>
      </c>
    </row>
    <row r="6839" spans="1:21">
      <c r="A6839">
        <v>6838</v>
      </c>
      <c r="B6839" s="30" t="s">
        <v>1956</v>
      </c>
      <c r="D6839" s="30" t="s">
        <v>1985</v>
      </c>
      <c r="F6839" s="30" t="s">
        <v>2009</v>
      </c>
      <c r="H6839" s="30" t="s">
        <v>2018</v>
      </c>
      <c r="J6839" s="30" t="s">
        <v>2019</v>
      </c>
      <c r="L6839" s="30" t="s">
        <v>737</v>
      </c>
      <c r="N6839" s="30" t="s">
        <v>738</v>
      </c>
      <c r="P6839" s="30" t="s">
        <v>2704</v>
      </c>
      <c r="Q6839" t="s">
        <v>735</v>
      </c>
      <c r="R6839" t="s">
        <v>917</v>
      </c>
      <c r="S6839">
        <v>36</v>
      </c>
      <c r="T6839" s="29" t="str">
        <f t="shared" si="296"/>
        <v>2020.005F.R.Genomoviridae.zip</v>
      </c>
      <c r="U6839" s="29" t="str">
        <f>HYPERLINK("https://ictv.global/taxonomy/taxondetails?taxnode_id=202308985","ictv.global=202308985")</f>
        <v>ictv.global=202308985</v>
      </c>
    </row>
    <row r="6840" spans="1:21">
      <c r="A6840">
        <v>6839</v>
      </c>
      <c r="B6840" s="30" t="s">
        <v>1956</v>
      </c>
      <c r="D6840" s="30" t="s">
        <v>1985</v>
      </c>
      <c r="F6840" s="30" t="s">
        <v>2009</v>
      </c>
      <c r="H6840" s="30" t="s">
        <v>2018</v>
      </c>
      <c r="J6840" s="30" t="s">
        <v>2019</v>
      </c>
      <c r="L6840" s="30" t="s">
        <v>737</v>
      </c>
      <c r="N6840" s="30" t="s">
        <v>738</v>
      </c>
      <c r="P6840" s="30" t="s">
        <v>2705</v>
      </c>
      <c r="Q6840" t="s">
        <v>622</v>
      </c>
      <c r="R6840" t="s">
        <v>920</v>
      </c>
      <c r="S6840">
        <v>36</v>
      </c>
      <c r="T6840" s="29" t="str">
        <f t="shared" si="296"/>
        <v>2020.005F.R.Genomoviridae.zip</v>
      </c>
      <c r="U6840" s="29" t="str">
        <f>HYPERLINK("https://ictv.global/taxonomy/taxondetails?taxnode_id=202303572","ictv.global=202303572")</f>
        <v>ictv.global=202303572</v>
      </c>
    </row>
    <row r="6841" spans="1:21">
      <c r="A6841">
        <v>6840</v>
      </c>
      <c r="B6841" s="30" t="s">
        <v>1956</v>
      </c>
      <c r="D6841" s="30" t="s">
        <v>1985</v>
      </c>
      <c r="F6841" s="30" t="s">
        <v>2009</v>
      </c>
      <c r="H6841" s="30" t="s">
        <v>2018</v>
      </c>
      <c r="J6841" s="30" t="s">
        <v>2019</v>
      </c>
      <c r="L6841" s="30" t="s">
        <v>737</v>
      </c>
      <c r="N6841" s="30" t="s">
        <v>738</v>
      </c>
      <c r="P6841" s="30" t="s">
        <v>2706</v>
      </c>
      <c r="Q6841" t="s">
        <v>622</v>
      </c>
      <c r="R6841" t="s">
        <v>920</v>
      </c>
      <c r="S6841">
        <v>36</v>
      </c>
      <c r="T6841" s="29" t="str">
        <f t="shared" si="296"/>
        <v>2020.005F.R.Genomoviridae.zip</v>
      </c>
      <c r="U6841" s="29" t="str">
        <f>HYPERLINK("https://ictv.global/taxonomy/taxondetails?taxnode_id=202303573","ictv.global=202303573")</f>
        <v>ictv.global=202303573</v>
      </c>
    </row>
    <row r="6842" spans="1:21">
      <c r="A6842">
        <v>6841</v>
      </c>
      <c r="B6842" s="30" t="s">
        <v>1956</v>
      </c>
      <c r="D6842" s="30" t="s">
        <v>1985</v>
      </c>
      <c r="F6842" s="30" t="s">
        <v>2009</v>
      </c>
      <c r="H6842" s="30" t="s">
        <v>2018</v>
      </c>
      <c r="J6842" s="30" t="s">
        <v>2019</v>
      </c>
      <c r="L6842" s="30" t="s">
        <v>737</v>
      </c>
      <c r="N6842" s="30" t="s">
        <v>738</v>
      </c>
      <c r="P6842" s="30" t="s">
        <v>2707</v>
      </c>
      <c r="Q6842" t="s">
        <v>735</v>
      </c>
      <c r="R6842" t="s">
        <v>917</v>
      </c>
      <c r="S6842">
        <v>36</v>
      </c>
      <c r="T6842" s="29" t="str">
        <f t="shared" si="296"/>
        <v>2020.005F.R.Genomoviridae.zip</v>
      </c>
      <c r="U6842" s="29" t="str">
        <f>HYPERLINK("https://ictv.global/taxonomy/taxondetails?taxnode_id=202308969","ictv.global=202308969")</f>
        <v>ictv.global=202308969</v>
      </c>
    </row>
    <row r="6843" spans="1:21">
      <c r="A6843">
        <v>6842</v>
      </c>
      <c r="B6843" s="30" t="s">
        <v>1956</v>
      </c>
      <c r="D6843" s="30" t="s">
        <v>1985</v>
      </c>
      <c r="F6843" s="30" t="s">
        <v>2009</v>
      </c>
      <c r="H6843" s="30" t="s">
        <v>2018</v>
      </c>
      <c r="J6843" s="30" t="s">
        <v>2019</v>
      </c>
      <c r="L6843" s="30" t="s">
        <v>737</v>
      </c>
      <c r="N6843" s="30" t="s">
        <v>738</v>
      </c>
      <c r="P6843" s="30" t="s">
        <v>2708</v>
      </c>
      <c r="Q6843" t="s">
        <v>735</v>
      </c>
      <c r="R6843" t="s">
        <v>917</v>
      </c>
      <c r="S6843">
        <v>36</v>
      </c>
      <c r="T6843" s="29" t="str">
        <f t="shared" si="296"/>
        <v>2020.005F.R.Genomoviridae.zip</v>
      </c>
      <c r="U6843" s="29" t="str">
        <f>HYPERLINK("https://ictv.global/taxonomy/taxondetails?taxnode_id=202309007","ictv.global=202309007")</f>
        <v>ictv.global=202309007</v>
      </c>
    </row>
    <row r="6844" spans="1:21">
      <c r="A6844">
        <v>6843</v>
      </c>
      <c r="B6844" s="30" t="s">
        <v>1956</v>
      </c>
      <c r="D6844" s="30" t="s">
        <v>1985</v>
      </c>
      <c r="F6844" s="30" t="s">
        <v>2009</v>
      </c>
      <c r="H6844" s="30" t="s">
        <v>2018</v>
      </c>
      <c r="J6844" s="30" t="s">
        <v>2019</v>
      </c>
      <c r="L6844" s="30" t="s">
        <v>737</v>
      </c>
      <c r="N6844" s="30" t="s">
        <v>738</v>
      </c>
      <c r="P6844" s="30" t="s">
        <v>2709</v>
      </c>
      <c r="Q6844" t="s">
        <v>735</v>
      </c>
      <c r="R6844" t="s">
        <v>917</v>
      </c>
      <c r="S6844">
        <v>36</v>
      </c>
      <c r="T6844" s="29" t="str">
        <f t="shared" si="296"/>
        <v>2020.005F.R.Genomoviridae.zip</v>
      </c>
      <c r="U6844" s="29" t="str">
        <f>HYPERLINK("https://ictv.global/taxonomy/taxondetails?taxnode_id=202308974","ictv.global=202308974")</f>
        <v>ictv.global=202308974</v>
      </c>
    </row>
    <row r="6845" spans="1:21">
      <c r="A6845">
        <v>6844</v>
      </c>
      <c r="B6845" s="30" t="s">
        <v>1956</v>
      </c>
      <c r="D6845" s="30" t="s">
        <v>1985</v>
      </c>
      <c r="F6845" s="30" t="s">
        <v>2009</v>
      </c>
      <c r="H6845" s="30" t="s">
        <v>2018</v>
      </c>
      <c r="J6845" s="30" t="s">
        <v>2019</v>
      </c>
      <c r="L6845" s="30" t="s">
        <v>737</v>
      </c>
      <c r="N6845" s="30" t="s">
        <v>738</v>
      </c>
      <c r="P6845" s="30" t="s">
        <v>2710</v>
      </c>
      <c r="Q6845" t="s">
        <v>735</v>
      </c>
      <c r="R6845" t="s">
        <v>917</v>
      </c>
      <c r="S6845">
        <v>36</v>
      </c>
      <c r="T6845" s="29" t="str">
        <f t="shared" si="296"/>
        <v>2020.005F.R.Genomoviridae.zip</v>
      </c>
      <c r="U6845" s="29" t="str">
        <f>HYPERLINK("https://ictv.global/taxonomy/taxondetails?taxnode_id=202308986","ictv.global=202308986")</f>
        <v>ictv.global=202308986</v>
      </c>
    </row>
    <row r="6846" spans="1:21">
      <c r="A6846">
        <v>6845</v>
      </c>
      <c r="B6846" s="30" t="s">
        <v>1956</v>
      </c>
      <c r="D6846" s="30" t="s">
        <v>1985</v>
      </c>
      <c r="F6846" s="30" t="s">
        <v>2009</v>
      </c>
      <c r="H6846" s="30" t="s">
        <v>2018</v>
      </c>
      <c r="J6846" s="30" t="s">
        <v>2019</v>
      </c>
      <c r="L6846" s="30" t="s">
        <v>737</v>
      </c>
      <c r="N6846" s="30" t="s">
        <v>738</v>
      </c>
      <c r="P6846" s="30" t="s">
        <v>2711</v>
      </c>
      <c r="Q6846" t="s">
        <v>622</v>
      </c>
      <c r="R6846" t="s">
        <v>920</v>
      </c>
      <c r="S6846">
        <v>36</v>
      </c>
      <c r="T6846" s="29" t="str">
        <f t="shared" si="296"/>
        <v>2020.005F.R.Genomoviridae.zip</v>
      </c>
      <c r="U6846" s="29" t="str">
        <f>HYPERLINK("https://ictv.global/taxonomy/taxondetails?taxnode_id=202303574","ictv.global=202303574")</f>
        <v>ictv.global=202303574</v>
      </c>
    </row>
    <row r="6847" spans="1:21">
      <c r="A6847">
        <v>6846</v>
      </c>
      <c r="B6847" s="30" t="s">
        <v>1956</v>
      </c>
      <c r="D6847" s="30" t="s">
        <v>1985</v>
      </c>
      <c r="F6847" s="30" t="s">
        <v>2009</v>
      </c>
      <c r="H6847" s="30" t="s">
        <v>2018</v>
      </c>
      <c r="J6847" s="30" t="s">
        <v>2019</v>
      </c>
      <c r="L6847" s="30" t="s">
        <v>737</v>
      </c>
      <c r="N6847" s="30" t="s">
        <v>738</v>
      </c>
      <c r="P6847" s="30" t="s">
        <v>2712</v>
      </c>
      <c r="Q6847" t="s">
        <v>622</v>
      </c>
      <c r="R6847" t="s">
        <v>920</v>
      </c>
      <c r="S6847">
        <v>36</v>
      </c>
      <c r="T6847" s="29" t="str">
        <f t="shared" si="296"/>
        <v>2020.005F.R.Genomoviridae.zip</v>
      </c>
      <c r="U6847" s="29" t="str">
        <f>HYPERLINK("https://ictv.global/taxonomy/taxondetails?taxnode_id=202303575","ictv.global=202303575")</f>
        <v>ictv.global=202303575</v>
      </c>
    </row>
    <row r="6848" spans="1:21">
      <c r="A6848">
        <v>6847</v>
      </c>
      <c r="B6848" s="30" t="s">
        <v>1956</v>
      </c>
      <c r="D6848" s="30" t="s">
        <v>1985</v>
      </c>
      <c r="F6848" s="30" t="s">
        <v>2009</v>
      </c>
      <c r="H6848" s="30" t="s">
        <v>2018</v>
      </c>
      <c r="J6848" s="30" t="s">
        <v>2019</v>
      </c>
      <c r="L6848" s="30" t="s">
        <v>737</v>
      </c>
      <c r="N6848" s="30" t="s">
        <v>738</v>
      </c>
      <c r="P6848" s="30" t="s">
        <v>2713</v>
      </c>
      <c r="Q6848" t="s">
        <v>735</v>
      </c>
      <c r="R6848" t="s">
        <v>920</v>
      </c>
      <c r="S6848">
        <v>36</v>
      </c>
      <c r="T6848" s="29" t="str">
        <f t="shared" ref="T6848:T6863" si="297">HYPERLINK("https://ictv.global/ictv/proposals/2020.005F.R.Genomoviridae.zip","2020.005F.R.Genomoviridae.zip")</f>
        <v>2020.005F.R.Genomoviridae.zip</v>
      </c>
      <c r="U6848" s="29" t="str">
        <f>HYPERLINK("https://ictv.global/taxonomy/taxondetails?taxnode_id=202303576","ictv.global=202303576")</f>
        <v>ictv.global=202303576</v>
      </c>
    </row>
    <row r="6849" spans="1:21">
      <c r="A6849">
        <v>6848</v>
      </c>
      <c r="B6849" s="30" t="s">
        <v>1956</v>
      </c>
      <c r="D6849" s="30" t="s">
        <v>1985</v>
      </c>
      <c r="F6849" s="30" t="s">
        <v>2009</v>
      </c>
      <c r="H6849" s="30" t="s">
        <v>2018</v>
      </c>
      <c r="J6849" s="30" t="s">
        <v>2019</v>
      </c>
      <c r="L6849" s="30" t="s">
        <v>737</v>
      </c>
      <c r="N6849" s="30" t="s">
        <v>738</v>
      </c>
      <c r="P6849" s="30" t="s">
        <v>2714</v>
      </c>
      <c r="Q6849" t="s">
        <v>622</v>
      </c>
      <c r="R6849" t="s">
        <v>920</v>
      </c>
      <c r="S6849">
        <v>36</v>
      </c>
      <c r="T6849" s="29" t="str">
        <f t="shared" si="297"/>
        <v>2020.005F.R.Genomoviridae.zip</v>
      </c>
      <c r="U6849" s="29" t="str">
        <f>HYPERLINK("https://ictv.global/taxonomy/taxondetails?taxnode_id=202303577","ictv.global=202303577")</f>
        <v>ictv.global=202303577</v>
      </c>
    </row>
    <row r="6850" spans="1:21">
      <c r="A6850">
        <v>6849</v>
      </c>
      <c r="B6850" s="30" t="s">
        <v>1956</v>
      </c>
      <c r="D6850" s="30" t="s">
        <v>1985</v>
      </c>
      <c r="F6850" s="30" t="s">
        <v>2009</v>
      </c>
      <c r="H6850" s="30" t="s">
        <v>2018</v>
      </c>
      <c r="J6850" s="30" t="s">
        <v>2019</v>
      </c>
      <c r="L6850" s="30" t="s">
        <v>737</v>
      </c>
      <c r="N6850" s="30" t="s">
        <v>738</v>
      </c>
      <c r="P6850" s="30" t="s">
        <v>2715</v>
      </c>
      <c r="Q6850" t="s">
        <v>622</v>
      </c>
      <c r="R6850" t="s">
        <v>920</v>
      </c>
      <c r="S6850">
        <v>36</v>
      </c>
      <c r="T6850" s="29" t="str">
        <f t="shared" si="297"/>
        <v>2020.005F.R.Genomoviridae.zip</v>
      </c>
      <c r="U6850" s="29" t="str">
        <f>HYPERLINK("https://ictv.global/taxonomy/taxondetails?taxnode_id=202303578","ictv.global=202303578")</f>
        <v>ictv.global=202303578</v>
      </c>
    </row>
    <row r="6851" spans="1:21">
      <c r="A6851">
        <v>6850</v>
      </c>
      <c r="B6851" s="30" t="s">
        <v>1956</v>
      </c>
      <c r="D6851" s="30" t="s">
        <v>1985</v>
      </c>
      <c r="F6851" s="30" t="s">
        <v>2009</v>
      </c>
      <c r="H6851" s="30" t="s">
        <v>2018</v>
      </c>
      <c r="J6851" s="30" t="s">
        <v>2019</v>
      </c>
      <c r="L6851" s="30" t="s">
        <v>737</v>
      </c>
      <c r="N6851" s="30" t="s">
        <v>738</v>
      </c>
      <c r="P6851" s="30" t="s">
        <v>2716</v>
      </c>
      <c r="Q6851" t="s">
        <v>622</v>
      </c>
      <c r="R6851" t="s">
        <v>920</v>
      </c>
      <c r="S6851">
        <v>36</v>
      </c>
      <c r="T6851" s="29" t="str">
        <f t="shared" si="297"/>
        <v>2020.005F.R.Genomoviridae.zip</v>
      </c>
      <c r="U6851" s="29" t="str">
        <f>HYPERLINK("https://ictv.global/taxonomy/taxondetails?taxnode_id=202303579","ictv.global=202303579")</f>
        <v>ictv.global=202303579</v>
      </c>
    </row>
    <row r="6852" spans="1:21">
      <c r="A6852">
        <v>6851</v>
      </c>
      <c r="B6852" s="30" t="s">
        <v>1956</v>
      </c>
      <c r="D6852" s="30" t="s">
        <v>1985</v>
      </c>
      <c r="F6852" s="30" t="s">
        <v>2009</v>
      </c>
      <c r="H6852" s="30" t="s">
        <v>2018</v>
      </c>
      <c r="J6852" s="30" t="s">
        <v>2019</v>
      </c>
      <c r="L6852" s="30" t="s">
        <v>737</v>
      </c>
      <c r="N6852" s="30" t="s">
        <v>738</v>
      </c>
      <c r="P6852" s="30" t="s">
        <v>2717</v>
      </c>
      <c r="Q6852" t="s">
        <v>622</v>
      </c>
      <c r="R6852" t="s">
        <v>920</v>
      </c>
      <c r="S6852">
        <v>36</v>
      </c>
      <c r="T6852" s="29" t="str">
        <f t="shared" si="297"/>
        <v>2020.005F.R.Genomoviridae.zip</v>
      </c>
      <c r="U6852" s="29" t="str">
        <f>HYPERLINK("https://ictv.global/taxonomy/taxondetails?taxnode_id=202303580","ictv.global=202303580")</f>
        <v>ictv.global=202303580</v>
      </c>
    </row>
    <row r="6853" spans="1:21">
      <c r="A6853">
        <v>6852</v>
      </c>
      <c r="B6853" s="30" t="s">
        <v>1956</v>
      </c>
      <c r="D6853" s="30" t="s">
        <v>1985</v>
      </c>
      <c r="F6853" s="30" t="s">
        <v>2009</v>
      </c>
      <c r="H6853" s="30" t="s">
        <v>2018</v>
      </c>
      <c r="J6853" s="30" t="s">
        <v>2019</v>
      </c>
      <c r="L6853" s="30" t="s">
        <v>737</v>
      </c>
      <c r="N6853" s="30" t="s">
        <v>738</v>
      </c>
      <c r="P6853" s="30" t="s">
        <v>2718</v>
      </c>
      <c r="Q6853" t="s">
        <v>622</v>
      </c>
      <c r="R6853" t="s">
        <v>920</v>
      </c>
      <c r="S6853">
        <v>36</v>
      </c>
      <c r="T6853" s="29" t="str">
        <f t="shared" si="297"/>
        <v>2020.005F.R.Genomoviridae.zip</v>
      </c>
      <c r="U6853" s="29" t="str">
        <f>HYPERLINK("https://ictv.global/taxonomy/taxondetails?taxnode_id=202303581","ictv.global=202303581")</f>
        <v>ictv.global=202303581</v>
      </c>
    </row>
    <row r="6854" spans="1:21">
      <c r="A6854">
        <v>6853</v>
      </c>
      <c r="B6854" s="30" t="s">
        <v>1956</v>
      </c>
      <c r="D6854" s="30" t="s">
        <v>1985</v>
      </c>
      <c r="F6854" s="30" t="s">
        <v>2009</v>
      </c>
      <c r="H6854" s="30" t="s">
        <v>2018</v>
      </c>
      <c r="J6854" s="30" t="s">
        <v>2019</v>
      </c>
      <c r="L6854" s="30" t="s">
        <v>737</v>
      </c>
      <c r="N6854" s="30" t="s">
        <v>738</v>
      </c>
      <c r="P6854" s="30" t="s">
        <v>2719</v>
      </c>
      <c r="Q6854" t="s">
        <v>622</v>
      </c>
      <c r="R6854" t="s">
        <v>920</v>
      </c>
      <c r="S6854">
        <v>36</v>
      </c>
      <c r="T6854" s="29" t="str">
        <f t="shared" si="297"/>
        <v>2020.005F.R.Genomoviridae.zip</v>
      </c>
      <c r="U6854" s="29" t="str">
        <f>HYPERLINK("https://ictv.global/taxonomy/taxondetails?taxnode_id=202303582","ictv.global=202303582")</f>
        <v>ictv.global=202303582</v>
      </c>
    </row>
    <row r="6855" spans="1:21">
      <c r="A6855">
        <v>6854</v>
      </c>
      <c r="B6855" s="30" t="s">
        <v>1956</v>
      </c>
      <c r="D6855" s="30" t="s">
        <v>1985</v>
      </c>
      <c r="F6855" s="30" t="s">
        <v>2009</v>
      </c>
      <c r="H6855" s="30" t="s">
        <v>2018</v>
      </c>
      <c r="J6855" s="30" t="s">
        <v>2019</v>
      </c>
      <c r="L6855" s="30" t="s">
        <v>737</v>
      </c>
      <c r="N6855" s="30" t="s">
        <v>738</v>
      </c>
      <c r="P6855" s="30" t="s">
        <v>2720</v>
      </c>
      <c r="Q6855" t="s">
        <v>622</v>
      </c>
      <c r="R6855" t="s">
        <v>920</v>
      </c>
      <c r="S6855">
        <v>36</v>
      </c>
      <c r="T6855" s="29" t="str">
        <f t="shared" si="297"/>
        <v>2020.005F.R.Genomoviridae.zip</v>
      </c>
      <c r="U6855" s="29" t="str">
        <f>HYPERLINK("https://ictv.global/taxonomy/taxondetails?taxnode_id=202303583","ictv.global=202303583")</f>
        <v>ictv.global=202303583</v>
      </c>
    </row>
    <row r="6856" spans="1:21">
      <c r="A6856">
        <v>6855</v>
      </c>
      <c r="B6856" s="30" t="s">
        <v>1956</v>
      </c>
      <c r="D6856" s="30" t="s">
        <v>1985</v>
      </c>
      <c r="F6856" s="30" t="s">
        <v>2009</v>
      </c>
      <c r="H6856" s="30" t="s">
        <v>2018</v>
      </c>
      <c r="J6856" s="30" t="s">
        <v>2019</v>
      </c>
      <c r="L6856" s="30" t="s">
        <v>737</v>
      </c>
      <c r="N6856" s="30" t="s">
        <v>738</v>
      </c>
      <c r="P6856" s="30" t="s">
        <v>2721</v>
      </c>
      <c r="Q6856" t="s">
        <v>622</v>
      </c>
      <c r="R6856" t="s">
        <v>920</v>
      </c>
      <c r="S6856">
        <v>36</v>
      </c>
      <c r="T6856" s="29" t="str">
        <f t="shared" si="297"/>
        <v>2020.005F.R.Genomoviridae.zip</v>
      </c>
      <c r="U6856" s="29" t="str">
        <f>HYPERLINK("https://ictv.global/taxonomy/taxondetails?taxnode_id=202303584","ictv.global=202303584")</f>
        <v>ictv.global=202303584</v>
      </c>
    </row>
    <row r="6857" spans="1:21">
      <c r="A6857">
        <v>6856</v>
      </c>
      <c r="B6857" s="30" t="s">
        <v>1956</v>
      </c>
      <c r="D6857" s="30" t="s">
        <v>1985</v>
      </c>
      <c r="F6857" s="30" t="s">
        <v>2009</v>
      </c>
      <c r="H6857" s="30" t="s">
        <v>2018</v>
      </c>
      <c r="J6857" s="30" t="s">
        <v>2019</v>
      </c>
      <c r="L6857" s="30" t="s">
        <v>737</v>
      </c>
      <c r="N6857" s="30" t="s">
        <v>738</v>
      </c>
      <c r="P6857" s="30" t="s">
        <v>2722</v>
      </c>
      <c r="Q6857" t="s">
        <v>622</v>
      </c>
      <c r="R6857" t="s">
        <v>920</v>
      </c>
      <c r="S6857">
        <v>36</v>
      </c>
      <c r="T6857" s="29" t="str">
        <f t="shared" si="297"/>
        <v>2020.005F.R.Genomoviridae.zip</v>
      </c>
      <c r="U6857" s="29" t="str">
        <f>HYPERLINK("https://ictv.global/taxonomy/taxondetails?taxnode_id=202303585","ictv.global=202303585")</f>
        <v>ictv.global=202303585</v>
      </c>
    </row>
    <row r="6858" spans="1:21">
      <c r="A6858">
        <v>6857</v>
      </c>
      <c r="B6858" s="30" t="s">
        <v>1956</v>
      </c>
      <c r="D6858" s="30" t="s">
        <v>1985</v>
      </c>
      <c r="F6858" s="30" t="s">
        <v>2009</v>
      </c>
      <c r="H6858" s="30" t="s">
        <v>2018</v>
      </c>
      <c r="J6858" s="30" t="s">
        <v>2019</v>
      </c>
      <c r="L6858" s="30" t="s">
        <v>737</v>
      </c>
      <c r="N6858" s="30" t="s">
        <v>738</v>
      </c>
      <c r="P6858" s="30" t="s">
        <v>2723</v>
      </c>
      <c r="Q6858" t="s">
        <v>622</v>
      </c>
      <c r="R6858" t="s">
        <v>920</v>
      </c>
      <c r="S6858">
        <v>36</v>
      </c>
      <c r="T6858" s="29" t="str">
        <f t="shared" si="297"/>
        <v>2020.005F.R.Genomoviridae.zip</v>
      </c>
      <c r="U6858" s="29" t="str">
        <f>HYPERLINK("https://ictv.global/taxonomy/taxondetails?taxnode_id=202303586","ictv.global=202303586")</f>
        <v>ictv.global=202303586</v>
      </c>
    </row>
    <row r="6859" spans="1:21">
      <c r="A6859">
        <v>6858</v>
      </c>
      <c r="B6859" s="30" t="s">
        <v>1956</v>
      </c>
      <c r="D6859" s="30" t="s">
        <v>1985</v>
      </c>
      <c r="F6859" s="30" t="s">
        <v>2009</v>
      </c>
      <c r="H6859" s="30" t="s">
        <v>2018</v>
      </c>
      <c r="J6859" s="30" t="s">
        <v>2019</v>
      </c>
      <c r="L6859" s="30" t="s">
        <v>737</v>
      </c>
      <c r="N6859" s="30" t="s">
        <v>738</v>
      </c>
      <c r="P6859" s="30" t="s">
        <v>2724</v>
      </c>
      <c r="Q6859" t="s">
        <v>735</v>
      </c>
      <c r="R6859" t="s">
        <v>917</v>
      </c>
      <c r="S6859">
        <v>36</v>
      </c>
      <c r="T6859" s="29" t="str">
        <f t="shared" si="297"/>
        <v>2020.005F.R.Genomoviridae.zip</v>
      </c>
      <c r="U6859" s="29" t="str">
        <f>HYPERLINK("https://ictv.global/taxonomy/taxondetails?taxnode_id=202308957","ictv.global=202308957")</f>
        <v>ictv.global=202308957</v>
      </c>
    </row>
    <row r="6860" spans="1:21">
      <c r="A6860">
        <v>6859</v>
      </c>
      <c r="B6860" s="30" t="s">
        <v>1956</v>
      </c>
      <c r="D6860" s="30" t="s">
        <v>1985</v>
      </c>
      <c r="F6860" s="30" t="s">
        <v>2009</v>
      </c>
      <c r="H6860" s="30" t="s">
        <v>2018</v>
      </c>
      <c r="J6860" s="30" t="s">
        <v>2019</v>
      </c>
      <c r="L6860" s="30" t="s">
        <v>737</v>
      </c>
      <c r="N6860" s="30" t="s">
        <v>738</v>
      </c>
      <c r="P6860" s="30" t="s">
        <v>2725</v>
      </c>
      <c r="Q6860" t="s">
        <v>735</v>
      </c>
      <c r="R6860" t="s">
        <v>920</v>
      </c>
      <c r="S6860">
        <v>36</v>
      </c>
      <c r="T6860" s="29" t="str">
        <f t="shared" si="297"/>
        <v>2020.005F.R.Genomoviridae.zip</v>
      </c>
      <c r="U6860" s="29" t="str">
        <f>HYPERLINK("https://ictv.global/taxonomy/taxondetails?taxnode_id=202303587","ictv.global=202303587")</f>
        <v>ictv.global=202303587</v>
      </c>
    </row>
    <row r="6861" spans="1:21">
      <c r="A6861">
        <v>6860</v>
      </c>
      <c r="B6861" s="30" t="s">
        <v>1956</v>
      </c>
      <c r="D6861" s="30" t="s">
        <v>1985</v>
      </c>
      <c r="F6861" s="30" t="s">
        <v>2009</v>
      </c>
      <c r="H6861" s="30" t="s">
        <v>2018</v>
      </c>
      <c r="J6861" s="30" t="s">
        <v>2019</v>
      </c>
      <c r="L6861" s="30" t="s">
        <v>737</v>
      </c>
      <c r="N6861" s="30" t="s">
        <v>738</v>
      </c>
      <c r="P6861" s="30" t="s">
        <v>2726</v>
      </c>
      <c r="Q6861" t="s">
        <v>735</v>
      </c>
      <c r="R6861" t="s">
        <v>917</v>
      </c>
      <c r="S6861">
        <v>36</v>
      </c>
      <c r="T6861" s="29" t="str">
        <f t="shared" si="297"/>
        <v>2020.005F.R.Genomoviridae.zip</v>
      </c>
      <c r="U6861" s="29" t="str">
        <f>HYPERLINK("https://ictv.global/taxonomy/taxondetails?taxnode_id=202308949","ictv.global=202308949")</f>
        <v>ictv.global=202308949</v>
      </c>
    </row>
    <row r="6862" spans="1:21">
      <c r="A6862">
        <v>6861</v>
      </c>
      <c r="B6862" s="30" t="s">
        <v>1956</v>
      </c>
      <c r="D6862" s="30" t="s">
        <v>1985</v>
      </c>
      <c r="F6862" s="30" t="s">
        <v>2009</v>
      </c>
      <c r="H6862" s="30" t="s">
        <v>2018</v>
      </c>
      <c r="J6862" s="30" t="s">
        <v>2019</v>
      </c>
      <c r="L6862" s="30" t="s">
        <v>737</v>
      </c>
      <c r="N6862" s="30" t="s">
        <v>738</v>
      </c>
      <c r="P6862" s="30" t="s">
        <v>2727</v>
      </c>
      <c r="Q6862" t="s">
        <v>735</v>
      </c>
      <c r="R6862" t="s">
        <v>917</v>
      </c>
      <c r="S6862">
        <v>36</v>
      </c>
      <c r="T6862" s="29" t="str">
        <f t="shared" si="297"/>
        <v>2020.005F.R.Genomoviridae.zip</v>
      </c>
      <c r="U6862" s="29" t="str">
        <f>HYPERLINK("https://ictv.global/taxonomy/taxondetails?taxnode_id=202308944","ictv.global=202308944")</f>
        <v>ictv.global=202308944</v>
      </c>
    </row>
    <row r="6863" spans="1:21">
      <c r="A6863">
        <v>6862</v>
      </c>
      <c r="B6863" s="30" t="s">
        <v>1956</v>
      </c>
      <c r="D6863" s="30" t="s">
        <v>1985</v>
      </c>
      <c r="F6863" s="30" t="s">
        <v>2009</v>
      </c>
      <c r="H6863" s="30" t="s">
        <v>2018</v>
      </c>
      <c r="J6863" s="30" t="s">
        <v>2019</v>
      </c>
      <c r="L6863" s="30" t="s">
        <v>737</v>
      </c>
      <c r="N6863" s="30" t="s">
        <v>738</v>
      </c>
      <c r="P6863" s="30" t="s">
        <v>2728</v>
      </c>
      <c r="Q6863" t="s">
        <v>735</v>
      </c>
      <c r="R6863" t="s">
        <v>917</v>
      </c>
      <c r="S6863">
        <v>36</v>
      </c>
      <c r="T6863" s="29" t="str">
        <f t="shared" si="297"/>
        <v>2020.005F.R.Genomoviridae.zip</v>
      </c>
      <c r="U6863" s="29" t="str">
        <f>HYPERLINK("https://ictv.global/taxonomy/taxondetails?taxnode_id=202308972","ictv.global=202308972")</f>
        <v>ictv.global=202308972</v>
      </c>
    </row>
    <row r="6864" spans="1:21">
      <c r="A6864">
        <v>6863</v>
      </c>
      <c r="B6864" s="30" t="s">
        <v>1956</v>
      </c>
      <c r="D6864" s="30" t="s">
        <v>1985</v>
      </c>
      <c r="F6864" s="30" t="s">
        <v>2009</v>
      </c>
      <c r="H6864" s="30" t="s">
        <v>2018</v>
      </c>
      <c r="J6864" s="30" t="s">
        <v>2019</v>
      </c>
      <c r="L6864" s="30" t="s">
        <v>737</v>
      </c>
      <c r="N6864" s="30" t="s">
        <v>738</v>
      </c>
      <c r="P6864" s="30" t="s">
        <v>2729</v>
      </c>
      <c r="Q6864" t="s">
        <v>622</v>
      </c>
      <c r="R6864" t="s">
        <v>3895</v>
      </c>
      <c r="S6864">
        <v>36</v>
      </c>
      <c r="T6864" s="29" t="str">
        <f>HYPERLINK("https://ictv.global/ictv/proposals/2020.005F.R.Genomoviridae.zip","2020.005F.R.Genomoviridae.zip;2020.001G.R.Abolish_type_species.pdf")</f>
        <v>2020.005F.R.Genomoviridae.zip;2020.001G.R.Abolish_type_species.pdf</v>
      </c>
      <c r="U6864" s="29" t="str">
        <f>HYPERLINK("https://ictv.global/taxonomy/taxondetails?taxnode_id=202303588","ictv.global=202303588")</f>
        <v>ictv.global=202303588</v>
      </c>
    </row>
    <row r="6865" spans="1:21">
      <c r="A6865">
        <v>6864</v>
      </c>
      <c r="B6865" s="30" t="s">
        <v>1956</v>
      </c>
      <c r="D6865" s="30" t="s">
        <v>1985</v>
      </c>
      <c r="F6865" s="30" t="s">
        <v>2009</v>
      </c>
      <c r="H6865" s="30" t="s">
        <v>2018</v>
      </c>
      <c r="J6865" s="30" t="s">
        <v>2019</v>
      </c>
      <c r="L6865" s="30" t="s">
        <v>737</v>
      </c>
      <c r="N6865" s="30" t="s">
        <v>738</v>
      </c>
      <c r="P6865" s="30" t="s">
        <v>2730</v>
      </c>
      <c r="Q6865" t="s">
        <v>735</v>
      </c>
      <c r="R6865" t="s">
        <v>920</v>
      </c>
      <c r="S6865">
        <v>36</v>
      </c>
      <c r="T6865" s="29" t="str">
        <f t="shared" ref="T6865:T6880" si="298">HYPERLINK("https://ictv.global/ictv/proposals/2020.005F.R.Genomoviridae.zip","2020.005F.R.Genomoviridae.zip")</f>
        <v>2020.005F.R.Genomoviridae.zip</v>
      </c>
      <c r="U6865" s="29" t="str">
        <f>HYPERLINK("https://ictv.global/taxonomy/taxondetails?taxnode_id=202303589","ictv.global=202303589")</f>
        <v>ictv.global=202303589</v>
      </c>
    </row>
    <row r="6866" spans="1:21">
      <c r="A6866">
        <v>6865</v>
      </c>
      <c r="B6866" s="30" t="s">
        <v>1956</v>
      </c>
      <c r="D6866" s="30" t="s">
        <v>1985</v>
      </c>
      <c r="F6866" s="30" t="s">
        <v>2009</v>
      </c>
      <c r="H6866" s="30" t="s">
        <v>2018</v>
      </c>
      <c r="J6866" s="30" t="s">
        <v>2019</v>
      </c>
      <c r="L6866" s="30" t="s">
        <v>737</v>
      </c>
      <c r="N6866" s="30" t="s">
        <v>738</v>
      </c>
      <c r="P6866" s="30" t="s">
        <v>2731</v>
      </c>
      <c r="Q6866" t="s">
        <v>735</v>
      </c>
      <c r="R6866" t="s">
        <v>920</v>
      </c>
      <c r="S6866">
        <v>36</v>
      </c>
      <c r="T6866" s="29" t="str">
        <f t="shared" si="298"/>
        <v>2020.005F.R.Genomoviridae.zip</v>
      </c>
      <c r="U6866" s="29" t="str">
        <f>HYPERLINK("https://ictv.global/taxonomy/taxondetails?taxnode_id=202303590","ictv.global=202303590")</f>
        <v>ictv.global=202303590</v>
      </c>
    </row>
    <row r="6867" spans="1:21">
      <c r="A6867">
        <v>6866</v>
      </c>
      <c r="B6867" s="30" t="s">
        <v>1956</v>
      </c>
      <c r="D6867" s="30" t="s">
        <v>1985</v>
      </c>
      <c r="F6867" s="30" t="s">
        <v>2009</v>
      </c>
      <c r="H6867" s="30" t="s">
        <v>2018</v>
      </c>
      <c r="J6867" s="30" t="s">
        <v>2019</v>
      </c>
      <c r="L6867" s="30" t="s">
        <v>737</v>
      </c>
      <c r="N6867" s="30" t="s">
        <v>738</v>
      </c>
      <c r="P6867" s="30" t="s">
        <v>2732</v>
      </c>
      <c r="Q6867" t="s">
        <v>735</v>
      </c>
      <c r="R6867" t="s">
        <v>920</v>
      </c>
      <c r="S6867">
        <v>36</v>
      </c>
      <c r="T6867" s="29" t="str">
        <f t="shared" si="298"/>
        <v>2020.005F.R.Genomoviridae.zip</v>
      </c>
      <c r="U6867" s="29" t="str">
        <f>HYPERLINK("https://ictv.global/taxonomy/taxondetails?taxnode_id=202303591","ictv.global=202303591")</f>
        <v>ictv.global=202303591</v>
      </c>
    </row>
    <row r="6868" spans="1:21">
      <c r="A6868">
        <v>6867</v>
      </c>
      <c r="B6868" s="30" t="s">
        <v>1956</v>
      </c>
      <c r="D6868" s="30" t="s">
        <v>1985</v>
      </c>
      <c r="F6868" s="30" t="s">
        <v>2009</v>
      </c>
      <c r="H6868" s="30" t="s">
        <v>2018</v>
      </c>
      <c r="J6868" s="30" t="s">
        <v>2019</v>
      </c>
      <c r="L6868" s="30" t="s">
        <v>737</v>
      </c>
      <c r="N6868" s="30" t="s">
        <v>738</v>
      </c>
      <c r="P6868" s="30" t="s">
        <v>2733</v>
      </c>
      <c r="Q6868" t="s">
        <v>735</v>
      </c>
      <c r="R6868" t="s">
        <v>920</v>
      </c>
      <c r="S6868">
        <v>36</v>
      </c>
      <c r="T6868" s="29" t="str">
        <f t="shared" si="298"/>
        <v>2020.005F.R.Genomoviridae.zip</v>
      </c>
      <c r="U6868" s="29" t="str">
        <f>HYPERLINK("https://ictv.global/taxonomy/taxondetails?taxnode_id=202303592","ictv.global=202303592")</f>
        <v>ictv.global=202303592</v>
      </c>
    </row>
    <row r="6869" spans="1:21">
      <c r="A6869">
        <v>6868</v>
      </c>
      <c r="B6869" s="30" t="s">
        <v>1956</v>
      </c>
      <c r="D6869" s="30" t="s">
        <v>1985</v>
      </c>
      <c r="F6869" s="30" t="s">
        <v>2009</v>
      </c>
      <c r="H6869" s="30" t="s">
        <v>2018</v>
      </c>
      <c r="J6869" s="30" t="s">
        <v>2019</v>
      </c>
      <c r="L6869" s="30" t="s">
        <v>737</v>
      </c>
      <c r="N6869" s="30" t="s">
        <v>738</v>
      </c>
      <c r="P6869" s="30" t="s">
        <v>2734</v>
      </c>
      <c r="Q6869" t="s">
        <v>735</v>
      </c>
      <c r="R6869" t="s">
        <v>920</v>
      </c>
      <c r="S6869">
        <v>36</v>
      </c>
      <c r="T6869" s="29" t="str">
        <f t="shared" si="298"/>
        <v>2020.005F.R.Genomoviridae.zip</v>
      </c>
      <c r="U6869" s="29" t="str">
        <f>HYPERLINK("https://ictv.global/taxonomy/taxondetails?taxnode_id=202303593","ictv.global=202303593")</f>
        <v>ictv.global=202303593</v>
      </c>
    </row>
    <row r="6870" spans="1:21">
      <c r="A6870">
        <v>6869</v>
      </c>
      <c r="B6870" s="30" t="s">
        <v>1956</v>
      </c>
      <c r="D6870" s="30" t="s">
        <v>1985</v>
      </c>
      <c r="F6870" s="30" t="s">
        <v>2009</v>
      </c>
      <c r="H6870" s="30" t="s">
        <v>2018</v>
      </c>
      <c r="J6870" s="30" t="s">
        <v>2019</v>
      </c>
      <c r="L6870" s="30" t="s">
        <v>737</v>
      </c>
      <c r="N6870" s="30" t="s">
        <v>738</v>
      </c>
      <c r="P6870" s="30" t="s">
        <v>2735</v>
      </c>
      <c r="Q6870" t="s">
        <v>622</v>
      </c>
      <c r="R6870" t="s">
        <v>920</v>
      </c>
      <c r="S6870">
        <v>36</v>
      </c>
      <c r="T6870" s="29" t="str">
        <f t="shared" si="298"/>
        <v>2020.005F.R.Genomoviridae.zip</v>
      </c>
      <c r="U6870" s="29" t="str">
        <f>HYPERLINK("https://ictv.global/taxonomy/taxondetails?taxnode_id=202303594","ictv.global=202303594")</f>
        <v>ictv.global=202303594</v>
      </c>
    </row>
    <row r="6871" spans="1:21">
      <c r="A6871">
        <v>6870</v>
      </c>
      <c r="B6871" s="30" t="s">
        <v>1956</v>
      </c>
      <c r="D6871" s="30" t="s">
        <v>1985</v>
      </c>
      <c r="F6871" s="30" t="s">
        <v>2009</v>
      </c>
      <c r="H6871" s="30" t="s">
        <v>2018</v>
      </c>
      <c r="J6871" s="30" t="s">
        <v>2019</v>
      </c>
      <c r="L6871" s="30" t="s">
        <v>737</v>
      </c>
      <c r="N6871" s="30" t="s">
        <v>738</v>
      </c>
      <c r="P6871" s="30" t="s">
        <v>2736</v>
      </c>
      <c r="Q6871" t="s">
        <v>735</v>
      </c>
      <c r="R6871" t="s">
        <v>917</v>
      </c>
      <c r="S6871">
        <v>36</v>
      </c>
      <c r="T6871" s="29" t="str">
        <f t="shared" si="298"/>
        <v>2020.005F.R.Genomoviridae.zip</v>
      </c>
      <c r="U6871" s="29" t="str">
        <f>HYPERLINK("https://ictv.global/taxonomy/taxondetails?taxnode_id=202308981","ictv.global=202308981")</f>
        <v>ictv.global=202308981</v>
      </c>
    </row>
    <row r="6872" spans="1:21">
      <c r="A6872">
        <v>6871</v>
      </c>
      <c r="B6872" s="30" t="s">
        <v>1956</v>
      </c>
      <c r="D6872" s="30" t="s">
        <v>1985</v>
      </c>
      <c r="F6872" s="30" t="s">
        <v>2009</v>
      </c>
      <c r="H6872" s="30" t="s">
        <v>2018</v>
      </c>
      <c r="J6872" s="30" t="s">
        <v>2019</v>
      </c>
      <c r="L6872" s="30" t="s">
        <v>737</v>
      </c>
      <c r="N6872" s="30" t="s">
        <v>738</v>
      </c>
      <c r="P6872" s="30" t="s">
        <v>2737</v>
      </c>
      <c r="Q6872" t="s">
        <v>735</v>
      </c>
      <c r="R6872" t="s">
        <v>917</v>
      </c>
      <c r="S6872">
        <v>36</v>
      </c>
      <c r="T6872" s="29" t="str">
        <f t="shared" si="298"/>
        <v>2020.005F.R.Genomoviridae.zip</v>
      </c>
      <c r="U6872" s="29" t="str">
        <f>HYPERLINK("https://ictv.global/taxonomy/taxondetails?taxnode_id=202309003","ictv.global=202309003")</f>
        <v>ictv.global=202309003</v>
      </c>
    </row>
    <row r="6873" spans="1:21">
      <c r="A6873">
        <v>6872</v>
      </c>
      <c r="B6873" s="30" t="s">
        <v>1956</v>
      </c>
      <c r="D6873" s="30" t="s">
        <v>1985</v>
      </c>
      <c r="F6873" s="30" t="s">
        <v>2009</v>
      </c>
      <c r="H6873" s="30" t="s">
        <v>2018</v>
      </c>
      <c r="J6873" s="30" t="s">
        <v>2019</v>
      </c>
      <c r="L6873" s="30" t="s">
        <v>737</v>
      </c>
      <c r="N6873" s="30" t="s">
        <v>738</v>
      </c>
      <c r="P6873" s="30" t="s">
        <v>2738</v>
      </c>
      <c r="Q6873" t="s">
        <v>735</v>
      </c>
      <c r="R6873" t="s">
        <v>920</v>
      </c>
      <c r="S6873">
        <v>36</v>
      </c>
      <c r="T6873" s="29" t="str">
        <f t="shared" si="298"/>
        <v>2020.005F.R.Genomoviridae.zip</v>
      </c>
      <c r="U6873" s="29" t="str">
        <f>HYPERLINK("https://ictv.global/taxonomy/taxondetails?taxnode_id=202303595","ictv.global=202303595")</f>
        <v>ictv.global=202303595</v>
      </c>
    </row>
    <row r="6874" spans="1:21">
      <c r="A6874">
        <v>6873</v>
      </c>
      <c r="B6874" s="30" t="s">
        <v>1956</v>
      </c>
      <c r="D6874" s="30" t="s">
        <v>1985</v>
      </c>
      <c r="F6874" s="30" t="s">
        <v>2009</v>
      </c>
      <c r="H6874" s="30" t="s">
        <v>2018</v>
      </c>
      <c r="J6874" s="30" t="s">
        <v>2019</v>
      </c>
      <c r="L6874" s="30" t="s">
        <v>737</v>
      </c>
      <c r="N6874" s="30" t="s">
        <v>738</v>
      </c>
      <c r="P6874" s="30" t="s">
        <v>2739</v>
      </c>
      <c r="Q6874" t="s">
        <v>735</v>
      </c>
      <c r="R6874" t="s">
        <v>917</v>
      </c>
      <c r="S6874">
        <v>36</v>
      </c>
      <c r="T6874" s="29" t="str">
        <f t="shared" si="298"/>
        <v>2020.005F.R.Genomoviridae.zip</v>
      </c>
      <c r="U6874" s="29" t="str">
        <f>HYPERLINK("https://ictv.global/taxonomy/taxondetails?taxnode_id=202308992","ictv.global=202308992")</f>
        <v>ictv.global=202308992</v>
      </c>
    </row>
    <row r="6875" spans="1:21">
      <c r="A6875">
        <v>6874</v>
      </c>
      <c r="B6875" s="30" t="s">
        <v>1956</v>
      </c>
      <c r="D6875" s="30" t="s">
        <v>1985</v>
      </c>
      <c r="F6875" s="30" t="s">
        <v>2009</v>
      </c>
      <c r="H6875" s="30" t="s">
        <v>2018</v>
      </c>
      <c r="J6875" s="30" t="s">
        <v>2019</v>
      </c>
      <c r="L6875" s="30" t="s">
        <v>737</v>
      </c>
      <c r="N6875" s="30" t="s">
        <v>738</v>
      </c>
      <c r="P6875" s="30" t="s">
        <v>2740</v>
      </c>
      <c r="Q6875" t="s">
        <v>735</v>
      </c>
      <c r="R6875" t="s">
        <v>917</v>
      </c>
      <c r="S6875">
        <v>36</v>
      </c>
      <c r="T6875" s="29" t="str">
        <f t="shared" si="298"/>
        <v>2020.005F.R.Genomoviridae.zip</v>
      </c>
      <c r="U6875" s="29" t="str">
        <f>HYPERLINK("https://ictv.global/taxonomy/taxondetails?taxnode_id=202308939","ictv.global=202308939")</f>
        <v>ictv.global=202308939</v>
      </c>
    </row>
    <row r="6876" spans="1:21">
      <c r="A6876">
        <v>6875</v>
      </c>
      <c r="B6876" s="30" t="s">
        <v>1956</v>
      </c>
      <c r="D6876" s="30" t="s">
        <v>1985</v>
      </c>
      <c r="F6876" s="30" t="s">
        <v>2009</v>
      </c>
      <c r="H6876" s="30" t="s">
        <v>2018</v>
      </c>
      <c r="J6876" s="30" t="s">
        <v>2019</v>
      </c>
      <c r="L6876" s="30" t="s">
        <v>737</v>
      </c>
      <c r="N6876" s="30" t="s">
        <v>738</v>
      </c>
      <c r="P6876" s="30" t="s">
        <v>2741</v>
      </c>
      <c r="Q6876" t="s">
        <v>735</v>
      </c>
      <c r="R6876" t="s">
        <v>917</v>
      </c>
      <c r="S6876">
        <v>36</v>
      </c>
      <c r="T6876" s="29" t="str">
        <f t="shared" si="298"/>
        <v>2020.005F.R.Genomoviridae.zip</v>
      </c>
      <c r="U6876" s="29" t="str">
        <f>HYPERLINK("https://ictv.global/taxonomy/taxondetails?taxnode_id=202308963","ictv.global=202308963")</f>
        <v>ictv.global=202308963</v>
      </c>
    </row>
    <row r="6877" spans="1:21">
      <c r="A6877">
        <v>6876</v>
      </c>
      <c r="B6877" s="30" t="s">
        <v>1956</v>
      </c>
      <c r="D6877" s="30" t="s">
        <v>1985</v>
      </c>
      <c r="F6877" s="30" t="s">
        <v>2009</v>
      </c>
      <c r="H6877" s="30" t="s">
        <v>2018</v>
      </c>
      <c r="J6877" s="30" t="s">
        <v>2019</v>
      </c>
      <c r="L6877" s="30" t="s">
        <v>737</v>
      </c>
      <c r="N6877" s="30" t="s">
        <v>738</v>
      </c>
      <c r="P6877" s="30" t="s">
        <v>2742</v>
      </c>
      <c r="Q6877" t="s">
        <v>735</v>
      </c>
      <c r="R6877" t="s">
        <v>917</v>
      </c>
      <c r="S6877">
        <v>36</v>
      </c>
      <c r="T6877" s="29" t="str">
        <f t="shared" si="298"/>
        <v>2020.005F.R.Genomoviridae.zip</v>
      </c>
      <c r="U6877" s="29" t="str">
        <f>HYPERLINK("https://ictv.global/taxonomy/taxondetails?taxnode_id=202308996","ictv.global=202308996")</f>
        <v>ictv.global=202308996</v>
      </c>
    </row>
    <row r="6878" spans="1:21">
      <c r="A6878">
        <v>6877</v>
      </c>
      <c r="B6878" s="30" t="s">
        <v>1956</v>
      </c>
      <c r="D6878" s="30" t="s">
        <v>1985</v>
      </c>
      <c r="F6878" s="30" t="s">
        <v>2009</v>
      </c>
      <c r="H6878" s="30" t="s">
        <v>2018</v>
      </c>
      <c r="J6878" s="30" t="s">
        <v>2019</v>
      </c>
      <c r="L6878" s="30" t="s">
        <v>737</v>
      </c>
      <c r="N6878" s="30" t="s">
        <v>899</v>
      </c>
      <c r="P6878" s="30" t="s">
        <v>2743</v>
      </c>
      <c r="Q6878" t="s">
        <v>735</v>
      </c>
      <c r="R6878" t="s">
        <v>917</v>
      </c>
      <c r="S6878">
        <v>36</v>
      </c>
      <c r="T6878" s="29" t="str">
        <f t="shared" si="298"/>
        <v>2020.005F.R.Genomoviridae.zip</v>
      </c>
      <c r="U6878" s="29" t="str">
        <f>HYPERLINK("https://ictv.global/taxonomy/taxondetails?taxnode_id=202309022","ictv.global=202309022")</f>
        <v>ictv.global=202309022</v>
      </c>
    </row>
    <row r="6879" spans="1:21">
      <c r="A6879">
        <v>6878</v>
      </c>
      <c r="B6879" s="30" t="s">
        <v>1956</v>
      </c>
      <c r="D6879" s="30" t="s">
        <v>1985</v>
      </c>
      <c r="F6879" s="30" t="s">
        <v>2009</v>
      </c>
      <c r="H6879" s="30" t="s">
        <v>2018</v>
      </c>
      <c r="J6879" s="30" t="s">
        <v>2019</v>
      </c>
      <c r="L6879" s="30" t="s">
        <v>737</v>
      </c>
      <c r="N6879" s="30" t="s">
        <v>899</v>
      </c>
      <c r="P6879" s="30" t="s">
        <v>2744</v>
      </c>
      <c r="Q6879" t="s">
        <v>735</v>
      </c>
      <c r="R6879" t="s">
        <v>917</v>
      </c>
      <c r="S6879">
        <v>36</v>
      </c>
      <c r="T6879" s="29" t="str">
        <f t="shared" si="298"/>
        <v>2020.005F.R.Genomoviridae.zip</v>
      </c>
      <c r="U6879" s="29" t="str">
        <f>HYPERLINK("https://ictv.global/taxonomy/taxondetails?taxnode_id=202309029","ictv.global=202309029")</f>
        <v>ictv.global=202309029</v>
      </c>
    </row>
    <row r="6880" spans="1:21">
      <c r="A6880">
        <v>6879</v>
      </c>
      <c r="B6880" s="30" t="s">
        <v>1956</v>
      </c>
      <c r="D6880" s="30" t="s">
        <v>1985</v>
      </c>
      <c r="F6880" s="30" t="s">
        <v>2009</v>
      </c>
      <c r="H6880" s="30" t="s">
        <v>2018</v>
      </c>
      <c r="J6880" s="30" t="s">
        <v>2019</v>
      </c>
      <c r="L6880" s="30" t="s">
        <v>737</v>
      </c>
      <c r="N6880" s="30" t="s">
        <v>899</v>
      </c>
      <c r="P6880" s="30" t="s">
        <v>2745</v>
      </c>
      <c r="Q6880" t="s">
        <v>735</v>
      </c>
      <c r="R6880" t="s">
        <v>917</v>
      </c>
      <c r="S6880">
        <v>36</v>
      </c>
      <c r="T6880" s="29" t="str">
        <f t="shared" si="298"/>
        <v>2020.005F.R.Genomoviridae.zip</v>
      </c>
      <c r="U6880" s="29" t="str">
        <f>HYPERLINK("https://ictv.global/taxonomy/taxondetails?taxnode_id=202309026","ictv.global=202309026")</f>
        <v>ictv.global=202309026</v>
      </c>
    </row>
    <row r="6881" spans="1:21">
      <c r="A6881">
        <v>6880</v>
      </c>
      <c r="B6881" s="30" t="s">
        <v>1956</v>
      </c>
      <c r="D6881" s="30" t="s">
        <v>1985</v>
      </c>
      <c r="F6881" s="30" t="s">
        <v>2009</v>
      </c>
      <c r="H6881" s="30" t="s">
        <v>2018</v>
      </c>
      <c r="J6881" s="30" t="s">
        <v>2019</v>
      </c>
      <c r="L6881" s="30" t="s">
        <v>737</v>
      </c>
      <c r="N6881" s="30" t="s">
        <v>899</v>
      </c>
      <c r="P6881" s="30" t="s">
        <v>2746</v>
      </c>
      <c r="Q6881" t="s">
        <v>735</v>
      </c>
      <c r="R6881" t="s">
        <v>3895</v>
      </c>
      <c r="S6881">
        <v>36</v>
      </c>
      <c r="T6881" s="29" t="str">
        <f>HYPERLINK("https://ictv.global/ictv/proposals/2020.005F.R.Genomoviridae.zip","2020.005F.R.Genomoviridae.zip;2020.001G.R.Abolish_type_species.pdf")</f>
        <v>2020.005F.R.Genomoviridae.zip;2020.001G.R.Abolish_type_species.pdf</v>
      </c>
      <c r="U6881" s="29" t="str">
        <f>HYPERLINK("https://ictv.global/taxonomy/taxondetails?taxnode_id=202303597","ictv.global=202303597")</f>
        <v>ictv.global=202303597</v>
      </c>
    </row>
    <row r="6882" spans="1:21">
      <c r="A6882">
        <v>6881</v>
      </c>
      <c r="B6882" s="30" t="s">
        <v>1956</v>
      </c>
      <c r="D6882" s="30" t="s">
        <v>1985</v>
      </c>
      <c r="F6882" s="30" t="s">
        <v>2009</v>
      </c>
      <c r="H6882" s="30" t="s">
        <v>2018</v>
      </c>
      <c r="J6882" s="30" t="s">
        <v>2019</v>
      </c>
      <c r="L6882" s="30" t="s">
        <v>737</v>
      </c>
      <c r="N6882" s="30" t="s">
        <v>899</v>
      </c>
      <c r="P6882" s="30" t="s">
        <v>2747</v>
      </c>
      <c r="Q6882" t="s">
        <v>735</v>
      </c>
      <c r="R6882" t="s">
        <v>917</v>
      </c>
      <c r="S6882">
        <v>36</v>
      </c>
      <c r="T6882" s="29" t="str">
        <f t="shared" ref="T6882:T6896" si="299">HYPERLINK("https://ictv.global/ictv/proposals/2020.005F.R.Genomoviridae.zip","2020.005F.R.Genomoviridae.zip")</f>
        <v>2020.005F.R.Genomoviridae.zip</v>
      </c>
      <c r="U6882" s="29" t="str">
        <f>HYPERLINK("https://ictv.global/taxonomy/taxondetails?taxnode_id=202309024","ictv.global=202309024")</f>
        <v>ictv.global=202309024</v>
      </c>
    </row>
    <row r="6883" spans="1:21">
      <c r="A6883">
        <v>6882</v>
      </c>
      <c r="B6883" s="30" t="s">
        <v>1956</v>
      </c>
      <c r="D6883" s="30" t="s">
        <v>1985</v>
      </c>
      <c r="F6883" s="30" t="s">
        <v>2009</v>
      </c>
      <c r="H6883" s="30" t="s">
        <v>2018</v>
      </c>
      <c r="J6883" s="30" t="s">
        <v>2019</v>
      </c>
      <c r="L6883" s="30" t="s">
        <v>737</v>
      </c>
      <c r="N6883" s="30" t="s">
        <v>899</v>
      </c>
      <c r="P6883" s="30" t="s">
        <v>2748</v>
      </c>
      <c r="Q6883" t="s">
        <v>735</v>
      </c>
      <c r="R6883" t="s">
        <v>917</v>
      </c>
      <c r="S6883">
        <v>36</v>
      </c>
      <c r="T6883" s="29" t="str">
        <f t="shared" si="299"/>
        <v>2020.005F.R.Genomoviridae.zip</v>
      </c>
      <c r="U6883" s="29" t="str">
        <f>HYPERLINK("https://ictv.global/taxonomy/taxondetails?taxnode_id=202309025","ictv.global=202309025")</f>
        <v>ictv.global=202309025</v>
      </c>
    </row>
    <row r="6884" spans="1:21">
      <c r="A6884">
        <v>6883</v>
      </c>
      <c r="B6884" s="30" t="s">
        <v>1956</v>
      </c>
      <c r="D6884" s="30" t="s">
        <v>1985</v>
      </c>
      <c r="F6884" s="30" t="s">
        <v>2009</v>
      </c>
      <c r="H6884" s="30" t="s">
        <v>2018</v>
      </c>
      <c r="J6884" s="30" t="s">
        <v>2019</v>
      </c>
      <c r="L6884" s="30" t="s">
        <v>737</v>
      </c>
      <c r="N6884" s="30" t="s">
        <v>899</v>
      </c>
      <c r="P6884" s="30" t="s">
        <v>2749</v>
      </c>
      <c r="Q6884" t="s">
        <v>735</v>
      </c>
      <c r="R6884" t="s">
        <v>917</v>
      </c>
      <c r="S6884">
        <v>36</v>
      </c>
      <c r="T6884" s="29" t="str">
        <f t="shared" si="299"/>
        <v>2020.005F.R.Genomoviridae.zip</v>
      </c>
      <c r="U6884" s="29" t="str">
        <f>HYPERLINK("https://ictv.global/taxonomy/taxondetails?taxnode_id=202309027","ictv.global=202309027")</f>
        <v>ictv.global=202309027</v>
      </c>
    </row>
    <row r="6885" spans="1:21">
      <c r="A6885">
        <v>6884</v>
      </c>
      <c r="B6885" s="30" t="s">
        <v>1956</v>
      </c>
      <c r="D6885" s="30" t="s">
        <v>1985</v>
      </c>
      <c r="F6885" s="30" t="s">
        <v>2009</v>
      </c>
      <c r="H6885" s="30" t="s">
        <v>2018</v>
      </c>
      <c r="J6885" s="30" t="s">
        <v>2019</v>
      </c>
      <c r="L6885" s="30" t="s">
        <v>737</v>
      </c>
      <c r="N6885" s="30" t="s">
        <v>899</v>
      </c>
      <c r="P6885" s="30" t="s">
        <v>2750</v>
      </c>
      <c r="Q6885" t="s">
        <v>735</v>
      </c>
      <c r="R6885" t="s">
        <v>917</v>
      </c>
      <c r="S6885">
        <v>36</v>
      </c>
      <c r="T6885" s="29" t="str">
        <f t="shared" si="299"/>
        <v>2020.005F.R.Genomoviridae.zip</v>
      </c>
      <c r="U6885" s="29" t="str">
        <f>HYPERLINK("https://ictv.global/taxonomy/taxondetails?taxnode_id=202309021","ictv.global=202309021")</f>
        <v>ictv.global=202309021</v>
      </c>
    </row>
    <row r="6886" spans="1:21">
      <c r="A6886">
        <v>6885</v>
      </c>
      <c r="B6886" s="30" t="s">
        <v>1956</v>
      </c>
      <c r="D6886" s="30" t="s">
        <v>1985</v>
      </c>
      <c r="F6886" s="30" t="s">
        <v>2009</v>
      </c>
      <c r="H6886" s="30" t="s">
        <v>2018</v>
      </c>
      <c r="J6886" s="30" t="s">
        <v>2019</v>
      </c>
      <c r="L6886" s="30" t="s">
        <v>737</v>
      </c>
      <c r="N6886" s="30" t="s">
        <v>899</v>
      </c>
      <c r="P6886" s="30" t="s">
        <v>2751</v>
      </c>
      <c r="Q6886" t="s">
        <v>735</v>
      </c>
      <c r="R6886" t="s">
        <v>917</v>
      </c>
      <c r="S6886">
        <v>36</v>
      </c>
      <c r="T6886" s="29" t="str">
        <f t="shared" si="299"/>
        <v>2020.005F.R.Genomoviridae.zip</v>
      </c>
      <c r="U6886" s="29" t="str">
        <f>HYPERLINK("https://ictv.global/taxonomy/taxondetails?taxnode_id=202309019","ictv.global=202309019")</f>
        <v>ictv.global=202309019</v>
      </c>
    </row>
    <row r="6887" spans="1:21">
      <c r="A6887">
        <v>6886</v>
      </c>
      <c r="B6887" s="30" t="s">
        <v>1956</v>
      </c>
      <c r="D6887" s="30" t="s">
        <v>1985</v>
      </c>
      <c r="F6887" s="30" t="s">
        <v>2009</v>
      </c>
      <c r="H6887" s="30" t="s">
        <v>2018</v>
      </c>
      <c r="J6887" s="30" t="s">
        <v>2019</v>
      </c>
      <c r="L6887" s="30" t="s">
        <v>737</v>
      </c>
      <c r="N6887" s="30" t="s">
        <v>899</v>
      </c>
      <c r="P6887" s="30" t="s">
        <v>2752</v>
      </c>
      <c r="Q6887" t="s">
        <v>735</v>
      </c>
      <c r="R6887" t="s">
        <v>917</v>
      </c>
      <c r="S6887">
        <v>36</v>
      </c>
      <c r="T6887" s="29" t="str">
        <f t="shared" si="299"/>
        <v>2020.005F.R.Genomoviridae.zip</v>
      </c>
      <c r="U6887" s="29" t="str">
        <f>HYPERLINK("https://ictv.global/taxonomy/taxondetails?taxnode_id=202309023","ictv.global=202309023")</f>
        <v>ictv.global=202309023</v>
      </c>
    </row>
    <row r="6888" spans="1:21">
      <c r="A6888">
        <v>6887</v>
      </c>
      <c r="B6888" s="30" t="s">
        <v>1956</v>
      </c>
      <c r="D6888" s="30" t="s">
        <v>1985</v>
      </c>
      <c r="F6888" s="30" t="s">
        <v>2009</v>
      </c>
      <c r="H6888" s="30" t="s">
        <v>2018</v>
      </c>
      <c r="J6888" s="30" t="s">
        <v>2019</v>
      </c>
      <c r="L6888" s="30" t="s">
        <v>737</v>
      </c>
      <c r="N6888" s="30" t="s">
        <v>899</v>
      </c>
      <c r="P6888" s="30" t="s">
        <v>2753</v>
      </c>
      <c r="Q6888" t="s">
        <v>735</v>
      </c>
      <c r="R6888" t="s">
        <v>917</v>
      </c>
      <c r="S6888">
        <v>36</v>
      </c>
      <c r="T6888" s="29" t="str">
        <f t="shared" si="299"/>
        <v>2020.005F.R.Genomoviridae.zip</v>
      </c>
      <c r="U6888" s="29" t="str">
        <f>HYPERLINK("https://ictv.global/taxonomy/taxondetails?taxnode_id=202309020","ictv.global=202309020")</f>
        <v>ictv.global=202309020</v>
      </c>
    </row>
    <row r="6889" spans="1:21">
      <c r="A6889">
        <v>6888</v>
      </c>
      <c r="B6889" s="30" t="s">
        <v>1956</v>
      </c>
      <c r="D6889" s="30" t="s">
        <v>1985</v>
      </c>
      <c r="F6889" s="30" t="s">
        <v>2009</v>
      </c>
      <c r="H6889" s="30" t="s">
        <v>2018</v>
      </c>
      <c r="J6889" s="30" t="s">
        <v>2019</v>
      </c>
      <c r="L6889" s="30" t="s">
        <v>737</v>
      </c>
      <c r="N6889" s="30" t="s">
        <v>899</v>
      </c>
      <c r="P6889" s="30" t="s">
        <v>2754</v>
      </c>
      <c r="Q6889" t="s">
        <v>735</v>
      </c>
      <c r="R6889" t="s">
        <v>917</v>
      </c>
      <c r="S6889">
        <v>36</v>
      </c>
      <c r="T6889" s="29" t="str">
        <f t="shared" si="299"/>
        <v>2020.005F.R.Genomoviridae.zip</v>
      </c>
      <c r="U6889" s="29" t="str">
        <f>HYPERLINK("https://ictv.global/taxonomy/taxondetails?taxnode_id=202309028","ictv.global=202309028")</f>
        <v>ictv.global=202309028</v>
      </c>
    </row>
    <row r="6890" spans="1:21">
      <c r="A6890">
        <v>6889</v>
      </c>
      <c r="B6890" s="30" t="s">
        <v>1956</v>
      </c>
      <c r="D6890" s="30" t="s">
        <v>1985</v>
      </c>
      <c r="F6890" s="30" t="s">
        <v>2009</v>
      </c>
      <c r="H6890" s="30" t="s">
        <v>2018</v>
      </c>
      <c r="J6890" s="30" t="s">
        <v>2019</v>
      </c>
      <c r="L6890" s="30" t="s">
        <v>737</v>
      </c>
      <c r="N6890" s="30" t="s">
        <v>900</v>
      </c>
      <c r="P6890" s="30" t="s">
        <v>2755</v>
      </c>
      <c r="Q6890" t="s">
        <v>622</v>
      </c>
      <c r="R6890" t="s">
        <v>920</v>
      </c>
      <c r="S6890">
        <v>36</v>
      </c>
      <c r="T6890" s="29" t="str">
        <f t="shared" si="299"/>
        <v>2020.005F.R.Genomoviridae.zip</v>
      </c>
      <c r="U6890" s="29" t="str">
        <f>HYPERLINK("https://ictv.global/taxonomy/taxondetails?taxnode_id=202303599","ictv.global=202303599")</f>
        <v>ictv.global=202303599</v>
      </c>
    </row>
    <row r="6891" spans="1:21">
      <c r="A6891">
        <v>6890</v>
      </c>
      <c r="B6891" s="30" t="s">
        <v>1956</v>
      </c>
      <c r="D6891" s="30" t="s">
        <v>1985</v>
      </c>
      <c r="F6891" s="30" t="s">
        <v>2009</v>
      </c>
      <c r="H6891" s="30" t="s">
        <v>2018</v>
      </c>
      <c r="J6891" s="30" t="s">
        <v>2019</v>
      </c>
      <c r="L6891" s="30" t="s">
        <v>737</v>
      </c>
      <c r="N6891" s="30" t="s">
        <v>900</v>
      </c>
      <c r="P6891" s="30" t="s">
        <v>2756</v>
      </c>
      <c r="Q6891" t="s">
        <v>735</v>
      </c>
      <c r="R6891" t="s">
        <v>917</v>
      </c>
      <c r="S6891">
        <v>36</v>
      </c>
      <c r="T6891" s="29" t="str">
        <f t="shared" si="299"/>
        <v>2020.005F.R.Genomoviridae.zip</v>
      </c>
      <c r="U6891" s="29" t="str">
        <f>HYPERLINK("https://ictv.global/taxonomy/taxondetails?taxnode_id=202309031","ictv.global=202309031")</f>
        <v>ictv.global=202309031</v>
      </c>
    </row>
    <row r="6892" spans="1:21">
      <c r="A6892">
        <v>6891</v>
      </c>
      <c r="B6892" s="30" t="s">
        <v>1956</v>
      </c>
      <c r="D6892" s="30" t="s">
        <v>1985</v>
      </c>
      <c r="F6892" s="30" t="s">
        <v>2009</v>
      </c>
      <c r="H6892" s="30" t="s">
        <v>2018</v>
      </c>
      <c r="J6892" s="30" t="s">
        <v>2019</v>
      </c>
      <c r="L6892" s="30" t="s">
        <v>737</v>
      </c>
      <c r="N6892" s="30" t="s">
        <v>900</v>
      </c>
      <c r="P6892" s="30" t="s">
        <v>2757</v>
      </c>
      <c r="Q6892" t="s">
        <v>622</v>
      </c>
      <c r="R6892" t="s">
        <v>920</v>
      </c>
      <c r="S6892">
        <v>36</v>
      </c>
      <c r="T6892" s="29" t="str">
        <f t="shared" si="299"/>
        <v>2020.005F.R.Genomoviridae.zip</v>
      </c>
      <c r="U6892" s="29" t="str">
        <f>HYPERLINK("https://ictv.global/taxonomy/taxondetails?taxnode_id=202303600","ictv.global=202303600")</f>
        <v>ictv.global=202303600</v>
      </c>
    </row>
    <row r="6893" spans="1:21">
      <c r="A6893">
        <v>6892</v>
      </c>
      <c r="B6893" s="30" t="s">
        <v>1956</v>
      </c>
      <c r="D6893" s="30" t="s">
        <v>1985</v>
      </c>
      <c r="F6893" s="30" t="s">
        <v>2009</v>
      </c>
      <c r="H6893" s="30" t="s">
        <v>2018</v>
      </c>
      <c r="J6893" s="30" t="s">
        <v>2019</v>
      </c>
      <c r="L6893" s="30" t="s">
        <v>737</v>
      </c>
      <c r="N6893" s="30" t="s">
        <v>900</v>
      </c>
      <c r="P6893" s="30" t="s">
        <v>2758</v>
      </c>
      <c r="Q6893" t="s">
        <v>735</v>
      </c>
      <c r="R6893" t="s">
        <v>917</v>
      </c>
      <c r="S6893">
        <v>36</v>
      </c>
      <c r="T6893" s="29" t="str">
        <f t="shared" si="299"/>
        <v>2020.005F.R.Genomoviridae.zip</v>
      </c>
      <c r="U6893" s="29" t="str">
        <f>HYPERLINK("https://ictv.global/taxonomy/taxondetails?taxnode_id=202309032","ictv.global=202309032")</f>
        <v>ictv.global=202309032</v>
      </c>
    </row>
    <row r="6894" spans="1:21">
      <c r="A6894">
        <v>6893</v>
      </c>
      <c r="B6894" s="30" t="s">
        <v>1956</v>
      </c>
      <c r="D6894" s="30" t="s">
        <v>1985</v>
      </c>
      <c r="F6894" s="30" t="s">
        <v>2009</v>
      </c>
      <c r="H6894" s="30" t="s">
        <v>2018</v>
      </c>
      <c r="J6894" s="30" t="s">
        <v>2019</v>
      </c>
      <c r="L6894" s="30" t="s">
        <v>737</v>
      </c>
      <c r="N6894" s="30" t="s">
        <v>900</v>
      </c>
      <c r="P6894" s="30" t="s">
        <v>2759</v>
      </c>
      <c r="Q6894" t="s">
        <v>735</v>
      </c>
      <c r="R6894" t="s">
        <v>917</v>
      </c>
      <c r="S6894">
        <v>36</v>
      </c>
      <c r="T6894" s="29" t="str">
        <f t="shared" si="299"/>
        <v>2020.005F.R.Genomoviridae.zip</v>
      </c>
      <c r="U6894" s="29" t="str">
        <f>HYPERLINK("https://ictv.global/taxonomy/taxondetails?taxnode_id=202309030","ictv.global=202309030")</f>
        <v>ictv.global=202309030</v>
      </c>
    </row>
    <row r="6895" spans="1:21">
      <c r="A6895">
        <v>6894</v>
      </c>
      <c r="B6895" s="30" t="s">
        <v>1956</v>
      </c>
      <c r="D6895" s="30" t="s">
        <v>1985</v>
      </c>
      <c r="F6895" s="30" t="s">
        <v>2009</v>
      </c>
      <c r="H6895" s="30" t="s">
        <v>2018</v>
      </c>
      <c r="J6895" s="30" t="s">
        <v>2019</v>
      </c>
      <c r="L6895" s="30" t="s">
        <v>737</v>
      </c>
      <c r="N6895" s="30" t="s">
        <v>900</v>
      </c>
      <c r="P6895" s="30" t="s">
        <v>2760</v>
      </c>
      <c r="Q6895" t="s">
        <v>622</v>
      </c>
      <c r="R6895" t="s">
        <v>920</v>
      </c>
      <c r="S6895">
        <v>36</v>
      </c>
      <c r="T6895" s="29" t="str">
        <f t="shared" si="299"/>
        <v>2020.005F.R.Genomoviridae.zip</v>
      </c>
      <c r="U6895" s="29" t="str">
        <f>HYPERLINK("https://ictv.global/taxonomy/taxondetails?taxnode_id=202303601","ictv.global=202303601")</f>
        <v>ictv.global=202303601</v>
      </c>
    </row>
    <row r="6896" spans="1:21">
      <c r="A6896">
        <v>6895</v>
      </c>
      <c r="B6896" s="30" t="s">
        <v>1956</v>
      </c>
      <c r="D6896" s="30" t="s">
        <v>1985</v>
      </c>
      <c r="F6896" s="30" t="s">
        <v>2009</v>
      </c>
      <c r="H6896" s="30" t="s">
        <v>2018</v>
      </c>
      <c r="J6896" s="30" t="s">
        <v>2019</v>
      </c>
      <c r="L6896" s="30" t="s">
        <v>737</v>
      </c>
      <c r="N6896" s="30" t="s">
        <v>900</v>
      </c>
      <c r="P6896" s="30" t="s">
        <v>2761</v>
      </c>
      <c r="Q6896" t="s">
        <v>735</v>
      </c>
      <c r="R6896" t="s">
        <v>920</v>
      </c>
      <c r="S6896">
        <v>36</v>
      </c>
      <c r="T6896" s="29" t="str">
        <f t="shared" si="299"/>
        <v>2020.005F.R.Genomoviridae.zip</v>
      </c>
      <c r="U6896" s="29" t="str">
        <f>HYPERLINK("https://ictv.global/taxonomy/taxondetails?taxnode_id=202303602","ictv.global=202303602")</f>
        <v>ictv.global=202303602</v>
      </c>
    </row>
    <row r="6897" spans="1:21">
      <c r="A6897">
        <v>6896</v>
      </c>
      <c r="B6897" s="30" t="s">
        <v>1956</v>
      </c>
      <c r="D6897" s="30" t="s">
        <v>1985</v>
      </c>
      <c r="F6897" s="30" t="s">
        <v>2009</v>
      </c>
      <c r="H6897" s="30" t="s">
        <v>2018</v>
      </c>
      <c r="J6897" s="30" t="s">
        <v>2019</v>
      </c>
      <c r="L6897" s="30" t="s">
        <v>737</v>
      </c>
      <c r="N6897" s="30" t="s">
        <v>900</v>
      </c>
      <c r="P6897" s="30" t="s">
        <v>2762</v>
      </c>
      <c r="Q6897" t="s">
        <v>735</v>
      </c>
      <c r="R6897" t="s">
        <v>3895</v>
      </c>
      <c r="S6897">
        <v>36</v>
      </c>
      <c r="T6897" s="29" t="str">
        <f>HYPERLINK("https://ictv.global/ictv/proposals/2020.005F.R.Genomoviridae.zip","2020.005F.R.Genomoviridae.zip;2020.001G.R.Abolish_type_species.pdf")</f>
        <v>2020.005F.R.Genomoviridae.zip;2020.001G.R.Abolish_type_species.pdf</v>
      </c>
      <c r="U6897" s="29" t="str">
        <f>HYPERLINK("https://ictv.global/taxonomy/taxondetails?taxnode_id=202303603","ictv.global=202303603")</f>
        <v>ictv.global=202303603</v>
      </c>
    </row>
    <row r="6898" spans="1:21">
      <c r="A6898">
        <v>6897</v>
      </c>
      <c r="B6898" s="30" t="s">
        <v>1956</v>
      </c>
      <c r="D6898" s="30" t="s">
        <v>1985</v>
      </c>
      <c r="F6898" s="30" t="s">
        <v>2009</v>
      </c>
      <c r="H6898" s="30" t="s">
        <v>2018</v>
      </c>
      <c r="J6898" s="30" t="s">
        <v>2019</v>
      </c>
      <c r="L6898" s="30" t="s">
        <v>737</v>
      </c>
      <c r="N6898" s="30" t="s">
        <v>901</v>
      </c>
      <c r="P6898" s="30" t="s">
        <v>2763</v>
      </c>
      <c r="Q6898" t="s">
        <v>735</v>
      </c>
      <c r="R6898" t="s">
        <v>917</v>
      </c>
      <c r="S6898">
        <v>36</v>
      </c>
      <c r="T6898" s="29" t="str">
        <f t="shared" ref="T6898:T6909" si="300">HYPERLINK("https://ictv.global/ictv/proposals/2020.005F.R.Genomoviridae.zip","2020.005F.R.Genomoviridae.zip")</f>
        <v>2020.005F.R.Genomoviridae.zip</v>
      </c>
      <c r="U6898" s="29" t="str">
        <f>HYPERLINK("https://ictv.global/taxonomy/taxondetails?taxnode_id=202309054","ictv.global=202309054")</f>
        <v>ictv.global=202309054</v>
      </c>
    </row>
    <row r="6899" spans="1:21">
      <c r="A6899">
        <v>6898</v>
      </c>
      <c r="B6899" s="30" t="s">
        <v>1956</v>
      </c>
      <c r="D6899" s="30" t="s">
        <v>1985</v>
      </c>
      <c r="F6899" s="30" t="s">
        <v>2009</v>
      </c>
      <c r="H6899" s="30" t="s">
        <v>2018</v>
      </c>
      <c r="J6899" s="30" t="s">
        <v>2019</v>
      </c>
      <c r="L6899" s="30" t="s">
        <v>737</v>
      </c>
      <c r="N6899" s="30" t="s">
        <v>901</v>
      </c>
      <c r="P6899" s="30" t="s">
        <v>2764</v>
      </c>
      <c r="Q6899" t="s">
        <v>735</v>
      </c>
      <c r="R6899" t="s">
        <v>917</v>
      </c>
      <c r="S6899">
        <v>36</v>
      </c>
      <c r="T6899" s="29" t="str">
        <f t="shared" si="300"/>
        <v>2020.005F.R.Genomoviridae.zip</v>
      </c>
      <c r="U6899" s="29" t="str">
        <f>HYPERLINK("https://ictv.global/taxonomy/taxondetails?taxnode_id=202309055","ictv.global=202309055")</f>
        <v>ictv.global=202309055</v>
      </c>
    </row>
    <row r="6900" spans="1:21">
      <c r="A6900">
        <v>6899</v>
      </c>
      <c r="B6900" s="30" t="s">
        <v>1956</v>
      </c>
      <c r="D6900" s="30" t="s">
        <v>1985</v>
      </c>
      <c r="F6900" s="30" t="s">
        <v>2009</v>
      </c>
      <c r="H6900" s="30" t="s">
        <v>2018</v>
      </c>
      <c r="J6900" s="30" t="s">
        <v>2019</v>
      </c>
      <c r="L6900" s="30" t="s">
        <v>737</v>
      </c>
      <c r="N6900" s="30" t="s">
        <v>901</v>
      </c>
      <c r="P6900" s="30" t="s">
        <v>2765</v>
      </c>
      <c r="Q6900" t="s">
        <v>735</v>
      </c>
      <c r="R6900" t="s">
        <v>917</v>
      </c>
      <c r="S6900">
        <v>36</v>
      </c>
      <c r="T6900" s="29" t="str">
        <f t="shared" si="300"/>
        <v>2020.005F.R.Genomoviridae.zip</v>
      </c>
      <c r="U6900" s="29" t="str">
        <f>HYPERLINK("https://ictv.global/taxonomy/taxondetails?taxnode_id=202309062","ictv.global=202309062")</f>
        <v>ictv.global=202309062</v>
      </c>
    </row>
    <row r="6901" spans="1:21">
      <c r="A6901">
        <v>6900</v>
      </c>
      <c r="B6901" s="30" t="s">
        <v>1956</v>
      </c>
      <c r="D6901" s="30" t="s">
        <v>1985</v>
      </c>
      <c r="F6901" s="30" t="s">
        <v>2009</v>
      </c>
      <c r="H6901" s="30" t="s">
        <v>2018</v>
      </c>
      <c r="J6901" s="30" t="s">
        <v>2019</v>
      </c>
      <c r="L6901" s="30" t="s">
        <v>737</v>
      </c>
      <c r="N6901" s="30" t="s">
        <v>901</v>
      </c>
      <c r="P6901" s="30" t="s">
        <v>2766</v>
      </c>
      <c r="Q6901" t="s">
        <v>735</v>
      </c>
      <c r="R6901" t="s">
        <v>920</v>
      </c>
      <c r="S6901">
        <v>36</v>
      </c>
      <c r="T6901" s="29" t="str">
        <f t="shared" si="300"/>
        <v>2020.005F.R.Genomoviridae.zip</v>
      </c>
      <c r="U6901" s="29" t="str">
        <f>HYPERLINK("https://ictv.global/taxonomy/taxondetails?taxnode_id=202303605","ictv.global=202303605")</f>
        <v>ictv.global=202303605</v>
      </c>
    </row>
    <row r="6902" spans="1:21">
      <c r="A6902">
        <v>6901</v>
      </c>
      <c r="B6902" s="30" t="s">
        <v>1956</v>
      </c>
      <c r="D6902" s="30" t="s">
        <v>1985</v>
      </c>
      <c r="F6902" s="30" t="s">
        <v>2009</v>
      </c>
      <c r="H6902" s="30" t="s">
        <v>2018</v>
      </c>
      <c r="J6902" s="30" t="s">
        <v>2019</v>
      </c>
      <c r="L6902" s="30" t="s">
        <v>737</v>
      </c>
      <c r="N6902" s="30" t="s">
        <v>901</v>
      </c>
      <c r="P6902" s="30" t="s">
        <v>2767</v>
      </c>
      <c r="Q6902" t="s">
        <v>735</v>
      </c>
      <c r="R6902" t="s">
        <v>917</v>
      </c>
      <c r="S6902">
        <v>36</v>
      </c>
      <c r="T6902" s="29" t="str">
        <f t="shared" si="300"/>
        <v>2020.005F.R.Genomoviridae.zip</v>
      </c>
      <c r="U6902" s="29" t="str">
        <f>HYPERLINK("https://ictv.global/taxonomy/taxondetails?taxnode_id=202309065","ictv.global=202309065")</f>
        <v>ictv.global=202309065</v>
      </c>
    </row>
    <row r="6903" spans="1:21">
      <c r="A6903">
        <v>6902</v>
      </c>
      <c r="B6903" s="30" t="s">
        <v>1956</v>
      </c>
      <c r="D6903" s="30" t="s">
        <v>1985</v>
      </c>
      <c r="F6903" s="30" t="s">
        <v>2009</v>
      </c>
      <c r="H6903" s="30" t="s">
        <v>2018</v>
      </c>
      <c r="J6903" s="30" t="s">
        <v>2019</v>
      </c>
      <c r="L6903" s="30" t="s">
        <v>737</v>
      </c>
      <c r="N6903" s="30" t="s">
        <v>901</v>
      </c>
      <c r="P6903" s="30" t="s">
        <v>2768</v>
      </c>
      <c r="Q6903" t="s">
        <v>735</v>
      </c>
      <c r="R6903" t="s">
        <v>920</v>
      </c>
      <c r="S6903">
        <v>36</v>
      </c>
      <c r="T6903" s="29" t="str">
        <f t="shared" si="300"/>
        <v>2020.005F.R.Genomoviridae.zip</v>
      </c>
      <c r="U6903" s="29" t="str">
        <f>HYPERLINK("https://ictv.global/taxonomy/taxondetails?taxnode_id=202303607","ictv.global=202303607")</f>
        <v>ictv.global=202303607</v>
      </c>
    </row>
    <row r="6904" spans="1:21">
      <c r="A6904">
        <v>6903</v>
      </c>
      <c r="B6904" s="30" t="s">
        <v>1956</v>
      </c>
      <c r="D6904" s="30" t="s">
        <v>1985</v>
      </c>
      <c r="F6904" s="30" t="s">
        <v>2009</v>
      </c>
      <c r="H6904" s="30" t="s">
        <v>2018</v>
      </c>
      <c r="J6904" s="30" t="s">
        <v>2019</v>
      </c>
      <c r="L6904" s="30" t="s">
        <v>737</v>
      </c>
      <c r="N6904" s="30" t="s">
        <v>901</v>
      </c>
      <c r="P6904" s="30" t="s">
        <v>2769</v>
      </c>
      <c r="Q6904" t="s">
        <v>735</v>
      </c>
      <c r="R6904" t="s">
        <v>920</v>
      </c>
      <c r="S6904">
        <v>36</v>
      </c>
      <c r="T6904" s="29" t="str">
        <f t="shared" si="300"/>
        <v>2020.005F.R.Genomoviridae.zip</v>
      </c>
      <c r="U6904" s="29" t="str">
        <f>HYPERLINK("https://ictv.global/taxonomy/taxondetails?taxnode_id=202303606","ictv.global=202303606")</f>
        <v>ictv.global=202303606</v>
      </c>
    </row>
    <row r="6905" spans="1:21">
      <c r="A6905">
        <v>6904</v>
      </c>
      <c r="B6905" s="30" t="s">
        <v>1956</v>
      </c>
      <c r="D6905" s="30" t="s">
        <v>1985</v>
      </c>
      <c r="F6905" s="30" t="s">
        <v>2009</v>
      </c>
      <c r="H6905" s="30" t="s">
        <v>2018</v>
      </c>
      <c r="J6905" s="30" t="s">
        <v>2019</v>
      </c>
      <c r="L6905" s="30" t="s">
        <v>737</v>
      </c>
      <c r="N6905" s="30" t="s">
        <v>901</v>
      </c>
      <c r="P6905" s="30" t="s">
        <v>2770</v>
      </c>
      <c r="Q6905" t="s">
        <v>735</v>
      </c>
      <c r="R6905" t="s">
        <v>920</v>
      </c>
      <c r="S6905">
        <v>36</v>
      </c>
      <c r="T6905" s="29" t="str">
        <f t="shared" si="300"/>
        <v>2020.005F.R.Genomoviridae.zip</v>
      </c>
      <c r="U6905" s="29" t="str">
        <f>HYPERLINK("https://ictv.global/taxonomy/taxondetails?taxnode_id=202303608","ictv.global=202303608")</f>
        <v>ictv.global=202303608</v>
      </c>
    </row>
    <row r="6906" spans="1:21">
      <c r="A6906">
        <v>6905</v>
      </c>
      <c r="B6906" s="30" t="s">
        <v>1956</v>
      </c>
      <c r="D6906" s="30" t="s">
        <v>1985</v>
      </c>
      <c r="F6906" s="30" t="s">
        <v>2009</v>
      </c>
      <c r="H6906" s="30" t="s">
        <v>2018</v>
      </c>
      <c r="J6906" s="30" t="s">
        <v>2019</v>
      </c>
      <c r="L6906" s="30" t="s">
        <v>737</v>
      </c>
      <c r="N6906" s="30" t="s">
        <v>901</v>
      </c>
      <c r="P6906" s="30" t="s">
        <v>2771</v>
      </c>
      <c r="Q6906" t="s">
        <v>735</v>
      </c>
      <c r="R6906" t="s">
        <v>917</v>
      </c>
      <c r="S6906">
        <v>36</v>
      </c>
      <c r="T6906" s="29" t="str">
        <f t="shared" si="300"/>
        <v>2020.005F.R.Genomoviridae.zip</v>
      </c>
      <c r="U6906" s="29" t="str">
        <f>HYPERLINK("https://ictv.global/taxonomy/taxondetails?taxnode_id=202309038","ictv.global=202309038")</f>
        <v>ictv.global=202309038</v>
      </c>
    </row>
    <row r="6907" spans="1:21">
      <c r="A6907">
        <v>6906</v>
      </c>
      <c r="B6907" s="30" t="s">
        <v>1956</v>
      </c>
      <c r="D6907" s="30" t="s">
        <v>1985</v>
      </c>
      <c r="F6907" s="30" t="s">
        <v>2009</v>
      </c>
      <c r="H6907" s="30" t="s">
        <v>2018</v>
      </c>
      <c r="J6907" s="30" t="s">
        <v>2019</v>
      </c>
      <c r="L6907" s="30" t="s">
        <v>737</v>
      </c>
      <c r="N6907" s="30" t="s">
        <v>901</v>
      </c>
      <c r="P6907" s="30" t="s">
        <v>2772</v>
      </c>
      <c r="Q6907" t="s">
        <v>735</v>
      </c>
      <c r="R6907" t="s">
        <v>917</v>
      </c>
      <c r="S6907">
        <v>36</v>
      </c>
      <c r="T6907" s="29" t="str">
        <f t="shared" si="300"/>
        <v>2020.005F.R.Genomoviridae.zip</v>
      </c>
      <c r="U6907" s="29" t="str">
        <f>HYPERLINK("https://ictv.global/taxonomy/taxondetails?taxnode_id=202309061","ictv.global=202309061")</f>
        <v>ictv.global=202309061</v>
      </c>
    </row>
    <row r="6908" spans="1:21">
      <c r="A6908">
        <v>6907</v>
      </c>
      <c r="B6908" s="30" t="s">
        <v>1956</v>
      </c>
      <c r="D6908" s="30" t="s">
        <v>1985</v>
      </c>
      <c r="F6908" s="30" t="s">
        <v>2009</v>
      </c>
      <c r="H6908" s="30" t="s">
        <v>2018</v>
      </c>
      <c r="J6908" s="30" t="s">
        <v>2019</v>
      </c>
      <c r="L6908" s="30" t="s">
        <v>737</v>
      </c>
      <c r="N6908" s="30" t="s">
        <v>901</v>
      </c>
      <c r="P6908" s="30" t="s">
        <v>2773</v>
      </c>
      <c r="Q6908" t="s">
        <v>735</v>
      </c>
      <c r="R6908" t="s">
        <v>917</v>
      </c>
      <c r="S6908">
        <v>36</v>
      </c>
      <c r="T6908" s="29" t="str">
        <f t="shared" si="300"/>
        <v>2020.005F.R.Genomoviridae.zip</v>
      </c>
      <c r="U6908" s="29" t="str">
        <f>HYPERLINK("https://ictv.global/taxonomy/taxondetails?taxnode_id=202309039","ictv.global=202309039")</f>
        <v>ictv.global=202309039</v>
      </c>
    </row>
    <row r="6909" spans="1:21">
      <c r="A6909">
        <v>6908</v>
      </c>
      <c r="B6909" s="30" t="s">
        <v>1956</v>
      </c>
      <c r="D6909" s="30" t="s">
        <v>1985</v>
      </c>
      <c r="F6909" s="30" t="s">
        <v>2009</v>
      </c>
      <c r="H6909" s="30" t="s">
        <v>2018</v>
      </c>
      <c r="J6909" s="30" t="s">
        <v>2019</v>
      </c>
      <c r="L6909" s="30" t="s">
        <v>737</v>
      </c>
      <c r="N6909" s="30" t="s">
        <v>901</v>
      </c>
      <c r="P6909" s="30" t="s">
        <v>2774</v>
      </c>
      <c r="Q6909" t="s">
        <v>735</v>
      </c>
      <c r="R6909" t="s">
        <v>917</v>
      </c>
      <c r="S6909">
        <v>36</v>
      </c>
      <c r="T6909" s="29" t="str">
        <f t="shared" si="300"/>
        <v>2020.005F.R.Genomoviridae.zip</v>
      </c>
      <c r="U6909" s="29" t="str">
        <f>HYPERLINK("https://ictv.global/taxonomy/taxondetails?taxnode_id=202309040","ictv.global=202309040")</f>
        <v>ictv.global=202309040</v>
      </c>
    </row>
    <row r="6910" spans="1:21">
      <c r="A6910">
        <v>6909</v>
      </c>
      <c r="B6910" s="30" t="s">
        <v>1956</v>
      </c>
      <c r="D6910" s="30" t="s">
        <v>1985</v>
      </c>
      <c r="F6910" s="30" t="s">
        <v>2009</v>
      </c>
      <c r="H6910" s="30" t="s">
        <v>2018</v>
      </c>
      <c r="J6910" s="30" t="s">
        <v>2019</v>
      </c>
      <c r="L6910" s="30" t="s">
        <v>737</v>
      </c>
      <c r="N6910" s="30" t="s">
        <v>901</v>
      </c>
      <c r="P6910" s="30" t="s">
        <v>2775</v>
      </c>
      <c r="Q6910" t="s">
        <v>735</v>
      </c>
      <c r="R6910" t="s">
        <v>3895</v>
      </c>
      <c r="S6910">
        <v>36</v>
      </c>
      <c r="T6910" s="29" t="str">
        <f>HYPERLINK("https://ictv.global/ictv/proposals/2020.005F.R.Genomoviridae.zip","2020.005F.R.Genomoviridae.zip;2020.001G.R.Abolish_type_species.pdf")</f>
        <v>2020.005F.R.Genomoviridae.zip;2020.001G.R.Abolish_type_species.pdf</v>
      </c>
      <c r="U6910" s="29" t="str">
        <f>HYPERLINK("https://ictv.global/taxonomy/taxondetails?taxnode_id=202303609","ictv.global=202303609")</f>
        <v>ictv.global=202303609</v>
      </c>
    </row>
    <row r="6911" spans="1:21">
      <c r="A6911">
        <v>6910</v>
      </c>
      <c r="B6911" s="30" t="s">
        <v>1956</v>
      </c>
      <c r="D6911" s="30" t="s">
        <v>1985</v>
      </c>
      <c r="F6911" s="30" t="s">
        <v>2009</v>
      </c>
      <c r="H6911" s="30" t="s">
        <v>2018</v>
      </c>
      <c r="J6911" s="30" t="s">
        <v>2019</v>
      </c>
      <c r="L6911" s="30" t="s">
        <v>737</v>
      </c>
      <c r="N6911" s="30" t="s">
        <v>901</v>
      </c>
      <c r="P6911" s="30" t="s">
        <v>2776</v>
      </c>
      <c r="Q6911" t="s">
        <v>735</v>
      </c>
      <c r="R6911" t="s">
        <v>917</v>
      </c>
      <c r="S6911">
        <v>36</v>
      </c>
      <c r="T6911" s="29" t="str">
        <f t="shared" ref="T6911:T6942" si="301">HYPERLINK("https://ictv.global/ictv/proposals/2020.005F.R.Genomoviridae.zip","2020.005F.R.Genomoviridae.zip")</f>
        <v>2020.005F.R.Genomoviridae.zip</v>
      </c>
      <c r="U6911" s="29" t="str">
        <f>HYPERLINK("https://ictv.global/taxonomy/taxondetails?taxnode_id=202309035","ictv.global=202309035")</f>
        <v>ictv.global=202309035</v>
      </c>
    </row>
    <row r="6912" spans="1:21">
      <c r="A6912">
        <v>6911</v>
      </c>
      <c r="B6912" s="30" t="s">
        <v>1956</v>
      </c>
      <c r="D6912" s="30" t="s">
        <v>1985</v>
      </c>
      <c r="F6912" s="30" t="s">
        <v>2009</v>
      </c>
      <c r="H6912" s="30" t="s">
        <v>2018</v>
      </c>
      <c r="J6912" s="30" t="s">
        <v>2019</v>
      </c>
      <c r="L6912" s="30" t="s">
        <v>737</v>
      </c>
      <c r="N6912" s="30" t="s">
        <v>901</v>
      </c>
      <c r="P6912" s="30" t="s">
        <v>2777</v>
      </c>
      <c r="Q6912" t="s">
        <v>735</v>
      </c>
      <c r="R6912" t="s">
        <v>917</v>
      </c>
      <c r="S6912">
        <v>36</v>
      </c>
      <c r="T6912" s="29" t="str">
        <f t="shared" si="301"/>
        <v>2020.005F.R.Genomoviridae.zip</v>
      </c>
      <c r="U6912" s="29" t="str">
        <f>HYPERLINK("https://ictv.global/taxonomy/taxondetails?taxnode_id=202309063","ictv.global=202309063")</f>
        <v>ictv.global=202309063</v>
      </c>
    </row>
    <row r="6913" spans="1:21">
      <c r="A6913">
        <v>6912</v>
      </c>
      <c r="B6913" s="30" t="s">
        <v>1956</v>
      </c>
      <c r="D6913" s="30" t="s">
        <v>1985</v>
      </c>
      <c r="F6913" s="30" t="s">
        <v>2009</v>
      </c>
      <c r="H6913" s="30" t="s">
        <v>2018</v>
      </c>
      <c r="J6913" s="30" t="s">
        <v>2019</v>
      </c>
      <c r="L6913" s="30" t="s">
        <v>737</v>
      </c>
      <c r="N6913" s="30" t="s">
        <v>901</v>
      </c>
      <c r="P6913" s="30" t="s">
        <v>2778</v>
      </c>
      <c r="Q6913" t="s">
        <v>735</v>
      </c>
      <c r="R6913" t="s">
        <v>917</v>
      </c>
      <c r="S6913">
        <v>36</v>
      </c>
      <c r="T6913" s="29" t="str">
        <f t="shared" si="301"/>
        <v>2020.005F.R.Genomoviridae.zip</v>
      </c>
      <c r="U6913" s="29" t="str">
        <f>HYPERLINK("https://ictv.global/taxonomy/taxondetails?taxnode_id=202309064","ictv.global=202309064")</f>
        <v>ictv.global=202309064</v>
      </c>
    </row>
    <row r="6914" spans="1:21">
      <c r="A6914">
        <v>6913</v>
      </c>
      <c r="B6914" s="30" t="s">
        <v>1956</v>
      </c>
      <c r="D6914" s="30" t="s">
        <v>1985</v>
      </c>
      <c r="F6914" s="30" t="s">
        <v>2009</v>
      </c>
      <c r="H6914" s="30" t="s">
        <v>2018</v>
      </c>
      <c r="J6914" s="30" t="s">
        <v>2019</v>
      </c>
      <c r="L6914" s="30" t="s">
        <v>737</v>
      </c>
      <c r="N6914" s="30" t="s">
        <v>901</v>
      </c>
      <c r="P6914" s="30" t="s">
        <v>2779</v>
      </c>
      <c r="Q6914" t="s">
        <v>735</v>
      </c>
      <c r="R6914" t="s">
        <v>917</v>
      </c>
      <c r="S6914">
        <v>36</v>
      </c>
      <c r="T6914" s="29" t="str">
        <f t="shared" si="301"/>
        <v>2020.005F.R.Genomoviridae.zip</v>
      </c>
      <c r="U6914" s="29" t="str">
        <f>HYPERLINK("https://ictv.global/taxonomy/taxondetails?taxnode_id=202309066","ictv.global=202309066")</f>
        <v>ictv.global=202309066</v>
      </c>
    </row>
    <row r="6915" spans="1:21">
      <c r="A6915">
        <v>6914</v>
      </c>
      <c r="B6915" s="30" t="s">
        <v>1956</v>
      </c>
      <c r="D6915" s="30" t="s">
        <v>1985</v>
      </c>
      <c r="F6915" s="30" t="s">
        <v>2009</v>
      </c>
      <c r="H6915" s="30" t="s">
        <v>2018</v>
      </c>
      <c r="J6915" s="30" t="s">
        <v>2019</v>
      </c>
      <c r="L6915" s="30" t="s">
        <v>737</v>
      </c>
      <c r="N6915" s="30" t="s">
        <v>901</v>
      </c>
      <c r="P6915" s="30" t="s">
        <v>2780</v>
      </c>
      <c r="Q6915" t="s">
        <v>735</v>
      </c>
      <c r="R6915" t="s">
        <v>917</v>
      </c>
      <c r="S6915">
        <v>36</v>
      </c>
      <c r="T6915" s="29" t="str">
        <f t="shared" si="301"/>
        <v>2020.005F.R.Genomoviridae.zip</v>
      </c>
      <c r="U6915" s="29" t="str">
        <f>HYPERLINK("https://ictv.global/taxonomy/taxondetails?taxnode_id=202309043","ictv.global=202309043")</f>
        <v>ictv.global=202309043</v>
      </c>
    </row>
    <row r="6916" spans="1:21">
      <c r="A6916">
        <v>6915</v>
      </c>
      <c r="B6916" s="30" t="s">
        <v>1956</v>
      </c>
      <c r="D6916" s="30" t="s">
        <v>1985</v>
      </c>
      <c r="F6916" s="30" t="s">
        <v>2009</v>
      </c>
      <c r="H6916" s="30" t="s">
        <v>2018</v>
      </c>
      <c r="J6916" s="30" t="s">
        <v>2019</v>
      </c>
      <c r="L6916" s="30" t="s">
        <v>737</v>
      </c>
      <c r="N6916" s="30" t="s">
        <v>901</v>
      </c>
      <c r="P6916" s="30" t="s">
        <v>2781</v>
      </c>
      <c r="Q6916" t="s">
        <v>735</v>
      </c>
      <c r="R6916" t="s">
        <v>917</v>
      </c>
      <c r="S6916">
        <v>36</v>
      </c>
      <c r="T6916" s="29" t="str">
        <f t="shared" si="301"/>
        <v>2020.005F.R.Genomoviridae.zip</v>
      </c>
      <c r="U6916" s="29" t="str">
        <f>HYPERLINK("https://ictv.global/taxonomy/taxondetails?taxnode_id=202309058","ictv.global=202309058")</f>
        <v>ictv.global=202309058</v>
      </c>
    </row>
    <row r="6917" spans="1:21">
      <c r="A6917">
        <v>6916</v>
      </c>
      <c r="B6917" s="30" t="s">
        <v>1956</v>
      </c>
      <c r="D6917" s="30" t="s">
        <v>1985</v>
      </c>
      <c r="F6917" s="30" t="s">
        <v>2009</v>
      </c>
      <c r="H6917" s="30" t="s">
        <v>2018</v>
      </c>
      <c r="J6917" s="30" t="s">
        <v>2019</v>
      </c>
      <c r="L6917" s="30" t="s">
        <v>737</v>
      </c>
      <c r="N6917" s="30" t="s">
        <v>901</v>
      </c>
      <c r="P6917" s="30" t="s">
        <v>2782</v>
      </c>
      <c r="Q6917" t="s">
        <v>735</v>
      </c>
      <c r="R6917" t="s">
        <v>917</v>
      </c>
      <c r="S6917">
        <v>36</v>
      </c>
      <c r="T6917" s="29" t="str">
        <f t="shared" si="301"/>
        <v>2020.005F.R.Genomoviridae.zip</v>
      </c>
      <c r="U6917" s="29" t="str">
        <f>HYPERLINK("https://ictv.global/taxonomy/taxondetails?taxnode_id=202309044","ictv.global=202309044")</f>
        <v>ictv.global=202309044</v>
      </c>
    </row>
    <row r="6918" spans="1:21">
      <c r="A6918">
        <v>6917</v>
      </c>
      <c r="B6918" s="30" t="s">
        <v>1956</v>
      </c>
      <c r="D6918" s="30" t="s">
        <v>1985</v>
      </c>
      <c r="F6918" s="30" t="s">
        <v>2009</v>
      </c>
      <c r="H6918" s="30" t="s">
        <v>2018</v>
      </c>
      <c r="J6918" s="30" t="s">
        <v>2019</v>
      </c>
      <c r="L6918" s="30" t="s">
        <v>737</v>
      </c>
      <c r="N6918" s="30" t="s">
        <v>901</v>
      </c>
      <c r="P6918" s="30" t="s">
        <v>2783</v>
      </c>
      <c r="Q6918" t="s">
        <v>735</v>
      </c>
      <c r="R6918" t="s">
        <v>917</v>
      </c>
      <c r="S6918">
        <v>36</v>
      </c>
      <c r="T6918" s="29" t="str">
        <f t="shared" si="301"/>
        <v>2020.005F.R.Genomoviridae.zip</v>
      </c>
      <c r="U6918" s="29" t="str">
        <f>HYPERLINK("https://ictv.global/taxonomy/taxondetails?taxnode_id=202309045","ictv.global=202309045")</f>
        <v>ictv.global=202309045</v>
      </c>
    </row>
    <row r="6919" spans="1:21">
      <c r="A6919">
        <v>6918</v>
      </c>
      <c r="B6919" s="30" t="s">
        <v>1956</v>
      </c>
      <c r="D6919" s="30" t="s">
        <v>1985</v>
      </c>
      <c r="F6919" s="30" t="s">
        <v>2009</v>
      </c>
      <c r="H6919" s="30" t="s">
        <v>2018</v>
      </c>
      <c r="J6919" s="30" t="s">
        <v>2019</v>
      </c>
      <c r="L6919" s="30" t="s">
        <v>737</v>
      </c>
      <c r="N6919" s="30" t="s">
        <v>901</v>
      </c>
      <c r="P6919" s="30" t="s">
        <v>2784</v>
      </c>
      <c r="Q6919" t="s">
        <v>735</v>
      </c>
      <c r="R6919" t="s">
        <v>917</v>
      </c>
      <c r="S6919">
        <v>36</v>
      </c>
      <c r="T6919" s="29" t="str">
        <f t="shared" si="301"/>
        <v>2020.005F.R.Genomoviridae.zip</v>
      </c>
      <c r="U6919" s="29" t="str">
        <f>HYPERLINK("https://ictv.global/taxonomy/taxondetails?taxnode_id=202309046","ictv.global=202309046")</f>
        <v>ictv.global=202309046</v>
      </c>
    </row>
    <row r="6920" spans="1:21">
      <c r="A6920">
        <v>6919</v>
      </c>
      <c r="B6920" s="30" t="s">
        <v>1956</v>
      </c>
      <c r="D6920" s="30" t="s">
        <v>1985</v>
      </c>
      <c r="F6920" s="30" t="s">
        <v>2009</v>
      </c>
      <c r="H6920" s="30" t="s">
        <v>2018</v>
      </c>
      <c r="J6920" s="30" t="s">
        <v>2019</v>
      </c>
      <c r="L6920" s="30" t="s">
        <v>737</v>
      </c>
      <c r="N6920" s="30" t="s">
        <v>901</v>
      </c>
      <c r="P6920" s="30" t="s">
        <v>2785</v>
      </c>
      <c r="Q6920" t="s">
        <v>735</v>
      </c>
      <c r="R6920" t="s">
        <v>917</v>
      </c>
      <c r="S6920">
        <v>36</v>
      </c>
      <c r="T6920" s="29" t="str">
        <f t="shared" si="301"/>
        <v>2020.005F.R.Genomoviridae.zip</v>
      </c>
      <c r="U6920" s="29" t="str">
        <f>HYPERLINK("https://ictv.global/taxonomy/taxondetails?taxnode_id=202309049","ictv.global=202309049")</f>
        <v>ictv.global=202309049</v>
      </c>
    </row>
    <row r="6921" spans="1:21">
      <c r="A6921">
        <v>6920</v>
      </c>
      <c r="B6921" s="30" t="s">
        <v>1956</v>
      </c>
      <c r="D6921" s="30" t="s">
        <v>1985</v>
      </c>
      <c r="F6921" s="30" t="s">
        <v>2009</v>
      </c>
      <c r="H6921" s="30" t="s">
        <v>2018</v>
      </c>
      <c r="J6921" s="30" t="s">
        <v>2019</v>
      </c>
      <c r="L6921" s="30" t="s">
        <v>737</v>
      </c>
      <c r="N6921" s="30" t="s">
        <v>901</v>
      </c>
      <c r="P6921" s="30" t="s">
        <v>2786</v>
      </c>
      <c r="Q6921" t="s">
        <v>735</v>
      </c>
      <c r="R6921" t="s">
        <v>917</v>
      </c>
      <c r="S6921">
        <v>36</v>
      </c>
      <c r="T6921" s="29" t="str">
        <f t="shared" si="301"/>
        <v>2020.005F.R.Genomoviridae.zip</v>
      </c>
      <c r="U6921" s="29" t="str">
        <f>HYPERLINK("https://ictv.global/taxonomy/taxondetails?taxnode_id=202309053","ictv.global=202309053")</f>
        <v>ictv.global=202309053</v>
      </c>
    </row>
    <row r="6922" spans="1:21">
      <c r="A6922">
        <v>6921</v>
      </c>
      <c r="B6922" s="30" t="s">
        <v>1956</v>
      </c>
      <c r="D6922" s="30" t="s">
        <v>1985</v>
      </c>
      <c r="F6922" s="30" t="s">
        <v>2009</v>
      </c>
      <c r="H6922" s="30" t="s">
        <v>2018</v>
      </c>
      <c r="J6922" s="30" t="s">
        <v>2019</v>
      </c>
      <c r="L6922" s="30" t="s">
        <v>737</v>
      </c>
      <c r="N6922" s="30" t="s">
        <v>901</v>
      </c>
      <c r="P6922" s="30" t="s">
        <v>2787</v>
      </c>
      <c r="Q6922" t="s">
        <v>735</v>
      </c>
      <c r="R6922" t="s">
        <v>917</v>
      </c>
      <c r="S6922">
        <v>36</v>
      </c>
      <c r="T6922" s="29" t="str">
        <f t="shared" si="301"/>
        <v>2020.005F.R.Genomoviridae.zip</v>
      </c>
      <c r="U6922" s="29" t="str">
        <f>HYPERLINK("https://ictv.global/taxonomy/taxondetails?taxnode_id=202309033","ictv.global=202309033")</f>
        <v>ictv.global=202309033</v>
      </c>
    </row>
    <row r="6923" spans="1:21">
      <c r="A6923">
        <v>6922</v>
      </c>
      <c r="B6923" s="30" t="s">
        <v>1956</v>
      </c>
      <c r="D6923" s="30" t="s">
        <v>1985</v>
      </c>
      <c r="F6923" s="30" t="s">
        <v>2009</v>
      </c>
      <c r="H6923" s="30" t="s">
        <v>2018</v>
      </c>
      <c r="J6923" s="30" t="s">
        <v>2019</v>
      </c>
      <c r="L6923" s="30" t="s">
        <v>737</v>
      </c>
      <c r="N6923" s="30" t="s">
        <v>901</v>
      </c>
      <c r="P6923" s="30" t="s">
        <v>2788</v>
      </c>
      <c r="Q6923" t="s">
        <v>735</v>
      </c>
      <c r="R6923" t="s">
        <v>920</v>
      </c>
      <c r="S6923">
        <v>36</v>
      </c>
      <c r="T6923" s="29" t="str">
        <f t="shared" si="301"/>
        <v>2020.005F.R.Genomoviridae.zip</v>
      </c>
      <c r="U6923" s="29" t="str">
        <f>HYPERLINK("https://ictv.global/taxonomy/taxondetails?taxnode_id=202303610","ictv.global=202303610")</f>
        <v>ictv.global=202303610</v>
      </c>
    </row>
    <row r="6924" spans="1:21">
      <c r="A6924">
        <v>6923</v>
      </c>
      <c r="B6924" s="30" t="s">
        <v>1956</v>
      </c>
      <c r="D6924" s="30" t="s">
        <v>1985</v>
      </c>
      <c r="F6924" s="30" t="s">
        <v>2009</v>
      </c>
      <c r="H6924" s="30" t="s">
        <v>2018</v>
      </c>
      <c r="J6924" s="30" t="s">
        <v>2019</v>
      </c>
      <c r="L6924" s="30" t="s">
        <v>737</v>
      </c>
      <c r="N6924" s="30" t="s">
        <v>901</v>
      </c>
      <c r="P6924" s="30" t="s">
        <v>2789</v>
      </c>
      <c r="Q6924" t="s">
        <v>735</v>
      </c>
      <c r="R6924" t="s">
        <v>920</v>
      </c>
      <c r="S6924">
        <v>36</v>
      </c>
      <c r="T6924" s="29" t="str">
        <f t="shared" si="301"/>
        <v>2020.005F.R.Genomoviridae.zip</v>
      </c>
      <c r="U6924" s="29" t="str">
        <f>HYPERLINK("https://ictv.global/taxonomy/taxondetails?taxnode_id=202303611","ictv.global=202303611")</f>
        <v>ictv.global=202303611</v>
      </c>
    </row>
    <row r="6925" spans="1:21">
      <c r="A6925">
        <v>6924</v>
      </c>
      <c r="B6925" s="30" t="s">
        <v>1956</v>
      </c>
      <c r="D6925" s="30" t="s">
        <v>1985</v>
      </c>
      <c r="F6925" s="30" t="s">
        <v>2009</v>
      </c>
      <c r="H6925" s="30" t="s">
        <v>2018</v>
      </c>
      <c r="J6925" s="30" t="s">
        <v>2019</v>
      </c>
      <c r="L6925" s="30" t="s">
        <v>737</v>
      </c>
      <c r="N6925" s="30" t="s">
        <v>901</v>
      </c>
      <c r="P6925" s="30" t="s">
        <v>2790</v>
      </c>
      <c r="Q6925" t="s">
        <v>735</v>
      </c>
      <c r="R6925" t="s">
        <v>920</v>
      </c>
      <c r="S6925">
        <v>36</v>
      </c>
      <c r="T6925" s="29" t="str">
        <f t="shared" si="301"/>
        <v>2020.005F.R.Genomoviridae.zip</v>
      </c>
      <c r="U6925" s="29" t="str">
        <f>HYPERLINK("https://ictv.global/taxonomy/taxondetails?taxnode_id=202303612","ictv.global=202303612")</f>
        <v>ictv.global=202303612</v>
      </c>
    </row>
    <row r="6926" spans="1:21">
      <c r="A6926">
        <v>6925</v>
      </c>
      <c r="B6926" s="30" t="s">
        <v>1956</v>
      </c>
      <c r="D6926" s="30" t="s">
        <v>1985</v>
      </c>
      <c r="F6926" s="30" t="s">
        <v>2009</v>
      </c>
      <c r="H6926" s="30" t="s">
        <v>2018</v>
      </c>
      <c r="J6926" s="30" t="s">
        <v>2019</v>
      </c>
      <c r="L6926" s="30" t="s">
        <v>737</v>
      </c>
      <c r="N6926" s="30" t="s">
        <v>901</v>
      </c>
      <c r="P6926" s="30" t="s">
        <v>2791</v>
      </c>
      <c r="Q6926" t="s">
        <v>735</v>
      </c>
      <c r="R6926" t="s">
        <v>920</v>
      </c>
      <c r="S6926">
        <v>36</v>
      </c>
      <c r="T6926" s="29" t="str">
        <f t="shared" si="301"/>
        <v>2020.005F.R.Genomoviridae.zip</v>
      </c>
      <c r="U6926" s="29" t="str">
        <f>HYPERLINK("https://ictv.global/taxonomy/taxondetails?taxnode_id=202303613","ictv.global=202303613")</f>
        <v>ictv.global=202303613</v>
      </c>
    </row>
    <row r="6927" spans="1:21">
      <c r="A6927">
        <v>6926</v>
      </c>
      <c r="B6927" s="30" t="s">
        <v>1956</v>
      </c>
      <c r="D6927" s="30" t="s">
        <v>1985</v>
      </c>
      <c r="F6927" s="30" t="s">
        <v>2009</v>
      </c>
      <c r="H6927" s="30" t="s">
        <v>2018</v>
      </c>
      <c r="J6927" s="30" t="s">
        <v>2019</v>
      </c>
      <c r="L6927" s="30" t="s">
        <v>737</v>
      </c>
      <c r="N6927" s="30" t="s">
        <v>901</v>
      </c>
      <c r="P6927" s="30" t="s">
        <v>2792</v>
      </c>
      <c r="Q6927" t="s">
        <v>735</v>
      </c>
      <c r="R6927" t="s">
        <v>920</v>
      </c>
      <c r="S6927">
        <v>36</v>
      </c>
      <c r="T6927" s="29" t="str">
        <f t="shared" si="301"/>
        <v>2020.005F.R.Genomoviridae.zip</v>
      </c>
      <c r="U6927" s="29" t="str">
        <f>HYPERLINK("https://ictv.global/taxonomy/taxondetails?taxnode_id=202303614","ictv.global=202303614")</f>
        <v>ictv.global=202303614</v>
      </c>
    </row>
    <row r="6928" spans="1:21">
      <c r="A6928">
        <v>6927</v>
      </c>
      <c r="B6928" s="30" t="s">
        <v>1956</v>
      </c>
      <c r="D6928" s="30" t="s">
        <v>1985</v>
      </c>
      <c r="F6928" s="30" t="s">
        <v>2009</v>
      </c>
      <c r="H6928" s="30" t="s">
        <v>2018</v>
      </c>
      <c r="J6928" s="30" t="s">
        <v>2019</v>
      </c>
      <c r="L6928" s="30" t="s">
        <v>737</v>
      </c>
      <c r="N6928" s="30" t="s">
        <v>901</v>
      </c>
      <c r="P6928" s="30" t="s">
        <v>2793</v>
      </c>
      <c r="Q6928" t="s">
        <v>735</v>
      </c>
      <c r="R6928" t="s">
        <v>917</v>
      </c>
      <c r="S6928">
        <v>36</v>
      </c>
      <c r="T6928" s="29" t="str">
        <f t="shared" si="301"/>
        <v>2020.005F.R.Genomoviridae.zip</v>
      </c>
      <c r="U6928" s="29" t="str">
        <f>HYPERLINK("https://ictv.global/taxonomy/taxondetails?taxnode_id=202309034","ictv.global=202309034")</f>
        <v>ictv.global=202309034</v>
      </c>
    </row>
    <row r="6929" spans="1:21">
      <c r="A6929">
        <v>6928</v>
      </c>
      <c r="B6929" s="30" t="s">
        <v>1956</v>
      </c>
      <c r="D6929" s="30" t="s">
        <v>1985</v>
      </c>
      <c r="F6929" s="30" t="s">
        <v>2009</v>
      </c>
      <c r="H6929" s="30" t="s">
        <v>2018</v>
      </c>
      <c r="J6929" s="30" t="s">
        <v>2019</v>
      </c>
      <c r="L6929" s="30" t="s">
        <v>737</v>
      </c>
      <c r="N6929" s="30" t="s">
        <v>901</v>
      </c>
      <c r="P6929" s="30" t="s">
        <v>2794</v>
      </c>
      <c r="Q6929" t="s">
        <v>735</v>
      </c>
      <c r="R6929" t="s">
        <v>917</v>
      </c>
      <c r="S6929">
        <v>36</v>
      </c>
      <c r="T6929" s="29" t="str">
        <f t="shared" si="301"/>
        <v>2020.005F.R.Genomoviridae.zip</v>
      </c>
      <c r="U6929" s="29" t="str">
        <f>HYPERLINK("https://ictv.global/taxonomy/taxondetails?taxnode_id=202309036","ictv.global=202309036")</f>
        <v>ictv.global=202309036</v>
      </c>
    </row>
    <row r="6930" spans="1:21">
      <c r="A6930">
        <v>6929</v>
      </c>
      <c r="B6930" s="30" t="s">
        <v>1956</v>
      </c>
      <c r="D6930" s="30" t="s">
        <v>1985</v>
      </c>
      <c r="F6930" s="30" t="s">
        <v>2009</v>
      </c>
      <c r="H6930" s="30" t="s">
        <v>2018</v>
      </c>
      <c r="J6930" s="30" t="s">
        <v>2019</v>
      </c>
      <c r="L6930" s="30" t="s">
        <v>737</v>
      </c>
      <c r="N6930" s="30" t="s">
        <v>901</v>
      </c>
      <c r="P6930" s="30" t="s">
        <v>2795</v>
      </c>
      <c r="Q6930" t="s">
        <v>735</v>
      </c>
      <c r="R6930" t="s">
        <v>917</v>
      </c>
      <c r="S6930">
        <v>36</v>
      </c>
      <c r="T6930" s="29" t="str">
        <f t="shared" si="301"/>
        <v>2020.005F.R.Genomoviridae.zip</v>
      </c>
      <c r="U6930" s="29" t="str">
        <f>HYPERLINK("https://ictv.global/taxonomy/taxondetails?taxnode_id=202309052","ictv.global=202309052")</f>
        <v>ictv.global=202309052</v>
      </c>
    </row>
    <row r="6931" spans="1:21">
      <c r="A6931">
        <v>6930</v>
      </c>
      <c r="B6931" s="30" t="s">
        <v>1956</v>
      </c>
      <c r="D6931" s="30" t="s">
        <v>1985</v>
      </c>
      <c r="F6931" s="30" t="s">
        <v>2009</v>
      </c>
      <c r="H6931" s="30" t="s">
        <v>2018</v>
      </c>
      <c r="J6931" s="30" t="s">
        <v>2019</v>
      </c>
      <c r="L6931" s="30" t="s">
        <v>737</v>
      </c>
      <c r="N6931" s="30" t="s">
        <v>901</v>
      </c>
      <c r="P6931" s="30" t="s">
        <v>2796</v>
      </c>
      <c r="Q6931" t="s">
        <v>735</v>
      </c>
      <c r="R6931" t="s">
        <v>917</v>
      </c>
      <c r="S6931">
        <v>36</v>
      </c>
      <c r="T6931" s="29" t="str">
        <f t="shared" si="301"/>
        <v>2020.005F.R.Genomoviridae.zip</v>
      </c>
      <c r="U6931" s="29" t="str">
        <f>HYPERLINK("https://ictv.global/taxonomy/taxondetails?taxnode_id=202309056","ictv.global=202309056")</f>
        <v>ictv.global=202309056</v>
      </c>
    </row>
    <row r="6932" spans="1:21">
      <c r="A6932">
        <v>6931</v>
      </c>
      <c r="B6932" s="30" t="s">
        <v>1956</v>
      </c>
      <c r="D6932" s="30" t="s">
        <v>1985</v>
      </c>
      <c r="F6932" s="30" t="s">
        <v>2009</v>
      </c>
      <c r="H6932" s="30" t="s">
        <v>2018</v>
      </c>
      <c r="J6932" s="30" t="s">
        <v>2019</v>
      </c>
      <c r="L6932" s="30" t="s">
        <v>737</v>
      </c>
      <c r="N6932" s="30" t="s">
        <v>901</v>
      </c>
      <c r="P6932" s="30" t="s">
        <v>2797</v>
      </c>
      <c r="Q6932" t="s">
        <v>735</v>
      </c>
      <c r="R6932" t="s">
        <v>920</v>
      </c>
      <c r="S6932">
        <v>36</v>
      </c>
      <c r="T6932" s="29" t="str">
        <f t="shared" si="301"/>
        <v>2020.005F.R.Genomoviridae.zip</v>
      </c>
      <c r="U6932" s="29" t="str">
        <f>HYPERLINK("https://ictv.global/taxonomy/taxondetails?taxnode_id=202303615","ictv.global=202303615")</f>
        <v>ictv.global=202303615</v>
      </c>
    </row>
    <row r="6933" spans="1:21">
      <c r="A6933">
        <v>6932</v>
      </c>
      <c r="B6933" s="30" t="s">
        <v>1956</v>
      </c>
      <c r="D6933" s="30" t="s">
        <v>1985</v>
      </c>
      <c r="F6933" s="30" t="s">
        <v>2009</v>
      </c>
      <c r="H6933" s="30" t="s">
        <v>2018</v>
      </c>
      <c r="J6933" s="30" t="s">
        <v>2019</v>
      </c>
      <c r="L6933" s="30" t="s">
        <v>737</v>
      </c>
      <c r="N6933" s="30" t="s">
        <v>901</v>
      </c>
      <c r="P6933" s="30" t="s">
        <v>2798</v>
      </c>
      <c r="Q6933" t="s">
        <v>735</v>
      </c>
      <c r="R6933" t="s">
        <v>917</v>
      </c>
      <c r="S6933">
        <v>36</v>
      </c>
      <c r="T6933" s="29" t="str">
        <f t="shared" si="301"/>
        <v>2020.005F.R.Genomoviridae.zip</v>
      </c>
      <c r="U6933" s="29" t="str">
        <f>HYPERLINK("https://ictv.global/taxonomy/taxondetails?taxnode_id=202309047","ictv.global=202309047")</f>
        <v>ictv.global=202309047</v>
      </c>
    </row>
    <row r="6934" spans="1:21">
      <c r="A6934">
        <v>6933</v>
      </c>
      <c r="B6934" s="30" t="s">
        <v>1956</v>
      </c>
      <c r="D6934" s="30" t="s">
        <v>1985</v>
      </c>
      <c r="F6934" s="30" t="s">
        <v>2009</v>
      </c>
      <c r="H6934" s="30" t="s">
        <v>2018</v>
      </c>
      <c r="J6934" s="30" t="s">
        <v>2019</v>
      </c>
      <c r="L6934" s="30" t="s">
        <v>737</v>
      </c>
      <c r="N6934" s="30" t="s">
        <v>901</v>
      </c>
      <c r="P6934" s="30" t="s">
        <v>2799</v>
      </c>
      <c r="Q6934" t="s">
        <v>735</v>
      </c>
      <c r="R6934" t="s">
        <v>917</v>
      </c>
      <c r="S6934">
        <v>36</v>
      </c>
      <c r="T6934" s="29" t="str">
        <f t="shared" si="301"/>
        <v>2020.005F.R.Genomoviridae.zip</v>
      </c>
      <c r="U6934" s="29" t="str">
        <f>HYPERLINK("https://ictv.global/taxonomy/taxondetails?taxnode_id=202309060","ictv.global=202309060")</f>
        <v>ictv.global=202309060</v>
      </c>
    </row>
    <row r="6935" spans="1:21">
      <c r="A6935">
        <v>6934</v>
      </c>
      <c r="B6935" s="30" t="s">
        <v>1956</v>
      </c>
      <c r="D6935" s="30" t="s">
        <v>1985</v>
      </c>
      <c r="F6935" s="30" t="s">
        <v>2009</v>
      </c>
      <c r="H6935" s="30" t="s">
        <v>2018</v>
      </c>
      <c r="J6935" s="30" t="s">
        <v>2019</v>
      </c>
      <c r="L6935" s="30" t="s">
        <v>737</v>
      </c>
      <c r="N6935" s="30" t="s">
        <v>901</v>
      </c>
      <c r="P6935" s="30" t="s">
        <v>2800</v>
      </c>
      <c r="Q6935" t="s">
        <v>735</v>
      </c>
      <c r="R6935" t="s">
        <v>917</v>
      </c>
      <c r="S6935">
        <v>36</v>
      </c>
      <c r="T6935" s="29" t="str">
        <f t="shared" si="301"/>
        <v>2020.005F.R.Genomoviridae.zip</v>
      </c>
      <c r="U6935" s="29" t="str">
        <f>HYPERLINK("https://ictv.global/taxonomy/taxondetails?taxnode_id=202309048","ictv.global=202309048")</f>
        <v>ictv.global=202309048</v>
      </c>
    </row>
    <row r="6936" spans="1:21">
      <c r="A6936">
        <v>6935</v>
      </c>
      <c r="B6936" s="30" t="s">
        <v>1956</v>
      </c>
      <c r="D6936" s="30" t="s">
        <v>1985</v>
      </c>
      <c r="F6936" s="30" t="s">
        <v>2009</v>
      </c>
      <c r="H6936" s="30" t="s">
        <v>2018</v>
      </c>
      <c r="J6936" s="30" t="s">
        <v>2019</v>
      </c>
      <c r="L6936" s="30" t="s">
        <v>737</v>
      </c>
      <c r="N6936" s="30" t="s">
        <v>901</v>
      </c>
      <c r="P6936" s="30" t="s">
        <v>2801</v>
      </c>
      <c r="Q6936" t="s">
        <v>735</v>
      </c>
      <c r="R6936" t="s">
        <v>917</v>
      </c>
      <c r="S6936">
        <v>36</v>
      </c>
      <c r="T6936" s="29" t="str">
        <f t="shared" si="301"/>
        <v>2020.005F.R.Genomoviridae.zip</v>
      </c>
      <c r="U6936" s="29" t="str">
        <f>HYPERLINK("https://ictv.global/taxonomy/taxondetails?taxnode_id=202309051","ictv.global=202309051")</f>
        <v>ictv.global=202309051</v>
      </c>
    </row>
    <row r="6937" spans="1:21">
      <c r="A6937">
        <v>6936</v>
      </c>
      <c r="B6937" s="30" t="s">
        <v>1956</v>
      </c>
      <c r="D6937" s="30" t="s">
        <v>1985</v>
      </c>
      <c r="F6937" s="30" t="s">
        <v>2009</v>
      </c>
      <c r="H6937" s="30" t="s">
        <v>2018</v>
      </c>
      <c r="J6937" s="30" t="s">
        <v>2019</v>
      </c>
      <c r="L6937" s="30" t="s">
        <v>737</v>
      </c>
      <c r="N6937" s="30" t="s">
        <v>901</v>
      </c>
      <c r="P6937" s="30" t="s">
        <v>2802</v>
      </c>
      <c r="Q6937" t="s">
        <v>735</v>
      </c>
      <c r="R6937" t="s">
        <v>917</v>
      </c>
      <c r="S6937">
        <v>36</v>
      </c>
      <c r="T6937" s="29" t="str">
        <f t="shared" si="301"/>
        <v>2020.005F.R.Genomoviridae.zip</v>
      </c>
      <c r="U6937" s="29" t="str">
        <f>HYPERLINK("https://ictv.global/taxonomy/taxondetails?taxnode_id=202309037","ictv.global=202309037")</f>
        <v>ictv.global=202309037</v>
      </c>
    </row>
    <row r="6938" spans="1:21">
      <c r="A6938">
        <v>6937</v>
      </c>
      <c r="B6938" s="30" t="s">
        <v>1956</v>
      </c>
      <c r="D6938" s="30" t="s">
        <v>1985</v>
      </c>
      <c r="F6938" s="30" t="s">
        <v>2009</v>
      </c>
      <c r="H6938" s="30" t="s">
        <v>2018</v>
      </c>
      <c r="J6938" s="30" t="s">
        <v>2019</v>
      </c>
      <c r="L6938" s="30" t="s">
        <v>737</v>
      </c>
      <c r="N6938" s="30" t="s">
        <v>901</v>
      </c>
      <c r="P6938" s="30" t="s">
        <v>2803</v>
      </c>
      <c r="Q6938" t="s">
        <v>735</v>
      </c>
      <c r="R6938" t="s">
        <v>917</v>
      </c>
      <c r="S6938">
        <v>36</v>
      </c>
      <c r="T6938" s="29" t="str">
        <f t="shared" si="301"/>
        <v>2020.005F.R.Genomoviridae.zip</v>
      </c>
      <c r="U6938" s="29" t="str">
        <f>HYPERLINK("https://ictv.global/taxonomy/taxondetails?taxnode_id=202309057","ictv.global=202309057")</f>
        <v>ictv.global=202309057</v>
      </c>
    </row>
    <row r="6939" spans="1:21">
      <c r="A6939">
        <v>6938</v>
      </c>
      <c r="B6939" s="30" t="s">
        <v>1956</v>
      </c>
      <c r="D6939" s="30" t="s">
        <v>1985</v>
      </c>
      <c r="F6939" s="30" t="s">
        <v>2009</v>
      </c>
      <c r="H6939" s="30" t="s">
        <v>2018</v>
      </c>
      <c r="J6939" s="30" t="s">
        <v>2019</v>
      </c>
      <c r="L6939" s="30" t="s">
        <v>737</v>
      </c>
      <c r="N6939" s="30" t="s">
        <v>901</v>
      </c>
      <c r="P6939" s="30" t="s">
        <v>2804</v>
      </c>
      <c r="Q6939" t="s">
        <v>622</v>
      </c>
      <c r="R6939" t="s">
        <v>920</v>
      </c>
      <c r="S6939">
        <v>36</v>
      </c>
      <c r="T6939" s="29" t="str">
        <f t="shared" si="301"/>
        <v>2020.005F.R.Genomoviridae.zip</v>
      </c>
      <c r="U6939" s="29" t="str">
        <f>HYPERLINK("https://ictv.global/taxonomy/taxondetails?taxnode_id=202303616","ictv.global=202303616")</f>
        <v>ictv.global=202303616</v>
      </c>
    </row>
    <row r="6940" spans="1:21">
      <c r="A6940">
        <v>6939</v>
      </c>
      <c r="B6940" s="30" t="s">
        <v>1956</v>
      </c>
      <c r="D6940" s="30" t="s">
        <v>1985</v>
      </c>
      <c r="F6940" s="30" t="s">
        <v>2009</v>
      </c>
      <c r="H6940" s="30" t="s">
        <v>2018</v>
      </c>
      <c r="J6940" s="30" t="s">
        <v>2019</v>
      </c>
      <c r="L6940" s="30" t="s">
        <v>737</v>
      </c>
      <c r="N6940" s="30" t="s">
        <v>901</v>
      </c>
      <c r="P6940" s="30" t="s">
        <v>2805</v>
      </c>
      <c r="Q6940" t="s">
        <v>735</v>
      </c>
      <c r="R6940" t="s">
        <v>917</v>
      </c>
      <c r="S6940">
        <v>36</v>
      </c>
      <c r="T6940" s="29" t="str">
        <f t="shared" si="301"/>
        <v>2020.005F.R.Genomoviridae.zip</v>
      </c>
      <c r="U6940" s="29" t="str">
        <f>HYPERLINK("https://ictv.global/taxonomy/taxondetails?taxnode_id=202309041","ictv.global=202309041")</f>
        <v>ictv.global=202309041</v>
      </c>
    </row>
    <row r="6941" spans="1:21">
      <c r="A6941">
        <v>6940</v>
      </c>
      <c r="B6941" s="30" t="s">
        <v>1956</v>
      </c>
      <c r="D6941" s="30" t="s">
        <v>1985</v>
      </c>
      <c r="F6941" s="30" t="s">
        <v>2009</v>
      </c>
      <c r="H6941" s="30" t="s">
        <v>2018</v>
      </c>
      <c r="J6941" s="30" t="s">
        <v>2019</v>
      </c>
      <c r="L6941" s="30" t="s">
        <v>737</v>
      </c>
      <c r="N6941" s="30" t="s">
        <v>901</v>
      </c>
      <c r="P6941" s="30" t="s">
        <v>2806</v>
      </c>
      <c r="Q6941" t="s">
        <v>622</v>
      </c>
      <c r="R6941" t="s">
        <v>920</v>
      </c>
      <c r="S6941">
        <v>36</v>
      </c>
      <c r="T6941" s="29" t="str">
        <f t="shared" si="301"/>
        <v>2020.005F.R.Genomoviridae.zip</v>
      </c>
      <c r="U6941" s="29" t="str">
        <f>HYPERLINK("https://ictv.global/taxonomy/taxondetails?taxnode_id=202303617","ictv.global=202303617")</f>
        <v>ictv.global=202303617</v>
      </c>
    </row>
    <row r="6942" spans="1:21">
      <c r="A6942">
        <v>6941</v>
      </c>
      <c r="B6942" s="30" t="s">
        <v>1956</v>
      </c>
      <c r="D6942" s="30" t="s">
        <v>1985</v>
      </c>
      <c r="F6942" s="30" t="s">
        <v>2009</v>
      </c>
      <c r="H6942" s="30" t="s">
        <v>2018</v>
      </c>
      <c r="J6942" s="30" t="s">
        <v>2019</v>
      </c>
      <c r="L6942" s="30" t="s">
        <v>737</v>
      </c>
      <c r="N6942" s="30" t="s">
        <v>901</v>
      </c>
      <c r="P6942" s="30" t="s">
        <v>2807</v>
      </c>
      <c r="Q6942" t="s">
        <v>735</v>
      </c>
      <c r="R6942" t="s">
        <v>920</v>
      </c>
      <c r="S6942">
        <v>36</v>
      </c>
      <c r="T6942" s="29" t="str">
        <f t="shared" si="301"/>
        <v>2020.005F.R.Genomoviridae.zip</v>
      </c>
      <c r="U6942" s="29" t="str">
        <f>HYPERLINK("https://ictv.global/taxonomy/taxondetails?taxnode_id=202303618","ictv.global=202303618")</f>
        <v>ictv.global=202303618</v>
      </c>
    </row>
    <row r="6943" spans="1:21">
      <c r="A6943">
        <v>6942</v>
      </c>
      <c r="B6943" s="30" t="s">
        <v>1956</v>
      </c>
      <c r="D6943" s="30" t="s">
        <v>1985</v>
      </c>
      <c r="F6943" s="30" t="s">
        <v>2009</v>
      </c>
      <c r="H6943" s="30" t="s">
        <v>2018</v>
      </c>
      <c r="J6943" s="30" t="s">
        <v>2019</v>
      </c>
      <c r="L6943" s="30" t="s">
        <v>737</v>
      </c>
      <c r="N6943" s="30" t="s">
        <v>901</v>
      </c>
      <c r="P6943" s="30" t="s">
        <v>2808</v>
      </c>
      <c r="Q6943" t="s">
        <v>735</v>
      </c>
      <c r="R6943" t="s">
        <v>920</v>
      </c>
      <c r="S6943">
        <v>36</v>
      </c>
      <c r="T6943" s="29" t="str">
        <f t="shared" ref="T6943:T6959" si="302">HYPERLINK("https://ictv.global/ictv/proposals/2020.005F.R.Genomoviridae.zip","2020.005F.R.Genomoviridae.zip")</f>
        <v>2020.005F.R.Genomoviridae.zip</v>
      </c>
      <c r="U6943" s="29" t="str">
        <f>HYPERLINK("https://ictv.global/taxonomy/taxondetails?taxnode_id=202303619","ictv.global=202303619")</f>
        <v>ictv.global=202303619</v>
      </c>
    </row>
    <row r="6944" spans="1:21">
      <c r="A6944">
        <v>6943</v>
      </c>
      <c r="B6944" s="30" t="s">
        <v>1956</v>
      </c>
      <c r="D6944" s="30" t="s">
        <v>1985</v>
      </c>
      <c r="F6944" s="30" t="s">
        <v>2009</v>
      </c>
      <c r="H6944" s="30" t="s">
        <v>2018</v>
      </c>
      <c r="J6944" s="30" t="s">
        <v>2019</v>
      </c>
      <c r="L6944" s="30" t="s">
        <v>737</v>
      </c>
      <c r="N6944" s="30" t="s">
        <v>901</v>
      </c>
      <c r="P6944" s="30" t="s">
        <v>2809</v>
      </c>
      <c r="Q6944" t="s">
        <v>735</v>
      </c>
      <c r="R6944" t="s">
        <v>920</v>
      </c>
      <c r="S6944">
        <v>36</v>
      </c>
      <c r="T6944" s="29" t="str">
        <f t="shared" si="302"/>
        <v>2020.005F.R.Genomoviridae.zip</v>
      </c>
      <c r="U6944" s="29" t="str">
        <f>HYPERLINK("https://ictv.global/taxonomy/taxondetails?taxnode_id=202303620","ictv.global=202303620")</f>
        <v>ictv.global=202303620</v>
      </c>
    </row>
    <row r="6945" spans="1:21">
      <c r="A6945">
        <v>6944</v>
      </c>
      <c r="B6945" s="30" t="s">
        <v>1956</v>
      </c>
      <c r="D6945" s="30" t="s">
        <v>1985</v>
      </c>
      <c r="F6945" s="30" t="s">
        <v>2009</v>
      </c>
      <c r="H6945" s="30" t="s">
        <v>2018</v>
      </c>
      <c r="J6945" s="30" t="s">
        <v>2019</v>
      </c>
      <c r="L6945" s="30" t="s">
        <v>737</v>
      </c>
      <c r="N6945" s="30" t="s">
        <v>901</v>
      </c>
      <c r="P6945" s="30" t="s">
        <v>2810</v>
      </c>
      <c r="Q6945" t="s">
        <v>735</v>
      </c>
      <c r="R6945" t="s">
        <v>917</v>
      </c>
      <c r="S6945">
        <v>36</v>
      </c>
      <c r="T6945" s="29" t="str">
        <f t="shared" si="302"/>
        <v>2020.005F.R.Genomoviridae.zip</v>
      </c>
      <c r="U6945" s="29" t="str">
        <f>HYPERLINK("https://ictv.global/taxonomy/taxondetails?taxnode_id=202309050","ictv.global=202309050")</f>
        <v>ictv.global=202309050</v>
      </c>
    </row>
    <row r="6946" spans="1:21">
      <c r="A6946">
        <v>6945</v>
      </c>
      <c r="B6946" s="30" t="s">
        <v>1956</v>
      </c>
      <c r="D6946" s="30" t="s">
        <v>1985</v>
      </c>
      <c r="F6946" s="30" t="s">
        <v>2009</v>
      </c>
      <c r="H6946" s="30" t="s">
        <v>2018</v>
      </c>
      <c r="J6946" s="30" t="s">
        <v>2019</v>
      </c>
      <c r="L6946" s="30" t="s">
        <v>737</v>
      </c>
      <c r="N6946" s="30" t="s">
        <v>901</v>
      </c>
      <c r="P6946" s="30" t="s">
        <v>2811</v>
      </c>
      <c r="Q6946" t="s">
        <v>735</v>
      </c>
      <c r="R6946" t="s">
        <v>917</v>
      </c>
      <c r="S6946">
        <v>36</v>
      </c>
      <c r="T6946" s="29" t="str">
        <f t="shared" si="302"/>
        <v>2020.005F.R.Genomoviridae.zip</v>
      </c>
      <c r="U6946" s="29" t="str">
        <f>HYPERLINK("https://ictv.global/taxonomy/taxondetails?taxnode_id=202309059","ictv.global=202309059")</f>
        <v>ictv.global=202309059</v>
      </c>
    </row>
    <row r="6947" spans="1:21">
      <c r="A6947">
        <v>6946</v>
      </c>
      <c r="B6947" s="30" t="s">
        <v>1956</v>
      </c>
      <c r="D6947" s="30" t="s">
        <v>1985</v>
      </c>
      <c r="F6947" s="30" t="s">
        <v>2009</v>
      </c>
      <c r="H6947" s="30" t="s">
        <v>2018</v>
      </c>
      <c r="J6947" s="30" t="s">
        <v>2019</v>
      </c>
      <c r="L6947" s="30" t="s">
        <v>737</v>
      </c>
      <c r="N6947" s="30" t="s">
        <v>901</v>
      </c>
      <c r="P6947" s="30" t="s">
        <v>2812</v>
      </c>
      <c r="Q6947" t="s">
        <v>735</v>
      </c>
      <c r="R6947" t="s">
        <v>917</v>
      </c>
      <c r="S6947">
        <v>36</v>
      </c>
      <c r="T6947" s="29" t="str">
        <f t="shared" si="302"/>
        <v>2020.005F.R.Genomoviridae.zip</v>
      </c>
      <c r="U6947" s="29" t="str">
        <f>HYPERLINK("https://ictv.global/taxonomy/taxondetails?taxnode_id=202309042","ictv.global=202309042")</f>
        <v>ictv.global=202309042</v>
      </c>
    </row>
    <row r="6948" spans="1:21">
      <c r="A6948">
        <v>6947</v>
      </c>
      <c r="B6948" s="30" t="s">
        <v>1956</v>
      </c>
      <c r="D6948" s="30" t="s">
        <v>1985</v>
      </c>
      <c r="F6948" s="30" t="s">
        <v>2009</v>
      </c>
      <c r="H6948" s="30" t="s">
        <v>2018</v>
      </c>
      <c r="J6948" s="30" t="s">
        <v>2019</v>
      </c>
      <c r="L6948" s="30" t="s">
        <v>737</v>
      </c>
      <c r="N6948" s="30" t="s">
        <v>902</v>
      </c>
      <c r="P6948" s="30" t="s">
        <v>2813</v>
      </c>
      <c r="Q6948" t="s">
        <v>735</v>
      </c>
      <c r="R6948" t="s">
        <v>917</v>
      </c>
      <c r="S6948">
        <v>36</v>
      </c>
      <c r="T6948" s="29" t="str">
        <f t="shared" si="302"/>
        <v>2020.005F.R.Genomoviridae.zip</v>
      </c>
      <c r="U6948" s="29" t="str">
        <f>HYPERLINK("https://ictv.global/taxonomy/taxondetails?taxnode_id=202309074","ictv.global=202309074")</f>
        <v>ictv.global=202309074</v>
      </c>
    </row>
    <row r="6949" spans="1:21">
      <c r="A6949">
        <v>6948</v>
      </c>
      <c r="B6949" s="30" t="s">
        <v>1956</v>
      </c>
      <c r="D6949" s="30" t="s">
        <v>1985</v>
      </c>
      <c r="F6949" s="30" t="s">
        <v>2009</v>
      </c>
      <c r="H6949" s="30" t="s">
        <v>2018</v>
      </c>
      <c r="J6949" s="30" t="s">
        <v>2019</v>
      </c>
      <c r="L6949" s="30" t="s">
        <v>737</v>
      </c>
      <c r="N6949" s="30" t="s">
        <v>902</v>
      </c>
      <c r="P6949" s="30" t="s">
        <v>2814</v>
      </c>
      <c r="Q6949" t="s">
        <v>735</v>
      </c>
      <c r="R6949" t="s">
        <v>917</v>
      </c>
      <c r="S6949">
        <v>36</v>
      </c>
      <c r="T6949" s="29" t="str">
        <f t="shared" si="302"/>
        <v>2020.005F.R.Genomoviridae.zip</v>
      </c>
      <c r="U6949" s="29" t="str">
        <f>HYPERLINK("https://ictv.global/taxonomy/taxondetails?taxnode_id=202309076","ictv.global=202309076")</f>
        <v>ictv.global=202309076</v>
      </c>
    </row>
    <row r="6950" spans="1:21">
      <c r="A6950">
        <v>6949</v>
      </c>
      <c r="B6950" s="30" t="s">
        <v>1956</v>
      </c>
      <c r="D6950" s="30" t="s">
        <v>1985</v>
      </c>
      <c r="F6950" s="30" t="s">
        <v>2009</v>
      </c>
      <c r="H6950" s="30" t="s">
        <v>2018</v>
      </c>
      <c r="J6950" s="30" t="s">
        <v>2019</v>
      </c>
      <c r="L6950" s="30" t="s">
        <v>737</v>
      </c>
      <c r="N6950" s="30" t="s">
        <v>902</v>
      </c>
      <c r="P6950" s="30" t="s">
        <v>2815</v>
      </c>
      <c r="Q6950" t="s">
        <v>735</v>
      </c>
      <c r="R6950" t="s">
        <v>917</v>
      </c>
      <c r="S6950">
        <v>36</v>
      </c>
      <c r="T6950" s="29" t="str">
        <f t="shared" si="302"/>
        <v>2020.005F.R.Genomoviridae.zip</v>
      </c>
      <c r="U6950" s="29" t="str">
        <f>HYPERLINK("https://ictv.global/taxonomy/taxondetails?taxnode_id=202309068","ictv.global=202309068")</f>
        <v>ictv.global=202309068</v>
      </c>
    </row>
    <row r="6951" spans="1:21">
      <c r="A6951">
        <v>6950</v>
      </c>
      <c r="B6951" s="30" t="s">
        <v>1956</v>
      </c>
      <c r="D6951" s="30" t="s">
        <v>1985</v>
      </c>
      <c r="F6951" s="30" t="s">
        <v>2009</v>
      </c>
      <c r="H6951" s="30" t="s">
        <v>2018</v>
      </c>
      <c r="J6951" s="30" t="s">
        <v>2019</v>
      </c>
      <c r="L6951" s="30" t="s">
        <v>737</v>
      </c>
      <c r="N6951" s="30" t="s">
        <v>902</v>
      </c>
      <c r="P6951" s="30" t="s">
        <v>2816</v>
      </c>
      <c r="Q6951" t="s">
        <v>735</v>
      </c>
      <c r="R6951" t="s">
        <v>917</v>
      </c>
      <c r="S6951">
        <v>36</v>
      </c>
      <c r="T6951" s="29" t="str">
        <f t="shared" si="302"/>
        <v>2020.005F.R.Genomoviridae.zip</v>
      </c>
      <c r="U6951" s="29" t="str">
        <f>HYPERLINK("https://ictv.global/taxonomy/taxondetails?taxnode_id=202309071","ictv.global=202309071")</f>
        <v>ictv.global=202309071</v>
      </c>
    </row>
    <row r="6952" spans="1:21">
      <c r="A6952">
        <v>6951</v>
      </c>
      <c r="B6952" s="30" t="s">
        <v>1956</v>
      </c>
      <c r="D6952" s="30" t="s">
        <v>1985</v>
      </c>
      <c r="F6952" s="30" t="s">
        <v>2009</v>
      </c>
      <c r="H6952" s="30" t="s">
        <v>2018</v>
      </c>
      <c r="J6952" s="30" t="s">
        <v>2019</v>
      </c>
      <c r="L6952" s="30" t="s">
        <v>737</v>
      </c>
      <c r="N6952" s="30" t="s">
        <v>902</v>
      </c>
      <c r="P6952" s="30" t="s">
        <v>2817</v>
      </c>
      <c r="Q6952" t="s">
        <v>735</v>
      </c>
      <c r="R6952" t="s">
        <v>917</v>
      </c>
      <c r="S6952">
        <v>36</v>
      </c>
      <c r="T6952" s="29" t="str">
        <f t="shared" si="302"/>
        <v>2020.005F.R.Genomoviridae.zip</v>
      </c>
      <c r="U6952" s="29" t="str">
        <f>HYPERLINK("https://ictv.global/taxonomy/taxondetails?taxnode_id=202309067","ictv.global=202309067")</f>
        <v>ictv.global=202309067</v>
      </c>
    </row>
    <row r="6953" spans="1:21">
      <c r="A6953">
        <v>6952</v>
      </c>
      <c r="B6953" s="30" t="s">
        <v>1956</v>
      </c>
      <c r="D6953" s="30" t="s">
        <v>1985</v>
      </c>
      <c r="F6953" s="30" t="s">
        <v>2009</v>
      </c>
      <c r="H6953" s="30" t="s">
        <v>2018</v>
      </c>
      <c r="J6953" s="30" t="s">
        <v>2019</v>
      </c>
      <c r="L6953" s="30" t="s">
        <v>737</v>
      </c>
      <c r="N6953" s="30" t="s">
        <v>902</v>
      </c>
      <c r="P6953" s="30" t="s">
        <v>2818</v>
      </c>
      <c r="Q6953" t="s">
        <v>735</v>
      </c>
      <c r="R6953" t="s">
        <v>917</v>
      </c>
      <c r="S6953">
        <v>36</v>
      </c>
      <c r="T6953" s="29" t="str">
        <f t="shared" si="302"/>
        <v>2020.005F.R.Genomoviridae.zip</v>
      </c>
      <c r="U6953" s="29" t="str">
        <f>HYPERLINK("https://ictv.global/taxonomy/taxondetails?taxnode_id=202309075","ictv.global=202309075")</f>
        <v>ictv.global=202309075</v>
      </c>
    </row>
    <row r="6954" spans="1:21">
      <c r="A6954">
        <v>6953</v>
      </c>
      <c r="B6954" s="30" t="s">
        <v>1956</v>
      </c>
      <c r="D6954" s="30" t="s">
        <v>1985</v>
      </c>
      <c r="F6954" s="30" t="s">
        <v>2009</v>
      </c>
      <c r="H6954" s="30" t="s">
        <v>2018</v>
      </c>
      <c r="J6954" s="30" t="s">
        <v>2019</v>
      </c>
      <c r="L6954" s="30" t="s">
        <v>737</v>
      </c>
      <c r="N6954" s="30" t="s">
        <v>902</v>
      </c>
      <c r="P6954" s="30" t="s">
        <v>2819</v>
      </c>
      <c r="Q6954" t="s">
        <v>735</v>
      </c>
      <c r="R6954" t="s">
        <v>917</v>
      </c>
      <c r="S6954">
        <v>36</v>
      </c>
      <c r="T6954" s="29" t="str">
        <f t="shared" si="302"/>
        <v>2020.005F.R.Genomoviridae.zip</v>
      </c>
      <c r="U6954" s="29" t="str">
        <f>HYPERLINK("https://ictv.global/taxonomy/taxondetails?taxnode_id=202309079","ictv.global=202309079")</f>
        <v>ictv.global=202309079</v>
      </c>
    </row>
    <row r="6955" spans="1:21">
      <c r="A6955">
        <v>6954</v>
      </c>
      <c r="B6955" s="30" t="s">
        <v>1956</v>
      </c>
      <c r="D6955" s="30" t="s">
        <v>1985</v>
      </c>
      <c r="F6955" s="30" t="s">
        <v>2009</v>
      </c>
      <c r="H6955" s="30" t="s">
        <v>2018</v>
      </c>
      <c r="J6955" s="30" t="s">
        <v>2019</v>
      </c>
      <c r="L6955" s="30" t="s">
        <v>737</v>
      </c>
      <c r="N6955" s="30" t="s">
        <v>902</v>
      </c>
      <c r="P6955" s="30" t="s">
        <v>2820</v>
      </c>
      <c r="Q6955" t="s">
        <v>735</v>
      </c>
      <c r="R6955" t="s">
        <v>917</v>
      </c>
      <c r="S6955">
        <v>36</v>
      </c>
      <c r="T6955" s="29" t="str">
        <f t="shared" si="302"/>
        <v>2020.005F.R.Genomoviridae.zip</v>
      </c>
      <c r="U6955" s="29" t="str">
        <f>HYPERLINK("https://ictv.global/taxonomy/taxondetails?taxnode_id=202309073","ictv.global=202309073")</f>
        <v>ictv.global=202309073</v>
      </c>
    </row>
    <row r="6956" spans="1:21">
      <c r="A6956">
        <v>6955</v>
      </c>
      <c r="B6956" s="30" t="s">
        <v>1956</v>
      </c>
      <c r="D6956" s="30" t="s">
        <v>1985</v>
      </c>
      <c r="F6956" s="30" t="s">
        <v>2009</v>
      </c>
      <c r="H6956" s="30" t="s">
        <v>2018</v>
      </c>
      <c r="J6956" s="30" t="s">
        <v>2019</v>
      </c>
      <c r="L6956" s="30" t="s">
        <v>737</v>
      </c>
      <c r="N6956" s="30" t="s">
        <v>902</v>
      </c>
      <c r="P6956" s="30" t="s">
        <v>2821</v>
      </c>
      <c r="Q6956" t="s">
        <v>735</v>
      </c>
      <c r="R6956" t="s">
        <v>917</v>
      </c>
      <c r="S6956">
        <v>36</v>
      </c>
      <c r="T6956" s="29" t="str">
        <f t="shared" si="302"/>
        <v>2020.005F.R.Genomoviridae.zip</v>
      </c>
      <c r="U6956" s="29" t="str">
        <f>HYPERLINK("https://ictv.global/taxonomy/taxondetails?taxnode_id=202309072","ictv.global=202309072")</f>
        <v>ictv.global=202309072</v>
      </c>
    </row>
    <row r="6957" spans="1:21">
      <c r="A6957">
        <v>6956</v>
      </c>
      <c r="B6957" s="30" t="s">
        <v>1956</v>
      </c>
      <c r="D6957" s="30" t="s">
        <v>1985</v>
      </c>
      <c r="F6957" s="30" t="s">
        <v>2009</v>
      </c>
      <c r="H6957" s="30" t="s">
        <v>2018</v>
      </c>
      <c r="J6957" s="30" t="s">
        <v>2019</v>
      </c>
      <c r="L6957" s="30" t="s">
        <v>737</v>
      </c>
      <c r="N6957" s="30" t="s">
        <v>902</v>
      </c>
      <c r="P6957" s="30" t="s">
        <v>2822</v>
      </c>
      <c r="Q6957" t="s">
        <v>735</v>
      </c>
      <c r="R6957" t="s">
        <v>917</v>
      </c>
      <c r="S6957">
        <v>36</v>
      </c>
      <c r="T6957" s="29" t="str">
        <f t="shared" si="302"/>
        <v>2020.005F.R.Genomoviridae.zip</v>
      </c>
      <c r="U6957" s="29" t="str">
        <f>HYPERLINK("https://ictv.global/taxonomy/taxondetails?taxnode_id=202309070","ictv.global=202309070")</f>
        <v>ictv.global=202309070</v>
      </c>
    </row>
    <row r="6958" spans="1:21">
      <c r="A6958">
        <v>6957</v>
      </c>
      <c r="B6958" s="30" t="s">
        <v>1956</v>
      </c>
      <c r="D6958" s="30" t="s">
        <v>1985</v>
      </c>
      <c r="F6958" s="30" t="s">
        <v>2009</v>
      </c>
      <c r="H6958" s="30" t="s">
        <v>2018</v>
      </c>
      <c r="J6958" s="30" t="s">
        <v>2019</v>
      </c>
      <c r="L6958" s="30" t="s">
        <v>737</v>
      </c>
      <c r="N6958" s="30" t="s">
        <v>902</v>
      </c>
      <c r="P6958" s="30" t="s">
        <v>2823</v>
      </c>
      <c r="Q6958" t="s">
        <v>735</v>
      </c>
      <c r="R6958" t="s">
        <v>917</v>
      </c>
      <c r="S6958">
        <v>36</v>
      </c>
      <c r="T6958" s="29" t="str">
        <f t="shared" si="302"/>
        <v>2020.005F.R.Genomoviridae.zip</v>
      </c>
      <c r="U6958" s="29" t="str">
        <f>HYPERLINK("https://ictv.global/taxonomy/taxondetails?taxnode_id=202309069","ictv.global=202309069")</f>
        <v>ictv.global=202309069</v>
      </c>
    </row>
    <row r="6959" spans="1:21">
      <c r="A6959">
        <v>6958</v>
      </c>
      <c r="B6959" s="30" t="s">
        <v>1956</v>
      </c>
      <c r="D6959" s="30" t="s">
        <v>1985</v>
      </c>
      <c r="F6959" s="30" t="s">
        <v>2009</v>
      </c>
      <c r="H6959" s="30" t="s">
        <v>2018</v>
      </c>
      <c r="J6959" s="30" t="s">
        <v>2019</v>
      </c>
      <c r="L6959" s="30" t="s">
        <v>737</v>
      </c>
      <c r="N6959" s="30" t="s">
        <v>902</v>
      </c>
      <c r="P6959" s="30" t="s">
        <v>2824</v>
      </c>
      <c r="Q6959" t="s">
        <v>735</v>
      </c>
      <c r="R6959" t="s">
        <v>917</v>
      </c>
      <c r="S6959">
        <v>36</v>
      </c>
      <c r="T6959" s="29" t="str">
        <f t="shared" si="302"/>
        <v>2020.005F.R.Genomoviridae.zip</v>
      </c>
      <c r="U6959" s="29" t="str">
        <f>HYPERLINK("https://ictv.global/taxonomy/taxondetails?taxnode_id=202309077","ictv.global=202309077")</f>
        <v>ictv.global=202309077</v>
      </c>
    </row>
    <row r="6960" spans="1:21">
      <c r="A6960">
        <v>6959</v>
      </c>
      <c r="B6960" s="30" t="s">
        <v>1956</v>
      </c>
      <c r="D6960" s="30" t="s">
        <v>1985</v>
      </c>
      <c r="F6960" s="30" t="s">
        <v>2009</v>
      </c>
      <c r="H6960" s="30" t="s">
        <v>2018</v>
      </c>
      <c r="J6960" s="30" t="s">
        <v>2019</v>
      </c>
      <c r="L6960" s="30" t="s">
        <v>737</v>
      </c>
      <c r="N6960" s="30" t="s">
        <v>902</v>
      </c>
      <c r="P6960" s="30" t="s">
        <v>2825</v>
      </c>
      <c r="Q6960" t="s">
        <v>622</v>
      </c>
      <c r="R6960" t="s">
        <v>3895</v>
      </c>
      <c r="S6960">
        <v>36</v>
      </c>
      <c r="T6960" s="29" t="str">
        <f>HYPERLINK("https://ictv.global/ictv/proposals/2020.005F.R.Genomoviridae.zip","2020.005F.R.Genomoviridae.zip;2020.001G.R.Abolish_type_species.pdf")</f>
        <v>2020.005F.R.Genomoviridae.zip;2020.001G.R.Abolish_type_species.pdf</v>
      </c>
      <c r="U6960" s="29" t="str">
        <f>HYPERLINK("https://ictv.global/taxonomy/taxondetails?taxnode_id=202303622","ictv.global=202303622")</f>
        <v>ictv.global=202303622</v>
      </c>
    </row>
    <row r="6961" spans="1:21">
      <c r="A6961">
        <v>6960</v>
      </c>
      <c r="B6961" s="30" t="s">
        <v>1956</v>
      </c>
      <c r="D6961" s="30" t="s">
        <v>1985</v>
      </c>
      <c r="F6961" s="30" t="s">
        <v>2009</v>
      </c>
      <c r="H6961" s="30" t="s">
        <v>2018</v>
      </c>
      <c r="J6961" s="30" t="s">
        <v>2019</v>
      </c>
      <c r="L6961" s="30" t="s">
        <v>737</v>
      </c>
      <c r="N6961" s="30" t="s">
        <v>902</v>
      </c>
      <c r="P6961" s="30" t="s">
        <v>2826</v>
      </c>
      <c r="Q6961" t="s">
        <v>622</v>
      </c>
      <c r="R6961" t="s">
        <v>920</v>
      </c>
      <c r="S6961">
        <v>36</v>
      </c>
      <c r="T6961" s="29" t="str">
        <f>HYPERLINK("https://ictv.global/ictv/proposals/2020.005F.R.Genomoviridae.zip","2020.005F.R.Genomoviridae.zip")</f>
        <v>2020.005F.R.Genomoviridae.zip</v>
      </c>
      <c r="U6961" s="29" t="str">
        <f>HYPERLINK("https://ictv.global/taxonomy/taxondetails?taxnode_id=202303623","ictv.global=202303623")</f>
        <v>ictv.global=202303623</v>
      </c>
    </row>
    <row r="6962" spans="1:21">
      <c r="A6962">
        <v>6961</v>
      </c>
      <c r="B6962" s="30" t="s">
        <v>1956</v>
      </c>
      <c r="D6962" s="30" t="s">
        <v>1985</v>
      </c>
      <c r="F6962" s="30" t="s">
        <v>2009</v>
      </c>
      <c r="H6962" s="30" t="s">
        <v>2018</v>
      </c>
      <c r="J6962" s="30" t="s">
        <v>2019</v>
      </c>
      <c r="L6962" s="30" t="s">
        <v>737</v>
      </c>
      <c r="N6962" s="30" t="s">
        <v>902</v>
      </c>
      <c r="P6962" s="30" t="s">
        <v>2827</v>
      </c>
      <c r="Q6962" t="s">
        <v>735</v>
      </c>
      <c r="R6962" t="s">
        <v>917</v>
      </c>
      <c r="S6962">
        <v>36</v>
      </c>
      <c r="T6962" s="29" t="str">
        <f>HYPERLINK("https://ictv.global/ictv/proposals/2020.005F.R.Genomoviridae.zip","2020.005F.R.Genomoviridae.zip")</f>
        <v>2020.005F.R.Genomoviridae.zip</v>
      </c>
      <c r="U6962" s="29" t="str">
        <f>HYPERLINK("https://ictv.global/taxonomy/taxondetails?taxnode_id=202309078","ictv.global=202309078")</f>
        <v>ictv.global=202309078</v>
      </c>
    </row>
    <row r="6963" spans="1:21">
      <c r="A6963">
        <v>6962</v>
      </c>
      <c r="B6963" s="30" t="s">
        <v>1956</v>
      </c>
      <c r="D6963" s="30" t="s">
        <v>1985</v>
      </c>
      <c r="F6963" s="30" t="s">
        <v>2009</v>
      </c>
      <c r="H6963" s="30" t="s">
        <v>2018</v>
      </c>
      <c r="J6963" s="30" t="s">
        <v>2019</v>
      </c>
      <c r="L6963" s="30" t="s">
        <v>737</v>
      </c>
      <c r="N6963" s="30" t="s">
        <v>902</v>
      </c>
      <c r="P6963" s="30" t="s">
        <v>2828</v>
      </c>
      <c r="Q6963" t="s">
        <v>735</v>
      </c>
      <c r="R6963" t="s">
        <v>917</v>
      </c>
      <c r="S6963">
        <v>36</v>
      </c>
      <c r="T6963" s="29" t="str">
        <f>HYPERLINK("https://ictv.global/ictv/proposals/2020.005F.R.Genomoviridae.zip","2020.005F.R.Genomoviridae.zip")</f>
        <v>2020.005F.R.Genomoviridae.zip</v>
      </c>
      <c r="U6963" s="29" t="str">
        <f>HYPERLINK("https://ictv.global/taxonomy/taxondetails?taxnode_id=202309080","ictv.global=202309080")</f>
        <v>ictv.global=202309080</v>
      </c>
    </row>
    <row r="6964" spans="1:21">
      <c r="A6964">
        <v>6963</v>
      </c>
      <c r="B6964" s="30" t="s">
        <v>1956</v>
      </c>
      <c r="D6964" s="30" t="s">
        <v>1985</v>
      </c>
      <c r="F6964" s="30" t="s">
        <v>2009</v>
      </c>
      <c r="H6964" s="30" t="s">
        <v>2018</v>
      </c>
      <c r="J6964" s="30" t="s">
        <v>2019</v>
      </c>
      <c r="L6964" s="30" t="s">
        <v>737</v>
      </c>
      <c r="N6964" s="30" t="s">
        <v>903</v>
      </c>
      <c r="P6964" s="30" t="s">
        <v>2829</v>
      </c>
      <c r="Q6964" t="s">
        <v>735</v>
      </c>
      <c r="R6964" t="s">
        <v>917</v>
      </c>
      <c r="S6964">
        <v>36</v>
      </c>
      <c r="T6964" s="29" t="str">
        <f>HYPERLINK("https://ictv.global/ictv/proposals/2020.005F.R.Genomoviridae.zip","2020.005F.R.Genomoviridae.zip")</f>
        <v>2020.005F.R.Genomoviridae.zip</v>
      </c>
      <c r="U6964" s="29" t="str">
        <f>HYPERLINK("https://ictv.global/taxonomy/taxondetails?taxnode_id=202309083","ictv.global=202309083")</f>
        <v>ictv.global=202309083</v>
      </c>
    </row>
    <row r="6965" spans="1:21">
      <c r="A6965">
        <v>6964</v>
      </c>
      <c r="B6965" s="30" t="s">
        <v>1956</v>
      </c>
      <c r="D6965" s="30" t="s">
        <v>1985</v>
      </c>
      <c r="F6965" s="30" t="s">
        <v>2009</v>
      </c>
      <c r="H6965" s="30" t="s">
        <v>2018</v>
      </c>
      <c r="J6965" s="30" t="s">
        <v>2019</v>
      </c>
      <c r="L6965" s="30" t="s">
        <v>737</v>
      </c>
      <c r="N6965" s="30" t="s">
        <v>903</v>
      </c>
      <c r="P6965" s="30" t="s">
        <v>2830</v>
      </c>
      <c r="Q6965" t="s">
        <v>735</v>
      </c>
      <c r="R6965" t="s">
        <v>917</v>
      </c>
      <c r="S6965">
        <v>36</v>
      </c>
      <c r="T6965" s="29" t="str">
        <f>HYPERLINK("https://ictv.global/ictv/proposals/2020.005F.R.Genomoviridae.zip","2020.005F.R.Genomoviridae.zip")</f>
        <v>2020.005F.R.Genomoviridae.zip</v>
      </c>
      <c r="U6965" s="29" t="str">
        <f>HYPERLINK("https://ictv.global/taxonomy/taxondetails?taxnode_id=202309087","ictv.global=202309087")</f>
        <v>ictv.global=202309087</v>
      </c>
    </row>
    <row r="6966" spans="1:21">
      <c r="A6966">
        <v>6965</v>
      </c>
      <c r="B6966" s="30" t="s">
        <v>1956</v>
      </c>
      <c r="D6966" s="30" t="s">
        <v>1985</v>
      </c>
      <c r="F6966" s="30" t="s">
        <v>2009</v>
      </c>
      <c r="H6966" s="30" t="s">
        <v>2018</v>
      </c>
      <c r="J6966" s="30" t="s">
        <v>2019</v>
      </c>
      <c r="L6966" s="30" t="s">
        <v>737</v>
      </c>
      <c r="N6966" s="30" t="s">
        <v>903</v>
      </c>
      <c r="P6966" s="30" t="s">
        <v>2831</v>
      </c>
      <c r="Q6966" t="s">
        <v>735</v>
      </c>
      <c r="R6966" t="s">
        <v>3895</v>
      </c>
      <c r="S6966">
        <v>36</v>
      </c>
      <c r="T6966" s="29" t="str">
        <f>HYPERLINK("https://ictv.global/ictv/proposals/2020.005F.R.Genomoviridae.zip","2020.005F.R.Genomoviridae.zip;2020.001G.R.Abolish_type_species.pdf")</f>
        <v>2020.005F.R.Genomoviridae.zip;2020.001G.R.Abolish_type_species.pdf</v>
      </c>
      <c r="U6966" s="29" t="str">
        <f>HYPERLINK("https://ictv.global/taxonomy/taxondetails?taxnode_id=202303625","ictv.global=202303625")</f>
        <v>ictv.global=202303625</v>
      </c>
    </row>
    <row r="6967" spans="1:21">
      <c r="A6967">
        <v>6966</v>
      </c>
      <c r="B6967" s="30" t="s">
        <v>1956</v>
      </c>
      <c r="D6967" s="30" t="s">
        <v>1985</v>
      </c>
      <c r="F6967" s="30" t="s">
        <v>2009</v>
      </c>
      <c r="H6967" s="30" t="s">
        <v>2018</v>
      </c>
      <c r="J6967" s="30" t="s">
        <v>2019</v>
      </c>
      <c r="L6967" s="30" t="s">
        <v>737</v>
      </c>
      <c r="N6967" s="30" t="s">
        <v>903</v>
      </c>
      <c r="P6967" s="30" t="s">
        <v>2832</v>
      </c>
      <c r="Q6967" t="s">
        <v>735</v>
      </c>
      <c r="R6967" t="s">
        <v>920</v>
      </c>
      <c r="S6967">
        <v>36</v>
      </c>
      <c r="T6967" s="29" t="str">
        <f t="shared" ref="T6967:T6980" si="303">HYPERLINK("https://ictv.global/ictv/proposals/2020.005F.R.Genomoviridae.zip","2020.005F.R.Genomoviridae.zip")</f>
        <v>2020.005F.R.Genomoviridae.zip</v>
      </c>
      <c r="U6967" s="29" t="str">
        <f>HYPERLINK("https://ictv.global/taxonomy/taxondetails?taxnode_id=202303626","ictv.global=202303626")</f>
        <v>ictv.global=202303626</v>
      </c>
    </row>
    <row r="6968" spans="1:21">
      <c r="A6968">
        <v>6967</v>
      </c>
      <c r="B6968" s="30" t="s">
        <v>1956</v>
      </c>
      <c r="D6968" s="30" t="s">
        <v>1985</v>
      </c>
      <c r="F6968" s="30" t="s">
        <v>2009</v>
      </c>
      <c r="H6968" s="30" t="s">
        <v>2018</v>
      </c>
      <c r="J6968" s="30" t="s">
        <v>2019</v>
      </c>
      <c r="L6968" s="30" t="s">
        <v>737</v>
      </c>
      <c r="N6968" s="30" t="s">
        <v>903</v>
      </c>
      <c r="P6968" s="30" t="s">
        <v>2833</v>
      </c>
      <c r="Q6968" t="s">
        <v>735</v>
      </c>
      <c r="R6968" t="s">
        <v>917</v>
      </c>
      <c r="S6968">
        <v>36</v>
      </c>
      <c r="T6968" s="29" t="str">
        <f t="shared" si="303"/>
        <v>2020.005F.R.Genomoviridae.zip</v>
      </c>
      <c r="U6968" s="29" t="str">
        <f>HYPERLINK("https://ictv.global/taxonomy/taxondetails?taxnode_id=202309084","ictv.global=202309084")</f>
        <v>ictv.global=202309084</v>
      </c>
    </row>
    <row r="6969" spans="1:21">
      <c r="A6969">
        <v>6968</v>
      </c>
      <c r="B6969" s="30" t="s">
        <v>1956</v>
      </c>
      <c r="D6969" s="30" t="s">
        <v>1985</v>
      </c>
      <c r="F6969" s="30" t="s">
        <v>2009</v>
      </c>
      <c r="H6969" s="30" t="s">
        <v>2018</v>
      </c>
      <c r="J6969" s="30" t="s">
        <v>2019</v>
      </c>
      <c r="L6969" s="30" t="s">
        <v>737</v>
      </c>
      <c r="N6969" s="30" t="s">
        <v>903</v>
      </c>
      <c r="P6969" s="30" t="s">
        <v>2834</v>
      </c>
      <c r="Q6969" t="s">
        <v>735</v>
      </c>
      <c r="R6969" t="s">
        <v>917</v>
      </c>
      <c r="S6969">
        <v>36</v>
      </c>
      <c r="T6969" s="29" t="str">
        <f t="shared" si="303"/>
        <v>2020.005F.R.Genomoviridae.zip</v>
      </c>
      <c r="U6969" s="29" t="str">
        <f>HYPERLINK("https://ictv.global/taxonomy/taxondetails?taxnode_id=202309086","ictv.global=202309086")</f>
        <v>ictv.global=202309086</v>
      </c>
    </row>
    <row r="6970" spans="1:21">
      <c r="A6970">
        <v>6969</v>
      </c>
      <c r="B6970" s="30" t="s">
        <v>1956</v>
      </c>
      <c r="D6970" s="30" t="s">
        <v>1985</v>
      </c>
      <c r="F6970" s="30" t="s">
        <v>2009</v>
      </c>
      <c r="H6970" s="30" t="s">
        <v>2018</v>
      </c>
      <c r="J6970" s="30" t="s">
        <v>2019</v>
      </c>
      <c r="L6970" s="30" t="s">
        <v>737</v>
      </c>
      <c r="N6970" s="30" t="s">
        <v>903</v>
      </c>
      <c r="P6970" s="30" t="s">
        <v>2835</v>
      </c>
      <c r="Q6970" t="s">
        <v>735</v>
      </c>
      <c r="R6970" t="s">
        <v>917</v>
      </c>
      <c r="S6970">
        <v>36</v>
      </c>
      <c r="T6970" s="29" t="str">
        <f t="shared" si="303"/>
        <v>2020.005F.R.Genomoviridae.zip</v>
      </c>
      <c r="U6970" s="29" t="str">
        <f>HYPERLINK("https://ictv.global/taxonomy/taxondetails?taxnode_id=202309088","ictv.global=202309088")</f>
        <v>ictv.global=202309088</v>
      </c>
    </row>
    <row r="6971" spans="1:21">
      <c r="A6971">
        <v>6970</v>
      </c>
      <c r="B6971" s="30" t="s">
        <v>1956</v>
      </c>
      <c r="D6971" s="30" t="s">
        <v>1985</v>
      </c>
      <c r="F6971" s="30" t="s">
        <v>2009</v>
      </c>
      <c r="H6971" s="30" t="s">
        <v>2018</v>
      </c>
      <c r="J6971" s="30" t="s">
        <v>2019</v>
      </c>
      <c r="L6971" s="30" t="s">
        <v>737</v>
      </c>
      <c r="N6971" s="30" t="s">
        <v>903</v>
      </c>
      <c r="P6971" s="30" t="s">
        <v>2836</v>
      </c>
      <c r="Q6971" t="s">
        <v>735</v>
      </c>
      <c r="R6971" t="s">
        <v>917</v>
      </c>
      <c r="S6971">
        <v>36</v>
      </c>
      <c r="T6971" s="29" t="str">
        <f t="shared" si="303"/>
        <v>2020.005F.R.Genomoviridae.zip</v>
      </c>
      <c r="U6971" s="29" t="str">
        <f>HYPERLINK("https://ictv.global/taxonomy/taxondetails?taxnode_id=202309089","ictv.global=202309089")</f>
        <v>ictv.global=202309089</v>
      </c>
    </row>
    <row r="6972" spans="1:21">
      <c r="A6972">
        <v>6971</v>
      </c>
      <c r="B6972" s="30" t="s">
        <v>1956</v>
      </c>
      <c r="D6972" s="30" t="s">
        <v>1985</v>
      </c>
      <c r="F6972" s="30" t="s">
        <v>2009</v>
      </c>
      <c r="H6972" s="30" t="s">
        <v>2018</v>
      </c>
      <c r="J6972" s="30" t="s">
        <v>2019</v>
      </c>
      <c r="L6972" s="30" t="s">
        <v>737</v>
      </c>
      <c r="N6972" s="30" t="s">
        <v>903</v>
      </c>
      <c r="P6972" s="30" t="s">
        <v>2837</v>
      </c>
      <c r="Q6972" t="s">
        <v>735</v>
      </c>
      <c r="R6972" t="s">
        <v>917</v>
      </c>
      <c r="S6972">
        <v>36</v>
      </c>
      <c r="T6972" s="29" t="str">
        <f t="shared" si="303"/>
        <v>2020.005F.R.Genomoviridae.zip</v>
      </c>
      <c r="U6972" s="29" t="str">
        <f>HYPERLINK("https://ictv.global/taxonomy/taxondetails?taxnode_id=202309090","ictv.global=202309090")</f>
        <v>ictv.global=202309090</v>
      </c>
    </row>
    <row r="6973" spans="1:21">
      <c r="A6973">
        <v>6972</v>
      </c>
      <c r="B6973" s="30" t="s">
        <v>1956</v>
      </c>
      <c r="D6973" s="30" t="s">
        <v>1985</v>
      </c>
      <c r="F6973" s="30" t="s">
        <v>2009</v>
      </c>
      <c r="H6973" s="30" t="s">
        <v>2018</v>
      </c>
      <c r="J6973" s="30" t="s">
        <v>2019</v>
      </c>
      <c r="L6973" s="30" t="s">
        <v>737</v>
      </c>
      <c r="N6973" s="30" t="s">
        <v>903</v>
      </c>
      <c r="P6973" s="30" t="s">
        <v>2838</v>
      </c>
      <c r="Q6973" t="s">
        <v>735</v>
      </c>
      <c r="R6973" t="s">
        <v>917</v>
      </c>
      <c r="S6973">
        <v>36</v>
      </c>
      <c r="T6973" s="29" t="str">
        <f t="shared" si="303"/>
        <v>2020.005F.R.Genomoviridae.zip</v>
      </c>
      <c r="U6973" s="29" t="str">
        <f>HYPERLINK("https://ictv.global/taxonomy/taxondetails?taxnode_id=202309082","ictv.global=202309082")</f>
        <v>ictv.global=202309082</v>
      </c>
    </row>
    <row r="6974" spans="1:21">
      <c r="A6974">
        <v>6973</v>
      </c>
      <c r="B6974" s="30" t="s">
        <v>1956</v>
      </c>
      <c r="D6974" s="30" t="s">
        <v>1985</v>
      </c>
      <c r="F6974" s="30" t="s">
        <v>2009</v>
      </c>
      <c r="H6974" s="30" t="s">
        <v>2018</v>
      </c>
      <c r="J6974" s="30" t="s">
        <v>2019</v>
      </c>
      <c r="L6974" s="30" t="s">
        <v>737</v>
      </c>
      <c r="N6974" s="30" t="s">
        <v>903</v>
      </c>
      <c r="P6974" s="30" t="s">
        <v>2839</v>
      </c>
      <c r="Q6974" t="s">
        <v>735</v>
      </c>
      <c r="R6974" t="s">
        <v>917</v>
      </c>
      <c r="S6974">
        <v>36</v>
      </c>
      <c r="T6974" s="29" t="str">
        <f t="shared" si="303"/>
        <v>2020.005F.R.Genomoviridae.zip</v>
      </c>
      <c r="U6974" s="29" t="str">
        <f>HYPERLINK("https://ictv.global/taxonomy/taxondetails?taxnode_id=202309081","ictv.global=202309081")</f>
        <v>ictv.global=202309081</v>
      </c>
    </row>
    <row r="6975" spans="1:21">
      <c r="A6975">
        <v>6974</v>
      </c>
      <c r="B6975" s="30" t="s">
        <v>1956</v>
      </c>
      <c r="D6975" s="30" t="s">
        <v>1985</v>
      </c>
      <c r="F6975" s="30" t="s">
        <v>2009</v>
      </c>
      <c r="H6975" s="30" t="s">
        <v>2018</v>
      </c>
      <c r="J6975" s="30" t="s">
        <v>2019</v>
      </c>
      <c r="L6975" s="30" t="s">
        <v>737</v>
      </c>
      <c r="N6975" s="30" t="s">
        <v>903</v>
      </c>
      <c r="P6975" s="30" t="s">
        <v>2840</v>
      </c>
      <c r="Q6975" t="s">
        <v>735</v>
      </c>
      <c r="R6975" t="s">
        <v>917</v>
      </c>
      <c r="S6975">
        <v>36</v>
      </c>
      <c r="T6975" s="29" t="str">
        <f t="shared" si="303"/>
        <v>2020.005F.R.Genomoviridae.zip</v>
      </c>
      <c r="U6975" s="29" t="str">
        <f>HYPERLINK("https://ictv.global/taxonomy/taxondetails?taxnode_id=202309085","ictv.global=202309085")</f>
        <v>ictv.global=202309085</v>
      </c>
    </row>
    <row r="6976" spans="1:21">
      <c r="A6976">
        <v>6975</v>
      </c>
      <c r="B6976" s="30" t="s">
        <v>1956</v>
      </c>
      <c r="D6976" s="30" t="s">
        <v>1985</v>
      </c>
      <c r="F6976" s="30" t="s">
        <v>2009</v>
      </c>
      <c r="H6976" s="30" t="s">
        <v>2018</v>
      </c>
      <c r="J6976" s="30" t="s">
        <v>2019</v>
      </c>
      <c r="L6976" s="30" t="s">
        <v>737</v>
      </c>
      <c r="N6976" s="30" t="s">
        <v>903</v>
      </c>
      <c r="P6976" s="30" t="s">
        <v>2841</v>
      </c>
      <c r="Q6976" t="s">
        <v>735</v>
      </c>
      <c r="R6976" t="s">
        <v>920</v>
      </c>
      <c r="S6976">
        <v>36</v>
      </c>
      <c r="T6976" s="29" t="str">
        <f t="shared" si="303"/>
        <v>2020.005F.R.Genomoviridae.zip</v>
      </c>
      <c r="U6976" s="29" t="str">
        <f>HYPERLINK("https://ictv.global/taxonomy/taxondetails?taxnode_id=202303627","ictv.global=202303627")</f>
        <v>ictv.global=202303627</v>
      </c>
    </row>
    <row r="6977" spans="1:21">
      <c r="A6977">
        <v>6976</v>
      </c>
      <c r="B6977" s="30" t="s">
        <v>1956</v>
      </c>
      <c r="D6977" s="30" t="s">
        <v>1985</v>
      </c>
      <c r="F6977" s="30" t="s">
        <v>2009</v>
      </c>
      <c r="H6977" s="30" t="s">
        <v>2018</v>
      </c>
      <c r="J6977" s="30" t="s">
        <v>2019</v>
      </c>
      <c r="L6977" s="30" t="s">
        <v>737</v>
      </c>
      <c r="N6977" s="30" t="s">
        <v>904</v>
      </c>
      <c r="P6977" s="30" t="s">
        <v>2842</v>
      </c>
      <c r="Q6977" t="s">
        <v>735</v>
      </c>
      <c r="R6977" t="s">
        <v>917</v>
      </c>
      <c r="S6977">
        <v>36</v>
      </c>
      <c r="T6977" s="29" t="str">
        <f t="shared" si="303"/>
        <v>2020.005F.R.Genomoviridae.zip</v>
      </c>
      <c r="U6977" s="29" t="str">
        <f>HYPERLINK("https://ictv.global/taxonomy/taxondetails?taxnode_id=202309094","ictv.global=202309094")</f>
        <v>ictv.global=202309094</v>
      </c>
    </row>
    <row r="6978" spans="1:21">
      <c r="A6978">
        <v>6977</v>
      </c>
      <c r="B6978" s="30" t="s">
        <v>1956</v>
      </c>
      <c r="D6978" s="30" t="s">
        <v>1985</v>
      </c>
      <c r="F6978" s="30" t="s">
        <v>2009</v>
      </c>
      <c r="H6978" s="30" t="s">
        <v>2018</v>
      </c>
      <c r="J6978" s="30" t="s">
        <v>2019</v>
      </c>
      <c r="L6978" s="30" t="s">
        <v>737</v>
      </c>
      <c r="N6978" s="30" t="s">
        <v>904</v>
      </c>
      <c r="P6978" s="30" t="s">
        <v>2843</v>
      </c>
      <c r="Q6978" t="s">
        <v>735</v>
      </c>
      <c r="R6978" t="s">
        <v>917</v>
      </c>
      <c r="S6978">
        <v>36</v>
      </c>
      <c r="T6978" s="29" t="str">
        <f t="shared" si="303"/>
        <v>2020.005F.R.Genomoviridae.zip</v>
      </c>
      <c r="U6978" s="29" t="str">
        <f>HYPERLINK("https://ictv.global/taxonomy/taxondetails?taxnode_id=202309093","ictv.global=202309093")</f>
        <v>ictv.global=202309093</v>
      </c>
    </row>
    <row r="6979" spans="1:21">
      <c r="A6979">
        <v>6978</v>
      </c>
      <c r="B6979" s="30" t="s">
        <v>1956</v>
      </c>
      <c r="D6979" s="30" t="s">
        <v>1985</v>
      </c>
      <c r="F6979" s="30" t="s">
        <v>2009</v>
      </c>
      <c r="H6979" s="30" t="s">
        <v>2018</v>
      </c>
      <c r="J6979" s="30" t="s">
        <v>2019</v>
      </c>
      <c r="L6979" s="30" t="s">
        <v>737</v>
      </c>
      <c r="N6979" s="30" t="s">
        <v>904</v>
      </c>
      <c r="P6979" s="30" t="s">
        <v>2844</v>
      </c>
      <c r="Q6979" t="s">
        <v>735</v>
      </c>
      <c r="R6979" t="s">
        <v>917</v>
      </c>
      <c r="S6979">
        <v>36</v>
      </c>
      <c r="T6979" s="29" t="str">
        <f t="shared" si="303"/>
        <v>2020.005F.R.Genomoviridae.zip</v>
      </c>
      <c r="U6979" s="29" t="str">
        <f>HYPERLINK("https://ictv.global/taxonomy/taxondetails?taxnode_id=202309095","ictv.global=202309095")</f>
        <v>ictv.global=202309095</v>
      </c>
    </row>
    <row r="6980" spans="1:21">
      <c r="A6980">
        <v>6979</v>
      </c>
      <c r="B6980" s="30" t="s">
        <v>1956</v>
      </c>
      <c r="D6980" s="30" t="s">
        <v>1985</v>
      </c>
      <c r="F6980" s="30" t="s">
        <v>2009</v>
      </c>
      <c r="H6980" s="30" t="s">
        <v>2018</v>
      </c>
      <c r="J6980" s="30" t="s">
        <v>2019</v>
      </c>
      <c r="L6980" s="30" t="s">
        <v>737</v>
      </c>
      <c r="N6980" s="30" t="s">
        <v>904</v>
      </c>
      <c r="P6980" s="30" t="s">
        <v>2845</v>
      </c>
      <c r="Q6980" t="s">
        <v>735</v>
      </c>
      <c r="R6980" t="s">
        <v>917</v>
      </c>
      <c r="S6980">
        <v>36</v>
      </c>
      <c r="T6980" s="29" t="str">
        <f t="shared" si="303"/>
        <v>2020.005F.R.Genomoviridae.zip</v>
      </c>
      <c r="U6980" s="29" t="str">
        <f>HYPERLINK("https://ictv.global/taxonomy/taxondetails?taxnode_id=202309091","ictv.global=202309091")</f>
        <v>ictv.global=202309091</v>
      </c>
    </row>
    <row r="6981" spans="1:21">
      <c r="A6981">
        <v>6980</v>
      </c>
      <c r="B6981" s="30" t="s">
        <v>1956</v>
      </c>
      <c r="D6981" s="30" t="s">
        <v>1985</v>
      </c>
      <c r="F6981" s="30" t="s">
        <v>2009</v>
      </c>
      <c r="H6981" s="30" t="s">
        <v>2018</v>
      </c>
      <c r="J6981" s="30" t="s">
        <v>2019</v>
      </c>
      <c r="L6981" s="30" t="s">
        <v>737</v>
      </c>
      <c r="N6981" s="30" t="s">
        <v>904</v>
      </c>
      <c r="P6981" s="30" t="s">
        <v>2846</v>
      </c>
      <c r="Q6981" t="s">
        <v>735</v>
      </c>
      <c r="R6981" t="s">
        <v>3895</v>
      </c>
      <c r="S6981">
        <v>36</v>
      </c>
      <c r="T6981" s="29" t="str">
        <f>HYPERLINK("https://ictv.global/ictv/proposals/2020.005F.R.Genomoviridae.zip","2020.005F.R.Genomoviridae.zip;2020.001G.R.Abolish_type_species.pdf")</f>
        <v>2020.005F.R.Genomoviridae.zip;2020.001G.R.Abolish_type_species.pdf</v>
      </c>
      <c r="U6981" s="29" t="str">
        <f>HYPERLINK("https://ictv.global/taxonomy/taxondetails?taxnode_id=202303629","ictv.global=202303629")</f>
        <v>ictv.global=202303629</v>
      </c>
    </row>
    <row r="6982" spans="1:21">
      <c r="A6982">
        <v>6981</v>
      </c>
      <c r="B6982" s="30" t="s">
        <v>1956</v>
      </c>
      <c r="D6982" s="30" t="s">
        <v>1985</v>
      </c>
      <c r="F6982" s="30" t="s">
        <v>2009</v>
      </c>
      <c r="H6982" s="30" t="s">
        <v>2018</v>
      </c>
      <c r="J6982" s="30" t="s">
        <v>2019</v>
      </c>
      <c r="L6982" s="30" t="s">
        <v>737</v>
      </c>
      <c r="N6982" s="30" t="s">
        <v>904</v>
      </c>
      <c r="P6982" s="30" t="s">
        <v>2847</v>
      </c>
      <c r="Q6982" t="s">
        <v>735</v>
      </c>
      <c r="R6982" t="s">
        <v>917</v>
      </c>
      <c r="S6982">
        <v>36</v>
      </c>
      <c r="T6982" s="29" t="str">
        <f>HYPERLINK("https://ictv.global/ictv/proposals/2020.005F.R.Genomoviridae.zip","2020.005F.R.Genomoviridae.zip")</f>
        <v>2020.005F.R.Genomoviridae.zip</v>
      </c>
      <c r="U6982" s="29" t="str">
        <f>HYPERLINK("https://ictv.global/taxonomy/taxondetails?taxnode_id=202309092","ictv.global=202309092")</f>
        <v>ictv.global=202309092</v>
      </c>
    </row>
    <row r="6983" spans="1:21">
      <c r="A6983">
        <v>6982</v>
      </c>
      <c r="B6983" s="30" t="s">
        <v>1956</v>
      </c>
      <c r="D6983" s="30" t="s">
        <v>1985</v>
      </c>
      <c r="F6983" s="30" t="s">
        <v>2009</v>
      </c>
      <c r="H6983" s="30" t="s">
        <v>2018</v>
      </c>
      <c r="J6983" s="30" t="s">
        <v>2019</v>
      </c>
      <c r="L6983" s="30" t="s">
        <v>737</v>
      </c>
      <c r="N6983" s="30" t="s">
        <v>904</v>
      </c>
      <c r="P6983" s="30" t="s">
        <v>2848</v>
      </c>
      <c r="Q6983" t="s">
        <v>735</v>
      </c>
      <c r="R6983" t="s">
        <v>917</v>
      </c>
      <c r="S6983">
        <v>36</v>
      </c>
      <c r="T6983" s="29" t="str">
        <f>HYPERLINK("https://ictv.global/ictv/proposals/2020.005F.R.Genomoviridae.zip","2020.005F.R.Genomoviridae.zip")</f>
        <v>2020.005F.R.Genomoviridae.zip</v>
      </c>
      <c r="U6983" s="29" t="str">
        <f>HYPERLINK("https://ictv.global/taxonomy/taxondetails?taxnode_id=202309096","ictv.global=202309096")</f>
        <v>ictv.global=202309096</v>
      </c>
    </row>
    <row r="6984" spans="1:21">
      <c r="A6984">
        <v>6983</v>
      </c>
      <c r="B6984" s="30" t="s">
        <v>1956</v>
      </c>
      <c r="D6984" s="30" t="s">
        <v>1985</v>
      </c>
      <c r="F6984" s="30" t="s">
        <v>2009</v>
      </c>
      <c r="H6984" s="30" t="s">
        <v>2018</v>
      </c>
      <c r="J6984" s="30" t="s">
        <v>2019</v>
      </c>
      <c r="L6984" s="30" t="s">
        <v>737</v>
      </c>
      <c r="N6984" s="30" t="s">
        <v>905</v>
      </c>
      <c r="P6984" s="30" t="s">
        <v>2849</v>
      </c>
      <c r="Q6984" t="s">
        <v>735</v>
      </c>
      <c r="R6984" t="s">
        <v>3895</v>
      </c>
      <c r="S6984">
        <v>36</v>
      </c>
      <c r="T6984" s="29" t="str">
        <f>HYPERLINK("https://ictv.global/ictv/proposals/2020.005F.R.Genomoviridae.zip","2020.005F.R.Genomoviridae.zip;2020.001G.R.Abolish_type_species.pdf")</f>
        <v>2020.005F.R.Genomoviridae.zip;2020.001G.R.Abolish_type_species.pdf</v>
      </c>
      <c r="U6984" s="29" t="str">
        <f>HYPERLINK("https://ictv.global/taxonomy/taxondetails?taxnode_id=202303631","ictv.global=202303631")</f>
        <v>ictv.global=202303631</v>
      </c>
    </row>
    <row r="6985" spans="1:21">
      <c r="A6985">
        <v>6984</v>
      </c>
      <c r="B6985" s="30" t="s">
        <v>1956</v>
      </c>
      <c r="D6985" s="30" t="s">
        <v>1985</v>
      </c>
      <c r="F6985" s="30" t="s">
        <v>2009</v>
      </c>
      <c r="H6985" s="30" t="s">
        <v>2018</v>
      </c>
      <c r="J6985" s="30" t="s">
        <v>2019</v>
      </c>
      <c r="L6985" s="30" t="s">
        <v>737</v>
      </c>
      <c r="N6985" s="30" t="s">
        <v>2850</v>
      </c>
      <c r="P6985" s="30" t="s">
        <v>2851</v>
      </c>
      <c r="Q6985" t="s">
        <v>735</v>
      </c>
      <c r="R6985" t="s">
        <v>917</v>
      </c>
      <c r="S6985">
        <v>36</v>
      </c>
      <c r="T6985" s="29" t="str">
        <f>HYPERLINK("https://ictv.global/ictv/proposals/2020.005F.R.Genomoviridae.zip","2020.005F.R.Genomoviridae.zip")</f>
        <v>2020.005F.R.Genomoviridae.zip</v>
      </c>
      <c r="U6985" s="29" t="str">
        <f>HYPERLINK("https://ictv.global/taxonomy/taxondetails?taxnode_id=202309100","ictv.global=202309100")</f>
        <v>ictv.global=202309100</v>
      </c>
    </row>
    <row r="6986" spans="1:21">
      <c r="A6986">
        <v>6985</v>
      </c>
      <c r="B6986" s="30" t="s">
        <v>1956</v>
      </c>
      <c r="D6986" s="30" t="s">
        <v>1985</v>
      </c>
      <c r="F6986" s="30" t="s">
        <v>2009</v>
      </c>
      <c r="H6986" s="30" t="s">
        <v>2018</v>
      </c>
      <c r="J6986" s="30" t="s">
        <v>2019</v>
      </c>
      <c r="L6986" s="30" t="s">
        <v>737</v>
      </c>
      <c r="N6986" s="30" t="s">
        <v>906</v>
      </c>
      <c r="P6986" s="30" t="s">
        <v>2852</v>
      </c>
      <c r="Q6986" t="s">
        <v>735</v>
      </c>
      <c r="R6986" t="s">
        <v>3895</v>
      </c>
      <c r="S6986">
        <v>36</v>
      </c>
      <c r="T6986" s="29" t="str">
        <f>HYPERLINK("https://ictv.global/ictv/proposals/2020.005F.R.Genomoviridae.zip","2020.005F.R.Genomoviridae.zip;2020.001G.R.Abolish_type_species.pdf")</f>
        <v>2020.005F.R.Genomoviridae.zip;2020.001G.R.Abolish_type_species.pdf</v>
      </c>
      <c r="U6986" s="29" t="str">
        <f>HYPERLINK("https://ictv.global/taxonomy/taxondetails?taxnode_id=202303633","ictv.global=202303633")</f>
        <v>ictv.global=202303633</v>
      </c>
    </row>
    <row r="6987" spans="1:21">
      <c r="A6987">
        <v>6986</v>
      </c>
      <c r="B6987" s="30" t="s">
        <v>1956</v>
      </c>
      <c r="D6987" s="30" t="s">
        <v>1985</v>
      </c>
      <c r="F6987" s="30" t="s">
        <v>2009</v>
      </c>
      <c r="H6987" s="30" t="s">
        <v>2018</v>
      </c>
      <c r="J6987" s="30" t="s">
        <v>2019</v>
      </c>
      <c r="L6987" s="30" t="s">
        <v>737</v>
      </c>
      <c r="N6987" s="30" t="s">
        <v>906</v>
      </c>
      <c r="P6987" s="30" t="s">
        <v>2853</v>
      </c>
      <c r="Q6987" t="s">
        <v>735</v>
      </c>
      <c r="R6987" t="s">
        <v>917</v>
      </c>
      <c r="S6987">
        <v>36</v>
      </c>
      <c r="T6987" s="29" t="str">
        <f>HYPERLINK("https://ictv.global/ictv/proposals/2020.005F.R.Genomoviridae.zip","2020.005F.R.Genomoviridae.zip")</f>
        <v>2020.005F.R.Genomoviridae.zip</v>
      </c>
      <c r="U6987" s="29" t="str">
        <f>HYPERLINK("https://ictv.global/taxonomy/taxondetails?taxnode_id=202309097","ictv.global=202309097")</f>
        <v>ictv.global=202309097</v>
      </c>
    </row>
    <row r="6988" spans="1:21">
      <c r="A6988">
        <v>6987</v>
      </c>
      <c r="B6988" s="30" t="s">
        <v>1956</v>
      </c>
      <c r="D6988" s="30" t="s">
        <v>1985</v>
      </c>
      <c r="F6988" s="30" t="s">
        <v>2009</v>
      </c>
      <c r="H6988" s="30" t="s">
        <v>2018</v>
      </c>
      <c r="J6988" s="30" t="s">
        <v>2019</v>
      </c>
      <c r="L6988" s="30" t="s">
        <v>737</v>
      </c>
      <c r="N6988" s="30" t="s">
        <v>906</v>
      </c>
      <c r="P6988" s="30" t="s">
        <v>2854</v>
      </c>
      <c r="Q6988" t="s">
        <v>735</v>
      </c>
      <c r="R6988" t="s">
        <v>917</v>
      </c>
      <c r="S6988">
        <v>36</v>
      </c>
      <c r="T6988" s="29" t="str">
        <f>HYPERLINK("https://ictv.global/ictv/proposals/2020.005F.R.Genomoviridae.zip","2020.005F.R.Genomoviridae.zip")</f>
        <v>2020.005F.R.Genomoviridae.zip</v>
      </c>
      <c r="U6988" s="29" t="str">
        <f>HYPERLINK("https://ictv.global/taxonomy/taxondetails?taxnode_id=202309098","ictv.global=202309098")</f>
        <v>ictv.global=202309098</v>
      </c>
    </row>
    <row r="6989" spans="1:21">
      <c r="A6989">
        <v>6988</v>
      </c>
      <c r="B6989" s="30" t="s">
        <v>1956</v>
      </c>
      <c r="D6989" s="30" t="s">
        <v>1985</v>
      </c>
      <c r="F6989" s="30" t="s">
        <v>2009</v>
      </c>
      <c r="H6989" s="30" t="s">
        <v>2018</v>
      </c>
      <c r="J6989" s="30" t="s">
        <v>2019</v>
      </c>
      <c r="L6989" s="30" t="s">
        <v>13883</v>
      </c>
      <c r="N6989" s="30" t="s">
        <v>13884</v>
      </c>
      <c r="P6989" s="30" t="s">
        <v>13885</v>
      </c>
      <c r="Q6989" t="s">
        <v>735</v>
      </c>
      <c r="R6989" t="s">
        <v>917</v>
      </c>
      <c r="S6989">
        <v>39</v>
      </c>
      <c r="T6989" s="29" t="str">
        <f t="shared" ref="T6989:T7018" si="304">HYPERLINK("https://ictv.global/ictv/proposals/2023.020D.Geplafuvirales_1nf_18ng_30nsp.zip","2023.020D.Geplafuvirales_1nf_18ng_30nsp.zip")</f>
        <v>2023.020D.Geplafuvirales_1nf_18ng_30nsp.zip</v>
      </c>
      <c r="U6989" s="29" t="str">
        <f>HYPERLINK("https://ictv.global/taxonomy/taxondetails?taxnode_id=202318484","ictv.global=202318484")</f>
        <v>ictv.global=202318484</v>
      </c>
    </row>
    <row r="6990" spans="1:21">
      <c r="A6990">
        <v>6989</v>
      </c>
      <c r="B6990" s="30" t="s">
        <v>1956</v>
      </c>
      <c r="D6990" s="30" t="s">
        <v>1985</v>
      </c>
      <c r="F6990" s="30" t="s">
        <v>2009</v>
      </c>
      <c r="H6990" s="30" t="s">
        <v>2018</v>
      </c>
      <c r="J6990" s="30" t="s">
        <v>2019</v>
      </c>
      <c r="L6990" s="30" t="s">
        <v>13883</v>
      </c>
      <c r="N6990" s="30" t="s">
        <v>13884</v>
      </c>
      <c r="P6990" s="30" t="s">
        <v>13886</v>
      </c>
      <c r="Q6990" t="s">
        <v>735</v>
      </c>
      <c r="R6990" t="s">
        <v>917</v>
      </c>
      <c r="S6990">
        <v>39</v>
      </c>
      <c r="T6990" s="29" t="str">
        <f t="shared" si="304"/>
        <v>2023.020D.Geplafuvirales_1nf_18ng_30nsp.zip</v>
      </c>
      <c r="U6990" s="29" t="str">
        <f>HYPERLINK("https://ictv.global/taxonomy/taxondetails?taxnode_id=202318485","ictv.global=202318485")</f>
        <v>ictv.global=202318485</v>
      </c>
    </row>
    <row r="6991" spans="1:21">
      <c r="A6991">
        <v>6990</v>
      </c>
      <c r="B6991" s="30" t="s">
        <v>1956</v>
      </c>
      <c r="D6991" s="30" t="s">
        <v>1985</v>
      </c>
      <c r="F6991" s="30" t="s">
        <v>2009</v>
      </c>
      <c r="H6991" s="30" t="s">
        <v>2018</v>
      </c>
      <c r="J6991" s="30" t="s">
        <v>2019</v>
      </c>
      <c r="L6991" s="30" t="s">
        <v>13883</v>
      </c>
      <c r="N6991" s="30" t="s">
        <v>13887</v>
      </c>
      <c r="P6991" s="30" t="s">
        <v>13888</v>
      </c>
      <c r="Q6991" t="s">
        <v>735</v>
      </c>
      <c r="R6991" t="s">
        <v>917</v>
      </c>
      <c r="S6991">
        <v>39</v>
      </c>
      <c r="T6991" s="29" t="str">
        <f t="shared" si="304"/>
        <v>2023.020D.Geplafuvirales_1nf_18ng_30nsp.zip</v>
      </c>
      <c r="U6991" s="29" t="str">
        <f>HYPERLINK("https://ictv.global/taxonomy/taxondetails?taxnode_id=202318472","ictv.global=202318472")</f>
        <v>ictv.global=202318472</v>
      </c>
    </row>
    <row r="6992" spans="1:21">
      <c r="A6992">
        <v>6991</v>
      </c>
      <c r="B6992" s="30" t="s">
        <v>1956</v>
      </c>
      <c r="D6992" s="30" t="s">
        <v>1985</v>
      </c>
      <c r="F6992" s="30" t="s">
        <v>2009</v>
      </c>
      <c r="H6992" s="30" t="s">
        <v>2018</v>
      </c>
      <c r="J6992" s="30" t="s">
        <v>2019</v>
      </c>
      <c r="L6992" s="30" t="s">
        <v>13883</v>
      </c>
      <c r="N6992" s="30" t="s">
        <v>13887</v>
      </c>
      <c r="P6992" s="30" t="s">
        <v>13889</v>
      </c>
      <c r="Q6992" t="s">
        <v>735</v>
      </c>
      <c r="R6992" t="s">
        <v>917</v>
      </c>
      <c r="S6992">
        <v>39</v>
      </c>
      <c r="T6992" s="29" t="str">
        <f t="shared" si="304"/>
        <v>2023.020D.Geplafuvirales_1nf_18ng_30nsp.zip</v>
      </c>
      <c r="U6992" s="29" t="str">
        <f>HYPERLINK("https://ictv.global/taxonomy/taxondetails?taxnode_id=202318471","ictv.global=202318471")</f>
        <v>ictv.global=202318471</v>
      </c>
    </row>
    <row r="6993" spans="1:21">
      <c r="A6993">
        <v>6992</v>
      </c>
      <c r="B6993" s="30" t="s">
        <v>1956</v>
      </c>
      <c r="D6993" s="30" t="s">
        <v>1985</v>
      </c>
      <c r="F6993" s="30" t="s">
        <v>2009</v>
      </c>
      <c r="H6993" s="30" t="s">
        <v>2018</v>
      </c>
      <c r="J6993" s="30" t="s">
        <v>2019</v>
      </c>
      <c r="L6993" s="30" t="s">
        <v>13883</v>
      </c>
      <c r="N6993" s="30" t="s">
        <v>13890</v>
      </c>
      <c r="P6993" s="30" t="s">
        <v>13891</v>
      </c>
      <c r="Q6993" t="s">
        <v>735</v>
      </c>
      <c r="R6993" t="s">
        <v>917</v>
      </c>
      <c r="S6993">
        <v>39</v>
      </c>
      <c r="T6993" s="29" t="str">
        <f t="shared" si="304"/>
        <v>2023.020D.Geplafuvirales_1nf_18ng_30nsp.zip</v>
      </c>
      <c r="U6993" s="29" t="str">
        <f>HYPERLINK("https://ictv.global/taxonomy/taxondetails?taxnode_id=202318463","ictv.global=202318463")</f>
        <v>ictv.global=202318463</v>
      </c>
    </row>
    <row r="6994" spans="1:21">
      <c r="A6994">
        <v>6993</v>
      </c>
      <c r="B6994" s="30" t="s">
        <v>1956</v>
      </c>
      <c r="D6994" s="30" t="s">
        <v>1985</v>
      </c>
      <c r="F6994" s="30" t="s">
        <v>2009</v>
      </c>
      <c r="H6994" s="30" t="s">
        <v>2018</v>
      </c>
      <c r="J6994" s="30" t="s">
        <v>2019</v>
      </c>
      <c r="L6994" s="30" t="s">
        <v>13883</v>
      </c>
      <c r="N6994" s="30" t="s">
        <v>13890</v>
      </c>
      <c r="P6994" s="30" t="s">
        <v>13892</v>
      </c>
      <c r="Q6994" t="s">
        <v>735</v>
      </c>
      <c r="R6994" t="s">
        <v>917</v>
      </c>
      <c r="S6994">
        <v>39</v>
      </c>
      <c r="T6994" s="29" t="str">
        <f t="shared" si="304"/>
        <v>2023.020D.Geplafuvirales_1nf_18ng_30nsp.zip</v>
      </c>
      <c r="U6994" s="29" t="str">
        <f>HYPERLINK("https://ictv.global/taxonomy/taxondetails?taxnode_id=202318464","ictv.global=202318464")</f>
        <v>ictv.global=202318464</v>
      </c>
    </row>
    <row r="6995" spans="1:21">
      <c r="A6995">
        <v>6994</v>
      </c>
      <c r="B6995" s="30" t="s">
        <v>1956</v>
      </c>
      <c r="D6995" s="30" t="s">
        <v>1985</v>
      </c>
      <c r="F6995" s="30" t="s">
        <v>2009</v>
      </c>
      <c r="H6995" s="30" t="s">
        <v>2018</v>
      </c>
      <c r="J6995" s="30" t="s">
        <v>2019</v>
      </c>
      <c r="L6995" s="30" t="s">
        <v>13883</v>
      </c>
      <c r="N6995" s="30" t="s">
        <v>13890</v>
      </c>
      <c r="P6995" s="30" t="s">
        <v>13893</v>
      </c>
      <c r="Q6995" t="s">
        <v>735</v>
      </c>
      <c r="R6995" t="s">
        <v>917</v>
      </c>
      <c r="S6995">
        <v>39</v>
      </c>
      <c r="T6995" s="29" t="str">
        <f t="shared" si="304"/>
        <v>2023.020D.Geplafuvirales_1nf_18ng_30nsp.zip</v>
      </c>
      <c r="U6995" s="29" t="str">
        <f>HYPERLINK("https://ictv.global/taxonomy/taxondetails?taxnode_id=202318462","ictv.global=202318462")</f>
        <v>ictv.global=202318462</v>
      </c>
    </row>
    <row r="6996" spans="1:21">
      <c r="A6996">
        <v>6995</v>
      </c>
      <c r="B6996" s="30" t="s">
        <v>1956</v>
      </c>
      <c r="D6996" s="30" t="s">
        <v>1985</v>
      </c>
      <c r="F6996" s="30" t="s">
        <v>2009</v>
      </c>
      <c r="H6996" s="30" t="s">
        <v>2018</v>
      </c>
      <c r="J6996" s="30" t="s">
        <v>2019</v>
      </c>
      <c r="L6996" s="30" t="s">
        <v>13883</v>
      </c>
      <c r="N6996" s="30" t="s">
        <v>13890</v>
      </c>
      <c r="P6996" s="30" t="s">
        <v>13894</v>
      </c>
      <c r="Q6996" t="s">
        <v>735</v>
      </c>
      <c r="R6996" t="s">
        <v>917</v>
      </c>
      <c r="S6996">
        <v>39</v>
      </c>
      <c r="T6996" s="29" t="str">
        <f t="shared" si="304"/>
        <v>2023.020D.Geplafuvirales_1nf_18ng_30nsp.zip</v>
      </c>
      <c r="U6996" s="29" t="str">
        <f>HYPERLINK("https://ictv.global/taxonomy/taxondetails?taxnode_id=202318465","ictv.global=202318465")</f>
        <v>ictv.global=202318465</v>
      </c>
    </row>
    <row r="6997" spans="1:21">
      <c r="A6997">
        <v>6996</v>
      </c>
      <c r="B6997" s="30" t="s">
        <v>1956</v>
      </c>
      <c r="D6997" s="30" t="s">
        <v>1985</v>
      </c>
      <c r="F6997" s="30" t="s">
        <v>2009</v>
      </c>
      <c r="H6997" s="30" t="s">
        <v>2018</v>
      </c>
      <c r="J6997" s="30" t="s">
        <v>2019</v>
      </c>
      <c r="L6997" s="30" t="s">
        <v>13883</v>
      </c>
      <c r="N6997" s="30" t="s">
        <v>13895</v>
      </c>
      <c r="P6997" s="30" t="s">
        <v>13896</v>
      </c>
      <c r="Q6997" t="s">
        <v>735</v>
      </c>
      <c r="R6997" t="s">
        <v>917</v>
      </c>
      <c r="S6997">
        <v>39</v>
      </c>
      <c r="T6997" s="29" t="str">
        <f t="shared" si="304"/>
        <v>2023.020D.Geplafuvirales_1nf_18ng_30nsp.zip</v>
      </c>
      <c r="U6997" s="29" t="str">
        <f>HYPERLINK("https://ictv.global/taxonomy/taxondetails?taxnode_id=202318467","ictv.global=202318467")</f>
        <v>ictv.global=202318467</v>
      </c>
    </row>
    <row r="6998" spans="1:21">
      <c r="A6998">
        <v>6997</v>
      </c>
      <c r="B6998" s="30" t="s">
        <v>1956</v>
      </c>
      <c r="D6998" s="30" t="s">
        <v>1985</v>
      </c>
      <c r="F6998" s="30" t="s">
        <v>2009</v>
      </c>
      <c r="H6998" s="30" t="s">
        <v>2018</v>
      </c>
      <c r="J6998" s="30" t="s">
        <v>2019</v>
      </c>
      <c r="L6998" s="30" t="s">
        <v>13883</v>
      </c>
      <c r="N6998" s="30" t="s">
        <v>13897</v>
      </c>
      <c r="P6998" s="30" t="s">
        <v>13898</v>
      </c>
      <c r="Q6998" t="s">
        <v>735</v>
      </c>
      <c r="R6998" t="s">
        <v>917</v>
      </c>
      <c r="S6998">
        <v>39</v>
      </c>
      <c r="T6998" s="29" t="str">
        <f t="shared" si="304"/>
        <v>2023.020D.Geplafuvirales_1nf_18ng_30nsp.zip</v>
      </c>
      <c r="U6998" s="29" t="str">
        <f>HYPERLINK("https://ictv.global/taxonomy/taxondetails?taxnode_id=202318461","ictv.global=202318461")</f>
        <v>ictv.global=202318461</v>
      </c>
    </row>
    <row r="6999" spans="1:21">
      <c r="A6999">
        <v>6998</v>
      </c>
      <c r="B6999" s="30" t="s">
        <v>1956</v>
      </c>
      <c r="D6999" s="30" t="s">
        <v>1985</v>
      </c>
      <c r="F6999" s="30" t="s">
        <v>2009</v>
      </c>
      <c r="H6999" s="30" t="s">
        <v>2018</v>
      </c>
      <c r="J6999" s="30" t="s">
        <v>2019</v>
      </c>
      <c r="L6999" s="30" t="s">
        <v>13883</v>
      </c>
      <c r="N6999" s="30" t="s">
        <v>13899</v>
      </c>
      <c r="P6999" s="30" t="s">
        <v>13900</v>
      </c>
      <c r="Q6999" t="s">
        <v>735</v>
      </c>
      <c r="R6999" t="s">
        <v>917</v>
      </c>
      <c r="S6999">
        <v>39</v>
      </c>
      <c r="T6999" s="29" t="str">
        <f t="shared" si="304"/>
        <v>2023.020D.Geplafuvirales_1nf_18ng_30nsp.zip</v>
      </c>
      <c r="U6999" s="29" t="str">
        <f>HYPERLINK("https://ictv.global/taxonomy/taxondetails?taxnode_id=202318477","ictv.global=202318477")</f>
        <v>ictv.global=202318477</v>
      </c>
    </row>
    <row r="7000" spans="1:21">
      <c r="A7000">
        <v>6999</v>
      </c>
      <c r="B7000" s="30" t="s">
        <v>1956</v>
      </c>
      <c r="D7000" s="30" t="s">
        <v>1985</v>
      </c>
      <c r="F7000" s="30" t="s">
        <v>2009</v>
      </c>
      <c r="H7000" s="30" t="s">
        <v>2018</v>
      </c>
      <c r="J7000" s="30" t="s">
        <v>2019</v>
      </c>
      <c r="L7000" s="30" t="s">
        <v>13883</v>
      </c>
      <c r="N7000" s="30" t="s">
        <v>13901</v>
      </c>
      <c r="P7000" s="30" t="s">
        <v>13902</v>
      </c>
      <c r="Q7000" t="s">
        <v>735</v>
      </c>
      <c r="R7000" t="s">
        <v>917</v>
      </c>
      <c r="S7000">
        <v>39</v>
      </c>
      <c r="T7000" s="29" t="str">
        <f t="shared" si="304"/>
        <v>2023.020D.Geplafuvirales_1nf_18ng_30nsp.zip</v>
      </c>
      <c r="U7000" s="29" t="str">
        <f>HYPERLINK("https://ictv.global/taxonomy/taxondetails?taxnode_id=202318460","ictv.global=202318460")</f>
        <v>ictv.global=202318460</v>
      </c>
    </row>
    <row r="7001" spans="1:21">
      <c r="A7001">
        <v>7000</v>
      </c>
      <c r="B7001" s="30" t="s">
        <v>1956</v>
      </c>
      <c r="D7001" s="30" t="s">
        <v>1985</v>
      </c>
      <c r="F7001" s="30" t="s">
        <v>2009</v>
      </c>
      <c r="H7001" s="30" t="s">
        <v>2018</v>
      </c>
      <c r="J7001" s="30" t="s">
        <v>2019</v>
      </c>
      <c r="L7001" s="30" t="s">
        <v>13883</v>
      </c>
      <c r="N7001" s="30" t="s">
        <v>13903</v>
      </c>
      <c r="P7001" s="30" t="s">
        <v>13904</v>
      </c>
      <c r="Q7001" t="s">
        <v>735</v>
      </c>
      <c r="R7001" t="s">
        <v>917</v>
      </c>
      <c r="S7001">
        <v>39</v>
      </c>
      <c r="T7001" s="29" t="str">
        <f t="shared" si="304"/>
        <v>2023.020D.Geplafuvirales_1nf_18ng_30nsp.zip</v>
      </c>
      <c r="U7001" s="29" t="str">
        <f>HYPERLINK("https://ictv.global/taxonomy/taxondetails?taxnode_id=202318475","ictv.global=202318475")</f>
        <v>ictv.global=202318475</v>
      </c>
    </row>
    <row r="7002" spans="1:21">
      <c r="A7002">
        <v>7001</v>
      </c>
      <c r="B7002" s="30" t="s">
        <v>1956</v>
      </c>
      <c r="D7002" s="30" t="s">
        <v>1985</v>
      </c>
      <c r="F7002" s="30" t="s">
        <v>2009</v>
      </c>
      <c r="H7002" s="30" t="s">
        <v>2018</v>
      </c>
      <c r="J7002" s="30" t="s">
        <v>2019</v>
      </c>
      <c r="L7002" s="30" t="s">
        <v>13883</v>
      </c>
      <c r="N7002" s="30" t="s">
        <v>13903</v>
      </c>
      <c r="P7002" s="30" t="s">
        <v>13905</v>
      </c>
      <c r="Q7002" t="s">
        <v>735</v>
      </c>
      <c r="R7002" t="s">
        <v>917</v>
      </c>
      <c r="S7002">
        <v>39</v>
      </c>
      <c r="T7002" s="29" t="str">
        <f t="shared" si="304"/>
        <v>2023.020D.Geplafuvirales_1nf_18ng_30nsp.zip</v>
      </c>
      <c r="U7002" s="29" t="str">
        <f>HYPERLINK("https://ictv.global/taxonomy/taxondetails?taxnode_id=202318476","ictv.global=202318476")</f>
        <v>ictv.global=202318476</v>
      </c>
    </row>
    <row r="7003" spans="1:21">
      <c r="A7003">
        <v>7002</v>
      </c>
      <c r="B7003" s="30" t="s">
        <v>1956</v>
      </c>
      <c r="D7003" s="30" t="s">
        <v>1985</v>
      </c>
      <c r="F7003" s="30" t="s">
        <v>2009</v>
      </c>
      <c r="H7003" s="30" t="s">
        <v>2018</v>
      </c>
      <c r="J7003" s="30" t="s">
        <v>2019</v>
      </c>
      <c r="L7003" s="30" t="s">
        <v>13883</v>
      </c>
      <c r="N7003" s="30" t="s">
        <v>13906</v>
      </c>
      <c r="P7003" s="30" t="s">
        <v>13907</v>
      </c>
      <c r="Q7003" t="s">
        <v>735</v>
      </c>
      <c r="R7003" t="s">
        <v>917</v>
      </c>
      <c r="S7003">
        <v>39</v>
      </c>
      <c r="T7003" s="29" t="str">
        <f t="shared" si="304"/>
        <v>2023.020D.Geplafuvirales_1nf_18ng_30nsp.zip</v>
      </c>
      <c r="U7003" s="29" t="str">
        <f>HYPERLINK("https://ictv.global/taxonomy/taxondetails?taxnode_id=202318479","ictv.global=202318479")</f>
        <v>ictv.global=202318479</v>
      </c>
    </row>
    <row r="7004" spans="1:21">
      <c r="A7004">
        <v>7003</v>
      </c>
      <c r="B7004" s="30" t="s">
        <v>1956</v>
      </c>
      <c r="D7004" s="30" t="s">
        <v>1985</v>
      </c>
      <c r="F7004" s="30" t="s">
        <v>2009</v>
      </c>
      <c r="H7004" s="30" t="s">
        <v>2018</v>
      </c>
      <c r="J7004" s="30" t="s">
        <v>2019</v>
      </c>
      <c r="L7004" s="30" t="s">
        <v>13883</v>
      </c>
      <c r="N7004" s="30" t="s">
        <v>13906</v>
      </c>
      <c r="P7004" s="30" t="s">
        <v>13908</v>
      </c>
      <c r="Q7004" t="s">
        <v>735</v>
      </c>
      <c r="R7004" t="s">
        <v>917</v>
      </c>
      <c r="S7004">
        <v>39</v>
      </c>
      <c r="T7004" s="29" t="str">
        <f t="shared" si="304"/>
        <v>2023.020D.Geplafuvirales_1nf_18ng_30nsp.zip</v>
      </c>
      <c r="U7004" s="29" t="str">
        <f>HYPERLINK("https://ictv.global/taxonomy/taxondetails?taxnode_id=202318478","ictv.global=202318478")</f>
        <v>ictv.global=202318478</v>
      </c>
    </row>
    <row r="7005" spans="1:21">
      <c r="A7005">
        <v>7004</v>
      </c>
      <c r="B7005" s="30" t="s">
        <v>1956</v>
      </c>
      <c r="D7005" s="30" t="s">
        <v>1985</v>
      </c>
      <c r="F7005" s="30" t="s">
        <v>2009</v>
      </c>
      <c r="H7005" s="30" t="s">
        <v>2018</v>
      </c>
      <c r="J7005" s="30" t="s">
        <v>2019</v>
      </c>
      <c r="L7005" s="30" t="s">
        <v>13883</v>
      </c>
      <c r="N7005" s="30" t="s">
        <v>13909</v>
      </c>
      <c r="P7005" s="30" t="s">
        <v>13910</v>
      </c>
      <c r="Q7005" t="s">
        <v>735</v>
      </c>
      <c r="R7005" t="s">
        <v>917</v>
      </c>
      <c r="S7005">
        <v>39</v>
      </c>
      <c r="T7005" s="29" t="str">
        <f t="shared" si="304"/>
        <v>2023.020D.Geplafuvirales_1nf_18ng_30nsp.zip</v>
      </c>
      <c r="U7005" s="29" t="str">
        <f>HYPERLINK("https://ictv.global/taxonomy/taxondetails?taxnode_id=202318486","ictv.global=202318486")</f>
        <v>ictv.global=202318486</v>
      </c>
    </row>
    <row r="7006" spans="1:21">
      <c r="A7006">
        <v>7005</v>
      </c>
      <c r="B7006" s="30" t="s">
        <v>1956</v>
      </c>
      <c r="D7006" s="30" t="s">
        <v>1985</v>
      </c>
      <c r="F7006" s="30" t="s">
        <v>2009</v>
      </c>
      <c r="H7006" s="30" t="s">
        <v>2018</v>
      </c>
      <c r="J7006" s="30" t="s">
        <v>2019</v>
      </c>
      <c r="L7006" s="30" t="s">
        <v>13883</v>
      </c>
      <c r="N7006" s="30" t="s">
        <v>13911</v>
      </c>
      <c r="P7006" s="30" t="s">
        <v>13912</v>
      </c>
      <c r="Q7006" t="s">
        <v>735</v>
      </c>
      <c r="R7006" t="s">
        <v>917</v>
      </c>
      <c r="S7006">
        <v>39</v>
      </c>
      <c r="T7006" s="29" t="str">
        <f t="shared" si="304"/>
        <v>2023.020D.Geplafuvirales_1nf_18ng_30nsp.zip</v>
      </c>
      <c r="U7006" s="29" t="str">
        <f>HYPERLINK("https://ictv.global/taxonomy/taxondetails?taxnode_id=202318469","ictv.global=202318469")</f>
        <v>ictv.global=202318469</v>
      </c>
    </row>
    <row r="7007" spans="1:21">
      <c r="A7007">
        <v>7006</v>
      </c>
      <c r="B7007" s="30" t="s">
        <v>1956</v>
      </c>
      <c r="D7007" s="30" t="s">
        <v>1985</v>
      </c>
      <c r="F7007" s="30" t="s">
        <v>2009</v>
      </c>
      <c r="H7007" s="30" t="s">
        <v>2018</v>
      </c>
      <c r="J7007" s="30" t="s">
        <v>2019</v>
      </c>
      <c r="L7007" s="30" t="s">
        <v>13883</v>
      </c>
      <c r="N7007" s="30" t="s">
        <v>13911</v>
      </c>
      <c r="P7007" s="30" t="s">
        <v>13913</v>
      </c>
      <c r="Q7007" t="s">
        <v>735</v>
      </c>
      <c r="R7007" t="s">
        <v>917</v>
      </c>
      <c r="S7007">
        <v>39</v>
      </c>
      <c r="T7007" s="29" t="str">
        <f t="shared" si="304"/>
        <v>2023.020D.Geplafuvirales_1nf_18ng_30nsp.zip</v>
      </c>
      <c r="U7007" s="29" t="str">
        <f>HYPERLINK("https://ictv.global/taxonomy/taxondetails?taxnode_id=202318470","ictv.global=202318470")</f>
        <v>ictv.global=202318470</v>
      </c>
    </row>
    <row r="7008" spans="1:21">
      <c r="A7008">
        <v>7007</v>
      </c>
      <c r="B7008" s="30" t="s">
        <v>1956</v>
      </c>
      <c r="D7008" s="30" t="s">
        <v>1985</v>
      </c>
      <c r="F7008" s="30" t="s">
        <v>2009</v>
      </c>
      <c r="H7008" s="30" t="s">
        <v>2018</v>
      </c>
      <c r="J7008" s="30" t="s">
        <v>2019</v>
      </c>
      <c r="L7008" s="30" t="s">
        <v>13883</v>
      </c>
      <c r="N7008" s="30" t="s">
        <v>13914</v>
      </c>
      <c r="P7008" s="30" t="s">
        <v>13915</v>
      </c>
      <c r="Q7008" t="s">
        <v>735</v>
      </c>
      <c r="R7008" t="s">
        <v>917</v>
      </c>
      <c r="S7008">
        <v>39</v>
      </c>
      <c r="T7008" s="29" t="str">
        <f t="shared" si="304"/>
        <v>2023.020D.Geplafuvirales_1nf_18ng_30nsp.zip</v>
      </c>
      <c r="U7008" s="29" t="str">
        <f>HYPERLINK("https://ictv.global/taxonomy/taxondetails?taxnode_id=202318468","ictv.global=202318468")</f>
        <v>ictv.global=202318468</v>
      </c>
    </row>
    <row r="7009" spans="1:21">
      <c r="A7009">
        <v>7008</v>
      </c>
      <c r="B7009" s="30" t="s">
        <v>1956</v>
      </c>
      <c r="D7009" s="30" t="s">
        <v>1985</v>
      </c>
      <c r="F7009" s="30" t="s">
        <v>2009</v>
      </c>
      <c r="H7009" s="30" t="s">
        <v>2018</v>
      </c>
      <c r="J7009" s="30" t="s">
        <v>2019</v>
      </c>
      <c r="L7009" s="30" t="s">
        <v>13883</v>
      </c>
      <c r="N7009" s="30" t="s">
        <v>13916</v>
      </c>
      <c r="P7009" s="30" t="s">
        <v>13917</v>
      </c>
      <c r="Q7009" t="s">
        <v>735</v>
      </c>
      <c r="R7009" t="s">
        <v>917</v>
      </c>
      <c r="S7009">
        <v>39</v>
      </c>
      <c r="T7009" s="29" t="str">
        <f t="shared" si="304"/>
        <v>2023.020D.Geplafuvirales_1nf_18ng_30nsp.zip</v>
      </c>
      <c r="U7009" s="29" t="str">
        <f>HYPERLINK("https://ictv.global/taxonomy/taxondetails?taxnode_id=202318480","ictv.global=202318480")</f>
        <v>ictv.global=202318480</v>
      </c>
    </row>
    <row r="7010" spans="1:21">
      <c r="A7010">
        <v>7009</v>
      </c>
      <c r="B7010" s="30" t="s">
        <v>1956</v>
      </c>
      <c r="D7010" s="30" t="s">
        <v>1985</v>
      </c>
      <c r="F7010" s="30" t="s">
        <v>2009</v>
      </c>
      <c r="H7010" s="30" t="s">
        <v>2018</v>
      </c>
      <c r="J7010" s="30" t="s">
        <v>2019</v>
      </c>
      <c r="L7010" s="30" t="s">
        <v>13883</v>
      </c>
      <c r="N7010" s="30" t="s">
        <v>13918</v>
      </c>
      <c r="P7010" s="30" t="s">
        <v>13919</v>
      </c>
      <c r="Q7010" t="s">
        <v>735</v>
      </c>
      <c r="R7010" t="s">
        <v>917</v>
      </c>
      <c r="S7010">
        <v>39</v>
      </c>
      <c r="T7010" s="29" t="str">
        <f t="shared" si="304"/>
        <v>2023.020D.Geplafuvirales_1nf_18ng_30nsp.zip</v>
      </c>
      <c r="U7010" s="29" t="str">
        <f>HYPERLINK("https://ictv.global/taxonomy/taxondetails?taxnode_id=202318483","ictv.global=202318483")</f>
        <v>ictv.global=202318483</v>
      </c>
    </row>
    <row r="7011" spans="1:21">
      <c r="A7011">
        <v>7010</v>
      </c>
      <c r="B7011" s="30" t="s">
        <v>1956</v>
      </c>
      <c r="D7011" s="30" t="s">
        <v>1985</v>
      </c>
      <c r="F7011" s="30" t="s">
        <v>2009</v>
      </c>
      <c r="H7011" s="30" t="s">
        <v>2018</v>
      </c>
      <c r="J7011" s="30" t="s">
        <v>2019</v>
      </c>
      <c r="L7011" s="30" t="s">
        <v>13883</v>
      </c>
      <c r="N7011" s="30" t="s">
        <v>13920</v>
      </c>
      <c r="P7011" s="30" t="s">
        <v>13921</v>
      </c>
      <c r="Q7011" t="s">
        <v>735</v>
      </c>
      <c r="R7011" t="s">
        <v>917</v>
      </c>
      <c r="S7011">
        <v>39</v>
      </c>
      <c r="T7011" s="29" t="str">
        <f t="shared" si="304"/>
        <v>2023.020D.Geplafuvirales_1nf_18ng_30nsp.zip</v>
      </c>
      <c r="U7011" s="29" t="str">
        <f>HYPERLINK("https://ictv.global/taxonomy/taxondetails?taxnode_id=202318459","ictv.global=202318459")</f>
        <v>ictv.global=202318459</v>
      </c>
    </row>
    <row r="7012" spans="1:21">
      <c r="A7012">
        <v>7011</v>
      </c>
      <c r="B7012" s="30" t="s">
        <v>1956</v>
      </c>
      <c r="D7012" s="30" t="s">
        <v>1985</v>
      </c>
      <c r="F7012" s="30" t="s">
        <v>2009</v>
      </c>
      <c r="H7012" s="30" t="s">
        <v>2018</v>
      </c>
      <c r="J7012" s="30" t="s">
        <v>2019</v>
      </c>
      <c r="L7012" s="30" t="s">
        <v>13883</v>
      </c>
      <c r="N7012" s="30" t="s">
        <v>13920</v>
      </c>
      <c r="P7012" s="30" t="s">
        <v>13922</v>
      </c>
      <c r="Q7012" t="s">
        <v>735</v>
      </c>
      <c r="R7012" t="s">
        <v>917</v>
      </c>
      <c r="S7012">
        <v>39</v>
      </c>
      <c r="T7012" s="29" t="str">
        <f t="shared" si="304"/>
        <v>2023.020D.Geplafuvirales_1nf_18ng_30nsp.zip</v>
      </c>
      <c r="U7012" s="29" t="str">
        <f>HYPERLINK("https://ictv.global/taxonomy/taxondetails?taxnode_id=202318458","ictv.global=202318458")</f>
        <v>ictv.global=202318458</v>
      </c>
    </row>
    <row r="7013" spans="1:21">
      <c r="A7013">
        <v>7012</v>
      </c>
      <c r="B7013" s="30" t="s">
        <v>1956</v>
      </c>
      <c r="D7013" s="30" t="s">
        <v>1985</v>
      </c>
      <c r="F7013" s="30" t="s">
        <v>2009</v>
      </c>
      <c r="H7013" s="30" t="s">
        <v>2018</v>
      </c>
      <c r="J7013" s="30" t="s">
        <v>2019</v>
      </c>
      <c r="L7013" s="30" t="s">
        <v>13883</v>
      </c>
      <c r="N7013" s="30" t="s">
        <v>13920</v>
      </c>
      <c r="P7013" s="30" t="s">
        <v>13923</v>
      </c>
      <c r="Q7013" t="s">
        <v>735</v>
      </c>
      <c r="R7013" t="s">
        <v>917</v>
      </c>
      <c r="S7013">
        <v>39</v>
      </c>
      <c r="T7013" s="29" t="str">
        <f t="shared" si="304"/>
        <v>2023.020D.Geplafuvirales_1nf_18ng_30nsp.zip</v>
      </c>
      <c r="U7013" s="29" t="str">
        <f>HYPERLINK("https://ictv.global/taxonomy/taxondetails?taxnode_id=202318457","ictv.global=202318457")</f>
        <v>ictv.global=202318457</v>
      </c>
    </row>
    <row r="7014" spans="1:21">
      <c r="A7014">
        <v>7013</v>
      </c>
      <c r="B7014" s="30" t="s">
        <v>1956</v>
      </c>
      <c r="D7014" s="30" t="s">
        <v>1985</v>
      </c>
      <c r="F7014" s="30" t="s">
        <v>2009</v>
      </c>
      <c r="H7014" s="30" t="s">
        <v>2018</v>
      </c>
      <c r="J7014" s="30" t="s">
        <v>2019</v>
      </c>
      <c r="L7014" s="30" t="s">
        <v>13883</v>
      </c>
      <c r="N7014" s="30" t="s">
        <v>13924</v>
      </c>
      <c r="P7014" s="30" t="s">
        <v>13925</v>
      </c>
      <c r="Q7014" t="s">
        <v>735</v>
      </c>
      <c r="R7014" t="s">
        <v>917</v>
      </c>
      <c r="S7014">
        <v>39</v>
      </c>
      <c r="T7014" s="29" t="str">
        <f t="shared" si="304"/>
        <v>2023.020D.Geplafuvirales_1nf_18ng_30nsp.zip</v>
      </c>
      <c r="U7014" s="29" t="str">
        <f>HYPERLINK("https://ictv.global/taxonomy/taxondetails?taxnode_id=202318482","ictv.global=202318482")</f>
        <v>ictv.global=202318482</v>
      </c>
    </row>
    <row r="7015" spans="1:21">
      <c r="A7015">
        <v>7014</v>
      </c>
      <c r="B7015" s="30" t="s">
        <v>1956</v>
      </c>
      <c r="D7015" s="30" t="s">
        <v>1985</v>
      </c>
      <c r="F7015" s="30" t="s">
        <v>2009</v>
      </c>
      <c r="H7015" s="30" t="s">
        <v>2018</v>
      </c>
      <c r="J7015" s="30" t="s">
        <v>2019</v>
      </c>
      <c r="L7015" s="30" t="s">
        <v>13883</v>
      </c>
      <c r="N7015" s="30" t="s">
        <v>13924</v>
      </c>
      <c r="P7015" s="30" t="s">
        <v>13926</v>
      </c>
      <c r="Q7015" t="s">
        <v>735</v>
      </c>
      <c r="R7015" t="s">
        <v>917</v>
      </c>
      <c r="S7015">
        <v>39</v>
      </c>
      <c r="T7015" s="29" t="str">
        <f t="shared" si="304"/>
        <v>2023.020D.Geplafuvirales_1nf_18ng_30nsp.zip</v>
      </c>
      <c r="U7015" s="29" t="str">
        <f>HYPERLINK("https://ictv.global/taxonomy/taxondetails?taxnode_id=202318481","ictv.global=202318481")</f>
        <v>ictv.global=202318481</v>
      </c>
    </row>
    <row r="7016" spans="1:21">
      <c r="A7016">
        <v>7015</v>
      </c>
      <c r="B7016" s="30" t="s">
        <v>1956</v>
      </c>
      <c r="D7016" s="30" t="s">
        <v>1985</v>
      </c>
      <c r="F7016" s="30" t="s">
        <v>2009</v>
      </c>
      <c r="H7016" s="30" t="s">
        <v>2018</v>
      </c>
      <c r="J7016" s="30" t="s">
        <v>2019</v>
      </c>
      <c r="L7016" s="30" t="s">
        <v>13883</v>
      </c>
      <c r="N7016" s="30" t="s">
        <v>13927</v>
      </c>
      <c r="P7016" s="30" t="s">
        <v>13928</v>
      </c>
      <c r="Q7016" t="s">
        <v>735</v>
      </c>
      <c r="R7016" t="s">
        <v>917</v>
      </c>
      <c r="S7016">
        <v>39</v>
      </c>
      <c r="T7016" s="29" t="str">
        <f t="shared" si="304"/>
        <v>2023.020D.Geplafuvirales_1nf_18ng_30nsp.zip</v>
      </c>
      <c r="U7016" s="29" t="str">
        <f>HYPERLINK("https://ictv.global/taxonomy/taxondetails?taxnode_id=202318466","ictv.global=202318466")</f>
        <v>ictv.global=202318466</v>
      </c>
    </row>
    <row r="7017" spans="1:21">
      <c r="A7017">
        <v>7016</v>
      </c>
      <c r="B7017" s="30" t="s">
        <v>1956</v>
      </c>
      <c r="D7017" s="30" t="s">
        <v>1985</v>
      </c>
      <c r="F7017" s="30" t="s">
        <v>2009</v>
      </c>
      <c r="H7017" s="30" t="s">
        <v>2018</v>
      </c>
      <c r="J7017" s="30" t="s">
        <v>2019</v>
      </c>
      <c r="L7017" s="30" t="s">
        <v>13883</v>
      </c>
      <c r="N7017" s="30" t="s">
        <v>13929</v>
      </c>
      <c r="P7017" s="30" t="s">
        <v>13930</v>
      </c>
      <c r="Q7017" t="s">
        <v>735</v>
      </c>
      <c r="R7017" t="s">
        <v>917</v>
      </c>
      <c r="S7017">
        <v>39</v>
      </c>
      <c r="T7017" s="29" t="str">
        <f t="shared" si="304"/>
        <v>2023.020D.Geplafuvirales_1nf_18ng_30nsp.zip</v>
      </c>
      <c r="U7017" s="29" t="str">
        <f>HYPERLINK("https://ictv.global/taxonomy/taxondetails?taxnode_id=202318473","ictv.global=202318473")</f>
        <v>ictv.global=202318473</v>
      </c>
    </row>
    <row r="7018" spans="1:21">
      <c r="A7018">
        <v>7017</v>
      </c>
      <c r="B7018" s="30" t="s">
        <v>1956</v>
      </c>
      <c r="D7018" s="30" t="s">
        <v>1985</v>
      </c>
      <c r="F7018" s="30" t="s">
        <v>2009</v>
      </c>
      <c r="H7018" s="30" t="s">
        <v>2018</v>
      </c>
      <c r="J7018" s="30" t="s">
        <v>2019</v>
      </c>
      <c r="L7018" s="30" t="s">
        <v>13883</v>
      </c>
      <c r="N7018" s="30" t="s">
        <v>13929</v>
      </c>
      <c r="P7018" s="30" t="s">
        <v>13931</v>
      </c>
      <c r="Q7018" t="s">
        <v>735</v>
      </c>
      <c r="R7018" t="s">
        <v>917</v>
      </c>
      <c r="S7018">
        <v>39</v>
      </c>
      <c r="T7018" s="29" t="str">
        <f t="shared" si="304"/>
        <v>2023.020D.Geplafuvirales_1nf_18ng_30nsp.zip</v>
      </c>
      <c r="U7018" s="29" t="str">
        <f>HYPERLINK("https://ictv.global/taxonomy/taxondetails?taxnode_id=202318474","ictv.global=202318474")</f>
        <v>ictv.global=202318474</v>
      </c>
    </row>
    <row r="7019" spans="1:21">
      <c r="A7019">
        <v>7018</v>
      </c>
      <c r="B7019" s="30" t="s">
        <v>1956</v>
      </c>
      <c r="D7019" s="30" t="s">
        <v>2020</v>
      </c>
      <c r="F7019" s="30" t="s">
        <v>2021</v>
      </c>
      <c r="H7019" s="30" t="s">
        <v>2022</v>
      </c>
      <c r="J7019" s="30" t="s">
        <v>2023</v>
      </c>
      <c r="L7019" s="30" t="s">
        <v>774</v>
      </c>
      <c r="N7019" s="30" t="s">
        <v>775</v>
      </c>
      <c r="P7019" s="30" t="s">
        <v>13932</v>
      </c>
      <c r="Q7019" t="s">
        <v>622</v>
      </c>
      <c r="R7019" t="s">
        <v>920</v>
      </c>
      <c r="S7019">
        <v>39</v>
      </c>
      <c r="T7019" s="29" t="str">
        <f t="shared" ref="T7019:T7034" si="305">HYPERLINK("https://ictv.global/ictv/proposals/2023.001A.Archaeal_binomials.zip","2023.001A.Archaeal_binomials.zip")</f>
        <v>2023.001A.Archaeal_binomials.zip</v>
      </c>
      <c r="U7019" s="29" t="str">
        <f>HYPERLINK("https://ictv.global/taxonomy/taxondetails?taxnode_id=202304344","ictv.global=202304344")</f>
        <v>ictv.global=202304344</v>
      </c>
    </row>
    <row r="7020" spans="1:21">
      <c r="A7020">
        <v>7019</v>
      </c>
      <c r="B7020" s="30" t="s">
        <v>1956</v>
      </c>
      <c r="D7020" s="30" t="s">
        <v>2020</v>
      </c>
      <c r="F7020" s="30" t="s">
        <v>2021</v>
      </c>
      <c r="H7020" s="30" t="s">
        <v>2022</v>
      </c>
      <c r="J7020" s="30" t="s">
        <v>2023</v>
      </c>
      <c r="L7020" s="30" t="s">
        <v>774</v>
      </c>
      <c r="N7020" s="30" t="s">
        <v>775</v>
      </c>
      <c r="P7020" s="30" t="s">
        <v>13933</v>
      </c>
      <c r="Q7020" t="s">
        <v>622</v>
      </c>
      <c r="R7020" t="s">
        <v>920</v>
      </c>
      <c r="S7020">
        <v>39</v>
      </c>
      <c r="T7020" s="29" t="str">
        <f t="shared" si="305"/>
        <v>2023.001A.Archaeal_binomials.zip</v>
      </c>
      <c r="U7020" s="29" t="str">
        <f>HYPERLINK("https://ictv.global/taxonomy/taxondetails?taxnode_id=202304343","ictv.global=202304343")</f>
        <v>ictv.global=202304343</v>
      </c>
    </row>
    <row r="7021" spans="1:21">
      <c r="A7021">
        <v>7020</v>
      </c>
      <c r="B7021" s="30" t="s">
        <v>1956</v>
      </c>
      <c r="D7021" s="30" t="s">
        <v>2020</v>
      </c>
      <c r="F7021" s="30" t="s">
        <v>2021</v>
      </c>
      <c r="H7021" s="30" t="s">
        <v>2022</v>
      </c>
      <c r="J7021" s="30" t="s">
        <v>2023</v>
      </c>
      <c r="L7021" s="30" t="s">
        <v>774</v>
      </c>
      <c r="N7021" s="30" t="s">
        <v>775</v>
      </c>
      <c r="P7021" s="30" t="s">
        <v>13934</v>
      </c>
      <c r="Q7021" t="s">
        <v>619</v>
      </c>
      <c r="R7021" t="s">
        <v>920</v>
      </c>
      <c r="S7021">
        <v>39</v>
      </c>
      <c r="T7021" s="29" t="str">
        <f t="shared" si="305"/>
        <v>2023.001A.Archaeal_binomials.zip</v>
      </c>
      <c r="U7021" s="29" t="str">
        <f>HYPERLINK("https://ictv.global/taxonomy/taxondetails?taxnode_id=202304342","ictv.global=202304342")</f>
        <v>ictv.global=202304342</v>
      </c>
    </row>
    <row r="7022" spans="1:21">
      <c r="A7022">
        <v>7021</v>
      </c>
      <c r="B7022" s="30" t="s">
        <v>1956</v>
      </c>
      <c r="D7022" s="30" t="s">
        <v>2020</v>
      </c>
      <c r="F7022" s="30" t="s">
        <v>2021</v>
      </c>
      <c r="H7022" s="30" t="s">
        <v>2022</v>
      </c>
      <c r="J7022" s="30" t="s">
        <v>2023</v>
      </c>
      <c r="L7022" s="30" t="s">
        <v>774</v>
      </c>
      <c r="N7022" s="30" t="s">
        <v>775</v>
      </c>
      <c r="P7022" s="30" t="s">
        <v>13935</v>
      </c>
      <c r="Q7022" t="s">
        <v>622</v>
      </c>
      <c r="R7022" t="s">
        <v>920</v>
      </c>
      <c r="S7022">
        <v>39</v>
      </c>
      <c r="T7022" s="29" t="str">
        <f t="shared" si="305"/>
        <v>2023.001A.Archaeal_binomials.zip</v>
      </c>
      <c r="U7022" s="29" t="str">
        <f>HYPERLINK("https://ictv.global/taxonomy/taxondetails?taxnode_id=202304346","ictv.global=202304346")</f>
        <v>ictv.global=202304346</v>
      </c>
    </row>
    <row r="7023" spans="1:21">
      <c r="A7023">
        <v>7022</v>
      </c>
      <c r="B7023" s="30" t="s">
        <v>1956</v>
      </c>
      <c r="D7023" s="30" t="s">
        <v>2020</v>
      </c>
      <c r="F7023" s="30" t="s">
        <v>2021</v>
      </c>
      <c r="H7023" s="30" t="s">
        <v>2022</v>
      </c>
      <c r="J7023" s="30" t="s">
        <v>2023</v>
      </c>
      <c r="L7023" s="30" t="s">
        <v>774</v>
      </c>
      <c r="N7023" s="30" t="s">
        <v>775</v>
      </c>
      <c r="P7023" s="30" t="s">
        <v>13936</v>
      </c>
      <c r="Q7023" t="s">
        <v>622</v>
      </c>
      <c r="R7023" t="s">
        <v>920</v>
      </c>
      <c r="S7023">
        <v>39</v>
      </c>
      <c r="T7023" s="29" t="str">
        <f t="shared" si="305"/>
        <v>2023.001A.Archaeal_binomials.zip</v>
      </c>
      <c r="U7023" s="29" t="str">
        <f>HYPERLINK("https://ictv.global/taxonomy/taxondetails?taxnode_id=202304345","ictv.global=202304345")</f>
        <v>ictv.global=202304345</v>
      </c>
    </row>
    <row r="7024" spans="1:21">
      <c r="A7024">
        <v>7023</v>
      </c>
      <c r="B7024" s="30" t="s">
        <v>1956</v>
      </c>
      <c r="D7024" s="30" t="s">
        <v>2020</v>
      </c>
      <c r="F7024" s="30" t="s">
        <v>2021</v>
      </c>
      <c r="H7024" s="30" t="s">
        <v>2022</v>
      </c>
      <c r="J7024" s="30" t="s">
        <v>2023</v>
      </c>
      <c r="L7024" s="30" t="s">
        <v>774</v>
      </c>
      <c r="N7024" s="30" t="s">
        <v>776</v>
      </c>
      <c r="P7024" s="30" t="s">
        <v>13937</v>
      </c>
      <c r="Q7024" t="s">
        <v>619</v>
      </c>
      <c r="R7024" t="s">
        <v>920</v>
      </c>
      <c r="S7024">
        <v>39</v>
      </c>
      <c r="T7024" s="29" t="str">
        <f t="shared" si="305"/>
        <v>2023.001A.Archaeal_binomials.zip</v>
      </c>
      <c r="U7024" s="29" t="str">
        <f>HYPERLINK("https://ictv.global/taxonomy/taxondetails?taxnode_id=202308637","ictv.global=202308637")</f>
        <v>ictv.global=202308637</v>
      </c>
    </row>
    <row r="7025" spans="1:21">
      <c r="A7025">
        <v>7024</v>
      </c>
      <c r="B7025" s="30" t="s">
        <v>1956</v>
      </c>
      <c r="D7025" s="30" t="s">
        <v>2020</v>
      </c>
      <c r="F7025" s="30" t="s">
        <v>2021</v>
      </c>
      <c r="H7025" s="30" t="s">
        <v>2022</v>
      </c>
      <c r="J7025" s="30" t="s">
        <v>2023</v>
      </c>
      <c r="L7025" s="30" t="s">
        <v>774</v>
      </c>
      <c r="N7025" s="30" t="s">
        <v>776</v>
      </c>
      <c r="P7025" s="30" t="s">
        <v>13938</v>
      </c>
      <c r="Q7025" t="s">
        <v>13939</v>
      </c>
      <c r="R7025" t="s">
        <v>920</v>
      </c>
      <c r="S7025">
        <v>39</v>
      </c>
      <c r="T7025" s="29" t="str">
        <f t="shared" si="305"/>
        <v>2023.001A.Archaeal_binomials.zip</v>
      </c>
      <c r="U7025" s="29" t="str">
        <f>HYPERLINK("https://ictv.global/taxonomy/taxondetails?taxnode_id=202304348","ictv.global=202304348")</f>
        <v>ictv.global=202304348</v>
      </c>
    </row>
    <row r="7026" spans="1:21">
      <c r="A7026">
        <v>7025</v>
      </c>
      <c r="B7026" s="30" t="s">
        <v>1956</v>
      </c>
      <c r="D7026" s="30" t="s">
        <v>2020</v>
      </c>
      <c r="F7026" s="30" t="s">
        <v>2021</v>
      </c>
      <c r="H7026" s="30" t="s">
        <v>2022</v>
      </c>
      <c r="J7026" s="30" t="s">
        <v>2023</v>
      </c>
      <c r="L7026" s="30" t="s">
        <v>774</v>
      </c>
      <c r="N7026" s="30" t="s">
        <v>776</v>
      </c>
      <c r="P7026" s="30" t="s">
        <v>13940</v>
      </c>
      <c r="Q7026" t="s">
        <v>619</v>
      </c>
      <c r="R7026" t="s">
        <v>920</v>
      </c>
      <c r="S7026">
        <v>39</v>
      </c>
      <c r="T7026" s="29" t="str">
        <f t="shared" si="305"/>
        <v>2023.001A.Archaeal_binomials.zip</v>
      </c>
      <c r="U7026" s="29" t="str">
        <f>HYPERLINK("https://ictv.global/taxonomy/taxondetails?taxnode_id=202308641","ictv.global=202308641")</f>
        <v>ictv.global=202308641</v>
      </c>
    </row>
    <row r="7027" spans="1:21">
      <c r="A7027">
        <v>7026</v>
      </c>
      <c r="B7027" s="30" t="s">
        <v>1956</v>
      </c>
      <c r="D7027" s="30" t="s">
        <v>2020</v>
      </c>
      <c r="F7027" s="30" t="s">
        <v>2021</v>
      </c>
      <c r="H7027" s="30" t="s">
        <v>2022</v>
      </c>
      <c r="J7027" s="30" t="s">
        <v>2023</v>
      </c>
      <c r="L7027" s="30" t="s">
        <v>774</v>
      </c>
      <c r="N7027" s="30" t="s">
        <v>776</v>
      </c>
      <c r="P7027" s="30" t="s">
        <v>13941</v>
      </c>
      <c r="Q7027" t="s">
        <v>619</v>
      </c>
      <c r="R7027" t="s">
        <v>920</v>
      </c>
      <c r="S7027">
        <v>39</v>
      </c>
      <c r="T7027" s="29" t="str">
        <f t="shared" si="305"/>
        <v>2023.001A.Archaeal_binomials.zip</v>
      </c>
      <c r="U7027" s="29" t="str">
        <f>HYPERLINK("https://ictv.global/taxonomy/taxondetails?taxnode_id=202308636","ictv.global=202308636")</f>
        <v>ictv.global=202308636</v>
      </c>
    </row>
    <row r="7028" spans="1:21">
      <c r="A7028">
        <v>7027</v>
      </c>
      <c r="B7028" s="30" t="s">
        <v>1956</v>
      </c>
      <c r="D7028" s="30" t="s">
        <v>2020</v>
      </c>
      <c r="F7028" s="30" t="s">
        <v>2021</v>
      </c>
      <c r="H7028" s="30" t="s">
        <v>2022</v>
      </c>
      <c r="J7028" s="30" t="s">
        <v>2023</v>
      </c>
      <c r="L7028" s="30" t="s">
        <v>774</v>
      </c>
      <c r="N7028" s="30" t="s">
        <v>776</v>
      </c>
      <c r="P7028" s="30" t="s">
        <v>13942</v>
      </c>
      <c r="Q7028" t="s">
        <v>13939</v>
      </c>
      <c r="R7028" t="s">
        <v>920</v>
      </c>
      <c r="S7028">
        <v>39</v>
      </c>
      <c r="T7028" s="29" t="str">
        <f t="shared" si="305"/>
        <v>2023.001A.Archaeal_binomials.zip</v>
      </c>
      <c r="U7028" s="29" t="str">
        <f>HYPERLINK("https://ictv.global/taxonomy/taxondetails?taxnode_id=202304349","ictv.global=202304349")</f>
        <v>ictv.global=202304349</v>
      </c>
    </row>
    <row r="7029" spans="1:21">
      <c r="A7029">
        <v>7028</v>
      </c>
      <c r="B7029" s="30" t="s">
        <v>1956</v>
      </c>
      <c r="D7029" s="30" t="s">
        <v>2020</v>
      </c>
      <c r="F7029" s="30" t="s">
        <v>2021</v>
      </c>
      <c r="H7029" s="30" t="s">
        <v>2022</v>
      </c>
      <c r="J7029" s="30" t="s">
        <v>2023</v>
      </c>
      <c r="L7029" s="30" t="s">
        <v>774</v>
      </c>
      <c r="N7029" s="30" t="s">
        <v>776</v>
      </c>
      <c r="P7029" s="30" t="s">
        <v>13943</v>
      </c>
      <c r="Q7029" t="s">
        <v>619</v>
      </c>
      <c r="R7029" t="s">
        <v>920</v>
      </c>
      <c r="S7029">
        <v>39</v>
      </c>
      <c r="T7029" s="29" t="str">
        <f t="shared" si="305"/>
        <v>2023.001A.Archaeal_binomials.zip</v>
      </c>
      <c r="U7029" s="29" t="str">
        <f>HYPERLINK("https://ictv.global/taxonomy/taxondetails?taxnode_id=202308639","ictv.global=202308639")</f>
        <v>ictv.global=202308639</v>
      </c>
    </row>
    <row r="7030" spans="1:21">
      <c r="A7030">
        <v>7029</v>
      </c>
      <c r="B7030" s="30" t="s">
        <v>1956</v>
      </c>
      <c r="D7030" s="30" t="s">
        <v>2020</v>
      </c>
      <c r="F7030" s="30" t="s">
        <v>2021</v>
      </c>
      <c r="H7030" s="30" t="s">
        <v>2022</v>
      </c>
      <c r="J7030" s="30" t="s">
        <v>2023</v>
      </c>
      <c r="L7030" s="30" t="s">
        <v>774</v>
      </c>
      <c r="N7030" s="30" t="s">
        <v>776</v>
      </c>
      <c r="P7030" s="30" t="s">
        <v>13944</v>
      </c>
      <c r="Q7030" t="s">
        <v>619</v>
      </c>
      <c r="R7030" t="s">
        <v>920</v>
      </c>
      <c r="S7030">
        <v>39</v>
      </c>
      <c r="T7030" s="29" t="str">
        <f t="shared" si="305"/>
        <v>2023.001A.Archaeal_binomials.zip</v>
      </c>
      <c r="U7030" s="29" t="str">
        <f>HYPERLINK("https://ictv.global/taxonomy/taxondetails?taxnode_id=202308640","ictv.global=202308640")</f>
        <v>ictv.global=202308640</v>
      </c>
    </row>
    <row r="7031" spans="1:21">
      <c r="A7031">
        <v>7030</v>
      </c>
      <c r="B7031" s="30" t="s">
        <v>1956</v>
      </c>
      <c r="D7031" s="30" t="s">
        <v>2020</v>
      </c>
      <c r="F7031" s="30" t="s">
        <v>2021</v>
      </c>
      <c r="H7031" s="30" t="s">
        <v>2022</v>
      </c>
      <c r="J7031" s="30" t="s">
        <v>2023</v>
      </c>
      <c r="L7031" s="30" t="s">
        <v>774</v>
      </c>
      <c r="N7031" s="30" t="s">
        <v>776</v>
      </c>
      <c r="P7031" s="30" t="s">
        <v>13945</v>
      </c>
      <c r="Q7031" t="s">
        <v>619</v>
      </c>
      <c r="R7031" t="s">
        <v>920</v>
      </c>
      <c r="S7031">
        <v>39</v>
      </c>
      <c r="T7031" s="29" t="str">
        <f t="shared" si="305"/>
        <v>2023.001A.Archaeal_binomials.zip</v>
      </c>
      <c r="U7031" s="29" t="str">
        <f>HYPERLINK("https://ictv.global/taxonomy/taxondetails?taxnode_id=202308638","ictv.global=202308638")</f>
        <v>ictv.global=202308638</v>
      </c>
    </row>
    <row r="7032" spans="1:21">
      <c r="A7032">
        <v>7031</v>
      </c>
      <c r="B7032" s="30" t="s">
        <v>1956</v>
      </c>
      <c r="D7032" s="30" t="s">
        <v>2020</v>
      </c>
      <c r="F7032" s="30" t="s">
        <v>2021</v>
      </c>
      <c r="H7032" s="30" t="s">
        <v>2022</v>
      </c>
      <c r="J7032" s="30" t="s">
        <v>2023</v>
      </c>
      <c r="L7032" s="30" t="s">
        <v>774</v>
      </c>
      <c r="N7032" s="30" t="s">
        <v>776</v>
      </c>
      <c r="P7032" s="30" t="s">
        <v>13946</v>
      </c>
      <c r="Q7032" t="s">
        <v>619</v>
      </c>
      <c r="R7032" t="s">
        <v>920</v>
      </c>
      <c r="S7032">
        <v>39</v>
      </c>
      <c r="T7032" s="29" t="str">
        <f t="shared" si="305"/>
        <v>2023.001A.Archaeal_binomials.zip</v>
      </c>
      <c r="U7032" s="29" t="str">
        <f>HYPERLINK("https://ictv.global/taxonomy/taxondetails?taxnode_id=202308635","ictv.global=202308635")</f>
        <v>ictv.global=202308635</v>
      </c>
    </row>
    <row r="7033" spans="1:21">
      <c r="A7033">
        <v>7032</v>
      </c>
      <c r="B7033" s="30" t="s">
        <v>1956</v>
      </c>
      <c r="D7033" s="30" t="s">
        <v>2020</v>
      </c>
      <c r="F7033" s="30" t="s">
        <v>2021</v>
      </c>
      <c r="H7033" s="30" t="s">
        <v>2022</v>
      </c>
      <c r="J7033" s="30" t="s">
        <v>2023</v>
      </c>
      <c r="L7033" s="30" t="s">
        <v>774</v>
      </c>
      <c r="N7033" s="30" t="s">
        <v>777</v>
      </c>
      <c r="P7033" s="30" t="s">
        <v>13947</v>
      </c>
      <c r="Q7033" t="s">
        <v>619</v>
      </c>
      <c r="R7033" t="s">
        <v>920</v>
      </c>
      <c r="S7033">
        <v>39</v>
      </c>
      <c r="T7033" s="29" t="str">
        <f t="shared" si="305"/>
        <v>2023.001A.Archaeal_binomials.zip</v>
      </c>
      <c r="U7033" s="29" t="str">
        <f>HYPERLINK("https://ictv.global/taxonomy/taxondetails?taxnode_id=202304351","ictv.global=202304351")</f>
        <v>ictv.global=202304351</v>
      </c>
    </row>
    <row r="7034" spans="1:21">
      <c r="A7034">
        <v>7033</v>
      </c>
      <c r="B7034" s="30" t="s">
        <v>1956</v>
      </c>
      <c r="D7034" s="30" t="s">
        <v>2020</v>
      </c>
      <c r="F7034" s="30" t="s">
        <v>2021</v>
      </c>
      <c r="H7034" s="30" t="s">
        <v>2022</v>
      </c>
      <c r="J7034" s="30" t="s">
        <v>2023</v>
      </c>
      <c r="L7034" s="30" t="s">
        <v>774</v>
      </c>
      <c r="N7034" s="30" t="s">
        <v>777</v>
      </c>
      <c r="P7034" s="30" t="s">
        <v>13948</v>
      </c>
      <c r="Q7034" t="s">
        <v>619</v>
      </c>
      <c r="R7034" t="s">
        <v>920</v>
      </c>
      <c r="S7034">
        <v>39</v>
      </c>
      <c r="T7034" s="29" t="str">
        <f t="shared" si="305"/>
        <v>2023.001A.Archaeal_binomials.zip</v>
      </c>
      <c r="U7034" s="29" t="str">
        <f>HYPERLINK("https://ictv.global/taxonomy/taxondetails?taxnode_id=202312215","ictv.global=202312215")</f>
        <v>ictv.global=202312215</v>
      </c>
    </row>
    <row r="7035" spans="1:21">
      <c r="A7035">
        <v>7034</v>
      </c>
      <c r="B7035" s="30" t="s">
        <v>1226</v>
      </c>
      <c r="D7035" s="30" t="s">
        <v>2024</v>
      </c>
      <c r="F7035" s="30" t="s">
        <v>13949</v>
      </c>
      <c r="H7035" s="30" t="s">
        <v>13950</v>
      </c>
      <c r="J7035" s="30" t="s">
        <v>13951</v>
      </c>
      <c r="L7035" s="30" t="s">
        <v>13952</v>
      </c>
      <c r="N7035" s="30" t="s">
        <v>13953</v>
      </c>
      <c r="P7035" s="30" t="s">
        <v>13954</v>
      </c>
      <c r="Q7035" t="s">
        <v>732</v>
      </c>
      <c r="R7035" t="s">
        <v>917</v>
      </c>
      <c r="S7035">
        <v>39</v>
      </c>
      <c r="T7035" s="29" t="str">
        <f t="shared" ref="T7035:T7054" si="306">HYPERLINK("https://ictv.global/ictv/proposals/2023.007F.Ambiviricota_nphy.zip","2023.007F.Ambiviricota_nphy.zip")</f>
        <v>2023.007F.Ambiviricota_nphy.zip</v>
      </c>
      <c r="U7035" s="29" t="str">
        <f>HYPERLINK("https://ictv.global/taxonomy/taxondetails?taxnode_id=202317860","ictv.global=202317860")</f>
        <v>ictv.global=202317860</v>
      </c>
    </row>
    <row r="7036" spans="1:21">
      <c r="A7036">
        <v>7035</v>
      </c>
      <c r="B7036" s="30" t="s">
        <v>1226</v>
      </c>
      <c r="D7036" s="30" t="s">
        <v>2024</v>
      </c>
      <c r="F7036" s="30" t="s">
        <v>13949</v>
      </c>
      <c r="H7036" s="30" t="s">
        <v>13950</v>
      </c>
      <c r="J7036" s="30" t="s">
        <v>13951</v>
      </c>
      <c r="L7036" s="30" t="s">
        <v>13952</v>
      </c>
      <c r="N7036" s="30" t="s">
        <v>13953</v>
      </c>
      <c r="P7036" s="30" t="s">
        <v>13955</v>
      </c>
      <c r="Q7036" t="s">
        <v>732</v>
      </c>
      <c r="R7036" t="s">
        <v>917</v>
      </c>
      <c r="S7036">
        <v>39</v>
      </c>
      <c r="T7036" s="29" t="str">
        <f t="shared" si="306"/>
        <v>2023.007F.Ambiviricota_nphy.zip</v>
      </c>
      <c r="U7036" s="29" t="str">
        <f>HYPERLINK("https://ictv.global/taxonomy/taxondetails?taxnode_id=202317858","ictv.global=202317858")</f>
        <v>ictv.global=202317858</v>
      </c>
    </row>
    <row r="7037" spans="1:21">
      <c r="A7037">
        <v>7036</v>
      </c>
      <c r="B7037" s="30" t="s">
        <v>1226</v>
      </c>
      <c r="D7037" s="30" t="s">
        <v>2024</v>
      </c>
      <c r="F7037" s="30" t="s">
        <v>13949</v>
      </c>
      <c r="H7037" s="30" t="s">
        <v>13950</v>
      </c>
      <c r="J7037" s="30" t="s">
        <v>13951</v>
      </c>
      <c r="L7037" s="30" t="s">
        <v>13952</v>
      </c>
      <c r="N7037" s="30" t="s">
        <v>13953</v>
      </c>
      <c r="P7037" s="30" t="s">
        <v>13956</v>
      </c>
      <c r="Q7037" t="s">
        <v>732</v>
      </c>
      <c r="R7037" t="s">
        <v>917</v>
      </c>
      <c r="S7037">
        <v>39</v>
      </c>
      <c r="T7037" s="29" t="str">
        <f t="shared" si="306"/>
        <v>2023.007F.Ambiviricota_nphy.zip</v>
      </c>
      <c r="U7037" s="29" t="str">
        <f>HYPERLINK("https://ictv.global/taxonomy/taxondetails?taxnode_id=202317857","ictv.global=202317857")</f>
        <v>ictv.global=202317857</v>
      </c>
    </row>
    <row r="7038" spans="1:21">
      <c r="A7038">
        <v>7037</v>
      </c>
      <c r="B7038" s="30" t="s">
        <v>1226</v>
      </c>
      <c r="D7038" s="30" t="s">
        <v>2024</v>
      </c>
      <c r="F7038" s="30" t="s">
        <v>13949</v>
      </c>
      <c r="H7038" s="30" t="s">
        <v>13950</v>
      </c>
      <c r="J7038" s="30" t="s">
        <v>13951</v>
      </c>
      <c r="L7038" s="30" t="s">
        <v>13952</v>
      </c>
      <c r="N7038" s="30" t="s">
        <v>13953</v>
      </c>
      <c r="P7038" s="30" t="s">
        <v>13957</v>
      </c>
      <c r="Q7038" t="s">
        <v>732</v>
      </c>
      <c r="R7038" t="s">
        <v>917</v>
      </c>
      <c r="S7038">
        <v>39</v>
      </c>
      <c r="T7038" s="29" t="str">
        <f t="shared" si="306"/>
        <v>2023.007F.Ambiviricota_nphy.zip</v>
      </c>
      <c r="U7038" s="29" t="str">
        <f>HYPERLINK("https://ictv.global/taxonomy/taxondetails?taxnode_id=202317859","ictv.global=202317859")</f>
        <v>ictv.global=202317859</v>
      </c>
    </row>
    <row r="7039" spans="1:21">
      <c r="A7039">
        <v>7038</v>
      </c>
      <c r="B7039" s="30" t="s">
        <v>1226</v>
      </c>
      <c r="D7039" s="30" t="s">
        <v>2024</v>
      </c>
      <c r="F7039" s="30" t="s">
        <v>13949</v>
      </c>
      <c r="H7039" s="30" t="s">
        <v>13950</v>
      </c>
      <c r="J7039" s="30" t="s">
        <v>13951</v>
      </c>
      <c r="L7039" s="30" t="s">
        <v>13952</v>
      </c>
      <c r="N7039" s="30" t="s">
        <v>13953</v>
      </c>
      <c r="P7039" s="30" t="s">
        <v>13958</v>
      </c>
      <c r="Q7039" t="s">
        <v>732</v>
      </c>
      <c r="R7039" t="s">
        <v>917</v>
      </c>
      <c r="S7039">
        <v>39</v>
      </c>
      <c r="T7039" s="29" t="str">
        <f t="shared" si="306"/>
        <v>2023.007F.Ambiviricota_nphy.zip</v>
      </c>
      <c r="U7039" s="29" t="str">
        <f>HYPERLINK("https://ictv.global/taxonomy/taxondetails?taxnode_id=202317855","ictv.global=202317855")</f>
        <v>ictv.global=202317855</v>
      </c>
    </row>
    <row r="7040" spans="1:21">
      <c r="A7040">
        <v>7039</v>
      </c>
      <c r="B7040" s="30" t="s">
        <v>1226</v>
      </c>
      <c r="D7040" s="30" t="s">
        <v>2024</v>
      </c>
      <c r="F7040" s="30" t="s">
        <v>13949</v>
      </c>
      <c r="H7040" s="30" t="s">
        <v>13950</v>
      </c>
      <c r="J7040" s="30" t="s">
        <v>13951</v>
      </c>
      <c r="L7040" s="30" t="s">
        <v>13952</v>
      </c>
      <c r="N7040" s="30" t="s">
        <v>13953</v>
      </c>
      <c r="P7040" s="30" t="s">
        <v>13959</v>
      </c>
      <c r="Q7040" t="s">
        <v>732</v>
      </c>
      <c r="R7040" t="s">
        <v>917</v>
      </c>
      <c r="S7040">
        <v>39</v>
      </c>
      <c r="T7040" s="29" t="str">
        <f t="shared" si="306"/>
        <v>2023.007F.Ambiviricota_nphy.zip</v>
      </c>
      <c r="U7040" s="29" t="str">
        <f>HYPERLINK("https://ictv.global/taxonomy/taxondetails?taxnode_id=202317854","ictv.global=202317854")</f>
        <v>ictv.global=202317854</v>
      </c>
    </row>
    <row r="7041" spans="1:21">
      <c r="A7041">
        <v>7040</v>
      </c>
      <c r="B7041" s="30" t="s">
        <v>1226</v>
      </c>
      <c r="D7041" s="30" t="s">
        <v>2024</v>
      </c>
      <c r="F7041" s="30" t="s">
        <v>13949</v>
      </c>
      <c r="H7041" s="30" t="s">
        <v>13950</v>
      </c>
      <c r="J7041" s="30" t="s">
        <v>13951</v>
      </c>
      <c r="L7041" s="30" t="s">
        <v>13952</v>
      </c>
      <c r="N7041" s="30" t="s">
        <v>13953</v>
      </c>
      <c r="P7041" s="30" t="s">
        <v>13960</v>
      </c>
      <c r="Q7041" t="s">
        <v>732</v>
      </c>
      <c r="R7041" t="s">
        <v>917</v>
      </c>
      <c r="S7041">
        <v>39</v>
      </c>
      <c r="T7041" s="29" t="str">
        <f t="shared" si="306"/>
        <v>2023.007F.Ambiviricota_nphy.zip</v>
      </c>
      <c r="U7041" s="29" t="str">
        <f>HYPERLINK("https://ictv.global/taxonomy/taxondetails?taxnode_id=202317856","ictv.global=202317856")</f>
        <v>ictv.global=202317856</v>
      </c>
    </row>
    <row r="7042" spans="1:21">
      <c r="A7042">
        <v>7041</v>
      </c>
      <c r="B7042" s="30" t="s">
        <v>1226</v>
      </c>
      <c r="D7042" s="30" t="s">
        <v>2024</v>
      </c>
      <c r="F7042" s="30" t="s">
        <v>13949</v>
      </c>
      <c r="H7042" s="30" t="s">
        <v>13950</v>
      </c>
      <c r="J7042" s="30" t="s">
        <v>13951</v>
      </c>
      <c r="L7042" s="30" t="s">
        <v>13961</v>
      </c>
      <c r="N7042" s="30" t="s">
        <v>13962</v>
      </c>
      <c r="P7042" s="30" t="s">
        <v>13963</v>
      </c>
      <c r="Q7042" t="s">
        <v>732</v>
      </c>
      <c r="R7042" t="s">
        <v>917</v>
      </c>
      <c r="S7042">
        <v>39</v>
      </c>
      <c r="T7042" s="29" t="str">
        <f t="shared" si="306"/>
        <v>2023.007F.Ambiviricota_nphy.zip</v>
      </c>
      <c r="U7042" s="29" t="str">
        <f>HYPERLINK("https://ictv.global/taxonomy/taxondetails?taxnode_id=202317869","ictv.global=202317869")</f>
        <v>ictv.global=202317869</v>
      </c>
    </row>
    <row r="7043" spans="1:21">
      <c r="A7043">
        <v>7042</v>
      </c>
      <c r="B7043" s="30" t="s">
        <v>1226</v>
      </c>
      <c r="D7043" s="30" t="s">
        <v>2024</v>
      </c>
      <c r="F7043" s="30" t="s">
        <v>13949</v>
      </c>
      <c r="H7043" s="30" t="s">
        <v>13950</v>
      </c>
      <c r="J7043" s="30" t="s">
        <v>13951</v>
      </c>
      <c r="L7043" s="30" t="s">
        <v>13961</v>
      </c>
      <c r="N7043" s="30" t="s">
        <v>13962</v>
      </c>
      <c r="P7043" s="30" t="s">
        <v>13964</v>
      </c>
      <c r="Q7043" t="s">
        <v>732</v>
      </c>
      <c r="R7043" t="s">
        <v>917</v>
      </c>
      <c r="S7043">
        <v>39</v>
      </c>
      <c r="T7043" s="29" t="str">
        <f t="shared" si="306"/>
        <v>2023.007F.Ambiviricota_nphy.zip</v>
      </c>
      <c r="U7043" s="29" t="str">
        <f>HYPERLINK("https://ictv.global/taxonomy/taxondetails?taxnode_id=202317867","ictv.global=202317867")</f>
        <v>ictv.global=202317867</v>
      </c>
    </row>
    <row r="7044" spans="1:21">
      <c r="A7044">
        <v>7043</v>
      </c>
      <c r="B7044" s="30" t="s">
        <v>1226</v>
      </c>
      <c r="D7044" s="30" t="s">
        <v>2024</v>
      </c>
      <c r="F7044" s="30" t="s">
        <v>13949</v>
      </c>
      <c r="H7044" s="30" t="s">
        <v>13950</v>
      </c>
      <c r="J7044" s="30" t="s">
        <v>13951</v>
      </c>
      <c r="L7044" s="30" t="s">
        <v>13961</v>
      </c>
      <c r="N7044" s="30" t="s">
        <v>13962</v>
      </c>
      <c r="P7044" s="30" t="s">
        <v>13965</v>
      </c>
      <c r="Q7044" t="s">
        <v>732</v>
      </c>
      <c r="R7044" t="s">
        <v>917</v>
      </c>
      <c r="S7044">
        <v>39</v>
      </c>
      <c r="T7044" s="29" t="str">
        <f t="shared" si="306"/>
        <v>2023.007F.Ambiviricota_nphy.zip</v>
      </c>
      <c r="U7044" s="29" t="str">
        <f>HYPERLINK("https://ictv.global/taxonomy/taxondetails?taxnode_id=202317868","ictv.global=202317868")</f>
        <v>ictv.global=202317868</v>
      </c>
    </row>
    <row r="7045" spans="1:21">
      <c r="A7045">
        <v>7044</v>
      </c>
      <c r="B7045" s="30" t="s">
        <v>1226</v>
      </c>
      <c r="D7045" s="30" t="s">
        <v>2024</v>
      </c>
      <c r="F7045" s="30" t="s">
        <v>13949</v>
      </c>
      <c r="H7045" s="30" t="s">
        <v>13950</v>
      </c>
      <c r="J7045" s="30" t="s">
        <v>13951</v>
      </c>
      <c r="L7045" s="30" t="s">
        <v>13961</v>
      </c>
      <c r="N7045" s="30" t="s">
        <v>13962</v>
      </c>
      <c r="P7045" s="30" t="s">
        <v>13966</v>
      </c>
      <c r="Q7045" t="s">
        <v>732</v>
      </c>
      <c r="R7045" t="s">
        <v>917</v>
      </c>
      <c r="S7045">
        <v>39</v>
      </c>
      <c r="T7045" s="29" t="str">
        <f t="shared" si="306"/>
        <v>2023.007F.Ambiviricota_nphy.zip</v>
      </c>
      <c r="U7045" s="29" t="str">
        <f>HYPERLINK("https://ictv.global/taxonomy/taxondetails?taxnode_id=202317866","ictv.global=202317866")</f>
        <v>ictv.global=202317866</v>
      </c>
    </row>
    <row r="7046" spans="1:21">
      <c r="A7046">
        <v>7045</v>
      </c>
      <c r="B7046" s="30" t="s">
        <v>1226</v>
      </c>
      <c r="D7046" s="30" t="s">
        <v>2024</v>
      </c>
      <c r="F7046" s="30" t="s">
        <v>13949</v>
      </c>
      <c r="H7046" s="30" t="s">
        <v>13950</v>
      </c>
      <c r="J7046" s="30" t="s">
        <v>13951</v>
      </c>
      <c r="L7046" s="30" t="s">
        <v>13967</v>
      </c>
      <c r="N7046" s="30" t="s">
        <v>13968</v>
      </c>
      <c r="P7046" s="30" t="s">
        <v>13969</v>
      </c>
      <c r="Q7046" t="s">
        <v>732</v>
      </c>
      <c r="R7046" t="s">
        <v>917</v>
      </c>
      <c r="S7046">
        <v>39</v>
      </c>
      <c r="T7046" s="29" t="str">
        <f t="shared" si="306"/>
        <v>2023.007F.Ambiviricota_nphy.zip</v>
      </c>
      <c r="U7046" s="29" t="str">
        <f>HYPERLINK("https://ictv.global/taxonomy/taxondetails?taxnode_id=202317864","ictv.global=202317864")</f>
        <v>ictv.global=202317864</v>
      </c>
    </row>
    <row r="7047" spans="1:21">
      <c r="A7047">
        <v>7046</v>
      </c>
      <c r="B7047" s="30" t="s">
        <v>1226</v>
      </c>
      <c r="D7047" s="30" t="s">
        <v>2024</v>
      </c>
      <c r="F7047" s="30" t="s">
        <v>13949</v>
      </c>
      <c r="H7047" s="30" t="s">
        <v>13950</v>
      </c>
      <c r="J7047" s="30" t="s">
        <v>13951</v>
      </c>
      <c r="L7047" s="30" t="s">
        <v>13967</v>
      </c>
      <c r="N7047" s="30" t="s">
        <v>13968</v>
      </c>
      <c r="P7047" s="30" t="s">
        <v>13970</v>
      </c>
      <c r="Q7047" t="s">
        <v>732</v>
      </c>
      <c r="R7047" t="s">
        <v>917</v>
      </c>
      <c r="S7047">
        <v>39</v>
      </c>
      <c r="T7047" s="29" t="str">
        <f t="shared" si="306"/>
        <v>2023.007F.Ambiviricota_nphy.zip</v>
      </c>
      <c r="U7047" s="29" t="str">
        <f>HYPERLINK("https://ictv.global/taxonomy/taxondetails?taxnode_id=202317863","ictv.global=202317863")</f>
        <v>ictv.global=202317863</v>
      </c>
    </row>
    <row r="7048" spans="1:21">
      <c r="A7048">
        <v>7047</v>
      </c>
      <c r="B7048" s="30" t="s">
        <v>1226</v>
      </c>
      <c r="D7048" s="30" t="s">
        <v>2024</v>
      </c>
      <c r="F7048" s="30" t="s">
        <v>13949</v>
      </c>
      <c r="H7048" s="30" t="s">
        <v>13950</v>
      </c>
      <c r="J7048" s="30" t="s">
        <v>13951</v>
      </c>
      <c r="L7048" s="30" t="s">
        <v>13967</v>
      </c>
      <c r="N7048" s="30" t="s">
        <v>13968</v>
      </c>
      <c r="P7048" s="30" t="s">
        <v>13971</v>
      </c>
      <c r="Q7048" t="s">
        <v>732</v>
      </c>
      <c r="R7048" t="s">
        <v>917</v>
      </c>
      <c r="S7048">
        <v>39</v>
      </c>
      <c r="T7048" s="29" t="str">
        <f t="shared" si="306"/>
        <v>2023.007F.Ambiviricota_nphy.zip</v>
      </c>
      <c r="U7048" s="29" t="str">
        <f>HYPERLINK("https://ictv.global/taxonomy/taxondetails?taxnode_id=202317865","ictv.global=202317865")</f>
        <v>ictv.global=202317865</v>
      </c>
    </row>
    <row r="7049" spans="1:21">
      <c r="A7049">
        <v>7048</v>
      </c>
      <c r="B7049" s="30" t="s">
        <v>1226</v>
      </c>
      <c r="D7049" s="30" t="s">
        <v>2024</v>
      </c>
      <c r="F7049" s="30" t="s">
        <v>13949</v>
      </c>
      <c r="H7049" s="30" t="s">
        <v>13950</v>
      </c>
      <c r="J7049" s="30" t="s">
        <v>13951</v>
      </c>
      <c r="L7049" s="30" t="s">
        <v>13967</v>
      </c>
      <c r="N7049" s="30" t="s">
        <v>13968</v>
      </c>
      <c r="P7049" s="30" t="s">
        <v>13972</v>
      </c>
      <c r="Q7049" t="s">
        <v>732</v>
      </c>
      <c r="R7049" t="s">
        <v>917</v>
      </c>
      <c r="S7049">
        <v>39</v>
      </c>
      <c r="T7049" s="29" t="str">
        <f t="shared" si="306"/>
        <v>2023.007F.Ambiviricota_nphy.zip</v>
      </c>
      <c r="U7049" s="29" t="str">
        <f>HYPERLINK("https://ictv.global/taxonomy/taxondetails?taxnode_id=202317861","ictv.global=202317861")</f>
        <v>ictv.global=202317861</v>
      </c>
    </row>
    <row r="7050" spans="1:21">
      <c r="A7050">
        <v>7049</v>
      </c>
      <c r="B7050" s="30" t="s">
        <v>1226</v>
      </c>
      <c r="D7050" s="30" t="s">
        <v>2024</v>
      </c>
      <c r="F7050" s="30" t="s">
        <v>13949</v>
      </c>
      <c r="H7050" s="30" t="s">
        <v>13950</v>
      </c>
      <c r="J7050" s="30" t="s">
        <v>13951</v>
      </c>
      <c r="L7050" s="30" t="s">
        <v>13967</v>
      </c>
      <c r="N7050" s="30" t="s">
        <v>13968</v>
      </c>
      <c r="P7050" s="30" t="s">
        <v>13973</v>
      </c>
      <c r="Q7050" t="s">
        <v>732</v>
      </c>
      <c r="R7050" t="s">
        <v>917</v>
      </c>
      <c r="S7050">
        <v>39</v>
      </c>
      <c r="T7050" s="29" t="str">
        <f t="shared" si="306"/>
        <v>2023.007F.Ambiviricota_nphy.zip</v>
      </c>
      <c r="U7050" s="29" t="str">
        <f>HYPERLINK("https://ictv.global/taxonomy/taxondetails?taxnode_id=202317862","ictv.global=202317862")</f>
        <v>ictv.global=202317862</v>
      </c>
    </row>
    <row r="7051" spans="1:21">
      <c r="A7051">
        <v>7050</v>
      </c>
      <c r="B7051" s="30" t="s">
        <v>1226</v>
      </c>
      <c r="D7051" s="30" t="s">
        <v>2024</v>
      </c>
      <c r="F7051" s="30" t="s">
        <v>13949</v>
      </c>
      <c r="H7051" s="30" t="s">
        <v>13950</v>
      </c>
      <c r="J7051" s="30" t="s">
        <v>13951</v>
      </c>
      <c r="L7051" s="30" t="s">
        <v>13974</v>
      </c>
      <c r="N7051" s="30" t="s">
        <v>13975</v>
      </c>
      <c r="P7051" s="30" t="s">
        <v>13976</v>
      </c>
      <c r="Q7051" t="s">
        <v>732</v>
      </c>
      <c r="R7051" t="s">
        <v>917</v>
      </c>
      <c r="S7051">
        <v>39</v>
      </c>
      <c r="T7051" s="29" t="str">
        <f t="shared" si="306"/>
        <v>2023.007F.Ambiviricota_nphy.zip</v>
      </c>
      <c r="U7051" s="29" t="str">
        <f>HYPERLINK("https://ictv.global/taxonomy/taxondetails?taxnode_id=202317850","ictv.global=202317850")</f>
        <v>ictv.global=202317850</v>
      </c>
    </row>
    <row r="7052" spans="1:21">
      <c r="A7052">
        <v>7051</v>
      </c>
      <c r="B7052" s="30" t="s">
        <v>1226</v>
      </c>
      <c r="D7052" s="30" t="s">
        <v>2024</v>
      </c>
      <c r="F7052" s="30" t="s">
        <v>13949</v>
      </c>
      <c r="H7052" s="30" t="s">
        <v>13950</v>
      </c>
      <c r="J7052" s="30" t="s">
        <v>13951</v>
      </c>
      <c r="L7052" s="30" t="s">
        <v>13974</v>
      </c>
      <c r="N7052" s="30" t="s">
        <v>13975</v>
      </c>
      <c r="P7052" s="30" t="s">
        <v>13977</v>
      </c>
      <c r="Q7052" t="s">
        <v>732</v>
      </c>
      <c r="R7052" t="s">
        <v>917</v>
      </c>
      <c r="S7052">
        <v>39</v>
      </c>
      <c r="T7052" s="29" t="str">
        <f t="shared" si="306"/>
        <v>2023.007F.Ambiviricota_nphy.zip</v>
      </c>
      <c r="U7052" s="29" t="str">
        <f>HYPERLINK("https://ictv.global/taxonomy/taxondetails?taxnode_id=202317851","ictv.global=202317851")</f>
        <v>ictv.global=202317851</v>
      </c>
    </row>
    <row r="7053" spans="1:21">
      <c r="A7053">
        <v>7052</v>
      </c>
      <c r="B7053" s="30" t="s">
        <v>1226</v>
      </c>
      <c r="D7053" s="30" t="s">
        <v>2024</v>
      </c>
      <c r="F7053" s="30" t="s">
        <v>13949</v>
      </c>
      <c r="H7053" s="30" t="s">
        <v>13950</v>
      </c>
      <c r="J7053" s="30" t="s">
        <v>13951</v>
      </c>
      <c r="L7053" s="30" t="s">
        <v>13974</v>
      </c>
      <c r="N7053" s="30" t="s">
        <v>13975</v>
      </c>
      <c r="P7053" s="30" t="s">
        <v>13978</v>
      </c>
      <c r="Q7053" t="s">
        <v>732</v>
      </c>
      <c r="R7053" t="s">
        <v>917</v>
      </c>
      <c r="S7053">
        <v>39</v>
      </c>
      <c r="T7053" s="29" t="str">
        <f t="shared" si="306"/>
        <v>2023.007F.Ambiviricota_nphy.zip</v>
      </c>
      <c r="U7053" s="29" t="str">
        <f>HYPERLINK("https://ictv.global/taxonomy/taxondetails?taxnode_id=202317852","ictv.global=202317852")</f>
        <v>ictv.global=202317852</v>
      </c>
    </row>
    <row r="7054" spans="1:21">
      <c r="A7054">
        <v>7053</v>
      </c>
      <c r="B7054" s="30" t="s">
        <v>1226</v>
      </c>
      <c r="D7054" s="30" t="s">
        <v>2024</v>
      </c>
      <c r="F7054" s="30" t="s">
        <v>13949</v>
      </c>
      <c r="H7054" s="30" t="s">
        <v>13950</v>
      </c>
      <c r="J7054" s="30" t="s">
        <v>13951</v>
      </c>
      <c r="L7054" s="30" t="s">
        <v>13974</v>
      </c>
      <c r="N7054" s="30" t="s">
        <v>13975</v>
      </c>
      <c r="P7054" s="30" t="s">
        <v>13979</v>
      </c>
      <c r="Q7054" t="s">
        <v>732</v>
      </c>
      <c r="R7054" t="s">
        <v>917</v>
      </c>
      <c r="S7054">
        <v>39</v>
      </c>
      <c r="T7054" s="29" t="str">
        <f t="shared" si="306"/>
        <v>2023.007F.Ambiviricota_nphy.zip</v>
      </c>
      <c r="U7054" s="29" t="str">
        <f>HYPERLINK("https://ictv.global/taxonomy/taxondetails?taxnode_id=202317853","ictv.global=202317853")</f>
        <v>ictv.global=202317853</v>
      </c>
    </row>
    <row r="7055" spans="1:21">
      <c r="A7055">
        <v>7054</v>
      </c>
      <c r="B7055" s="30" t="s">
        <v>1226</v>
      </c>
      <c r="D7055" s="30" t="s">
        <v>2024</v>
      </c>
      <c r="F7055" s="30" t="s">
        <v>2025</v>
      </c>
      <c r="H7055" s="30" t="s">
        <v>2026</v>
      </c>
      <c r="J7055" s="30" t="s">
        <v>2027</v>
      </c>
      <c r="K7055" s="30" t="s">
        <v>13980</v>
      </c>
      <c r="L7055" s="30" t="s">
        <v>13981</v>
      </c>
      <c r="N7055" s="30" t="s">
        <v>794</v>
      </c>
      <c r="P7055" s="30" t="s">
        <v>13982</v>
      </c>
      <c r="Q7055" t="s">
        <v>623</v>
      </c>
      <c r="R7055" t="s">
        <v>917</v>
      </c>
      <c r="S7055">
        <v>39</v>
      </c>
      <c r="T7055" s="29" t="str">
        <f t="shared" ref="T7055:T7086" si="307">HYPERLINK("https://ictv.global/ictv/proposals/2023.015F.Ghabrivirales_reorg.zip","2023.015F.Ghabrivirales_reorg.zip")</f>
        <v>2023.015F.Ghabrivirales_reorg.zip</v>
      </c>
      <c r="U7055" s="29" t="str">
        <f>HYPERLINK("https://ictv.global/taxonomy/taxondetails?taxnode_id=202318098","ictv.global=202318098")</f>
        <v>ictv.global=202318098</v>
      </c>
    </row>
    <row r="7056" spans="1:21">
      <c r="A7056">
        <v>7055</v>
      </c>
      <c r="B7056" s="30" t="s">
        <v>1226</v>
      </c>
      <c r="D7056" s="30" t="s">
        <v>2024</v>
      </c>
      <c r="F7056" s="30" t="s">
        <v>2025</v>
      </c>
      <c r="H7056" s="30" t="s">
        <v>2026</v>
      </c>
      <c r="J7056" s="30" t="s">
        <v>2027</v>
      </c>
      <c r="K7056" s="30" t="s">
        <v>13980</v>
      </c>
      <c r="L7056" s="30" t="s">
        <v>13981</v>
      </c>
      <c r="N7056" s="30" t="s">
        <v>794</v>
      </c>
      <c r="P7056" s="30" t="s">
        <v>13983</v>
      </c>
      <c r="Q7056" t="s">
        <v>623</v>
      </c>
      <c r="R7056" t="s">
        <v>917</v>
      </c>
      <c r="S7056">
        <v>39</v>
      </c>
      <c r="T7056" s="29" t="str">
        <f t="shared" si="307"/>
        <v>2023.015F.Ghabrivirales_reorg.zip</v>
      </c>
      <c r="U7056" s="29" t="str">
        <f>HYPERLINK("https://ictv.global/taxonomy/taxondetails?taxnode_id=202318099","ictv.global=202318099")</f>
        <v>ictv.global=202318099</v>
      </c>
    </row>
    <row r="7057" spans="1:21">
      <c r="A7057">
        <v>7056</v>
      </c>
      <c r="B7057" s="30" t="s">
        <v>1226</v>
      </c>
      <c r="D7057" s="30" t="s">
        <v>2024</v>
      </c>
      <c r="F7057" s="30" t="s">
        <v>2025</v>
      </c>
      <c r="H7057" s="30" t="s">
        <v>2026</v>
      </c>
      <c r="J7057" s="30" t="s">
        <v>2027</v>
      </c>
      <c r="K7057" s="30" t="s">
        <v>13980</v>
      </c>
      <c r="L7057" s="30" t="s">
        <v>13981</v>
      </c>
      <c r="N7057" s="30" t="s">
        <v>794</v>
      </c>
      <c r="P7057" s="30" t="s">
        <v>13984</v>
      </c>
      <c r="Q7057" t="s">
        <v>623</v>
      </c>
      <c r="R7057" t="s">
        <v>920</v>
      </c>
      <c r="S7057">
        <v>39</v>
      </c>
      <c r="T7057" s="29" t="str">
        <f t="shared" si="307"/>
        <v>2023.015F.Ghabrivirales_reorg.zip</v>
      </c>
      <c r="U7057" s="29" t="str">
        <f>HYPERLINK("https://ictv.global/taxonomy/taxondetails?taxnode_id=202305343","ictv.global=202305343")</f>
        <v>ictv.global=202305343</v>
      </c>
    </row>
    <row r="7058" spans="1:21">
      <c r="A7058">
        <v>7057</v>
      </c>
      <c r="B7058" s="30" t="s">
        <v>1226</v>
      </c>
      <c r="D7058" s="30" t="s">
        <v>2024</v>
      </c>
      <c r="F7058" s="30" t="s">
        <v>2025</v>
      </c>
      <c r="H7058" s="30" t="s">
        <v>2026</v>
      </c>
      <c r="J7058" s="30" t="s">
        <v>2027</v>
      </c>
      <c r="K7058" s="30" t="s">
        <v>13980</v>
      </c>
      <c r="L7058" s="30" t="s">
        <v>13981</v>
      </c>
      <c r="N7058" s="30" t="s">
        <v>794</v>
      </c>
      <c r="P7058" s="30" t="s">
        <v>13985</v>
      </c>
      <c r="Q7058" t="s">
        <v>623</v>
      </c>
      <c r="R7058" t="s">
        <v>917</v>
      </c>
      <c r="S7058">
        <v>39</v>
      </c>
      <c r="T7058" s="29" t="str">
        <f t="shared" si="307"/>
        <v>2023.015F.Ghabrivirales_reorg.zip</v>
      </c>
      <c r="U7058" s="29" t="str">
        <f>HYPERLINK("https://ictv.global/taxonomy/taxondetails?taxnode_id=202318100","ictv.global=202318100")</f>
        <v>ictv.global=202318100</v>
      </c>
    </row>
    <row r="7059" spans="1:21">
      <c r="A7059">
        <v>7058</v>
      </c>
      <c r="B7059" s="30" t="s">
        <v>1226</v>
      </c>
      <c r="D7059" s="30" t="s">
        <v>2024</v>
      </c>
      <c r="F7059" s="30" t="s">
        <v>2025</v>
      </c>
      <c r="H7059" s="30" t="s">
        <v>2026</v>
      </c>
      <c r="J7059" s="30" t="s">
        <v>2027</v>
      </c>
      <c r="K7059" s="30" t="s">
        <v>13980</v>
      </c>
      <c r="L7059" s="30" t="s">
        <v>13981</v>
      </c>
      <c r="N7059" s="30" t="s">
        <v>794</v>
      </c>
      <c r="P7059" s="30" t="s">
        <v>13986</v>
      </c>
      <c r="Q7059" t="s">
        <v>623</v>
      </c>
      <c r="R7059" t="s">
        <v>917</v>
      </c>
      <c r="S7059">
        <v>39</v>
      </c>
      <c r="T7059" s="29" t="str">
        <f t="shared" si="307"/>
        <v>2023.015F.Ghabrivirales_reorg.zip</v>
      </c>
      <c r="U7059" s="29" t="str">
        <f>HYPERLINK("https://ictv.global/taxonomy/taxondetails?taxnode_id=202318101","ictv.global=202318101")</f>
        <v>ictv.global=202318101</v>
      </c>
    </row>
    <row r="7060" spans="1:21">
      <c r="A7060">
        <v>7059</v>
      </c>
      <c r="B7060" s="30" t="s">
        <v>1226</v>
      </c>
      <c r="D7060" s="30" t="s">
        <v>2024</v>
      </c>
      <c r="F7060" s="30" t="s">
        <v>2025</v>
      </c>
      <c r="H7060" s="30" t="s">
        <v>2026</v>
      </c>
      <c r="J7060" s="30" t="s">
        <v>2027</v>
      </c>
      <c r="K7060" s="30" t="s">
        <v>13980</v>
      </c>
      <c r="L7060" s="30" t="s">
        <v>13981</v>
      </c>
      <c r="N7060" s="30" t="s">
        <v>794</v>
      </c>
      <c r="P7060" s="30" t="s">
        <v>13987</v>
      </c>
      <c r="Q7060" t="s">
        <v>623</v>
      </c>
      <c r="R7060" t="s">
        <v>917</v>
      </c>
      <c r="S7060">
        <v>39</v>
      </c>
      <c r="T7060" s="29" t="str">
        <f t="shared" si="307"/>
        <v>2023.015F.Ghabrivirales_reorg.zip</v>
      </c>
      <c r="U7060" s="29" t="str">
        <f>HYPERLINK("https://ictv.global/taxonomy/taxondetails?taxnode_id=202318102","ictv.global=202318102")</f>
        <v>ictv.global=202318102</v>
      </c>
    </row>
    <row r="7061" spans="1:21">
      <c r="A7061">
        <v>7060</v>
      </c>
      <c r="B7061" s="30" t="s">
        <v>1226</v>
      </c>
      <c r="D7061" s="30" t="s">
        <v>2024</v>
      </c>
      <c r="F7061" s="30" t="s">
        <v>2025</v>
      </c>
      <c r="H7061" s="30" t="s">
        <v>2026</v>
      </c>
      <c r="J7061" s="30" t="s">
        <v>2027</v>
      </c>
      <c r="K7061" s="30" t="s">
        <v>13980</v>
      </c>
      <c r="L7061" s="30" t="s">
        <v>13981</v>
      </c>
      <c r="N7061" s="30" t="s">
        <v>794</v>
      </c>
      <c r="P7061" s="30" t="s">
        <v>13988</v>
      </c>
      <c r="Q7061" t="s">
        <v>623</v>
      </c>
      <c r="R7061" t="s">
        <v>917</v>
      </c>
      <c r="S7061">
        <v>39</v>
      </c>
      <c r="T7061" s="29" t="str">
        <f t="shared" si="307"/>
        <v>2023.015F.Ghabrivirales_reorg.zip</v>
      </c>
      <c r="U7061" s="29" t="str">
        <f>HYPERLINK("https://ictv.global/taxonomy/taxondetails?taxnode_id=202318103","ictv.global=202318103")</f>
        <v>ictv.global=202318103</v>
      </c>
    </row>
    <row r="7062" spans="1:21">
      <c r="A7062">
        <v>7061</v>
      </c>
      <c r="B7062" s="30" t="s">
        <v>1226</v>
      </c>
      <c r="D7062" s="30" t="s">
        <v>2024</v>
      </c>
      <c r="F7062" s="30" t="s">
        <v>2025</v>
      </c>
      <c r="H7062" s="30" t="s">
        <v>2026</v>
      </c>
      <c r="J7062" s="30" t="s">
        <v>2027</v>
      </c>
      <c r="K7062" s="30" t="s">
        <v>13980</v>
      </c>
      <c r="L7062" s="30" t="s">
        <v>13981</v>
      </c>
      <c r="N7062" s="30" t="s">
        <v>794</v>
      </c>
      <c r="P7062" s="30" t="s">
        <v>13989</v>
      </c>
      <c r="Q7062" t="s">
        <v>623</v>
      </c>
      <c r="R7062" t="s">
        <v>917</v>
      </c>
      <c r="S7062">
        <v>39</v>
      </c>
      <c r="T7062" s="29" t="str">
        <f t="shared" si="307"/>
        <v>2023.015F.Ghabrivirales_reorg.zip</v>
      </c>
      <c r="U7062" s="29" t="str">
        <f>HYPERLINK("https://ictv.global/taxonomy/taxondetails?taxnode_id=202318104","ictv.global=202318104")</f>
        <v>ictv.global=202318104</v>
      </c>
    </row>
    <row r="7063" spans="1:21">
      <c r="A7063">
        <v>7062</v>
      </c>
      <c r="B7063" s="30" t="s">
        <v>1226</v>
      </c>
      <c r="D7063" s="30" t="s">
        <v>2024</v>
      </c>
      <c r="F7063" s="30" t="s">
        <v>2025</v>
      </c>
      <c r="H7063" s="30" t="s">
        <v>2026</v>
      </c>
      <c r="J7063" s="30" t="s">
        <v>2027</v>
      </c>
      <c r="K7063" s="30" t="s">
        <v>13980</v>
      </c>
      <c r="L7063" s="30" t="s">
        <v>13981</v>
      </c>
      <c r="N7063" s="30" t="s">
        <v>794</v>
      </c>
      <c r="P7063" s="30" t="s">
        <v>13990</v>
      </c>
      <c r="Q7063" t="s">
        <v>623</v>
      </c>
      <c r="R7063" t="s">
        <v>917</v>
      </c>
      <c r="S7063">
        <v>39</v>
      </c>
      <c r="T7063" s="29" t="str">
        <f t="shared" si="307"/>
        <v>2023.015F.Ghabrivirales_reorg.zip</v>
      </c>
      <c r="U7063" s="29" t="str">
        <f>HYPERLINK("https://ictv.global/taxonomy/taxondetails?taxnode_id=202318105","ictv.global=202318105")</f>
        <v>ictv.global=202318105</v>
      </c>
    </row>
    <row r="7064" spans="1:21">
      <c r="A7064">
        <v>7063</v>
      </c>
      <c r="B7064" s="30" t="s">
        <v>1226</v>
      </c>
      <c r="D7064" s="30" t="s">
        <v>2024</v>
      </c>
      <c r="F7064" s="30" t="s">
        <v>2025</v>
      </c>
      <c r="H7064" s="30" t="s">
        <v>2026</v>
      </c>
      <c r="J7064" s="30" t="s">
        <v>2027</v>
      </c>
      <c r="K7064" s="30" t="s">
        <v>13980</v>
      </c>
      <c r="L7064" s="30" t="s">
        <v>209</v>
      </c>
      <c r="N7064" s="30" t="s">
        <v>1307</v>
      </c>
      <c r="P7064" s="30" t="s">
        <v>9122</v>
      </c>
      <c r="Q7064" t="s">
        <v>623</v>
      </c>
      <c r="R7064" t="s">
        <v>919</v>
      </c>
      <c r="S7064">
        <v>39</v>
      </c>
      <c r="T7064" s="29" t="str">
        <f t="shared" si="307"/>
        <v>2023.015F.Ghabrivirales_reorg.zip</v>
      </c>
      <c r="U7064" s="29" t="str">
        <f>HYPERLINK("https://ictv.global/taxonomy/taxondetails?taxnode_id=202306297","ictv.global=202306297")</f>
        <v>ictv.global=202306297</v>
      </c>
    </row>
    <row r="7065" spans="1:21">
      <c r="A7065">
        <v>7064</v>
      </c>
      <c r="B7065" s="30" t="s">
        <v>1226</v>
      </c>
      <c r="D7065" s="30" t="s">
        <v>2024</v>
      </c>
      <c r="F7065" s="30" t="s">
        <v>2025</v>
      </c>
      <c r="H7065" s="30" t="s">
        <v>2026</v>
      </c>
      <c r="J7065" s="30" t="s">
        <v>2027</v>
      </c>
      <c r="K7065" s="30" t="s">
        <v>13980</v>
      </c>
      <c r="L7065" s="30" t="s">
        <v>209</v>
      </c>
      <c r="N7065" s="30" t="s">
        <v>1307</v>
      </c>
      <c r="P7065" s="30" t="s">
        <v>9123</v>
      </c>
      <c r="Q7065" t="s">
        <v>623</v>
      </c>
      <c r="R7065" t="s">
        <v>919</v>
      </c>
      <c r="S7065">
        <v>39</v>
      </c>
      <c r="T7065" s="29" t="str">
        <f t="shared" si="307"/>
        <v>2023.015F.Ghabrivirales_reorg.zip</v>
      </c>
      <c r="U7065" s="29" t="str">
        <f>HYPERLINK("https://ictv.global/taxonomy/taxondetails?taxnode_id=202302892","ictv.global=202302892")</f>
        <v>ictv.global=202302892</v>
      </c>
    </row>
    <row r="7066" spans="1:21">
      <c r="A7066">
        <v>7065</v>
      </c>
      <c r="B7066" s="30" t="s">
        <v>1226</v>
      </c>
      <c r="D7066" s="30" t="s">
        <v>2024</v>
      </c>
      <c r="F7066" s="30" t="s">
        <v>2025</v>
      </c>
      <c r="H7066" s="30" t="s">
        <v>2026</v>
      </c>
      <c r="J7066" s="30" t="s">
        <v>2027</v>
      </c>
      <c r="K7066" s="30" t="s">
        <v>13980</v>
      </c>
      <c r="L7066" s="30" t="s">
        <v>209</v>
      </c>
      <c r="N7066" s="30" t="s">
        <v>1307</v>
      </c>
      <c r="P7066" s="30" t="s">
        <v>9124</v>
      </c>
      <c r="Q7066" t="s">
        <v>623</v>
      </c>
      <c r="R7066" t="s">
        <v>919</v>
      </c>
      <c r="S7066">
        <v>39</v>
      </c>
      <c r="T7066" s="29" t="str">
        <f t="shared" si="307"/>
        <v>2023.015F.Ghabrivirales_reorg.zip</v>
      </c>
      <c r="U7066" s="29" t="str">
        <f>HYPERLINK("https://ictv.global/taxonomy/taxondetails?taxnode_id=202306298","ictv.global=202306298")</f>
        <v>ictv.global=202306298</v>
      </c>
    </row>
    <row r="7067" spans="1:21">
      <c r="A7067">
        <v>7066</v>
      </c>
      <c r="B7067" s="30" t="s">
        <v>1226</v>
      </c>
      <c r="D7067" s="30" t="s">
        <v>2024</v>
      </c>
      <c r="F7067" s="30" t="s">
        <v>2025</v>
      </c>
      <c r="H7067" s="30" t="s">
        <v>2026</v>
      </c>
      <c r="J7067" s="30" t="s">
        <v>2027</v>
      </c>
      <c r="K7067" s="30" t="s">
        <v>13980</v>
      </c>
      <c r="L7067" s="30" t="s">
        <v>209</v>
      </c>
      <c r="N7067" s="30" t="s">
        <v>1307</v>
      </c>
      <c r="P7067" s="30" t="s">
        <v>9125</v>
      </c>
      <c r="Q7067" t="s">
        <v>623</v>
      </c>
      <c r="R7067" t="s">
        <v>919</v>
      </c>
      <c r="S7067">
        <v>39</v>
      </c>
      <c r="T7067" s="29" t="str">
        <f t="shared" si="307"/>
        <v>2023.015F.Ghabrivirales_reorg.zip</v>
      </c>
      <c r="U7067" s="29" t="str">
        <f>HYPERLINK("https://ictv.global/taxonomy/taxondetails?taxnode_id=202302891","ictv.global=202302891")</f>
        <v>ictv.global=202302891</v>
      </c>
    </row>
    <row r="7068" spans="1:21">
      <c r="A7068">
        <v>7067</v>
      </c>
      <c r="B7068" s="30" t="s">
        <v>1226</v>
      </c>
      <c r="D7068" s="30" t="s">
        <v>2024</v>
      </c>
      <c r="F7068" s="30" t="s">
        <v>2025</v>
      </c>
      <c r="H7068" s="30" t="s">
        <v>2026</v>
      </c>
      <c r="J7068" s="30" t="s">
        <v>2027</v>
      </c>
      <c r="K7068" s="30" t="s">
        <v>13980</v>
      </c>
      <c r="L7068" s="30" t="s">
        <v>209</v>
      </c>
      <c r="N7068" s="30" t="s">
        <v>1307</v>
      </c>
      <c r="P7068" s="30" t="s">
        <v>9126</v>
      </c>
      <c r="Q7068" t="s">
        <v>623</v>
      </c>
      <c r="R7068" t="s">
        <v>919</v>
      </c>
      <c r="S7068">
        <v>39</v>
      </c>
      <c r="T7068" s="29" t="str">
        <f t="shared" si="307"/>
        <v>2023.015F.Ghabrivirales_reorg.zip</v>
      </c>
      <c r="U7068" s="29" t="str">
        <f>HYPERLINK("https://ictv.global/taxonomy/taxondetails?taxnode_id=202308818","ictv.global=202308818")</f>
        <v>ictv.global=202308818</v>
      </c>
    </row>
    <row r="7069" spans="1:21">
      <c r="A7069">
        <v>7068</v>
      </c>
      <c r="B7069" s="30" t="s">
        <v>1226</v>
      </c>
      <c r="D7069" s="30" t="s">
        <v>2024</v>
      </c>
      <c r="F7069" s="30" t="s">
        <v>2025</v>
      </c>
      <c r="H7069" s="30" t="s">
        <v>2026</v>
      </c>
      <c r="J7069" s="30" t="s">
        <v>2027</v>
      </c>
      <c r="K7069" s="30" t="s">
        <v>13980</v>
      </c>
      <c r="L7069" s="30" t="s">
        <v>209</v>
      </c>
      <c r="N7069" s="30" t="s">
        <v>1307</v>
      </c>
      <c r="P7069" s="30" t="s">
        <v>9127</v>
      </c>
      <c r="Q7069" t="s">
        <v>623</v>
      </c>
      <c r="R7069" t="s">
        <v>919</v>
      </c>
      <c r="S7069">
        <v>39</v>
      </c>
      <c r="T7069" s="29" t="str">
        <f t="shared" si="307"/>
        <v>2023.015F.Ghabrivirales_reorg.zip</v>
      </c>
      <c r="U7069" s="29" t="str">
        <f>HYPERLINK("https://ictv.global/taxonomy/taxondetails?taxnode_id=202306299","ictv.global=202306299")</f>
        <v>ictv.global=202306299</v>
      </c>
    </row>
    <row r="7070" spans="1:21">
      <c r="A7070">
        <v>7069</v>
      </c>
      <c r="B7070" s="30" t="s">
        <v>1226</v>
      </c>
      <c r="D7070" s="30" t="s">
        <v>2024</v>
      </c>
      <c r="F7070" s="30" t="s">
        <v>2025</v>
      </c>
      <c r="H7070" s="30" t="s">
        <v>2026</v>
      </c>
      <c r="J7070" s="30" t="s">
        <v>2027</v>
      </c>
      <c r="K7070" s="30" t="s">
        <v>13980</v>
      </c>
      <c r="L7070" s="30" t="s">
        <v>209</v>
      </c>
      <c r="N7070" s="30" t="s">
        <v>1307</v>
      </c>
      <c r="P7070" s="30" t="s">
        <v>9128</v>
      </c>
      <c r="Q7070" t="s">
        <v>623</v>
      </c>
      <c r="R7070" t="s">
        <v>919</v>
      </c>
      <c r="S7070">
        <v>39</v>
      </c>
      <c r="T7070" s="29" t="str">
        <f t="shared" si="307"/>
        <v>2023.015F.Ghabrivirales_reorg.zip</v>
      </c>
      <c r="U7070" s="29" t="str">
        <f>HYPERLINK("https://ictv.global/taxonomy/taxondetails?taxnode_id=202302893","ictv.global=202302893")</f>
        <v>ictv.global=202302893</v>
      </c>
    </row>
    <row r="7071" spans="1:21">
      <c r="A7071">
        <v>7070</v>
      </c>
      <c r="B7071" s="30" t="s">
        <v>1226</v>
      </c>
      <c r="D7071" s="30" t="s">
        <v>2024</v>
      </c>
      <c r="F7071" s="30" t="s">
        <v>2025</v>
      </c>
      <c r="H7071" s="30" t="s">
        <v>2026</v>
      </c>
      <c r="J7071" s="30" t="s">
        <v>2027</v>
      </c>
      <c r="K7071" s="30" t="s">
        <v>13980</v>
      </c>
      <c r="L7071" s="30" t="s">
        <v>209</v>
      </c>
      <c r="N7071" s="30" t="s">
        <v>1307</v>
      </c>
      <c r="P7071" s="30" t="s">
        <v>9129</v>
      </c>
      <c r="Q7071" t="s">
        <v>623</v>
      </c>
      <c r="R7071" t="s">
        <v>919</v>
      </c>
      <c r="S7071">
        <v>39</v>
      </c>
      <c r="T7071" s="29" t="str">
        <f t="shared" si="307"/>
        <v>2023.015F.Ghabrivirales_reorg.zip</v>
      </c>
      <c r="U7071" s="29" t="str">
        <f>HYPERLINK("https://ictv.global/taxonomy/taxondetails?taxnode_id=202302894","ictv.global=202302894")</f>
        <v>ictv.global=202302894</v>
      </c>
    </row>
    <row r="7072" spans="1:21">
      <c r="A7072">
        <v>7071</v>
      </c>
      <c r="B7072" s="30" t="s">
        <v>1226</v>
      </c>
      <c r="D7072" s="30" t="s">
        <v>2024</v>
      </c>
      <c r="F7072" s="30" t="s">
        <v>2025</v>
      </c>
      <c r="H7072" s="30" t="s">
        <v>2026</v>
      </c>
      <c r="J7072" s="30" t="s">
        <v>2027</v>
      </c>
      <c r="K7072" s="30" t="s">
        <v>13980</v>
      </c>
      <c r="L7072" s="30" t="s">
        <v>209</v>
      </c>
      <c r="N7072" s="30" t="s">
        <v>1307</v>
      </c>
      <c r="P7072" s="30" t="s">
        <v>9130</v>
      </c>
      <c r="Q7072" t="s">
        <v>623</v>
      </c>
      <c r="R7072" t="s">
        <v>919</v>
      </c>
      <c r="S7072">
        <v>39</v>
      </c>
      <c r="T7072" s="29" t="str">
        <f t="shared" si="307"/>
        <v>2023.015F.Ghabrivirales_reorg.zip</v>
      </c>
      <c r="U7072" s="29" t="str">
        <f>HYPERLINK("https://ictv.global/taxonomy/taxondetails?taxnode_id=202302895","ictv.global=202302895")</f>
        <v>ictv.global=202302895</v>
      </c>
    </row>
    <row r="7073" spans="1:21">
      <c r="A7073">
        <v>7072</v>
      </c>
      <c r="B7073" s="30" t="s">
        <v>1226</v>
      </c>
      <c r="D7073" s="30" t="s">
        <v>2024</v>
      </c>
      <c r="F7073" s="30" t="s">
        <v>2025</v>
      </c>
      <c r="H7073" s="30" t="s">
        <v>2026</v>
      </c>
      <c r="J7073" s="30" t="s">
        <v>2027</v>
      </c>
      <c r="K7073" s="30" t="s">
        <v>13980</v>
      </c>
      <c r="L7073" s="30" t="s">
        <v>209</v>
      </c>
      <c r="N7073" s="30" t="s">
        <v>1307</v>
      </c>
      <c r="P7073" s="30" t="s">
        <v>9131</v>
      </c>
      <c r="Q7073" t="s">
        <v>623</v>
      </c>
      <c r="R7073" t="s">
        <v>919</v>
      </c>
      <c r="S7073">
        <v>39</v>
      </c>
      <c r="T7073" s="29" t="str">
        <f t="shared" si="307"/>
        <v>2023.015F.Ghabrivirales_reorg.zip</v>
      </c>
      <c r="U7073" s="29" t="str">
        <f>HYPERLINK("https://ictv.global/taxonomy/taxondetails?taxnode_id=202306300","ictv.global=202306300")</f>
        <v>ictv.global=202306300</v>
      </c>
    </row>
    <row r="7074" spans="1:21">
      <c r="A7074">
        <v>7073</v>
      </c>
      <c r="B7074" s="30" t="s">
        <v>1226</v>
      </c>
      <c r="D7074" s="30" t="s">
        <v>2024</v>
      </c>
      <c r="F7074" s="30" t="s">
        <v>2025</v>
      </c>
      <c r="H7074" s="30" t="s">
        <v>2026</v>
      </c>
      <c r="J7074" s="30" t="s">
        <v>2027</v>
      </c>
      <c r="K7074" s="30" t="s">
        <v>13980</v>
      </c>
      <c r="L7074" s="30" t="s">
        <v>209</v>
      </c>
      <c r="N7074" s="30" t="s">
        <v>1307</v>
      </c>
      <c r="P7074" s="30" t="s">
        <v>9132</v>
      </c>
      <c r="Q7074" t="s">
        <v>623</v>
      </c>
      <c r="R7074" t="s">
        <v>919</v>
      </c>
      <c r="S7074">
        <v>39</v>
      </c>
      <c r="T7074" s="29" t="str">
        <f t="shared" si="307"/>
        <v>2023.015F.Ghabrivirales_reorg.zip</v>
      </c>
      <c r="U7074" s="29" t="str">
        <f>HYPERLINK("https://ictv.global/taxonomy/taxondetails?taxnode_id=202306301","ictv.global=202306301")</f>
        <v>ictv.global=202306301</v>
      </c>
    </row>
    <row r="7075" spans="1:21">
      <c r="A7075">
        <v>7074</v>
      </c>
      <c r="B7075" s="30" t="s">
        <v>1226</v>
      </c>
      <c r="D7075" s="30" t="s">
        <v>2024</v>
      </c>
      <c r="F7075" s="30" t="s">
        <v>2025</v>
      </c>
      <c r="H7075" s="30" t="s">
        <v>2026</v>
      </c>
      <c r="J7075" s="30" t="s">
        <v>2027</v>
      </c>
      <c r="K7075" s="30" t="s">
        <v>13980</v>
      </c>
      <c r="L7075" s="30" t="s">
        <v>209</v>
      </c>
      <c r="N7075" s="30" t="s">
        <v>1307</v>
      </c>
      <c r="P7075" s="30" t="s">
        <v>9133</v>
      </c>
      <c r="Q7075" t="s">
        <v>623</v>
      </c>
      <c r="R7075" t="s">
        <v>919</v>
      </c>
      <c r="S7075">
        <v>39</v>
      </c>
      <c r="T7075" s="29" t="str">
        <f t="shared" si="307"/>
        <v>2023.015F.Ghabrivirales_reorg.zip</v>
      </c>
      <c r="U7075" s="29" t="str">
        <f>HYPERLINK("https://ictv.global/taxonomy/taxondetails?taxnode_id=202302897","ictv.global=202302897")</f>
        <v>ictv.global=202302897</v>
      </c>
    </row>
    <row r="7076" spans="1:21">
      <c r="A7076">
        <v>7075</v>
      </c>
      <c r="B7076" s="30" t="s">
        <v>1226</v>
      </c>
      <c r="D7076" s="30" t="s">
        <v>2024</v>
      </c>
      <c r="F7076" s="30" t="s">
        <v>2025</v>
      </c>
      <c r="H7076" s="30" t="s">
        <v>2026</v>
      </c>
      <c r="J7076" s="30" t="s">
        <v>2027</v>
      </c>
      <c r="K7076" s="30" t="s">
        <v>13980</v>
      </c>
      <c r="L7076" s="30" t="s">
        <v>209</v>
      </c>
      <c r="N7076" s="30" t="s">
        <v>1307</v>
      </c>
      <c r="P7076" s="30" t="s">
        <v>9134</v>
      </c>
      <c r="Q7076" t="s">
        <v>623</v>
      </c>
      <c r="R7076" t="s">
        <v>919</v>
      </c>
      <c r="S7076">
        <v>39</v>
      </c>
      <c r="T7076" s="29" t="str">
        <f t="shared" si="307"/>
        <v>2023.015F.Ghabrivirales_reorg.zip</v>
      </c>
      <c r="U7076" s="29" t="str">
        <f>HYPERLINK("https://ictv.global/taxonomy/taxondetails?taxnode_id=202302896","ictv.global=202302896")</f>
        <v>ictv.global=202302896</v>
      </c>
    </row>
    <row r="7077" spans="1:21">
      <c r="A7077">
        <v>7076</v>
      </c>
      <c r="B7077" s="30" t="s">
        <v>1226</v>
      </c>
      <c r="D7077" s="30" t="s">
        <v>2024</v>
      </c>
      <c r="F7077" s="30" t="s">
        <v>2025</v>
      </c>
      <c r="H7077" s="30" t="s">
        <v>2026</v>
      </c>
      <c r="J7077" s="30" t="s">
        <v>2027</v>
      </c>
      <c r="K7077" s="30" t="s">
        <v>13980</v>
      </c>
      <c r="L7077" s="30" t="s">
        <v>209</v>
      </c>
      <c r="N7077" s="30" t="s">
        <v>1307</v>
      </c>
      <c r="P7077" s="30" t="s">
        <v>9135</v>
      </c>
      <c r="Q7077" t="s">
        <v>623</v>
      </c>
      <c r="R7077" t="s">
        <v>919</v>
      </c>
      <c r="S7077">
        <v>39</v>
      </c>
      <c r="T7077" s="29" t="str">
        <f t="shared" si="307"/>
        <v>2023.015F.Ghabrivirales_reorg.zip</v>
      </c>
      <c r="U7077" s="29" t="str">
        <f>HYPERLINK("https://ictv.global/taxonomy/taxondetails?taxnode_id=202302898","ictv.global=202302898")</f>
        <v>ictv.global=202302898</v>
      </c>
    </row>
    <row r="7078" spans="1:21">
      <c r="A7078">
        <v>7077</v>
      </c>
      <c r="B7078" s="30" t="s">
        <v>1226</v>
      </c>
      <c r="D7078" s="30" t="s">
        <v>2024</v>
      </c>
      <c r="F7078" s="30" t="s">
        <v>2025</v>
      </c>
      <c r="H7078" s="30" t="s">
        <v>2026</v>
      </c>
      <c r="J7078" s="30" t="s">
        <v>2027</v>
      </c>
      <c r="K7078" s="30" t="s">
        <v>13980</v>
      </c>
      <c r="L7078" s="30" t="s">
        <v>209</v>
      </c>
      <c r="N7078" s="30" t="s">
        <v>1307</v>
      </c>
      <c r="P7078" s="30" t="s">
        <v>9136</v>
      </c>
      <c r="Q7078" t="s">
        <v>623</v>
      </c>
      <c r="R7078" t="s">
        <v>919</v>
      </c>
      <c r="S7078">
        <v>39</v>
      </c>
      <c r="T7078" s="29" t="str">
        <f t="shared" si="307"/>
        <v>2023.015F.Ghabrivirales_reorg.zip</v>
      </c>
      <c r="U7078" s="29" t="str">
        <f>HYPERLINK("https://ictv.global/taxonomy/taxondetails?taxnode_id=202306302","ictv.global=202306302")</f>
        <v>ictv.global=202306302</v>
      </c>
    </row>
    <row r="7079" spans="1:21">
      <c r="A7079">
        <v>7078</v>
      </c>
      <c r="B7079" s="30" t="s">
        <v>1226</v>
      </c>
      <c r="D7079" s="30" t="s">
        <v>2024</v>
      </c>
      <c r="F7079" s="30" t="s">
        <v>2025</v>
      </c>
      <c r="H7079" s="30" t="s">
        <v>2026</v>
      </c>
      <c r="J7079" s="30" t="s">
        <v>2027</v>
      </c>
      <c r="K7079" s="30" t="s">
        <v>13980</v>
      </c>
      <c r="L7079" s="30" t="s">
        <v>209</v>
      </c>
      <c r="N7079" s="30" t="s">
        <v>1307</v>
      </c>
      <c r="P7079" s="30" t="s">
        <v>9137</v>
      </c>
      <c r="Q7079" t="s">
        <v>623</v>
      </c>
      <c r="R7079" t="s">
        <v>919</v>
      </c>
      <c r="S7079">
        <v>39</v>
      </c>
      <c r="T7079" s="29" t="str">
        <f t="shared" si="307"/>
        <v>2023.015F.Ghabrivirales_reorg.zip</v>
      </c>
      <c r="U7079" s="29" t="str">
        <f>HYPERLINK("https://ictv.global/taxonomy/taxondetails?taxnode_id=202306303","ictv.global=202306303")</f>
        <v>ictv.global=202306303</v>
      </c>
    </row>
    <row r="7080" spans="1:21">
      <c r="A7080">
        <v>7079</v>
      </c>
      <c r="B7080" s="30" t="s">
        <v>1226</v>
      </c>
      <c r="D7080" s="30" t="s">
        <v>2024</v>
      </c>
      <c r="F7080" s="30" t="s">
        <v>2025</v>
      </c>
      <c r="H7080" s="30" t="s">
        <v>2026</v>
      </c>
      <c r="J7080" s="30" t="s">
        <v>2027</v>
      </c>
      <c r="K7080" s="30" t="s">
        <v>13980</v>
      </c>
      <c r="L7080" s="30" t="s">
        <v>209</v>
      </c>
      <c r="N7080" s="30" t="s">
        <v>1307</v>
      </c>
      <c r="P7080" s="30" t="s">
        <v>9138</v>
      </c>
      <c r="Q7080" t="s">
        <v>623</v>
      </c>
      <c r="R7080" t="s">
        <v>919</v>
      </c>
      <c r="S7080">
        <v>39</v>
      </c>
      <c r="T7080" s="29" t="str">
        <f t="shared" si="307"/>
        <v>2023.015F.Ghabrivirales_reorg.zip</v>
      </c>
      <c r="U7080" s="29" t="str">
        <f>HYPERLINK("https://ictv.global/taxonomy/taxondetails?taxnode_id=202308819","ictv.global=202308819")</f>
        <v>ictv.global=202308819</v>
      </c>
    </row>
    <row r="7081" spans="1:21">
      <c r="A7081">
        <v>7080</v>
      </c>
      <c r="B7081" s="30" t="s">
        <v>1226</v>
      </c>
      <c r="D7081" s="30" t="s">
        <v>2024</v>
      </c>
      <c r="F7081" s="30" t="s">
        <v>2025</v>
      </c>
      <c r="H7081" s="30" t="s">
        <v>2026</v>
      </c>
      <c r="J7081" s="30" t="s">
        <v>2027</v>
      </c>
      <c r="K7081" s="30" t="s">
        <v>13980</v>
      </c>
      <c r="L7081" s="30" t="s">
        <v>209</v>
      </c>
      <c r="N7081" s="30" t="s">
        <v>1307</v>
      </c>
      <c r="P7081" s="30" t="s">
        <v>9139</v>
      </c>
      <c r="Q7081" t="s">
        <v>623</v>
      </c>
      <c r="R7081" t="s">
        <v>919</v>
      </c>
      <c r="S7081">
        <v>39</v>
      </c>
      <c r="T7081" s="29" t="str">
        <f t="shared" si="307"/>
        <v>2023.015F.Ghabrivirales_reorg.zip</v>
      </c>
      <c r="U7081" s="29" t="str">
        <f>HYPERLINK("https://ictv.global/taxonomy/taxondetails?taxnode_id=202306304","ictv.global=202306304")</f>
        <v>ictv.global=202306304</v>
      </c>
    </row>
    <row r="7082" spans="1:21">
      <c r="A7082">
        <v>7081</v>
      </c>
      <c r="B7082" s="30" t="s">
        <v>1226</v>
      </c>
      <c r="D7082" s="30" t="s">
        <v>2024</v>
      </c>
      <c r="F7082" s="30" t="s">
        <v>2025</v>
      </c>
      <c r="H7082" s="30" t="s">
        <v>2026</v>
      </c>
      <c r="J7082" s="30" t="s">
        <v>2027</v>
      </c>
      <c r="K7082" s="30" t="s">
        <v>13980</v>
      </c>
      <c r="L7082" s="30" t="s">
        <v>209</v>
      </c>
      <c r="N7082" s="30" t="s">
        <v>1307</v>
      </c>
      <c r="P7082" s="30" t="s">
        <v>9140</v>
      </c>
      <c r="Q7082" t="s">
        <v>623</v>
      </c>
      <c r="R7082" t="s">
        <v>919</v>
      </c>
      <c r="S7082">
        <v>39</v>
      </c>
      <c r="T7082" s="29" t="str">
        <f t="shared" si="307"/>
        <v>2023.015F.Ghabrivirales_reorg.zip</v>
      </c>
      <c r="U7082" s="29" t="str">
        <f>HYPERLINK("https://ictv.global/taxonomy/taxondetails?taxnode_id=202302899","ictv.global=202302899")</f>
        <v>ictv.global=202302899</v>
      </c>
    </row>
    <row r="7083" spans="1:21">
      <c r="A7083">
        <v>7082</v>
      </c>
      <c r="B7083" s="30" t="s">
        <v>1226</v>
      </c>
      <c r="D7083" s="30" t="s">
        <v>2024</v>
      </c>
      <c r="F7083" s="30" t="s">
        <v>2025</v>
      </c>
      <c r="H7083" s="30" t="s">
        <v>2026</v>
      </c>
      <c r="J7083" s="30" t="s">
        <v>2027</v>
      </c>
      <c r="K7083" s="30" t="s">
        <v>13980</v>
      </c>
      <c r="L7083" s="30" t="s">
        <v>209</v>
      </c>
      <c r="N7083" s="30" t="s">
        <v>1307</v>
      </c>
      <c r="P7083" s="30" t="s">
        <v>9141</v>
      </c>
      <c r="Q7083" t="s">
        <v>623</v>
      </c>
      <c r="R7083" t="s">
        <v>919</v>
      </c>
      <c r="S7083">
        <v>39</v>
      </c>
      <c r="T7083" s="29" t="str">
        <f t="shared" si="307"/>
        <v>2023.015F.Ghabrivirales_reorg.zip</v>
      </c>
      <c r="U7083" s="29" t="str">
        <f>HYPERLINK("https://ictv.global/taxonomy/taxondetails?taxnode_id=202308820","ictv.global=202308820")</f>
        <v>ictv.global=202308820</v>
      </c>
    </row>
    <row r="7084" spans="1:21">
      <c r="A7084">
        <v>7083</v>
      </c>
      <c r="B7084" s="30" t="s">
        <v>1226</v>
      </c>
      <c r="D7084" s="30" t="s">
        <v>2024</v>
      </c>
      <c r="F7084" s="30" t="s">
        <v>2025</v>
      </c>
      <c r="H7084" s="30" t="s">
        <v>2026</v>
      </c>
      <c r="J7084" s="30" t="s">
        <v>2027</v>
      </c>
      <c r="K7084" s="30" t="s">
        <v>13980</v>
      </c>
      <c r="L7084" s="30" t="s">
        <v>209</v>
      </c>
      <c r="N7084" s="30" t="s">
        <v>1308</v>
      </c>
      <c r="P7084" s="30" t="s">
        <v>9142</v>
      </c>
      <c r="Q7084" t="s">
        <v>623</v>
      </c>
      <c r="R7084" t="s">
        <v>919</v>
      </c>
      <c r="S7084">
        <v>39</v>
      </c>
      <c r="T7084" s="29" t="str">
        <f t="shared" si="307"/>
        <v>2023.015F.Ghabrivirales_reorg.zip</v>
      </c>
      <c r="U7084" s="29" t="str">
        <f>HYPERLINK("https://ictv.global/taxonomy/taxondetails?taxnode_id=202306305","ictv.global=202306305")</f>
        <v>ictv.global=202306305</v>
      </c>
    </row>
    <row r="7085" spans="1:21">
      <c r="A7085">
        <v>7084</v>
      </c>
      <c r="B7085" s="30" t="s">
        <v>1226</v>
      </c>
      <c r="D7085" s="30" t="s">
        <v>2024</v>
      </c>
      <c r="F7085" s="30" t="s">
        <v>2025</v>
      </c>
      <c r="H7085" s="30" t="s">
        <v>2026</v>
      </c>
      <c r="J7085" s="30" t="s">
        <v>2027</v>
      </c>
      <c r="K7085" s="30" t="s">
        <v>13980</v>
      </c>
      <c r="L7085" s="30" t="s">
        <v>209</v>
      </c>
      <c r="N7085" s="30" t="s">
        <v>1308</v>
      </c>
      <c r="P7085" s="30" t="s">
        <v>9143</v>
      </c>
      <c r="Q7085" t="s">
        <v>623</v>
      </c>
      <c r="R7085" t="s">
        <v>919</v>
      </c>
      <c r="S7085">
        <v>39</v>
      </c>
      <c r="T7085" s="29" t="str">
        <f t="shared" si="307"/>
        <v>2023.015F.Ghabrivirales_reorg.zip</v>
      </c>
      <c r="U7085" s="29" t="str">
        <f>HYPERLINK("https://ictv.global/taxonomy/taxondetails?taxnode_id=202308821","ictv.global=202308821")</f>
        <v>ictv.global=202308821</v>
      </c>
    </row>
    <row r="7086" spans="1:21">
      <c r="A7086">
        <v>7085</v>
      </c>
      <c r="B7086" s="30" t="s">
        <v>1226</v>
      </c>
      <c r="D7086" s="30" t="s">
        <v>2024</v>
      </c>
      <c r="F7086" s="30" t="s">
        <v>2025</v>
      </c>
      <c r="H7086" s="30" t="s">
        <v>2026</v>
      </c>
      <c r="J7086" s="30" t="s">
        <v>2027</v>
      </c>
      <c r="K7086" s="30" t="s">
        <v>13980</v>
      </c>
      <c r="L7086" s="30" t="s">
        <v>209</v>
      </c>
      <c r="N7086" s="30" t="s">
        <v>1308</v>
      </c>
      <c r="P7086" s="30" t="s">
        <v>9144</v>
      </c>
      <c r="Q7086" t="s">
        <v>623</v>
      </c>
      <c r="R7086" t="s">
        <v>919</v>
      </c>
      <c r="S7086">
        <v>39</v>
      </c>
      <c r="T7086" s="29" t="str">
        <f t="shared" si="307"/>
        <v>2023.015F.Ghabrivirales_reorg.zip</v>
      </c>
      <c r="U7086" s="29" t="str">
        <f>HYPERLINK("https://ictv.global/taxonomy/taxondetails?taxnode_id=202306306","ictv.global=202306306")</f>
        <v>ictv.global=202306306</v>
      </c>
    </row>
    <row r="7087" spans="1:21">
      <c r="A7087">
        <v>7086</v>
      </c>
      <c r="B7087" s="30" t="s">
        <v>1226</v>
      </c>
      <c r="D7087" s="30" t="s">
        <v>2024</v>
      </c>
      <c r="F7087" s="30" t="s">
        <v>2025</v>
      </c>
      <c r="H7087" s="30" t="s">
        <v>2026</v>
      </c>
      <c r="J7087" s="30" t="s">
        <v>2027</v>
      </c>
      <c r="K7087" s="30" t="s">
        <v>13980</v>
      </c>
      <c r="L7087" s="30" t="s">
        <v>209</v>
      </c>
      <c r="N7087" s="30" t="s">
        <v>1308</v>
      </c>
      <c r="P7087" s="30" t="s">
        <v>9145</v>
      </c>
      <c r="Q7087" t="s">
        <v>623</v>
      </c>
      <c r="R7087" t="s">
        <v>919</v>
      </c>
      <c r="S7087">
        <v>39</v>
      </c>
      <c r="T7087" s="29" t="str">
        <f t="shared" ref="T7087:T7118" si="308">HYPERLINK("https://ictv.global/ictv/proposals/2023.015F.Ghabrivirales_reorg.zip","2023.015F.Ghabrivirales_reorg.zip")</f>
        <v>2023.015F.Ghabrivirales_reorg.zip</v>
      </c>
      <c r="U7087" s="29" t="str">
        <f>HYPERLINK("https://ictv.global/taxonomy/taxondetails?taxnode_id=202306307","ictv.global=202306307")</f>
        <v>ictv.global=202306307</v>
      </c>
    </row>
    <row r="7088" spans="1:21">
      <c r="A7088">
        <v>7087</v>
      </c>
      <c r="B7088" s="30" t="s">
        <v>1226</v>
      </c>
      <c r="D7088" s="30" t="s">
        <v>2024</v>
      </c>
      <c r="F7088" s="30" t="s">
        <v>2025</v>
      </c>
      <c r="H7088" s="30" t="s">
        <v>2026</v>
      </c>
      <c r="J7088" s="30" t="s">
        <v>2027</v>
      </c>
      <c r="K7088" s="30" t="s">
        <v>13980</v>
      </c>
      <c r="L7088" s="30" t="s">
        <v>209</v>
      </c>
      <c r="N7088" s="30" t="s">
        <v>1308</v>
      </c>
      <c r="P7088" s="30" t="s">
        <v>9146</v>
      </c>
      <c r="Q7088" t="s">
        <v>623</v>
      </c>
      <c r="R7088" t="s">
        <v>919</v>
      </c>
      <c r="S7088">
        <v>39</v>
      </c>
      <c r="T7088" s="29" t="str">
        <f t="shared" si="308"/>
        <v>2023.015F.Ghabrivirales_reorg.zip</v>
      </c>
      <c r="U7088" s="29" t="str">
        <f>HYPERLINK("https://ictv.global/taxonomy/taxondetails?taxnode_id=202308822","ictv.global=202308822")</f>
        <v>ictv.global=202308822</v>
      </c>
    </row>
    <row r="7089" spans="1:21">
      <c r="A7089">
        <v>7088</v>
      </c>
      <c r="B7089" s="30" t="s">
        <v>1226</v>
      </c>
      <c r="D7089" s="30" t="s">
        <v>2024</v>
      </c>
      <c r="F7089" s="30" t="s">
        <v>2025</v>
      </c>
      <c r="H7089" s="30" t="s">
        <v>2026</v>
      </c>
      <c r="J7089" s="30" t="s">
        <v>2027</v>
      </c>
      <c r="K7089" s="30" t="s">
        <v>13980</v>
      </c>
      <c r="L7089" s="30" t="s">
        <v>209</v>
      </c>
      <c r="N7089" s="30" t="s">
        <v>1308</v>
      </c>
      <c r="P7089" s="30" t="s">
        <v>9147</v>
      </c>
      <c r="Q7089" t="s">
        <v>623</v>
      </c>
      <c r="R7089" t="s">
        <v>919</v>
      </c>
      <c r="S7089">
        <v>39</v>
      </c>
      <c r="T7089" s="29" t="str">
        <f t="shared" si="308"/>
        <v>2023.015F.Ghabrivirales_reorg.zip</v>
      </c>
      <c r="U7089" s="29" t="str">
        <f>HYPERLINK("https://ictv.global/taxonomy/taxondetails?taxnode_id=202306309","ictv.global=202306309")</f>
        <v>ictv.global=202306309</v>
      </c>
    </row>
    <row r="7090" spans="1:21">
      <c r="A7090">
        <v>7089</v>
      </c>
      <c r="B7090" s="30" t="s">
        <v>1226</v>
      </c>
      <c r="D7090" s="30" t="s">
        <v>2024</v>
      </c>
      <c r="F7090" s="30" t="s">
        <v>2025</v>
      </c>
      <c r="H7090" s="30" t="s">
        <v>2026</v>
      </c>
      <c r="J7090" s="30" t="s">
        <v>2027</v>
      </c>
      <c r="K7090" s="30" t="s">
        <v>13980</v>
      </c>
      <c r="L7090" s="30" t="s">
        <v>209</v>
      </c>
      <c r="N7090" s="30" t="s">
        <v>1308</v>
      </c>
      <c r="P7090" s="30" t="s">
        <v>9148</v>
      </c>
      <c r="Q7090" t="s">
        <v>623</v>
      </c>
      <c r="R7090" t="s">
        <v>919</v>
      </c>
      <c r="S7090">
        <v>39</v>
      </c>
      <c r="T7090" s="29" t="str">
        <f t="shared" si="308"/>
        <v>2023.015F.Ghabrivirales_reorg.zip</v>
      </c>
      <c r="U7090" s="29" t="str">
        <f>HYPERLINK("https://ictv.global/taxonomy/taxondetails?taxnode_id=202306308","ictv.global=202306308")</f>
        <v>ictv.global=202306308</v>
      </c>
    </row>
    <row r="7091" spans="1:21">
      <c r="A7091">
        <v>7090</v>
      </c>
      <c r="B7091" s="30" t="s">
        <v>1226</v>
      </c>
      <c r="D7091" s="30" t="s">
        <v>2024</v>
      </c>
      <c r="F7091" s="30" t="s">
        <v>2025</v>
      </c>
      <c r="H7091" s="30" t="s">
        <v>2026</v>
      </c>
      <c r="J7091" s="30" t="s">
        <v>2027</v>
      </c>
      <c r="K7091" s="30" t="s">
        <v>13980</v>
      </c>
      <c r="L7091" s="30" t="s">
        <v>209</v>
      </c>
      <c r="N7091" s="30" t="s">
        <v>1308</v>
      </c>
      <c r="P7091" s="30" t="s">
        <v>9149</v>
      </c>
      <c r="Q7091" t="s">
        <v>623</v>
      </c>
      <c r="R7091" t="s">
        <v>919</v>
      </c>
      <c r="S7091">
        <v>39</v>
      </c>
      <c r="T7091" s="29" t="str">
        <f t="shared" si="308"/>
        <v>2023.015F.Ghabrivirales_reorg.zip</v>
      </c>
      <c r="U7091" s="29" t="str">
        <f>HYPERLINK("https://ictv.global/taxonomy/taxondetails?taxnode_id=202306310","ictv.global=202306310")</f>
        <v>ictv.global=202306310</v>
      </c>
    </row>
    <row r="7092" spans="1:21">
      <c r="A7092">
        <v>7091</v>
      </c>
      <c r="B7092" s="30" t="s">
        <v>1226</v>
      </c>
      <c r="D7092" s="30" t="s">
        <v>2024</v>
      </c>
      <c r="F7092" s="30" t="s">
        <v>2025</v>
      </c>
      <c r="H7092" s="30" t="s">
        <v>2026</v>
      </c>
      <c r="J7092" s="30" t="s">
        <v>2027</v>
      </c>
      <c r="K7092" s="30" t="s">
        <v>13980</v>
      </c>
      <c r="L7092" s="30" t="s">
        <v>209</v>
      </c>
      <c r="N7092" s="30" t="s">
        <v>1308</v>
      </c>
      <c r="P7092" s="30" t="s">
        <v>9150</v>
      </c>
      <c r="Q7092" t="s">
        <v>623</v>
      </c>
      <c r="R7092" t="s">
        <v>919</v>
      </c>
      <c r="S7092">
        <v>39</v>
      </c>
      <c r="T7092" s="29" t="str">
        <f t="shared" si="308"/>
        <v>2023.015F.Ghabrivirales_reorg.zip</v>
      </c>
      <c r="U7092" s="29" t="str">
        <f>HYPERLINK("https://ictv.global/taxonomy/taxondetails?taxnode_id=202308823","ictv.global=202308823")</f>
        <v>ictv.global=202308823</v>
      </c>
    </row>
    <row r="7093" spans="1:21">
      <c r="A7093">
        <v>7092</v>
      </c>
      <c r="B7093" s="30" t="s">
        <v>1226</v>
      </c>
      <c r="D7093" s="30" t="s">
        <v>2024</v>
      </c>
      <c r="F7093" s="30" t="s">
        <v>2025</v>
      </c>
      <c r="H7093" s="30" t="s">
        <v>2026</v>
      </c>
      <c r="J7093" s="30" t="s">
        <v>2027</v>
      </c>
      <c r="K7093" s="30" t="s">
        <v>13980</v>
      </c>
      <c r="L7093" s="30" t="s">
        <v>209</v>
      </c>
      <c r="N7093" s="30" t="s">
        <v>1308</v>
      </c>
      <c r="P7093" s="30" t="s">
        <v>9151</v>
      </c>
      <c r="Q7093" t="s">
        <v>623</v>
      </c>
      <c r="R7093" t="s">
        <v>919</v>
      </c>
      <c r="S7093">
        <v>39</v>
      </c>
      <c r="T7093" s="29" t="str">
        <f t="shared" si="308"/>
        <v>2023.015F.Ghabrivirales_reorg.zip</v>
      </c>
      <c r="U7093" s="29" t="str">
        <f>HYPERLINK("https://ictv.global/taxonomy/taxondetails?taxnode_id=202306311","ictv.global=202306311")</f>
        <v>ictv.global=202306311</v>
      </c>
    </row>
    <row r="7094" spans="1:21">
      <c r="A7094">
        <v>7093</v>
      </c>
      <c r="B7094" s="30" t="s">
        <v>1226</v>
      </c>
      <c r="D7094" s="30" t="s">
        <v>2024</v>
      </c>
      <c r="F7094" s="30" t="s">
        <v>2025</v>
      </c>
      <c r="H7094" s="30" t="s">
        <v>2026</v>
      </c>
      <c r="J7094" s="30" t="s">
        <v>2027</v>
      </c>
      <c r="K7094" s="30" t="s">
        <v>13980</v>
      </c>
      <c r="L7094" s="30" t="s">
        <v>209</v>
      </c>
      <c r="N7094" s="30" t="s">
        <v>1308</v>
      </c>
      <c r="P7094" s="30" t="s">
        <v>9152</v>
      </c>
      <c r="Q7094" t="s">
        <v>623</v>
      </c>
      <c r="R7094" t="s">
        <v>919</v>
      </c>
      <c r="S7094">
        <v>39</v>
      </c>
      <c r="T7094" s="29" t="str">
        <f t="shared" si="308"/>
        <v>2023.015F.Ghabrivirales_reorg.zip</v>
      </c>
      <c r="U7094" s="29" t="str">
        <f>HYPERLINK("https://ictv.global/taxonomy/taxondetails?taxnode_id=202306312","ictv.global=202306312")</f>
        <v>ictv.global=202306312</v>
      </c>
    </row>
    <row r="7095" spans="1:21">
      <c r="A7095">
        <v>7094</v>
      </c>
      <c r="B7095" s="30" t="s">
        <v>1226</v>
      </c>
      <c r="D7095" s="30" t="s">
        <v>2024</v>
      </c>
      <c r="F7095" s="30" t="s">
        <v>2025</v>
      </c>
      <c r="H7095" s="30" t="s">
        <v>2026</v>
      </c>
      <c r="J7095" s="30" t="s">
        <v>2027</v>
      </c>
      <c r="K7095" s="30" t="s">
        <v>13980</v>
      </c>
      <c r="L7095" s="30" t="s">
        <v>13991</v>
      </c>
      <c r="N7095" s="30" t="s">
        <v>13992</v>
      </c>
      <c r="P7095" s="30" t="s">
        <v>13993</v>
      </c>
      <c r="Q7095" t="s">
        <v>623</v>
      </c>
      <c r="R7095" t="s">
        <v>917</v>
      </c>
      <c r="S7095">
        <v>39</v>
      </c>
      <c r="T7095" s="29" t="str">
        <f t="shared" si="308"/>
        <v>2023.015F.Ghabrivirales_reorg.zip</v>
      </c>
      <c r="U7095" s="29" t="str">
        <f>HYPERLINK("https://ictv.global/taxonomy/taxondetails?taxnode_id=202318106","ictv.global=202318106")</f>
        <v>ictv.global=202318106</v>
      </c>
    </row>
    <row r="7096" spans="1:21">
      <c r="A7096">
        <v>7095</v>
      </c>
      <c r="B7096" s="30" t="s">
        <v>1226</v>
      </c>
      <c r="D7096" s="30" t="s">
        <v>2024</v>
      </c>
      <c r="F7096" s="30" t="s">
        <v>2025</v>
      </c>
      <c r="H7096" s="30" t="s">
        <v>2026</v>
      </c>
      <c r="J7096" s="30" t="s">
        <v>2027</v>
      </c>
      <c r="K7096" s="30" t="s">
        <v>13980</v>
      </c>
      <c r="L7096" s="30" t="s">
        <v>13991</v>
      </c>
      <c r="N7096" s="30" t="s">
        <v>13992</v>
      </c>
      <c r="P7096" s="30" t="s">
        <v>13994</v>
      </c>
      <c r="Q7096" t="s">
        <v>623</v>
      </c>
      <c r="R7096" t="s">
        <v>917</v>
      </c>
      <c r="S7096">
        <v>39</v>
      </c>
      <c r="T7096" s="29" t="str">
        <f t="shared" si="308"/>
        <v>2023.015F.Ghabrivirales_reorg.zip</v>
      </c>
      <c r="U7096" s="29" t="str">
        <f>HYPERLINK("https://ictv.global/taxonomy/taxondetails?taxnode_id=202318107","ictv.global=202318107")</f>
        <v>ictv.global=202318107</v>
      </c>
    </row>
    <row r="7097" spans="1:21">
      <c r="A7097">
        <v>7096</v>
      </c>
      <c r="B7097" s="30" t="s">
        <v>1226</v>
      </c>
      <c r="D7097" s="30" t="s">
        <v>2024</v>
      </c>
      <c r="F7097" s="30" t="s">
        <v>2025</v>
      </c>
      <c r="H7097" s="30" t="s">
        <v>2026</v>
      </c>
      <c r="J7097" s="30" t="s">
        <v>2027</v>
      </c>
      <c r="K7097" s="30" t="s">
        <v>13980</v>
      </c>
      <c r="L7097" s="30" t="s">
        <v>13991</v>
      </c>
      <c r="N7097" s="30" t="s">
        <v>13992</v>
      </c>
      <c r="P7097" s="30" t="s">
        <v>13995</v>
      </c>
      <c r="Q7097" t="s">
        <v>623</v>
      </c>
      <c r="R7097" t="s">
        <v>917</v>
      </c>
      <c r="S7097">
        <v>39</v>
      </c>
      <c r="T7097" s="29" t="str">
        <f t="shared" si="308"/>
        <v>2023.015F.Ghabrivirales_reorg.zip</v>
      </c>
      <c r="U7097" s="29" t="str">
        <f>HYPERLINK("https://ictv.global/taxonomy/taxondetails?taxnode_id=202318108","ictv.global=202318108")</f>
        <v>ictv.global=202318108</v>
      </c>
    </row>
    <row r="7098" spans="1:21">
      <c r="A7098">
        <v>7097</v>
      </c>
      <c r="B7098" s="30" t="s">
        <v>1226</v>
      </c>
      <c r="D7098" s="30" t="s">
        <v>2024</v>
      </c>
      <c r="F7098" s="30" t="s">
        <v>2025</v>
      </c>
      <c r="H7098" s="30" t="s">
        <v>2026</v>
      </c>
      <c r="J7098" s="30" t="s">
        <v>2027</v>
      </c>
      <c r="K7098" s="30" t="s">
        <v>13980</v>
      </c>
      <c r="L7098" s="30" t="s">
        <v>13991</v>
      </c>
      <c r="N7098" s="30" t="s">
        <v>13992</v>
      </c>
      <c r="P7098" s="30" t="s">
        <v>13996</v>
      </c>
      <c r="Q7098" t="s">
        <v>623</v>
      </c>
      <c r="R7098" t="s">
        <v>917</v>
      </c>
      <c r="S7098">
        <v>39</v>
      </c>
      <c r="T7098" s="29" t="str">
        <f t="shared" si="308"/>
        <v>2023.015F.Ghabrivirales_reorg.zip</v>
      </c>
      <c r="U7098" s="29" t="str">
        <f>HYPERLINK("https://ictv.global/taxonomy/taxondetails?taxnode_id=202318109","ictv.global=202318109")</f>
        <v>ictv.global=202318109</v>
      </c>
    </row>
    <row r="7099" spans="1:21">
      <c r="A7099">
        <v>7098</v>
      </c>
      <c r="B7099" s="30" t="s">
        <v>1226</v>
      </c>
      <c r="D7099" s="30" t="s">
        <v>2024</v>
      </c>
      <c r="F7099" s="30" t="s">
        <v>2025</v>
      </c>
      <c r="H7099" s="30" t="s">
        <v>2026</v>
      </c>
      <c r="J7099" s="30" t="s">
        <v>2027</v>
      </c>
      <c r="K7099" s="30" t="s">
        <v>13980</v>
      </c>
      <c r="L7099" s="30" t="s">
        <v>13991</v>
      </c>
      <c r="N7099" s="30" t="s">
        <v>13992</v>
      </c>
      <c r="P7099" s="30" t="s">
        <v>13997</v>
      </c>
      <c r="Q7099" t="s">
        <v>623</v>
      </c>
      <c r="R7099" t="s">
        <v>917</v>
      </c>
      <c r="S7099">
        <v>39</v>
      </c>
      <c r="T7099" s="29" t="str">
        <f t="shared" si="308"/>
        <v>2023.015F.Ghabrivirales_reorg.zip</v>
      </c>
      <c r="U7099" s="29" t="str">
        <f>HYPERLINK("https://ictv.global/taxonomy/taxondetails?taxnode_id=202318110","ictv.global=202318110")</f>
        <v>ictv.global=202318110</v>
      </c>
    </row>
    <row r="7100" spans="1:21">
      <c r="A7100">
        <v>7099</v>
      </c>
      <c r="B7100" s="30" t="s">
        <v>1226</v>
      </c>
      <c r="D7100" s="30" t="s">
        <v>2024</v>
      </c>
      <c r="F7100" s="30" t="s">
        <v>2025</v>
      </c>
      <c r="H7100" s="30" t="s">
        <v>2026</v>
      </c>
      <c r="J7100" s="30" t="s">
        <v>2027</v>
      </c>
      <c r="K7100" s="30" t="s">
        <v>13980</v>
      </c>
      <c r="L7100" s="30" t="s">
        <v>13991</v>
      </c>
      <c r="N7100" s="30" t="s">
        <v>13992</v>
      </c>
      <c r="P7100" s="30" t="s">
        <v>13998</v>
      </c>
      <c r="Q7100" t="s">
        <v>623</v>
      </c>
      <c r="R7100" t="s">
        <v>917</v>
      </c>
      <c r="S7100">
        <v>39</v>
      </c>
      <c r="T7100" s="29" t="str">
        <f t="shared" si="308"/>
        <v>2023.015F.Ghabrivirales_reorg.zip</v>
      </c>
      <c r="U7100" s="29" t="str">
        <f>HYPERLINK("https://ictv.global/taxonomy/taxondetails?taxnode_id=202318111","ictv.global=202318111")</f>
        <v>ictv.global=202318111</v>
      </c>
    </row>
    <row r="7101" spans="1:21">
      <c r="A7101">
        <v>7100</v>
      </c>
      <c r="B7101" s="30" t="s">
        <v>1226</v>
      </c>
      <c r="D7101" s="30" t="s">
        <v>2024</v>
      </c>
      <c r="F7101" s="30" t="s">
        <v>2025</v>
      </c>
      <c r="H7101" s="30" t="s">
        <v>2026</v>
      </c>
      <c r="J7101" s="30" t="s">
        <v>2027</v>
      </c>
      <c r="K7101" s="30" t="s">
        <v>13980</v>
      </c>
      <c r="L7101" s="30" t="s">
        <v>13991</v>
      </c>
      <c r="N7101" s="30" t="s">
        <v>13992</v>
      </c>
      <c r="P7101" s="30" t="s">
        <v>13999</v>
      </c>
      <c r="Q7101" t="s">
        <v>623</v>
      </c>
      <c r="R7101" t="s">
        <v>917</v>
      </c>
      <c r="S7101">
        <v>39</v>
      </c>
      <c r="T7101" s="29" t="str">
        <f t="shared" si="308"/>
        <v>2023.015F.Ghabrivirales_reorg.zip</v>
      </c>
      <c r="U7101" s="29" t="str">
        <f>HYPERLINK("https://ictv.global/taxonomy/taxondetails?taxnode_id=202318112","ictv.global=202318112")</f>
        <v>ictv.global=202318112</v>
      </c>
    </row>
    <row r="7102" spans="1:21">
      <c r="A7102">
        <v>7101</v>
      </c>
      <c r="B7102" s="30" t="s">
        <v>1226</v>
      </c>
      <c r="D7102" s="30" t="s">
        <v>2024</v>
      </c>
      <c r="F7102" s="30" t="s">
        <v>2025</v>
      </c>
      <c r="H7102" s="30" t="s">
        <v>2026</v>
      </c>
      <c r="J7102" s="30" t="s">
        <v>2027</v>
      </c>
      <c r="K7102" s="30" t="s">
        <v>13980</v>
      </c>
      <c r="L7102" s="30" t="s">
        <v>13991</v>
      </c>
      <c r="N7102" s="30" t="s">
        <v>13992</v>
      </c>
      <c r="P7102" s="30" t="s">
        <v>14000</v>
      </c>
      <c r="Q7102" t="s">
        <v>623</v>
      </c>
      <c r="R7102" t="s">
        <v>917</v>
      </c>
      <c r="S7102">
        <v>39</v>
      </c>
      <c r="T7102" s="29" t="str">
        <f t="shared" si="308"/>
        <v>2023.015F.Ghabrivirales_reorg.zip</v>
      </c>
      <c r="U7102" s="29" t="str">
        <f>HYPERLINK("https://ictv.global/taxonomy/taxondetails?taxnode_id=202318113","ictv.global=202318113")</f>
        <v>ictv.global=202318113</v>
      </c>
    </row>
    <row r="7103" spans="1:21">
      <c r="A7103">
        <v>7102</v>
      </c>
      <c r="B7103" s="30" t="s">
        <v>1226</v>
      </c>
      <c r="D7103" s="30" t="s">
        <v>2024</v>
      </c>
      <c r="F7103" s="30" t="s">
        <v>2025</v>
      </c>
      <c r="H7103" s="30" t="s">
        <v>2026</v>
      </c>
      <c r="J7103" s="30" t="s">
        <v>2027</v>
      </c>
      <c r="K7103" s="30" t="s">
        <v>13980</v>
      </c>
      <c r="L7103" s="30" t="s">
        <v>13991</v>
      </c>
      <c r="N7103" s="30" t="s">
        <v>13992</v>
      </c>
      <c r="P7103" s="30" t="s">
        <v>14001</v>
      </c>
      <c r="Q7103" t="s">
        <v>623</v>
      </c>
      <c r="R7103" t="s">
        <v>917</v>
      </c>
      <c r="S7103">
        <v>39</v>
      </c>
      <c r="T7103" s="29" t="str">
        <f t="shared" si="308"/>
        <v>2023.015F.Ghabrivirales_reorg.zip</v>
      </c>
      <c r="U7103" s="29" t="str">
        <f>HYPERLINK("https://ictv.global/taxonomy/taxondetails?taxnode_id=202318114","ictv.global=202318114")</f>
        <v>ictv.global=202318114</v>
      </c>
    </row>
    <row r="7104" spans="1:21">
      <c r="A7104">
        <v>7103</v>
      </c>
      <c r="B7104" s="30" t="s">
        <v>1226</v>
      </c>
      <c r="D7104" s="30" t="s">
        <v>2024</v>
      </c>
      <c r="F7104" s="30" t="s">
        <v>2025</v>
      </c>
      <c r="H7104" s="30" t="s">
        <v>2026</v>
      </c>
      <c r="J7104" s="30" t="s">
        <v>2027</v>
      </c>
      <c r="K7104" s="30" t="s">
        <v>13980</v>
      </c>
      <c r="L7104" s="30" t="s">
        <v>13991</v>
      </c>
      <c r="N7104" s="30" t="s">
        <v>13992</v>
      </c>
      <c r="P7104" s="30" t="s">
        <v>14002</v>
      </c>
      <c r="Q7104" t="s">
        <v>623</v>
      </c>
      <c r="R7104" t="s">
        <v>917</v>
      </c>
      <c r="S7104">
        <v>39</v>
      </c>
      <c r="T7104" s="29" t="str">
        <f t="shared" si="308"/>
        <v>2023.015F.Ghabrivirales_reorg.zip</v>
      </c>
      <c r="U7104" s="29" t="str">
        <f>HYPERLINK("https://ictv.global/taxonomy/taxondetails?taxnode_id=202318115","ictv.global=202318115")</f>
        <v>ictv.global=202318115</v>
      </c>
    </row>
    <row r="7105" spans="1:21">
      <c r="A7105">
        <v>7104</v>
      </c>
      <c r="B7105" s="30" t="s">
        <v>1226</v>
      </c>
      <c r="D7105" s="30" t="s">
        <v>2024</v>
      </c>
      <c r="F7105" s="30" t="s">
        <v>2025</v>
      </c>
      <c r="H7105" s="30" t="s">
        <v>2026</v>
      </c>
      <c r="J7105" s="30" t="s">
        <v>2027</v>
      </c>
      <c r="K7105" s="30" t="s">
        <v>13980</v>
      </c>
      <c r="L7105" s="30" t="s">
        <v>13991</v>
      </c>
      <c r="N7105" s="30" t="s">
        <v>13992</v>
      </c>
      <c r="P7105" s="30" t="s">
        <v>14003</v>
      </c>
      <c r="Q7105" t="s">
        <v>623</v>
      </c>
      <c r="R7105" t="s">
        <v>917</v>
      </c>
      <c r="S7105">
        <v>39</v>
      </c>
      <c r="T7105" s="29" t="str">
        <f t="shared" si="308"/>
        <v>2023.015F.Ghabrivirales_reorg.zip</v>
      </c>
      <c r="U7105" s="29" t="str">
        <f>HYPERLINK("https://ictv.global/taxonomy/taxondetails?taxnode_id=202318116","ictv.global=202318116")</f>
        <v>ictv.global=202318116</v>
      </c>
    </row>
    <row r="7106" spans="1:21">
      <c r="A7106">
        <v>7105</v>
      </c>
      <c r="B7106" s="30" t="s">
        <v>1226</v>
      </c>
      <c r="D7106" s="30" t="s">
        <v>2024</v>
      </c>
      <c r="F7106" s="30" t="s">
        <v>2025</v>
      </c>
      <c r="H7106" s="30" t="s">
        <v>2026</v>
      </c>
      <c r="J7106" s="30" t="s">
        <v>2027</v>
      </c>
      <c r="K7106" s="30" t="s">
        <v>13980</v>
      </c>
      <c r="L7106" s="30" t="s">
        <v>13991</v>
      </c>
      <c r="N7106" s="30" t="s">
        <v>13992</v>
      </c>
      <c r="P7106" s="30" t="s">
        <v>14004</v>
      </c>
      <c r="Q7106" t="s">
        <v>623</v>
      </c>
      <c r="R7106" t="s">
        <v>917</v>
      </c>
      <c r="S7106">
        <v>39</v>
      </c>
      <c r="T7106" s="29" t="str">
        <f t="shared" si="308"/>
        <v>2023.015F.Ghabrivirales_reorg.zip</v>
      </c>
      <c r="U7106" s="29" t="str">
        <f>HYPERLINK("https://ictv.global/taxonomy/taxondetails?taxnode_id=202318117","ictv.global=202318117")</f>
        <v>ictv.global=202318117</v>
      </c>
    </row>
    <row r="7107" spans="1:21">
      <c r="A7107">
        <v>7106</v>
      </c>
      <c r="B7107" s="30" t="s">
        <v>1226</v>
      </c>
      <c r="D7107" s="30" t="s">
        <v>2024</v>
      </c>
      <c r="F7107" s="30" t="s">
        <v>2025</v>
      </c>
      <c r="H7107" s="30" t="s">
        <v>2026</v>
      </c>
      <c r="J7107" s="30" t="s">
        <v>2027</v>
      </c>
      <c r="K7107" s="30" t="s">
        <v>13980</v>
      </c>
      <c r="L7107" s="30" t="s">
        <v>13991</v>
      </c>
      <c r="N7107" s="30" t="s">
        <v>13992</v>
      </c>
      <c r="P7107" s="30" t="s">
        <v>14005</v>
      </c>
      <c r="Q7107" t="s">
        <v>623</v>
      </c>
      <c r="R7107" t="s">
        <v>917</v>
      </c>
      <c r="S7107">
        <v>39</v>
      </c>
      <c r="T7107" s="29" t="str">
        <f t="shared" si="308"/>
        <v>2023.015F.Ghabrivirales_reorg.zip</v>
      </c>
      <c r="U7107" s="29" t="str">
        <f>HYPERLINK("https://ictv.global/taxonomy/taxondetails?taxnode_id=202318118","ictv.global=202318118")</f>
        <v>ictv.global=202318118</v>
      </c>
    </row>
    <row r="7108" spans="1:21">
      <c r="A7108">
        <v>7107</v>
      </c>
      <c r="B7108" s="30" t="s">
        <v>1226</v>
      </c>
      <c r="D7108" s="30" t="s">
        <v>2024</v>
      </c>
      <c r="F7108" s="30" t="s">
        <v>2025</v>
      </c>
      <c r="H7108" s="30" t="s">
        <v>2026</v>
      </c>
      <c r="J7108" s="30" t="s">
        <v>2027</v>
      </c>
      <c r="K7108" s="30" t="s">
        <v>13980</v>
      </c>
      <c r="L7108" s="30" t="s">
        <v>13991</v>
      </c>
      <c r="N7108" s="30" t="s">
        <v>13992</v>
      </c>
      <c r="P7108" s="30" t="s">
        <v>14006</v>
      </c>
      <c r="Q7108" t="s">
        <v>623</v>
      </c>
      <c r="R7108" t="s">
        <v>917</v>
      </c>
      <c r="S7108">
        <v>39</v>
      </c>
      <c r="T7108" s="29" t="str">
        <f t="shared" si="308"/>
        <v>2023.015F.Ghabrivirales_reorg.zip</v>
      </c>
      <c r="U7108" s="29" t="str">
        <f>HYPERLINK("https://ictv.global/taxonomy/taxondetails?taxnode_id=202318119","ictv.global=202318119")</f>
        <v>ictv.global=202318119</v>
      </c>
    </row>
    <row r="7109" spans="1:21">
      <c r="A7109">
        <v>7108</v>
      </c>
      <c r="B7109" s="30" t="s">
        <v>1226</v>
      </c>
      <c r="D7109" s="30" t="s">
        <v>2024</v>
      </c>
      <c r="F7109" s="30" t="s">
        <v>2025</v>
      </c>
      <c r="H7109" s="30" t="s">
        <v>2026</v>
      </c>
      <c r="J7109" s="30" t="s">
        <v>2027</v>
      </c>
      <c r="K7109" s="30" t="s">
        <v>13980</v>
      </c>
      <c r="L7109" s="30" t="s">
        <v>13991</v>
      </c>
      <c r="N7109" s="30" t="s">
        <v>13992</v>
      </c>
      <c r="P7109" s="30" t="s">
        <v>14007</v>
      </c>
      <c r="Q7109" t="s">
        <v>623</v>
      </c>
      <c r="R7109" t="s">
        <v>917</v>
      </c>
      <c r="S7109">
        <v>39</v>
      </c>
      <c r="T7109" s="29" t="str">
        <f t="shared" si="308"/>
        <v>2023.015F.Ghabrivirales_reorg.zip</v>
      </c>
      <c r="U7109" s="29" t="str">
        <f>HYPERLINK("https://ictv.global/taxonomy/taxondetails?taxnode_id=202318120","ictv.global=202318120")</f>
        <v>ictv.global=202318120</v>
      </c>
    </row>
    <row r="7110" spans="1:21">
      <c r="A7110">
        <v>7109</v>
      </c>
      <c r="B7110" s="30" t="s">
        <v>1226</v>
      </c>
      <c r="D7110" s="30" t="s">
        <v>2024</v>
      </c>
      <c r="F7110" s="30" t="s">
        <v>2025</v>
      </c>
      <c r="H7110" s="30" t="s">
        <v>2026</v>
      </c>
      <c r="J7110" s="30" t="s">
        <v>2027</v>
      </c>
      <c r="K7110" s="30" t="s">
        <v>13980</v>
      </c>
      <c r="L7110" s="30" t="s">
        <v>13991</v>
      </c>
      <c r="N7110" s="30" t="s">
        <v>13992</v>
      </c>
      <c r="P7110" s="30" t="s">
        <v>14008</v>
      </c>
      <c r="Q7110" t="s">
        <v>623</v>
      </c>
      <c r="R7110" t="s">
        <v>917</v>
      </c>
      <c r="S7110">
        <v>39</v>
      </c>
      <c r="T7110" s="29" t="str">
        <f t="shared" si="308"/>
        <v>2023.015F.Ghabrivirales_reorg.zip</v>
      </c>
      <c r="U7110" s="29" t="str">
        <f>HYPERLINK("https://ictv.global/taxonomy/taxondetails?taxnode_id=202318121","ictv.global=202318121")</f>
        <v>ictv.global=202318121</v>
      </c>
    </row>
    <row r="7111" spans="1:21">
      <c r="A7111">
        <v>7110</v>
      </c>
      <c r="B7111" s="30" t="s">
        <v>1226</v>
      </c>
      <c r="D7111" s="30" t="s">
        <v>2024</v>
      </c>
      <c r="F7111" s="30" t="s">
        <v>2025</v>
      </c>
      <c r="H7111" s="30" t="s">
        <v>2026</v>
      </c>
      <c r="J7111" s="30" t="s">
        <v>2027</v>
      </c>
      <c r="K7111" s="30" t="s">
        <v>13980</v>
      </c>
      <c r="L7111" s="30" t="s">
        <v>13991</v>
      </c>
      <c r="N7111" s="30" t="s">
        <v>13992</v>
      </c>
      <c r="P7111" s="30" t="s">
        <v>14009</v>
      </c>
      <c r="Q7111" t="s">
        <v>623</v>
      </c>
      <c r="R7111" t="s">
        <v>917</v>
      </c>
      <c r="S7111">
        <v>39</v>
      </c>
      <c r="T7111" s="29" t="str">
        <f t="shared" si="308"/>
        <v>2023.015F.Ghabrivirales_reorg.zip</v>
      </c>
      <c r="U7111" s="29" t="str">
        <f>HYPERLINK("https://ictv.global/taxonomy/taxondetails?taxnode_id=202318122","ictv.global=202318122")</f>
        <v>ictv.global=202318122</v>
      </c>
    </row>
    <row r="7112" spans="1:21">
      <c r="A7112">
        <v>7111</v>
      </c>
      <c r="B7112" s="30" t="s">
        <v>1226</v>
      </c>
      <c r="D7112" s="30" t="s">
        <v>2024</v>
      </c>
      <c r="F7112" s="30" t="s">
        <v>2025</v>
      </c>
      <c r="H7112" s="30" t="s">
        <v>2026</v>
      </c>
      <c r="J7112" s="30" t="s">
        <v>2027</v>
      </c>
      <c r="K7112" s="30" t="s">
        <v>13980</v>
      </c>
      <c r="L7112" s="30" t="s">
        <v>13991</v>
      </c>
      <c r="N7112" s="30" t="s">
        <v>13992</v>
      </c>
      <c r="P7112" s="30" t="s">
        <v>14010</v>
      </c>
      <c r="Q7112" t="s">
        <v>623</v>
      </c>
      <c r="R7112" t="s">
        <v>917</v>
      </c>
      <c r="S7112">
        <v>39</v>
      </c>
      <c r="T7112" s="29" t="str">
        <f t="shared" si="308"/>
        <v>2023.015F.Ghabrivirales_reorg.zip</v>
      </c>
      <c r="U7112" s="29" t="str">
        <f>HYPERLINK("https://ictv.global/taxonomy/taxondetails?taxnode_id=202318123","ictv.global=202318123")</f>
        <v>ictv.global=202318123</v>
      </c>
    </row>
    <row r="7113" spans="1:21">
      <c r="A7113">
        <v>7112</v>
      </c>
      <c r="B7113" s="30" t="s">
        <v>1226</v>
      </c>
      <c r="D7113" s="30" t="s">
        <v>2024</v>
      </c>
      <c r="F7113" s="30" t="s">
        <v>2025</v>
      </c>
      <c r="H7113" s="30" t="s">
        <v>2026</v>
      </c>
      <c r="J7113" s="30" t="s">
        <v>2027</v>
      </c>
      <c r="K7113" s="30" t="s">
        <v>13980</v>
      </c>
      <c r="L7113" s="30" t="s">
        <v>13991</v>
      </c>
      <c r="N7113" s="30" t="s">
        <v>13992</v>
      </c>
      <c r="P7113" s="30" t="s">
        <v>14011</v>
      </c>
      <c r="Q7113" t="s">
        <v>623</v>
      </c>
      <c r="R7113" t="s">
        <v>917</v>
      </c>
      <c r="S7113">
        <v>39</v>
      </c>
      <c r="T7113" s="29" t="str">
        <f t="shared" si="308"/>
        <v>2023.015F.Ghabrivirales_reorg.zip</v>
      </c>
      <c r="U7113" s="29" t="str">
        <f>HYPERLINK("https://ictv.global/taxonomy/taxondetails?taxnode_id=202318124","ictv.global=202318124")</f>
        <v>ictv.global=202318124</v>
      </c>
    </row>
    <row r="7114" spans="1:21">
      <c r="A7114">
        <v>7113</v>
      </c>
      <c r="B7114" s="30" t="s">
        <v>1226</v>
      </c>
      <c r="D7114" s="30" t="s">
        <v>2024</v>
      </c>
      <c r="F7114" s="30" t="s">
        <v>2025</v>
      </c>
      <c r="H7114" s="30" t="s">
        <v>2026</v>
      </c>
      <c r="J7114" s="30" t="s">
        <v>2027</v>
      </c>
      <c r="K7114" s="30" t="s">
        <v>13980</v>
      </c>
      <c r="L7114" s="30" t="s">
        <v>13991</v>
      </c>
      <c r="N7114" s="30" t="s">
        <v>13992</v>
      </c>
      <c r="P7114" s="30" t="s">
        <v>14012</v>
      </c>
      <c r="Q7114" t="s">
        <v>623</v>
      </c>
      <c r="R7114" t="s">
        <v>917</v>
      </c>
      <c r="S7114">
        <v>39</v>
      </c>
      <c r="T7114" s="29" t="str">
        <f t="shared" si="308"/>
        <v>2023.015F.Ghabrivirales_reorg.zip</v>
      </c>
      <c r="U7114" s="29" t="str">
        <f>HYPERLINK("https://ictv.global/taxonomy/taxondetails?taxnode_id=202318125","ictv.global=202318125")</f>
        <v>ictv.global=202318125</v>
      </c>
    </row>
    <row r="7115" spans="1:21">
      <c r="A7115">
        <v>7114</v>
      </c>
      <c r="B7115" s="30" t="s">
        <v>1226</v>
      </c>
      <c r="D7115" s="30" t="s">
        <v>2024</v>
      </c>
      <c r="F7115" s="30" t="s">
        <v>2025</v>
      </c>
      <c r="H7115" s="30" t="s">
        <v>2026</v>
      </c>
      <c r="J7115" s="30" t="s">
        <v>2027</v>
      </c>
      <c r="K7115" s="30" t="s">
        <v>13980</v>
      </c>
      <c r="L7115" s="30" t="s">
        <v>26</v>
      </c>
      <c r="N7115" s="30" t="s">
        <v>27</v>
      </c>
      <c r="P7115" s="30" t="s">
        <v>14013</v>
      </c>
      <c r="Q7115" t="s">
        <v>623</v>
      </c>
      <c r="R7115" t="s">
        <v>917</v>
      </c>
      <c r="S7115">
        <v>39</v>
      </c>
      <c r="T7115" s="29" t="str">
        <f t="shared" si="308"/>
        <v>2023.015F.Ghabrivirales_reorg.zip</v>
      </c>
      <c r="U7115" s="29" t="str">
        <f>HYPERLINK("https://ictv.global/taxonomy/taxondetails?taxnode_id=202318126","ictv.global=202318126")</f>
        <v>ictv.global=202318126</v>
      </c>
    </row>
    <row r="7116" spans="1:21">
      <c r="A7116">
        <v>7115</v>
      </c>
      <c r="B7116" s="30" t="s">
        <v>1226</v>
      </c>
      <c r="D7116" s="30" t="s">
        <v>2024</v>
      </c>
      <c r="F7116" s="30" t="s">
        <v>2025</v>
      </c>
      <c r="H7116" s="30" t="s">
        <v>2026</v>
      </c>
      <c r="J7116" s="30" t="s">
        <v>2027</v>
      </c>
      <c r="K7116" s="30" t="s">
        <v>13980</v>
      </c>
      <c r="L7116" s="30" t="s">
        <v>26</v>
      </c>
      <c r="N7116" s="30" t="s">
        <v>27</v>
      </c>
      <c r="P7116" s="30" t="s">
        <v>14014</v>
      </c>
      <c r="Q7116" t="s">
        <v>623</v>
      </c>
      <c r="R7116" t="s">
        <v>920</v>
      </c>
      <c r="S7116">
        <v>39</v>
      </c>
      <c r="T7116" s="29" t="str">
        <f t="shared" si="308"/>
        <v>2023.015F.Ghabrivirales_reorg.zip</v>
      </c>
      <c r="U7116" s="29" t="str">
        <f>HYPERLINK("https://ictv.global/taxonomy/taxondetails?taxnode_id=202303810","ictv.global=202303810")</f>
        <v>ictv.global=202303810</v>
      </c>
    </row>
    <row r="7117" spans="1:21">
      <c r="A7117">
        <v>7116</v>
      </c>
      <c r="B7117" s="30" t="s">
        <v>1226</v>
      </c>
      <c r="D7117" s="30" t="s">
        <v>2024</v>
      </c>
      <c r="F7117" s="30" t="s">
        <v>2025</v>
      </c>
      <c r="H7117" s="30" t="s">
        <v>2026</v>
      </c>
      <c r="J7117" s="30" t="s">
        <v>2027</v>
      </c>
      <c r="K7117" s="30" t="s">
        <v>13980</v>
      </c>
      <c r="L7117" s="30" t="s">
        <v>26</v>
      </c>
      <c r="N7117" s="30" t="s">
        <v>27</v>
      </c>
      <c r="P7117" s="30" t="s">
        <v>14015</v>
      </c>
      <c r="Q7117" t="s">
        <v>623</v>
      </c>
      <c r="R7117" t="s">
        <v>917</v>
      </c>
      <c r="S7117">
        <v>39</v>
      </c>
      <c r="T7117" s="29" t="str">
        <f t="shared" si="308"/>
        <v>2023.015F.Ghabrivirales_reorg.zip</v>
      </c>
      <c r="U7117" s="29" t="str">
        <f>HYPERLINK("https://ictv.global/taxonomy/taxondetails?taxnode_id=202318127","ictv.global=202318127")</f>
        <v>ictv.global=202318127</v>
      </c>
    </row>
    <row r="7118" spans="1:21">
      <c r="A7118">
        <v>7117</v>
      </c>
      <c r="B7118" s="30" t="s">
        <v>1226</v>
      </c>
      <c r="D7118" s="30" t="s">
        <v>2024</v>
      </c>
      <c r="F7118" s="30" t="s">
        <v>2025</v>
      </c>
      <c r="H7118" s="30" t="s">
        <v>2026</v>
      </c>
      <c r="J7118" s="30" t="s">
        <v>2027</v>
      </c>
      <c r="K7118" s="30" t="s">
        <v>13980</v>
      </c>
      <c r="L7118" s="30" t="s">
        <v>26</v>
      </c>
      <c r="N7118" s="30" t="s">
        <v>27</v>
      </c>
      <c r="P7118" s="30" t="s">
        <v>14016</v>
      </c>
      <c r="Q7118" t="s">
        <v>623</v>
      </c>
      <c r="R7118" t="s">
        <v>917</v>
      </c>
      <c r="S7118">
        <v>39</v>
      </c>
      <c r="T7118" s="29" t="str">
        <f t="shared" si="308"/>
        <v>2023.015F.Ghabrivirales_reorg.zip</v>
      </c>
      <c r="U7118" s="29" t="str">
        <f>HYPERLINK("https://ictv.global/taxonomy/taxondetails?taxnode_id=202318128","ictv.global=202318128")</f>
        <v>ictv.global=202318128</v>
      </c>
    </row>
    <row r="7119" spans="1:21">
      <c r="A7119">
        <v>7118</v>
      </c>
      <c r="B7119" s="30" t="s">
        <v>1226</v>
      </c>
      <c r="D7119" s="30" t="s">
        <v>2024</v>
      </c>
      <c r="F7119" s="30" t="s">
        <v>2025</v>
      </c>
      <c r="H7119" s="30" t="s">
        <v>2026</v>
      </c>
      <c r="J7119" s="30" t="s">
        <v>2027</v>
      </c>
      <c r="K7119" s="30" t="s">
        <v>13980</v>
      </c>
      <c r="L7119" s="30" t="s">
        <v>26</v>
      </c>
      <c r="N7119" s="30" t="s">
        <v>27</v>
      </c>
      <c r="P7119" s="30" t="s">
        <v>14017</v>
      </c>
      <c r="Q7119" t="s">
        <v>623</v>
      </c>
      <c r="R7119" t="s">
        <v>917</v>
      </c>
      <c r="S7119">
        <v>39</v>
      </c>
      <c r="T7119" s="29" t="str">
        <f t="shared" ref="T7119:T7133" si="309">HYPERLINK("https://ictv.global/ictv/proposals/2023.015F.Ghabrivirales_reorg.zip","2023.015F.Ghabrivirales_reorg.zip")</f>
        <v>2023.015F.Ghabrivirales_reorg.zip</v>
      </c>
      <c r="U7119" s="29" t="str">
        <f>HYPERLINK("https://ictv.global/taxonomy/taxondetails?taxnode_id=202318129","ictv.global=202318129")</f>
        <v>ictv.global=202318129</v>
      </c>
    </row>
    <row r="7120" spans="1:21">
      <c r="A7120">
        <v>7119</v>
      </c>
      <c r="B7120" s="30" t="s">
        <v>1226</v>
      </c>
      <c r="D7120" s="30" t="s">
        <v>2024</v>
      </c>
      <c r="F7120" s="30" t="s">
        <v>2025</v>
      </c>
      <c r="H7120" s="30" t="s">
        <v>2026</v>
      </c>
      <c r="J7120" s="30" t="s">
        <v>2027</v>
      </c>
      <c r="K7120" s="30" t="s">
        <v>13980</v>
      </c>
      <c r="L7120" s="30" t="s">
        <v>14018</v>
      </c>
      <c r="N7120" s="30" t="s">
        <v>14019</v>
      </c>
      <c r="P7120" s="30" t="s">
        <v>14020</v>
      </c>
      <c r="Q7120" t="s">
        <v>623</v>
      </c>
      <c r="R7120" t="s">
        <v>918</v>
      </c>
      <c r="S7120">
        <v>39</v>
      </c>
      <c r="T7120" s="29" t="str">
        <f t="shared" si="309"/>
        <v>2023.015F.Ghabrivirales_reorg.zip</v>
      </c>
      <c r="U7120" s="29" t="str">
        <f>HYPERLINK("https://ictv.global/taxonomy/taxondetails?taxnode_id=202305297","ictv.global=202305297")</f>
        <v>ictv.global=202305297</v>
      </c>
    </row>
    <row r="7121" spans="1:21">
      <c r="A7121">
        <v>7120</v>
      </c>
      <c r="B7121" s="30" t="s">
        <v>1226</v>
      </c>
      <c r="D7121" s="30" t="s">
        <v>2024</v>
      </c>
      <c r="F7121" s="30" t="s">
        <v>2025</v>
      </c>
      <c r="H7121" s="30" t="s">
        <v>2026</v>
      </c>
      <c r="J7121" s="30" t="s">
        <v>2027</v>
      </c>
      <c r="K7121" s="30" t="s">
        <v>13980</v>
      </c>
      <c r="L7121" s="30" t="s">
        <v>14021</v>
      </c>
      <c r="N7121" s="30" t="s">
        <v>14022</v>
      </c>
      <c r="P7121" s="30" t="s">
        <v>14023</v>
      </c>
      <c r="Q7121" t="s">
        <v>623</v>
      </c>
      <c r="R7121" t="s">
        <v>917</v>
      </c>
      <c r="S7121">
        <v>39</v>
      </c>
      <c r="T7121" s="29" t="str">
        <f t="shared" si="309"/>
        <v>2023.015F.Ghabrivirales_reorg.zip</v>
      </c>
      <c r="U7121" s="29" t="str">
        <f>HYPERLINK("https://ictv.global/taxonomy/taxondetails?taxnode_id=202318156","ictv.global=202318156")</f>
        <v>ictv.global=202318156</v>
      </c>
    </row>
    <row r="7122" spans="1:21">
      <c r="A7122">
        <v>7121</v>
      </c>
      <c r="B7122" s="30" t="s">
        <v>1226</v>
      </c>
      <c r="D7122" s="30" t="s">
        <v>2024</v>
      </c>
      <c r="F7122" s="30" t="s">
        <v>2025</v>
      </c>
      <c r="H7122" s="30" t="s">
        <v>2026</v>
      </c>
      <c r="J7122" s="30" t="s">
        <v>2027</v>
      </c>
      <c r="K7122" s="30" t="s">
        <v>13980</v>
      </c>
      <c r="L7122" s="30" t="s">
        <v>14021</v>
      </c>
      <c r="N7122" s="30" t="s">
        <v>14022</v>
      </c>
      <c r="P7122" s="30" t="s">
        <v>14024</v>
      </c>
      <c r="Q7122" t="s">
        <v>623</v>
      </c>
      <c r="R7122" t="s">
        <v>917</v>
      </c>
      <c r="S7122">
        <v>39</v>
      </c>
      <c r="T7122" s="29" t="str">
        <f t="shared" si="309"/>
        <v>2023.015F.Ghabrivirales_reorg.zip</v>
      </c>
      <c r="U7122" s="29" t="str">
        <f>HYPERLINK("https://ictv.global/taxonomy/taxondetails?taxnode_id=202318157","ictv.global=202318157")</f>
        <v>ictv.global=202318157</v>
      </c>
    </row>
    <row r="7123" spans="1:21">
      <c r="A7123">
        <v>7122</v>
      </c>
      <c r="B7123" s="30" t="s">
        <v>1226</v>
      </c>
      <c r="D7123" s="30" t="s">
        <v>2024</v>
      </c>
      <c r="F7123" s="30" t="s">
        <v>2025</v>
      </c>
      <c r="H7123" s="30" t="s">
        <v>2026</v>
      </c>
      <c r="J7123" s="30" t="s">
        <v>2027</v>
      </c>
      <c r="K7123" s="30" t="s">
        <v>13980</v>
      </c>
      <c r="L7123" s="30" t="s">
        <v>14021</v>
      </c>
      <c r="N7123" s="30" t="s">
        <v>14022</v>
      </c>
      <c r="P7123" s="30" t="s">
        <v>14025</v>
      </c>
      <c r="Q7123" t="s">
        <v>623</v>
      </c>
      <c r="R7123" t="s">
        <v>917</v>
      </c>
      <c r="S7123">
        <v>39</v>
      </c>
      <c r="T7123" s="29" t="str">
        <f t="shared" si="309"/>
        <v>2023.015F.Ghabrivirales_reorg.zip</v>
      </c>
      <c r="U7123" s="29" t="str">
        <f>HYPERLINK("https://ictv.global/taxonomy/taxondetails?taxnode_id=202318158","ictv.global=202318158")</f>
        <v>ictv.global=202318158</v>
      </c>
    </row>
    <row r="7124" spans="1:21">
      <c r="A7124">
        <v>7123</v>
      </c>
      <c r="B7124" s="30" t="s">
        <v>1226</v>
      </c>
      <c r="D7124" s="30" t="s">
        <v>2024</v>
      </c>
      <c r="F7124" s="30" t="s">
        <v>2025</v>
      </c>
      <c r="H7124" s="30" t="s">
        <v>2026</v>
      </c>
      <c r="J7124" s="30" t="s">
        <v>2027</v>
      </c>
      <c r="K7124" s="30" t="s">
        <v>13980</v>
      </c>
      <c r="L7124" s="30" t="s">
        <v>14021</v>
      </c>
      <c r="N7124" s="30" t="s">
        <v>14022</v>
      </c>
      <c r="P7124" s="30" t="s">
        <v>14026</v>
      </c>
      <c r="Q7124" t="s">
        <v>623</v>
      </c>
      <c r="R7124" t="s">
        <v>917</v>
      </c>
      <c r="S7124">
        <v>39</v>
      </c>
      <c r="T7124" s="29" t="str">
        <f t="shared" si="309"/>
        <v>2023.015F.Ghabrivirales_reorg.zip</v>
      </c>
      <c r="U7124" s="29" t="str">
        <f>HYPERLINK("https://ictv.global/taxonomy/taxondetails?taxnode_id=202318159","ictv.global=202318159")</f>
        <v>ictv.global=202318159</v>
      </c>
    </row>
    <row r="7125" spans="1:21">
      <c r="A7125">
        <v>7124</v>
      </c>
      <c r="B7125" s="30" t="s">
        <v>1226</v>
      </c>
      <c r="D7125" s="30" t="s">
        <v>2024</v>
      </c>
      <c r="F7125" s="30" t="s">
        <v>2025</v>
      </c>
      <c r="H7125" s="30" t="s">
        <v>2026</v>
      </c>
      <c r="J7125" s="30" t="s">
        <v>2027</v>
      </c>
      <c r="K7125" s="30" t="s">
        <v>13980</v>
      </c>
      <c r="L7125" s="30" t="s">
        <v>14027</v>
      </c>
      <c r="N7125" s="30" t="s">
        <v>14028</v>
      </c>
      <c r="P7125" s="30" t="s">
        <v>14029</v>
      </c>
      <c r="Q7125" t="s">
        <v>623</v>
      </c>
      <c r="R7125" t="s">
        <v>917</v>
      </c>
      <c r="S7125">
        <v>39</v>
      </c>
      <c r="T7125" s="29" t="str">
        <f t="shared" si="309"/>
        <v>2023.015F.Ghabrivirales_reorg.zip</v>
      </c>
      <c r="U7125" s="29" t="str">
        <f>HYPERLINK("https://ictv.global/taxonomy/taxondetails?taxnode_id=202318160","ictv.global=202318160")</f>
        <v>ictv.global=202318160</v>
      </c>
    </row>
    <row r="7126" spans="1:21">
      <c r="A7126">
        <v>7125</v>
      </c>
      <c r="B7126" s="30" t="s">
        <v>1226</v>
      </c>
      <c r="D7126" s="30" t="s">
        <v>2024</v>
      </c>
      <c r="F7126" s="30" t="s">
        <v>2025</v>
      </c>
      <c r="H7126" s="30" t="s">
        <v>2026</v>
      </c>
      <c r="J7126" s="30" t="s">
        <v>2027</v>
      </c>
      <c r="K7126" s="30" t="s">
        <v>13980</v>
      </c>
      <c r="L7126" s="30" t="s">
        <v>14027</v>
      </c>
      <c r="N7126" s="30" t="s">
        <v>14028</v>
      </c>
      <c r="P7126" s="30" t="s">
        <v>14030</v>
      </c>
      <c r="Q7126" t="s">
        <v>623</v>
      </c>
      <c r="R7126" t="s">
        <v>917</v>
      </c>
      <c r="S7126">
        <v>39</v>
      </c>
      <c r="T7126" s="29" t="str">
        <f t="shared" si="309"/>
        <v>2023.015F.Ghabrivirales_reorg.zip</v>
      </c>
      <c r="U7126" s="29" t="str">
        <f>HYPERLINK("https://ictv.global/taxonomy/taxondetails?taxnode_id=202318161","ictv.global=202318161")</f>
        <v>ictv.global=202318161</v>
      </c>
    </row>
    <row r="7127" spans="1:21">
      <c r="A7127">
        <v>7126</v>
      </c>
      <c r="B7127" s="30" t="s">
        <v>1226</v>
      </c>
      <c r="D7127" s="30" t="s">
        <v>2024</v>
      </c>
      <c r="F7127" s="30" t="s">
        <v>2025</v>
      </c>
      <c r="H7127" s="30" t="s">
        <v>2026</v>
      </c>
      <c r="J7127" s="30" t="s">
        <v>2027</v>
      </c>
      <c r="K7127" s="30" t="s">
        <v>13980</v>
      </c>
      <c r="L7127" s="30" t="s">
        <v>14027</v>
      </c>
      <c r="N7127" s="30" t="s">
        <v>14028</v>
      </c>
      <c r="P7127" s="30" t="s">
        <v>14031</v>
      </c>
      <c r="Q7127" t="s">
        <v>623</v>
      </c>
      <c r="R7127" t="s">
        <v>917</v>
      </c>
      <c r="S7127">
        <v>39</v>
      </c>
      <c r="T7127" s="29" t="str">
        <f t="shared" si="309"/>
        <v>2023.015F.Ghabrivirales_reorg.zip</v>
      </c>
      <c r="U7127" s="29" t="str">
        <f>HYPERLINK("https://ictv.global/taxonomy/taxondetails?taxnode_id=202318162","ictv.global=202318162")</f>
        <v>ictv.global=202318162</v>
      </c>
    </row>
    <row r="7128" spans="1:21">
      <c r="A7128">
        <v>7127</v>
      </c>
      <c r="B7128" s="30" t="s">
        <v>1226</v>
      </c>
      <c r="D7128" s="30" t="s">
        <v>2024</v>
      </c>
      <c r="F7128" s="30" t="s">
        <v>2025</v>
      </c>
      <c r="H7128" s="30" t="s">
        <v>2026</v>
      </c>
      <c r="J7128" s="30" t="s">
        <v>2027</v>
      </c>
      <c r="K7128" s="30" t="s">
        <v>13980</v>
      </c>
      <c r="L7128" s="30" t="s">
        <v>14027</v>
      </c>
      <c r="N7128" s="30" t="s">
        <v>388</v>
      </c>
      <c r="P7128" s="30" t="s">
        <v>14032</v>
      </c>
      <c r="Q7128" t="s">
        <v>623</v>
      </c>
      <c r="R7128" t="s">
        <v>917</v>
      </c>
      <c r="S7128">
        <v>39</v>
      </c>
      <c r="T7128" s="29" t="str">
        <f t="shared" si="309"/>
        <v>2023.015F.Ghabrivirales_reorg.zip</v>
      </c>
      <c r="U7128" s="29" t="str">
        <f>HYPERLINK("https://ictv.global/taxonomy/taxondetails?taxnode_id=202318163","ictv.global=202318163")</f>
        <v>ictv.global=202318163</v>
      </c>
    </row>
    <row r="7129" spans="1:21">
      <c r="A7129">
        <v>7128</v>
      </c>
      <c r="B7129" s="30" t="s">
        <v>1226</v>
      </c>
      <c r="D7129" s="30" t="s">
        <v>2024</v>
      </c>
      <c r="F7129" s="30" t="s">
        <v>2025</v>
      </c>
      <c r="H7129" s="30" t="s">
        <v>2026</v>
      </c>
      <c r="J7129" s="30" t="s">
        <v>2027</v>
      </c>
      <c r="K7129" s="30" t="s">
        <v>13980</v>
      </c>
      <c r="L7129" s="30" t="s">
        <v>14027</v>
      </c>
      <c r="N7129" s="30" t="s">
        <v>388</v>
      </c>
      <c r="P7129" s="30" t="s">
        <v>14033</v>
      </c>
      <c r="Q7129" t="s">
        <v>623</v>
      </c>
      <c r="R7129" t="s">
        <v>920</v>
      </c>
      <c r="S7129">
        <v>39</v>
      </c>
      <c r="T7129" s="29" t="str">
        <f t="shared" si="309"/>
        <v>2023.015F.Ghabrivirales_reorg.zip</v>
      </c>
      <c r="U7129" s="29" t="str">
        <f>HYPERLINK("https://ictv.global/taxonomy/taxondetails?taxnode_id=202305290","ictv.global=202305290")</f>
        <v>ictv.global=202305290</v>
      </c>
    </row>
    <row r="7130" spans="1:21">
      <c r="A7130">
        <v>7129</v>
      </c>
      <c r="B7130" s="30" t="s">
        <v>1226</v>
      </c>
      <c r="D7130" s="30" t="s">
        <v>2024</v>
      </c>
      <c r="F7130" s="30" t="s">
        <v>2025</v>
      </c>
      <c r="H7130" s="30" t="s">
        <v>2026</v>
      </c>
      <c r="J7130" s="30" t="s">
        <v>2027</v>
      </c>
      <c r="K7130" s="30" t="s">
        <v>13980</v>
      </c>
      <c r="L7130" s="30" t="s">
        <v>14027</v>
      </c>
      <c r="N7130" s="30" t="s">
        <v>388</v>
      </c>
      <c r="P7130" s="30" t="s">
        <v>14034</v>
      </c>
      <c r="Q7130" t="s">
        <v>623</v>
      </c>
      <c r="R7130" t="s">
        <v>920</v>
      </c>
      <c r="S7130">
        <v>39</v>
      </c>
      <c r="T7130" s="29" t="str">
        <f t="shared" si="309"/>
        <v>2023.015F.Ghabrivirales_reorg.zip</v>
      </c>
      <c r="U7130" s="29" t="str">
        <f>HYPERLINK("https://ictv.global/taxonomy/taxondetails?taxnode_id=202305291","ictv.global=202305291")</f>
        <v>ictv.global=202305291</v>
      </c>
    </row>
    <row r="7131" spans="1:21">
      <c r="A7131">
        <v>7130</v>
      </c>
      <c r="B7131" s="30" t="s">
        <v>1226</v>
      </c>
      <c r="D7131" s="30" t="s">
        <v>2024</v>
      </c>
      <c r="F7131" s="30" t="s">
        <v>2025</v>
      </c>
      <c r="H7131" s="30" t="s">
        <v>2026</v>
      </c>
      <c r="J7131" s="30" t="s">
        <v>2027</v>
      </c>
      <c r="K7131" s="30" t="s">
        <v>13980</v>
      </c>
      <c r="L7131" s="30" t="s">
        <v>14027</v>
      </c>
      <c r="N7131" s="30" t="s">
        <v>388</v>
      </c>
      <c r="P7131" s="30" t="s">
        <v>14035</v>
      </c>
      <c r="Q7131" t="s">
        <v>623</v>
      </c>
      <c r="R7131" t="s">
        <v>917</v>
      </c>
      <c r="S7131">
        <v>39</v>
      </c>
      <c r="T7131" s="29" t="str">
        <f t="shared" si="309"/>
        <v>2023.015F.Ghabrivirales_reorg.zip</v>
      </c>
      <c r="U7131" s="29" t="str">
        <f>HYPERLINK("https://ictv.global/taxonomy/taxondetails?taxnode_id=202318164","ictv.global=202318164")</f>
        <v>ictv.global=202318164</v>
      </c>
    </row>
    <row r="7132" spans="1:21">
      <c r="A7132">
        <v>7131</v>
      </c>
      <c r="B7132" s="30" t="s">
        <v>1226</v>
      </c>
      <c r="D7132" s="30" t="s">
        <v>2024</v>
      </c>
      <c r="F7132" s="30" t="s">
        <v>2025</v>
      </c>
      <c r="H7132" s="30" t="s">
        <v>2026</v>
      </c>
      <c r="J7132" s="30" t="s">
        <v>2027</v>
      </c>
      <c r="K7132" s="30" t="s">
        <v>13980</v>
      </c>
      <c r="L7132" s="30" t="s">
        <v>14027</v>
      </c>
      <c r="N7132" s="30" t="s">
        <v>388</v>
      </c>
      <c r="P7132" s="30" t="s">
        <v>14036</v>
      </c>
      <c r="Q7132" t="s">
        <v>623</v>
      </c>
      <c r="R7132" t="s">
        <v>917</v>
      </c>
      <c r="S7132">
        <v>39</v>
      </c>
      <c r="T7132" s="29" t="str">
        <f t="shared" si="309"/>
        <v>2023.015F.Ghabrivirales_reorg.zip</v>
      </c>
      <c r="U7132" s="29" t="str">
        <f>HYPERLINK("https://ictv.global/taxonomy/taxondetails?taxnode_id=202318165","ictv.global=202318165")</f>
        <v>ictv.global=202318165</v>
      </c>
    </row>
    <row r="7133" spans="1:21">
      <c r="A7133">
        <v>7132</v>
      </c>
      <c r="B7133" s="30" t="s">
        <v>1226</v>
      </c>
      <c r="D7133" s="30" t="s">
        <v>2024</v>
      </c>
      <c r="F7133" s="30" t="s">
        <v>2025</v>
      </c>
      <c r="H7133" s="30" t="s">
        <v>2026</v>
      </c>
      <c r="J7133" s="30" t="s">
        <v>2027</v>
      </c>
      <c r="K7133" s="30" t="s">
        <v>13980</v>
      </c>
      <c r="L7133" s="30" t="s">
        <v>14027</v>
      </c>
      <c r="N7133" s="30" t="s">
        <v>388</v>
      </c>
      <c r="P7133" s="30" t="s">
        <v>14037</v>
      </c>
      <c r="Q7133" t="s">
        <v>623</v>
      </c>
      <c r="R7133" t="s">
        <v>917</v>
      </c>
      <c r="S7133">
        <v>39</v>
      </c>
      <c r="T7133" s="29" t="str">
        <f t="shared" si="309"/>
        <v>2023.015F.Ghabrivirales_reorg.zip</v>
      </c>
      <c r="U7133" s="29" t="str">
        <f>HYPERLINK("https://ictv.global/taxonomy/taxondetails?taxnode_id=202318166","ictv.global=202318166")</f>
        <v>ictv.global=202318166</v>
      </c>
    </row>
    <row r="7134" spans="1:21">
      <c r="A7134">
        <v>7133</v>
      </c>
      <c r="B7134" s="30" t="s">
        <v>1226</v>
      </c>
      <c r="D7134" s="30" t="s">
        <v>2024</v>
      </c>
      <c r="F7134" s="30" t="s">
        <v>2025</v>
      </c>
      <c r="H7134" s="30" t="s">
        <v>2026</v>
      </c>
      <c r="J7134" s="30" t="s">
        <v>2027</v>
      </c>
      <c r="K7134" s="30" t="s">
        <v>13980</v>
      </c>
      <c r="L7134" s="30" t="s">
        <v>14027</v>
      </c>
      <c r="N7134" s="30" t="s">
        <v>115</v>
      </c>
      <c r="P7134" s="30" t="s">
        <v>14038</v>
      </c>
      <c r="Q7134" t="s">
        <v>623</v>
      </c>
      <c r="R7134" t="s">
        <v>920</v>
      </c>
      <c r="S7134">
        <v>39</v>
      </c>
      <c r="T7134" s="29" t="str">
        <f>HYPERLINK("https://ictv.global/ictv/proposals/2023.002F.Trichomonasvirus_1nsp_spren.zip","2023.002F.Trichomonasvirus_1nsp_spren.zip")</f>
        <v>2023.002F.Trichomonasvirus_1nsp_spren.zip</v>
      </c>
      <c r="U7134" s="29" t="str">
        <f>HYPERLINK("https://ictv.global/taxonomy/taxondetails?taxnode_id=202305301","ictv.global=202305301")</f>
        <v>ictv.global=202305301</v>
      </c>
    </row>
    <row r="7135" spans="1:21">
      <c r="A7135">
        <v>7134</v>
      </c>
      <c r="B7135" s="30" t="s">
        <v>1226</v>
      </c>
      <c r="D7135" s="30" t="s">
        <v>2024</v>
      </c>
      <c r="F7135" s="30" t="s">
        <v>2025</v>
      </c>
      <c r="H7135" s="30" t="s">
        <v>2026</v>
      </c>
      <c r="J7135" s="30" t="s">
        <v>2027</v>
      </c>
      <c r="K7135" s="30" t="s">
        <v>13980</v>
      </c>
      <c r="L7135" s="30" t="s">
        <v>14027</v>
      </c>
      <c r="N7135" s="30" t="s">
        <v>115</v>
      </c>
      <c r="P7135" s="30" t="s">
        <v>14039</v>
      </c>
      <c r="Q7135" t="s">
        <v>623</v>
      </c>
      <c r="R7135" t="s">
        <v>920</v>
      </c>
      <c r="S7135">
        <v>39</v>
      </c>
      <c r="T7135" s="29" t="str">
        <f>HYPERLINK("https://ictv.global/ictv/proposals/2023.002F.Trichomonasvirus_1nsp_spren.zip","2023.002F.Trichomonasvirus_1nsp_spren.zip")</f>
        <v>2023.002F.Trichomonasvirus_1nsp_spren.zip</v>
      </c>
      <c r="U7135" s="29" t="str">
        <f>HYPERLINK("https://ictv.global/taxonomy/taxondetails?taxnode_id=202305304","ictv.global=202305304")</f>
        <v>ictv.global=202305304</v>
      </c>
    </row>
    <row r="7136" spans="1:21">
      <c r="A7136">
        <v>7135</v>
      </c>
      <c r="B7136" s="30" t="s">
        <v>1226</v>
      </c>
      <c r="D7136" s="30" t="s">
        <v>2024</v>
      </c>
      <c r="F7136" s="30" t="s">
        <v>2025</v>
      </c>
      <c r="H7136" s="30" t="s">
        <v>2026</v>
      </c>
      <c r="J7136" s="30" t="s">
        <v>2027</v>
      </c>
      <c r="K7136" s="30" t="s">
        <v>13980</v>
      </c>
      <c r="L7136" s="30" t="s">
        <v>14027</v>
      </c>
      <c r="N7136" s="30" t="s">
        <v>115</v>
      </c>
      <c r="P7136" s="30" t="s">
        <v>14040</v>
      </c>
      <c r="Q7136" t="s">
        <v>623</v>
      </c>
      <c r="R7136" t="s">
        <v>917</v>
      </c>
      <c r="S7136">
        <v>39</v>
      </c>
      <c r="T7136" s="29" t="str">
        <f>HYPERLINK("https://ictv.global/ictv/proposals/2023.002F.Trichomonasvirus_1nsp_spren.zip","2023.002F.Trichomonasvirus_1nsp_spren.zip")</f>
        <v>2023.002F.Trichomonasvirus_1nsp_spren.zip</v>
      </c>
      <c r="U7136" s="29" t="str">
        <f>HYPERLINK("https://ictv.global/taxonomy/taxondetails?taxnode_id=202317749","ictv.global=202317749")</f>
        <v>ictv.global=202317749</v>
      </c>
    </row>
    <row r="7137" spans="1:21">
      <c r="A7137">
        <v>7136</v>
      </c>
      <c r="B7137" s="30" t="s">
        <v>1226</v>
      </c>
      <c r="D7137" s="30" t="s">
        <v>2024</v>
      </c>
      <c r="F7137" s="30" t="s">
        <v>2025</v>
      </c>
      <c r="H7137" s="30" t="s">
        <v>2026</v>
      </c>
      <c r="J7137" s="30" t="s">
        <v>2027</v>
      </c>
      <c r="K7137" s="30" t="s">
        <v>13980</v>
      </c>
      <c r="L7137" s="30" t="s">
        <v>14027</v>
      </c>
      <c r="N7137" s="30" t="s">
        <v>115</v>
      </c>
      <c r="P7137" s="30" t="s">
        <v>14041</v>
      </c>
      <c r="Q7137" t="s">
        <v>623</v>
      </c>
      <c r="R7137" t="s">
        <v>920</v>
      </c>
      <c r="S7137">
        <v>39</v>
      </c>
      <c r="T7137" s="29" t="str">
        <f>HYPERLINK("https://ictv.global/ictv/proposals/2023.002F.Trichomonasvirus_1nsp_spren.zip","2023.002F.Trichomonasvirus_1nsp_spren.zip")</f>
        <v>2023.002F.Trichomonasvirus_1nsp_spren.zip</v>
      </c>
      <c r="U7137" s="29" t="str">
        <f>HYPERLINK("https://ictv.global/taxonomy/taxondetails?taxnode_id=202305302","ictv.global=202305302")</f>
        <v>ictv.global=202305302</v>
      </c>
    </row>
    <row r="7138" spans="1:21">
      <c r="A7138">
        <v>7137</v>
      </c>
      <c r="B7138" s="30" t="s">
        <v>1226</v>
      </c>
      <c r="D7138" s="30" t="s">
        <v>2024</v>
      </c>
      <c r="F7138" s="30" t="s">
        <v>2025</v>
      </c>
      <c r="H7138" s="30" t="s">
        <v>2026</v>
      </c>
      <c r="J7138" s="30" t="s">
        <v>2027</v>
      </c>
      <c r="K7138" s="30" t="s">
        <v>13980</v>
      </c>
      <c r="L7138" s="30" t="s">
        <v>14027</v>
      </c>
      <c r="N7138" s="30" t="s">
        <v>115</v>
      </c>
      <c r="P7138" s="30" t="s">
        <v>14042</v>
      </c>
      <c r="Q7138" t="s">
        <v>623</v>
      </c>
      <c r="R7138" t="s">
        <v>920</v>
      </c>
      <c r="S7138">
        <v>39</v>
      </c>
      <c r="T7138" s="29" t="str">
        <f>HYPERLINK("https://ictv.global/ictv/proposals/2023.002F.Trichomonasvirus_1nsp_spren.zip","2023.002F.Trichomonasvirus_1nsp_spren.zip")</f>
        <v>2023.002F.Trichomonasvirus_1nsp_spren.zip</v>
      </c>
      <c r="U7138" s="29" t="str">
        <f>HYPERLINK("https://ictv.global/taxonomy/taxondetails?taxnode_id=202305303","ictv.global=202305303")</f>
        <v>ictv.global=202305303</v>
      </c>
    </row>
    <row r="7139" spans="1:21">
      <c r="A7139">
        <v>7138</v>
      </c>
      <c r="B7139" s="30" t="s">
        <v>1226</v>
      </c>
      <c r="D7139" s="30" t="s">
        <v>2024</v>
      </c>
      <c r="F7139" s="30" t="s">
        <v>2025</v>
      </c>
      <c r="H7139" s="30" t="s">
        <v>2026</v>
      </c>
      <c r="J7139" s="30" t="s">
        <v>2027</v>
      </c>
      <c r="K7139" s="30" t="s">
        <v>13980</v>
      </c>
      <c r="L7139" s="30" t="s">
        <v>14027</v>
      </c>
      <c r="N7139" s="30" t="s">
        <v>214</v>
      </c>
      <c r="P7139" s="30" t="s">
        <v>14043</v>
      </c>
      <c r="Q7139" t="s">
        <v>623</v>
      </c>
      <c r="R7139" t="s">
        <v>920</v>
      </c>
      <c r="S7139">
        <v>39</v>
      </c>
      <c r="T7139" s="29" t="str">
        <f t="shared" ref="T7139:T7170" si="310">HYPERLINK("https://ictv.global/ictv/proposals/2023.015F.Ghabrivirales_reorg.zip","2023.015F.Ghabrivirales_reorg.zip")</f>
        <v>2023.015F.Ghabrivirales_reorg.zip</v>
      </c>
      <c r="U7139" s="29" t="str">
        <f>HYPERLINK("https://ictv.global/taxonomy/taxondetails?taxnode_id=202305309","ictv.global=202305309")</f>
        <v>ictv.global=202305309</v>
      </c>
    </row>
    <row r="7140" spans="1:21">
      <c r="A7140">
        <v>7139</v>
      </c>
      <c r="B7140" s="30" t="s">
        <v>1226</v>
      </c>
      <c r="D7140" s="30" t="s">
        <v>2024</v>
      </c>
      <c r="F7140" s="30" t="s">
        <v>2025</v>
      </c>
      <c r="H7140" s="30" t="s">
        <v>2026</v>
      </c>
      <c r="J7140" s="30" t="s">
        <v>2027</v>
      </c>
      <c r="K7140" s="30" t="s">
        <v>13980</v>
      </c>
      <c r="L7140" s="30" t="s">
        <v>14027</v>
      </c>
      <c r="N7140" s="30" t="s">
        <v>214</v>
      </c>
      <c r="P7140" s="30" t="s">
        <v>14044</v>
      </c>
      <c r="Q7140" t="s">
        <v>623</v>
      </c>
      <c r="R7140" t="s">
        <v>920</v>
      </c>
      <c r="S7140">
        <v>39</v>
      </c>
      <c r="T7140" s="29" t="str">
        <f t="shared" si="310"/>
        <v>2023.015F.Ghabrivirales_reorg.zip</v>
      </c>
      <c r="U7140" s="29" t="str">
        <f>HYPERLINK("https://ictv.global/taxonomy/taxondetails?taxnode_id=202305310","ictv.global=202305310")</f>
        <v>ictv.global=202305310</v>
      </c>
    </row>
    <row r="7141" spans="1:21">
      <c r="A7141">
        <v>7140</v>
      </c>
      <c r="B7141" s="30" t="s">
        <v>1226</v>
      </c>
      <c r="D7141" s="30" t="s">
        <v>2024</v>
      </c>
      <c r="F7141" s="30" t="s">
        <v>2025</v>
      </c>
      <c r="H7141" s="30" t="s">
        <v>2026</v>
      </c>
      <c r="J7141" s="30" t="s">
        <v>2027</v>
      </c>
      <c r="K7141" s="30" t="s">
        <v>13980</v>
      </c>
      <c r="L7141" s="30" t="s">
        <v>14027</v>
      </c>
      <c r="N7141" s="30" t="s">
        <v>214</v>
      </c>
      <c r="P7141" s="30" t="s">
        <v>14045</v>
      </c>
      <c r="Q7141" t="s">
        <v>623</v>
      </c>
      <c r="R7141" t="s">
        <v>920</v>
      </c>
      <c r="S7141">
        <v>39</v>
      </c>
      <c r="T7141" s="29" t="str">
        <f t="shared" si="310"/>
        <v>2023.015F.Ghabrivirales_reorg.zip</v>
      </c>
      <c r="U7141" s="29" t="str">
        <f>HYPERLINK("https://ictv.global/taxonomy/taxondetails?taxnode_id=202305313","ictv.global=202305313")</f>
        <v>ictv.global=202305313</v>
      </c>
    </row>
    <row r="7142" spans="1:21">
      <c r="A7142">
        <v>7141</v>
      </c>
      <c r="B7142" s="30" t="s">
        <v>1226</v>
      </c>
      <c r="D7142" s="30" t="s">
        <v>2024</v>
      </c>
      <c r="F7142" s="30" t="s">
        <v>2025</v>
      </c>
      <c r="H7142" s="30" t="s">
        <v>2026</v>
      </c>
      <c r="J7142" s="30" t="s">
        <v>2027</v>
      </c>
      <c r="K7142" s="30" t="s">
        <v>13980</v>
      </c>
      <c r="L7142" s="30" t="s">
        <v>14027</v>
      </c>
      <c r="N7142" s="30" t="s">
        <v>214</v>
      </c>
      <c r="P7142" s="30" t="s">
        <v>14046</v>
      </c>
      <c r="Q7142" t="s">
        <v>623</v>
      </c>
      <c r="R7142" t="s">
        <v>920</v>
      </c>
      <c r="S7142">
        <v>39</v>
      </c>
      <c r="T7142" s="29" t="str">
        <f t="shared" si="310"/>
        <v>2023.015F.Ghabrivirales_reorg.zip</v>
      </c>
      <c r="U7142" s="29" t="str">
        <f>HYPERLINK("https://ictv.global/taxonomy/taxondetails?taxnode_id=202305315","ictv.global=202305315")</f>
        <v>ictv.global=202305315</v>
      </c>
    </row>
    <row r="7143" spans="1:21">
      <c r="A7143">
        <v>7142</v>
      </c>
      <c r="B7143" s="30" t="s">
        <v>1226</v>
      </c>
      <c r="D7143" s="30" t="s">
        <v>2024</v>
      </c>
      <c r="F7143" s="30" t="s">
        <v>2025</v>
      </c>
      <c r="H7143" s="30" t="s">
        <v>2026</v>
      </c>
      <c r="J7143" s="30" t="s">
        <v>2027</v>
      </c>
      <c r="K7143" s="30" t="s">
        <v>13980</v>
      </c>
      <c r="L7143" s="30" t="s">
        <v>14027</v>
      </c>
      <c r="N7143" s="30" t="s">
        <v>214</v>
      </c>
      <c r="P7143" s="30" t="s">
        <v>14047</v>
      </c>
      <c r="Q7143" t="s">
        <v>623</v>
      </c>
      <c r="R7143" t="s">
        <v>920</v>
      </c>
      <c r="S7143">
        <v>39</v>
      </c>
      <c r="T7143" s="29" t="str">
        <f t="shared" si="310"/>
        <v>2023.015F.Ghabrivirales_reorg.zip</v>
      </c>
      <c r="U7143" s="29" t="str">
        <f>HYPERLINK("https://ictv.global/taxonomy/taxondetails?taxnode_id=202305316","ictv.global=202305316")</f>
        <v>ictv.global=202305316</v>
      </c>
    </row>
    <row r="7144" spans="1:21">
      <c r="A7144">
        <v>7143</v>
      </c>
      <c r="B7144" s="30" t="s">
        <v>1226</v>
      </c>
      <c r="D7144" s="30" t="s">
        <v>2024</v>
      </c>
      <c r="F7144" s="30" t="s">
        <v>2025</v>
      </c>
      <c r="H7144" s="30" t="s">
        <v>2026</v>
      </c>
      <c r="J7144" s="30" t="s">
        <v>2027</v>
      </c>
      <c r="K7144" s="30" t="s">
        <v>13980</v>
      </c>
      <c r="L7144" s="30" t="s">
        <v>14027</v>
      </c>
      <c r="N7144" s="30" t="s">
        <v>214</v>
      </c>
      <c r="P7144" s="30" t="s">
        <v>14048</v>
      </c>
      <c r="Q7144" t="s">
        <v>623</v>
      </c>
      <c r="R7144" t="s">
        <v>917</v>
      </c>
      <c r="S7144">
        <v>39</v>
      </c>
      <c r="T7144" s="29" t="str">
        <f t="shared" si="310"/>
        <v>2023.015F.Ghabrivirales_reorg.zip</v>
      </c>
      <c r="U7144" s="29" t="str">
        <f>HYPERLINK("https://ictv.global/taxonomy/taxondetails?taxnode_id=202318167","ictv.global=202318167")</f>
        <v>ictv.global=202318167</v>
      </c>
    </row>
    <row r="7145" spans="1:21">
      <c r="A7145">
        <v>7144</v>
      </c>
      <c r="B7145" s="30" t="s">
        <v>1226</v>
      </c>
      <c r="D7145" s="30" t="s">
        <v>2024</v>
      </c>
      <c r="F7145" s="30" t="s">
        <v>2025</v>
      </c>
      <c r="H7145" s="30" t="s">
        <v>2026</v>
      </c>
      <c r="J7145" s="30" t="s">
        <v>2027</v>
      </c>
      <c r="K7145" s="30" t="s">
        <v>13980</v>
      </c>
      <c r="L7145" s="30" t="s">
        <v>14027</v>
      </c>
      <c r="N7145" s="30" t="s">
        <v>214</v>
      </c>
      <c r="P7145" s="30" t="s">
        <v>14049</v>
      </c>
      <c r="Q7145" t="s">
        <v>623</v>
      </c>
      <c r="R7145" t="s">
        <v>920</v>
      </c>
      <c r="S7145">
        <v>39</v>
      </c>
      <c r="T7145" s="29" t="str">
        <f t="shared" si="310"/>
        <v>2023.015F.Ghabrivirales_reorg.zip</v>
      </c>
      <c r="U7145" s="29" t="str">
        <f>HYPERLINK("https://ictv.global/taxonomy/taxondetails?taxnode_id=202305319","ictv.global=202305319")</f>
        <v>ictv.global=202305319</v>
      </c>
    </row>
    <row r="7146" spans="1:21">
      <c r="A7146">
        <v>7145</v>
      </c>
      <c r="B7146" s="30" t="s">
        <v>1226</v>
      </c>
      <c r="D7146" s="30" t="s">
        <v>2024</v>
      </c>
      <c r="F7146" s="30" t="s">
        <v>2025</v>
      </c>
      <c r="H7146" s="30" t="s">
        <v>2026</v>
      </c>
      <c r="J7146" s="30" t="s">
        <v>2027</v>
      </c>
      <c r="K7146" s="30" t="s">
        <v>13980</v>
      </c>
      <c r="L7146" s="30" t="s">
        <v>14027</v>
      </c>
      <c r="N7146" s="30" t="s">
        <v>214</v>
      </c>
      <c r="P7146" s="30" t="s">
        <v>14050</v>
      </c>
      <c r="Q7146" t="s">
        <v>623</v>
      </c>
      <c r="R7146" t="s">
        <v>917</v>
      </c>
      <c r="S7146">
        <v>39</v>
      </c>
      <c r="T7146" s="29" t="str">
        <f t="shared" si="310"/>
        <v>2023.015F.Ghabrivirales_reorg.zip</v>
      </c>
      <c r="U7146" s="29" t="str">
        <f>HYPERLINK("https://ictv.global/taxonomy/taxondetails?taxnode_id=202318168","ictv.global=202318168")</f>
        <v>ictv.global=202318168</v>
      </c>
    </row>
    <row r="7147" spans="1:21">
      <c r="A7147">
        <v>7146</v>
      </c>
      <c r="B7147" s="30" t="s">
        <v>1226</v>
      </c>
      <c r="D7147" s="30" t="s">
        <v>2024</v>
      </c>
      <c r="F7147" s="30" t="s">
        <v>2025</v>
      </c>
      <c r="H7147" s="30" t="s">
        <v>2026</v>
      </c>
      <c r="J7147" s="30" t="s">
        <v>2027</v>
      </c>
      <c r="K7147" s="30" t="s">
        <v>13980</v>
      </c>
      <c r="L7147" s="30" t="s">
        <v>14027</v>
      </c>
      <c r="N7147" s="30" t="s">
        <v>214</v>
      </c>
      <c r="P7147" s="30" t="s">
        <v>14051</v>
      </c>
      <c r="Q7147" t="s">
        <v>623</v>
      </c>
      <c r="R7147" t="s">
        <v>920</v>
      </c>
      <c r="S7147">
        <v>39</v>
      </c>
      <c r="T7147" s="29" t="str">
        <f t="shared" si="310"/>
        <v>2023.015F.Ghabrivirales_reorg.zip</v>
      </c>
      <c r="U7147" s="29" t="str">
        <f>HYPERLINK("https://ictv.global/taxonomy/taxondetails?taxnode_id=202305306","ictv.global=202305306")</f>
        <v>ictv.global=202305306</v>
      </c>
    </row>
    <row r="7148" spans="1:21">
      <c r="A7148">
        <v>7147</v>
      </c>
      <c r="B7148" s="30" t="s">
        <v>1226</v>
      </c>
      <c r="D7148" s="30" t="s">
        <v>2024</v>
      </c>
      <c r="F7148" s="30" t="s">
        <v>2025</v>
      </c>
      <c r="H7148" s="30" t="s">
        <v>2026</v>
      </c>
      <c r="J7148" s="30" t="s">
        <v>2027</v>
      </c>
      <c r="K7148" s="30" t="s">
        <v>13980</v>
      </c>
      <c r="L7148" s="30" t="s">
        <v>14027</v>
      </c>
      <c r="N7148" s="30" t="s">
        <v>214</v>
      </c>
      <c r="P7148" s="30" t="s">
        <v>14052</v>
      </c>
      <c r="Q7148" t="s">
        <v>623</v>
      </c>
      <c r="R7148" t="s">
        <v>917</v>
      </c>
      <c r="S7148">
        <v>39</v>
      </c>
      <c r="T7148" s="29" t="str">
        <f t="shared" si="310"/>
        <v>2023.015F.Ghabrivirales_reorg.zip</v>
      </c>
      <c r="U7148" s="29" t="str">
        <f>HYPERLINK("https://ictv.global/taxonomy/taxondetails?taxnode_id=202318169","ictv.global=202318169")</f>
        <v>ictv.global=202318169</v>
      </c>
    </row>
    <row r="7149" spans="1:21">
      <c r="A7149">
        <v>7148</v>
      </c>
      <c r="B7149" s="30" t="s">
        <v>1226</v>
      </c>
      <c r="D7149" s="30" t="s">
        <v>2024</v>
      </c>
      <c r="F7149" s="30" t="s">
        <v>2025</v>
      </c>
      <c r="H7149" s="30" t="s">
        <v>2026</v>
      </c>
      <c r="J7149" s="30" t="s">
        <v>2027</v>
      </c>
      <c r="K7149" s="30" t="s">
        <v>13980</v>
      </c>
      <c r="L7149" s="30" t="s">
        <v>14027</v>
      </c>
      <c r="N7149" s="30" t="s">
        <v>214</v>
      </c>
      <c r="P7149" s="30" t="s">
        <v>14053</v>
      </c>
      <c r="Q7149" t="s">
        <v>623</v>
      </c>
      <c r="R7149" t="s">
        <v>920</v>
      </c>
      <c r="S7149">
        <v>39</v>
      </c>
      <c r="T7149" s="29" t="str">
        <f t="shared" si="310"/>
        <v>2023.015F.Ghabrivirales_reorg.zip</v>
      </c>
      <c r="U7149" s="29" t="str">
        <f>HYPERLINK("https://ictv.global/taxonomy/taxondetails?taxnode_id=202305307","ictv.global=202305307")</f>
        <v>ictv.global=202305307</v>
      </c>
    </row>
    <row r="7150" spans="1:21">
      <c r="A7150">
        <v>7149</v>
      </c>
      <c r="B7150" s="30" t="s">
        <v>1226</v>
      </c>
      <c r="D7150" s="30" t="s">
        <v>2024</v>
      </c>
      <c r="F7150" s="30" t="s">
        <v>2025</v>
      </c>
      <c r="H7150" s="30" t="s">
        <v>2026</v>
      </c>
      <c r="J7150" s="30" t="s">
        <v>2027</v>
      </c>
      <c r="K7150" s="30" t="s">
        <v>13980</v>
      </c>
      <c r="L7150" s="30" t="s">
        <v>14027</v>
      </c>
      <c r="N7150" s="30" t="s">
        <v>214</v>
      </c>
      <c r="P7150" s="30" t="s">
        <v>14054</v>
      </c>
      <c r="Q7150" t="s">
        <v>623</v>
      </c>
      <c r="R7150" t="s">
        <v>917</v>
      </c>
      <c r="S7150">
        <v>39</v>
      </c>
      <c r="T7150" s="29" t="str">
        <f t="shared" si="310"/>
        <v>2023.015F.Ghabrivirales_reorg.zip</v>
      </c>
      <c r="U7150" s="29" t="str">
        <f>HYPERLINK("https://ictv.global/taxonomy/taxondetails?taxnode_id=202318170","ictv.global=202318170")</f>
        <v>ictv.global=202318170</v>
      </c>
    </row>
    <row r="7151" spans="1:21">
      <c r="A7151">
        <v>7150</v>
      </c>
      <c r="B7151" s="30" t="s">
        <v>1226</v>
      </c>
      <c r="D7151" s="30" t="s">
        <v>2024</v>
      </c>
      <c r="F7151" s="30" t="s">
        <v>2025</v>
      </c>
      <c r="H7151" s="30" t="s">
        <v>2026</v>
      </c>
      <c r="J7151" s="30" t="s">
        <v>2027</v>
      </c>
      <c r="K7151" s="30" t="s">
        <v>13980</v>
      </c>
      <c r="L7151" s="30" t="s">
        <v>14027</v>
      </c>
      <c r="N7151" s="30" t="s">
        <v>214</v>
      </c>
      <c r="P7151" s="30" t="s">
        <v>14055</v>
      </c>
      <c r="Q7151" t="s">
        <v>623</v>
      </c>
      <c r="R7151" t="s">
        <v>917</v>
      </c>
      <c r="S7151">
        <v>39</v>
      </c>
      <c r="T7151" s="29" t="str">
        <f t="shared" si="310"/>
        <v>2023.015F.Ghabrivirales_reorg.zip</v>
      </c>
      <c r="U7151" s="29" t="str">
        <f>HYPERLINK("https://ictv.global/taxonomy/taxondetails?taxnode_id=202318171","ictv.global=202318171")</f>
        <v>ictv.global=202318171</v>
      </c>
    </row>
    <row r="7152" spans="1:21">
      <c r="A7152">
        <v>7151</v>
      </c>
      <c r="B7152" s="30" t="s">
        <v>1226</v>
      </c>
      <c r="D7152" s="30" t="s">
        <v>2024</v>
      </c>
      <c r="F7152" s="30" t="s">
        <v>2025</v>
      </c>
      <c r="H7152" s="30" t="s">
        <v>2026</v>
      </c>
      <c r="J7152" s="30" t="s">
        <v>2027</v>
      </c>
      <c r="K7152" s="30" t="s">
        <v>13980</v>
      </c>
      <c r="L7152" s="30" t="s">
        <v>14027</v>
      </c>
      <c r="N7152" s="30" t="s">
        <v>214</v>
      </c>
      <c r="P7152" s="30" t="s">
        <v>14056</v>
      </c>
      <c r="Q7152" t="s">
        <v>623</v>
      </c>
      <c r="R7152" t="s">
        <v>920</v>
      </c>
      <c r="S7152">
        <v>39</v>
      </c>
      <c r="T7152" s="29" t="str">
        <f t="shared" si="310"/>
        <v>2023.015F.Ghabrivirales_reorg.zip</v>
      </c>
      <c r="U7152" s="29" t="str">
        <f>HYPERLINK("https://ictv.global/taxonomy/taxondetails?taxnode_id=202305314","ictv.global=202305314")</f>
        <v>ictv.global=202305314</v>
      </c>
    </row>
    <row r="7153" spans="1:21">
      <c r="A7153">
        <v>7152</v>
      </c>
      <c r="B7153" s="30" t="s">
        <v>1226</v>
      </c>
      <c r="D7153" s="30" t="s">
        <v>2024</v>
      </c>
      <c r="F7153" s="30" t="s">
        <v>2025</v>
      </c>
      <c r="H7153" s="30" t="s">
        <v>2026</v>
      </c>
      <c r="J7153" s="30" t="s">
        <v>2027</v>
      </c>
      <c r="K7153" s="30" t="s">
        <v>13980</v>
      </c>
      <c r="L7153" s="30" t="s">
        <v>14027</v>
      </c>
      <c r="N7153" s="30" t="s">
        <v>214</v>
      </c>
      <c r="P7153" s="30" t="s">
        <v>14057</v>
      </c>
      <c r="Q7153" t="s">
        <v>623</v>
      </c>
      <c r="R7153" t="s">
        <v>920</v>
      </c>
      <c r="S7153">
        <v>39</v>
      </c>
      <c r="T7153" s="29" t="str">
        <f t="shared" si="310"/>
        <v>2023.015F.Ghabrivirales_reorg.zip</v>
      </c>
      <c r="U7153" s="29" t="str">
        <f>HYPERLINK("https://ictv.global/taxonomy/taxondetails?taxnode_id=202305308","ictv.global=202305308")</f>
        <v>ictv.global=202305308</v>
      </c>
    </row>
    <row r="7154" spans="1:21">
      <c r="A7154">
        <v>7153</v>
      </c>
      <c r="B7154" s="30" t="s">
        <v>1226</v>
      </c>
      <c r="D7154" s="30" t="s">
        <v>2024</v>
      </c>
      <c r="F7154" s="30" t="s">
        <v>2025</v>
      </c>
      <c r="H7154" s="30" t="s">
        <v>2026</v>
      </c>
      <c r="J7154" s="30" t="s">
        <v>2027</v>
      </c>
      <c r="K7154" s="30" t="s">
        <v>13980</v>
      </c>
      <c r="L7154" s="30" t="s">
        <v>14027</v>
      </c>
      <c r="N7154" s="30" t="s">
        <v>214</v>
      </c>
      <c r="P7154" s="30" t="s">
        <v>14058</v>
      </c>
      <c r="Q7154" t="s">
        <v>623</v>
      </c>
      <c r="R7154" t="s">
        <v>917</v>
      </c>
      <c r="S7154">
        <v>39</v>
      </c>
      <c r="T7154" s="29" t="str">
        <f t="shared" si="310"/>
        <v>2023.015F.Ghabrivirales_reorg.zip</v>
      </c>
      <c r="U7154" s="29" t="str">
        <f>HYPERLINK("https://ictv.global/taxonomy/taxondetails?taxnode_id=202318172","ictv.global=202318172")</f>
        <v>ictv.global=202318172</v>
      </c>
    </row>
    <row r="7155" spans="1:21">
      <c r="A7155">
        <v>7154</v>
      </c>
      <c r="B7155" s="30" t="s">
        <v>1226</v>
      </c>
      <c r="D7155" s="30" t="s">
        <v>2024</v>
      </c>
      <c r="F7155" s="30" t="s">
        <v>2025</v>
      </c>
      <c r="H7155" s="30" t="s">
        <v>2026</v>
      </c>
      <c r="J7155" s="30" t="s">
        <v>2027</v>
      </c>
      <c r="K7155" s="30" t="s">
        <v>13980</v>
      </c>
      <c r="L7155" s="30" t="s">
        <v>14027</v>
      </c>
      <c r="N7155" s="30" t="s">
        <v>214</v>
      </c>
      <c r="P7155" s="30" t="s">
        <v>14059</v>
      </c>
      <c r="Q7155" t="s">
        <v>623</v>
      </c>
      <c r="R7155" t="s">
        <v>917</v>
      </c>
      <c r="S7155">
        <v>39</v>
      </c>
      <c r="T7155" s="29" t="str">
        <f t="shared" si="310"/>
        <v>2023.015F.Ghabrivirales_reorg.zip</v>
      </c>
      <c r="U7155" s="29" t="str">
        <f>HYPERLINK("https://ictv.global/taxonomy/taxondetails?taxnode_id=202318173","ictv.global=202318173")</f>
        <v>ictv.global=202318173</v>
      </c>
    </row>
    <row r="7156" spans="1:21">
      <c r="A7156">
        <v>7155</v>
      </c>
      <c r="B7156" s="30" t="s">
        <v>1226</v>
      </c>
      <c r="D7156" s="30" t="s">
        <v>2024</v>
      </c>
      <c r="F7156" s="30" t="s">
        <v>2025</v>
      </c>
      <c r="H7156" s="30" t="s">
        <v>2026</v>
      </c>
      <c r="J7156" s="30" t="s">
        <v>2027</v>
      </c>
      <c r="K7156" s="30" t="s">
        <v>13980</v>
      </c>
      <c r="L7156" s="30" t="s">
        <v>14027</v>
      </c>
      <c r="N7156" s="30" t="s">
        <v>214</v>
      </c>
      <c r="P7156" s="30" t="s">
        <v>14060</v>
      </c>
      <c r="Q7156" t="s">
        <v>623</v>
      </c>
      <c r="R7156" t="s">
        <v>917</v>
      </c>
      <c r="S7156">
        <v>39</v>
      </c>
      <c r="T7156" s="29" t="str">
        <f t="shared" si="310"/>
        <v>2023.015F.Ghabrivirales_reorg.zip</v>
      </c>
      <c r="U7156" s="29" t="str">
        <f>HYPERLINK("https://ictv.global/taxonomy/taxondetails?taxnode_id=202318174","ictv.global=202318174")</f>
        <v>ictv.global=202318174</v>
      </c>
    </row>
    <row r="7157" spans="1:21">
      <c r="A7157">
        <v>7156</v>
      </c>
      <c r="B7157" s="30" t="s">
        <v>1226</v>
      </c>
      <c r="D7157" s="30" t="s">
        <v>2024</v>
      </c>
      <c r="F7157" s="30" t="s">
        <v>2025</v>
      </c>
      <c r="H7157" s="30" t="s">
        <v>2026</v>
      </c>
      <c r="J7157" s="30" t="s">
        <v>2027</v>
      </c>
      <c r="K7157" s="30" t="s">
        <v>13980</v>
      </c>
      <c r="L7157" s="30" t="s">
        <v>14027</v>
      </c>
      <c r="N7157" s="30" t="s">
        <v>214</v>
      </c>
      <c r="P7157" s="30" t="s">
        <v>14061</v>
      </c>
      <c r="Q7157" t="s">
        <v>623</v>
      </c>
      <c r="R7157" t="s">
        <v>917</v>
      </c>
      <c r="S7157">
        <v>39</v>
      </c>
      <c r="T7157" s="29" t="str">
        <f t="shared" si="310"/>
        <v>2023.015F.Ghabrivirales_reorg.zip</v>
      </c>
      <c r="U7157" s="29" t="str">
        <f>HYPERLINK("https://ictv.global/taxonomy/taxondetails?taxnode_id=202318175","ictv.global=202318175")</f>
        <v>ictv.global=202318175</v>
      </c>
    </row>
    <row r="7158" spans="1:21">
      <c r="A7158">
        <v>7157</v>
      </c>
      <c r="B7158" s="30" t="s">
        <v>1226</v>
      </c>
      <c r="D7158" s="30" t="s">
        <v>2024</v>
      </c>
      <c r="F7158" s="30" t="s">
        <v>2025</v>
      </c>
      <c r="H7158" s="30" t="s">
        <v>2026</v>
      </c>
      <c r="J7158" s="30" t="s">
        <v>2027</v>
      </c>
      <c r="K7158" s="30" t="s">
        <v>13980</v>
      </c>
      <c r="L7158" s="30" t="s">
        <v>14027</v>
      </c>
      <c r="N7158" s="30" t="s">
        <v>214</v>
      </c>
      <c r="P7158" s="30" t="s">
        <v>14062</v>
      </c>
      <c r="Q7158" t="s">
        <v>623</v>
      </c>
      <c r="R7158" t="s">
        <v>917</v>
      </c>
      <c r="S7158">
        <v>39</v>
      </c>
      <c r="T7158" s="29" t="str">
        <f t="shared" si="310"/>
        <v>2023.015F.Ghabrivirales_reorg.zip</v>
      </c>
      <c r="U7158" s="29" t="str">
        <f>HYPERLINK("https://ictv.global/taxonomy/taxondetails?taxnode_id=202318176","ictv.global=202318176")</f>
        <v>ictv.global=202318176</v>
      </c>
    </row>
    <row r="7159" spans="1:21">
      <c r="A7159">
        <v>7158</v>
      </c>
      <c r="B7159" s="30" t="s">
        <v>1226</v>
      </c>
      <c r="D7159" s="30" t="s">
        <v>2024</v>
      </c>
      <c r="F7159" s="30" t="s">
        <v>2025</v>
      </c>
      <c r="H7159" s="30" t="s">
        <v>2026</v>
      </c>
      <c r="J7159" s="30" t="s">
        <v>2027</v>
      </c>
      <c r="K7159" s="30" t="s">
        <v>13980</v>
      </c>
      <c r="L7159" s="30" t="s">
        <v>14027</v>
      </c>
      <c r="N7159" s="30" t="s">
        <v>214</v>
      </c>
      <c r="P7159" s="30" t="s">
        <v>14063</v>
      </c>
      <c r="Q7159" t="s">
        <v>623</v>
      </c>
      <c r="R7159" t="s">
        <v>917</v>
      </c>
      <c r="S7159">
        <v>39</v>
      </c>
      <c r="T7159" s="29" t="str">
        <f t="shared" si="310"/>
        <v>2023.015F.Ghabrivirales_reorg.zip</v>
      </c>
      <c r="U7159" s="29" t="str">
        <f>HYPERLINK("https://ictv.global/taxonomy/taxondetails?taxnode_id=202318177","ictv.global=202318177")</f>
        <v>ictv.global=202318177</v>
      </c>
    </row>
    <row r="7160" spans="1:21">
      <c r="A7160">
        <v>7159</v>
      </c>
      <c r="B7160" s="30" t="s">
        <v>1226</v>
      </c>
      <c r="D7160" s="30" t="s">
        <v>2024</v>
      </c>
      <c r="F7160" s="30" t="s">
        <v>2025</v>
      </c>
      <c r="H7160" s="30" t="s">
        <v>2026</v>
      </c>
      <c r="J7160" s="30" t="s">
        <v>2027</v>
      </c>
      <c r="K7160" s="30" t="s">
        <v>13980</v>
      </c>
      <c r="L7160" s="30" t="s">
        <v>14027</v>
      </c>
      <c r="N7160" s="30" t="s">
        <v>214</v>
      </c>
      <c r="P7160" s="30" t="s">
        <v>14064</v>
      </c>
      <c r="Q7160" t="s">
        <v>623</v>
      </c>
      <c r="R7160" t="s">
        <v>917</v>
      </c>
      <c r="S7160">
        <v>39</v>
      </c>
      <c r="T7160" s="29" t="str">
        <f t="shared" si="310"/>
        <v>2023.015F.Ghabrivirales_reorg.zip</v>
      </c>
      <c r="U7160" s="29" t="str">
        <f>HYPERLINK("https://ictv.global/taxonomy/taxondetails?taxnode_id=202318178","ictv.global=202318178")</f>
        <v>ictv.global=202318178</v>
      </c>
    </row>
    <row r="7161" spans="1:21">
      <c r="A7161">
        <v>7160</v>
      </c>
      <c r="B7161" s="30" t="s">
        <v>1226</v>
      </c>
      <c r="D7161" s="30" t="s">
        <v>2024</v>
      </c>
      <c r="F7161" s="30" t="s">
        <v>2025</v>
      </c>
      <c r="H7161" s="30" t="s">
        <v>2026</v>
      </c>
      <c r="J7161" s="30" t="s">
        <v>2027</v>
      </c>
      <c r="K7161" s="30" t="s">
        <v>13980</v>
      </c>
      <c r="L7161" s="30" t="s">
        <v>14027</v>
      </c>
      <c r="N7161" s="30" t="s">
        <v>214</v>
      </c>
      <c r="P7161" s="30" t="s">
        <v>14065</v>
      </c>
      <c r="Q7161" t="s">
        <v>623</v>
      </c>
      <c r="R7161" t="s">
        <v>917</v>
      </c>
      <c r="S7161">
        <v>39</v>
      </c>
      <c r="T7161" s="29" t="str">
        <f t="shared" si="310"/>
        <v>2023.015F.Ghabrivirales_reorg.zip</v>
      </c>
      <c r="U7161" s="29" t="str">
        <f>HYPERLINK("https://ictv.global/taxonomy/taxondetails?taxnode_id=202318179","ictv.global=202318179")</f>
        <v>ictv.global=202318179</v>
      </c>
    </row>
    <row r="7162" spans="1:21">
      <c r="A7162">
        <v>7161</v>
      </c>
      <c r="B7162" s="30" t="s">
        <v>1226</v>
      </c>
      <c r="D7162" s="30" t="s">
        <v>2024</v>
      </c>
      <c r="F7162" s="30" t="s">
        <v>2025</v>
      </c>
      <c r="H7162" s="30" t="s">
        <v>2026</v>
      </c>
      <c r="J7162" s="30" t="s">
        <v>2027</v>
      </c>
      <c r="K7162" s="30" t="s">
        <v>13980</v>
      </c>
      <c r="L7162" s="30" t="s">
        <v>14027</v>
      </c>
      <c r="N7162" s="30" t="s">
        <v>214</v>
      </c>
      <c r="P7162" s="30" t="s">
        <v>14066</v>
      </c>
      <c r="Q7162" t="s">
        <v>623</v>
      </c>
      <c r="R7162" t="s">
        <v>917</v>
      </c>
      <c r="S7162">
        <v>39</v>
      </c>
      <c r="T7162" s="29" t="str">
        <f t="shared" si="310"/>
        <v>2023.015F.Ghabrivirales_reorg.zip</v>
      </c>
      <c r="U7162" s="29" t="str">
        <f>HYPERLINK("https://ictv.global/taxonomy/taxondetails?taxnode_id=202318180","ictv.global=202318180")</f>
        <v>ictv.global=202318180</v>
      </c>
    </row>
    <row r="7163" spans="1:21">
      <c r="A7163">
        <v>7162</v>
      </c>
      <c r="B7163" s="30" t="s">
        <v>1226</v>
      </c>
      <c r="D7163" s="30" t="s">
        <v>2024</v>
      </c>
      <c r="F7163" s="30" t="s">
        <v>2025</v>
      </c>
      <c r="H7163" s="30" t="s">
        <v>2026</v>
      </c>
      <c r="J7163" s="30" t="s">
        <v>2027</v>
      </c>
      <c r="K7163" s="30" t="s">
        <v>13980</v>
      </c>
      <c r="L7163" s="30" t="s">
        <v>14027</v>
      </c>
      <c r="N7163" s="30" t="s">
        <v>214</v>
      </c>
      <c r="P7163" s="30" t="s">
        <v>14067</v>
      </c>
      <c r="Q7163" t="s">
        <v>623</v>
      </c>
      <c r="R7163" t="s">
        <v>917</v>
      </c>
      <c r="S7163">
        <v>39</v>
      </c>
      <c r="T7163" s="29" t="str">
        <f t="shared" si="310"/>
        <v>2023.015F.Ghabrivirales_reorg.zip</v>
      </c>
      <c r="U7163" s="29" t="str">
        <f>HYPERLINK("https://ictv.global/taxonomy/taxondetails?taxnode_id=202318181","ictv.global=202318181")</f>
        <v>ictv.global=202318181</v>
      </c>
    </row>
    <row r="7164" spans="1:21">
      <c r="A7164">
        <v>7163</v>
      </c>
      <c r="B7164" s="30" t="s">
        <v>1226</v>
      </c>
      <c r="D7164" s="30" t="s">
        <v>2024</v>
      </c>
      <c r="F7164" s="30" t="s">
        <v>2025</v>
      </c>
      <c r="H7164" s="30" t="s">
        <v>2026</v>
      </c>
      <c r="J7164" s="30" t="s">
        <v>2027</v>
      </c>
      <c r="K7164" s="30" t="s">
        <v>13980</v>
      </c>
      <c r="L7164" s="30" t="s">
        <v>14027</v>
      </c>
      <c r="N7164" s="30" t="s">
        <v>214</v>
      </c>
      <c r="P7164" s="30" t="s">
        <v>14068</v>
      </c>
      <c r="Q7164" t="s">
        <v>623</v>
      </c>
      <c r="R7164" t="s">
        <v>920</v>
      </c>
      <c r="S7164">
        <v>39</v>
      </c>
      <c r="T7164" s="29" t="str">
        <f t="shared" si="310"/>
        <v>2023.015F.Ghabrivirales_reorg.zip</v>
      </c>
      <c r="U7164" s="29" t="str">
        <f>HYPERLINK("https://ictv.global/taxonomy/taxondetails?taxnode_id=202305312","ictv.global=202305312")</f>
        <v>ictv.global=202305312</v>
      </c>
    </row>
    <row r="7165" spans="1:21">
      <c r="A7165">
        <v>7164</v>
      </c>
      <c r="B7165" s="30" t="s">
        <v>1226</v>
      </c>
      <c r="D7165" s="30" t="s">
        <v>2024</v>
      </c>
      <c r="F7165" s="30" t="s">
        <v>2025</v>
      </c>
      <c r="H7165" s="30" t="s">
        <v>2026</v>
      </c>
      <c r="J7165" s="30" t="s">
        <v>2027</v>
      </c>
      <c r="K7165" s="30" t="s">
        <v>13980</v>
      </c>
      <c r="L7165" s="30" t="s">
        <v>14027</v>
      </c>
      <c r="N7165" s="30" t="s">
        <v>214</v>
      </c>
      <c r="P7165" s="30" t="s">
        <v>14069</v>
      </c>
      <c r="Q7165" t="s">
        <v>623</v>
      </c>
      <c r="R7165" t="s">
        <v>920</v>
      </c>
      <c r="S7165">
        <v>39</v>
      </c>
      <c r="T7165" s="29" t="str">
        <f t="shared" si="310"/>
        <v>2023.015F.Ghabrivirales_reorg.zip</v>
      </c>
      <c r="U7165" s="29" t="str">
        <f>HYPERLINK("https://ictv.global/taxonomy/taxondetails?taxnode_id=202305317","ictv.global=202305317")</f>
        <v>ictv.global=202305317</v>
      </c>
    </row>
    <row r="7166" spans="1:21">
      <c r="A7166">
        <v>7165</v>
      </c>
      <c r="B7166" s="30" t="s">
        <v>1226</v>
      </c>
      <c r="D7166" s="30" t="s">
        <v>2024</v>
      </c>
      <c r="F7166" s="30" t="s">
        <v>2025</v>
      </c>
      <c r="H7166" s="30" t="s">
        <v>2026</v>
      </c>
      <c r="J7166" s="30" t="s">
        <v>2027</v>
      </c>
      <c r="K7166" s="30" t="s">
        <v>13980</v>
      </c>
      <c r="L7166" s="30" t="s">
        <v>14027</v>
      </c>
      <c r="N7166" s="30" t="s">
        <v>214</v>
      </c>
      <c r="P7166" s="30" t="s">
        <v>14070</v>
      </c>
      <c r="Q7166" t="s">
        <v>623</v>
      </c>
      <c r="R7166" t="s">
        <v>917</v>
      </c>
      <c r="S7166">
        <v>39</v>
      </c>
      <c r="T7166" s="29" t="str">
        <f t="shared" si="310"/>
        <v>2023.015F.Ghabrivirales_reorg.zip</v>
      </c>
      <c r="U7166" s="29" t="str">
        <f>HYPERLINK("https://ictv.global/taxonomy/taxondetails?taxnode_id=202318182","ictv.global=202318182")</f>
        <v>ictv.global=202318182</v>
      </c>
    </row>
    <row r="7167" spans="1:21">
      <c r="A7167">
        <v>7166</v>
      </c>
      <c r="B7167" s="30" t="s">
        <v>1226</v>
      </c>
      <c r="D7167" s="30" t="s">
        <v>2024</v>
      </c>
      <c r="F7167" s="30" t="s">
        <v>2025</v>
      </c>
      <c r="H7167" s="30" t="s">
        <v>2026</v>
      </c>
      <c r="J7167" s="30" t="s">
        <v>2027</v>
      </c>
      <c r="K7167" s="30" t="s">
        <v>13980</v>
      </c>
      <c r="L7167" s="30" t="s">
        <v>14027</v>
      </c>
      <c r="N7167" s="30" t="s">
        <v>214</v>
      </c>
      <c r="P7167" s="30" t="s">
        <v>14071</v>
      </c>
      <c r="Q7167" t="s">
        <v>623</v>
      </c>
      <c r="R7167" t="s">
        <v>917</v>
      </c>
      <c r="S7167">
        <v>39</v>
      </c>
      <c r="T7167" s="29" t="str">
        <f t="shared" si="310"/>
        <v>2023.015F.Ghabrivirales_reorg.zip</v>
      </c>
      <c r="U7167" s="29" t="str">
        <f>HYPERLINK("https://ictv.global/taxonomy/taxondetails?taxnode_id=202318183","ictv.global=202318183")</f>
        <v>ictv.global=202318183</v>
      </c>
    </row>
    <row r="7168" spans="1:21">
      <c r="A7168">
        <v>7167</v>
      </c>
      <c r="B7168" s="30" t="s">
        <v>1226</v>
      </c>
      <c r="D7168" s="30" t="s">
        <v>2024</v>
      </c>
      <c r="F7168" s="30" t="s">
        <v>2025</v>
      </c>
      <c r="H7168" s="30" t="s">
        <v>2026</v>
      </c>
      <c r="J7168" s="30" t="s">
        <v>2027</v>
      </c>
      <c r="K7168" s="30" t="s">
        <v>13980</v>
      </c>
      <c r="L7168" s="30" t="s">
        <v>14027</v>
      </c>
      <c r="N7168" s="30" t="s">
        <v>214</v>
      </c>
      <c r="P7168" s="30" t="s">
        <v>14072</v>
      </c>
      <c r="Q7168" t="s">
        <v>623</v>
      </c>
      <c r="R7168" t="s">
        <v>917</v>
      </c>
      <c r="S7168">
        <v>39</v>
      </c>
      <c r="T7168" s="29" t="str">
        <f t="shared" si="310"/>
        <v>2023.015F.Ghabrivirales_reorg.zip</v>
      </c>
      <c r="U7168" s="29" t="str">
        <f>HYPERLINK("https://ictv.global/taxonomy/taxondetails?taxnode_id=202318184","ictv.global=202318184")</f>
        <v>ictv.global=202318184</v>
      </c>
    </row>
    <row r="7169" spans="1:21">
      <c r="A7169">
        <v>7168</v>
      </c>
      <c r="B7169" s="30" t="s">
        <v>1226</v>
      </c>
      <c r="D7169" s="30" t="s">
        <v>2024</v>
      </c>
      <c r="F7169" s="30" t="s">
        <v>2025</v>
      </c>
      <c r="H7169" s="30" t="s">
        <v>2026</v>
      </c>
      <c r="J7169" s="30" t="s">
        <v>2027</v>
      </c>
      <c r="K7169" s="30" t="s">
        <v>13980</v>
      </c>
      <c r="L7169" s="30" t="s">
        <v>14027</v>
      </c>
      <c r="N7169" s="30" t="s">
        <v>214</v>
      </c>
      <c r="P7169" s="30" t="s">
        <v>14073</v>
      </c>
      <c r="Q7169" t="s">
        <v>623</v>
      </c>
      <c r="R7169" t="s">
        <v>920</v>
      </c>
      <c r="S7169">
        <v>39</v>
      </c>
      <c r="T7169" s="29" t="str">
        <f t="shared" si="310"/>
        <v>2023.015F.Ghabrivirales_reorg.zip</v>
      </c>
      <c r="U7169" s="29" t="str">
        <f>HYPERLINK("https://ictv.global/taxonomy/taxondetails?taxnode_id=202305318","ictv.global=202305318")</f>
        <v>ictv.global=202305318</v>
      </c>
    </row>
    <row r="7170" spans="1:21">
      <c r="A7170">
        <v>7169</v>
      </c>
      <c r="B7170" s="30" t="s">
        <v>1226</v>
      </c>
      <c r="D7170" s="30" t="s">
        <v>2024</v>
      </c>
      <c r="F7170" s="30" t="s">
        <v>2025</v>
      </c>
      <c r="H7170" s="30" t="s">
        <v>2026</v>
      </c>
      <c r="J7170" s="30" t="s">
        <v>2027</v>
      </c>
      <c r="K7170" s="30" t="s">
        <v>13980</v>
      </c>
      <c r="L7170" s="30" t="s">
        <v>14027</v>
      </c>
      <c r="N7170" s="30" t="s">
        <v>214</v>
      </c>
      <c r="P7170" s="30" t="s">
        <v>14074</v>
      </c>
      <c r="Q7170" t="s">
        <v>623</v>
      </c>
      <c r="R7170" t="s">
        <v>920</v>
      </c>
      <c r="S7170">
        <v>39</v>
      </c>
      <c r="T7170" s="29" t="str">
        <f t="shared" si="310"/>
        <v>2023.015F.Ghabrivirales_reorg.zip</v>
      </c>
      <c r="U7170" s="29" t="str">
        <f>HYPERLINK("https://ictv.global/taxonomy/taxondetails?taxnode_id=202305311","ictv.global=202305311")</f>
        <v>ictv.global=202305311</v>
      </c>
    </row>
    <row r="7171" spans="1:21">
      <c r="A7171">
        <v>7170</v>
      </c>
      <c r="B7171" s="30" t="s">
        <v>1226</v>
      </c>
      <c r="D7171" s="30" t="s">
        <v>2024</v>
      </c>
      <c r="F7171" s="30" t="s">
        <v>2025</v>
      </c>
      <c r="H7171" s="30" t="s">
        <v>2026</v>
      </c>
      <c r="J7171" s="30" t="s">
        <v>2027</v>
      </c>
      <c r="K7171" s="30" t="s">
        <v>13980</v>
      </c>
      <c r="L7171" s="30" t="s">
        <v>526</v>
      </c>
      <c r="N7171" s="30" t="s">
        <v>527</v>
      </c>
      <c r="P7171" s="30" t="s">
        <v>14075</v>
      </c>
      <c r="Q7171" t="s">
        <v>623</v>
      </c>
      <c r="R7171" t="s">
        <v>920</v>
      </c>
      <c r="S7171">
        <v>39</v>
      </c>
      <c r="T7171" s="29" t="str">
        <f t="shared" ref="T7171:T7202" si="311">HYPERLINK("https://ictv.global/ictv/proposals/2023.015F.Ghabrivirales_reorg.zip","2023.015F.Ghabrivirales_reorg.zip")</f>
        <v>2023.015F.Ghabrivirales_reorg.zip</v>
      </c>
      <c r="U7171" s="29" t="str">
        <f>HYPERLINK("https://ictv.global/taxonomy/taxondetails?taxnode_id=202304870","ictv.global=202304870")</f>
        <v>ictv.global=202304870</v>
      </c>
    </row>
    <row r="7172" spans="1:21">
      <c r="A7172">
        <v>7171</v>
      </c>
      <c r="B7172" s="30" t="s">
        <v>1226</v>
      </c>
      <c r="D7172" s="30" t="s">
        <v>2024</v>
      </c>
      <c r="F7172" s="30" t="s">
        <v>2025</v>
      </c>
      <c r="H7172" s="30" t="s">
        <v>2026</v>
      </c>
      <c r="J7172" s="30" t="s">
        <v>2027</v>
      </c>
      <c r="K7172" s="30" t="s">
        <v>13980</v>
      </c>
      <c r="L7172" s="30" t="s">
        <v>526</v>
      </c>
      <c r="N7172" s="30" t="s">
        <v>527</v>
      </c>
      <c r="P7172" s="30" t="s">
        <v>14076</v>
      </c>
      <c r="Q7172" t="s">
        <v>623</v>
      </c>
      <c r="R7172" t="s">
        <v>917</v>
      </c>
      <c r="S7172">
        <v>39</v>
      </c>
      <c r="T7172" s="29" t="str">
        <f t="shared" si="311"/>
        <v>2023.015F.Ghabrivirales_reorg.zip</v>
      </c>
      <c r="U7172" s="29" t="str">
        <f>HYPERLINK("https://ictv.global/taxonomy/taxondetails?taxnode_id=202318185","ictv.global=202318185")</f>
        <v>ictv.global=202318185</v>
      </c>
    </row>
    <row r="7173" spans="1:21">
      <c r="A7173">
        <v>7172</v>
      </c>
      <c r="B7173" s="30" t="s">
        <v>1226</v>
      </c>
      <c r="D7173" s="30" t="s">
        <v>2024</v>
      </c>
      <c r="F7173" s="30" t="s">
        <v>2025</v>
      </c>
      <c r="H7173" s="30" t="s">
        <v>2026</v>
      </c>
      <c r="J7173" s="30" t="s">
        <v>2027</v>
      </c>
      <c r="K7173" s="30" t="s">
        <v>13980</v>
      </c>
      <c r="L7173" s="30" t="s">
        <v>526</v>
      </c>
      <c r="N7173" s="30" t="s">
        <v>527</v>
      </c>
      <c r="P7173" s="30" t="s">
        <v>14077</v>
      </c>
      <c r="Q7173" t="s">
        <v>623</v>
      </c>
      <c r="R7173" t="s">
        <v>917</v>
      </c>
      <c r="S7173">
        <v>39</v>
      </c>
      <c r="T7173" s="29" t="str">
        <f t="shared" si="311"/>
        <v>2023.015F.Ghabrivirales_reorg.zip</v>
      </c>
      <c r="U7173" s="29" t="str">
        <f>HYPERLINK("https://ictv.global/taxonomy/taxondetails?taxnode_id=202318186","ictv.global=202318186")</f>
        <v>ictv.global=202318186</v>
      </c>
    </row>
    <row r="7174" spans="1:21">
      <c r="A7174">
        <v>7173</v>
      </c>
      <c r="B7174" s="30" t="s">
        <v>1226</v>
      </c>
      <c r="D7174" s="30" t="s">
        <v>2024</v>
      </c>
      <c r="F7174" s="30" t="s">
        <v>2025</v>
      </c>
      <c r="H7174" s="30" t="s">
        <v>2026</v>
      </c>
      <c r="J7174" s="30" t="s">
        <v>2027</v>
      </c>
      <c r="K7174" s="30" t="s">
        <v>13980</v>
      </c>
      <c r="L7174" s="30" t="s">
        <v>14078</v>
      </c>
      <c r="N7174" s="30" t="s">
        <v>14079</v>
      </c>
      <c r="P7174" s="30" t="s">
        <v>14080</v>
      </c>
      <c r="Q7174" t="s">
        <v>623</v>
      </c>
      <c r="R7174" t="s">
        <v>917</v>
      </c>
      <c r="S7174">
        <v>39</v>
      </c>
      <c r="T7174" s="29" t="str">
        <f t="shared" si="311"/>
        <v>2023.015F.Ghabrivirales_reorg.zip</v>
      </c>
      <c r="U7174" s="29" t="str">
        <f>HYPERLINK("https://ictv.global/taxonomy/taxondetails?taxnode_id=202318187","ictv.global=202318187")</f>
        <v>ictv.global=202318187</v>
      </c>
    </row>
    <row r="7175" spans="1:21">
      <c r="A7175">
        <v>7174</v>
      </c>
      <c r="B7175" s="30" t="s">
        <v>1226</v>
      </c>
      <c r="D7175" s="30" t="s">
        <v>2024</v>
      </c>
      <c r="F7175" s="30" t="s">
        <v>2025</v>
      </c>
      <c r="H7175" s="30" t="s">
        <v>2026</v>
      </c>
      <c r="J7175" s="30" t="s">
        <v>2027</v>
      </c>
      <c r="K7175" s="30" t="s">
        <v>13980</v>
      </c>
      <c r="L7175" s="30" t="s">
        <v>14078</v>
      </c>
      <c r="N7175" s="30" t="s">
        <v>14079</v>
      </c>
      <c r="P7175" s="30" t="s">
        <v>14081</v>
      </c>
      <c r="Q7175" t="s">
        <v>623</v>
      </c>
      <c r="R7175" t="s">
        <v>917</v>
      </c>
      <c r="S7175">
        <v>39</v>
      </c>
      <c r="T7175" s="29" t="str">
        <f t="shared" si="311"/>
        <v>2023.015F.Ghabrivirales_reorg.zip</v>
      </c>
      <c r="U7175" s="29" t="str">
        <f>HYPERLINK("https://ictv.global/taxonomy/taxondetails?taxnode_id=202318188","ictv.global=202318188")</f>
        <v>ictv.global=202318188</v>
      </c>
    </row>
    <row r="7176" spans="1:21">
      <c r="A7176">
        <v>7175</v>
      </c>
      <c r="B7176" s="30" t="s">
        <v>1226</v>
      </c>
      <c r="D7176" s="30" t="s">
        <v>2024</v>
      </c>
      <c r="F7176" s="30" t="s">
        <v>2025</v>
      </c>
      <c r="H7176" s="30" t="s">
        <v>2026</v>
      </c>
      <c r="J7176" s="30" t="s">
        <v>2027</v>
      </c>
      <c r="K7176" s="30" t="s">
        <v>13980</v>
      </c>
      <c r="L7176" s="30" t="s">
        <v>14078</v>
      </c>
      <c r="N7176" s="30" t="s">
        <v>14079</v>
      </c>
      <c r="P7176" s="30" t="s">
        <v>14082</v>
      </c>
      <c r="Q7176" t="s">
        <v>623</v>
      </c>
      <c r="R7176" t="s">
        <v>917</v>
      </c>
      <c r="S7176">
        <v>39</v>
      </c>
      <c r="T7176" s="29" t="str">
        <f t="shared" si="311"/>
        <v>2023.015F.Ghabrivirales_reorg.zip</v>
      </c>
      <c r="U7176" s="29" t="str">
        <f>HYPERLINK("https://ictv.global/taxonomy/taxondetails?taxnode_id=202318189","ictv.global=202318189")</f>
        <v>ictv.global=202318189</v>
      </c>
    </row>
    <row r="7177" spans="1:21">
      <c r="A7177">
        <v>7176</v>
      </c>
      <c r="B7177" s="30" t="s">
        <v>1226</v>
      </c>
      <c r="D7177" s="30" t="s">
        <v>2024</v>
      </c>
      <c r="F7177" s="30" t="s">
        <v>2025</v>
      </c>
      <c r="H7177" s="30" t="s">
        <v>2026</v>
      </c>
      <c r="J7177" s="30" t="s">
        <v>2027</v>
      </c>
      <c r="K7177" s="30" t="s">
        <v>13980</v>
      </c>
      <c r="L7177" s="30" t="s">
        <v>14078</v>
      </c>
      <c r="N7177" s="30" t="s">
        <v>14079</v>
      </c>
      <c r="P7177" s="30" t="s">
        <v>14083</v>
      </c>
      <c r="Q7177" t="s">
        <v>623</v>
      </c>
      <c r="R7177" t="s">
        <v>917</v>
      </c>
      <c r="S7177">
        <v>39</v>
      </c>
      <c r="T7177" s="29" t="str">
        <f t="shared" si="311"/>
        <v>2023.015F.Ghabrivirales_reorg.zip</v>
      </c>
      <c r="U7177" s="29" t="str">
        <f>HYPERLINK("https://ictv.global/taxonomy/taxondetails?taxnode_id=202318190","ictv.global=202318190")</f>
        <v>ictv.global=202318190</v>
      </c>
    </row>
    <row r="7178" spans="1:21">
      <c r="A7178">
        <v>7177</v>
      </c>
      <c r="B7178" s="30" t="s">
        <v>1226</v>
      </c>
      <c r="D7178" s="30" t="s">
        <v>2024</v>
      </c>
      <c r="F7178" s="30" t="s">
        <v>2025</v>
      </c>
      <c r="H7178" s="30" t="s">
        <v>2026</v>
      </c>
      <c r="J7178" s="30" t="s">
        <v>2027</v>
      </c>
      <c r="K7178" s="30" t="s">
        <v>13980</v>
      </c>
      <c r="L7178" s="30" t="s">
        <v>14078</v>
      </c>
      <c r="N7178" s="30" t="s">
        <v>14079</v>
      </c>
      <c r="P7178" s="30" t="s">
        <v>14084</v>
      </c>
      <c r="Q7178" t="s">
        <v>623</v>
      </c>
      <c r="R7178" t="s">
        <v>917</v>
      </c>
      <c r="S7178">
        <v>39</v>
      </c>
      <c r="T7178" s="29" t="str">
        <f t="shared" si="311"/>
        <v>2023.015F.Ghabrivirales_reorg.zip</v>
      </c>
      <c r="U7178" s="29" t="str">
        <f>HYPERLINK("https://ictv.global/taxonomy/taxondetails?taxnode_id=202318191","ictv.global=202318191")</f>
        <v>ictv.global=202318191</v>
      </c>
    </row>
    <row r="7179" spans="1:21">
      <c r="A7179">
        <v>7178</v>
      </c>
      <c r="B7179" s="30" t="s">
        <v>1226</v>
      </c>
      <c r="D7179" s="30" t="s">
        <v>2024</v>
      </c>
      <c r="F7179" s="30" t="s">
        <v>2025</v>
      </c>
      <c r="H7179" s="30" t="s">
        <v>2026</v>
      </c>
      <c r="J7179" s="30" t="s">
        <v>2027</v>
      </c>
      <c r="K7179" s="30" t="s">
        <v>13980</v>
      </c>
      <c r="L7179" s="30" t="s">
        <v>14078</v>
      </c>
      <c r="N7179" s="30" t="s">
        <v>14079</v>
      </c>
      <c r="P7179" s="30" t="s">
        <v>14085</v>
      </c>
      <c r="Q7179" t="s">
        <v>623</v>
      </c>
      <c r="R7179" t="s">
        <v>917</v>
      </c>
      <c r="S7179">
        <v>39</v>
      </c>
      <c r="T7179" s="29" t="str">
        <f t="shared" si="311"/>
        <v>2023.015F.Ghabrivirales_reorg.zip</v>
      </c>
      <c r="U7179" s="29" t="str">
        <f>HYPERLINK("https://ictv.global/taxonomy/taxondetails?taxnode_id=202318192","ictv.global=202318192")</f>
        <v>ictv.global=202318192</v>
      </c>
    </row>
    <row r="7180" spans="1:21">
      <c r="A7180">
        <v>7179</v>
      </c>
      <c r="B7180" s="30" t="s">
        <v>1226</v>
      </c>
      <c r="D7180" s="30" t="s">
        <v>2024</v>
      </c>
      <c r="F7180" s="30" t="s">
        <v>2025</v>
      </c>
      <c r="H7180" s="30" t="s">
        <v>2026</v>
      </c>
      <c r="J7180" s="30" t="s">
        <v>2027</v>
      </c>
      <c r="K7180" s="30" t="s">
        <v>13980</v>
      </c>
      <c r="L7180" s="30" t="s">
        <v>14078</v>
      </c>
      <c r="N7180" s="30" t="s">
        <v>14079</v>
      </c>
      <c r="P7180" s="30" t="s">
        <v>14086</v>
      </c>
      <c r="Q7180" t="s">
        <v>623</v>
      </c>
      <c r="R7180" t="s">
        <v>917</v>
      </c>
      <c r="S7180">
        <v>39</v>
      </c>
      <c r="T7180" s="29" t="str">
        <f t="shared" si="311"/>
        <v>2023.015F.Ghabrivirales_reorg.zip</v>
      </c>
      <c r="U7180" s="29" t="str">
        <f>HYPERLINK("https://ictv.global/taxonomy/taxondetails?taxnode_id=202318193","ictv.global=202318193")</f>
        <v>ictv.global=202318193</v>
      </c>
    </row>
    <row r="7181" spans="1:21">
      <c r="A7181">
        <v>7180</v>
      </c>
      <c r="B7181" s="30" t="s">
        <v>1226</v>
      </c>
      <c r="D7181" s="30" t="s">
        <v>2024</v>
      </c>
      <c r="F7181" s="30" t="s">
        <v>2025</v>
      </c>
      <c r="H7181" s="30" t="s">
        <v>2026</v>
      </c>
      <c r="J7181" s="30" t="s">
        <v>2027</v>
      </c>
      <c r="K7181" s="30" t="s">
        <v>13980</v>
      </c>
      <c r="L7181" s="30" t="s">
        <v>14078</v>
      </c>
      <c r="N7181" s="30" t="s">
        <v>14079</v>
      </c>
      <c r="P7181" s="30" t="s">
        <v>14087</v>
      </c>
      <c r="Q7181" t="s">
        <v>623</v>
      </c>
      <c r="R7181" t="s">
        <v>917</v>
      </c>
      <c r="S7181">
        <v>39</v>
      </c>
      <c r="T7181" s="29" t="str">
        <f t="shared" si="311"/>
        <v>2023.015F.Ghabrivirales_reorg.zip</v>
      </c>
      <c r="U7181" s="29" t="str">
        <f>HYPERLINK("https://ictv.global/taxonomy/taxondetails?taxnode_id=202318194","ictv.global=202318194")</f>
        <v>ictv.global=202318194</v>
      </c>
    </row>
    <row r="7182" spans="1:21">
      <c r="A7182">
        <v>7181</v>
      </c>
      <c r="B7182" s="30" t="s">
        <v>1226</v>
      </c>
      <c r="D7182" s="30" t="s">
        <v>2024</v>
      </c>
      <c r="F7182" s="30" t="s">
        <v>2025</v>
      </c>
      <c r="H7182" s="30" t="s">
        <v>2026</v>
      </c>
      <c r="J7182" s="30" t="s">
        <v>2027</v>
      </c>
      <c r="K7182" s="30" t="s">
        <v>13980</v>
      </c>
      <c r="L7182" s="30" t="s">
        <v>14078</v>
      </c>
      <c r="N7182" s="30" t="s">
        <v>14079</v>
      </c>
      <c r="P7182" s="30" t="s">
        <v>14088</v>
      </c>
      <c r="Q7182" t="s">
        <v>623</v>
      </c>
      <c r="R7182" t="s">
        <v>917</v>
      </c>
      <c r="S7182">
        <v>39</v>
      </c>
      <c r="T7182" s="29" t="str">
        <f t="shared" si="311"/>
        <v>2023.015F.Ghabrivirales_reorg.zip</v>
      </c>
      <c r="U7182" s="29" t="str">
        <f>HYPERLINK("https://ictv.global/taxonomy/taxondetails?taxnode_id=202318195","ictv.global=202318195")</f>
        <v>ictv.global=202318195</v>
      </c>
    </row>
    <row r="7183" spans="1:21">
      <c r="A7183">
        <v>7182</v>
      </c>
      <c r="B7183" s="30" t="s">
        <v>1226</v>
      </c>
      <c r="D7183" s="30" t="s">
        <v>2024</v>
      </c>
      <c r="F7183" s="30" t="s">
        <v>2025</v>
      </c>
      <c r="H7183" s="30" t="s">
        <v>2026</v>
      </c>
      <c r="J7183" s="30" t="s">
        <v>2027</v>
      </c>
      <c r="K7183" s="30" t="s">
        <v>13980</v>
      </c>
      <c r="L7183" s="30" t="s">
        <v>14078</v>
      </c>
      <c r="N7183" s="30" t="s">
        <v>14079</v>
      </c>
      <c r="P7183" s="30" t="s">
        <v>14089</v>
      </c>
      <c r="Q7183" t="s">
        <v>623</v>
      </c>
      <c r="R7183" t="s">
        <v>917</v>
      </c>
      <c r="S7183">
        <v>39</v>
      </c>
      <c r="T7183" s="29" t="str">
        <f t="shared" si="311"/>
        <v>2023.015F.Ghabrivirales_reorg.zip</v>
      </c>
      <c r="U7183" s="29" t="str">
        <f>HYPERLINK("https://ictv.global/taxonomy/taxondetails?taxnode_id=202318196","ictv.global=202318196")</f>
        <v>ictv.global=202318196</v>
      </c>
    </row>
    <row r="7184" spans="1:21">
      <c r="A7184">
        <v>7183</v>
      </c>
      <c r="B7184" s="30" t="s">
        <v>1226</v>
      </c>
      <c r="D7184" s="30" t="s">
        <v>2024</v>
      </c>
      <c r="F7184" s="30" t="s">
        <v>2025</v>
      </c>
      <c r="H7184" s="30" t="s">
        <v>2026</v>
      </c>
      <c r="J7184" s="30" t="s">
        <v>2027</v>
      </c>
      <c r="K7184" s="30" t="s">
        <v>13980</v>
      </c>
      <c r="L7184" s="30" t="s">
        <v>14078</v>
      </c>
      <c r="N7184" s="30" t="s">
        <v>14079</v>
      </c>
      <c r="P7184" s="30" t="s">
        <v>14090</v>
      </c>
      <c r="Q7184" t="s">
        <v>623</v>
      </c>
      <c r="R7184" t="s">
        <v>917</v>
      </c>
      <c r="S7184">
        <v>39</v>
      </c>
      <c r="T7184" s="29" t="str">
        <f t="shared" si="311"/>
        <v>2023.015F.Ghabrivirales_reorg.zip</v>
      </c>
      <c r="U7184" s="29" t="str">
        <f>HYPERLINK("https://ictv.global/taxonomy/taxondetails?taxnode_id=202318197","ictv.global=202318197")</f>
        <v>ictv.global=202318197</v>
      </c>
    </row>
    <row r="7185" spans="1:21">
      <c r="A7185">
        <v>7184</v>
      </c>
      <c r="B7185" s="30" t="s">
        <v>1226</v>
      </c>
      <c r="D7185" s="30" t="s">
        <v>2024</v>
      </c>
      <c r="F7185" s="30" t="s">
        <v>2025</v>
      </c>
      <c r="H7185" s="30" t="s">
        <v>2026</v>
      </c>
      <c r="J7185" s="30" t="s">
        <v>2027</v>
      </c>
      <c r="K7185" s="30" t="s">
        <v>13980</v>
      </c>
      <c r="L7185" s="30" t="s">
        <v>14078</v>
      </c>
      <c r="N7185" s="30" t="s">
        <v>14079</v>
      </c>
      <c r="P7185" s="30" t="s">
        <v>14091</v>
      </c>
      <c r="Q7185" t="s">
        <v>623</v>
      </c>
      <c r="R7185" t="s">
        <v>917</v>
      </c>
      <c r="S7185">
        <v>39</v>
      </c>
      <c r="T7185" s="29" t="str">
        <f t="shared" si="311"/>
        <v>2023.015F.Ghabrivirales_reorg.zip</v>
      </c>
      <c r="U7185" s="29" t="str">
        <f>HYPERLINK("https://ictv.global/taxonomy/taxondetails?taxnode_id=202318198","ictv.global=202318198")</f>
        <v>ictv.global=202318198</v>
      </c>
    </row>
    <row r="7186" spans="1:21">
      <c r="A7186">
        <v>7185</v>
      </c>
      <c r="B7186" s="30" t="s">
        <v>1226</v>
      </c>
      <c r="D7186" s="30" t="s">
        <v>2024</v>
      </c>
      <c r="F7186" s="30" t="s">
        <v>2025</v>
      </c>
      <c r="H7186" s="30" t="s">
        <v>2026</v>
      </c>
      <c r="J7186" s="30" t="s">
        <v>2027</v>
      </c>
      <c r="K7186" s="30" t="s">
        <v>13980</v>
      </c>
      <c r="L7186" s="30" t="s">
        <v>14078</v>
      </c>
      <c r="N7186" s="30" t="s">
        <v>14079</v>
      </c>
      <c r="P7186" s="30" t="s">
        <v>14092</v>
      </c>
      <c r="Q7186" t="s">
        <v>623</v>
      </c>
      <c r="R7186" t="s">
        <v>917</v>
      </c>
      <c r="S7186">
        <v>39</v>
      </c>
      <c r="T7186" s="29" t="str">
        <f t="shared" si="311"/>
        <v>2023.015F.Ghabrivirales_reorg.zip</v>
      </c>
      <c r="U7186" s="29" t="str">
        <f>HYPERLINK("https://ictv.global/taxonomy/taxondetails?taxnode_id=202318199","ictv.global=202318199")</f>
        <v>ictv.global=202318199</v>
      </c>
    </row>
    <row r="7187" spans="1:21">
      <c r="A7187">
        <v>7186</v>
      </c>
      <c r="B7187" s="30" t="s">
        <v>1226</v>
      </c>
      <c r="D7187" s="30" t="s">
        <v>2024</v>
      </c>
      <c r="F7187" s="30" t="s">
        <v>2025</v>
      </c>
      <c r="H7187" s="30" t="s">
        <v>2026</v>
      </c>
      <c r="J7187" s="30" t="s">
        <v>2027</v>
      </c>
      <c r="K7187" s="30" t="s">
        <v>14093</v>
      </c>
      <c r="L7187" s="30" t="s">
        <v>14094</v>
      </c>
      <c r="N7187" s="30" t="s">
        <v>14095</v>
      </c>
      <c r="P7187" s="30" t="s">
        <v>14096</v>
      </c>
      <c r="Q7187" t="s">
        <v>623</v>
      </c>
      <c r="R7187" t="s">
        <v>917</v>
      </c>
      <c r="S7187">
        <v>39</v>
      </c>
      <c r="T7187" s="29" t="str">
        <f t="shared" si="311"/>
        <v>2023.015F.Ghabrivirales_reorg.zip</v>
      </c>
      <c r="U7187" s="29" t="str">
        <f>HYPERLINK("https://ictv.global/taxonomy/taxondetails?taxnode_id=202318200","ictv.global=202318200")</f>
        <v>ictv.global=202318200</v>
      </c>
    </row>
    <row r="7188" spans="1:21">
      <c r="A7188">
        <v>7187</v>
      </c>
      <c r="B7188" s="30" t="s">
        <v>1226</v>
      </c>
      <c r="D7188" s="30" t="s">
        <v>2024</v>
      </c>
      <c r="F7188" s="30" t="s">
        <v>2025</v>
      </c>
      <c r="H7188" s="30" t="s">
        <v>2026</v>
      </c>
      <c r="J7188" s="30" t="s">
        <v>2027</v>
      </c>
      <c r="K7188" s="30" t="s">
        <v>14093</v>
      </c>
      <c r="L7188" s="30" t="s">
        <v>14094</v>
      </c>
      <c r="N7188" s="30" t="s">
        <v>14095</v>
      </c>
      <c r="P7188" s="30" t="s">
        <v>14097</v>
      </c>
      <c r="Q7188" t="s">
        <v>623</v>
      </c>
      <c r="R7188" t="s">
        <v>917</v>
      </c>
      <c r="S7188">
        <v>39</v>
      </c>
      <c r="T7188" s="29" t="str">
        <f t="shared" si="311"/>
        <v>2023.015F.Ghabrivirales_reorg.zip</v>
      </c>
      <c r="U7188" s="29" t="str">
        <f>HYPERLINK("https://ictv.global/taxonomy/taxondetails?taxnode_id=202318201","ictv.global=202318201")</f>
        <v>ictv.global=202318201</v>
      </c>
    </row>
    <row r="7189" spans="1:21">
      <c r="A7189">
        <v>7188</v>
      </c>
      <c r="B7189" s="30" t="s">
        <v>1226</v>
      </c>
      <c r="D7189" s="30" t="s">
        <v>2024</v>
      </c>
      <c r="F7189" s="30" t="s">
        <v>2025</v>
      </c>
      <c r="H7189" s="30" t="s">
        <v>2026</v>
      </c>
      <c r="J7189" s="30" t="s">
        <v>2027</v>
      </c>
      <c r="K7189" s="30" t="s">
        <v>14093</v>
      </c>
      <c r="L7189" s="30" t="s">
        <v>14094</v>
      </c>
      <c r="N7189" s="30" t="s">
        <v>14095</v>
      </c>
      <c r="P7189" s="30" t="s">
        <v>14098</v>
      </c>
      <c r="Q7189" t="s">
        <v>623</v>
      </c>
      <c r="R7189" t="s">
        <v>917</v>
      </c>
      <c r="S7189">
        <v>39</v>
      </c>
      <c r="T7189" s="29" t="str">
        <f t="shared" si="311"/>
        <v>2023.015F.Ghabrivirales_reorg.zip</v>
      </c>
      <c r="U7189" s="29" t="str">
        <f>HYPERLINK("https://ictv.global/taxonomy/taxondetails?taxnode_id=202318202","ictv.global=202318202")</f>
        <v>ictv.global=202318202</v>
      </c>
    </row>
    <row r="7190" spans="1:21">
      <c r="A7190">
        <v>7189</v>
      </c>
      <c r="B7190" s="30" t="s">
        <v>1226</v>
      </c>
      <c r="D7190" s="30" t="s">
        <v>2024</v>
      </c>
      <c r="F7190" s="30" t="s">
        <v>2025</v>
      </c>
      <c r="H7190" s="30" t="s">
        <v>2026</v>
      </c>
      <c r="J7190" s="30" t="s">
        <v>2027</v>
      </c>
      <c r="K7190" s="30" t="s">
        <v>14093</v>
      </c>
      <c r="L7190" s="30" t="s">
        <v>14094</v>
      </c>
      <c r="N7190" s="30" t="s">
        <v>14095</v>
      </c>
      <c r="P7190" s="30" t="s">
        <v>14099</v>
      </c>
      <c r="Q7190" t="s">
        <v>623</v>
      </c>
      <c r="R7190" t="s">
        <v>917</v>
      </c>
      <c r="S7190">
        <v>39</v>
      </c>
      <c r="T7190" s="29" t="str">
        <f t="shared" si="311"/>
        <v>2023.015F.Ghabrivirales_reorg.zip</v>
      </c>
      <c r="U7190" s="29" t="str">
        <f>HYPERLINK("https://ictv.global/taxonomy/taxondetails?taxnode_id=202318203","ictv.global=202318203")</f>
        <v>ictv.global=202318203</v>
      </c>
    </row>
    <row r="7191" spans="1:21">
      <c r="A7191">
        <v>7190</v>
      </c>
      <c r="B7191" s="30" t="s">
        <v>1226</v>
      </c>
      <c r="D7191" s="30" t="s">
        <v>2024</v>
      </c>
      <c r="F7191" s="30" t="s">
        <v>2025</v>
      </c>
      <c r="H7191" s="30" t="s">
        <v>2026</v>
      </c>
      <c r="J7191" s="30" t="s">
        <v>2027</v>
      </c>
      <c r="K7191" s="30" t="s">
        <v>14093</v>
      </c>
      <c r="L7191" s="30" t="s">
        <v>14094</v>
      </c>
      <c r="N7191" s="30" t="s">
        <v>14095</v>
      </c>
      <c r="P7191" s="30" t="s">
        <v>14100</v>
      </c>
      <c r="Q7191" t="s">
        <v>623</v>
      </c>
      <c r="R7191" t="s">
        <v>917</v>
      </c>
      <c r="S7191">
        <v>39</v>
      </c>
      <c r="T7191" s="29" t="str">
        <f t="shared" si="311"/>
        <v>2023.015F.Ghabrivirales_reorg.zip</v>
      </c>
      <c r="U7191" s="29" t="str">
        <f>HYPERLINK("https://ictv.global/taxonomy/taxondetails?taxnode_id=202318204","ictv.global=202318204")</f>
        <v>ictv.global=202318204</v>
      </c>
    </row>
    <row r="7192" spans="1:21">
      <c r="A7192">
        <v>7191</v>
      </c>
      <c r="B7192" s="30" t="s">
        <v>1226</v>
      </c>
      <c r="D7192" s="30" t="s">
        <v>2024</v>
      </c>
      <c r="F7192" s="30" t="s">
        <v>2025</v>
      </c>
      <c r="H7192" s="30" t="s">
        <v>2026</v>
      </c>
      <c r="J7192" s="30" t="s">
        <v>2027</v>
      </c>
      <c r="K7192" s="30" t="s">
        <v>14093</v>
      </c>
      <c r="L7192" s="30" t="s">
        <v>14094</v>
      </c>
      <c r="N7192" s="30" t="s">
        <v>14095</v>
      </c>
      <c r="P7192" s="30" t="s">
        <v>14101</v>
      </c>
      <c r="Q7192" t="s">
        <v>623</v>
      </c>
      <c r="R7192" t="s">
        <v>917</v>
      </c>
      <c r="S7192">
        <v>39</v>
      </c>
      <c r="T7192" s="29" t="str">
        <f t="shared" si="311"/>
        <v>2023.015F.Ghabrivirales_reorg.zip</v>
      </c>
      <c r="U7192" s="29" t="str">
        <f>HYPERLINK("https://ictv.global/taxonomy/taxondetails?taxnode_id=202318205","ictv.global=202318205")</f>
        <v>ictv.global=202318205</v>
      </c>
    </row>
    <row r="7193" spans="1:21">
      <c r="A7193">
        <v>7192</v>
      </c>
      <c r="B7193" s="30" t="s">
        <v>1226</v>
      </c>
      <c r="D7193" s="30" t="s">
        <v>2024</v>
      </c>
      <c r="F7193" s="30" t="s">
        <v>2025</v>
      </c>
      <c r="H7193" s="30" t="s">
        <v>2026</v>
      </c>
      <c r="J7193" s="30" t="s">
        <v>2027</v>
      </c>
      <c r="K7193" s="30" t="s">
        <v>14093</v>
      </c>
      <c r="L7193" s="30" t="s">
        <v>14094</v>
      </c>
      <c r="N7193" s="30" t="s">
        <v>14095</v>
      </c>
      <c r="P7193" s="30" t="s">
        <v>14102</v>
      </c>
      <c r="Q7193" t="s">
        <v>623</v>
      </c>
      <c r="R7193" t="s">
        <v>917</v>
      </c>
      <c r="S7193">
        <v>39</v>
      </c>
      <c r="T7193" s="29" t="str">
        <f t="shared" si="311"/>
        <v>2023.015F.Ghabrivirales_reorg.zip</v>
      </c>
      <c r="U7193" s="29" t="str">
        <f>HYPERLINK("https://ictv.global/taxonomy/taxondetails?taxnode_id=202318206","ictv.global=202318206")</f>
        <v>ictv.global=202318206</v>
      </c>
    </row>
    <row r="7194" spans="1:21">
      <c r="A7194">
        <v>7193</v>
      </c>
      <c r="B7194" s="30" t="s">
        <v>1226</v>
      </c>
      <c r="D7194" s="30" t="s">
        <v>2024</v>
      </c>
      <c r="F7194" s="30" t="s">
        <v>2025</v>
      </c>
      <c r="H7194" s="30" t="s">
        <v>2026</v>
      </c>
      <c r="J7194" s="30" t="s">
        <v>2027</v>
      </c>
      <c r="K7194" s="30" t="s">
        <v>14093</v>
      </c>
      <c r="L7194" s="30" t="s">
        <v>14094</v>
      </c>
      <c r="N7194" s="30" t="s">
        <v>14095</v>
      </c>
      <c r="P7194" s="30" t="s">
        <v>14103</v>
      </c>
      <c r="Q7194" t="s">
        <v>623</v>
      </c>
      <c r="R7194" t="s">
        <v>917</v>
      </c>
      <c r="S7194">
        <v>39</v>
      </c>
      <c r="T7194" s="29" t="str">
        <f t="shared" si="311"/>
        <v>2023.015F.Ghabrivirales_reorg.zip</v>
      </c>
      <c r="U7194" s="29" t="str">
        <f>HYPERLINK("https://ictv.global/taxonomy/taxondetails?taxnode_id=202318207","ictv.global=202318207")</f>
        <v>ictv.global=202318207</v>
      </c>
    </row>
    <row r="7195" spans="1:21">
      <c r="A7195">
        <v>7194</v>
      </c>
      <c r="B7195" s="30" t="s">
        <v>1226</v>
      </c>
      <c r="D7195" s="30" t="s">
        <v>2024</v>
      </c>
      <c r="F7195" s="30" t="s">
        <v>2025</v>
      </c>
      <c r="H7195" s="30" t="s">
        <v>2026</v>
      </c>
      <c r="J7195" s="30" t="s">
        <v>2027</v>
      </c>
      <c r="K7195" s="30" t="s">
        <v>14093</v>
      </c>
      <c r="L7195" s="30" t="s">
        <v>14094</v>
      </c>
      <c r="N7195" s="30" t="s">
        <v>14095</v>
      </c>
      <c r="P7195" s="30" t="s">
        <v>14104</v>
      </c>
      <c r="Q7195" t="s">
        <v>623</v>
      </c>
      <c r="R7195" t="s">
        <v>917</v>
      </c>
      <c r="S7195">
        <v>39</v>
      </c>
      <c r="T7195" s="29" t="str">
        <f t="shared" si="311"/>
        <v>2023.015F.Ghabrivirales_reorg.zip</v>
      </c>
      <c r="U7195" s="29" t="str">
        <f>HYPERLINK("https://ictv.global/taxonomy/taxondetails?taxnode_id=202318208","ictv.global=202318208")</f>
        <v>ictv.global=202318208</v>
      </c>
    </row>
    <row r="7196" spans="1:21">
      <c r="A7196">
        <v>7195</v>
      </c>
      <c r="B7196" s="30" t="s">
        <v>1226</v>
      </c>
      <c r="D7196" s="30" t="s">
        <v>2024</v>
      </c>
      <c r="F7196" s="30" t="s">
        <v>2025</v>
      </c>
      <c r="H7196" s="30" t="s">
        <v>2026</v>
      </c>
      <c r="J7196" s="30" t="s">
        <v>2027</v>
      </c>
      <c r="K7196" s="30" t="s">
        <v>14093</v>
      </c>
      <c r="L7196" s="30" t="s">
        <v>14105</v>
      </c>
      <c r="N7196" s="30" t="s">
        <v>452</v>
      </c>
      <c r="P7196" s="30" t="s">
        <v>14106</v>
      </c>
      <c r="Q7196" t="s">
        <v>623</v>
      </c>
      <c r="R7196" t="s">
        <v>920</v>
      </c>
      <c r="S7196">
        <v>39</v>
      </c>
      <c r="T7196" s="29" t="str">
        <f t="shared" si="311"/>
        <v>2023.015F.Ghabrivirales_reorg.zip</v>
      </c>
      <c r="U7196" s="29" t="str">
        <f>HYPERLINK("https://ictv.global/taxonomy/taxondetails?taxnode_id=202305288","ictv.global=202305288")</f>
        <v>ictv.global=202305288</v>
      </c>
    </row>
    <row r="7197" spans="1:21">
      <c r="A7197">
        <v>7196</v>
      </c>
      <c r="B7197" s="30" t="s">
        <v>1226</v>
      </c>
      <c r="D7197" s="30" t="s">
        <v>2024</v>
      </c>
      <c r="F7197" s="30" t="s">
        <v>2025</v>
      </c>
      <c r="H7197" s="30" t="s">
        <v>2026</v>
      </c>
      <c r="J7197" s="30" t="s">
        <v>2027</v>
      </c>
      <c r="K7197" s="30" t="s">
        <v>14093</v>
      </c>
      <c r="L7197" s="30" t="s">
        <v>14107</v>
      </c>
      <c r="N7197" s="30" t="s">
        <v>14108</v>
      </c>
      <c r="P7197" s="30" t="s">
        <v>14109</v>
      </c>
      <c r="Q7197" t="s">
        <v>623</v>
      </c>
      <c r="R7197" t="s">
        <v>917</v>
      </c>
      <c r="S7197">
        <v>39</v>
      </c>
      <c r="T7197" s="29" t="str">
        <f t="shared" si="311"/>
        <v>2023.015F.Ghabrivirales_reorg.zip</v>
      </c>
      <c r="U7197" s="29" t="str">
        <f>HYPERLINK("https://ictv.global/taxonomy/taxondetails?taxnode_id=202318209","ictv.global=202318209")</f>
        <v>ictv.global=202318209</v>
      </c>
    </row>
    <row r="7198" spans="1:21">
      <c r="A7198">
        <v>7197</v>
      </c>
      <c r="B7198" s="30" t="s">
        <v>1226</v>
      </c>
      <c r="D7198" s="30" t="s">
        <v>2024</v>
      </c>
      <c r="F7198" s="30" t="s">
        <v>2025</v>
      </c>
      <c r="H7198" s="30" t="s">
        <v>2026</v>
      </c>
      <c r="J7198" s="30" t="s">
        <v>2027</v>
      </c>
      <c r="K7198" s="30" t="s">
        <v>14093</v>
      </c>
      <c r="L7198" s="30" t="s">
        <v>14107</v>
      </c>
      <c r="N7198" s="30" t="s">
        <v>14108</v>
      </c>
      <c r="P7198" s="30" t="s">
        <v>14110</v>
      </c>
      <c r="Q7198" t="s">
        <v>623</v>
      </c>
      <c r="R7198" t="s">
        <v>917</v>
      </c>
      <c r="S7198">
        <v>39</v>
      </c>
      <c r="T7198" s="29" t="str">
        <f t="shared" si="311"/>
        <v>2023.015F.Ghabrivirales_reorg.zip</v>
      </c>
      <c r="U7198" s="29" t="str">
        <f>HYPERLINK("https://ictv.global/taxonomy/taxondetails?taxnode_id=202318210","ictv.global=202318210")</f>
        <v>ictv.global=202318210</v>
      </c>
    </row>
    <row r="7199" spans="1:21">
      <c r="A7199">
        <v>7198</v>
      </c>
      <c r="B7199" s="30" t="s">
        <v>1226</v>
      </c>
      <c r="D7199" s="30" t="s">
        <v>2024</v>
      </c>
      <c r="F7199" s="30" t="s">
        <v>2025</v>
      </c>
      <c r="H7199" s="30" t="s">
        <v>2026</v>
      </c>
      <c r="J7199" s="30" t="s">
        <v>2027</v>
      </c>
      <c r="K7199" s="30" t="s">
        <v>14093</v>
      </c>
      <c r="L7199" s="30" t="s">
        <v>14107</v>
      </c>
      <c r="N7199" s="30" t="s">
        <v>14108</v>
      </c>
      <c r="P7199" s="30" t="s">
        <v>14111</v>
      </c>
      <c r="Q7199" t="s">
        <v>623</v>
      </c>
      <c r="R7199" t="s">
        <v>917</v>
      </c>
      <c r="S7199">
        <v>39</v>
      </c>
      <c r="T7199" s="29" t="str">
        <f t="shared" si="311"/>
        <v>2023.015F.Ghabrivirales_reorg.zip</v>
      </c>
      <c r="U7199" s="29" t="str">
        <f>HYPERLINK("https://ictv.global/taxonomy/taxondetails?taxnode_id=202318211","ictv.global=202318211")</f>
        <v>ictv.global=202318211</v>
      </c>
    </row>
    <row r="7200" spans="1:21">
      <c r="A7200">
        <v>7199</v>
      </c>
      <c r="B7200" s="30" t="s">
        <v>1226</v>
      </c>
      <c r="D7200" s="30" t="s">
        <v>2024</v>
      </c>
      <c r="F7200" s="30" t="s">
        <v>2025</v>
      </c>
      <c r="H7200" s="30" t="s">
        <v>2026</v>
      </c>
      <c r="J7200" s="30" t="s">
        <v>2027</v>
      </c>
      <c r="K7200" s="30" t="s">
        <v>14093</v>
      </c>
      <c r="L7200" s="30" t="s">
        <v>14107</v>
      </c>
      <c r="N7200" s="30" t="s">
        <v>14108</v>
      </c>
      <c r="P7200" s="30" t="s">
        <v>14112</v>
      </c>
      <c r="Q7200" t="s">
        <v>623</v>
      </c>
      <c r="R7200" t="s">
        <v>917</v>
      </c>
      <c r="S7200">
        <v>39</v>
      </c>
      <c r="T7200" s="29" t="str">
        <f t="shared" si="311"/>
        <v>2023.015F.Ghabrivirales_reorg.zip</v>
      </c>
      <c r="U7200" s="29" t="str">
        <f>HYPERLINK("https://ictv.global/taxonomy/taxondetails?taxnode_id=202318212","ictv.global=202318212")</f>
        <v>ictv.global=202318212</v>
      </c>
    </row>
    <row r="7201" spans="1:21">
      <c r="A7201">
        <v>7200</v>
      </c>
      <c r="B7201" s="30" t="s">
        <v>1226</v>
      </c>
      <c r="D7201" s="30" t="s">
        <v>2024</v>
      </c>
      <c r="F7201" s="30" t="s">
        <v>2025</v>
      </c>
      <c r="H7201" s="30" t="s">
        <v>2026</v>
      </c>
      <c r="J7201" s="30" t="s">
        <v>2027</v>
      </c>
      <c r="K7201" s="30" t="s">
        <v>14093</v>
      </c>
      <c r="L7201" s="30" t="s">
        <v>14107</v>
      </c>
      <c r="N7201" s="30" t="s">
        <v>14108</v>
      </c>
      <c r="P7201" s="30" t="s">
        <v>14113</v>
      </c>
      <c r="Q7201" t="s">
        <v>623</v>
      </c>
      <c r="R7201" t="s">
        <v>917</v>
      </c>
      <c r="S7201">
        <v>39</v>
      </c>
      <c r="T7201" s="29" t="str">
        <f t="shared" si="311"/>
        <v>2023.015F.Ghabrivirales_reorg.zip</v>
      </c>
      <c r="U7201" s="29" t="str">
        <f>HYPERLINK("https://ictv.global/taxonomy/taxondetails?taxnode_id=202318213","ictv.global=202318213")</f>
        <v>ictv.global=202318213</v>
      </c>
    </row>
    <row r="7202" spans="1:21">
      <c r="A7202">
        <v>7201</v>
      </c>
      <c r="B7202" s="30" t="s">
        <v>1226</v>
      </c>
      <c r="D7202" s="30" t="s">
        <v>2024</v>
      </c>
      <c r="F7202" s="30" t="s">
        <v>2025</v>
      </c>
      <c r="H7202" s="30" t="s">
        <v>2026</v>
      </c>
      <c r="J7202" s="30" t="s">
        <v>2027</v>
      </c>
      <c r="K7202" s="30" t="s">
        <v>14093</v>
      </c>
      <c r="L7202" s="30" t="s">
        <v>14107</v>
      </c>
      <c r="N7202" s="30" t="s">
        <v>14108</v>
      </c>
      <c r="P7202" s="30" t="s">
        <v>14114</v>
      </c>
      <c r="Q7202" t="s">
        <v>623</v>
      </c>
      <c r="R7202" t="s">
        <v>917</v>
      </c>
      <c r="S7202">
        <v>39</v>
      </c>
      <c r="T7202" s="29" t="str">
        <f t="shared" si="311"/>
        <v>2023.015F.Ghabrivirales_reorg.zip</v>
      </c>
      <c r="U7202" s="29" t="str">
        <f>HYPERLINK("https://ictv.global/taxonomy/taxondetails?taxnode_id=202318214","ictv.global=202318214")</f>
        <v>ictv.global=202318214</v>
      </c>
    </row>
    <row r="7203" spans="1:21">
      <c r="A7203">
        <v>7202</v>
      </c>
      <c r="B7203" s="30" t="s">
        <v>1226</v>
      </c>
      <c r="D7203" s="30" t="s">
        <v>2024</v>
      </c>
      <c r="F7203" s="30" t="s">
        <v>2025</v>
      </c>
      <c r="H7203" s="30" t="s">
        <v>2026</v>
      </c>
      <c r="J7203" s="30" t="s">
        <v>2027</v>
      </c>
      <c r="K7203" s="30" t="s">
        <v>14093</v>
      </c>
      <c r="L7203" s="30" t="s">
        <v>14107</v>
      </c>
      <c r="N7203" s="30" t="s">
        <v>14108</v>
      </c>
      <c r="P7203" s="30" t="s">
        <v>14115</v>
      </c>
      <c r="Q7203" t="s">
        <v>623</v>
      </c>
      <c r="R7203" t="s">
        <v>917</v>
      </c>
      <c r="S7203">
        <v>39</v>
      </c>
      <c r="T7203" s="29" t="str">
        <f t="shared" ref="T7203:T7234" si="312">HYPERLINK("https://ictv.global/ictv/proposals/2023.015F.Ghabrivirales_reorg.zip","2023.015F.Ghabrivirales_reorg.zip")</f>
        <v>2023.015F.Ghabrivirales_reorg.zip</v>
      </c>
      <c r="U7203" s="29" t="str">
        <f>HYPERLINK("https://ictv.global/taxonomy/taxondetails?taxnode_id=202318215","ictv.global=202318215")</f>
        <v>ictv.global=202318215</v>
      </c>
    </row>
    <row r="7204" spans="1:21">
      <c r="A7204">
        <v>7203</v>
      </c>
      <c r="B7204" s="30" t="s">
        <v>1226</v>
      </c>
      <c r="D7204" s="30" t="s">
        <v>2024</v>
      </c>
      <c r="F7204" s="30" t="s">
        <v>2025</v>
      </c>
      <c r="H7204" s="30" t="s">
        <v>2026</v>
      </c>
      <c r="J7204" s="30" t="s">
        <v>2027</v>
      </c>
      <c r="K7204" s="30" t="s">
        <v>14093</v>
      </c>
      <c r="L7204" s="30" t="s">
        <v>14107</v>
      </c>
      <c r="N7204" s="30" t="s">
        <v>14108</v>
      </c>
      <c r="P7204" s="30" t="s">
        <v>14116</v>
      </c>
      <c r="Q7204" t="s">
        <v>623</v>
      </c>
      <c r="R7204" t="s">
        <v>917</v>
      </c>
      <c r="S7204">
        <v>39</v>
      </c>
      <c r="T7204" s="29" t="str">
        <f t="shared" si="312"/>
        <v>2023.015F.Ghabrivirales_reorg.zip</v>
      </c>
      <c r="U7204" s="29" t="str">
        <f>HYPERLINK("https://ictv.global/taxonomy/taxondetails?taxnode_id=202318216","ictv.global=202318216")</f>
        <v>ictv.global=202318216</v>
      </c>
    </row>
    <row r="7205" spans="1:21">
      <c r="A7205">
        <v>7204</v>
      </c>
      <c r="B7205" s="30" t="s">
        <v>1226</v>
      </c>
      <c r="D7205" s="30" t="s">
        <v>2024</v>
      </c>
      <c r="F7205" s="30" t="s">
        <v>2025</v>
      </c>
      <c r="H7205" s="30" t="s">
        <v>2026</v>
      </c>
      <c r="J7205" s="30" t="s">
        <v>2027</v>
      </c>
      <c r="K7205" s="30" t="s">
        <v>14093</v>
      </c>
      <c r="L7205" s="30" t="s">
        <v>14107</v>
      </c>
      <c r="N7205" s="30" t="s">
        <v>14108</v>
      </c>
      <c r="P7205" s="30" t="s">
        <v>14117</v>
      </c>
      <c r="Q7205" t="s">
        <v>623</v>
      </c>
      <c r="R7205" t="s">
        <v>917</v>
      </c>
      <c r="S7205">
        <v>39</v>
      </c>
      <c r="T7205" s="29" t="str">
        <f t="shared" si="312"/>
        <v>2023.015F.Ghabrivirales_reorg.zip</v>
      </c>
      <c r="U7205" s="29" t="str">
        <f>HYPERLINK("https://ictv.global/taxonomy/taxondetails?taxnode_id=202318217","ictv.global=202318217")</f>
        <v>ictv.global=202318217</v>
      </c>
    </row>
    <row r="7206" spans="1:21">
      <c r="A7206">
        <v>7205</v>
      </c>
      <c r="B7206" s="30" t="s">
        <v>1226</v>
      </c>
      <c r="D7206" s="30" t="s">
        <v>2024</v>
      </c>
      <c r="F7206" s="30" t="s">
        <v>2025</v>
      </c>
      <c r="H7206" s="30" t="s">
        <v>2026</v>
      </c>
      <c r="J7206" s="30" t="s">
        <v>2027</v>
      </c>
      <c r="K7206" s="30" t="s">
        <v>14093</v>
      </c>
      <c r="L7206" s="30" t="s">
        <v>14107</v>
      </c>
      <c r="N7206" s="30" t="s">
        <v>14108</v>
      </c>
      <c r="P7206" s="30" t="s">
        <v>14118</v>
      </c>
      <c r="Q7206" t="s">
        <v>623</v>
      </c>
      <c r="R7206" t="s">
        <v>917</v>
      </c>
      <c r="S7206">
        <v>39</v>
      </c>
      <c r="T7206" s="29" t="str">
        <f t="shared" si="312"/>
        <v>2023.015F.Ghabrivirales_reorg.zip</v>
      </c>
      <c r="U7206" s="29" t="str">
        <f>HYPERLINK("https://ictv.global/taxonomy/taxondetails?taxnode_id=202318218","ictv.global=202318218")</f>
        <v>ictv.global=202318218</v>
      </c>
    </row>
    <row r="7207" spans="1:21">
      <c r="A7207">
        <v>7206</v>
      </c>
      <c r="B7207" s="30" t="s">
        <v>1226</v>
      </c>
      <c r="D7207" s="30" t="s">
        <v>2024</v>
      </c>
      <c r="F7207" s="30" t="s">
        <v>2025</v>
      </c>
      <c r="H7207" s="30" t="s">
        <v>2026</v>
      </c>
      <c r="J7207" s="30" t="s">
        <v>2027</v>
      </c>
      <c r="K7207" s="30" t="s">
        <v>14093</v>
      </c>
      <c r="L7207" s="30" t="s">
        <v>14107</v>
      </c>
      <c r="N7207" s="30" t="s">
        <v>14108</v>
      </c>
      <c r="P7207" s="30" t="s">
        <v>14119</v>
      </c>
      <c r="Q7207" t="s">
        <v>623</v>
      </c>
      <c r="R7207" t="s">
        <v>917</v>
      </c>
      <c r="S7207">
        <v>39</v>
      </c>
      <c r="T7207" s="29" t="str">
        <f t="shared" si="312"/>
        <v>2023.015F.Ghabrivirales_reorg.zip</v>
      </c>
      <c r="U7207" s="29" t="str">
        <f>HYPERLINK("https://ictv.global/taxonomy/taxondetails?taxnode_id=202318219","ictv.global=202318219")</f>
        <v>ictv.global=202318219</v>
      </c>
    </row>
    <row r="7208" spans="1:21">
      <c r="A7208">
        <v>7207</v>
      </c>
      <c r="B7208" s="30" t="s">
        <v>1226</v>
      </c>
      <c r="D7208" s="30" t="s">
        <v>2024</v>
      </c>
      <c r="F7208" s="30" t="s">
        <v>2025</v>
      </c>
      <c r="H7208" s="30" t="s">
        <v>2026</v>
      </c>
      <c r="J7208" s="30" t="s">
        <v>2027</v>
      </c>
      <c r="K7208" s="30" t="s">
        <v>14093</v>
      </c>
      <c r="L7208" s="30" t="s">
        <v>14107</v>
      </c>
      <c r="N7208" s="30" t="s">
        <v>14108</v>
      </c>
      <c r="P7208" s="30" t="s">
        <v>14120</v>
      </c>
      <c r="Q7208" t="s">
        <v>623</v>
      </c>
      <c r="R7208" t="s">
        <v>917</v>
      </c>
      <c r="S7208">
        <v>39</v>
      </c>
      <c r="T7208" s="29" t="str">
        <f t="shared" si="312"/>
        <v>2023.015F.Ghabrivirales_reorg.zip</v>
      </c>
      <c r="U7208" s="29" t="str">
        <f>HYPERLINK("https://ictv.global/taxonomy/taxondetails?taxnode_id=202318220","ictv.global=202318220")</f>
        <v>ictv.global=202318220</v>
      </c>
    </row>
    <row r="7209" spans="1:21">
      <c r="A7209">
        <v>7208</v>
      </c>
      <c r="B7209" s="30" t="s">
        <v>1226</v>
      </c>
      <c r="D7209" s="30" t="s">
        <v>2024</v>
      </c>
      <c r="F7209" s="30" t="s">
        <v>2025</v>
      </c>
      <c r="H7209" s="30" t="s">
        <v>2026</v>
      </c>
      <c r="J7209" s="30" t="s">
        <v>2027</v>
      </c>
      <c r="K7209" s="30" t="s">
        <v>14093</v>
      </c>
      <c r="L7209" s="30" t="s">
        <v>14107</v>
      </c>
      <c r="N7209" s="30" t="s">
        <v>14108</v>
      </c>
      <c r="P7209" s="30" t="s">
        <v>14121</v>
      </c>
      <c r="Q7209" t="s">
        <v>623</v>
      </c>
      <c r="R7209" t="s">
        <v>917</v>
      </c>
      <c r="S7209">
        <v>39</v>
      </c>
      <c r="T7209" s="29" t="str">
        <f t="shared" si="312"/>
        <v>2023.015F.Ghabrivirales_reorg.zip</v>
      </c>
      <c r="U7209" s="29" t="str">
        <f>HYPERLINK("https://ictv.global/taxonomy/taxondetails?taxnode_id=202318221","ictv.global=202318221")</f>
        <v>ictv.global=202318221</v>
      </c>
    </row>
    <row r="7210" spans="1:21">
      <c r="A7210">
        <v>7209</v>
      </c>
      <c r="B7210" s="30" t="s">
        <v>1226</v>
      </c>
      <c r="D7210" s="30" t="s">
        <v>2024</v>
      </c>
      <c r="F7210" s="30" t="s">
        <v>2025</v>
      </c>
      <c r="H7210" s="30" t="s">
        <v>2026</v>
      </c>
      <c r="J7210" s="30" t="s">
        <v>2027</v>
      </c>
      <c r="K7210" s="30" t="s">
        <v>14093</v>
      </c>
      <c r="L7210" s="30" t="s">
        <v>14107</v>
      </c>
      <c r="N7210" s="30" t="s">
        <v>14108</v>
      </c>
      <c r="P7210" s="30" t="s">
        <v>14122</v>
      </c>
      <c r="Q7210" t="s">
        <v>623</v>
      </c>
      <c r="R7210" t="s">
        <v>917</v>
      </c>
      <c r="S7210">
        <v>39</v>
      </c>
      <c r="T7210" s="29" t="str">
        <f t="shared" si="312"/>
        <v>2023.015F.Ghabrivirales_reorg.zip</v>
      </c>
      <c r="U7210" s="29" t="str">
        <f>HYPERLINK("https://ictv.global/taxonomy/taxondetails?taxnode_id=202318222","ictv.global=202318222")</f>
        <v>ictv.global=202318222</v>
      </c>
    </row>
    <row r="7211" spans="1:21">
      <c r="A7211">
        <v>7210</v>
      </c>
      <c r="B7211" s="30" t="s">
        <v>1226</v>
      </c>
      <c r="D7211" s="30" t="s">
        <v>2024</v>
      </c>
      <c r="F7211" s="30" t="s">
        <v>2025</v>
      </c>
      <c r="H7211" s="30" t="s">
        <v>2026</v>
      </c>
      <c r="J7211" s="30" t="s">
        <v>2027</v>
      </c>
      <c r="K7211" s="30" t="s">
        <v>14093</v>
      </c>
      <c r="L7211" s="30" t="s">
        <v>14107</v>
      </c>
      <c r="N7211" s="30" t="s">
        <v>14108</v>
      </c>
      <c r="P7211" s="30" t="s">
        <v>14123</v>
      </c>
      <c r="Q7211" t="s">
        <v>623</v>
      </c>
      <c r="R7211" t="s">
        <v>917</v>
      </c>
      <c r="S7211">
        <v>39</v>
      </c>
      <c r="T7211" s="29" t="str">
        <f t="shared" si="312"/>
        <v>2023.015F.Ghabrivirales_reorg.zip</v>
      </c>
      <c r="U7211" s="29" t="str">
        <f>HYPERLINK("https://ictv.global/taxonomy/taxondetails?taxnode_id=202318223","ictv.global=202318223")</f>
        <v>ictv.global=202318223</v>
      </c>
    </row>
    <row r="7212" spans="1:21">
      <c r="A7212">
        <v>7211</v>
      </c>
      <c r="B7212" s="30" t="s">
        <v>1226</v>
      </c>
      <c r="D7212" s="30" t="s">
        <v>2024</v>
      </c>
      <c r="F7212" s="30" t="s">
        <v>2025</v>
      </c>
      <c r="H7212" s="30" t="s">
        <v>2026</v>
      </c>
      <c r="J7212" s="30" t="s">
        <v>2027</v>
      </c>
      <c r="K7212" s="30" t="s">
        <v>14093</v>
      </c>
      <c r="L7212" s="30" t="s">
        <v>14107</v>
      </c>
      <c r="N7212" s="30" t="s">
        <v>14108</v>
      </c>
      <c r="P7212" s="30" t="s">
        <v>14124</v>
      </c>
      <c r="Q7212" t="s">
        <v>623</v>
      </c>
      <c r="R7212" t="s">
        <v>917</v>
      </c>
      <c r="S7212">
        <v>39</v>
      </c>
      <c r="T7212" s="29" t="str">
        <f t="shared" si="312"/>
        <v>2023.015F.Ghabrivirales_reorg.zip</v>
      </c>
      <c r="U7212" s="29" t="str">
        <f>HYPERLINK("https://ictv.global/taxonomy/taxondetails?taxnode_id=202318224","ictv.global=202318224")</f>
        <v>ictv.global=202318224</v>
      </c>
    </row>
    <row r="7213" spans="1:21">
      <c r="A7213">
        <v>7212</v>
      </c>
      <c r="B7213" s="30" t="s">
        <v>1226</v>
      </c>
      <c r="D7213" s="30" t="s">
        <v>2024</v>
      </c>
      <c r="F7213" s="30" t="s">
        <v>2025</v>
      </c>
      <c r="H7213" s="30" t="s">
        <v>2026</v>
      </c>
      <c r="J7213" s="30" t="s">
        <v>2027</v>
      </c>
      <c r="K7213" s="30" t="s">
        <v>14093</v>
      </c>
      <c r="L7213" s="30" t="s">
        <v>14125</v>
      </c>
      <c r="N7213" s="30" t="s">
        <v>14126</v>
      </c>
      <c r="P7213" s="30" t="s">
        <v>14127</v>
      </c>
      <c r="Q7213" t="s">
        <v>623</v>
      </c>
      <c r="R7213" t="s">
        <v>917</v>
      </c>
      <c r="S7213">
        <v>39</v>
      </c>
      <c r="T7213" s="29" t="str">
        <f t="shared" si="312"/>
        <v>2023.015F.Ghabrivirales_reorg.zip</v>
      </c>
      <c r="U7213" s="29" t="str">
        <f>HYPERLINK("https://ictv.global/taxonomy/taxondetails?taxnode_id=202318225","ictv.global=202318225")</f>
        <v>ictv.global=202318225</v>
      </c>
    </row>
    <row r="7214" spans="1:21">
      <c r="A7214">
        <v>7213</v>
      </c>
      <c r="B7214" s="30" t="s">
        <v>1226</v>
      </c>
      <c r="D7214" s="30" t="s">
        <v>2024</v>
      </c>
      <c r="F7214" s="30" t="s">
        <v>2025</v>
      </c>
      <c r="H7214" s="30" t="s">
        <v>2026</v>
      </c>
      <c r="J7214" s="30" t="s">
        <v>2027</v>
      </c>
      <c r="K7214" s="30" t="s">
        <v>14093</v>
      </c>
      <c r="L7214" s="30" t="s">
        <v>14125</v>
      </c>
      <c r="N7214" s="30" t="s">
        <v>14126</v>
      </c>
      <c r="P7214" s="30" t="s">
        <v>14128</v>
      </c>
      <c r="Q7214" t="s">
        <v>623</v>
      </c>
      <c r="R7214" t="s">
        <v>917</v>
      </c>
      <c r="S7214">
        <v>39</v>
      </c>
      <c r="T7214" s="29" t="str">
        <f t="shared" si="312"/>
        <v>2023.015F.Ghabrivirales_reorg.zip</v>
      </c>
      <c r="U7214" s="29" t="str">
        <f>HYPERLINK("https://ictv.global/taxonomy/taxondetails?taxnode_id=202318226","ictv.global=202318226")</f>
        <v>ictv.global=202318226</v>
      </c>
    </row>
    <row r="7215" spans="1:21">
      <c r="A7215">
        <v>7214</v>
      </c>
      <c r="B7215" s="30" t="s">
        <v>1226</v>
      </c>
      <c r="D7215" s="30" t="s">
        <v>2024</v>
      </c>
      <c r="F7215" s="30" t="s">
        <v>2025</v>
      </c>
      <c r="H7215" s="30" t="s">
        <v>2026</v>
      </c>
      <c r="J7215" s="30" t="s">
        <v>2027</v>
      </c>
      <c r="K7215" s="30" t="s">
        <v>14093</v>
      </c>
      <c r="L7215" s="30" t="s">
        <v>14125</v>
      </c>
      <c r="N7215" s="30" t="s">
        <v>14126</v>
      </c>
      <c r="P7215" s="30" t="s">
        <v>14129</v>
      </c>
      <c r="Q7215" t="s">
        <v>623</v>
      </c>
      <c r="R7215" t="s">
        <v>917</v>
      </c>
      <c r="S7215">
        <v>39</v>
      </c>
      <c r="T7215" s="29" t="str">
        <f t="shared" si="312"/>
        <v>2023.015F.Ghabrivirales_reorg.zip</v>
      </c>
      <c r="U7215" s="29" t="str">
        <f>HYPERLINK("https://ictv.global/taxonomy/taxondetails?taxnode_id=202318227","ictv.global=202318227")</f>
        <v>ictv.global=202318227</v>
      </c>
    </row>
    <row r="7216" spans="1:21">
      <c r="A7216">
        <v>7215</v>
      </c>
      <c r="B7216" s="30" t="s">
        <v>1226</v>
      </c>
      <c r="D7216" s="30" t="s">
        <v>2024</v>
      </c>
      <c r="F7216" s="30" t="s">
        <v>2025</v>
      </c>
      <c r="H7216" s="30" t="s">
        <v>2026</v>
      </c>
      <c r="J7216" s="30" t="s">
        <v>2027</v>
      </c>
      <c r="K7216" s="30" t="s">
        <v>14093</v>
      </c>
      <c r="L7216" s="30" t="s">
        <v>14125</v>
      </c>
      <c r="N7216" s="30" t="s">
        <v>14126</v>
      </c>
      <c r="P7216" s="30" t="s">
        <v>14130</v>
      </c>
      <c r="Q7216" t="s">
        <v>623</v>
      </c>
      <c r="R7216" t="s">
        <v>917</v>
      </c>
      <c r="S7216">
        <v>39</v>
      </c>
      <c r="T7216" s="29" t="str">
        <f t="shared" si="312"/>
        <v>2023.015F.Ghabrivirales_reorg.zip</v>
      </c>
      <c r="U7216" s="29" t="str">
        <f>HYPERLINK("https://ictv.global/taxonomy/taxondetails?taxnode_id=202318228","ictv.global=202318228")</f>
        <v>ictv.global=202318228</v>
      </c>
    </row>
    <row r="7217" spans="1:21">
      <c r="A7217">
        <v>7216</v>
      </c>
      <c r="B7217" s="30" t="s">
        <v>1226</v>
      </c>
      <c r="D7217" s="30" t="s">
        <v>2024</v>
      </c>
      <c r="F7217" s="30" t="s">
        <v>2025</v>
      </c>
      <c r="H7217" s="30" t="s">
        <v>2026</v>
      </c>
      <c r="J7217" s="30" t="s">
        <v>2027</v>
      </c>
      <c r="K7217" s="30" t="s">
        <v>14093</v>
      </c>
      <c r="L7217" s="30" t="s">
        <v>14125</v>
      </c>
      <c r="N7217" s="30" t="s">
        <v>14126</v>
      </c>
      <c r="P7217" s="30" t="s">
        <v>14131</v>
      </c>
      <c r="Q7217" t="s">
        <v>623</v>
      </c>
      <c r="R7217" t="s">
        <v>917</v>
      </c>
      <c r="S7217">
        <v>39</v>
      </c>
      <c r="T7217" s="29" t="str">
        <f t="shared" si="312"/>
        <v>2023.015F.Ghabrivirales_reorg.zip</v>
      </c>
      <c r="U7217" s="29" t="str">
        <f>HYPERLINK("https://ictv.global/taxonomy/taxondetails?taxnode_id=202318229","ictv.global=202318229")</f>
        <v>ictv.global=202318229</v>
      </c>
    </row>
    <row r="7218" spans="1:21">
      <c r="A7218">
        <v>7217</v>
      </c>
      <c r="B7218" s="30" t="s">
        <v>1226</v>
      </c>
      <c r="D7218" s="30" t="s">
        <v>2024</v>
      </c>
      <c r="F7218" s="30" t="s">
        <v>2025</v>
      </c>
      <c r="H7218" s="30" t="s">
        <v>2026</v>
      </c>
      <c r="J7218" s="30" t="s">
        <v>2027</v>
      </c>
      <c r="K7218" s="30" t="s">
        <v>14093</v>
      </c>
      <c r="L7218" s="30" t="s">
        <v>14125</v>
      </c>
      <c r="N7218" s="30" t="s">
        <v>14126</v>
      </c>
      <c r="P7218" s="30" t="s">
        <v>14132</v>
      </c>
      <c r="Q7218" t="s">
        <v>623</v>
      </c>
      <c r="R7218" t="s">
        <v>917</v>
      </c>
      <c r="S7218">
        <v>39</v>
      </c>
      <c r="T7218" s="29" t="str">
        <f t="shared" si="312"/>
        <v>2023.015F.Ghabrivirales_reorg.zip</v>
      </c>
      <c r="U7218" s="29" t="str">
        <f>HYPERLINK("https://ictv.global/taxonomy/taxondetails?taxnode_id=202318230","ictv.global=202318230")</f>
        <v>ictv.global=202318230</v>
      </c>
    </row>
    <row r="7219" spans="1:21">
      <c r="A7219">
        <v>7218</v>
      </c>
      <c r="B7219" s="30" t="s">
        <v>1226</v>
      </c>
      <c r="D7219" s="30" t="s">
        <v>2024</v>
      </c>
      <c r="F7219" s="30" t="s">
        <v>2025</v>
      </c>
      <c r="H7219" s="30" t="s">
        <v>2026</v>
      </c>
      <c r="J7219" s="30" t="s">
        <v>2027</v>
      </c>
      <c r="K7219" s="30" t="s">
        <v>14093</v>
      </c>
      <c r="L7219" s="30" t="s">
        <v>14125</v>
      </c>
      <c r="N7219" s="30" t="s">
        <v>14126</v>
      </c>
      <c r="P7219" s="30" t="s">
        <v>14133</v>
      </c>
      <c r="Q7219" t="s">
        <v>623</v>
      </c>
      <c r="R7219" t="s">
        <v>917</v>
      </c>
      <c r="S7219">
        <v>39</v>
      </c>
      <c r="T7219" s="29" t="str">
        <f t="shared" si="312"/>
        <v>2023.015F.Ghabrivirales_reorg.zip</v>
      </c>
      <c r="U7219" s="29" t="str">
        <f>HYPERLINK("https://ictv.global/taxonomy/taxondetails?taxnode_id=202318231","ictv.global=202318231")</f>
        <v>ictv.global=202318231</v>
      </c>
    </row>
    <row r="7220" spans="1:21">
      <c r="A7220">
        <v>7219</v>
      </c>
      <c r="B7220" s="30" t="s">
        <v>1226</v>
      </c>
      <c r="D7220" s="30" t="s">
        <v>2024</v>
      </c>
      <c r="F7220" s="30" t="s">
        <v>2025</v>
      </c>
      <c r="H7220" s="30" t="s">
        <v>2026</v>
      </c>
      <c r="J7220" s="30" t="s">
        <v>2027</v>
      </c>
      <c r="K7220" s="30" t="s">
        <v>14093</v>
      </c>
      <c r="L7220" s="30" t="s">
        <v>14125</v>
      </c>
      <c r="N7220" s="30" t="s">
        <v>14126</v>
      </c>
      <c r="P7220" s="30" t="s">
        <v>14134</v>
      </c>
      <c r="Q7220" t="s">
        <v>623</v>
      </c>
      <c r="R7220" t="s">
        <v>917</v>
      </c>
      <c r="S7220">
        <v>39</v>
      </c>
      <c r="T7220" s="29" t="str">
        <f t="shared" si="312"/>
        <v>2023.015F.Ghabrivirales_reorg.zip</v>
      </c>
      <c r="U7220" s="29" t="str">
        <f>HYPERLINK("https://ictv.global/taxonomy/taxondetails?taxnode_id=202318232","ictv.global=202318232")</f>
        <v>ictv.global=202318232</v>
      </c>
    </row>
    <row r="7221" spans="1:21">
      <c r="A7221">
        <v>7220</v>
      </c>
      <c r="B7221" s="30" t="s">
        <v>1226</v>
      </c>
      <c r="D7221" s="30" t="s">
        <v>2024</v>
      </c>
      <c r="F7221" s="30" t="s">
        <v>2025</v>
      </c>
      <c r="H7221" s="30" t="s">
        <v>2026</v>
      </c>
      <c r="J7221" s="30" t="s">
        <v>2027</v>
      </c>
      <c r="K7221" s="30" t="s">
        <v>14093</v>
      </c>
      <c r="L7221" s="30" t="s">
        <v>14135</v>
      </c>
      <c r="N7221" s="30" t="s">
        <v>14136</v>
      </c>
      <c r="P7221" s="30" t="s">
        <v>14137</v>
      </c>
      <c r="Q7221" t="s">
        <v>623</v>
      </c>
      <c r="R7221" t="s">
        <v>917</v>
      </c>
      <c r="S7221">
        <v>39</v>
      </c>
      <c r="T7221" s="29" t="str">
        <f t="shared" si="312"/>
        <v>2023.015F.Ghabrivirales_reorg.zip</v>
      </c>
      <c r="U7221" s="29" t="str">
        <f>HYPERLINK("https://ictv.global/taxonomy/taxondetails?taxnode_id=202318233","ictv.global=202318233")</f>
        <v>ictv.global=202318233</v>
      </c>
    </row>
    <row r="7222" spans="1:21">
      <c r="A7222">
        <v>7221</v>
      </c>
      <c r="B7222" s="30" t="s">
        <v>1226</v>
      </c>
      <c r="D7222" s="30" t="s">
        <v>2024</v>
      </c>
      <c r="F7222" s="30" t="s">
        <v>2025</v>
      </c>
      <c r="H7222" s="30" t="s">
        <v>2026</v>
      </c>
      <c r="J7222" s="30" t="s">
        <v>2027</v>
      </c>
      <c r="K7222" s="30" t="s">
        <v>14093</v>
      </c>
      <c r="L7222" s="30" t="s">
        <v>14135</v>
      </c>
      <c r="N7222" s="30" t="s">
        <v>14136</v>
      </c>
      <c r="P7222" s="30" t="s">
        <v>14138</v>
      </c>
      <c r="Q7222" t="s">
        <v>623</v>
      </c>
      <c r="R7222" t="s">
        <v>917</v>
      </c>
      <c r="S7222">
        <v>39</v>
      </c>
      <c r="T7222" s="29" t="str">
        <f t="shared" si="312"/>
        <v>2023.015F.Ghabrivirales_reorg.zip</v>
      </c>
      <c r="U7222" s="29" t="str">
        <f>HYPERLINK("https://ictv.global/taxonomy/taxondetails?taxnode_id=202318234","ictv.global=202318234")</f>
        <v>ictv.global=202318234</v>
      </c>
    </row>
    <row r="7223" spans="1:21">
      <c r="A7223">
        <v>7222</v>
      </c>
      <c r="B7223" s="30" t="s">
        <v>1226</v>
      </c>
      <c r="D7223" s="30" t="s">
        <v>2024</v>
      </c>
      <c r="F7223" s="30" t="s">
        <v>2025</v>
      </c>
      <c r="H7223" s="30" t="s">
        <v>2026</v>
      </c>
      <c r="J7223" s="30" t="s">
        <v>2027</v>
      </c>
      <c r="K7223" s="30" t="s">
        <v>14093</v>
      </c>
      <c r="L7223" s="30" t="s">
        <v>14139</v>
      </c>
      <c r="N7223" s="30" t="s">
        <v>14140</v>
      </c>
      <c r="P7223" s="30" t="s">
        <v>14141</v>
      </c>
      <c r="Q7223" t="s">
        <v>623</v>
      </c>
      <c r="R7223" t="s">
        <v>917</v>
      </c>
      <c r="S7223">
        <v>39</v>
      </c>
      <c r="T7223" s="29" t="str">
        <f t="shared" si="312"/>
        <v>2023.015F.Ghabrivirales_reorg.zip</v>
      </c>
      <c r="U7223" s="29" t="str">
        <f>HYPERLINK("https://ictv.global/taxonomy/taxondetails?taxnode_id=202318235","ictv.global=202318235")</f>
        <v>ictv.global=202318235</v>
      </c>
    </row>
    <row r="7224" spans="1:21">
      <c r="A7224">
        <v>7223</v>
      </c>
      <c r="B7224" s="30" t="s">
        <v>1226</v>
      </c>
      <c r="D7224" s="30" t="s">
        <v>2024</v>
      </c>
      <c r="F7224" s="30" t="s">
        <v>2025</v>
      </c>
      <c r="H7224" s="30" t="s">
        <v>2026</v>
      </c>
      <c r="J7224" s="30" t="s">
        <v>2027</v>
      </c>
      <c r="K7224" s="30" t="s">
        <v>14093</v>
      </c>
      <c r="L7224" s="30" t="s">
        <v>14139</v>
      </c>
      <c r="N7224" s="30" t="s">
        <v>14140</v>
      </c>
      <c r="P7224" s="30" t="s">
        <v>14142</v>
      </c>
      <c r="Q7224" t="s">
        <v>623</v>
      </c>
      <c r="R7224" t="s">
        <v>917</v>
      </c>
      <c r="S7224">
        <v>39</v>
      </c>
      <c r="T7224" s="29" t="str">
        <f t="shared" si="312"/>
        <v>2023.015F.Ghabrivirales_reorg.zip</v>
      </c>
      <c r="U7224" s="29" t="str">
        <f>HYPERLINK("https://ictv.global/taxonomy/taxondetails?taxnode_id=202318236","ictv.global=202318236")</f>
        <v>ictv.global=202318236</v>
      </c>
    </row>
    <row r="7225" spans="1:21">
      <c r="A7225">
        <v>7224</v>
      </c>
      <c r="B7225" s="30" t="s">
        <v>1226</v>
      </c>
      <c r="D7225" s="30" t="s">
        <v>2024</v>
      </c>
      <c r="F7225" s="30" t="s">
        <v>2025</v>
      </c>
      <c r="H7225" s="30" t="s">
        <v>2026</v>
      </c>
      <c r="J7225" s="30" t="s">
        <v>2027</v>
      </c>
      <c r="K7225" s="30" t="s">
        <v>14093</v>
      </c>
      <c r="L7225" s="30" t="s">
        <v>14139</v>
      </c>
      <c r="N7225" s="30" t="s">
        <v>14140</v>
      </c>
      <c r="P7225" s="30" t="s">
        <v>14143</v>
      </c>
      <c r="Q7225" t="s">
        <v>623</v>
      </c>
      <c r="R7225" t="s">
        <v>917</v>
      </c>
      <c r="S7225">
        <v>39</v>
      </c>
      <c r="T7225" s="29" t="str">
        <f t="shared" si="312"/>
        <v>2023.015F.Ghabrivirales_reorg.zip</v>
      </c>
      <c r="U7225" s="29" t="str">
        <f>HYPERLINK("https://ictv.global/taxonomy/taxondetails?taxnode_id=202318237","ictv.global=202318237")</f>
        <v>ictv.global=202318237</v>
      </c>
    </row>
    <row r="7226" spans="1:21">
      <c r="A7226">
        <v>7225</v>
      </c>
      <c r="B7226" s="30" t="s">
        <v>1226</v>
      </c>
      <c r="D7226" s="30" t="s">
        <v>2024</v>
      </c>
      <c r="F7226" s="30" t="s">
        <v>2025</v>
      </c>
      <c r="H7226" s="30" t="s">
        <v>2026</v>
      </c>
      <c r="J7226" s="30" t="s">
        <v>2027</v>
      </c>
      <c r="K7226" s="30" t="s">
        <v>14093</v>
      </c>
      <c r="L7226" s="30" t="s">
        <v>14139</v>
      </c>
      <c r="N7226" s="30" t="s">
        <v>14140</v>
      </c>
      <c r="P7226" s="30" t="s">
        <v>14144</v>
      </c>
      <c r="Q7226" t="s">
        <v>623</v>
      </c>
      <c r="R7226" t="s">
        <v>917</v>
      </c>
      <c r="S7226">
        <v>39</v>
      </c>
      <c r="T7226" s="29" t="str">
        <f t="shared" si="312"/>
        <v>2023.015F.Ghabrivirales_reorg.zip</v>
      </c>
      <c r="U7226" s="29" t="str">
        <f>HYPERLINK("https://ictv.global/taxonomy/taxondetails?taxnode_id=202318238","ictv.global=202318238")</f>
        <v>ictv.global=202318238</v>
      </c>
    </row>
    <row r="7227" spans="1:21">
      <c r="A7227">
        <v>7226</v>
      </c>
      <c r="B7227" s="30" t="s">
        <v>1226</v>
      </c>
      <c r="D7227" s="30" t="s">
        <v>2024</v>
      </c>
      <c r="F7227" s="30" t="s">
        <v>2025</v>
      </c>
      <c r="H7227" s="30" t="s">
        <v>2026</v>
      </c>
      <c r="J7227" s="30" t="s">
        <v>2027</v>
      </c>
      <c r="K7227" s="30" t="s">
        <v>14093</v>
      </c>
      <c r="L7227" s="30" t="s">
        <v>14139</v>
      </c>
      <c r="N7227" s="30" t="s">
        <v>14140</v>
      </c>
      <c r="P7227" s="30" t="s">
        <v>14145</v>
      </c>
      <c r="Q7227" t="s">
        <v>623</v>
      </c>
      <c r="R7227" t="s">
        <v>917</v>
      </c>
      <c r="S7227">
        <v>39</v>
      </c>
      <c r="T7227" s="29" t="str">
        <f t="shared" si="312"/>
        <v>2023.015F.Ghabrivirales_reorg.zip</v>
      </c>
      <c r="U7227" s="29" t="str">
        <f>HYPERLINK("https://ictv.global/taxonomy/taxondetails?taxnode_id=202318239","ictv.global=202318239")</f>
        <v>ictv.global=202318239</v>
      </c>
    </row>
    <row r="7228" spans="1:21">
      <c r="A7228">
        <v>7227</v>
      </c>
      <c r="B7228" s="30" t="s">
        <v>1226</v>
      </c>
      <c r="D7228" s="30" t="s">
        <v>2024</v>
      </c>
      <c r="F7228" s="30" t="s">
        <v>2025</v>
      </c>
      <c r="H7228" s="30" t="s">
        <v>2026</v>
      </c>
      <c r="J7228" s="30" t="s">
        <v>2027</v>
      </c>
      <c r="K7228" s="30" t="s">
        <v>14093</v>
      </c>
      <c r="L7228" s="30" t="s">
        <v>14139</v>
      </c>
      <c r="N7228" s="30" t="s">
        <v>14140</v>
      </c>
      <c r="P7228" s="30" t="s">
        <v>14146</v>
      </c>
      <c r="Q7228" t="s">
        <v>623</v>
      </c>
      <c r="R7228" t="s">
        <v>917</v>
      </c>
      <c r="S7228">
        <v>39</v>
      </c>
      <c r="T7228" s="29" t="str">
        <f t="shared" si="312"/>
        <v>2023.015F.Ghabrivirales_reorg.zip</v>
      </c>
      <c r="U7228" s="29" t="str">
        <f>HYPERLINK("https://ictv.global/taxonomy/taxondetails?taxnode_id=202318240","ictv.global=202318240")</f>
        <v>ictv.global=202318240</v>
      </c>
    </row>
    <row r="7229" spans="1:21">
      <c r="A7229">
        <v>7228</v>
      </c>
      <c r="B7229" s="30" t="s">
        <v>1226</v>
      </c>
      <c r="D7229" s="30" t="s">
        <v>2024</v>
      </c>
      <c r="F7229" s="30" t="s">
        <v>2025</v>
      </c>
      <c r="H7229" s="30" t="s">
        <v>2026</v>
      </c>
      <c r="J7229" s="30" t="s">
        <v>2027</v>
      </c>
      <c r="K7229" s="30" t="s">
        <v>14093</v>
      </c>
      <c r="L7229" s="30" t="s">
        <v>14139</v>
      </c>
      <c r="N7229" s="30" t="s">
        <v>14140</v>
      </c>
      <c r="P7229" s="30" t="s">
        <v>14147</v>
      </c>
      <c r="Q7229" t="s">
        <v>623</v>
      </c>
      <c r="R7229" t="s">
        <v>917</v>
      </c>
      <c r="S7229">
        <v>39</v>
      </c>
      <c r="T7229" s="29" t="str">
        <f t="shared" si="312"/>
        <v>2023.015F.Ghabrivirales_reorg.zip</v>
      </c>
      <c r="U7229" s="29" t="str">
        <f>HYPERLINK("https://ictv.global/taxonomy/taxondetails?taxnode_id=202318241","ictv.global=202318241")</f>
        <v>ictv.global=202318241</v>
      </c>
    </row>
    <row r="7230" spans="1:21">
      <c r="A7230">
        <v>7229</v>
      </c>
      <c r="B7230" s="30" t="s">
        <v>1226</v>
      </c>
      <c r="D7230" s="30" t="s">
        <v>2024</v>
      </c>
      <c r="F7230" s="30" t="s">
        <v>2025</v>
      </c>
      <c r="H7230" s="30" t="s">
        <v>2026</v>
      </c>
      <c r="J7230" s="30" t="s">
        <v>2027</v>
      </c>
      <c r="K7230" s="30" t="s">
        <v>14093</v>
      </c>
      <c r="L7230" s="30" t="s">
        <v>14148</v>
      </c>
      <c r="N7230" s="30" t="s">
        <v>14149</v>
      </c>
      <c r="P7230" s="30" t="s">
        <v>14150</v>
      </c>
      <c r="Q7230" t="s">
        <v>623</v>
      </c>
      <c r="R7230" t="s">
        <v>917</v>
      </c>
      <c r="S7230">
        <v>39</v>
      </c>
      <c r="T7230" s="29" t="str">
        <f t="shared" si="312"/>
        <v>2023.015F.Ghabrivirales_reorg.zip</v>
      </c>
      <c r="U7230" s="29" t="str">
        <f>HYPERLINK("https://ictv.global/taxonomy/taxondetails?taxnode_id=202318242","ictv.global=202318242")</f>
        <v>ictv.global=202318242</v>
      </c>
    </row>
    <row r="7231" spans="1:21">
      <c r="A7231">
        <v>7230</v>
      </c>
      <c r="B7231" s="30" t="s">
        <v>1226</v>
      </c>
      <c r="D7231" s="30" t="s">
        <v>2024</v>
      </c>
      <c r="F7231" s="30" t="s">
        <v>2025</v>
      </c>
      <c r="H7231" s="30" t="s">
        <v>2026</v>
      </c>
      <c r="J7231" s="30" t="s">
        <v>2027</v>
      </c>
      <c r="K7231" s="30" t="s">
        <v>14093</v>
      </c>
      <c r="L7231" s="30" t="s">
        <v>14148</v>
      </c>
      <c r="N7231" s="30" t="s">
        <v>14149</v>
      </c>
      <c r="P7231" s="30" t="s">
        <v>14151</v>
      </c>
      <c r="Q7231" t="s">
        <v>623</v>
      </c>
      <c r="R7231" t="s">
        <v>917</v>
      </c>
      <c r="S7231">
        <v>39</v>
      </c>
      <c r="T7231" s="29" t="str">
        <f t="shared" si="312"/>
        <v>2023.015F.Ghabrivirales_reorg.zip</v>
      </c>
      <c r="U7231" s="29" t="str">
        <f>HYPERLINK("https://ictv.global/taxonomy/taxondetails?taxnode_id=202318243","ictv.global=202318243")</f>
        <v>ictv.global=202318243</v>
      </c>
    </row>
    <row r="7232" spans="1:21">
      <c r="A7232">
        <v>7231</v>
      </c>
      <c r="B7232" s="30" t="s">
        <v>1226</v>
      </c>
      <c r="D7232" s="30" t="s">
        <v>2024</v>
      </c>
      <c r="F7232" s="30" t="s">
        <v>2025</v>
      </c>
      <c r="H7232" s="30" t="s">
        <v>2026</v>
      </c>
      <c r="J7232" s="30" t="s">
        <v>2027</v>
      </c>
      <c r="K7232" s="30" t="s">
        <v>14093</v>
      </c>
      <c r="L7232" s="30" t="s">
        <v>14148</v>
      </c>
      <c r="N7232" s="30" t="s">
        <v>14149</v>
      </c>
      <c r="P7232" s="30" t="s">
        <v>14152</v>
      </c>
      <c r="Q7232" t="s">
        <v>623</v>
      </c>
      <c r="R7232" t="s">
        <v>917</v>
      </c>
      <c r="S7232">
        <v>39</v>
      </c>
      <c r="T7232" s="29" t="str">
        <f t="shared" si="312"/>
        <v>2023.015F.Ghabrivirales_reorg.zip</v>
      </c>
      <c r="U7232" s="29" t="str">
        <f>HYPERLINK("https://ictv.global/taxonomy/taxondetails?taxnode_id=202318244","ictv.global=202318244")</f>
        <v>ictv.global=202318244</v>
      </c>
    </row>
    <row r="7233" spans="1:21">
      <c r="A7233">
        <v>7232</v>
      </c>
      <c r="B7233" s="30" t="s">
        <v>1226</v>
      </c>
      <c r="D7233" s="30" t="s">
        <v>2024</v>
      </c>
      <c r="F7233" s="30" t="s">
        <v>2025</v>
      </c>
      <c r="H7233" s="30" t="s">
        <v>2026</v>
      </c>
      <c r="J7233" s="30" t="s">
        <v>2027</v>
      </c>
      <c r="K7233" s="30" t="s">
        <v>14093</v>
      </c>
      <c r="L7233" s="30" t="s">
        <v>14148</v>
      </c>
      <c r="N7233" s="30" t="s">
        <v>14149</v>
      </c>
      <c r="P7233" s="30" t="s">
        <v>14153</v>
      </c>
      <c r="Q7233" t="s">
        <v>623</v>
      </c>
      <c r="R7233" t="s">
        <v>917</v>
      </c>
      <c r="S7233">
        <v>39</v>
      </c>
      <c r="T7233" s="29" t="str">
        <f t="shared" si="312"/>
        <v>2023.015F.Ghabrivirales_reorg.zip</v>
      </c>
      <c r="U7233" s="29" t="str">
        <f>HYPERLINK("https://ictv.global/taxonomy/taxondetails?taxnode_id=202318245","ictv.global=202318245")</f>
        <v>ictv.global=202318245</v>
      </c>
    </row>
    <row r="7234" spans="1:21">
      <c r="A7234">
        <v>7233</v>
      </c>
      <c r="B7234" s="30" t="s">
        <v>1226</v>
      </c>
      <c r="D7234" s="30" t="s">
        <v>2024</v>
      </c>
      <c r="F7234" s="30" t="s">
        <v>2025</v>
      </c>
      <c r="H7234" s="30" t="s">
        <v>2026</v>
      </c>
      <c r="J7234" s="30" t="s">
        <v>2027</v>
      </c>
      <c r="K7234" s="30" t="s">
        <v>14093</v>
      </c>
      <c r="L7234" s="30" t="s">
        <v>14154</v>
      </c>
      <c r="N7234" s="30" t="s">
        <v>14155</v>
      </c>
      <c r="P7234" s="30" t="s">
        <v>14156</v>
      </c>
      <c r="Q7234" t="s">
        <v>623</v>
      </c>
      <c r="R7234" t="s">
        <v>917</v>
      </c>
      <c r="S7234">
        <v>39</v>
      </c>
      <c r="T7234" s="29" t="str">
        <f t="shared" si="312"/>
        <v>2023.015F.Ghabrivirales_reorg.zip</v>
      </c>
      <c r="U7234" s="29" t="str">
        <f>HYPERLINK("https://ictv.global/taxonomy/taxondetails?taxnode_id=202318246","ictv.global=202318246")</f>
        <v>ictv.global=202318246</v>
      </c>
    </row>
    <row r="7235" spans="1:21">
      <c r="A7235">
        <v>7234</v>
      </c>
      <c r="B7235" s="30" t="s">
        <v>1226</v>
      </c>
      <c r="D7235" s="30" t="s">
        <v>2024</v>
      </c>
      <c r="F7235" s="30" t="s">
        <v>2025</v>
      </c>
      <c r="H7235" s="30" t="s">
        <v>2026</v>
      </c>
      <c r="J7235" s="30" t="s">
        <v>2027</v>
      </c>
      <c r="K7235" s="30" t="s">
        <v>14157</v>
      </c>
      <c r="L7235" s="30" t="s">
        <v>9115</v>
      </c>
      <c r="N7235" s="30" t="s">
        <v>9116</v>
      </c>
      <c r="P7235" s="30" t="s">
        <v>9117</v>
      </c>
      <c r="Q7235" t="s">
        <v>623</v>
      </c>
      <c r="R7235" t="s">
        <v>919</v>
      </c>
      <c r="S7235">
        <v>39</v>
      </c>
      <c r="T7235" s="29" t="str">
        <f t="shared" ref="T7235:T7271" si="313">HYPERLINK("https://ictv.global/ictv/proposals/2023.015F.Ghabrivirales_reorg.zip","2023.015F.Ghabrivirales_reorg.zip")</f>
        <v>2023.015F.Ghabrivirales_reorg.zip</v>
      </c>
      <c r="U7235" s="29" t="str">
        <f>HYPERLINK("https://ictv.global/taxonomy/taxondetails?taxnode_id=202314983","ictv.global=202314983")</f>
        <v>ictv.global=202314983</v>
      </c>
    </row>
    <row r="7236" spans="1:21">
      <c r="A7236">
        <v>7235</v>
      </c>
      <c r="B7236" s="30" t="s">
        <v>1226</v>
      </c>
      <c r="D7236" s="30" t="s">
        <v>2024</v>
      </c>
      <c r="F7236" s="30" t="s">
        <v>2025</v>
      </c>
      <c r="H7236" s="30" t="s">
        <v>2026</v>
      </c>
      <c r="J7236" s="30" t="s">
        <v>2027</v>
      </c>
      <c r="K7236" s="30" t="s">
        <v>14157</v>
      </c>
      <c r="L7236" s="30" t="s">
        <v>9115</v>
      </c>
      <c r="N7236" s="30" t="s">
        <v>9116</v>
      </c>
      <c r="P7236" s="30" t="s">
        <v>9118</v>
      </c>
      <c r="Q7236" t="s">
        <v>623</v>
      </c>
      <c r="R7236" t="s">
        <v>919</v>
      </c>
      <c r="S7236">
        <v>39</v>
      </c>
      <c r="T7236" s="29" t="str">
        <f t="shared" si="313"/>
        <v>2023.015F.Ghabrivirales_reorg.zip</v>
      </c>
      <c r="U7236" s="29" t="str">
        <f>HYPERLINK("https://ictv.global/taxonomy/taxondetails?taxnode_id=202314984","ictv.global=202314984")</f>
        <v>ictv.global=202314984</v>
      </c>
    </row>
    <row r="7237" spans="1:21">
      <c r="A7237">
        <v>7236</v>
      </c>
      <c r="B7237" s="30" t="s">
        <v>1226</v>
      </c>
      <c r="D7237" s="30" t="s">
        <v>2024</v>
      </c>
      <c r="F7237" s="30" t="s">
        <v>2025</v>
      </c>
      <c r="H7237" s="30" t="s">
        <v>2026</v>
      </c>
      <c r="J7237" s="30" t="s">
        <v>2027</v>
      </c>
      <c r="K7237" s="30" t="s">
        <v>14157</v>
      </c>
      <c r="L7237" s="30" t="s">
        <v>9115</v>
      </c>
      <c r="N7237" s="30" t="s">
        <v>9116</v>
      </c>
      <c r="P7237" s="30" t="s">
        <v>9119</v>
      </c>
      <c r="Q7237" t="s">
        <v>623</v>
      </c>
      <c r="R7237" t="s">
        <v>919</v>
      </c>
      <c r="S7237">
        <v>39</v>
      </c>
      <c r="T7237" s="29" t="str">
        <f t="shared" si="313"/>
        <v>2023.015F.Ghabrivirales_reorg.zip</v>
      </c>
      <c r="U7237" s="29" t="str">
        <f>HYPERLINK("https://ictv.global/taxonomy/taxondetails?taxnode_id=202314985","ictv.global=202314985")</f>
        <v>ictv.global=202314985</v>
      </c>
    </row>
    <row r="7238" spans="1:21">
      <c r="A7238">
        <v>7237</v>
      </c>
      <c r="B7238" s="30" t="s">
        <v>1226</v>
      </c>
      <c r="D7238" s="30" t="s">
        <v>2024</v>
      </c>
      <c r="F7238" s="30" t="s">
        <v>2025</v>
      </c>
      <c r="H7238" s="30" t="s">
        <v>2026</v>
      </c>
      <c r="J7238" s="30" t="s">
        <v>2027</v>
      </c>
      <c r="K7238" s="30" t="s">
        <v>14157</v>
      </c>
      <c r="L7238" s="30" t="s">
        <v>9115</v>
      </c>
      <c r="N7238" s="30" t="s">
        <v>9116</v>
      </c>
      <c r="P7238" s="30" t="s">
        <v>9120</v>
      </c>
      <c r="Q7238" t="s">
        <v>623</v>
      </c>
      <c r="R7238" t="s">
        <v>919</v>
      </c>
      <c r="S7238">
        <v>39</v>
      </c>
      <c r="T7238" s="29" t="str">
        <f t="shared" si="313"/>
        <v>2023.015F.Ghabrivirales_reorg.zip</v>
      </c>
      <c r="U7238" s="29" t="str">
        <f>HYPERLINK("https://ictv.global/taxonomy/taxondetails?taxnode_id=202314986","ictv.global=202314986")</f>
        <v>ictv.global=202314986</v>
      </c>
    </row>
    <row r="7239" spans="1:21">
      <c r="A7239">
        <v>7238</v>
      </c>
      <c r="B7239" s="30" t="s">
        <v>1226</v>
      </c>
      <c r="D7239" s="30" t="s">
        <v>2024</v>
      </c>
      <c r="F7239" s="30" t="s">
        <v>2025</v>
      </c>
      <c r="H7239" s="30" t="s">
        <v>2026</v>
      </c>
      <c r="J7239" s="30" t="s">
        <v>2027</v>
      </c>
      <c r="K7239" s="30" t="s">
        <v>14157</v>
      </c>
      <c r="L7239" s="30" t="s">
        <v>9115</v>
      </c>
      <c r="N7239" s="30" t="s">
        <v>9116</v>
      </c>
      <c r="P7239" s="30" t="s">
        <v>9121</v>
      </c>
      <c r="Q7239" t="s">
        <v>623</v>
      </c>
      <c r="R7239" t="s">
        <v>919</v>
      </c>
      <c r="S7239">
        <v>39</v>
      </c>
      <c r="T7239" s="29" t="str">
        <f t="shared" si="313"/>
        <v>2023.015F.Ghabrivirales_reorg.zip</v>
      </c>
      <c r="U7239" s="29" t="str">
        <f>HYPERLINK("https://ictv.global/taxonomy/taxondetails?taxnode_id=202314987","ictv.global=202314987")</f>
        <v>ictv.global=202314987</v>
      </c>
    </row>
    <row r="7240" spans="1:21">
      <c r="A7240">
        <v>7239</v>
      </c>
      <c r="B7240" s="30" t="s">
        <v>1226</v>
      </c>
      <c r="D7240" s="30" t="s">
        <v>2024</v>
      </c>
      <c r="F7240" s="30" t="s">
        <v>2025</v>
      </c>
      <c r="H7240" s="30" t="s">
        <v>2026</v>
      </c>
      <c r="J7240" s="30" t="s">
        <v>2027</v>
      </c>
      <c r="L7240" s="30" t="s">
        <v>14158</v>
      </c>
      <c r="N7240" s="30" t="s">
        <v>346</v>
      </c>
      <c r="P7240" s="30" t="s">
        <v>14159</v>
      </c>
      <c r="Q7240" t="s">
        <v>623</v>
      </c>
      <c r="R7240" t="s">
        <v>920</v>
      </c>
      <c r="S7240">
        <v>39</v>
      </c>
      <c r="T7240" s="29" t="str">
        <f t="shared" si="313"/>
        <v>2023.015F.Ghabrivirales_reorg.zip</v>
      </c>
      <c r="U7240" s="29" t="str">
        <f>HYPERLINK("https://ictv.global/taxonomy/taxondetails?taxnode_id=202305299","ictv.global=202305299")</f>
        <v>ictv.global=202305299</v>
      </c>
    </row>
    <row r="7241" spans="1:21">
      <c r="A7241">
        <v>7240</v>
      </c>
      <c r="B7241" s="30" t="s">
        <v>1226</v>
      </c>
      <c r="D7241" s="30" t="s">
        <v>2024</v>
      </c>
      <c r="F7241" s="30" t="s">
        <v>2025</v>
      </c>
      <c r="H7241" s="30" t="s">
        <v>2026</v>
      </c>
      <c r="J7241" s="30" t="s">
        <v>2027</v>
      </c>
      <c r="L7241" s="30" t="s">
        <v>14158</v>
      </c>
      <c r="N7241" s="30" t="s">
        <v>346</v>
      </c>
      <c r="P7241" s="30" t="s">
        <v>14160</v>
      </c>
      <c r="Q7241" t="s">
        <v>623</v>
      </c>
      <c r="R7241" t="s">
        <v>917</v>
      </c>
      <c r="S7241">
        <v>39</v>
      </c>
      <c r="T7241" s="29" t="str">
        <f t="shared" si="313"/>
        <v>2023.015F.Ghabrivirales_reorg.zip</v>
      </c>
      <c r="U7241" s="29" t="str">
        <f>HYPERLINK("https://ictv.global/taxonomy/taxondetails?taxnode_id=202318130","ictv.global=202318130")</f>
        <v>ictv.global=202318130</v>
      </c>
    </row>
    <row r="7242" spans="1:21">
      <c r="A7242">
        <v>7241</v>
      </c>
      <c r="B7242" s="30" t="s">
        <v>1226</v>
      </c>
      <c r="D7242" s="30" t="s">
        <v>2024</v>
      </c>
      <c r="F7242" s="30" t="s">
        <v>2025</v>
      </c>
      <c r="H7242" s="30" t="s">
        <v>2026</v>
      </c>
      <c r="J7242" s="30" t="s">
        <v>2027</v>
      </c>
      <c r="L7242" s="30" t="s">
        <v>14158</v>
      </c>
      <c r="N7242" s="30" t="s">
        <v>346</v>
      </c>
      <c r="P7242" s="30" t="s">
        <v>14161</v>
      </c>
      <c r="Q7242" t="s">
        <v>623</v>
      </c>
      <c r="R7242" t="s">
        <v>920</v>
      </c>
      <c r="S7242">
        <v>39</v>
      </c>
      <c r="T7242" s="29" t="str">
        <f t="shared" si="313"/>
        <v>2023.015F.Ghabrivirales_reorg.zip</v>
      </c>
      <c r="U7242" s="29" t="str">
        <f>HYPERLINK("https://ictv.global/taxonomy/taxondetails?taxnode_id=202305293","ictv.global=202305293")</f>
        <v>ictv.global=202305293</v>
      </c>
    </row>
    <row r="7243" spans="1:21">
      <c r="A7243">
        <v>7242</v>
      </c>
      <c r="B7243" s="30" t="s">
        <v>1226</v>
      </c>
      <c r="D7243" s="30" t="s">
        <v>2024</v>
      </c>
      <c r="F7243" s="30" t="s">
        <v>2025</v>
      </c>
      <c r="H7243" s="30" t="s">
        <v>2026</v>
      </c>
      <c r="J7243" s="30" t="s">
        <v>2027</v>
      </c>
      <c r="L7243" s="30" t="s">
        <v>14158</v>
      </c>
      <c r="N7243" s="30" t="s">
        <v>346</v>
      </c>
      <c r="P7243" s="30" t="s">
        <v>14162</v>
      </c>
      <c r="Q7243" t="s">
        <v>623</v>
      </c>
      <c r="R7243" t="s">
        <v>917</v>
      </c>
      <c r="S7243">
        <v>39</v>
      </c>
      <c r="T7243" s="29" t="str">
        <f t="shared" si="313"/>
        <v>2023.015F.Ghabrivirales_reorg.zip</v>
      </c>
      <c r="U7243" s="29" t="str">
        <f>HYPERLINK("https://ictv.global/taxonomy/taxondetails?taxnode_id=202318131","ictv.global=202318131")</f>
        <v>ictv.global=202318131</v>
      </c>
    </row>
    <row r="7244" spans="1:21">
      <c r="A7244">
        <v>7243</v>
      </c>
      <c r="B7244" s="30" t="s">
        <v>1226</v>
      </c>
      <c r="D7244" s="30" t="s">
        <v>2024</v>
      </c>
      <c r="F7244" s="30" t="s">
        <v>2025</v>
      </c>
      <c r="H7244" s="30" t="s">
        <v>2026</v>
      </c>
      <c r="J7244" s="30" t="s">
        <v>2027</v>
      </c>
      <c r="L7244" s="30" t="s">
        <v>14158</v>
      </c>
      <c r="N7244" s="30" t="s">
        <v>346</v>
      </c>
      <c r="P7244" s="30" t="s">
        <v>14163</v>
      </c>
      <c r="Q7244" t="s">
        <v>623</v>
      </c>
      <c r="R7244" t="s">
        <v>917</v>
      </c>
      <c r="S7244">
        <v>39</v>
      </c>
      <c r="T7244" s="29" t="str">
        <f t="shared" si="313"/>
        <v>2023.015F.Ghabrivirales_reorg.zip</v>
      </c>
      <c r="U7244" s="29" t="str">
        <f>HYPERLINK("https://ictv.global/taxonomy/taxondetails?taxnode_id=202318132","ictv.global=202318132")</f>
        <v>ictv.global=202318132</v>
      </c>
    </row>
    <row r="7245" spans="1:21">
      <c r="A7245">
        <v>7244</v>
      </c>
      <c r="B7245" s="30" t="s">
        <v>1226</v>
      </c>
      <c r="D7245" s="30" t="s">
        <v>2024</v>
      </c>
      <c r="F7245" s="30" t="s">
        <v>2025</v>
      </c>
      <c r="H7245" s="30" t="s">
        <v>2026</v>
      </c>
      <c r="J7245" s="30" t="s">
        <v>2027</v>
      </c>
      <c r="L7245" s="30" t="s">
        <v>14158</v>
      </c>
      <c r="N7245" s="30" t="s">
        <v>346</v>
      </c>
      <c r="P7245" s="30" t="s">
        <v>14164</v>
      </c>
      <c r="Q7245" t="s">
        <v>623</v>
      </c>
      <c r="R7245" t="s">
        <v>917</v>
      </c>
      <c r="S7245">
        <v>39</v>
      </c>
      <c r="T7245" s="29" t="str">
        <f t="shared" si="313"/>
        <v>2023.015F.Ghabrivirales_reorg.zip</v>
      </c>
      <c r="U7245" s="29" t="str">
        <f>HYPERLINK("https://ictv.global/taxonomy/taxondetails?taxnode_id=202318133","ictv.global=202318133")</f>
        <v>ictv.global=202318133</v>
      </c>
    </row>
    <row r="7246" spans="1:21">
      <c r="A7246">
        <v>7245</v>
      </c>
      <c r="B7246" s="30" t="s">
        <v>1226</v>
      </c>
      <c r="D7246" s="30" t="s">
        <v>2024</v>
      </c>
      <c r="F7246" s="30" t="s">
        <v>2025</v>
      </c>
      <c r="H7246" s="30" t="s">
        <v>2026</v>
      </c>
      <c r="J7246" s="30" t="s">
        <v>2027</v>
      </c>
      <c r="L7246" s="30" t="s">
        <v>14158</v>
      </c>
      <c r="N7246" s="30" t="s">
        <v>346</v>
      </c>
      <c r="P7246" s="30" t="s">
        <v>14165</v>
      </c>
      <c r="Q7246" t="s">
        <v>623</v>
      </c>
      <c r="R7246" t="s">
        <v>917</v>
      </c>
      <c r="S7246">
        <v>39</v>
      </c>
      <c r="T7246" s="29" t="str">
        <f t="shared" si="313"/>
        <v>2023.015F.Ghabrivirales_reorg.zip</v>
      </c>
      <c r="U7246" s="29" t="str">
        <f>HYPERLINK("https://ictv.global/taxonomy/taxondetails?taxnode_id=202318134","ictv.global=202318134")</f>
        <v>ictv.global=202318134</v>
      </c>
    </row>
    <row r="7247" spans="1:21">
      <c r="A7247">
        <v>7246</v>
      </c>
      <c r="B7247" s="30" t="s">
        <v>1226</v>
      </c>
      <c r="D7247" s="30" t="s">
        <v>2024</v>
      </c>
      <c r="F7247" s="30" t="s">
        <v>2025</v>
      </c>
      <c r="H7247" s="30" t="s">
        <v>2026</v>
      </c>
      <c r="J7247" s="30" t="s">
        <v>2027</v>
      </c>
      <c r="L7247" s="30" t="s">
        <v>14158</v>
      </c>
      <c r="N7247" s="30" t="s">
        <v>346</v>
      </c>
      <c r="P7247" s="30" t="s">
        <v>14166</v>
      </c>
      <c r="Q7247" t="s">
        <v>623</v>
      </c>
      <c r="R7247" t="s">
        <v>917</v>
      </c>
      <c r="S7247">
        <v>39</v>
      </c>
      <c r="T7247" s="29" t="str">
        <f t="shared" si="313"/>
        <v>2023.015F.Ghabrivirales_reorg.zip</v>
      </c>
      <c r="U7247" s="29" t="str">
        <f>HYPERLINK("https://ictv.global/taxonomy/taxondetails?taxnode_id=202318135","ictv.global=202318135")</f>
        <v>ictv.global=202318135</v>
      </c>
    </row>
    <row r="7248" spans="1:21">
      <c r="A7248">
        <v>7247</v>
      </c>
      <c r="B7248" s="30" t="s">
        <v>1226</v>
      </c>
      <c r="D7248" s="30" t="s">
        <v>2024</v>
      </c>
      <c r="F7248" s="30" t="s">
        <v>2025</v>
      </c>
      <c r="H7248" s="30" t="s">
        <v>2026</v>
      </c>
      <c r="J7248" s="30" t="s">
        <v>2027</v>
      </c>
      <c r="L7248" s="30" t="s">
        <v>14158</v>
      </c>
      <c r="N7248" s="30" t="s">
        <v>346</v>
      </c>
      <c r="P7248" s="30" t="s">
        <v>14167</v>
      </c>
      <c r="Q7248" t="s">
        <v>623</v>
      </c>
      <c r="R7248" t="s">
        <v>917</v>
      </c>
      <c r="S7248">
        <v>39</v>
      </c>
      <c r="T7248" s="29" t="str">
        <f t="shared" si="313"/>
        <v>2023.015F.Ghabrivirales_reorg.zip</v>
      </c>
      <c r="U7248" s="29" t="str">
        <f>HYPERLINK("https://ictv.global/taxonomy/taxondetails?taxnode_id=202318136","ictv.global=202318136")</f>
        <v>ictv.global=202318136</v>
      </c>
    </row>
    <row r="7249" spans="1:21">
      <c r="A7249">
        <v>7248</v>
      </c>
      <c r="B7249" s="30" t="s">
        <v>1226</v>
      </c>
      <c r="D7249" s="30" t="s">
        <v>2024</v>
      </c>
      <c r="F7249" s="30" t="s">
        <v>2025</v>
      </c>
      <c r="H7249" s="30" t="s">
        <v>2026</v>
      </c>
      <c r="J7249" s="30" t="s">
        <v>2027</v>
      </c>
      <c r="L7249" s="30" t="s">
        <v>14158</v>
      </c>
      <c r="N7249" s="30" t="s">
        <v>346</v>
      </c>
      <c r="P7249" s="30" t="s">
        <v>14168</v>
      </c>
      <c r="Q7249" t="s">
        <v>623</v>
      </c>
      <c r="R7249" t="s">
        <v>917</v>
      </c>
      <c r="S7249">
        <v>39</v>
      </c>
      <c r="T7249" s="29" t="str">
        <f t="shared" si="313"/>
        <v>2023.015F.Ghabrivirales_reorg.zip</v>
      </c>
      <c r="U7249" s="29" t="str">
        <f>HYPERLINK("https://ictv.global/taxonomy/taxondetails?taxnode_id=202318137","ictv.global=202318137")</f>
        <v>ictv.global=202318137</v>
      </c>
    </row>
    <row r="7250" spans="1:21">
      <c r="A7250">
        <v>7249</v>
      </c>
      <c r="B7250" s="30" t="s">
        <v>1226</v>
      </c>
      <c r="D7250" s="30" t="s">
        <v>2024</v>
      </c>
      <c r="F7250" s="30" t="s">
        <v>2025</v>
      </c>
      <c r="H7250" s="30" t="s">
        <v>2026</v>
      </c>
      <c r="J7250" s="30" t="s">
        <v>2027</v>
      </c>
      <c r="L7250" s="30" t="s">
        <v>14158</v>
      </c>
      <c r="N7250" s="30" t="s">
        <v>346</v>
      </c>
      <c r="P7250" s="30" t="s">
        <v>14169</v>
      </c>
      <c r="Q7250" t="s">
        <v>623</v>
      </c>
      <c r="R7250" t="s">
        <v>917</v>
      </c>
      <c r="S7250">
        <v>39</v>
      </c>
      <c r="T7250" s="29" t="str">
        <f t="shared" si="313"/>
        <v>2023.015F.Ghabrivirales_reorg.zip</v>
      </c>
      <c r="U7250" s="29" t="str">
        <f>HYPERLINK("https://ictv.global/taxonomy/taxondetails?taxnode_id=202318138","ictv.global=202318138")</f>
        <v>ictv.global=202318138</v>
      </c>
    </row>
    <row r="7251" spans="1:21">
      <c r="A7251">
        <v>7250</v>
      </c>
      <c r="B7251" s="30" t="s">
        <v>1226</v>
      </c>
      <c r="D7251" s="30" t="s">
        <v>2024</v>
      </c>
      <c r="F7251" s="30" t="s">
        <v>2025</v>
      </c>
      <c r="H7251" s="30" t="s">
        <v>2026</v>
      </c>
      <c r="J7251" s="30" t="s">
        <v>2027</v>
      </c>
      <c r="L7251" s="30" t="s">
        <v>14158</v>
      </c>
      <c r="N7251" s="30" t="s">
        <v>346</v>
      </c>
      <c r="P7251" s="30" t="s">
        <v>14170</v>
      </c>
      <c r="Q7251" t="s">
        <v>623</v>
      </c>
      <c r="R7251" t="s">
        <v>917</v>
      </c>
      <c r="S7251">
        <v>39</v>
      </c>
      <c r="T7251" s="29" t="str">
        <f t="shared" si="313"/>
        <v>2023.015F.Ghabrivirales_reorg.zip</v>
      </c>
      <c r="U7251" s="29" t="str">
        <f>HYPERLINK("https://ictv.global/taxonomy/taxondetails?taxnode_id=202318139","ictv.global=202318139")</f>
        <v>ictv.global=202318139</v>
      </c>
    </row>
    <row r="7252" spans="1:21">
      <c r="A7252">
        <v>7251</v>
      </c>
      <c r="B7252" s="30" t="s">
        <v>1226</v>
      </c>
      <c r="D7252" s="30" t="s">
        <v>2024</v>
      </c>
      <c r="F7252" s="30" t="s">
        <v>2025</v>
      </c>
      <c r="H7252" s="30" t="s">
        <v>2026</v>
      </c>
      <c r="J7252" s="30" t="s">
        <v>2027</v>
      </c>
      <c r="L7252" s="30" t="s">
        <v>14158</v>
      </c>
      <c r="N7252" s="30" t="s">
        <v>346</v>
      </c>
      <c r="P7252" s="30" t="s">
        <v>14171</v>
      </c>
      <c r="Q7252" t="s">
        <v>623</v>
      </c>
      <c r="R7252" t="s">
        <v>917</v>
      </c>
      <c r="S7252">
        <v>39</v>
      </c>
      <c r="T7252" s="29" t="str">
        <f t="shared" si="313"/>
        <v>2023.015F.Ghabrivirales_reorg.zip</v>
      </c>
      <c r="U7252" s="29" t="str">
        <f>HYPERLINK("https://ictv.global/taxonomy/taxondetails?taxnode_id=202318140","ictv.global=202318140")</f>
        <v>ictv.global=202318140</v>
      </c>
    </row>
    <row r="7253" spans="1:21">
      <c r="A7253">
        <v>7252</v>
      </c>
      <c r="B7253" s="30" t="s">
        <v>1226</v>
      </c>
      <c r="D7253" s="30" t="s">
        <v>2024</v>
      </c>
      <c r="F7253" s="30" t="s">
        <v>2025</v>
      </c>
      <c r="H7253" s="30" t="s">
        <v>2026</v>
      </c>
      <c r="J7253" s="30" t="s">
        <v>2027</v>
      </c>
      <c r="L7253" s="30" t="s">
        <v>14158</v>
      </c>
      <c r="N7253" s="30" t="s">
        <v>346</v>
      </c>
      <c r="P7253" s="30" t="s">
        <v>14172</v>
      </c>
      <c r="Q7253" t="s">
        <v>623</v>
      </c>
      <c r="R7253" t="s">
        <v>917</v>
      </c>
      <c r="S7253">
        <v>39</v>
      </c>
      <c r="T7253" s="29" t="str">
        <f t="shared" si="313"/>
        <v>2023.015F.Ghabrivirales_reorg.zip</v>
      </c>
      <c r="U7253" s="29" t="str">
        <f>HYPERLINK("https://ictv.global/taxonomy/taxondetails?taxnode_id=202318141","ictv.global=202318141")</f>
        <v>ictv.global=202318141</v>
      </c>
    </row>
    <row r="7254" spans="1:21">
      <c r="A7254">
        <v>7253</v>
      </c>
      <c r="B7254" s="30" t="s">
        <v>1226</v>
      </c>
      <c r="D7254" s="30" t="s">
        <v>2024</v>
      </c>
      <c r="F7254" s="30" t="s">
        <v>2025</v>
      </c>
      <c r="H7254" s="30" t="s">
        <v>2026</v>
      </c>
      <c r="J7254" s="30" t="s">
        <v>2027</v>
      </c>
      <c r="L7254" s="30" t="s">
        <v>14158</v>
      </c>
      <c r="N7254" s="30" t="s">
        <v>346</v>
      </c>
      <c r="P7254" s="30" t="s">
        <v>14173</v>
      </c>
      <c r="Q7254" t="s">
        <v>623</v>
      </c>
      <c r="R7254" t="s">
        <v>920</v>
      </c>
      <c r="S7254">
        <v>39</v>
      </c>
      <c r="T7254" s="29" t="str">
        <f t="shared" si="313"/>
        <v>2023.015F.Ghabrivirales_reorg.zip</v>
      </c>
      <c r="U7254" s="29" t="str">
        <f>HYPERLINK("https://ictv.global/taxonomy/taxondetails?taxnode_id=202305294","ictv.global=202305294")</f>
        <v>ictv.global=202305294</v>
      </c>
    </row>
    <row r="7255" spans="1:21">
      <c r="A7255">
        <v>7254</v>
      </c>
      <c r="B7255" s="30" t="s">
        <v>1226</v>
      </c>
      <c r="D7255" s="30" t="s">
        <v>2024</v>
      </c>
      <c r="F7255" s="30" t="s">
        <v>2025</v>
      </c>
      <c r="H7255" s="30" t="s">
        <v>2026</v>
      </c>
      <c r="J7255" s="30" t="s">
        <v>2027</v>
      </c>
      <c r="L7255" s="30" t="s">
        <v>14158</v>
      </c>
      <c r="N7255" s="30" t="s">
        <v>346</v>
      </c>
      <c r="P7255" s="30" t="s">
        <v>14174</v>
      </c>
      <c r="Q7255" t="s">
        <v>623</v>
      </c>
      <c r="R7255" t="s">
        <v>917</v>
      </c>
      <c r="S7255">
        <v>39</v>
      </c>
      <c r="T7255" s="29" t="str">
        <f t="shared" si="313"/>
        <v>2023.015F.Ghabrivirales_reorg.zip</v>
      </c>
      <c r="U7255" s="29" t="str">
        <f>HYPERLINK("https://ictv.global/taxonomy/taxondetails?taxnode_id=202318142","ictv.global=202318142")</f>
        <v>ictv.global=202318142</v>
      </c>
    </row>
    <row r="7256" spans="1:21">
      <c r="A7256">
        <v>7255</v>
      </c>
      <c r="B7256" s="30" t="s">
        <v>1226</v>
      </c>
      <c r="D7256" s="30" t="s">
        <v>2024</v>
      </c>
      <c r="F7256" s="30" t="s">
        <v>2025</v>
      </c>
      <c r="H7256" s="30" t="s">
        <v>2026</v>
      </c>
      <c r="J7256" s="30" t="s">
        <v>2027</v>
      </c>
      <c r="L7256" s="30" t="s">
        <v>14158</v>
      </c>
      <c r="N7256" s="30" t="s">
        <v>346</v>
      </c>
      <c r="P7256" s="30" t="s">
        <v>14175</v>
      </c>
      <c r="Q7256" t="s">
        <v>623</v>
      </c>
      <c r="R7256" t="s">
        <v>917</v>
      </c>
      <c r="S7256">
        <v>39</v>
      </c>
      <c r="T7256" s="29" t="str">
        <f t="shared" si="313"/>
        <v>2023.015F.Ghabrivirales_reorg.zip</v>
      </c>
      <c r="U7256" s="29" t="str">
        <f>HYPERLINK("https://ictv.global/taxonomy/taxondetails?taxnode_id=202318143","ictv.global=202318143")</f>
        <v>ictv.global=202318143</v>
      </c>
    </row>
    <row r="7257" spans="1:21">
      <c r="A7257">
        <v>7256</v>
      </c>
      <c r="B7257" s="30" t="s">
        <v>1226</v>
      </c>
      <c r="D7257" s="30" t="s">
        <v>2024</v>
      </c>
      <c r="F7257" s="30" t="s">
        <v>2025</v>
      </c>
      <c r="H7257" s="30" t="s">
        <v>2026</v>
      </c>
      <c r="J7257" s="30" t="s">
        <v>2027</v>
      </c>
      <c r="L7257" s="30" t="s">
        <v>14158</v>
      </c>
      <c r="N7257" s="30" t="s">
        <v>346</v>
      </c>
      <c r="P7257" s="30" t="s">
        <v>14176</v>
      </c>
      <c r="Q7257" t="s">
        <v>623</v>
      </c>
      <c r="R7257" t="s">
        <v>917</v>
      </c>
      <c r="S7257">
        <v>39</v>
      </c>
      <c r="T7257" s="29" t="str">
        <f t="shared" si="313"/>
        <v>2023.015F.Ghabrivirales_reorg.zip</v>
      </c>
      <c r="U7257" s="29" t="str">
        <f>HYPERLINK("https://ictv.global/taxonomy/taxondetails?taxnode_id=202318144","ictv.global=202318144")</f>
        <v>ictv.global=202318144</v>
      </c>
    </row>
    <row r="7258" spans="1:21">
      <c r="A7258">
        <v>7257</v>
      </c>
      <c r="B7258" s="30" t="s">
        <v>1226</v>
      </c>
      <c r="D7258" s="30" t="s">
        <v>2024</v>
      </c>
      <c r="F7258" s="30" t="s">
        <v>2025</v>
      </c>
      <c r="H7258" s="30" t="s">
        <v>2026</v>
      </c>
      <c r="J7258" s="30" t="s">
        <v>2027</v>
      </c>
      <c r="L7258" s="30" t="s">
        <v>14158</v>
      </c>
      <c r="N7258" s="30" t="s">
        <v>346</v>
      </c>
      <c r="P7258" s="30" t="s">
        <v>14177</v>
      </c>
      <c r="Q7258" t="s">
        <v>623</v>
      </c>
      <c r="R7258" t="s">
        <v>917</v>
      </c>
      <c r="S7258">
        <v>39</v>
      </c>
      <c r="T7258" s="29" t="str">
        <f t="shared" si="313"/>
        <v>2023.015F.Ghabrivirales_reorg.zip</v>
      </c>
      <c r="U7258" s="29" t="str">
        <f>HYPERLINK("https://ictv.global/taxonomy/taxondetails?taxnode_id=202318145","ictv.global=202318145")</f>
        <v>ictv.global=202318145</v>
      </c>
    </row>
    <row r="7259" spans="1:21">
      <c r="A7259">
        <v>7258</v>
      </c>
      <c r="B7259" s="30" t="s">
        <v>1226</v>
      </c>
      <c r="D7259" s="30" t="s">
        <v>2024</v>
      </c>
      <c r="F7259" s="30" t="s">
        <v>2025</v>
      </c>
      <c r="H7259" s="30" t="s">
        <v>2026</v>
      </c>
      <c r="J7259" s="30" t="s">
        <v>2027</v>
      </c>
      <c r="L7259" s="30" t="s">
        <v>14158</v>
      </c>
      <c r="N7259" s="30" t="s">
        <v>346</v>
      </c>
      <c r="P7259" s="30" t="s">
        <v>14178</v>
      </c>
      <c r="Q7259" t="s">
        <v>623</v>
      </c>
      <c r="R7259" t="s">
        <v>917</v>
      </c>
      <c r="S7259">
        <v>39</v>
      </c>
      <c r="T7259" s="29" t="str">
        <f t="shared" si="313"/>
        <v>2023.015F.Ghabrivirales_reorg.zip</v>
      </c>
      <c r="U7259" s="29" t="str">
        <f>HYPERLINK("https://ictv.global/taxonomy/taxondetails?taxnode_id=202318146","ictv.global=202318146")</f>
        <v>ictv.global=202318146</v>
      </c>
    </row>
    <row r="7260" spans="1:21">
      <c r="A7260">
        <v>7259</v>
      </c>
      <c r="B7260" s="30" t="s">
        <v>1226</v>
      </c>
      <c r="D7260" s="30" t="s">
        <v>2024</v>
      </c>
      <c r="F7260" s="30" t="s">
        <v>2025</v>
      </c>
      <c r="H7260" s="30" t="s">
        <v>2026</v>
      </c>
      <c r="J7260" s="30" t="s">
        <v>2027</v>
      </c>
      <c r="L7260" s="30" t="s">
        <v>14158</v>
      </c>
      <c r="N7260" s="30" t="s">
        <v>346</v>
      </c>
      <c r="P7260" s="30" t="s">
        <v>14179</v>
      </c>
      <c r="Q7260" t="s">
        <v>623</v>
      </c>
      <c r="R7260" t="s">
        <v>917</v>
      </c>
      <c r="S7260">
        <v>39</v>
      </c>
      <c r="T7260" s="29" t="str">
        <f t="shared" si="313"/>
        <v>2023.015F.Ghabrivirales_reorg.zip</v>
      </c>
      <c r="U7260" s="29" t="str">
        <f>HYPERLINK("https://ictv.global/taxonomy/taxondetails?taxnode_id=202318147","ictv.global=202318147")</f>
        <v>ictv.global=202318147</v>
      </c>
    </row>
    <row r="7261" spans="1:21">
      <c r="A7261">
        <v>7260</v>
      </c>
      <c r="B7261" s="30" t="s">
        <v>1226</v>
      </c>
      <c r="D7261" s="30" t="s">
        <v>2024</v>
      </c>
      <c r="F7261" s="30" t="s">
        <v>2025</v>
      </c>
      <c r="H7261" s="30" t="s">
        <v>2026</v>
      </c>
      <c r="J7261" s="30" t="s">
        <v>2027</v>
      </c>
      <c r="L7261" s="30" t="s">
        <v>14158</v>
      </c>
      <c r="N7261" s="30" t="s">
        <v>346</v>
      </c>
      <c r="P7261" s="30" t="s">
        <v>14180</v>
      </c>
      <c r="Q7261" t="s">
        <v>623</v>
      </c>
      <c r="R7261" t="s">
        <v>917</v>
      </c>
      <c r="S7261">
        <v>39</v>
      </c>
      <c r="T7261" s="29" t="str">
        <f t="shared" si="313"/>
        <v>2023.015F.Ghabrivirales_reorg.zip</v>
      </c>
      <c r="U7261" s="29" t="str">
        <f>HYPERLINK("https://ictv.global/taxonomy/taxondetails?taxnode_id=202318148","ictv.global=202318148")</f>
        <v>ictv.global=202318148</v>
      </c>
    </row>
    <row r="7262" spans="1:21">
      <c r="A7262">
        <v>7261</v>
      </c>
      <c r="B7262" s="30" t="s">
        <v>1226</v>
      </c>
      <c r="D7262" s="30" t="s">
        <v>2024</v>
      </c>
      <c r="F7262" s="30" t="s">
        <v>2025</v>
      </c>
      <c r="H7262" s="30" t="s">
        <v>2026</v>
      </c>
      <c r="J7262" s="30" t="s">
        <v>2027</v>
      </c>
      <c r="L7262" s="30" t="s">
        <v>14158</v>
      </c>
      <c r="N7262" s="30" t="s">
        <v>346</v>
      </c>
      <c r="P7262" s="30" t="s">
        <v>14181</v>
      </c>
      <c r="Q7262" t="s">
        <v>623</v>
      </c>
      <c r="R7262" t="s">
        <v>917</v>
      </c>
      <c r="S7262">
        <v>39</v>
      </c>
      <c r="T7262" s="29" t="str">
        <f t="shared" si="313"/>
        <v>2023.015F.Ghabrivirales_reorg.zip</v>
      </c>
      <c r="U7262" s="29" t="str">
        <f>HYPERLINK("https://ictv.global/taxonomy/taxondetails?taxnode_id=202318149","ictv.global=202318149")</f>
        <v>ictv.global=202318149</v>
      </c>
    </row>
    <row r="7263" spans="1:21">
      <c r="A7263">
        <v>7262</v>
      </c>
      <c r="B7263" s="30" t="s">
        <v>1226</v>
      </c>
      <c r="D7263" s="30" t="s">
        <v>2024</v>
      </c>
      <c r="F7263" s="30" t="s">
        <v>2025</v>
      </c>
      <c r="H7263" s="30" t="s">
        <v>2026</v>
      </c>
      <c r="J7263" s="30" t="s">
        <v>2027</v>
      </c>
      <c r="L7263" s="30" t="s">
        <v>14158</v>
      </c>
      <c r="N7263" s="30" t="s">
        <v>346</v>
      </c>
      <c r="P7263" s="30" t="s">
        <v>14182</v>
      </c>
      <c r="Q7263" t="s">
        <v>623</v>
      </c>
      <c r="R7263" t="s">
        <v>917</v>
      </c>
      <c r="S7263">
        <v>39</v>
      </c>
      <c r="T7263" s="29" t="str">
        <f t="shared" si="313"/>
        <v>2023.015F.Ghabrivirales_reorg.zip</v>
      </c>
      <c r="U7263" s="29" t="str">
        <f>HYPERLINK("https://ictv.global/taxonomy/taxondetails?taxnode_id=202318150","ictv.global=202318150")</f>
        <v>ictv.global=202318150</v>
      </c>
    </row>
    <row r="7264" spans="1:21">
      <c r="A7264">
        <v>7263</v>
      </c>
      <c r="B7264" s="30" t="s">
        <v>1226</v>
      </c>
      <c r="D7264" s="30" t="s">
        <v>2024</v>
      </c>
      <c r="F7264" s="30" t="s">
        <v>2025</v>
      </c>
      <c r="H7264" s="30" t="s">
        <v>2026</v>
      </c>
      <c r="J7264" s="30" t="s">
        <v>2027</v>
      </c>
      <c r="L7264" s="30" t="s">
        <v>14158</v>
      </c>
      <c r="N7264" s="30" t="s">
        <v>346</v>
      </c>
      <c r="P7264" s="30" t="s">
        <v>14183</v>
      </c>
      <c r="Q7264" t="s">
        <v>623</v>
      </c>
      <c r="R7264" t="s">
        <v>917</v>
      </c>
      <c r="S7264">
        <v>39</v>
      </c>
      <c r="T7264" s="29" t="str">
        <f t="shared" si="313"/>
        <v>2023.015F.Ghabrivirales_reorg.zip</v>
      </c>
      <c r="U7264" s="29" t="str">
        <f>HYPERLINK("https://ictv.global/taxonomy/taxondetails?taxnode_id=202318151","ictv.global=202318151")</f>
        <v>ictv.global=202318151</v>
      </c>
    </row>
    <row r="7265" spans="1:21">
      <c r="A7265">
        <v>7264</v>
      </c>
      <c r="B7265" s="30" t="s">
        <v>1226</v>
      </c>
      <c r="D7265" s="30" t="s">
        <v>2024</v>
      </c>
      <c r="F7265" s="30" t="s">
        <v>2025</v>
      </c>
      <c r="H7265" s="30" t="s">
        <v>2026</v>
      </c>
      <c r="J7265" s="30" t="s">
        <v>2027</v>
      </c>
      <c r="L7265" s="30" t="s">
        <v>14158</v>
      </c>
      <c r="N7265" s="30" t="s">
        <v>346</v>
      </c>
      <c r="P7265" s="30" t="s">
        <v>14184</v>
      </c>
      <c r="Q7265" t="s">
        <v>623</v>
      </c>
      <c r="R7265" t="s">
        <v>920</v>
      </c>
      <c r="S7265">
        <v>39</v>
      </c>
      <c r="T7265" s="29" t="str">
        <f t="shared" si="313"/>
        <v>2023.015F.Ghabrivirales_reorg.zip</v>
      </c>
      <c r="U7265" s="29" t="str">
        <f>HYPERLINK("https://ictv.global/taxonomy/taxondetails?taxnode_id=202305295","ictv.global=202305295")</f>
        <v>ictv.global=202305295</v>
      </c>
    </row>
    <row r="7266" spans="1:21">
      <c r="A7266">
        <v>7265</v>
      </c>
      <c r="B7266" s="30" t="s">
        <v>1226</v>
      </c>
      <c r="D7266" s="30" t="s">
        <v>2024</v>
      </c>
      <c r="F7266" s="30" t="s">
        <v>2025</v>
      </c>
      <c r="H7266" s="30" t="s">
        <v>2026</v>
      </c>
      <c r="J7266" s="30" t="s">
        <v>2027</v>
      </c>
      <c r="L7266" s="30" t="s">
        <v>14158</v>
      </c>
      <c r="N7266" s="30" t="s">
        <v>346</v>
      </c>
      <c r="P7266" s="30" t="s">
        <v>14185</v>
      </c>
      <c r="Q7266" t="s">
        <v>623</v>
      </c>
      <c r="R7266" t="s">
        <v>920</v>
      </c>
      <c r="S7266">
        <v>39</v>
      </c>
      <c r="T7266" s="29" t="str">
        <f t="shared" si="313"/>
        <v>2023.015F.Ghabrivirales_reorg.zip</v>
      </c>
      <c r="U7266" s="29" t="str">
        <f>HYPERLINK("https://ictv.global/taxonomy/taxondetails?taxnode_id=202305296","ictv.global=202305296")</f>
        <v>ictv.global=202305296</v>
      </c>
    </row>
    <row r="7267" spans="1:21">
      <c r="A7267">
        <v>7266</v>
      </c>
      <c r="B7267" s="30" t="s">
        <v>1226</v>
      </c>
      <c r="D7267" s="30" t="s">
        <v>2024</v>
      </c>
      <c r="F7267" s="30" t="s">
        <v>2025</v>
      </c>
      <c r="H7267" s="30" t="s">
        <v>2026</v>
      </c>
      <c r="J7267" s="30" t="s">
        <v>2027</v>
      </c>
      <c r="L7267" s="30" t="s">
        <v>14158</v>
      </c>
      <c r="N7267" s="30" t="s">
        <v>346</v>
      </c>
      <c r="P7267" s="30" t="s">
        <v>14186</v>
      </c>
      <c r="Q7267" t="s">
        <v>623</v>
      </c>
      <c r="R7267" t="s">
        <v>917</v>
      </c>
      <c r="S7267">
        <v>39</v>
      </c>
      <c r="T7267" s="29" t="str">
        <f t="shared" si="313"/>
        <v>2023.015F.Ghabrivirales_reorg.zip</v>
      </c>
      <c r="U7267" s="29" t="str">
        <f>HYPERLINK("https://ictv.global/taxonomy/taxondetails?taxnode_id=202318152","ictv.global=202318152")</f>
        <v>ictv.global=202318152</v>
      </c>
    </row>
    <row r="7268" spans="1:21">
      <c r="A7268">
        <v>7267</v>
      </c>
      <c r="B7268" s="30" t="s">
        <v>1226</v>
      </c>
      <c r="D7268" s="30" t="s">
        <v>2024</v>
      </c>
      <c r="F7268" s="30" t="s">
        <v>2025</v>
      </c>
      <c r="H7268" s="30" t="s">
        <v>2026</v>
      </c>
      <c r="J7268" s="30" t="s">
        <v>2027</v>
      </c>
      <c r="L7268" s="30" t="s">
        <v>14158</v>
      </c>
      <c r="N7268" s="30" t="s">
        <v>346</v>
      </c>
      <c r="P7268" s="30" t="s">
        <v>14187</v>
      </c>
      <c r="Q7268" t="s">
        <v>623</v>
      </c>
      <c r="R7268" t="s">
        <v>917</v>
      </c>
      <c r="S7268">
        <v>39</v>
      </c>
      <c r="T7268" s="29" t="str">
        <f t="shared" si="313"/>
        <v>2023.015F.Ghabrivirales_reorg.zip</v>
      </c>
      <c r="U7268" s="29" t="str">
        <f>HYPERLINK("https://ictv.global/taxonomy/taxondetails?taxnode_id=202318153","ictv.global=202318153")</f>
        <v>ictv.global=202318153</v>
      </c>
    </row>
    <row r="7269" spans="1:21">
      <c r="A7269">
        <v>7268</v>
      </c>
      <c r="B7269" s="30" t="s">
        <v>1226</v>
      </c>
      <c r="D7269" s="30" t="s">
        <v>2024</v>
      </c>
      <c r="F7269" s="30" t="s">
        <v>2025</v>
      </c>
      <c r="H7269" s="30" t="s">
        <v>2026</v>
      </c>
      <c r="J7269" s="30" t="s">
        <v>2027</v>
      </c>
      <c r="L7269" s="30" t="s">
        <v>14158</v>
      </c>
      <c r="N7269" s="30" t="s">
        <v>346</v>
      </c>
      <c r="P7269" s="30" t="s">
        <v>14188</v>
      </c>
      <c r="Q7269" t="s">
        <v>623</v>
      </c>
      <c r="R7269" t="s">
        <v>917</v>
      </c>
      <c r="S7269">
        <v>39</v>
      </c>
      <c r="T7269" s="29" t="str">
        <f t="shared" si="313"/>
        <v>2023.015F.Ghabrivirales_reorg.zip</v>
      </c>
      <c r="U7269" s="29" t="str">
        <f>HYPERLINK("https://ictv.global/taxonomy/taxondetails?taxnode_id=202318154","ictv.global=202318154")</f>
        <v>ictv.global=202318154</v>
      </c>
    </row>
    <row r="7270" spans="1:21">
      <c r="A7270">
        <v>7269</v>
      </c>
      <c r="B7270" s="30" t="s">
        <v>1226</v>
      </c>
      <c r="D7270" s="30" t="s">
        <v>2024</v>
      </c>
      <c r="F7270" s="30" t="s">
        <v>2025</v>
      </c>
      <c r="H7270" s="30" t="s">
        <v>2026</v>
      </c>
      <c r="J7270" s="30" t="s">
        <v>2027</v>
      </c>
      <c r="L7270" s="30" t="s">
        <v>14158</v>
      </c>
      <c r="N7270" s="30" t="s">
        <v>346</v>
      </c>
      <c r="P7270" s="30" t="s">
        <v>14189</v>
      </c>
      <c r="Q7270" t="s">
        <v>623</v>
      </c>
      <c r="R7270" t="s">
        <v>920</v>
      </c>
      <c r="S7270">
        <v>39</v>
      </c>
      <c r="T7270" s="29" t="str">
        <f t="shared" si="313"/>
        <v>2023.015F.Ghabrivirales_reorg.zip</v>
      </c>
      <c r="U7270" s="29" t="str">
        <f>HYPERLINK("https://ictv.global/taxonomy/taxondetails?taxnode_id=202305298","ictv.global=202305298")</f>
        <v>ictv.global=202305298</v>
      </c>
    </row>
    <row r="7271" spans="1:21">
      <c r="A7271">
        <v>7270</v>
      </c>
      <c r="B7271" s="30" t="s">
        <v>1226</v>
      </c>
      <c r="D7271" s="30" t="s">
        <v>2024</v>
      </c>
      <c r="F7271" s="30" t="s">
        <v>2025</v>
      </c>
      <c r="H7271" s="30" t="s">
        <v>2026</v>
      </c>
      <c r="J7271" s="30" t="s">
        <v>2027</v>
      </c>
      <c r="L7271" s="30" t="s">
        <v>14158</v>
      </c>
      <c r="N7271" s="30" t="s">
        <v>346</v>
      </c>
      <c r="P7271" s="30" t="s">
        <v>14190</v>
      </c>
      <c r="Q7271" t="s">
        <v>623</v>
      </c>
      <c r="R7271" t="s">
        <v>917</v>
      </c>
      <c r="S7271">
        <v>39</v>
      </c>
      <c r="T7271" s="29" t="str">
        <f t="shared" si="313"/>
        <v>2023.015F.Ghabrivirales_reorg.zip</v>
      </c>
      <c r="U7271" s="29" t="str">
        <f>HYPERLINK("https://ictv.global/taxonomy/taxondetails?taxnode_id=202318155","ictv.global=202318155")</f>
        <v>ictv.global=202318155</v>
      </c>
    </row>
    <row r="7272" spans="1:21">
      <c r="A7272">
        <v>7271</v>
      </c>
      <c r="B7272" s="30" t="s">
        <v>1226</v>
      </c>
      <c r="D7272" s="30" t="s">
        <v>2024</v>
      </c>
      <c r="F7272" s="30" t="s">
        <v>2025</v>
      </c>
      <c r="H7272" s="30" t="s">
        <v>2028</v>
      </c>
      <c r="J7272" s="30" t="s">
        <v>2029</v>
      </c>
      <c r="L7272" s="30" t="s">
        <v>9153</v>
      </c>
      <c r="N7272" s="30" t="s">
        <v>201</v>
      </c>
      <c r="P7272" s="30" t="s">
        <v>14191</v>
      </c>
      <c r="Q7272" t="s">
        <v>623</v>
      </c>
      <c r="R7272" t="s">
        <v>920</v>
      </c>
      <c r="S7272">
        <v>39</v>
      </c>
      <c r="T7272" s="29" t="str">
        <f t="shared" ref="T7272:T7310" si="314">HYPERLINK("https://ictv.global/ictv/proposals/2023.033M.Sedoreoviridae_sprenam.zip","2023.033M.Sedoreoviridae_sprenam.zip")</f>
        <v>2023.033M.Sedoreoviridae_sprenam.zip</v>
      </c>
      <c r="U7272" s="29" t="str">
        <f>HYPERLINK("https://ictv.global/taxonomy/taxondetails?taxnode_id=202304874","ictv.global=202304874")</f>
        <v>ictv.global=202304874</v>
      </c>
    </row>
    <row r="7273" spans="1:21">
      <c r="A7273">
        <v>7272</v>
      </c>
      <c r="B7273" s="30" t="s">
        <v>1226</v>
      </c>
      <c r="D7273" s="30" t="s">
        <v>2024</v>
      </c>
      <c r="F7273" s="30" t="s">
        <v>2025</v>
      </c>
      <c r="H7273" s="30" t="s">
        <v>2028</v>
      </c>
      <c r="J7273" s="30" t="s">
        <v>2029</v>
      </c>
      <c r="L7273" s="30" t="s">
        <v>9153</v>
      </c>
      <c r="N7273" s="30" t="s">
        <v>455</v>
      </c>
      <c r="P7273" s="30" t="s">
        <v>14192</v>
      </c>
      <c r="Q7273" t="s">
        <v>623</v>
      </c>
      <c r="R7273" t="s">
        <v>920</v>
      </c>
      <c r="S7273">
        <v>39</v>
      </c>
      <c r="T7273" s="29" t="str">
        <f t="shared" si="314"/>
        <v>2023.033M.Sedoreoviridae_sprenam.zip</v>
      </c>
      <c r="U7273" s="29" t="str">
        <f>HYPERLINK("https://ictv.global/taxonomy/taxondetails?taxnode_id=202304876","ictv.global=202304876")</f>
        <v>ictv.global=202304876</v>
      </c>
    </row>
    <row r="7274" spans="1:21">
      <c r="A7274">
        <v>7273</v>
      </c>
      <c r="B7274" s="30" t="s">
        <v>1226</v>
      </c>
      <c r="D7274" s="30" t="s">
        <v>2024</v>
      </c>
      <c r="F7274" s="30" t="s">
        <v>2025</v>
      </c>
      <c r="H7274" s="30" t="s">
        <v>2028</v>
      </c>
      <c r="J7274" s="30" t="s">
        <v>2029</v>
      </c>
      <c r="L7274" s="30" t="s">
        <v>9153</v>
      </c>
      <c r="N7274" s="30" t="s">
        <v>457</v>
      </c>
      <c r="P7274" s="30" t="s">
        <v>14193</v>
      </c>
      <c r="Q7274" t="s">
        <v>623</v>
      </c>
      <c r="R7274" t="s">
        <v>920</v>
      </c>
      <c r="S7274">
        <v>39</v>
      </c>
      <c r="T7274" s="29" t="str">
        <f t="shared" si="314"/>
        <v>2023.033M.Sedoreoviridae_sprenam.zip</v>
      </c>
      <c r="U7274" s="29" t="str">
        <f>HYPERLINK("https://ictv.global/taxonomy/taxondetails?taxnode_id=202304878","ictv.global=202304878")</f>
        <v>ictv.global=202304878</v>
      </c>
    </row>
    <row r="7275" spans="1:21">
      <c r="A7275">
        <v>7274</v>
      </c>
      <c r="B7275" s="30" t="s">
        <v>1226</v>
      </c>
      <c r="D7275" s="30" t="s">
        <v>2024</v>
      </c>
      <c r="F7275" s="30" t="s">
        <v>2025</v>
      </c>
      <c r="H7275" s="30" t="s">
        <v>2028</v>
      </c>
      <c r="J7275" s="30" t="s">
        <v>2029</v>
      </c>
      <c r="L7275" s="30" t="s">
        <v>9153</v>
      </c>
      <c r="N7275" s="30" t="s">
        <v>457</v>
      </c>
      <c r="P7275" s="30" t="s">
        <v>14194</v>
      </c>
      <c r="Q7275" t="s">
        <v>623</v>
      </c>
      <c r="R7275" t="s">
        <v>920</v>
      </c>
      <c r="S7275">
        <v>39</v>
      </c>
      <c r="T7275" s="29" t="str">
        <f t="shared" si="314"/>
        <v>2023.033M.Sedoreoviridae_sprenam.zip</v>
      </c>
      <c r="U7275" s="29" t="str">
        <f>HYPERLINK("https://ictv.global/taxonomy/taxondetails?taxnode_id=202304883","ictv.global=202304883")</f>
        <v>ictv.global=202304883</v>
      </c>
    </row>
    <row r="7276" spans="1:21">
      <c r="A7276">
        <v>7275</v>
      </c>
      <c r="B7276" s="30" t="s">
        <v>1226</v>
      </c>
      <c r="D7276" s="30" t="s">
        <v>2024</v>
      </c>
      <c r="F7276" s="30" t="s">
        <v>2025</v>
      </c>
      <c r="H7276" s="30" t="s">
        <v>2028</v>
      </c>
      <c r="J7276" s="30" t="s">
        <v>2029</v>
      </c>
      <c r="L7276" s="30" t="s">
        <v>9153</v>
      </c>
      <c r="N7276" s="30" t="s">
        <v>457</v>
      </c>
      <c r="P7276" s="30" t="s">
        <v>14195</v>
      </c>
      <c r="Q7276" t="s">
        <v>623</v>
      </c>
      <c r="R7276" t="s">
        <v>920</v>
      </c>
      <c r="S7276">
        <v>39</v>
      </c>
      <c r="T7276" s="29" t="str">
        <f t="shared" si="314"/>
        <v>2023.033M.Sedoreoviridae_sprenam.zip</v>
      </c>
      <c r="U7276" s="29" t="str">
        <f>HYPERLINK("https://ictv.global/taxonomy/taxondetails?taxnode_id=202304885","ictv.global=202304885")</f>
        <v>ictv.global=202304885</v>
      </c>
    </row>
    <row r="7277" spans="1:21">
      <c r="A7277">
        <v>7276</v>
      </c>
      <c r="B7277" s="30" t="s">
        <v>1226</v>
      </c>
      <c r="D7277" s="30" t="s">
        <v>2024</v>
      </c>
      <c r="F7277" s="30" t="s">
        <v>2025</v>
      </c>
      <c r="H7277" s="30" t="s">
        <v>2028</v>
      </c>
      <c r="J7277" s="30" t="s">
        <v>2029</v>
      </c>
      <c r="L7277" s="30" t="s">
        <v>9153</v>
      </c>
      <c r="N7277" s="30" t="s">
        <v>457</v>
      </c>
      <c r="P7277" s="30" t="s">
        <v>14196</v>
      </c>
      <c r="Q7277" t="s">
        <v>623</v>
      </c>
      <c r="R7277" t="s">
        <v>920</v>
      </c>
      <c r="S7277">
        <v>39</v>
      </c>
      <c r="T7277" s="29" t="str">
        <f t="shared" si="314"/>
        <v>2023.033M.Sedoreoviridae_sprenam.zip</v>
      </c>
      <c r="U7277" s="29" t="str">
        <f>HYPERLINK("https://ictv.global/taxonomy/taxondetails?taxnode_id=202304896","ictv.global=202304896")</f>
        <v>ictv.global=202304896</v>
      </c>
    </row>
    <row r="7278" spans="1:21">
      <c r="A7278">
        <v>7277</v>
      </c>
      <c r="B7278" s="30" t="s">
        <v>1226</v>
      </c>
      <c r="D7278" s="30" t="s">
        <v>2024</v>
      </c>
      <c r="F7278" s="30" t="s">
        <v>2025</v>
      </c>
      <c r="H7278" s="30" t="s">
        <v>2028</v>
      </c>
      <c r="J7278" s="30" t="s">
        <v>2029</v>
      </c>
      <c r="L7278" s="30" t="s">
        <v>9153</v>
      </c>
      <c r="N7278" s="30" t="s">
        <v>457</v>
      </c>
      <c r="P7278" s="30" t="s">
        <v>14197</v>
      </c>
      <c r="Q7278" t="s">
        <v>623</v>
      </c>
      <c r="R7278" t="s">
        <v>920</v>
      </c>
      <c r="S7278">
        <v>39</v>
      </c>
      <c r="T7278" s="29" t="str">
        <f t="shared" si="314"/>
        <v>2023.033M.Sedoreoviridae_sprenam.zip</v>
      </c>
      <c r="U7278" s="29" t="str">
        <f>HYPERLINK("https://ictv.global/taxonomy/taxondetails?taxnode_id=202304879","ictv.global=202304879")</f>
        <v>ictv.global=202304879</v>
      </c>
    </row>
    <row r="7279" spans="1:21">
      <c r="A7279">
        <v>7278</v>
      </c>
      <c r="B7279" s="30" t="s">
        <v>1226</v>
      </c>
      <c r="D7279" s="30" t="s">
        <v>2024</v>
      </c>
      <c r="F7279" s="30" t="s">
        <v>2025</v>
      </c>
      <c r="H7279" s="30" t="s">
        <v>2028</v>
      </c>
      <c r="J7279" s="30" t="s">
        <v>2029</v>
      </c>
      <c r="L7279" s="30" t="s">
        <v>9153</v>
      </c>
      <c r="N7279" s="30" t="s">
        <v>457</v>
      </c>
      <c r="P7279" s="30" t="s">
        <v>14198</v>
      </c>
      <c r="Q7279" t="s">
        <v>623</v>
      </c>
      <c r="R7279" t="s">
        <v>920</v>
      </c>
      <c r="S7279">
        <v>39</v>
      </c>
      <c r="T7279" s="29" t="str">
        <f t="shared" si="314"/>
        <v>2023.033M.Sedoreoviridae_sprenam.zip</v>
      </c>
      <c r="U7279" s="29" t="str">
        <f>HYPERLINK("https://ictv.global/taxonomy/taxondetails?taxnode_id=202304880","ictv.global=202304880")</f>
        <v>ictv.global=202304880</v>
      </c>
    </row>
    <row r="7280" spans="1:21">
      <c r="A7280">
        <v>7279</v>
      </c>
      <c r="B7280" s="30" t="s">
        <v>1226</v>
      </c>
      <c r="D7280" s="30" t="s">
        <v>2024</v>
      </c>
      <c r="F7280" s="30" t="s">
        <v>2025</v>
      </c>
      <c r="H7280" s="30" t="s">
        <v>2028</v>
      </c>
      <c r="J7280" s="30" t="s">
        <v>2029</v>
      </c>
      <c r="L7280" s="30" t="s">
        <v>9153</v>
      </c>
      <c r="N7280" s="30" t="s">
        <v>457</v>
      </c>
      <c r="P7280" s="30" t="s">
        <v>14199</v>
      </c>
      <c r="Q7280" t="s">
        <v>623</v>
      </c>
      <c r="R7280" t="s">
        <v>920</v>
      </c>
      <c r="S7280">
        <v>39</v>
      </c>
      <c r="T7280" s="29" t="str">
        <f t="shared" si="314"/>
        <v>2023.033M.Sedoreoviridae_sprenam.zip</v>
      </c>
      <c r="U7280" s="29" t="str">
        <f>HYPERLINK("https://ictv.global/taxonomy/taxondetails?taxnode_id=202304881","ictv.global=202304881")</f>
        <v>ictv.global=202304881</v>
      </c>
    </row>
    <row r="7281" spans="1:21">
      <c r="A7281">
        <v>7280</v>
      </c>
      <c r="B7281" s="30" t="s">
        <v>1226</v>
      </c>
      <c r="D7281" s="30" t="s">
        <v>2024</v>
      </c>
      <c r="F7281" s="30" t="s">
        <v>2025</v>
      </c>
      <c r="H7281" s="30" t="s">
        <v>2028</v>
      </c>
      <c r="J7281" s="30" t="s">
        <v>2029</v>
      </c>
      <c r="L7281" s="30" t="s">
        <v>9153</v>
      </c>
      <c r="N7281" s="30" t="s">
        <v>457</v>
      </c>
      <c r="P7281" s="30" t="s">
        <v>14200</v>
      </c>
      <c r="Q7281" t="s">
        <v>623</v>
      </c>
      <c r="R7281" t="s">
        <v>920</v>
      </c>
      <c r="S7281">
        <v>39</v>
      </c>
      <c r="T7281" s="29" t="str">
        <f t="shared" si="314"/>
        <v>2023.033M.Sedoreoviridae_sprenam.zip</v>
      </c>
      <c r="U7281" s="29" t="str">
        <f>HYPERLINK("https://ictv.global/taxonomy/taxondetails?taxnode_id=202304882","ictv.global=202304882")</f>
        <v>ictv.global=202304882</v>
      </c>
    </row>
    <row r="7282" spans="1:21">
      <c r="A7282">
        <v>7281</v>
      </c>
      <c r="B7282" s="30" t="s">
        <v>1226</v>
      </c>
      <c r="D7282" s="30" t="s">
        <v>2024</v>
      </c>
      <c r="F7282" s="30" t="s">
        <v>2025</v>
      </c>
      <c r="H7282" s="30" t="s">
        <v>2028</v>
      </c>
      <c r="J7282" s="30" t="s">
        <v>2029</v>
      </c>
      <c r="L7282" s="30" t="s">
        <v>9153</v>
      </c>
      <c r="N7282" s="30" t="s">
        <v>457</v>
      </c>
      <c r="P7282" s="30" t="s">
        <v>14201</v>
      </c>
      <c r="Q7282" t="s">
        <v>623</v>
      </c>
      <c r="R7282" t="s">
        <v>920</v>
      </c>
      <c r="S7282">
        <v>39</v>
      </c>
      <c r="T7282" s="29" t="str">
        <f t="shared" si="314"/>
        <v>2023.033M.Sedoreoviridae_sprenam.zip</v>
      </c>
      <c r="U7282" s="29" t="str">
        <f>HYPERLINK("https://ictv.global/taxonomy/taxondetails?taxnode_id=202304898","ictv.global=202304898")</f>
        <v>ictv.global=202304898</v>
      </c>
    </row>
    <row r="7283" spans="1:21">
      <c r="A7283">
        <v>7282</v>
      </c>
      <c r="B7283" s="30" t="s">
        <v>1226</v>
      </c>
      <c r="D7283" s="30" t="s">
        <v>2024</v>
      </c>
      <c r="F7283" s="30" t="s">
        <v>2025</v>
      </c>
      <c r="H7283" s="30" t="s">
        <v>2028</v>
      </c>
      <c r="J7283" s="30" t="s">
        <v>2029</v>
      </c>
      <c r="L7283" s="30" t="s">
        <v>9153</v>
      </c>
      <c r="N7283" s="30" t="s">
        <v>457</v>
      </c>
      <c r="P7283" s="30" t="s">
        <v>14202</v>
      </c>
      <c r="Q7283" t="s">
        <v>623</v>
      </c>
      <c r="R7283" t="s">
        <v>920</v>
      </c>
      <c r="S7283">
        <v>39</v>
      </c>
      <c r="T7283" s="29" t="str">
        <f t="shared" si="314"/>
        <v>2023.033M.Sedoreoviridae_sprenam.zip</v>
      </c>
      <c r="U7283" s="29" t="str">
        <f>HYPERLINK("https://ictv.global/taxonomy/taxondetails?taxnode_id=202304886","ictv.global=202304886")</f>
        <v>ictv.global=202304886</v>
      </c>
    </row>
    <row r="7284" spans="1:21">
      <c r="A7284">
        <v>7283</v>
      </c>
      <c r="B7284" s="30" t="s">
        <v>1226</v>
      </c>
      <c r="D7284" s="30" t="s">
        <v>2024</v>
      </c>
      <c r="F7284" s="30" t="s">
        <v>2025</v>
      </c>
      <c r="H7284" s="30" t="s">
        <v>2028</v>
      </c>
      <c r="J7284" s="30" t="s">
        <v>2029</v>
      </c>
      <c r="L7284" s="30" t="s">
        <v>9153</v>
      </c>
      <c r="N7284" s="30" t="s">
        <v>457</v>
      </c>
      <c r="P7284" s="30" t="s">
        <v>14203</v>
      </c>
      <c r="Q7284" t="s">
        <v>623</v>
      </c>
      <c r="R7284" t="s">
        <v>920</v>
      </c>
      <c r="S7284">
        <v>39</v>
      </c>
      <c r="T7284" s="29" t="str">
        <f t="shared" si="314"/>
        <v>2023.033M.Sedoreoviridae_sprenam.zip</v>
      </c>
      <c r="U7284" s="29" t="str">
        <f>HYPERLINK("https://ictv.global/taxonomy/taxondetails?taxnode_id=202304892","ictv.global=202304892")</f>
        <v>ictv.global=202304892</v>
      </c>
    </row>
    <row r="7285" spans="1:21">
      <c r="A7285">
        <v>7284</v>
      </c>
      <c r="B7285" s="30" t="s">
        <v>1226</v>
      </c>
      <c r="D7285" s="30" t="s">
        <v>2024</v>
      </c>
      <c r="F7285" s="30" t="s">
        <v>2025</v>
      </c>
      <c r="H7285" s="30" t="s">
        <v>2028</v>
      </c>
      <c r="J7285" s="30" t="s">
        <v>2029</v>
      </c>
      <c r="L7285" s="30" t="s">
        <v>9153</v>
      </c>
      <c r="N7285" s="30" t="s">
        <v>457</v>
      </c>
      <c r="P7285" s="30" t="s">
        <v>14204</v>
      </c>
      <c r="Q7285" t="s">
        <v>623</v>
      </c>
      <c r="R7285" t="s">
        <v>920</v>
      </c>
      <c r="S7285">
        <v>39</v>
      </c>
      <c r="T7285" s="29" t="str">
        <f t="shared" si="314"/>
        <v>2023.033M.Sedoreoviridae_sprenam.zip</v>
      </c>
      <c r="U7285" s="29" t="str">
        <f>HYPERLINK("https://ictv.global/taxonomy/taxondetails?taxnode_id=202304897","ictv.global=202304897")</f>
        <v>ictv.global=202304897</v>
      </c>
    </row>
    <row r="7286" spans="1:21">
      <c r="A7286">
        <v>7285</v>
      </c>
      <c r="B7286" s="30" t="s">
        <v>1226</v>
      </c>
      <c r="D7286" s="30" t="s">
        <v>2024</v>
      </c>
      <c r="F7286" s="30" t="s">
        <v>2025</v>
      </c>
      <c r="H7286" s="30" t="s">
        <v>2028</v>
      </c>
      <c r="J7286" s="30" t="s">
        <v>2029</v>
      </c>
      <c r="L7286" s="30" t="s">
        <v>9153</v>
      </c>
      <c r="N7286" s="30" t="s">
        <v>457</v>
      </c>
      <c r="P7286" s="30" t="s">
        <v>14205</v>
      </c>
      <c r="Q7286" t="s">
        <v>623</v>
      </c>
      <c r="R7286" t="s">
        <v>920</v>
      </c>
      <c r="S7286">
        <v>39</v>
      </c>
      <c r="T7286" s="29" t="str">
        <f t="shared" si="314"/>
        <v>2023.033M.Sedoreoviridae_sprenam.zip</v>
      </c>
      <c r="U7286" s="29" t="str">
        <f>HYPERLINK("https://ictv.global/taxonomy/taxondetails?taxnode_id=202304889","ictv.global=202304889")</f>
        <v>ictv.global=202304889</v>
      </c>
    </row>
    <row r="7287" spans="1:21">
      <c r="A7287">
        <v>7286</v>
      </c>
      <c r="B7287" s="30" t="s">
        <v>1226</v>
      </c>
      <c r="D7287" s="30" t="s">
        <v>2024</v>
      </c>
      <c r="F7287" s="30" t="s">
        <v>2025</v>
      </c>
      <c r="H7287" s="30" t="s">
        <v>2028</v>
      </c>
      <c r="J7287" s="30" t="s">
        <v>2029</v>
      </c>
      <c r="L7287" s="30" t="s">
        <v>9153</v>
      </c>
      <c r="N7287" s="30" t="s">
        <v>457</v>
      </c>
      <c r="P7287" s="30" t="s">
        <v>14206</v>
      </c>
      <c r="Q7287" t="s">
        <v>623</v>
      </c>
      <c r="R7287" t="s">
        <v>920</v>
      </c>
      <c r="S7287">
        <v>39</v>
      </c>
      <c r="T7287" s="29" t="str">
        <f t="shared" si="314"/>
        <v>2023.033M.Sedoreoviridae_sprenam.zip</v>
      </c>
      <c r="U7287" s="29" t="str">
        <f>HYPERLINK("https://ictv.global/taxonomy/taxondetails?taxnode_id=202304887","ictv.global=202304887")</f>
        <v>ictv.global=202304887</v>
      </c>
    </row>
    <row r="7288" spans="1:21">
      <c r="A7288">
        <v>7287</v>
      </c>
      <c r="B7288" s="30" t="s">
        <v>1226</v>
      </c>
      <c r="D7288" s="30" t="s">
        <v>2024</v>
      </c>
      <c r="F7288" s="30" t="s">
        <v>2025</v>
      </c>
      <c r="H7288" s="30" t="s">
        <v>2028</v>
      </c>
      <c r="J7288" s="30" t="s">
        <v>2029</v>
      </c>
      <c r="L7288" s="30" t="s">
        <v>9153</v>
      </c>
      <c r="N7288" s="30" t="s">
        <v>457</v>
      </c>
      <c r="P7288" s="30" t="s">
        <v>14207</v>
      </c>
      <c r="Q7288" t="s">
        <v>623</v>
      </c>
      <c r="R7288" t="s">
        <v>920</v>
      </c>
      <c r="S7288">
        <v>39</v>
      </c>
      <c r="T7288" s="29" t="str">
        <f t="shared" si="314"/>
        <v>2023.033M.Sedoreoviridae_sprenam.zip</v>
      </c>
      <c r="U7288" s="29" t="str">
        <f>HYPERLINK("https://ictv.global/taxonomy/taxondetails?taxnode_id=202304890","ictv.global=202304890")</f>
        <v>ictv.global=202304890</v>
      </c>
    </row>
    <row r="7289" spans="1:21">
      <c r="A7289">
        <v>7288</v>
      </c>
      <c r="B7289" s="30" t="s">
        <v>1226</v>
      </c>
      <c r="D7289" s="30" t="s">
        <v>2024</v>
      </c>
      <c r="F7289" s="30" t="s">
        <v>2025</v>
      </c>
      <c r="H7289" s="30" t="s">
        <v>2028</v>
      </c>
      <c r="J7289" s="30" t="s">
        <v>2029</v>
      </c>
      <c r="L7289" s="30" t="s">
        <v>9153</v>
      </c>
      <c r="N7289" s="30" t="s">
        <v>457</v>
      </c>
      <c r="P7289" s="30" t="s">
        <v>14208</v>
      </c>
      <c r="Q7289" t="s">
        <v>623</v>
      </c>
      <c r="R7289" t="s">
        <v>920</v>
      </c>
      <c r="S7289">
        <v>39</v>
      </c>
      <c r="T7289" s="29" t="str">
        <f t="shared" si="314"/>
        <v>2023.033M.Sedoreoviridae_sprenam.zip</v>
      </c>
      <c r="U7289" s="29" t="str">
        <f>HYPERLINK("https://ictv.global/taxonomy/taxondetails?taxnode_id=202304891","ictv.global=202304891")</f>
        <v>ictv.global=202304891</v>
      </c>
    </row>
    <row r="7290" spans="1:21">
      <c r="A7290">
        <v>7289</v>
      </c>
      <c r="B7290" s="30" t="s">
        <v>1226</v>
      </c>
      <c r="D7290" s="30" t="s">
        <v>2024</v>
      </c>
      <c r="F7290" s="30" t="s">
        <v>2025</v>
      </c>
      <c r="H7290" s="30" t="s">
        <v>2028</v>
      </c>
      <c r="J7290" s="30" t="s">
        <v>2029</v>
      </c>
      <c r="L7290" s="30" t="s">
        <v>9153</v>
      </c>
      <c r="N7290" s="30" t="s">
        <v>457</v>
      </c>
      <c r="P7290" s="30" t="s">
        <v>14209</v>
      </c>
      <c r="Q7290" t="s">
        <v>623</v>
      </c>
      <c r="R7290" t="s">
        <v>920</v>
      </c>
      <c r="S7290">
        <v>39</v>
      </c>
      <c r="T7290" s="29" t="str">
        <f t="shared" si="314"/>
        <v>2023.033M.Sedoreoviridae_sprenam.zip</v>
      </c>
      <c r="U7290" s="29" t="str">
        <f>HYPERLINK("https://ictv.global/taxonomy/taxondetails?taxnode_id=202304884","ictv.global=202304884")</f>
        <v>ictv.global=202304884</v>
      </c>
    </row>
    <row r="7291" spans="1:21">
      <c r="A7291">
        <v>7290</v>
      </c>
      <c r="B7291" s="30" t="s">
        <v>1226</v>
      </c>
      <c r="D7291" s="30" t="s">
        <v>2024</v>
      </c>
      <c r="F7291" s="30" t="s">
        <v>2025</v>
      </c>
      <c r="H7291" s="30" t="s">
        <v>2028</v>
      </c>
      <c r="J7291" s="30" t="s">
        <v>2029</v>
      </c>
      <c r="L7291" s="30" t="s">
        <v>9153</v>
      </c>
      <c r="N7291" s="30" t="s">
        <v>457</v>
      </c>
      <c r="P7291" s="30" t="s">
        <v>14210</v>
      </c>
      <c r="Q7291" t="s">
        <v>623</v>
      </c>
      <c r="R7291" t="s">
        <v>920</v>
      </c>
      <c r="S7291">
        <v>39</v>
      </c>
      <c r="T7291" s="29" t="str">
        <f t="shared" si="314"/>
        <v>2023.033M.Sedoreoviridae_sprenam.zip</v>
      </c>
      <c r="U7291" s="29" t="str">
        <f>HYPERLINK("https://ictv.global/taxonomy/taxondetails?taxnode_id=202304893","ictv.global=202304893")</f>
        <v>ictv.global=202304893</v>
      </c>
    </row>
    <row r="7292" spans="1:21">
      <c r="A7292">
        <v>7291</v>
      </c>
      <c r="B7292" s="30" t="s">
        <v>1226</v>
      </c>
      <c r="D7292" s="30" t="s">
        <v>2024</v>
      </c>
      <c r="F7292" s="30" t="s">
        <v>2025</v>
      </c>
      <c r="H7292" s="30" t="s">
        <v>2028</v>
      </c>
      <c r="J7292" s="30" t="s">
        <v>2029</v>
      </c>
      <c r="L7292" s="30" t="s">
        <v>9153</v>
      </c>
      <c r="N7292" s="30" t="s">
        <v>457</v>
      </c>
      <c r="P7292" s="30" t="s">
        <v>14211</v>
      </c>
      <c r="Q7292" t="s">
        <v>623</v>
      </c>
      <c r="R7292" t="s">
        <v>920</v>
      </c>
      <c r="S7292">
        <v>39</v>
      </c>
      <c r="T7292" s="29" t="str">
        <f t="shared" si="314"/>
        <v>2023.033M.Sedoreoviridae_sprenam.zip</v>
      </c>
      <c r="U7292" s="29" t="str">
        <f>HYPERLINK("https://ictv.global/taxonomy/taxondetails?taxnode_id=202304888","ictv.global=202304888")</f>
        <v>ictv.global=202304888</v>
      </c>
    </row>
    <row r="7293" spans="1:21">
      <c r="A7293">
        <v>7292</v>
      </c>
      <c r="B7293" s="30" t="s">
        <v>1226</v>
      </c>
      <c r="D7293" s="30" t="s">
        <v>2024</v>
      </c>
      <c r="F7293" s="30" t="s">
        <v>2025</v>
      </c>
      <c r="H7293" s="30" t="s">
        <v>2028</v>
      </c>
      <c r="J7293" s="30" t="s">
        <v>2029</v>
      </c>
      <c r="L7293" s="30" t="s">
        <v>9153</v>
      </c>
      <c r="N7293" s="30" t="s">
        <v>457</v>
      </c>
      <c r="P7293" s="30" t="s">
        <v>14212</v>
      </c>
      <c r="Q7293" t="s">
        <v>623</v>
      </c>
      <c r="R7293" t="s">
        <v>920</v>
      </c>
      <c r="S7293">
        <v>39</v>
      </c>
      <c r="T7293" s="29" t="str">
        <f t="shared" si="314"/>
        <v>2023.033M.Sedoreoviridae_sprenam.zip</v>
      </c>
      <c r="U7293" s="29" t="str">
        <f>HYPERLINK("https://ictv.global/taxonomy/taxondetails?taxnode_id=202304894","ictv.global=202304894")</f>
        <v>ictv.global=202304894</v>
      </c>
    </row>
    <row r="7294" spans="1:21">
      <c r="A7294">
        <v>7293</v>
      </c>
      <c r="B7294" s="30" t="s">
        <v>1226</v>
      </c>
      <c r="D7294" s="30" t="s">
        <v>2024</v>
      </c>
      <c r="F7294" s="30" t="s">
        <v>2025</v>
      </c>
      <c r="H7294" s="30" t="s">
        <v>2028</v>
      </c>
      <c r="J7294" s="30" t="s">
        <v>2029</v>
      </c>
      <c r="L7294" s="30" t="s">
        <v>9153</v>
      </c>
      <c r="N7294" s="30" t="s">
        <v>457</v>
      </c>
      <c r="P7294" s="30" t="s">
        <v>14213</v>
      </c>
      <c r="Q7294" t="s">
        <v>623</v>
      </c>
      <c r="R7294" t="s">
        <v>920</v>
      </c>
      <c r="S7294">
        <v>39</v>
      </c>
      <c r="T7294" s="29" t="str">
        <f t="shared" si="314"/>
        <v>2023.033M.Sedoreoviridae_sprenam.zip</v>
      </c>
      <c r="U7294" s="29" t="str">
        <f>HYPERLINK("https://ictv.global/taxonomy/taxondetails?taxnode_id=202304895","ictv.global=202304895")</f>
        <v>ictv.global=202304895</v>
      </c>
    </row>
    <row r="7295" spans="1:21">
      <c r="A7295">
        <v>7294</v>
      </c>
      <c r="B7295" s="30" t="s">
        <v>1226</v>
      </c>
      <c r="D7295" s="30" t="s">
        <v>2024</v>
      </c>
      <c r="F7295" s="30" t="s">
        <v>2025</v>
      </c>
      <c r="H7295" s="30" t="s">
        <v>2028</v>
      </c>
      <c r="J7295" s="30" t="s">
        <v>2029</v>
      </c>
      <c r="L7295" s="30" t="s">
        <v>9153</v>
      </c>
      <c r="N7295" s="30" t="s">
        <v>457</v>
      </c>
      <c r="P7295" s="30" t="s">
        <v>14214</v>
      </c>
      <c r="Q7295" t="s">
        <v>623</v>
      </c>
      <c r="R7295" t="s">
        <v>920</v>
      </c>
      <c r="S7295">
        <v>39</v>
      </c>
      <c r="T7295" s="29" t="str">
        <f t="shared" si="314"/>
        <v>2023.033M.Sedoreoviridae_sprenam.zip</v>
      </c>
      <c r="U7295" s="29" t="str">
        <f>HYPERLINK("https://ictv.global/taxonomy/taxondetails?taxnode_id=202304899","ictv.global=202304899")</f>
        <v>ictv.global=202304899</v>
      </c>
    </row>
    <row r="7296" spans="1:21">
      <c r="A7296">
        <v>7295</v>
      </c>
      <c r="B7296" s="30" t="s">
        <v>1226</v>
      </c>
      <c r="D7296" s="30" t="s">
        <v>2024</v>
      </c>
      <c r="F7296" s="30" t="s">
        <v>2025</v>
      </c>
      <c r="H7296" s="30" t="s">
        <v>2028</v>
      </c>
      <c r="J7296" s="30" t="s">
        <v>2029</v>
      </c>
      <c r="L7296" s="30" t="s">
        <v>9153</v>
      </c>
      <c r="N7296" s="30" t="s">
        <v>121</v>
      </c>
      <c r="P7296" s="30" t="s">
        <v>14215</v>
      </c>
      <c r="Q7296" t="s">
        <v>623</v>
      </c>
      <c r="R7296" t="s">
        <v>920</v>
      </c>
      <c r="S7296">
        <v>39</v>
      </c>
      <c r="T7296" s="29" t="str">
        <f t="shared" si="314"/>
        <v>2023.033M.Sedoreoviridae_sprenam.zip</v>
      </c>
      <c r="U7296" s="29" t="str">
        <f>HYPERLINK("https://ictv.global/taxonomy/taxondetails?taxnode_id=202304901","ictv.global=202304901")</f>
        <v>ictv.global=202304901</v>
      </c>
    </row>
    <row r="7297" spans="1:21">
      <c r="A7297">
        <v>7296</v>
      </c>
      <c r="B7297" s="30" t="s">
        <v>1226</v>
      </c>
      <c r="D7297" s="30" t="s">
        <v>2024</v>
      </c>
      <c r="F7297" s="30" t="s">
        <v>2025</v>
      </c>
      <c r="H7297" s="30" t="s">
        <v>2028</v>
      </c>
      <c r="J7297" s="30" t="s">
        <v>2029</v>
      </c>
      <c r="L7297" s="30" t="s">
        <v>9153</v>
      </c>
      <c r="N7297" s="30" t="s">
        <v>121</v>
      </c>
      <c r="P7297" s="30" t="s">
        <v>14216</v>
      </c>
      <c r="Q7297" t="s">
        <v>623</v>
      </c>
      <c r="R7297" t="s">
        <v>920</v>
      </c>
      <c r="S7297">
        <v>39</v>
      </c>
      <c r="T7297" s="29" t="str">
        <f t="shared" si="314"/>
        <v>2023.033M.Sedoreoviridae_sprenam.zip</v>
      </c>
      <c r="U7297" s="29" t="str">
        <f>HYPERLINK("https://ictv.global/taxonomy/taxondetails?taxnode_id=202304902","ictv.global=202304902")</f>
        <v>ictv.global=202304902</v>
      </c>
    </row>
    <row r="7298" spans="1:21">
      <c r="A7298">
        <v>7297</v>
      </c>
      <c r="B7298" s="30" t="s">
        <v>1226</v>
      </c>
      <c r="D7298" s="30" t="s">
        <v>2024</v>
      </c>
      <c r="F7298" s="30" t="s">
        <v>2025</v>
      </c>
      <c r="H7298" s="30" t="s">
        <v>2028</v>
      </c>
      <c r="J7298" s="30" t="s">
        <v>2029</v>
      </c>
      <c r="L7298" s="30" t="s">
        <v>9153</v>
      </c>
      <c r="N7298" s="30" t="s">
        <v>121</v>
      </c>
      <c r="P7298" s="30" t="s">
        <v>14217</v>
      </c>
      <c r="Q7298" t="s">
        <v>623</v>
      </c>
      <c r="R7298" t="s">
        <v>920</v>
      </c>
      <c r="S7298">
        <v>39</v>
      </c>
      <c r="T7298" s="29" t="str">
        <f t="shared" si="314"/>
        <v>2023.033M.Sedoreoviridae_sprenam.zip</v>
      </c>
      <c r="U7298" s="29" t="str">
        <f>HYPERLINK("https://ictv.global/taxonomy/taxondetails?taxnode_id=202304903","ictv.global=202304903")</f>
        <v>ictv.global=202304903</v>
      </c>
    </row>
    <row r="7299" spans="1:21">
      <c r="A7299">
        <v>7298</v>
      </c>
      <c r="B7299" s="30" t="s">
        <v>1226</v>
      </c>
      <c r="D7299" s="30" t="s">
        <v>2024</v>
      </c>
      <c r="F7299" s="30" t="s">
        <v>2025</v>
      </c>
      <c r="H7299" s="30" t="s">
        <v>2028</v>
      </c>
      <c r="J7299" s="30" t="s">
        <v>2029</v>
      </c>
      <c r="L7299" s="30" t="s">
        <v>9153</v>
      </c>
      <c r="N7299" s="30" t="s">
        <v>120</v>
      </c>
      <c r="P7299" s="30" t="s">
        <v>14218</v>
      </c>
      <c r="Q7299" t="s">
        <v>623</v>
      </c>
      <c r="R7299" t="s">
        <v>920</v>
      </c>
      <c r="S7299">
        <v>39</v>
      </c>
      <c r="T7299" s="29" t="str">
        <f t="shared" si="314"/>
        <v>2023.033M.Sedoreoviridae_sprenam.zip</v>
      </c>
      <c r="U7299" s="29" t="str">
        <f>HYPERLINK("https://ictv.global/taxonomy/taxondetails?taxnode_id=202304905","ictv.global=202304905")</f>
        <v>ictv.global=202304905</v>
      </c>
    </row>
    <row r="7300" spans="1:21">
      <c r="A7300">
        <v>7299</v>
      </c>
      <c r="B7300" s="30" t="s">
        <v>1226</v>
      </c>
      <c r="D7300" s="30" t="s">
        <v>2024</v>
      </c>
      <c r="F7300" s="30" t="s">
        <v>2025</v>
      </c>
      <c r="H7300" s="30" t="s">
        <v>2028</v>
      </c>
      <c r="J7300" s="30" t="s">
        <v>2029</v>
      </c>
      <c r="L7300" s="30" t="s">
        <v>9153</v>
      </c>
      <c r="N7300" s="30" t="s">
        <v>120</v>
      </c>
      <c r="P7300" s="30" t="s">
        <v>14219</v>
      </c>
      <c r="Q7300" t="s">
        <v>623</v>
      </c>
      <c r="R7300" t="s">
        <v>920</v>
      </c>
      <c r="S7300">
        <v>39</v>
      </c>
      <c r="T7300" s="29" t="str">
        <f t="shared" si="314"/>
        <v>2023.033M.Sedoreoviridae_sprenam.zip</v>
      </c>
      <c r="U7300" s="29" t="str">
        <f>HYPERLINK("https://ictv.global/taxonomy/taxondetails?taxnode_id=202304912","ictv.global=202304912")</f>
        <v>ictv.global=202304912</v>
      </c>
    </row>
    <row r="7301" spans="1:21">
      <c r="A7301">
        <v>7300</v>
      </c>
      <c r="B7301" s="30" t="s">
        <v>1226</v>
      </c>
      <c r="D7301" s="30" t="s">
        <v>2024</v>
      </c>
      <c r="F7301" s="30" t="s">
        <v>2025</v>
      </c>
      <c r="H7301" s="30" t="s">
        <v>2028</v>
      </c>
      <c r="J7301" s="30" t="s">
        <v>2029</v>
      </c>
      <c r="L7301" s="30" t="s">
        <v>9153</v>
      </c>
      <c r="N7301" s="30" t="s">
        <v>120</v>
      </c>
      <c r="P7301" s="30" t="s">
        <v>14220</v>
      </c>
      <c r="Q7301" t="s">
        <v>623</v>
      </c>
      <c r="R7301" t="s">
        <v>920</v>
      </c>
      <c r="S7301">
        <v>39</v>
      </c>
      <c r="T7301" s="29" t="str">
        <f t="shared" si="314"/>
        <v>2023.033M.Sedoreoviridae_sprenam.zip</v>
      </c>
      <c r="U7301" s="29" t="str">
        <f>HYPERLINK("https://ictv.global/taxonomy/taxondetails?taxnode_id=202304906","ictv.global=202304906")</f>
        <v>ictv.global=202304906</v>
      </c>
    </row>
    <row r="7302" spans="1:21">
      <c r="A7302">
        <v>7301</v>
      </c>
      <c r="B7302" s="30" t="s">
        <v>1226</v>
      </c>
      <c r="D7302" s="30" t="s">
        <v>2024</v>
      </c>
      <c r="F7302" s="30" t="s">
        <v>2025</v>
      </c>
      <c r="H7302" s="30" t="s">
        <v>2028</v>
      </c>
      <c r="J7302" s="30" t="s">
        <v>2029</v>
      </c>
      <c r="L7302" s="30" t="s">
        <v>9153</v>
      </c>
      <c r="N7302" s="30" t="s">
        <v>120</v>
      </c>
      <c r="P7302" s="30" t="s">
        <v>14221</v>
      </c>
      <c r="Q7302" t="s">
        <v>623</v>
      </c>
      <c r="R7302" t="s">
        <v>920</v>
      </c>
      <c r="S7302">
        <v>39</v>
      </c>
      <c r="T7302" s="29" t="str">
        <f t="shared" si="314"/>
        <v>2023.033M.Sedoreoviridae_sprenam.zip</v>
      </c>
      <c r="U7302" s="29" t="str">
        <f>HYPERLINK("https://ictv.global/taxonomy/taxondetails?taxnode_id=202304908","ictv.global=202304908")</f>
        <v>ictv.global=202304908</v>
      </c>
    </row>
    <row r="7303" spans="1:21">
      <c r="A7303">
        <v>7302</v>
      </c>
      <c r="B7303" s="30" t="s">
        <v>1226</v>
      </c>
      <c r="D7303" s="30" t="s">
        <v>2024</v>
      </c>
      <c r="F7303" s="30" t="s">
        <v>2025</v>
      </c>
      <c r="H7303" s="30" t="s">
        <v>2028</v>
      </c>
      <c r="J7303" s="30" t="s">
        <v>2029</v>
      </c>
      <c r="L7303" s="30" t="s">
        <v>9153</v>
      </c>
      <c r="N7303" s="30" t="s">
        <v>120</v>
      </c>
      <c r="P7303" s="30" t="s">
        <v>14222</v>
      </c>
      <c r="Q7303" t="s">
        <v>623</v>
      </c>
      <c r="R7303" t="s">
        <v>920</v>
      </c>
      <c r="S7303">
        <v>39</v>
      </c>
      <c r="T7303" s="29" t="str">
        <f t="shared" si="314"/>
        <v>2023.033M.Sedoreoviridae_sprenam.zip</v>
      </c>
      <c r="U7303" s="29" t="str">
        <f>HYPERLINK("https://ictv.global/taxonomy/taxondetails?taxnode_id=202304911","ictv.global=202304911")</f>
        <v>ictv.global=202304911</v>
      </c>
    </row>
    <row r="7304" spans="1:21">
      <c r="A7304">
        <v>7303</v>
      </c>
      <c r="B7304" s="30" t="s">
        <v>1226</v>
      </c>
      <c r="D7304" s="30" t="s">
        <v>2024</v>
      </c>
      <c r="F7304" s="30" t="s">
        <v>2025</v>
      </c>
      <c r="H7304" s="30" t="s">
        <v>2028</v>
      </c>
      <c r="J7304" s="30" t="s">
        <v>2029</v>
      </c>
      <c r="L7304" s="30" t="s">
        <v>9153</v>
      </c>
      <c r="N7304" s="30" t="s">
        <v>120</v>
      </c>
      <c r="P7304" s="30" t="s">
        <v>14223</v>
      </c>
      <c r="Q7304" t="s">
        <v>623</v>
      </c>
      <c r="R7304" t="s">
        <v>920</v>
      </c>
      <c r="S7304">
        <v>39</v>
      </c>
      <c r="T7304" s="29" t="str">
        <f t="shared" si="314"/>
        <v>2023.033M.Sedoreoviridae_sprenam.zip</v>
      </c>
      <c r="U7304" s="29" t="str">
        <f>HYPERLINK("https://ictv.global/taxonomy/taxondetails?taxnode_id=202304913","ictv.global=202304913")</f>
        <v>ictv.global=202304913</v>
      </c>
    </row>
    <row r="7305" spans="1:21">
      <c r="A7305">
        <v>7304</v>
      </c>
      <c r="B7305" s="30" t="s">
        <v>1226</v>
      </c>
      <c r="D7305" s="30" t="s">
        <v>2024</v>
      </c>
      <c r="F7305" s="30" t="s">
        <v>2025</v>
      </c>
      <c r="H7305" s="30" t="s">
        <v>2028</v>
      </c>
      <c r="J7305" s="30" t="s">
        <v>2029</v>
      </c>
      <c r="L7305" s="30" t="s">
        <v>9153</v>
      </c>
      <c r="N7305" s="30" t="s">
        <v>120</v>
      </c>
      <c r="P7305" s="30" t="s">
        <v>14224</v>
      </c>
      <c r="Q7305" t="s">
        <v>623</v>
      </c>
      <c r="R7305" t="s">
        <v>920</v>
      </c>
      <c r="S7305">
        <v>39</v>
      </c>
      <c r="T7305" s="29" t="str">
        <f t="shared" si="314"/>
        <v>2023.033M.Sedoreoviridae_sprenam.zip</v>
      </c>
      <c r="U7305" s="29" t="str">
        <f>HYPERLINK("https://ictv.global/taxonomy/taxondetails?taxnode_id=202307663","ictv.global=202307663")</f>
        <v>ictv.global=202307663</v>
      </c>
    </row>
    <row r="7306" spans="1:21">
      <c r="A7306">
        <v>7305</v>
      </c>
      <c r="B7306" s="30" t="s">
        <v>1226</v>
      </c>
      <c r="D7306" s="30" t="s">
        <v>2024</v>
      </c>
      <c r="F7306" s="30" t="s">
        <v>2025</v>
      </c>
      <c r="H7306" s="30" t="s">
        <v>2028</v>
      </c>
      <c r="J7306" s="30" t="s">
        <v>2029</v>
      </c>
      <c r="L7306" s="30" t="s">
        <v>9153</v>
      </c>
      <c r="N7306" s="30" t="s">
        <v>120</v>
      </c>
      <c r="P7306" s="30" t="s">
        <v>14225</v>
      </c>
      <c r="Q7306" t="s">
        <v>623</v>
      </c>
      <c r="R7306" t="s">
        <v>920</v>
      </c>
      <c r="S7306">
        <v>39</v>
      </c>
      <c r="T7306" s="29" t="str">
        <f t="shared" si="314"/>
        <v>2023.033M.Sedoreoviridae_sprenam.zip</v>
      </c>
      <c r="U7306" s="29" t="str">
        <f>HYPERLINK("https://ictv.global/taxonomy/taxondetails?taxnode_id=202304910","ictv.global=202304910")</f>
        <v>ictv.global=202304910</v>
      </c>
    </row>
    <row r="7307" spans="1:21">
      <c r="A7307">
        <v>7306</v>
      </c>
      <c r="B7307" s="30" t="s">
        <v>1226</v>
      </c>
      <c r="D7307" s="30" t="s">
        <v>2024</v>
      </c>
      <c r="F7307" s="30" t="s">
        <v>2025</v>
      </c>
      <c r="H7307" s="30" t="s">
        <v>2028</v>
      </c>
      <c r="J7307" s="30" t="s">
        <v>2029</v>
      </c>
      <c r="L7307" s="30" t="s">
        <v>9153</v>
      </c>
      <c r="N7307" s="30" t="s">
        <v>120</v>
      </c>
      <c r="P7307" s="30" t="s">
        <v>14226</v>
      </c>
      <c r="Q7307" t="s">
        <v>623</v>
      </c>
      <c r="R7307" t="s">
        <v>920</v>
      </c>
      <c r="S7307">
        <v>39</v>
      </c>
      <c r="T7307" s="29" t="str">
        <f t="shared" si="314"/>
        <v>2023.033M.Sedoreoviridae_sprenam.zip</v>
      </c>
      <c r="U7307" s="29" t="str">
        <f>HYPERLINK("https://ictv.global/taxonomy/taxondetails?taxnode_id=202304907","ictv.global=202304907")</f>
        <v>ictv.global=202304907</v>
      </c>
    </row>
    <row r="7308" spans="1:21">
      <c r="A7308">
        <v>7307</v>
      </c>
      <c r="B7308" s="30" t="s">
        <v>1226</v>
      </c>
      <c r="D7308" s="30" t="s">
        <v>2024</v>
      </c>
      <c r="F7308" s="30" t="s">
        <v>2025</v>
      </c>
      <c r="H7308" s="30" t="s">
        <v>2028</v>
      </c>
      <c r="J7308" s="30" t="s">
        <v>2029</v>
      </c>
      <c r="L7308" s="30" t="s">
        <v>9153</v>
      </c>
      <c r="N7308" s="30" t="s">
        <v>142</v>
      </c>
      <c r="P7308" s="30" t="s">
        <v>14227</v>
      </c>
      <c r="Q7308" t="s">
        <v>623</v>
      </c>
      <c r="R7308" t="s">
        <v>920</v>
      </c>
      <c r="S7308">
        <v>39</v>
      </c>
      <c r="T7308" s="29" t="str">
        <f t="shared" si="314"/>
        <v>2023.033M.Sedoreoviridae_sprenam.zip</v>
      </c>
      <c r="U7308" s="29" t="str">
        <f>HYPERLINK("https://ictv.global/taxonomy/taxondetails?taxnode_id=202304915","ictv.global=202304915")</f>
        <v>ictv.global=202304915</v>
      </c>
    </row>
    <row r="7309" spans="1:21">
      <c r="A7309">
        <v>7308</v>
      </c>
      <c r="B7309" s="30" t="s">
        <v>1226</v>
      </c>
      <c r="D7309" s="30" t="s">
        <v>2024</v>
      </c>
      <c r="F7309" s="30" t="s">
        <v>2025</v>
      </c>
      <c r="H7309" s="30" t="s">
        <v>2028</v>
      </c>
      <c r="J7309" s="30" t="s">
        <v>2029</v>
      </c>
      <c r="L7309" s="30" t="s">
        <v>9153</v>
      </c>
      <c r="N7309" s="30" t="s">
        <v>142</v>
      </c>
      <c r="P7309" s="30" t="s">
        <v>14228</v>
      </c>
      <c r="Q7309" t="s">
        <v>623</v>
      </c>
      <c r="R7309" t="s">
        <v>920</v>
      </c>
      <c r="S7309">
        <v>39</v>
      </c>
      <c r="T7309" s="29" t="str">
        <f t="shared" si="314"/>
        <v>2023.033M.Sedoreoviridae_sprenam.zip</v>
      </c>
      <c r="U7309" s="29" t="str">
        <f>HYPERLINK("https://ictv.global/taxonomy/taxondetails?taxnode_id=202304916","ictv.global=202304916")</f>
        <v>ictv.global=202304916</v>
      </c>
    </row>
    <row r="7310" spans="1:21">
      <c r="A7310">
        <v>7309</v>
      </c>
      <c r="B7310" s="30" t="s">
        <v>1226</v>
      </c>
      <c r="D7310" s="30" t="s">
        <v>2024</v>
      </c>
      <c r="F7310" s="30" t="s">
        <v>2025</v>
      </c>
      <c r="H7310" s="30" t="s">
        <v>2028</v>
      </c>
      <c r="J7310" s="30" t="s">
        <v>2029</v>
      </c>
      <c r="L7310" s="30" t="s">
        <v>9153</v>
      </c>
      <c r="N7310" s="30" t="s">
        <v>142</v>
      </c>
      <c r="P7310" s="30" t="s">
        <v>14229</v>
      </c>
      <c r="Q7310" t="s">
        <v>623</v>
      </c>
      <c r="R7310" t="s">
        <v>920</v>
      </c>
      <c r="S7310">
        <v>39</v>
      </c>
      <c r="T7310" s="29" t="str">
        <f t="shared" si="314"/>
        <v>2023.033M.Sedoreoviridae_sprenam.zip</v>
      </c>
      <c r="U7310" s="29" t="str">
        <f>HYPERLINK("https://ictv.global/taxonomy/taxondetails?taxnode_id=202304917","ictv.global=202304917")</f>
        <v>ictv.global=202304917</v>
      </c>
    </row>
    <row r="7311" spans="1:21">
      <c r="A7311">
        <v>7310</v>
      </c>
      <c r="B7311" s="30" t="s">
        <v>1226</v>
      </c>
      <c r="D7311" s="30" t="s">
        <v>2024</v>
      </c>
      <c r="F7311" s="30" t="s">
        <v>2025</v>
      </c>
      <c r="H7311" s="30" t="s">
        <v>2028</v>
      </c>
      <c r="J7311" s="30" t="s">
        <v>2029</v>
      </c>
      <c r="L7311" s="30" t="s">
        <v>9154</v>
      </c>
      <c r="N7311" s="30" t="s">
        <v>200</v>
      </c>
      <c r="P7311" s="30" t="s">
        <v>14230</v>
      </c>
      <c r="Q7311" t="s">
        <v>623</v>
      </c>
      <c r="R7311" t="s">
        <v>920</v>
      </c>
      <c r="S7311">
        <v>39</v>
      </c>
      <c r="T7311" s="29" t="str">
        <f t="shared" ref="T7311:T7342" si="315">HYPERLINK("https://ictv.global/ictv/proposals/2023.034M.Spinoreoviridae_sprenam.zip","2023.034M.Spinoreoviridae_sprenam.zip")</f>
        <v>2023.034M.Spinoreoviridae_sprenam.zip</v>
      </c>
      <c r="U7311" s="29" t="str">
        <f>HYPERLINK("https://ictv.global/taxonomy/taxondetails?taxnode_id=202304922","ictv.global=202304922")</f>
        <v>ictv.global=202304922</v>
      </c>
    </row>
    <row r="7312" spans="1:21">
      <c r="A7312">
        <v>7311</v>
      </c>
      <c r="B7312" s="30" t="s">
        <v>1226</v>
      </c>
      <c r="D7312" s="30" t="s">
        <v>2024</v>
      </c>
      <c r="F7312" s="30" t="s">
        <v>2025</v>
      </c>
      <c r="H7312" s="30" t="s">
        <v>2028</v>
      </c>
      <c r="J7312" s="30" t="s">
        <v>2029</v>
      </c>
      <c r="L7312" s="30" t="s">
        <v>9154</v>
      </c>
      <c r="N7312" s="30" t="s">
        <v>200</v>
      </c>
      <c r="P7312" s="30" t="s">
        <v>14231</v>
      </c>
      <c r="Q7312" t="s">
        <v>623</v>
      </c>
      <c r="R7312" t="s">
        <v>920</v>
      </c>
      <c r="S7312">
        <v>39</v>
      </c>
      <c r="T7312" s="29" t="str">
        <f t="shared" si="315"/>
        <v>2023.034M.Spinoreoviridae_sprenam.zip</v>
      </c>
      <c r="U7312" s="29" t="str">
        <f>HYPERLINK("https://ictv.global/taxonomy/taxondetails?taxnode_id=202304926","ictv.global=202304926")</f>
        <v>ictv.global=202304926</v>
      </c>
    </row>
    <row r="7313" spans="1:21">
      <c r="A7313">
        <v>7312</v>
      </c>
      <c r="B7313" s="30" t="s">
        <v>1226</v>
      </c>
      <c r="D7313" s="30" t="s">
        <v>2024</v>
      </c>
      <c r="F7313" s="30" t="s">
        <v>2025</v>
      </c>
      <c r="H7313" s="30" t="s">
        <v>2028</v>
      </c>
      <c r="J7313" s="30" t="s">
        <v>2029</v>
      </c>
      <c r="L7313" s="30" t="s">
        <v>9154</v>
      </c>
      <c r="N7313" s="30" t="s">
        <v>200</v>
      </c>
      <c r="P7313" s="30" t="s">
        <v>14232</v>
      </c>
      <c r="Q7313" t="s">
        <v>623</v>
      </c>
      <c r="R7313" t="s">
        <v>920</v>
      </c>
      <c r="S7313">
        <v>39</v>
      </c>
      <c r="T7313" s="29" t="str">
        <f t="shared" si="315"/>
        <v>2023.034M.Spinoreoviridae_sprenam.zip</v>
      </c>
      <c r="U7313" s="29" t="str">
        <f>HYPERLINK("https://ictv.global/taxonomy/taxondetails?taxnode_id=202304923","ictv.global=202304923")</f>
        <v>ictv.global=202304923</v>
      </c>
    </row>
    <row r="7314" spans="1:21">
      <c r="A7314">
        <v>7313</v>
      </c>
      <c r="B7314" s="30" t="s">
        <v>1226</v>
      </c>
      <c r="D7314" s="30" t="s">
        <v>2024</v>
      </c>
      <c r="F7314" s="30" t="s">
        <v>2025</v>
      </c>
      <c r="H7314" s="30" t="s">
        <v>2028</v>
      </c>
      <c r="J7314" s="30" t="s">
        <v>2029</v>
      </c>
      <c r="L7314" s="30" t="s">
        <v>9154</v>
      </c>
      <c r="N7314" s="30" t="s">
        <v>200</v>
      </c>
      <c r="P7314" s="30" t="s">
        <v>14233</v>
      </c>
      <c r="Q7314" t="s">
        <v>623</v>
      </c>
      <c r="R7314" t="s">
        <v>920</v>
      </c>
      <c r="S7314">
        <v>39</v>
      </c>
      <c r="T7314" s="29" t="str">
        <f t="shared" si="315"/>
        <v>2023.034M.Spinoreoviridae_sprenam.zip</v>
      </c>
      <c r="U7314" s="29" t="str">
        <f>HYPERLINK("https://ictv.global/taxonomy/taxondetails?taxnode_id=202304925","ictv.global=202304925")</f>
        <v>ictv.global=202304925</v>
      </c>
    </row>
    <row r="7315" spans="1:21">
      <c r="A7315">
        <v>7314</v>
      </c>
      <c r="B7315" s="30" t="s">
        <v>1226</v>
      </c>
      <c r="D7315" s="30" t="s">
        <v>2024</v>
      </c>
      <c r="F7315" s="30" t="s">
        <v>2025</v>
      </c>
      <c r="H7315" s="30" t="s">
        <v>2028</v>
      </c>
      <c r="J7315" s="30" t="s">
        <v>2029</v>
      </c>
      <c r="L7315" s="30" t="s">
        <v>9154</v>
      </c>
      <c r="N7315" s="30" t="s">
        <v>200</v>
      </c>
      <c r="P7315" s="30" t="s">
        <v>14234</v>
      </c>
      <c r="Q7315" t="s">
        <v>623</v>
      </c>
      <c r="R7315" t="s">
        <v>920</v>
      </c>
      <c r="S7315">
        <v>39</v>
      </c>
      <c r="T7315" s="29" t="str">
        <f t="shared" si="315"/>
        <v>2023.034M.Spinoreoviridae_sprenam.zip</v>
      </c>
      <c r="U7315" s="29" t="str">
        <f>HYPERLINK("https://ictv.global/taxonomy/taxondetails?taxnode_id=202304921","ictv.global=202304921")</f>
        <v>ictv.global=202304921</v>
      </c>
    </row>
    <row r="7316" spans="1:21">
      <c r="A7316">
        <v>7315</v>
      </c>
      <c r="B7316" s="30" t="s">
        <v>1226</v>
      </c>
      <c r="D7316" s="30" t="s">
        <v>2024</v>
      </c>
      <c r="F7316" s="30" t="s">
        <v>2025</v>
      </c>
      <c r="H7316" s="30" t="s">
        <v>2028</v>
      </c>
      <c r="J7316" s="30" t="s">
        <v>2029</v>
      </c>
      <c r="L7316" s="30" t="s">
        <v>9154</v>
      </c>
      <c r="N7316" s="30" t="s">
        <v>200</v>
      </c>
      <c r="P7316" s="30" t="s">
        <v>14235</v>
      </c>
      <c r="Q7316" t="s">
        <v>623</v>
      </c>
      <c r="R7316" t="s">
        <v>920</v>
      </c>
      <c r="S7316">
        <v>39</v>
      </c>
      <c r="T7316" s="29" t="str">
        <f t="shared" si="315"/>
        <v>2023.034M.Spinoreoviridae_sprenam.zip</v>
      </c>
      <c r="U7316" s="29" t="str">
        <f>HYPERLINK("https://ictv.global/taxonomy/taxondetails?taxnode_id=202304920","ictv.global=202304920")</f>
        <v>ictv.global=202304920</v>
      </c>
    </row>
    <row r="7317" spans="1:21">
      <c r="A7317">
        <v>7316</v>
      </c>
      <c r="B7317" s="30" t="s">
        <v>1226</v>
      </c>
      <c r="D7317" s="30" t="s">
        <v>2024</v>
      </c>
      <c r="F7317" s="30" t="s">
        <v>2025</v>
      </c>
      <c r="H7317" s="30" t="s">
        <v>2028</v>
      </c>
      <c r="J7317" s="30" t="s">
        <v>2029</v>
      </c>
      <c r="L7317" s="30" t="s">
        <v>9154</v>
      </c>
      <c r="N7317" s="30" t="s">
        <v>200</v>
      </c>
      <c r="P7317" s="30" t="s">
        <v>14236</v>
      </c>
      <c r="Q7317" t="s">
        <v>623</v>
      </c>
      <c r="R7317" t="s">
        <v>920</v>
      </c>
      <c r="S7317">
        <v>39</v>
      </c>
      <c r="T7317" s="29" t="str">
        <f t="shared" si="315"/>
        <v>2023.034M.Spinoreoviridae_sprenam.zip</v>
      </c>
      <c r="U7317" s="29" t="str">
        <f>HYPERLINK("https://ictv.global/taxonomy/taxondetails?taxnode_id=202304924","ictv.global=202304924")</f>
        <v>ictv.global=202304924</v>
      </c>
    </row>
    <row r="7318" spans="1:21">
      <c r="A7318">
        <v>7317</v>
      </c>
      <c r="B7318" s="30" t="s">
        <v>1226</v>
      </c>
      <c r="D7318" s="30" t="s">
        <v>2024</v>
      </c>
      <c r="F7318" s="30" t="s">
        <v>2025</v>
      </c>
      <c r="H7318" s="30" t="s">
        <v>2028</v>
      </c>
      <c r="J7318" s="30" t="s">
        <v>2029</v>
      </c>
      <c r="L7318" s="30" t="s">
        <v>9154</v>
      </c>
      <c r="N7318" s="30" t="s">
        <v>202</v>
      </c>
      <c r="P7318" s="30" t="s">
        <v>14237</v>
      </c>
      <c r="Q7318" t="s">
        <v>623</v>
      </c>
      <c r="R7318" t="s">
        <v>920</v>
      </c>
      <c r="S7318">
        <v>39</v>
      </c>
      <c r="T7318" s="29" t="str">
        <f t="shared" si="315"/>
        <v>2023.034M.Spinoreoviridae_sprenam.zip</v>
      </c>
      <c r="U7318" s="29" t="str">
        <f>HYPERLINK("https://ictv.global/taxonomy/taxondetails?taxnode_id=202304928","ictv.global=202304928")</f>
        <v>ictv.global=202304928</v>
      </c>
    </row>
    <row r="7319" spans="1:21">
      <c r="A7319">
        <v>7318</v>
      </c>
      <c r="B7319" s="30" t="s">
        <v>1226</v>
      </c>
      <c r="D7319" s="30" t="s">
        <v>2024</v>
      </c>
      <c r="F7319" s="30" t="s">
        <v>2025</v>
      </c>
      <c r="H7319" s="30" t="s">
        <v>2028</v>
      </c>
      <c r="J7319" s="30" t="s">
        <v>2029</v>
      </c>
      <c r="L7319" s="30" t="s">
        <v>9154</v>
      </c>
      <c r="N7319" s="30" t="s">
        <v>202</v>
      </c>
      <c r="P7319" s="30" t="s">
        <v>14238</v>
      </c>
      <c r="Q7319" t="s">
        <v>623</v>
      </c>
      <c r="R7319" t="s">
        <v>920</v>
      </c>
      <c r="S7319">
        <v>39</v>
      </c>
      <c r="T7319" s="29" t="str">
        <f t="shared" si="315"/>
        <v>2023.034M.Spinoreoviridae_sprenam.zip</v>
      </c>
      <c r="U7319" s="29" t="str">
        <f>HYPERLINK("https://ictv.global/taxonomy/taxondetails?taxnode_id=202304929","ictv.global=202304929")</f>
        <v>ictv.global=202304929</v>
      </c>
    </row>
    <row r="7320" spans="1:21">
      <c r="A7320">
        <v>7319</v>
      </c>
      <c r="B7320" s="30" t="s">
        <v>1226</v>
      </c>
      <c r="D7320" s="30" t="s">
        <v>2024</v>
      </c>
      <c r="F7320" s="30" t="s">
        <v>2025</v>
      </c>
      <c r="H7320" s="30" t="s">
        <v>2028</v>
      </c>
      <c r="J7320" s="30" t="s">
        <v>2029</v>
      </c>
      <c r="L7320" s="30" t="s">
        <v>9154</v>
      </c>
      <c r="N7320" s="30" t="s">
        <v>202</v>
      </c>
      <c r="P7320" s="30" t="s">
        <v>14239</v>
      </c>
      <c r="Q7320" t="s">
        <v>623</v>
      </c>
      <c r="R7320" t="s">
        <v>920</v>
      </c>
      <c r="S7320">
        <v>39</v>
      </c>
      <c r="T7320" s="29" t="str">
        <f t="shared" si="315"/>
        <v>2023.034M.Spinoreoviridae_sprenam.zip</v>
      </c>
      <c r="U7320" s="29" t="str">
        <f>HYPERLINK("https://ictv.global/taxonomy/taxondetails?taxnode_id=202307654","ictv.global=202307654")</f>
        <v>ictv.global=202307654</v>
      </c>
    </row>
    <row r="7321" spans="1:21">
      <c r="A7321">
        <v>7320</v>
      </c>
      <c r="B7321" s="30" t="s">
        <v>1226</v>
      </c>
      <c r="D7321" s="30" t="s">
        <v>2024</v>
      </c>
      <c r="F7321" s="30" t="s">
        <v>2025</v>
      </c>
      <c r="H7321" s="30" t="s">
        <v>2028</v>
      </c>
      <c r="J7321" s="30" t="s">
        <v>2029</v>
      </c>
      <c r="L7321" s="30" t="s">
        <v>9154</v>
      </c>
      <c r="N7321" s="30" t="s">
        <v>202</v>
      </c>
      <c r="P7321" s="30" t="s">
        <v>14240</v>
      </c>
      <c r="Q7321" t="s">
        <v>623</v>
      </c>
      <c r="R7321" t="s">
        <v>920</v>
      </c>
      <c r="S7321">
        <v>39</v>
      </c>
      <c r="T7321" s="29" t="str">
        <f t="shared" si="315"/>
        <v>2023.034M.Spinoreoviridae_sprenam.zip</v>
      </c>
      <c r="U7321" s="29" t="str">
        <f>HYPERLINK("https://ictv.global/taxonomy/taxondetails?taxnode_id=202307655","ictv.global=202307655")</f>
        <v>ictv.global=202307655</v>
      </c>
    </row>
    <row r="7322" spans="1:21">
      <c r="A7322">
        <v>7321</v>
      </c>
      <c r="B7322" s="30" t="s">
        <v>1226</v>
      </c>
      <c r="D7322" s="30" t="s">
        <v>2024</v>
      </c>
      <c r="F7322" s="30" t="s">
        <v>2025</v>
      </c>
      <c r="H7322" s="30" t="s">
        <v>2028</v>
      </c>
      <c r="J7322" s="30" t="s">
        <v>2029</v>
      </c>
      <c r="L7322" s="30" t="s">
        <v>9154</v>
      </c>
      <c r="N7322" s="30" t="s">
        <v>202</v>
      </c>
      <c r="P7322" s="30" t="s">
        <v>14241</v>
      </c>
      <c r="Q7322" t="s">
        <v>623</v>
      </c>
      <c r="R7322" t="s">
        <v>920</v>
      </c>
      <c r="S7322">
        <v>39</v>
      </c>
      <c r="T7322" s="29" t="str">
        <f t="shared" si="315"/>
        <v>2023.034M.Spinoreoviridae_sprenam.zip</v>
      </c>
      <c r="U7322" s="29" t="str">
        <f>HYPERLINK("https://ictv.global/taxonomy/taxondetails?taxnode_id=202307656","ictv.global=202307656")</f>
        <v>ictv.global=202307656</v>
      </c>
    </row>
    <row r="7323" spans="1:21">
      <c r="A7323">
        <v>7322</v>
      </c>
      <c r="B7323" s="30" t="s">
        <v>1226</v>
      </c>
      <c r="D7323" s="30" t="s">
        <v>2024</v>
      </c>
      <c r="F7323" s="30" t="s">
        <v>2025</v>
      </c>
      <c r="H7323" s="30" t="s">
        <v>2028</v>
      </c>
      <c r="J7323" s="30" t="s">
        <v>2029</v>
      </c>
      <c r="L7323" s="30" t="s">
        <v>9154</v>
      </c>
      <c r="N7323" s="30" t="s">
        <v>203</v>
      </c>
      <c r="P7323" s="30" t="s">
        <v>14242</v>
      </c>
      <c r="Q7323" t="s">
        <v>623</v>
      </c>
      <c r="R7323" t="s">
        <v>920</v>
      </c>
      <c r="S7323">
        <v>39</v>
      </c>
      <c r="T7323" s="29" t="str">
        <f t="shared" si="315"/>
        <v>2023.034M.Spinoreoviridae_sprenam.zip</v>
      </c>
      <c r="U7323" s="29" t="str">
        <f>HYPERLINK("https://ictv.global/taxonomy/taxondetails?taxnode_id=202304936","ictv.global=202304936")</f>
        <v>ictv.global=202304936</v>
      </c>
    </row>
    <row r="7324" spans="1:21">
      <c r="A7324">
        <v>7323</v>
      </c>
      <c r="B7324" s="30" t="s">
        <v>1226</v>
      </c>
      <c r="D7324" s="30" t="s">
        <v>2024</v>
      </c>
      <c r="F7324" s="30" t="s">
        <v>2025</v>
      </c>
      <c r="H7324" s="30" t="s">
        <v>2028</v>
      </c>
      <c r="J7324" s="30" t="s">
        <v>2029</v>
      </c>
      <c r="L7324" s="30" t="s">
        <v>9154</v>
      </c>
      <c r="N7324" s="30" t="s">
        <v>203</v>
      </c>
      <c r="P7324" s="30" t="s">
        <v>14243</v>
      </c>
      <c r="Q7324" t="s">
        <v>623</v>
      </c>
      <c r="R7324" t="s">
        <v>920</v>
      </c>
      <c r="S7324">
        <v>39</v>
      </c>
      <c r="T7324" s="29" t="str">
        <f t="shared" si="315"/>
        <v>2023.034M.Spinoreoviridae_sprenam.zip</v>
      </c>
      <c r="U7324" s="29" t="str">
        <f>HYPERLINK("https://ictv.global/taxonomy/taxondetails?taxnode_id=202304939","ictv.global=202304939")</f>
        <v>ictv.global=202304939</v>
      </c>
    </row>
    <row r="7325" spans="1:21">
      <c r="A7325">
        <v>7324</v>
      </c>
      <c r="B7325" s="30" t="s">
        <v>1226</v>
      </c>
      <c r="D7325" s="30" t="s">
        <v>2024</v>
      </c>
      <c r="F7325" s="30" t="s">
        <v>2025</v>
      </c>
      <c r="H7325" s="30" t="s">
        <v>2028</v>
      </c>
      <c r="J7325" s="30" t="s">
        <v>2029</v>
      </c>
      <c r="L7325" s="30" t="s">
        <v>9154</v>
      </c>
      <c r="N7325" s="30" t="s">
        <v>203</v>
      </c>
      <c r="P7325" s="30" t="s">
        <v>14244</v>
      </c>
      <c r="Q7325" t="s">
        <v>623</v>
      </c>
      <c r="R7325" t="s">
        <v>920</v>
      </c>
      <c r="S7325">
        <v>39</v>
      </c>
      <c r="T7325" s="29" t="str">
        <f t="shared" si="315"/>
        <v>2023.034M.Spinoreoviridae_sprenam.zip</v>
      </c>
      <c r="U7325" s="29" t="str">
        <f>HYPERLINK("https://ictv.global/taxonomy/taxondetails?taxnode_id=202304931","ictv.global=202304931")</f>
        <v>ictv.global=202304931</v>
      </c>
    </row>
    <row r="7326" spans="1:21">
      <c r="A7326">
        <v>7325</v>
      </c>
      <c r="B7326" s="30" t="s">
        <v>1226</v>
      </c>
      <c r="D7326" s="30" t="s">
        <v>2024</v>
      </c>
      <c r="F7326" s="30" t="s">
        <v>2025</v>
      </c>
      <c r="H7326" s="30" t="s">
        <v>2028</v>
      </c>
      <c r="J7326" s="30" t="s">
        <v>2029</v>
      </c>
      <c r="L7326" s="30" t="s">
        <v>9154</v>
      </c>
      <c r="N7326" s="30" t="s">
        <v>203</v>
      </c>
      <c r="P7326" s="30" t="s">
        <v>14245</v>
      </c>
      <c r="Q7326" t="s">
        <v>623</v>
      </c>
      <c r="R7326" t="s">
        <v>920</v>
      </c>
      <c r="S7326">
        <v>39</v>
      </c>
      <c r="T7326" s="29" t="str">
        <f t="shared" si="315"/>
        <v>2023.034M.Spinoreoviridae_sprenam.zip</v>
      </c>
      <c r="U7326" s="29" t="str">
        <f>HYPERLINK("https://ictv.global/taxonomy/taxondetails?taxnode_id=202304934","ictv.global=202304934")</f>
        <v>ictv.global=202304934</v>
      </c>
    </row>
    <row r="7327" spans="1:21">
      <c r="A7327">
        <v>7326</v>
      </c>
      <c r="B7327" s="30" t="s">
        <v>1226</v>
      </c>
      <c r="D7327" s="30" t="s">
        <v>2024</v>
      </c>
      <c r="F7327" s="30" t="s">
        <v>2025</v>
      </c>
      <c r="H7327" s="30" t="s">
        <v>2028</v>
      </c>
      <c r="J7327" s="30" t="s">
        <v>2029</v>
      </c>
      <c r="L7327" s="30" t="s">
        <v>9154</v>
      </c>
      <c r="N7327" s="30" t="s">
        <v>203</v>
      </c>
      <c r="P7327" s="30" t="s">
        <v>14246</v>
      </c>
      <c r="Q7327" t="s">
        <v>623</v>
      </c>
      <c r="R7327" t="s">
        <v>920</v>
      </c>
      <c r="S7327">
        <v>39</v>
      </c>
      <c r="T7327" s="29" t="str">
        <f t="shared" si="315"/>
        <v>2023.034M.Spinoreoviridae_sprenam.zip</v>
      </c>
      <c r="U7327" s="29" t="str">
        <f>HYPERLINK("https://ictv.global/taxonomy/taxondetails?taxnode_id=202304933","ictv.global=202304933")</f>
        <v>ictv.global=202304933</v>
      </c>
    </row>
    <row r="7328" spans="1:21">
      <c r="A7328">
        <v>7327</v>
      </c>
      <c r="B7328" s="30" t="s">
        <v>1226</v>
      </c>
      <c r="D7328" s="30" t="s">
        <v>2024</v>
      </c>
      <c r="F7328" s="30" t="s">
        <v>2025</v>
      </c>
      <c r="H7328" s="30" t="s">
        <v>2028</v>
      </c>
      <c r="J7328" s="30" t="s">
        <v>2029</v>
      </c>
      <c r="L7328" s="30" t="s">
        <v>9154</v>
      </c>
      <c r="N7328" s="30" t="s">
        <v>203</v>
      </c>
      <c r="P7328" s="30" t="s">
        <v>14247</v>
      </c>
      <c r="Q7328" t="s">
        <v>623</v>
      </c>
      <c r="R7328" t="s">
        <v>920</v>
      </c>
      <c r="S7328">
        <v>39</v>
      </c>
      <c r="T7328" s="29" t="str">
        <f t="shared" si="315"/>
        <v>2023.034M.Spinoreoviridae_sprenam.zip</v>
      </c>
      <c r="U7328" s="29" t="str">
        <f>HYPERLINK("https://ictv.global/taxonomy/taxondetails?taxnode_id=202304940","ictv.global=202304940")</f>
        <v>ictv.global=202304940</v>
      </c>
    </row>
    <row r="7329" spans="1:21">
      <c r="A7329">
        <v>7328</v>
      </c>
      <c r="B7329" s="30" t="s">
        <v>1226</v>
      </c>
      <c r="D7329" s="30" t="s">
        <v>2024</v>
      </c>
      <c r="F7329" s="30" t="s">
        <v>2025</v>
      </c>
      <c r="H7329" s="30" t="s">
        <v>2028</v>
      </c>
      <c r="J7329" s="30" t="s">
        <v>2029</v>
      </c>
      <c r="L7329" s="30" t="s">
        <v>9154</v>
      </c>
      <c r="N7329" s="30" t="s">
        <v>203</v>
      </c>
      <c r="P7329" s="30" t="s">
        <v>14248</v>
      </c>
      <c r="Q7329" t="s">
        <v>623</v>
      </c>
      <c r="R7329" t="s">
        <v>920</v>
      </c>
      <c r="S7329">
        <v>39</v>
      </c>
      <c r="T7329" s="29" t="str">
        <f t="shared" si="315"/>
        <v>2023.034M.Spinoreoviridae_sprenam.zip</v>
      </c>
      <c r="U7329" s="29" t="str">
        <f>HYPERLINK("https://ictv.global/taxonomy/taxondetails?taxnode_id=202304942","ictv.global=202304942")</f>
        <v>ictv.global=202304942</v>
      </c>
    </row>
    <row r="7330" spans="1:21">
      <c r="A7330">
        <v>7329</v>
      </c>
      <c r="B7330" s="30" t="s">
        <v>1226</v>
      </c>
      <c r="D7330" s="30" t="s">
        <v>2024</v>
      </c>
      <c r="F7330" s="30" t="s">
        <v>2025</v>
      </c>
      <c r="H7330" s="30" t="s">
        <v>2028</v>
      </c>
      <c r="J7330" s="30" t="s">
        <v>2029</v>
      </c>
      <c r="L7330" s="30" t="s">
        <v>9154</v>
      </c>
      <c r="N7330" s="30" t="s">
        <v>203</v>
      </c>
      <c r="P7330" s="30" t="s">
        <v>14249</v>
      </c>
      <c r="Q7330" t="s">
        <v>623</v>
      </c>
      <c r="R7330" t="s">
        <v>920</v>
      </c>
      <c r="S7330">
        <v>39</v>
      </c>
      <c r="T7330" s="29" t="str">
        <f t="shared" si="315"/>
        <v>2023.034M.Spinoreoviridae_sprenam.zip</v>
      </c>
      <c r="U7330" s="29" t="str">
        <f>HYPERLINK("https://ictv.global/taxonomy/taxondetails?taxnode_id=202304935","ictv.global=202304935")</f>
        <v>ictv.global=202304935</v>
      </c>
    </row>
    <row r="7331" spans="1:21">
      <c r="A7331">
        <v>7330</v>
      </c>
      <c r="B7331" s="30" t="s">
        <v>1226</v>
      </c>
      <c r="D7331" s="30" t="s">
        <v>2024</v>
      </c>
      <c r="F7331" s="30" t="s">
        <v>2025</v>
      </c>
      <c r="H7331" s="30" t="s">
        <v>2028</v>
      </c>
      <c r="J7331" s="30" t="s">
        <v>2029</v>
      </c>
      <c r="L7331" s="30" t="s">
        <v>9154</v>
      </c>
      <c r="N7331" s="30" t="s">
        <v>203</v>
      </c>
      <c r="P7331" s="30" t="s">
        <v>14250</v>
      </c>
      <c r="Q7331" t="s">
        <v>623</v>
      </c>
      <c r="R7331" t="s">
        <v>920</v>
      </c>
      <c r="S7331">
        <v>39</v>
      </c>
      <c r="T7331" s="29" t="str">
        <f t="shared" si="315"/>
        <v>2023.034M.Spinoreoviridae_sprenam.zip</v>
      </c>
      <c r="U7331" s="29" t="str">
        <f>HYPERLINK("https://ictv.global/taxonomy/taxondetails?taxnode_id=202304946","ictv.global=202304946")</f>
        <v>ictv.global=202304946</v>
      </c>
    </row>
    <row r="7332" spans="1:21">
      <c r="A7332">
        <v>7331</v>
      </c>
      <c r="B7332" s="30" t="s">
        <v>1226</v>
      </c>
      <c r="D7332" s="30" t="s">
        <v>2024</v>
      </c>
      <c r="F7332" s="30" t="s">
        <v>2025</v>
      </c>
      <c r="H7332" s="30" t="s">
        <v>2028</v>
      </c>
      <c r="J7332" s="30" t="s">
        <v>2029</v>
      </c>
      <c r="L7332" s="30" t="s">
        <v>9154</v>
      </c>
      <c r="N7332" s="30" t="s">
        <v>203</v>
      </c>
      <c r="P7332" s="30" t="s">
        <v>14251</v>
      </c>
      <c r="Q7332" t="s">
        <v>623</v>
      </c>
      <c r="R7332" t="s">
        <v>920</v>
      </c>
      <c r="S7332">
        <v>39</v>
      </c>
      <c r="T7332" s="29" t="str">
        <f t="shared" si="315"/>
        <v>2023.034M.Spinoreoviridae_sprenam.zip</v>
      </c>
      <c r="U7332" s="29" t="str">
        <f>HYPERLINK("https://ictv.global/taxonomy/taxondetails?taxnode_id=202304938","ictv.global=202304938")</f>
        <v>ictv.global=202304938</v>
      </c>
    </row>
    <row r="7333" spans="1:21">
      <c r="A7333">
        <v>7332</v>
      </c>
      <c r="B7333" s="30" t="s">
        <v>1226</v>
      </c>
      <c r="D7333" s="30" t="s">
        <v>2024</v>
      </c>
      <c r="F7333" s="30" t="s">
        <v>2025</v>
      </c>
      <c r="H7333" s="30" t="s">
        <v>2028</v>
      </c>
      <c r="J7333" s="30" t="s">
        <v>2029</v>
      </c>
      <c r="L7333" s="30" t="s">
        <v>9154</v>
      </c>
      <c r="N7333" s="30" t="s">
        <v>203</v>
      </c>
      <c r="P7333" s="30" t="s">
        <v>14252</v>
      </c>
      <c r="Q7333" t="s">
        <v>623</v>
      </c>
      <c r="R7333" t="s">
        <v>920</v>
      </c>
      <c r="S7333">
        <v>39</v>
      </c>
      <c r="T7333" s="29" t="str">
        <f t="shared" si="315"/>
        <v>2023.034M.Spinoreoviridae_sprenam.zip</v>
      </c>
      <c r="U7333" s="29" t="str">
        <f>HYPERLINK("https://ictv.global/taxonomy/taxondetails?taxnode_id=202304941","ictv.global=202304941")</f>
        <v>ictv.global=202304941</v>
      </c>
    </row>
    <row r="7334" spans="1:21">
      <c r="A7334">
        <v>7333</v>
      </c>
      <c r="B7334" s="30" t="s">
        <v>1226</v>
      </c>
      <c r="D7334" s="30" t="s">
        <v>2024</v>
      </c>
      <c r="F7334" s="30" t="s">
        <v>2025</v>
      </c>
      <c r="H7334" s="30" t="s">
        <v>2028</v>
      </c>
      <c r="J7334" s="30" t="s">
        <v>2029</v>
      </c>
      <c r="L7334" s="30" t="s">
        <v>9154</v>
      </c>
      <c r="N7334" s="30" t="s">
        <v>203</v>
      </c>
      <c r="P7334" s="30" t="s">
        <v>14253</v>
      </c>
      <c r="Q7334" t="s">
        <v>623</v>
      </c>
      <c r="R7334" t="s">
        <v>920</v>
      </c>
      <c r="S7334">
        <v>39</v>
      </c>
      <c r="T7334" s="29" t="str">
        <f t="shared" si="315"/>
        <v>2023.034M.Spinoreoviridae_sprenam.zip</v>
      </c>
      <c r="U7334" s="29" t="str">
        <f>HYPERLINK("https://ictv.global/taxonomy/taxondetails?taxnode_id=202304932","ictv.global=202304932")</f>
        <v>ictv.global=202304932</v>
      </c>
    </row>
    <row r="7335" spans="1:21">
      <c r="A7335">
        <v>7334</v>
      </c>
      <c r="B7335" s="30" t="s">
        <v>1226</v>
      </c>
      <c r="D7335" s="30" t="s">
        <v>2024</v>
      </c>
      <c r="F7335" s="30" t="s">
        <v>2025</v>
      </c>
      <c r="H7335" s="30" t="s">
        <v>2028</v>
      </c>
      <c r="J7335" s="30" t="s">
        <v>2029</v>
      </c>
      <c r="L7335" s="30" t="s">
        <v>9154</v>
      </c>
      <c r="N7335" s="30" t="s">
        <v>203</v>
      </c>
      <c r="P7335" s="30" t="s">
        <v>14254</v>
      </c>
      <c r="Q7335" t="s">
        <v>623</v>
      </c>
      <c r="R7335" t="s">
        <v>920</v>
      </c>
      <c r="S7335">
        <v>39</v>
      </c>
      <c r="T7335" s="29" t="str">
        <f t="shared" si="315"/>
        <v>2023.034M.Spinoreoviridae_sprenam.zip</v>
      </c>
      <c r="U7335" s="29" t="str">
        <f>HYPERLINK("https://ictv.global/taxonomy/taxondetails?taxnode_id=202304944","ictv.global=202304944")</f>
        <v>ictv.global=202304944</v>
      </c>
    </row>
    <row r="7336" spans="1:21">
      <c r="A7336">
        <v>7335</v>
      </c>
      <c r="B7336" s="30" t="s">
        <v>1226</v>
      </c>
      <c r="D7336" s="30" t="s">
        <v>2024</v>
      </c>
      <c r="F7336" s="30" t="s">
        <v>2025</v>
      </c>
      <c r="H7336" s="30" t="s">
        <v>2028</v>
      </c>
      <c r="J7336" s="30" t="s">
        <v>2029</v>
      </c>
      <c r="L7336" s="30" t="s">
        <v>9154</v>
      </c>
      <c r="N7336" s="30" t="s">
        <v>203</v>
      </c>
      <c r="P7336" s="30" t="s">
        <v>14255</v>
      </c>
      <c r="Q7336" t="s">
        <v>623</v>
      </c>
      <c r="R7336" t="s">
        <v>920</v>
      </c>
      <c r="S7336">
        <v>39</v>
      </c>
      <c r="T7336" s="29" t="str">
        <f t="shared" si="315"/>
        <v>2023.034M.Spinoreoviridae_sprenam.zip</v>
      </c>
      <c r="U7336" s="29" t="str">
        <f>HYPERLINK("https://ictv.global/taxonomy/taxondetails?taxnode_id=202304937","ictv.global=202304937")</f>
        <v>ictv.global=202304937</v>
      </c>
    </row>
    <row r="7337" spans="1:21">
      <c r="A7337">
        <v>7336</v>
      </c>
      <c r="B7337" s="30" t="s">
        <v>1226</v>
      </c>
      <c r="D7337" s="30" t="s">
        <v>2024</v>
      </c>
      <c r="F7337" s="30" t="s">
        <v>2025</v>
      </c>
      <c r="H7337" s="30" t="s">
        <v>2028</v>
      </c>
      <c r="J7337" s="30" t="s">
        <v>2029</v>
      </c>
      <c r="L7337" s="30" t="s">
        <v>9154</v>
      </c>
      <c r="N7337" s="30" t="s">
        <v>203</v>
      </c>
      <c r="P7337" s="30" t="s">
        <v>14256</v>
      </c>
      <c r="Q7337" t="s">
        <v>623</v>
      </c>
      <c r="R7337" t="s">
        <v>920</v>
      </c>
      <c r="S7337">
        <v>39</v>
      </c>
      <c r="T7337" s="29" t="str">
        <f t="shared" si="315"/>
        <v>2023.034M.Spinoreoviridae_sprenam.zip</v>
      </c>
      <c r="U7337" s="29" t="str">
        <f>HYPERLINK("https://ictv.global/taxonomy/taxondetails?taxnode_id=202304943","ictv.global=202304943")</f>
        <v>ictv.global=202304943</v>
      </c>
    </row>
    <row r="7338" spans="1:21">
      <c r="A7338">
        <v>7337</v>
      </c>
      <c r="B7338" s="30" t="s">
        <v>1226</v>
      </c>
      <c r="D7338" s="30" t="s">
        <v>2024</v>
      </c>
      <c r="F7338" s="30" t="s">
        <v>2025</v>
      </c>
      <c r="H7338" s="30" t="s">
        <v>2028</v>
      </c>
      <c r="J7338" s="30" t="s">
        <v>2029</v>
      </c>
      <c r="L7338" s="30" t="s">
        <v>9154</v>
      </c>
      <c r="N7338" s="30" t="s">
        <v>203</v>
      </c>
      <c r="P7338" s="30" t="s">
        <v>14257</v>
      </c>
      <c r="Q7338" t="s">
        <v>623</v>
      </c>
      <c r="R7338" t="s">
        <v>920</v>
      </c>
      <c r="S7338">
        <v>39</v>
      </c>
      <c r="T7338" s="29" t="str">
        <f t="shared" si="315"/>
        <v>2023.034M.Spinoreoviridae_sprenam.zip</v>
      </c>
      <c r="U7338" s="29" t="str">
        <f>HYPERLINK("https://ictv.global/taxonomy/taxondetails?taxnode_id=202304945","ictv.global=202304945")</f>
        <v>ictv.global=202304945</v>
      </c>
    </row>
    <row r="7339" spans="1:21">
      <c r="A7339">
        <v>7338</v>
      </c>
      <c r="B7339" s="30" t="s">
        <v>1226</v>
      </c>
      <c r="D7339" s="30" t="s">
        <v>2024</v>
      </c>
      <c r="F7339" s="30" t="s">
        <v>2025</v>
      </c>
      <c r="H7339" s="30" t="s">
        <v>2028</v>
      </c>
      <c r="J7339" s="30" t="s">
        <v>2029</v>
      </c>
      <c r="L7339" s="30" t="s">
        <v>9154</v>
      </c>
      <c r="N7339" s="30" t="s">
        <v>387</v>
      </c>
      <c r="P7339" s="30" t="s">
        <v>14258</v>
      </c>
      <c r="Q7339" t="s">
        <v>623</v>
      </c>
      <c r="R7339" t="s">
        <v>920</v>
      </c>
      <c r="S7339">
        <v>39</v>
      </c>
      <c r="T7339" s="29" t="str">
        <f t="shared" si="315"/>
        <v>2023.034M.Spinoreoviridae_sprenam.zip</v>
      </c>
      <c r="U7339" s="29" t="str">
        <f>HYPERLINK("https://ictv.global/taxonomy/taxondetails?taxnode_id=202304948","ictv.global=202304948")</f>
        <v>ictv.global=202304948</v>
      </c>
    </row>
    <row r="7340" spans="1:21">
      <c r="A7340">
        <v>7339</v>
      </c>
      <c r="B7340" s="30" t="s">
        <v>1226</v>
      </c>
      <c r="D7340" s="30" t="s">
        <v>2024</v>
      </c>
      <c r="F7340" s="30" t="s">
        <v>2025</v>
      </c>
      <c r="H7340" s="30" t="s">
        <v>2028</v>
      </c>
      <c r="J7340" s="30" t="s">
        <v>2029</v>
      </c>
      <c r="L7340" s="30" t="s">
        <v>9154</v>
      </c>
      <c r="N7340" s="30" t="s">
        <v>435</v>
      </c>
      <c r="P7340" s="30" t="s">
        <v>14259</v>
      </c>
      <c r="Q7340" t="s">
        <v>623</v>
      </c>
      <c r="R7340" t="s">
        <v>920</v>
      </c>
      <c r="S7340">
        <v>39</v>
      </c>
      <c r="T7340" s="29" t="str">
        <f t="shared" si="315"/>
        <v>2023.034M.Spinoreoviridae_sprenam.zip</v>
      </c>
      <c r="U7340" s="29" t="str">
        <f>HYPERLINK("https://ictv.global/taxonomy/taxondetails?taxnode_id=202304951","ictv.global=202304951")</f>
        <v>ictv.global=202304951</v>
      </c>
    </row>
    <row r="7341" spans="1:21">
      <c r="A7341">
        <v>7340</v>
      </c>
      <c r="B7341" s="30" t="s">
        <v>1226</v>
      </c>
      <c r="D7341" s="30" t="s">
        <v>2024</v>
      </c>
      <c r="F7341" s="30" t="s">
        <v>2025</v>
      </c>
      <c r="H7341" s="30" t="s">
        <v>2028</v>
      </c>
      <c r="J7341" s="30" t="s">
        <v>2029</v>
      </c>
      <c r="L7341" s="30" t="s">
        <v>9154</v>
      </c>
      <c r="N7341" s="30" t="s">
        <v>435</v>
      </c>
      <c r="P7341" s="30" t="s">
        <v>14260</v>
      </c>
      <c r="Q7341" t="s">
        <v>623</v>
      </c>
      <c r="R7341" t="s">
        <v>920</v>
      </c>
      <c r="S7341">
        <v>39</v>
      </c>
      <c r="T7341" s="29" t="str">
        <f t="shared" si="315"/>
        <v>2023.034M.Spinoreoviridae_sprenam.zip</v>
      </c>
      <c r="U7341" s="29" t="str">
        <f>HYPERLINK("https://ictv.global/taxonomy/taxondetails?taxnode_id=202304957","ictv.global=202304957")</f>
        <v>ictv.global=202304957</v>
      </c>
    </row>
    <row r="7342" spans="1:21">
      <c r="A7342">
        <v>7341</v>
      </c>
      <c r="B7342" s="30" t="s">
        <v>1226</v>
      </c>
      <c r="D7342" s="30" t="s">
        <v>2024</v>
      </c>
      <c r="F7342" s="30" t="s">
        <v>2025</v>
      </c>
      <c r="H7342" s="30" t="s">
        <v>2028</v>
      </c>
      <c r="J7342" s="30" t="s">
        <v>2029</v>
      </c>
      <c r="L7342" s="30" t="s">
        <v>9154</v>
      </c>
      <c r="N7342" s="30" t="s">
        <v>435</v>
      </c>
      <c r="P7342" s="30" t="s">
        <v>14261</v>
      </c>
      <c r="Q7342" t="s">
        <v>623</v>
      </c>
      <c r="R7342" t="s">
        <v>920</v>
      </c>
      <c r="S7342">
        <v>39</v>
      </c>
      <c r="T7342" s="29" t="str">
        <f t="shared" si="315"/>
        <v>2023.034M.Spinoreoviridae_sprenam.zip</v>
      </c>
      <c r="U7342" s="29" t="str">
        <f>HYPERLINK("https://ictv.global/taxonomy/taxondetails?taxnode_id=202304955","ictv.global=202304955")</f>
        <v>ictv.global=202304955</v>
      </c>
    </row>
    <row r="7343" spans="1:21">
      <c r="A7343">
        <v>7342</v>
      </c>
      <c r="B7343" s="30" t="s">
        <v>1226</v>
      </c>
      <c r="D7343" s="30" t="s">
        <v>2024</v>
      </c>
      <c r="F7343" s="30" t="s">
        <v>2025</v>
      </c>
      <c r="H7343" s="30" t="s">
        <v>2028</v>
      </c>
      <c r="J7343" s="30" t="s">
        <v>2029</v>
      </c>
      <c r="L7343" s="30" t="s">
        <v>9154</v>
      </c>
      <c r="N7343" s="30" t="s">
        <v>435</v>
      </c>
      <c r="P7343" s="30" t="s">
        <v>14262</v>
      </c>
      <c r="Q7343" t="s">
        <v>623</v>
      </c>
      <c r="R7343" t="s">
        <v>920</v>
      </c>
      <c r="S7343">
        <v>39</v>
      </c>
      <c r="T7343" s="29" t="str">
        <f t="shared" ref="T7343:T7368" si="316">HYPERLINK("https://ictv.global/ictv/proposals/2023.034M.Spinoreoviridae_sprenam.zip","2023.034M.Spinoreoviridae_sprenam.zip")</f>
        <v>2023.034M.Spinoreoviridae_sprenam.zip</v>
      </c>
      <c r="U7343" s="29" t="str">
        <f>HYPERLINK("https://ictv.global/taxonomy/taxondetails?taxnode_id=202304958","ictv.global=202304958")</f>
        <v>ictv.global=202304958</v>
      </c>
    </row>
    <row r="7344" spans="1:21">
      <c r="A7344">
        <v>7343</v>
      </c>
      <c r="B7344" s="30" t="s">
        <v>1226</v>
      </c>
      <c r="D7344" s="30" t="s">
        <v>2024</v>
      </c>
      <c r="F7344" s="30" t="s">
        <v>2025</v>
      </c>
      <c r="H7344" s="30" t="s">
        <v>2028</v>
      </c>
      <c r="J7344" s="30" t="s">
        <v>2029</v>
      </c>
      <c r="L7344" s="30" t="s">
        <v>9154</v>
      </c>
      <c r="N7344" s="30" t="s">
        <v>435</v>
      </c>
      <c r="P7344" s="30" t="s">
        <v>14263</v>
      </c>
      <c r="Q7344" t="s">
        <v>623</v>
      </c>
      <c r="R7344" t="s">
        <v>920</v>
      </c>
      <c r="S7344">
        <v>39</v>
      </c>
      <c r="T7344" s="29" t="str">
        <f t="shared" si="316"/>
        <v>2023.034M.Spinoreoviridae_sprenam.zip</v>
      </c>
      <c r="U7344" s="29" t="str">
        <f>HYPERLINK("https://ictv.global/taxonomy/taxondetails?taxnode_id=202304953","ictv.global=202304953")</f>
        <v>ictv.global=202304953</v>
      </c>
    </row>
    <row r="7345" spans="1:21">
      <c r="A7345">
        <v>7344</v>
      </c>
      <c r="B7345" s="30" t="s">
        <v>1226</v>
      </c>
      <c r="D7345" s="30" t="s">
        <v>2024</v>
      </c>
      <c r="F7345" s="30" t="s">
        <v>2025</v>
      </c>
      <c r="H7345" s="30" t="s">
        <v>2028</v>
      </c>
      <c r="J7345" s="30" t="s">
        <v>2029</v>
      </c>
      <c r="L7345" s="30" t="s">
        <v>9154</v>
      </c>
      <c r="N7345" s="30" t="s">
        <v>435</v>
      </c>
      <c r="P7345" s="30" t="s">
        <v>14264</v>
      </c>
      <c r="Q7345" t="s">
        <v>623</v>
      </c>
      <c r="R7345" t="s">
        <v>920</v>
      </c>
      <c r="S7345">
        <v>39</v>
      </c>
      <c r="T7345" s="29" t="str">
        <f t="shared" si="316"/>
        <v>2023.034M.Spinoreoviridae_sprenam.zip</v>
      </c>
      <c r="U7345" s="29" t="str">
        <f>HYPERLINK("https://ictv.global/taxonomy/taxondetails?taxnode_id=202304956","ictv.global=202304956")</f>
        <v>ictv.global=202304956</v>
      </c>
    </row>
    <row r="7346" spans="1:21">
      <c r="A7346">
        <v>7345</v>
      </c>
      <c r="B7346" s="30" t="s">
        <v>1226</v>
      </c>
      <c r="D7346" s="30" t="s">
        <v>2024</v>
      </c>
      <c r="F7346" s="30" t="s">
        <v>2025</v>
      </c>
      <c r="H7346" s="30" t="s">
        <v>2028</v>
      </c>
      <c r="J7346" s="30" t="s">
        <v>2029</v>
      </c>
      <c r="L7346" s="30" t="s">
        <v>9154</v>
      </c>
      <c r="N7346" s="30" t="s">
        <v>435</v>
      </c>
      <c r="P7346" s="30" t="s">
        <v>14265</v>
      </c>
      <c r="Q7346" t="s">
        <v>623</v>
      </c>
      <c r="R7346" t="s">
        <v>920</v>
      </c>
      <c r="S7346">
        <v>39</v>
      </c>
      <c r="T7346" s="29" t="str">
        <f t="shared" si="316"/>
        <v>2023.034M.Spinoreoviridae_sprenam.zip</v>
      </c>
      <c r="U7346" s="29" t="str">
        <f>HYPERLINK("https://ictv.global/taxonomy/taxondetails?taxnode_id=202304950","ictv.global=202304950")</f>
        <v>ictv.global=202304950</v>
      </c>
    </row>
    <row r="7347" spans="1:21">
      <c r="A7347">
        <v>7346</v>
      </c>
      <c r="B7347" s="30" t="s">
        <v>1226</v>
      </c>
      <c r="D7347" s="30" t="s">
        <v>2024</v>
      </c>
      <c r="F7347" s="30" t="s">
        <v>2025</v>
      </c>
      <c r="H7347" s="30" t="s">
        <v>2028</v>
      </c>
      <c r="J7347" s="30" t="s">
        <v>2029</v>
      </c>
      <c r="L7347" s="30" t="s">
        <v>9154</v>
      </c>
      <c r="N7347" s="30" t="s">
        <v>435</v>
      </c>
      <c r="P7347" s="30" t="s">
        <v>14266</v>
      </c>
      <c r="Q7347" t="s">
        <v>623</v>
      </c>
      <c r="R7347" t="s">
        <v>920</v>
      </c>
      <c r="S7347">
        <v>39</v>
      </c>
      <c r="T7347" s="29" t="str">
        <f t="shared" si="316"/>
        <v>2023.034M.Spinoreoviridae_sprenam.zip</v>
      </c>
      <c r="U7347" s="29" t="str">
        <f>HYPERLINK("https://ictv.global/taxonomy/taxondetails?taxnode_id=202304954","ictv.global=202304954")</f>
        <v>ictv.global=202304954</v>
      </c>
    </row>
    <row r="7348" spans="1:21">
      <c r="A7348">
        <v>7347</v>
      </c>
      <c r="B7348" s="30" t="s">
        <v>1226</v>
      </c>
      <c r="D7348" s="30" t="s">
        <v>2024</v>
      </c>
      <c r="F7348" s="30" t="s">
        <v>2025</v>
      </c>
      <c r="H7348" s="30" t="s">
        <v>2028</v>
      </c>
      <c r="J7348" s="30" t="s">
        <v>2029</v>
      </c>
      <c r="L7348" s="30" t="s">
        <v>9154</v>
      </c>
      <c r="N7348" s="30" t="s">
        <v>435</v>
      </c>
      <c r="P7348" s="30" t="s">
        <v>14267</v>
      </c>
      <c r="Q7348" t="s">
        <v>623</v>
      </c>
      <c r="R7348" t="s">
        <v>920</v>
      </c>
      <c r="S7348">
        <v>39</v>
      </c>
      <c r="T7348" s="29" t="str">
        <f t="shared" si="316"/>
        <v>2023.034M.Spinoreoviridae_sprenam.zip</v>
      </c>
      <c r="U7348" s="29" t="str">
        <f>HYPERLINK("https://ictv.global/taxonomy/taxondetails?taxnode_id=202304952","ictv.global=202304952")</f>
        <v>ictv.global=202304952</v>
      </c>
    </row>
    <row r="7349" spans="1:21">
      <c r="A7349">
        <v>7348</v>
      </c>
      <c r="B7349" s="30" t="s">
        <v>1226</v>
      </c>
      <c r="D7349" s="30" t="s">
        <v>2024</v>
      </c>
      <c r="F7349" s="30" t="s">
        <v>2025</v>
      </c>
      <c r="H7349" s="30" t="s">
        <v>2028</v>
      </c>
      <c r="J7349" s="30" t="s">
        <v>2029</v>
      </c>
      <c r="L7349" s="30" t="s">
        <v>9154</v>
      </c>
      <c r="N7349" s="30" t="s">
        <v>389</v>
      </c>
      <c r="P7349" s="30" t="s">
        <v>14268</v>
      </c>
      <c r="Q7349" t="s">
        <v>623</v>
      </c>
      <c r="R7349" t="s">
        <v>920</v>
      </c>
      <c r="S7349">
        <v>39</v>
      </c>
      <c r="T7349" s="29" t="str">
        <f t="shared" si="316"/>
        <v>2023.034M.Spinoreoviridae_sprenam.zip</v>
      </c>
      <c r="U7349" s="29" t="str">
        <f>HYPERLINK("https://ictv.global/taxonomy/taxondetails?taxnode_id=202304964","ictv.global=202304964")</f>
        <v>ictv.global=202304964</v>
      </c>
    </row>
    <row r="7350" spans="1:21">
      <c r="A7350">
        <v>7349</v>
      </c>
      <c r="B7350" s="30" t="s">
        <v>1226</v>
      </c>
      <c r="D7350" s="30" t="s">
        <v>2024</v>
      </c>
      <c r="F7350" s="30" t="s">
        <v>2025</v>
      </c>
      <c r="H7350" s="30" t="s">
        <v>2028</v>
      </c>
      <c r="J7350" s="30" t="s">
        <v>2029</v>
      </c>
      <c r="L7350" s="30" t="s">
        <v>9154</v>
      </c>
      <c r="N7350" s="30" t="s">
        <v>389</v>
      </c>
      <c r="P7350" s="30" t="s">
        <v>14269</v>
      </c>
      <c r="Q7350" t="s">
        <v>623</v>
      </c>
      <c r="R7350" t="s">
        <v>920</v>
      </c>
      <c r="S7350">
        <v>39</v>
      </c>
      <c r="T7350" s="29" t="str">
        <f t="shared" si="316"/>
        <v>2023.034M.Spinoreoviridae_sprenam.zip</v>
      </c>
      <c r="U7350" s="29" t="str">
        <f>HYPERLINK("https://ictv.global/taxonomy/taxondetails?taxnode_id=202304963","ictv.global=202304963")</f>
        <v>ictv.global=202304963</v>
      </c>
    </row>
    <row r="7351" spans="1:21">
      <c r="A7351">
        <v>7350</v>
      </c>
      <c r="B7351" s="30" t="s">
        <v>1226</v>
      </c>
      <c r="D7351" s="30" t="s">
        <v>2024</v>
      </c>
      <c r="F7351" s="30" t="s">
        <v>2025</v>
      </c>
      <c r="H7351" s="30" t="s">
        <v>2028</v>
      </c>
      <c r="J7351" s="30" t="s">
        <v>2029</v>
      </c>
      <c r="L7351" s="30" t="s">
        <v>9154</v>
      </c>
      <c r="N7351" s="30" t="s">
        <v>389</v>
      </c>
      <c r="P7351" s="30" t="s">
        <v>14270</v>
      </c>
      <c r="Q7351" t="s">
        <v>623</v>
      </c>
      <c r="R7351" t="s">
        <v>920</v>
      </c>
      <c r="S7351">
        <v>39</v>
      </c>
      <c r="T7351" s="29" t="str">
        <f t="shared" si="316"/>
        <v>2023.034M.Spinoreoviridae_sprenam.zip</v>
      </c>
      <c r="U7351" s="29" t="str">
        <f>HYPERLINK("https://ictv.global/taxonomy/taxondetails?taxnode_id=202304960","ictv.global=202304960")</f>
        <v>ictv.global=202304960</v>
      </c>
    </row>
    <row r="7352" spans="1:21">
      <c r="A7352">
        <v>7351</v>
      </c>
      <c r="B7352" s="30" t="s">
        <v>1226</v>
      </c>
      <c r="D7352" s="30" t="s">
        <v>2024</v>
      </c>
      <c r="F7352" s="30" t="s">
        <v>2025</v>
      </c>
      <c r="H7352" s="30" t="s">
        <v>2028</v>
      </c>
      <c r="J7352" s="30" t="s">
        <v>2029</v>
      </c>
      <c r="L7352" s="30" t="s">
        <v>9154</v>
      </c>
      <c r="N7352" s="30" t="s">
        <v>389</v>
      </c>
      <c r="P7352" s="30" t="s">
        <v>14271</v>
      </c>
      <c r="Q7352" t="s">
        <v>623</v>
      </c>
      <c r="R7352" t="s">
        <v>920</v>
      </c>
      <c r="S7352">
        <v>39</v>
      </c>
      <c r="T7352" s="29" t="str">
        <f t="shared" si="316"/>
        <v>2023.034M.Spinoreoviridae_sprenam.zip</v>
      </c>
      <c r="U7352" s="29" t="str">
        <f>HYPERLINK("https://ictv.global/taxonomy/taxondetails?taxnode_id=202304961","ictv.global=202304961")</f>
        <v>ictv.global=202304961</v>
      </c>
    </row>
    <row r="7353" spans="1:21">
      <c r="A7353">
        <v>7352</v>
      </c>
      <c r="B7353" s="30" t="s">
        <v>1226</v>
      </c>
      <c r="D7353" s="30" t="s">
        <v>2024</v>
      </c>
      <c r="F7353" s="30" t="s">
        <v>2025</v>
      </c>
      <c r="H7353" s="30" t="s">
        <v>2028</v>
      </c>
      <c r="J7353" s="30" t="s">
        <v>2029</v>
      </c>
      <c r="L7353" s="30" t="s">
        <v>9154</v>
      </c>
      <c r="N7353" s="30" t="s">
        <v>389</v>
      </c>
      <c r="P7353" s="30" t="s">
        <v>14272</v>
      </c>
      <c r="Q7353" t="s">
        <v>623</v>
      </c>
      <c r="R7353" t="s">
        <v>920</v>
      </c>
      <c r="S7353">
        <v>39</v>
      </c>
      <c r="T7353" s="29" t="str">
        <f t="shared" si="316"/>
        <v>2023.034M.Spinoreoviridae_sprenam.zip</v>
      </c>
      <c r="U7353" s="29" t="str">
        <f>HYPERLINK("https://ictv.global/taxonomy/taxondetails?taxnode_id=202304962","ictv.global=202304962")</f>
        <v>ictv.global=202304962</v>
      </c>
    </row>
    <row r="7354" spans="1:21">
      <c r="A7354">
        <v>7353</v>
      </c>
      <c r="B7354" s="30" t="s">
        <v>1226</v>
      </c>
      <c r="D7354" s="30" t="s">
        <v>2024</v>
      </c>
      <c r="F7354" s="30" t="s">
        <v>2025</v>
      </c>
      <c r="H7354" s="30" t="s">
        <v>2028</v>
      </c>
      <c r="J7354" s="30" t="s">
        <v>2029</v>
      </c>
      <c r="L7354" s="30" t="s">
        <v>9154</v>
      </c>
      <c r="N7354" s="30" t="s">
        <v>456</v>
      </c>
      <c r="P7354" s="30" t="s">
        <v>14273</v>
      </c>
      <c r="Q7354" t="s">
        <v>623</v>
      </c>
      <c r="R7354" t="s">
        <v>920</v>
      </c>
      <c r="S7354">
        <v>39</v>
      </c>
      <c r="T7354" s="29" t="str">
        <f t="shared" si="316"/>
        <v>2023.034M.Spinoreoviridae_sprenam.zip</v>
      </c>
      <c r="U7354" s="29" t="str">
        <f>HYPERLINK("https://ictv.global/taxonomy/taxondetails?taxnode_id=202304966","ictv.global=202304966")</f>
        <v>ictv.global=202304966</v>
      </c>
    </row>
    <row r="7355" spans="1:21">
      <c r="A7355">
        <v>7354</v>
      </c>
      <c r="B7355" s="30" t="s">
        <v>1226</v>
      </c>
      <c r="D7355" s="30" t="s">
        <v>2024</v>
      </c>
      <c r="F7355" s="30" t="s">
        <v>2025</v>
      </c>
      <c r="H7355" s="30" t="s">
        <v>2028</v>
      </c>
      <c r="J7355" s="30" t="s">
        <v>2029</v>
      </c>
      <c r="L7355" s="30" t="s">
        <v>9154</v>
      </c>
      <c r="N7355" s="30" t="s">
        <v>456</v>
      </c>
      <c r="P7355" s="30" t="s">
        <v>14274</v>
      </c>
      <c r="Q7355" t="s">
        <v>623</v>
      </c>
      <c r="R7355" t="s">
        <v>920</v>
      </c>
      <c r="S7355">
        <v>39</v>
      </c>
      <c r="T7355" s="29" t="str">
        <f t="shared" si="316"/>
        <v>2023.034M.Spinoreoviridae_sprenam.zip</v>
      </c>
      <c r="U7355" s="29" t="str">
        <f>HYPERLINK("https://ictv.global/taxonomy/taxondetails?taxnode_id=202304967","ictv.global=202304967")</f>
        <v>ictv.global=202304967</v>
      </c>
    </row>
    <row r="7356" spans="1:21">
      <c r="A7356">
        <v>7355</v>
      </c>
      <c r="B7356" s="30" t="s">
        <v>1226</v>
      </c>
      <c r="D7356" s="30" t="s">
        <v>2024</v>
      </c>
      <c r="F7356" s="30" t="s">
        <v>2025</v>
      </c>
      <c r="H7356" s="30" t="s">
        <v>2028</v>
      </c>
      <c r="J7356" s="30" t="s">
        <v>2029</v>
      </c>
      <c r="L7356" s="30" t="s">
        <v>9154</v>
      </c>
      <c r="N7356" s="30" t="s">
        <v>456</v>
      </c>
      <c r="P7356" s="30" t="s">
        <v>14275</v>
      </c>
      <c r="Q7356" t="s">
        <v>623</v>
      </c>
      <c r="R7356" t="s">
        <v>920</v>
      </c>
      <c r="S7356">
        <v>39</v>
      </c>
      <c r="T7356" s="29" t="str">
        <f t="shared" si="316"/>
        <v>2023.034M.Spinoreoviridae_sprenam.zip</v>
      </c>
      <c r="U7356" s="29" t="str">
        <f>HYPERLINK("https://ictv.global/taxonomy/taxondetails?taxnode_id=202304968","ictv.global=202304968")</f>
        <v>ictv.global=202304968</v>
      </c>
    </row>
    <row r="7357" spans="1:21">
      <c r="A7357">
        <v>7356</v>
      </c>
      <c r="B7357" s="30" t="s">
        <v>1226</v>
      </c>
      <c r="D7357" s="30" t="s">
        <v>2024</v>
      </c>
      <c r="F7357" s="30" t="s">
        <v>2025</v>
      </c>
      <c r="H7357" s="30" t="s">
        <v>2028</v>
      </c>
      <c r="J7357" s="30" t="s">
        <v>2029</v>
      </c>
      <c r="L7357" s="30" t="s">
        <v>9154</v>
      </c>
      <c r="N7357" s="30" t="s">
        <v>340</v>
      </c>
      <c r="P7357" s="30" t="s">
        <v>14276</v>
      </c>
      <c r="Q7357" t="s">
        <v>623</v>
      </c>
      <c r="R7357" t="s">
        <v>920</v>
      </c>
      <c r="S7357">
        <v>39</v>
      </c>
      <c r="T7357" s="29" t="str">
        <f t="shared" si="316"/>
        <v>2023.034M.Spinoreoviridae_sprenam.zip</v>
      </c>
      <c r="U7357" s="29" t="str">
        <f>HYPERLINK("https://ictv.global/taxonomy/taxondetails?taxnode_id=202304970","ictv.global=202304970")</f>
        <v>ictv.global=202304970</v>
      </c>
    </row>
    <row r="7358" spans="1:21">
      <c r="A7358">
        <v>7357</v>
      </c>
      <c r="B7358" s="30" t="s">
        <v>1226</v>
      </c>
      <c r="D7358" s="30" t="s">
        <v>2024</v>
      </c>
      <c r="F7358" s="30" t="s">
        <v>2025</v>
      </c>
      <c r="H7358" s="30" t="s">
        <v>2028</v>
      </c>
      <c r="J7358" s="30" t="s">
        <v>2029</v>
      </c>
      <c r="L7358" s="30" t="s">
        <v>9154</v>
      </c>
      <c r="N7358" s="30" t="s">
        <v>340</v>
      </c>
      <c r="P7358" s="30" t="s">
        <v>14277</v>
      </c>
      <c r="Q7358" t="s">
        <v>623</v>
      </c>
      <c r="R7358" t="s">
        <v>920</v>
      </c>
      <c r="S7358">
        <v>39</v>
      </c>
      <c r="T7358" s="29" t="str">
        <f t="shared" si="316"/>
        <v>2023.034M.Spinoreoviridae_sprenam.zip</v>
      </c>
      <c r="U7358" s="29" t="str">
        <f>HYPERLINK("https://ictv.global/taxonomy/taxondetails?taxnode_id=202307547","ictv.global=202307547")</f>
        <v>ictv.global=202307547</v>
      </c>
    </row>
    <row r="7359" spans="1:21">
      <c r="A7359">
        <v>7358</v>
      </c>
      <c r="B7359" s="30" t="s">
        <v>1226</v>
      </c>
      <c r="D7359" s="30" t="s">
        <v>2024</v>
      </c>
      <c r="F7359" s="30" t="s">
        <v>2025</v>
      </c>
      <c r="H7359" s="30" t="s">
        <v>2028</v>
      </c>
      <c r="J7359" s="30" t="s">
        <v>2029</v>
      </c>
      <c r="L7359" s="30" t="s">
        <v>9154</v>
      </c>
      <c r="N7359" s="30" t="s">
        <v>340</v>
      </c>
      <c r="P7359" s="30" t="s">
        <v>14278</v>
      </c>
      <c r="Q7359" t="s">
        <v>623</v>
      </c>
      <c r="R7359" t="s">
        <v>920</v>
      </c>
      <c r="S7359">
        <v>39</v>
      </c>
      <c r="T7359" s="29" t="str">
        <f t="shared" si="316"/>
        <v>2023.034M.Spinoreoviridae_sprenam.zip</v>
      </c>
      <c r="U7359" s="29" t="str">
        <f>HYPERLINK("https://ictv.global/taxonomy/taxondetails?taxnode_id=202305927","ictv.global=202305927")</f>
        <v>ictv.global=202305927</v>
      </c>
    </row>
    <row r="7360" spans="1:21">
      <c r="A7360">
        <v>7359</v>
      </c>
      <c r="B7360" s="30" t="s">
        <v>1226</v>
      </c>
      <c r="D7360" s="30" t="s">
        <v>2024</v>
      </c>
      <c r="F7360" s="30" t="s">
        <v>2025</v>
      </c>
      <c r="H7360" s="30" t="s">
        <v>2028</v>
      </c>
      <c r="J7360" s="30" t="s">
        <v>2029</v>
      </c>
      <c r="L7360" s="30" t="s">
        <v>9154</v>
      </c>
      <c r="N7360" s="30" t="s">
        <v>340</v>
      </c>
      <c r="P7360" s="30" t="s">
        <v>14279</v>
      </c>
      <c r="Q7360" t="s">
        <v>623</v>
      </c>
      <c r="R7360" t="s">
        <v>920</v>
      </c>
      <c r="S7360">
        <v>39</v>
      </c>
      <c r="T7360" s="29" t="str">
        <f t="shared" si="316"/>
        <v>2023.034M.Spinoreoviridae_sprenam.zip</v>
      </c>
      <c r="U7360" s="29" t="str">
        <f>HYPERLINK("https://ictv.global/taxonomy/taxondetails?taxnode_id=202304972","ictv.global=202304972")</f>
        <v>ictv.global=202304972</v>
      </c>
    </row>
    <row r="7361" spans="1:21">
      <c r="A7361">
        <v>7360</v>
      </c>
      <c r="B7361" s="30" t="s">
        <v>1226</v>
      </c>
      <c r="D7361" s="30" t="s">
        <v>2024</v>
      </c>
      <c r="F7361" s="30" t="s">
        <v>2025</v>
      </c>
      <c r="H7361" s="30" t="s">
        <v>2028</v>
      </c>
      <c r="J7361" s="30" t="s">
        <v>2029</v>
      </c>
      <c r="L7361" s="30" t="s">
        <v>9154</v>
      </c>
      <c r="N7361" s="30" t="s">
        <v>340</v>
      </c>
      <c r="P7361" s="30" t="s">
        <v>14280</v>
      </c>
      <c r="Q7361" t="s">
        <v>623</v>
      </c>
      <c r="R7361" t="s">
        <v>920</v>
      </c>
      <c r="S7361">
        <v>39</v>
      </c>
      <c r="T7361" s="29" t="str">
        <f t="shared" si="316"/>
        <v>2023.034M.Spinoreoviridae_sprenam.zip</v>
      </c>
      <c r="U7361" s="29" t="str">
        <f>HYPERLINK("https://ictv.global/taxonomy/taxondetails?taxnode_id=202304973","ictv.global=202304973")</f>
        <v>ictv.global=202304973</v>
      </c>
    </row>
    <row r="7362" spans="1:21">
      <c r="A7362">
        <v>7361</v>
      </c>
      <c r="B7362" s="30" t="s">
        <v>1226</v>
      </c>
      <c r="D7362" s="30" t="s">
        <v>2024</v>
      </c>
      <c r="F7362" s="30" t="s">
        <v>2025</v>
      </c>
      <c r="H7362" s="30" t="s">
        <v>2028</v>
      </c>
      <c r="J7362" s="30" t="s">
        <v>2029</v>
      </c>
      <c r="L7362" s="30" t="s">
        <v>9154</v>
      </c>
      <c r="N7362" s="30" t="s">
        <v>340</v>
      </c>
      <c r="P7362" s="30" t="s">
        <v>14281</v>
      </c>
      <c r="Q7362" t="s">
        <v>623</v>
      </c>
      <c r="R7362" t="s">
        <v>920</v>
      </c>
      <c r="S7362">
        <v>39</v>
      </c>
      <c r="T7362" s="29" t="str">
        <f t="shared" si="316"/>
        <v>2023.034M.Spinoreoviridae_sprenam.zip</v>
      </c>
      <c r="U7362" s="29" t="str">
        <f>HYPERLINK("https://ictv.global/taxonomy/taxondetails?taxnode_id=202307548","ictv.global=202307548")</f>
        <v>ictv.global=202307548</v>
      </c>
    </row>
    <row r="7363" spans="1:21">
      <c r="A7363">
        <v>7362</v>
      </c>
      <c r="B7363" s="30" t="s">
        <v>1226</v>
      </c>
      <c r="D7363" s="30" t="s">
        <v>2024</v>
      </c>
      <c r="F7363" s="30" t="s">
        <v>2025</v>
      </c>
      <c r="H7363" s="30" t="s">
        <v>2028</v>
      </c>
      <c r="J7363" s="30" t="s">
        <v>2029</v>
      </c>
      <c r="L7363" s="30" t="s">
        <v>9154</v>
      </c>
      <c r="N7363" s="30" t="s">
        <v>340</v>
      </c>
      <c r="P7363" s="30" t="s">
        <v>14282</v>
      </c>
      <c r="Q7363" t="s">
        <v>623</v>
      </c>
      <c r="R7363" t="s">
        <v>920</v>
      </c>
      <c r="S7363">
        <v>39</v>
      </c>
      <c r="T7363" s="29" t="str">
        <f t="shared" si="316"/>
        <v>2023.034M.Spinoreoviridae_sprenam.zip</v>
      </c>
      <c r="U7363" s="29" t="str">
        <f>HYPERLINK("https://ictv.global/taxonomy/taxondetails?taxnode_id=202304971","ictv.global=202304971")</f>
        <v>ictv.global=202304971</v>
      </c>
    </row>
    <row r="7364" spans="1:21">
      <c r="A7364">
        <v>7363</v>
      </c>
      <c r="B7364" s="30" t="s">
        <v>1226</v>
      </c>
      <c r="D7364" s="30" t="s">
        <v>2024</v>
      </c>
      <c r="F7364" s="30" t="s">
        <v>2025</v>
      </c>
      <c r="H7364" s="30" t="s">
        <v>2028</v>
      </c>
      <c r="J7364" s="30" t="s">
        <v>2029</v>
      </c>
      <c r="L7364" s="30" t="s">
        <v>9154</v>
      </c>
      <c r="N7364" s="30" t="s">
        <v>340</v>
      </c>
      <c r="P7364" s="30" t="s">
        <v>14283</v>
      </c>
      <c r="Q7364" t="s">
        <v>623</v>
      </c>
      <c r="R7364" t="s">
        <v>920</v>
      </c>
      <c r="S7364">
        <v>39</v>
      </c>
      <c r="T7364" s="29" t="str">
        <f t="shared" si="316"/>
        <v>2023.034M.Spinoreoviridae_sprenam.zip</v>
      </c>
      <c r="U7364" s="29" t="str">
        <f>HYPERLINK("https://ictv.global/taxonomy/taxondetails?taxnode_id=202304974","ictv.global=202304974")</f>
        <v>ictv.global=202304974</v>
      </c>
    </row>
    <row r="7365" spans="1:21">
      <c r="A7365">
        <v>7364</v>
      </c>
      <c r="B7365" s="30" t="s">
        <v>1226</v>
      </c>
      <c r="D7365" s="30" t="s">
        <v>2024</v>
      </c>
      <c r="F7365" s="30" t="s">
        <v>2025</v>
      </c>
      <c r="H7365" s="30" t="s">
        <v>2028</v>
      </c>
      <c r="J7365" s="30" t="s">
        <v>2029</v>
      </c>
      <c r="L7365" s="30" t="s">
        <v>9154</v>
      </c>
      <c r="N7365" s="30" t="s">
        <v>340</v>
      </c>
      <c r="P7365" s="30" t="s">
        <v>14284</v>
      </c>
      <c r="Q7365" t="s">
        <v>623</v>
      </c>
      <c r="R7365" t="s">
        <v>920</v>
      </c>
      <c r="S7365">
        <v>39</v>
      </c>
      <c r="T7365" s="29" t="str">
        <f t="shared" si="316"/>
        <v>2023.034M.Spinoreoviridae_sprenam.zip</v>
      </c>
      <c r="U7365" s="29" t="str">
        <f>HYPERLINK("https://ictv.global/taxonomy/taxondetails?taxnode_id=202304975","ictv.global=202304975")</f>
        <v>ictv.global=202304975</v>
      </c>
    </row>
    <row r="7366" spans="1:21">
      <c r="A7366">
        <v>7365</v>
      </c>
      <c r="B7366" s="30" t="s">
        <v>1226</v>
      </c>
      <c r="D7366" s="30" t="s">
        <v>2024</v>
      </c>
      <c r="F7366" s="30" t="s">
        <v>2025</v>
      </c>
      <c r="H7366" s="30" t="s">
        <v>2028</v>
      </c>
      <c r="J7366" s="30" t="s">
        <v>2029</v>
      </c>
      <c r="L7366" s="30" t="s">
        <v>9154</v>
      </c>
      <c r="N7366" s="30" t="s">
        <v>340</v>
      </c>
      <c r="P7366" s="30" t="s">
        <v>14285</v>
      </c>
      <c r="Q7366" t="s">
        <v>623</v>
      </c>
      <c r="R7366" t="s">
        <v>920</v>
      </c>
      <c r="S7366">
        <v>39</v>
      </c>
      <c r="T7366" s="29" t="str">
        <f t="shared" si="316"/>
        <v>2023.034M.Spinoreoviridae_sprenam.zip</v>
      </c>
      <c r="U7366" s="29" t="str">
        <f>HYPERLINK("https://ictv.global/taxonomy/taxondetails?taxnode_id=202307549","ictv.global=202307549")</f>
        <v>ictv.global=202307549</v>
      </c>
    </row>
    <row r="7367" spans="1:21">
      <c r="A7367">
        <v>7366</v>
      </c>
      <c r="B7367" s="30" t="s">
        <v>1226</v>
      </c>
      <c r="D7367" s="30" t="s">
        <v>2024</v>
      </c>
      <c r="F7367" s="30" t="s">
        <v>2025</v>
      </c>
      <c r="H7367" s="30" t="s">
        <v>2028</v>
      </c>
      <c r="J7367" s="30" t="s">
        <v>2029</v>
      </c>
      <c r="L7367" s="30" t="s">
        <v>9154</v>
      </c>
      <c r="N7367" s="30" t="s">
        <v>341</v>
      </c>
      <c r="P7367" s="30" t="s">
        <v>14286</v>
      </c>
      <c r="Q7367" t="s">
        <v>623</v>
      </c>
      <c r="R7367" t="s">
        <v>920</v>
      </c>
      <c r="S7367">
        <v>39</v>
      </c>
      <c r="T7367" s="29" t="str">
        <f t="shared" si="316"/>
        <v>2023.034M.Spinoreoviridae_sprenam.zip</v>
      </c>
      <c r="U7367" s="29" t="str">
        <f>HYPERLINK("https://ictv.global/taxonomy/taxondetails?taxnode_id=202304977","ictv.global=202304977")</f>
        <v>ictv.global=202304977</v>
      </c>
    </row>
    <row r="7368" spans="1:21">
      <c r="A7368">
        <v>7367</v>
      </c>
      <c r="B7368" s="30" t="s">
        <v>1226</v>
      </c>
      <c r="D7368" s="30" t="s">
        <v>2024</v>
      </c>
      <c r="F7368" s="30" t="s">
        <v>2025</v>
      </c>
      <c r="H7368" s="30" t="s">
        <v>2028</v>
      </c>
      <c r="J7368" s="30" t="s">
        <v>2029</v>
      </c>
      <c r="L7368" s="30" t="s">
        <v>9154</v>
      </c>
      <c r="N7368" s="30" t="s">
        <v>341</v>
      </c>
      <c r="P7368" s="30" t="s">
        <v>14287</v>
      </c>
      <c r="Q7368" t="s">
        <v>623</v>
      </c>
      <c r="R7368" t="s">
        <v>920</v>
      </c>
      <c r="S7368">
        <v>39</v>
      </c>
      <c r="T7368" s="29" t="str">
        <f t="shared" si="316"/>
        <v>2023.034M.Spinoreoviridae_sprenam.zip</v>
      </c>
      <c r="U7368" s="29" t="str">
        <f>HYPERLINK("https://ictv.global/taxonomy/taxondetails?taxnode_id=202304978","ictv.global=202304978")</f>
        <v>ictv.global=202304978</v>
      </c>
    </row>
    <row r="7369" spans="1:21">
      <c r="A7369">
        <v>7368</v>
      </c>
      <c r="B7369" s="30" t="s">
        <v>1226</v>
      </c>
      <c r="D7369" s="30" t="s">
        <v>2024</v>
      </c>
      <c r="F7369" s="30" t="s">
        <v>2025</v>
      </c>
      <c r="H7369" s="30" t="s">
        <v>2030</v>
      </c>
      <c r="J7369" s="30" t="s">
        <v>2031</v>
      </c>
      <c r="L7369" s="30" t="s">
        <v>493</v>
      </c>
      <c r="N7369" s="30" t="s">
        <v>497</v>
      </c>
      <c r="P7369" s="30" t="s">
        <v>9155</v>
      </c>
      <c r="Q7369" t="s">
        <v>623</v>
      </c>
      <c r="R7369" t="s">
        <v>920</v>
      </c>
      <c r="S7369">
        <v>37</v>
      </c>
      <c r="T7369" s="29" t="str">
        <f t="shared" ref="T7369:T7375" si="317">HYPERLINK("https://ictv.global/ictv/proposals/2021.010B.R.Binomial_names.zip","2021.010B.R.Binomial_names.zip")</f>
        <v>2021.010B.R.Binomial_names.zip</v>
      </c>
      <c r="U7369" s="29" t="str">
        <f>HYPERLINK("https://ictv.global/taxonomy/taxondetails?taxnode_id=202303041","ictv.global=202303041")</f>
        <v>ictv.global=202303041</v>
      </c>
    </row>
    <row r="7370" spans="1:21">
      <c r="A7370">
        <v>7369</v>
      </c>
      <c r="B7370" s="30" t="s">
        <v>1226</v>
      </c>
      <c r="D7370" s="30" t="s">
        <v>2024</v>
      </c>
      <c r="F7370" s="30" t="s">
        <v>2025</v>
      </c>
      <c r="H7370" s="30" t="s">
        <v>2030</v>
      </c>
      <c r="J7370" s="30" t="s">
        <v>2031</v>
      </c>
      <c r="L7370" s="30" t="s">
        <v>493</v>
      </c>
      <c r="N7370" s="30" t="s">
        <v>497</v>
      </c>
      <c r="P7370" s="30" t="s">
        <v>9156</v>
      </c>
      <c r="Q7370" t="s">
        <v>623</v>
      </c>
      <c r="R7370" t="s">
        <v>920</v>
      </c>
      <c r="S7370">
        <v>37</v>
      </c>
      <c r="T7370" s="29" t="str">
        <f t="shared" si="317"/>
        <v>2021.010B.R.Binomial_names.zip</v>
      </c>
      <c r="U7370" s="29" t="str">
        <f>HYPERLINK("https://ictv.global/taxonomy/taxondetails?taxnode_id=202305775","ictv.global=202305775")</f>
        <v>ictv.global=202305775</v>
      </c>
    </row>
    <row r="7371" spans="1:21">
      <c r="A7371">
        <v>7370</v>
      </c>
      <c r="B7371" s="30" t="s">
        <v>1226</v>
      </c>
      <c r="D7371" s="30" t="s">
        <v>2024</v>
      </c>
      <c r="F7371" s="30" t="s">
        <v>2025</v>
      </c>
      <c r="H7371" s="30" t="s">
        <v>2030</v>
      </c>
      <c r="J7371" s="30" t="s">
        <v>2031</v>
      </c>
      <c r="L7371" s="30" t="s">
        <v>493</v>
      </c>
      <c r="N7371" s="30" t="s">
        <v>497</v>
      </c>
      <c r="P7371" s="30" t="s">
        <v>9157</v>
      </c>
      <c r="Q7371" t="s">
        <v>623</v>
      </c>
      <c r="R7371" t="s">
        <v>920</v>
      </c>
      <c r="S7371">
        <v>37</v>
      </c>
      <c r="T7371" s="29" t="str">
        <f t="shared" si="317"/>
        <v>2021.010B.R.Binomial_names.zip</v>
      </c>
      <c r="U7371" s="29" t="str">
        <f>HYPERLINK("https://ictv.global/taxonomy/taxondetails?taxnode_id=202305772","ictv.global=202305772")</f>
        <v>ictv.global=202305772</v>
      </c>
    </row>
    <row r="7372" spans="1:21">
      <c r="A7372">
        <v>7371</v>
      </c>
      <c r="B7372" s="30" t="s">
        <v>1226</v>
      </c>
      <c r="D7372" s="30" t="s">
        <v>2024</v>
      </c>
      <c r="F7372" s="30" t="s">
        <v>2025</v>
      </c>
      <c r="H7372" s="30" t="s">
        <v>2030</v>
      </c>
      <c r="J7372" s="30" t="s">
        <v>2031</v>
      </c>
      <c r="L7372" s="30" t="s">
        <v>493</v>
      </c>
      <c r="N7372" s="30" t="s">
        <v>497</v>
      </c>
      <c r="P7372" s="30" t="s">
        <v>9158</v>
      </c>
      <c r="Q7372" t="s">
        <v>623</v>
      </c>
      <c r="R7372" t="s">
        <v>920</v>
      </c>
      <c r="S7372">
        <v>37</v>
      </c>
      <c r="T7372" s="29" t="str">
        <f t="shared" si="317"/>
        <v>2021.010B.R.Binomial_names.zip</v>
      </c>
      <c r="U7372" s="29" t="str">
        <f>HYPERLINK("https://ictv.global/taxonomy/taxondetails?taxnode_id=202305773","ictv.global=202305773")</f>
        <v>ictv.global=202305773</v>
      </c>
    </row>
    <row r="7373" spans="1:21">
      <c r="A7373">
        <v>7372</v>
      </c>
      <c r="B7373" s="30" t="s">
        <v>1226</v>
      </c>
      <c r="D7373" s="30" t="s">
        <v>2024</v>
      </c>
      <c r="F7373" s="30" t="s">
        <v>2025</v>
      </c>
      <c r="H7373" s="30" t="s">
        <v>2030</v>
      </c>
      <c r="J7373" s="30" t="s">
        <v>2031</v>
      </c>
      <c r="L7373" s="30" t="s">
        <v>493</v>
      </c>
      <c r="N7373" s="30" t="s">
        <v>497</v>
      </c>
      <c r="P7373" s="30" t="s">
        <v>9159</v>
      </c>
      <c r="Q7373" t="s">
        <v>623</v>
      </c>
      <c r="R7373" t="s">
        <v>920</v>
      </c>
      <c r="S7373">
        <v>37</v>
      </c>
      <c r="T7373" s="29" t="str">
        <f t="shared" si="317"/>
        <v>2021.010B.R.Binomial_names.zip</v>
      </c>
      <c r="U7373" s="29" t="str">
        <f>HYPERLINK("https://ictv.global/taxonomy/taxondetails?taxnode_id=202305774","ictv.global=202305774")</f>
        <v>ictv.global=202305774</v>
      </c>
    </row>
    <row r="7374" spans="1:21">
      <c r="A7374">
        <v>7373</v>
      </c>
      <c r="B7374" s="30" t="s">
        <v>1226</v>
      </c>
      <c r="D7374" s="30" t="s">
        <v>2024</v>
      </c>
      <c r="F7374" s="30" t="s">
        <v>2025</v>
      </c>
      <c r="H7374" s="30" t="s">
        <v>2030</v>
      </c>
      <c r="J7374" s="30" t="s">
        <v>2031</v>
      </c>
      <c r="L7374" s="30" t="s">
        <v>493</v>
      </c>
      <c r="N7374" s="30" t="s">
        <v>497</v>
      </c>
      <c r="P7374" s="30" t="s">
        <v>9160</v>
      </c>
      <c r="Q7374" t="s">
        <v>623</v>
      </c>
      <c r="R7374" t="s">
        <v>920</v>
      </c>
      <c r="S7374">
        <v>37</v>
      </c>
      <c r="T7374" s="29" t="str">
        <f t="shared" si="317"/>
        <v>2021.010B.R.Binomial_names.zip</v>
      </c>
      <c r="U7374" s="29" t="str">
        <f>HYPERLINK("https://ictv.global/taxonomy/taxondetails?taxnode_id=202305776","ictv.global=202305776")</f>
        <v>ictv.global=202305776</v>
      </c>
    </row>
    <row r="7375" spans="1:21">
      <c r="A7375">
        <v>7374</v>
      </c>
      <c r="B7375" s="30" t="s">
        <v>1226</v>
      </c>
      <c r="D7375" s="30" t="s">
        <v>2024</v>
      </c>
      <c r="F7375" s="30" t="s">
        <v>2025</v>
      </c>
      <c r="H7375" s="30" t="s">
        <v>2030</v>
      </c>
      <c r="J7375" s="30" t="s">
        <v>2031</v>
      </c>
      <c r="L7375" s="30" t="s">
        <v>493</v>
      </c>
      <c r="N7375" s="30" t="s">
        <v>497</v>
      </c>
      <c r="P7375" s="30" t="s">
        <v>9161</v>
      </c>
      <c r="Q7375" t="s">
        <v>623</v>
      </c>
      <c r="R7375" t="s">
        <v>920</v>
      </c>
      <c r="S7375">
        <v>37</v>
      </c>
      <c r="T7375" s="29" t="str">
        <f t="shared" si="317"/>
        <v>2021.010B.R.Binomial_names.zip</v>
      </c>
      <c r="U7375" s="29" t="str">
        <f>HYPERLINK("https://ictv.global/taxonomy/taxondetails?taxnode_id=202305777","ictv.global=202305777")</f>
        <v>ictv.global=202305777</v>
      </c>
    </row>
    <row r="7376" spans="1:21">
      <c r="A7376">
        <v>7375</v>
      </c>
      <c r="B7376" s="30" t="s">
        <v>1226</v>
      </c>
      <c r="D7376" s="30" t="s">
        <v>2024</v>
      </c>
      <c r="F7376" s="30" t="s">
        <v>2032</v>
      </c>
      <c r="H7376" s="30" t="s">
        <v>2033</v>
      </c>
      <c r="J7376" s="30" t="s">
        <v>2034</v>
      </c>
      <c r="L7376" s="30" t="s">
        <v>9</v>
      </c>
      <c r="N7376" s="30" t="s">
        <v>442</v>
      </c>
      <c r="P7376" s="30" t="s">
        <v>14288</v>
      </c>
      <c r="Q7376" t="s">
        <v>621</v>
      </c>
      <c r="R7376" t="s">
        <v>920</v>
      </c>
      <c r="S7376">
        <v>39</v>
      </c>
      <c r="T7376" s="29" t="str">
        <f t="shared" ref="T7376:T7385" si="318">HYPERLINK("https://ictv.global/ictv/proposals/2023.005S.Tetraviridae_13sprenamed.zip","2023.005S.Tetraviridae_13sprenamed.zip")</f>
        <v>2023.005S.Tetraviridae_13sprenamed.zip</v>
      </c>
      <c r="U7376" s="29" t="str">
        <f>HYPERLINK("https://ictv.global/taxonomy/taxondetails?taxnode_id=202302459","ictv.global=202302459")</f>
        <v>ictv.global=202302459</v>
      </c>
    </row>
    <row r="7377" spans="1:21">
      <c r="A7377">
        <v>7376</v>
      </c>
      <c r="B7377" s="30" t="s">
        <v>1226</v>
      </c>
      <c r="D7377" s="30" t="s">
        <v>2024</v>
      </c>
      <c r="F7377" s="30" t="s">
        <v>2032</v>
      </c>
      <c r="H7377" s="30" t="s">
        <v>2033</v>
      </c>
      <c r="J7377" s="30" t="s">
        <v>2034</v>
      </c>
      <c r="L7377" s="30" t="s">
        <v>9</v>
      </c>
      <c r="N7377" s="30" t="s">
        <v>442</v>
      </c>
      <c r="P7377" s="30" t="s">
        <v>14289</v>
      </c>
      <c r="Q7377" t="s">
        <v>621</v>
      </c>
      <c r="R7377" t="s">
        <v>920</v>
      </c>
      <c r="S7377">
        <v>39</v>
      </c>
      <c r="T7377" s="29" t="str">
        <f t="shared" si="318"/>
        <v>2023.005S.Tetraviridae_13sprenamed.zip</v>
      </c>
      <c r="U7377" s="29" t="str">
        <f>HYPERLINK("https://ictv.global/taxonomy/taxondetails?taxnode_id=202302460","ictv.global=202302460")</f>
        <v>ictv.global=202302460</v>
      </c>
    </row>
    <row r="7378" spans="1:21">
      <c r="A7378">
        <v>7377</v>
      </c>
      <c r="B7378" s="30" t="s">
        <v>1226</v>
      </c>
      <c r="D7378" s="30" t="s">
        <v>2024</v>
      </c>
      <c r="F7378" s="30" t="s">
        <v>2032</v>
      </c>
      <c r="H7378" s="30" t="s">
        <v>2033</v>
      </c>
      <c r="J7378" s="30" t="s">
        <v>2034</v>
      </c>
      <c r="L7378" s="30" t="s">
        <v>9</v>
      </c>
      <c r="N7378" s="30" t="s">
        <v>442</v>
      </c>
      <c r="P7378" s="30" t="s">
        <v>14290</v>
      </c>
      <c r="Q7378" t="s">
        <v>621</v>
      </c>
      <c r="R7378" t="s">
        <v>920</v>
      </c>
      <c r="S7378">
        <v>39</v>
      </c>
      <c r="T7378" s="29" t="str">
        <f t="shared" si="318"/>
        <v>2023.005S.Tetraviridae_13sprenamed.zip</v>
      </c>
      <c r="U7378" s="29" t="str">
        <f>HYPERLINK("https://ictv.global/taxonomy/taxondetails?taxnode_id=202302461","ictv.global=202302461")</f>
        <v>ictv.global=202302461</v>
      </c>
    </row>
    <row r="7379" spans="1:21">
      <c r="A7379">
        <v>7378</v>
      </c>
      <c r="B7379" s="30" t="s">
        <v>1226</v>
      </c>
      <c r="D7379" s="30" t="s">
        <v>2024</v>
      </c>
      <c r="F7379" s="30" t="s">
        <v>2032</v>
      </c>
      <c r="H7379" s="30" t="s">
        <v>2033</v>
      </c>
      <c r="J7379" s="30" t="s">
        <v>2034</v>
      </c>
      <c r="L7379" s="30" t="s">
        <v>9</v>
      </c>
      <c r="N7379" s="30" t="s">
        <v>442</v>
      </c>
      <c r="P7379" s="30" t="s">
        <v>14291</v>
      </c>
      <c r="Q7379" t="s">
        <v>621</v>
      </c>
      <c r="R7379" t="s">
        <v>920</v>
      </c>
      <c r="S7379">
        <v>39</v>
      </c>
      <c r="T7379" s="29" t="str">
        <f t="shared" si="318"/>
        <v>2023.005S.Tetraviridae_13sprenamed.zip</v>
      </c>
      <c r="U7379" s="29" t="str">
        <f>HYPERLINK("https://ictv.global/taxonomy/taxondetails?taxnode_id=202302462","ictv.global=202302462")</f>
        <v>ictv.global=202302462</v>
      </c>
    </row>
    <row r="7380" spans="1:21">
      <c r="A7380">
        <v>7379</v>
      </c>
      <c r="B7380" s="30" t="s">
        <v>1226</v>
      </c>
      <c r="D7380" s="30" t="s">
        <v>2024</v>
      </c>
      <c r="F7380" s="30" t="s">
        <v>2032</v>
      </c>
      <c r="H7380" s="30" t="s">
        <v>2033</v>
      </c>
      <c r="J7380" s="30" t="s">
        <v>2034</v>
      </c>
      <c r="L7380" s="30" t="s">
        <v>9</v>
      </c>
      <c r="N7380" s="30" t="s">
        <v>442</v>
      </c>
      <c r="P7380" s="30" t="s">
        <v>14292</v>
      </c>
      <c r="Q7380" t="s">
        <v>621</v>
      </c>
      <c r="R7380" t="s">
        <v>920</v>
      </c>
      <c r="S7380">
        <v>39</v>
      </c>
      <c r="T7380" s="29" t="str">
        <f t="shared" si="318"/>
        <v>2023.005S.Tetraviridae_13sprenamed.zip</v>
      </c>
      <c r="U7380" s="29" t="str">
        <f>HYPERLINK("https://ictv.global/taxonomy/taxondetails?taxnode_id=202302463","ictv.global=202302463")</f>
        <v>ictv.global=202302463</v>
      </c>
    </row>
    <row r="7381" spans="1:21">
      <c r="A7381">
        <v>7380</v>
      </c>
      <c r="B7381" s="30" t="s">
        <v>1226</v>
      </c>
      <c r="D7381" s="30" t="s">
        <v>2024</v>
      </c>
      <c r="F7381" s="30" t="s">
        <v>2032</v>
      </c>
      <c r="H7381" s="30" t="s">
        <v>2033</v>
      </c>
      <c r="J7381" s="30" t="s">
        <v>2034</v>
      </c>
      <c r="L7381" s="30" t="s">
        <v>9</v>
      </c>
      <c r="N7381" s="30" t="s">
        <v>442</v>
      </c>
      <c r="P7381" s="30" t="s">
        <v>14293</v>
      </c>
      <c r="Q7381" t="s">
        <v>621</v>
      </c>
      <c r="R7381" t="s">
        <v>920</v>
      </c>
      <c r="S7381">
        <v>39</v>
      </c>
      <c r="T7381" s="29" t="str">
        <f t="shared" si="318"/>
        <v>2023.005S.Tetraviridae_13sprenamed.zip</v>
      </c>
      <c r="U7381" s="29" t="str">
        <f>HYPERLINK("https://ictv.global/taxonomy/taxondetails?taxnode_id=202302464","ictv.global=202302464")</f>
        <v>ictv.global=202302464</v>
      </c>
    </row>
    <row r="7382" spans="1:21">
      <c r="A7382">
        <v>7381</v>
      </c>
      <c r="B7382" s="30" t="s">
        <v>1226</v>
      </c>
      <c r="D7382" s="30" t="s">
        <v>2024</v>
      </c>
      <c r="F7382" s="30" t="s">
        <v>2032</v>
      </c>
      <c r="H7382" s="30" t="s">
        <v>2033</v>
      </c>
      <c r="J7382" s="30" t="s">
        <v>2034</v>
      </c>
      <c r="L7382" s="30" t="s">
        <v>9</v>
      </c>
      <c r="N7382" s="30" t="s">
        <v>442</v>
      </c>
      <c r="P7382" s="30" t="s">
        <v>14294</v>
      </c>
      <c r="Q7382" t="s">
        <v>621</v>
      </c>
      <c r="R7382" t="s">
        <v>920</v>
      </c>
      <c r="S7382">
        <v>39</v>
      </c>
      <c r="T7382" s="29" t="str">
        <f t="shared" si="318"/>
        <v>2023.005S.Tetraviridae_13sprenamed.zip</v>
      </c>
      <c r="U7382" s="29" t="str">
        <f>HYPERLINK("https://ictv.global/taxonomy/taxondetails?taxnode_id=202302465","ictv.global=202302465")</f>
        <v>ictv.global=202302465</v>
      </c>
    </row>
    <row r="7383" spans="1:21">
      <c r="A7383">
        <v>7382</v>
      </c>
      <c r="B7383" s="30" t="s">
        <v>1226</v>
      </c>
      <c r="D7383" s="30" t="s">
        <v>2024</v>
      </c>
      <c r="F7383" s="30" t="s">
        <v>2032</v>
      </c>
      <c r="H7383" s="30" t="s">
        <v>2033</v>
      </c>
      <c r="J7383" s="30" t="s">
        <v>2034</v>
      </c>
      <c r="L7383" s="30" t="s">
        <v>9</v>
      </c>
      <c r="N7383" s="30" t="s">
        <v>230</v>
      </c>
      <c r="P7383" s="30" t="s">
        <v>14295</v>
      </c>
      <c r="Q7383" t="s">
        <v>621</v>
      </c>
      <c r="R7383" t="s">
        <v>920</v>
      </c>
      <c r="S7383">
        <v>39</v>
      </c>
      <c r="T7383" s="29" t="str">
        <f t="shared" si="318"/>
        <v>2023.005S.Tetraviridae_13sprenamed.zip</v>
      </c>
      <c r="U7383" s="29" t="str">
        <f>HYPERLINK("https://ictv.global/taxonomy/taxondetails?taxnode_id=202302467","ictv.global=202302467")</f>
        <v>ictv.global=202302467</v>
      </c>
    </row>
    <row r="7384" spans="1:21">
      <c r="A7384">
        <v>7383</v>
      </c>
      <c r="B7384" s="30" t="s">
        <v>1226</v>
      </c>
      <c r="D7384" s="30" t="s">
        <v>2024</v>
      </c>
      <c r="F7384" s="30" t="s">
        <v>2032</v>
      </c>
      <c r="H7384" s="30" t="s">
        <v>2033</v>
      </c>
      <c r="J7384" s="30" t="s">
        <v>2034</v>
      </c>
      <c r="L7384" s="30" t="s">
        <v>9</v>
      </c>
      <c r="N7384" s="30" t="s">
        <v>230</v>
      </c>
      <c r="P7384" s="30" t="s">
        <v>14296</v>
      </c>
      <c r="Q7384" t="s">
        <v>621</v>
      </c>
      <c r="R7384" t="s">
        <v>920</v>
      </c>
      <c r="S7384">
        <v>39</v>
      </c>
      <c r="T7384" s="29" t="str">
        <f t="shared" si="318"/>
        <v>2023.005S.Tetraviridae_13sprenamed.zip</v>
      </c>
      <c r="U7384" s="29" t="str">
        <f>HYPERLINK("https://ictv.global/taxonomy/taxondetails?taxnode_id=202302468","ictv.global=202302468")</f>
        <v>ictv.global=202302468</v>
      </c>
    </row>
    <row r="7385" spans="1:21">
      <c r="A7385">
        <v>7384</v>
      </c>
      <c r="B7385" s="30" t="s">
        <v>1226</v>
      </c>
      <c r="D7385" s="30" t="s">
        <v>2024</v>
      </c>
      <c r="F7385" s="30" t="s">
        <v>2032</v>
      </c>
      <c r="H7385" s="30" t="s">
        <v>2033</v>
      </c>
      <c r="J7385" s="30" t="s">
        <v>2034</v>
      </c>
      <c r="L7385" s="30" t="s">
        <v>9</v>
      </c>
      <c r="N7385" s="30" t="s">
        <v>230</v>
      </c>
      <c r="P7385" s="30" t="s">
        <v>14297</v>
      </c>
      <c r="Q7385" t="s">
        <v>621</v>
      </c>
      <c r="R7385" t="s">
        <v>920</v>
      </c>
      <c r="S7385">
        <v>39</v>
      </c>
      <c r="T7385" s="29" t="str">
        <f t="shared" si="318"/>
        <v>2023.005S.Tetraviridae_13sprenamed.zip</v>
      </c>
      <c r="U7385" s="29" t="str">
        <f>HYPERLINK("https://ictv.global/taxonomy/taxondetails?taxnode_id=202302469","ictv.global=202302469")</f>
        <v>ictv.global=202302469</v>
      </c>
    </row>
    <row r="7386" spans="1:21">
      <c r="A7386">
        <v>7385</v>
      </c>
      <c r="B7386" s="30" t="s">
        <v>1226</v>
      </c>
      <c r="D7386" s="30" t="s">
        <v>2024</v>
      </c>
      <c r="F7386" s="30" t="s">
        <v>2032</v>
      </c>
      <c r="H7386" s="30" t="s">
        <v>2033</v>
      </c>
      <c r="J7386" s="30" t="s">
        <v>2034</v>
      </c>
      <c r="L7386" s="30" t="s">
        <v>549</v>
      </c>
      <c r="N7386" s="30" t="s">
        <v>328</v>
      </c>
      <c r="P7386" s="30" t="s">
        <v>14298</v>
      </c>
      <c r="Q7386" t="s">
        <v>621</v>
      </c>
      <c r="R7386" t="s">
        <v>920</v>
      </c>
      <c r="S7386">
        <v>39</v>
      </c>
      <c r="T7386" s="29" t="str">
        <f>HYPERLINK("https://ictv.global/ictv/proposals/2023.016P.Virgaviridae_and_Benyviridae_rename_sp.zip","2023.016P.Virgaviridae_and_Benyviridae_rename_sp.zip")</f>
        <v>2023.016P.Virgaviridae_and_Benyviridae_rename_sp.zip</v>
      </c>
      <c r="U7386" s="29" t="str">
        <f>HYPERLINK("https://ictv.global/taxonomy/taxondetails?taxnode_id=202302735","ictv.global=202302735")</f>
        <v>ictv.global=202302735</v>
      </c>
    </row>
    <row r="7387" spans="1:21">
      <c r="A7387">
        <v>7386</v>
      </c>
      <c r="B7387" s="30" t="s">
        <v>1226</v>
      </c>
      <c r="D7387" s="30" t="s">
        <v>2024</v>
      </c>
      <c r="F7387" s="30" t="s">
        <v>2032</v>
      </c>
      <c r="H7387" s="30" t="s">
        <v>2033</v>
      </c>
      <c r="J7387" s="30" t="s">
        <v>2034</v>
      </c>
      <c r="L7387" s="30" t="s">
        <v>549</v>
      </c>
      <c r="N7387" s="30" t="s">
        <v>328</v>
      </c>
      <c r="P7387" s="30" t="s">
        <v>14299</v>
      </c>
      <c r="Q7387" t="s">
        <v>621</v>
      </c>
      <c r="R7387" t="s">
        <v>920</v>
      </c>
      <c r="S7387">
        <v>39</v>
      </c>
      <c r="T7387" s="29" t="str">
        <f>HYPERLINK("https://ictv.global/ictv/proposals/2023.016P.Virgaviridae_and_Benyviridae_rename_sp.zip","2023.016P.Virgaviridae_and_Benyviridae_rename_sp.zip")</f>
        <v>2023.016P.Virgaviridae_and_Benyviridae_rename_sp.zip</v>
      </c>
      <c r="U7387" s="29" t="str">
        <f>HYPERLINK("https://ictv.global/taxonomy/taxondetails?taxnode_id=202302733","ictv.global=202302733")</f>
        <v>ictv.global=202302733</v>
      </c>
    </row>
    <row r="7388" spans="1:21">
      <c r="A7388">
        <v>7387</v>
      </c>
      <c r="B7388" s="30" t="s">
        <v>1226</v>
      </c>
      <c r="D7388" s="30" t="s">
        <v>2024</v>
      </c>
      <c r="F7388" s="30" t="s">
        <v>2032</v>
      </c>
      <c r="H7388" s="30" t="s">
        <v>2033</v>
      </c>
      <c r="J7388" s="30" t="s">
        <v>2034</v>
      </c>
      <c r="L7388" s="30" t="s">
        <v>549</v>
      </c>
      <c r="N7388" s="30" t="s">
        <v>328</v>
      </c>
      <c r="P7388" s="30" t="s">
        <v>14300</v>
      </c>
      <c r="Q7388" t="s">
        <v>621</v>
      </c>
      <c r="R7388" t="s">
        <v>920</v>
      </c>
      <c r="S7388">
        <v>39</v>
      </c>
      <c r="T7388" s="29" t="str">
        <f>HYPERLINK("https://ictv.global/ictv/proposals/2023.016P.Virgaviridae_and_Benyviridae_rename_sp.zip","2023.016P.Virgaviridae_and_Benyviridae_rename_sp.zip")</f>
        <v>2023.016P.Virgaviridae_and_Benyviridae_rename_sp.zip</v>
      </c>
      <c r="U7388" s="29" t="str">
        <f>HYPERLINK("https://ictv.global/taxonomy/taxondetails?taxnode_id=202302736","ictv.global=202302736")</f>
        <v>ictv.global=202302736</v>
      </c>
    </row>
    <row r="7389" spans="1:21">
      <c r="A7389">
        <v>7388</v>
      </c>
      <c r="B7389" s="30" t="s">
        <v>1226</v>
      </c>
      <c r="D7389" s="30" t="s">
        <v>2024</v>
      </c>
      <c r="F7389" s="30" t="s">
        <v>2032</v>
      </c>
      <c r="H7389" s="30" t="s">
        <v>2033</v>
      </c>
      <c r="J7389" s="30" t="s">
        <v>2034</v>
      </c>
      <c r="L7389" s="30" t="s">
        <v>549</v>
      </c>
      <c r="N7389" s="30" t="s">
        <v>328</v>
      </c>
      <c r="P7389" s="30" t="s">
        <v>14301</v>
      </c>
      <c r="Q7389" t="s">
        <v>621</v>
      </c>
      <c r="R7389" t="s">
        <v>920</v>
      </c>
      <c r="S7389">
        <v>39</v>
      </c>
      <c r="T7389" s="29" t="str">
        <f>HYPERLINK("https://ictv.global/ictv/proposals/2023.016P.Virgaviridae_and_Benyviridae_rename_sp.zip","2023.016P.Virgaviridae_and_Benyviridae_rename_sp.zip")</f>
        <v>2023.016P.Virgaviridae_and_Benyviridae_rename_sp.zip</v>
      </c>
      <c r="U7389" s="29" t="str">
        <f>HYPERLINK("https://ictv.global/taxonomy/taxondetails?taxnode_id=202302734","ictv.global=202302734")</f>
        <v>ictv.global=202302734</v>
      </c>
    </row>
    <row r="7390" spans="1:21">
      <c r="A7390">
        <v>7389</v>
      </c>
      <c r="B7390" s="30" t="s">
        <v>1226</v>
      </c>
      <c r="D7390" s="30" t="s">
        <v>2024</v>
      </c>
      <c r="F7390" s="30" t="s">
        <v>2032</v>
      </c>
      <c r="H7390" s="30" t="s">
        <v>2033</v>
      </c>
      <c r="J7390" s="30" t="s">
        <v>2034</v>
      </c>
      <c r="L7390" s="30" t="s">
        <v>282</v>
      </c>
      <c r="M7390" s="30" t="s">
        <v>9162</v>
      </c>
      <c r="N7390" s="30" t="s">
        <v>9163</v>
      </c>
      <c r="P7390" s="30" t="s">
        <v>9164</v>
      </c>
      <c r="Q7390" t="s">
        <v>621</v>
      </c>
      <c r="R7390" t="s">
        <v>917</v>
      </c>
      <c r="S7390">
        <v>37</v>
      </c>
      <c r="T7390" s="29" t="str">
        <f t="shared" ref="T7390:T7399" si="319">HYPERLINK("https://ictv.global/ictv/proposals/2021.001S.R.Hepeviridae.zip","2021.001S.R.Hepeviridae.zip")</f>
        <v>2021.001S.R.Hepeviridae.zip</v>
      </c>
      <c r="U7390" s="29" t="str">
        <f>HYPERLINK("https://ictv.global/taxonomy/taxondetails?taxnode_id=202313887","ictv.global=202313887")</f>
        <v>ictv.global=202313887</v>
      </c>
    </row>
    <row r="7391" spans="1:21">
      <c r="A7391">
        <v>7390</v>
      </c>
      <c r="B7391" s="30" t="s">
        <v>1226</v>
      </c>
      <c r="D7391" s="30" t="s">
        <v>2024</v>
      </c>
      <c r="F7391" s="30" t="s">
        <v>2032</v>
      </c>
      <c r="H7391" s="30" t="s">
        <v>2033</v>
      </c>
      <c r="J7391" s="30" t="s">
        <v>2034</v>
      </c>
      <c r="L7391" s="30" t="s">
        <v>282</v>
      </c>
      <c r="M7391" s="30" t="s">
        <v>9162</v>
      </c>
      <c r="N7391" s="30" t="s">
        <v>9163</v>
      </c>
      <c r="P7391" s="30" t="s">
        <v>9165</v>
      </c>
      <c r="Q7391" t="s">
        <v>621</v>
      </c>
      <c r="R7391" t="s">
        <v>918</v>
      </c>
      <c r="S7391">
        <v>37</v>
      </c>
      <c r="T7391" s="29" t="str">
        <f t="shared" si="319"/>
        <v>2021.001S.R.Hepeviridae.zip</v>
      </c>
      <c r="U7391" s="29" t="str">
        <f>HYPERLINK("https://ictv.global/taxonomy/taxondetails?taxnode_id=202303666","ictv.global=202303666")</f>
        <v>ictv.global=202303666</v>
      </c>
    </row>
    <row r="7392" spans="1:21">
      <c r="A7392">
        <v>7391</v>
      </c>
      <c r="B7392" s="30" t="s">
        <v>1226</v>
      </c>
      <c r="D7392" s="30" t="s">
        <v>2024</v>
      </c>
      <c r="F7392" s="30" t="s">
        <v>2032</v>
      </c>
      <c r="H7392" s="30" t="s">
        <v>2033</v>
      </c>
      <c r="J7392" s="30" t="s">
        <v>2034</v>
      </c>
      <c r="L7392" s="30" t="s">
        <v>282</v>
      </c>
      <c r="M7392" s="30" t="s">
        <v>9162</v>
      </c>
      <c r="N7392" s="30" t="s">
        <v>9166</v>
      </c>
      <c r="P7392" s="30" t="s">
        <v>9167</v>
      </c>
      <c r="Q7392" t="s">
        <v>621</v>
      </c>
      <c r="R7392" t="s">
        <v>917</v>
      </c>
      <c r="S7392">
        <v>37</v>
      </c>
      <c r="T7392" s="29" t="str">
        <f t="shared" si="319"/>
        <v>2021.001S.R.Hepeviridae.zip</v>
      </c>
      <c r="U7392" s="29" t="str">
        <f>HYPERLINK("https://ictv.global/taxonomy/taxondetails?taxnode_id=202313892","ictv.global=202313892")</f>
        <v>ictv.global=202313892</v>
      </c>
    </row>
    <row r="7393" spans="1:21">
      <c r="A7393">
        <v>7392</v>
      </c>
      <c r="B7393" s="30" t="s">
        <v>1226</v>
      </c>
      <c r="D7393" s="30" t="s">
        <v>2024</v>
      </c>
      <c r="F7393" s="30" t="s">
        <v>2032</v>
      </c>
      <c r="H7393" s="30" t="s">
        <v>2033</v>
      </c>
      <c r="J7393" s="30" t="s">
        <v>2034</v>
      </c>
      <c r="L7393" s="30" t="s">
        <v>282</v>
      </c>
      <c r="M7393" s="30" t="s">
        <v>9162</v>
      </c>
      <c r="N7393" s="30" t="s">
        <v>9166</v>
      </c>
      <c r="P7393" s="30" t="s">
        <v>9168</v>
      </c>
      <c r="Q7393" t="s">
        <v>621</v>
      </c>
      <c r="R7393" t="s">
        <v>918</v>
      </c>
      <c r="S7393">
        <v>37</v>
      </c>
      <c r="T7393" s="29" t="str">
        <f t="shared" si="319"/>
        <v>2021.001S.R.Hepeviridae.zip</v>
      </c>
      <c r="U7393" s="29" t="str">
        <f>HYPERLINK("https://ictv.global/taxonomy/taxondetails?taxnode_id=202303668","ictv.global=202303668")</f>
        <v>ictv.global=202303668</v>
      </c>
    </row>
    <row r="7394" spans="1:21">
      <c r="A7394">
        <v>7393</v>
      </c>
      <c r="B7394" s="30" t="s">
        <v>1226</v>
      </c>
      <c r="D7394" s="30" t="s">
        <v>2024</v>
      </c>
      <c r="F7394" s="30" t="s">
        <v>2032</v>
      </c>
      <c r="H7394" s="30" t="s">
        <v>2033</v>
      </c>
      <c r="J7394" s="30" t="s">
        <v>2034</v>
      </c>
      <c r="L7394" s="30" t="s">
        <v>282</v>
      </c>
      <c r="M7394" s="30" t="s">
        <v>9162</v>
      </c>
      <c r="N7394" s="30" t="s">
        <v>9166</v>
      </c>
      <c r="P7394" s="30" t="s">
        <v>9169</v>
      </c>
      <c r="Q7394" t="s">
        <v>621</v>
      </c>
      <c r="R7394" t="s">
        <v>917</v>
      </c>
      <c r="S7394">
        <v>37</v>
      </c>
      <c r="T7394" s="29" t="str">
        <f t="shared" si="319"/>
        <v>2021.001S.R.Hepeviridae.zip</v>
      </c>
      <c r="U7394" s="29" t="str">
        <f>HYPERLINK("https://ictv.global/taxonomy/taxondetails?taxnode_id=202313891","ictv.global=202313891")</f>
        <v>ictv.global=202313891</v>
      </c>
    </row>
    <row r="7395" spans="1:21">
      <c r="A7395">
        <v>7394</v>
      </c>
      <c r="B7395" s="30" t="s">
        <v>1226</v>
      </c>
      <c r="D7395" s="30" t="s">
        <v>2024</v>
      </c>
      <c r="F7395" s="30" t="s">
        <v>2032</v>
      </c>
      <c r="H7395" s="30" t="s">
        <v>2033</v>
      </c>
      <c r="J7395" s="30" t="s">
        <v>2034</v>
      </c>
      <c r="L7395" s="30" t="s">
        <v>282</v>
      </c>
      <c r="M7395" s="30" t="s">
        <v>9162</v>
      </c>
      <c r="N7395" s="30" t="s">
        <v>9170</v>
      </c>
      <c r="P7395" s="30" t="s">
        <v>9171</v>
      </c>
      <c r="Q7395" t="s">
        <v>621</v>
      </c>
      <c r="R7395" t="s">
        <v>917</v>
      </c>
      <c r="S7395">
        <v>37</v>
      </c>
      <c r="T7395" s="29" t="str">
        <f t="shared" si="319"/>
        <v>2021.001S.R.Hepeviridae.zip</v>
      </c>
      <c r="U7395" s="29" t="str">
        <f>HYPERLINK("https://ictv.global/taxonomy/taxondetails?taxnode_id=202313885","ictv.global=202313885")</f>
        <v>ictv.global=202313885</v>
      </c>
    </row>
    <row r="7396" spans="1:21">
      <c r="A7396">
        <v>7395</v>
      </c>
      <c r="B7396" s="30" t="s">
        <v>1226</v>
      </c>
      <c r="D7396" s="30" t="s">
        <v>2024</v>
      </c>
      <c r="F7396" s="30" t="s">
        <v>2032</v>
      </c>
      <c r="H7396" s="30" t="s">
        <v>2033</v>
      </c>
      <c r="J7396" s="30" t="s">
        <v>2034</v>
      </c>
      <c r="L7396" s="30" t="s">
        <v>282</v>
      </c>
      <c r="M7396" s="30" t="s">
        <v>9162</v>
      </c>
      <c r="N7396" s="30" t="s">
        <v>9170</v>
      </c>
      <c r="P7396" s="30" t="s">
        <v>9172</v>
      </c>
      <c r="Q7396" t="s">
        <v>621</v>
      </c>
      <c r="R7396" t="s">
        <v>918</v>
      </c>
      <c r="S7396">
        <v>37</v>
      </c>
      <c r="T7396" s="29" t="str">
        <f t="shared" si="319"/>
        <v>2021.001S.R.Hepeviridae.zip</v>
      </c>
      <c r="U7396" s="29" t="str">
        <f>HYPERLINK("https://ictv.global/taxonomy/taxondetails?taxnode_id=202303665","ictv.global=202303665")</f>
        <v>ictv.global=202303665</v>
      </c>
    </row>
    <row r="7397" spans="1:21">
      <c r="A7397">
        <v>7396</v>
      </c>
      <c r="B7397" s="30" t="s">
        <v>1226</v>
      </c>
      <c r="D7397" s="30" t="s">
        <v>2024</v>
      </c>
      <c r="F7397" s="30" t="s">
        <v>2032</v>
      </c>
      <c r="H7397" s="30" t="s">
        <v>2033</v>
      </c>
      <c r="J7397" s="30" t="s">
        <v>2034</v>
      </c>
      <c r="L7397" s="30" t="s">
        <v>282</v>
      </c>
      <c r="M7397" s="30" t="s">
        <v>9162</v>
      </c>
      <c r="N7397" s="30" t="s">
        <v>9173</v>
      </c>
      <c r="P7397" s="30" t="s">
        <v>9174</v>
      </c>
      <c r="Q7397" t="s">
        <v>621</v>
      </c>
      <c r="R7397" t="s">
        <v>917</v>
      </c>
      <c r="S7397">
        <v>37</v>
      </c>
      <c r="T7397" s="29" t="str">
        <f t="shared" si="319"/>
        <v>2021.001S.R.Hepeviridae.zip</v>
      </c>
      <c r="U7397" s="29" t="str">
        <f>HYPERLINK("https://ictv.global/taxonomy/taxondetails?taxnode_id=202313889","ictv.global=202313889")</f>
        <v>ictv.global=202313889</v>
      </c>
    </row>
    <row r="7398" spans="1:21">
      <c r="A7398">
        <v>7397</v>
      </c>
      <c r="B7398" s="30" t="s">
        <v>1226</v>
      </c>
      <c r="D7398" s="30" t="s">
        <v>2024</v>
      </c>
      <c r="F7398" s="30" t="s">
        <v>2032</v>
      </c>
      <c r="H7398" s="30" t="s">
        <v>2033</v>
      </c>
      <c r="J7398" s="30" t="s">
        <v>2034</v>
      </c>
      <c r="L7398" s="30" t="s">
        <v>282</v>
      </c>
      <c r="M7398" s="30" t="s">
        <v>9162</v>
      </c>
      <c r="N7398" s="30" t="s">
        <v>9173</v>
      </c>
      <c r="P7398" s="30" t="s">
        <v>9175</v>
      </c>
      <c r="Q7398" t="s">
        <v>621</v>
      </c>
      <c r="R7398" t="s">
        <v>918</v>
      </c>
      <c r="S7398">
        <v>37</v>
      </c>
      <c r="T7398" s="29" t="str">
        <f t="shared" si="319"/>
        <v>2021.001S.R.Hepeviridae.zip</v>
      </c>
      <c r="U7398" s="29" t="str">
        <f>HYPERLINK("https://ictv.global/taxonomy/taxondetails?taxnode_id=202303667","ictv.global=202303667")</f>
        <v>ictv.global=202303667</v>
      </c>
    </row>
    <row r="7399" spans="1:21">
      <c r="A7399">
        <v>7398</v>
      </c>
      <c r="B7399" s="30" t="s">
        <v>1226</v>
      </c>
      <c r="D7399" s="30" t="s">
        <v>2024</v>
      </c>
      <c r="F7399" s="30" t="s">
        <v>2032</v>
      </c>
      <c r="H7399" s="30" t="s">
        <v>2033</v>
      </c>
      <c r="J7399" s="30" t="s">
        <v>2034</v>
      </c>
      <c r="L7399" s="30" t="s">
        <v>282</v>
      </c>
      <c r="M7399" s="30" t="s">
        <v>9176</v>
      </c>
      <c r="N7399" s="30" t="s">
        <v>616</v>
      </c>
      <c r="P7399" s="30" t="s">
        <v>9177</v>
      </c>
      <c r="Q7399" t="s">
        <v>621</v>
      </c>
      <c r="R7399" t="s">
        <v>918</v>
      </c>
      <c r="S7399">
        <v>37</v>
      </c>
      <c r="T7399" s="29" t="str">
        <f t="shared" si="319"/>
        <v>2021.001S.R.Hepeviridae.zip</v>
      </c>
      <c r="U7399" s="29" t="str">
        <f>HYPERLINK("https://ictv.global/taxonomy/taxondetails?taxnode_id=202303670","ictv.global=202303670")</f>
        <v>ictv.global=202303670</v>
      </c>
    </row>
    <row r="7400" spans="1:21">
      <c r="A7400">
        <v>7399</v>
      </c>
      <c r="B7400" s="30" t="s">
        <v>1226</v>
      </c>
      <c r="D7400" s="30" t="s">
        <v>2024</v>
      </c>
      <c r="F7400" s="30" t="s">
        <v>2032</v>
      </c>
      <c r="H7400" s="30" t="s">
        <v>2033</v>
      </c>
      <c r="J7400" s="30" t="s">
        <v>2034</v>
      </c>
      <c r="L7400" s="30" t="s">
        <v>1310</v>
      </c>
      <c r="N7400" s="30" t="s">
        <v>434</v>
      </c>
      <c r="P7400" s="30" t="s">
        <v>2855</v>
      </c>
      <c r="Q7400" t="s">
        <v>621</v>
      </c>
      <c r="R7400" t="s">
        <v>3895</v>
      </c>
      <c r="S7400">
        <v>36</v>
      </c>
      <c r="T7400" s="29" t="str">
        <f>HYPERLINK("https://ictv.global/ictv/proposals/2020.011S.R.Rubivirus_nspp.zip","2020.011S.R.Rubivirus_nspp.zip;2020.001G.R.Abolish_type_species.pdf")</f>
        <v>2020.011S.R.Rubivirus_nspp.zip;2020.001G.R.Abolish_type_species.pdf</v>
      </c>
      <c r="U7400" s="29" t="str">
        <f>HYPERLINK("https://ictv.global/taxonomy/taxondetails?taxnode_id=202305115","ictv.global=202305115")</f>
        <v>ictv.global=202305115</v>
      </c>
    </row>
    <row r="7401" spans="1:21">
      <c r="A7401">
        <v>7400</v>
      </c>
      <c r="B7401" s="30" t="s">
        <v>1226</v>
      </c>
      <c r="D7401" s="30" t="s">
        <v>2024</v>
      </c>
      <c r="F7401" s="30" t="s">
        <v>2032</v>
      </c>
      <c r="H7401" s="30" t="s">
        <v>2033</v>
      </c>
      <c r="J7401" s="30" t="s">
        <v>2034</v>
      </c>
      <c r="L7401" s="30" t="s">
        <v>1310</v>
      </c>
      <c r="N7401" s="30" t="s">
        <v>434</v>
      </c>
      <c r="P7401" s="30" t="s">
        <v>2856</v>
      </c>
      <c r="Q7401" t="s">
        <v>621</v>
      </c>
      <c r="R7401" t="s">
        <v>917</v>
      </c>
      <c r="S7401">
        <v>36</v>
      </c>
      <c r="T7401" s="29" t="str">
        <f>HYPERLINK("https://ictv.global/ictv/proposals/2020.011S.R.Rubivirus_nspp.zip","2020.011S.R.Rubivirus_nspp.zip")</f>
        <v>2020.011S.R.Rubivirus_nspp.zip</v>
      </c>
      <c r="U7401" s="29" t="str">
        <f>HYPERLINK("https://ictv.global/taxonomy/taxondetails?taxnode_id=202309288","ictv.global=202309288")</f>
        <v>ictv.global=202309288</v>
      </c>
    </row>
    <row r="7402" spans="1:21">
      <c r="A7402">
        <v>7401</v>
      </c>
      <c r="B7402" s="30" t="s">
        <v>1226</v>
      </c>
      <c r="D7402" s="30" t="s">
        <v>2024</v>
      </c>
      <c r="F7402" s="30" t="s">
        <v>2032</v>
      </c>
      <c r="H7402" s="30" t="s">
        <v>2033</v>
      </c>
      <c r="J7402" s="30" t="s">
        <v>2034</v>
      </c>
      <c r="L7402" s="30" t="s">
        <v>1310</v>
      </c>
      <c r="N7402" s="30" t="s">
        <v>434</v>
      </c>
      <c r="P7402" s="30" t="s">
        <v>2857</v>
      </c>
      <c r="Q7402" t="s">
        <v>621</v>
      </c>
      <c r="R7402" t="s">
        <v>917</v>
      </c>
      <c r="S7402">
        <v>36</v>
      </c>
      <c r="T7402" s="29" t="str">
        <f>HYPERLINK("https://ictv.global/ictv/proposals/2020.011S.R.Rubivirus_nspp.zip","2020.011S.R.Rubivirus_nspp.zip")</f>
        <v>2020.011S.R.Rubivirus_nspp.zip</v>
      </c>
      <c r="U7402" s="29" t="str">
        <f>HYPERLINK("https://ictv.global/taxonomy/taxondetails?taxnode_id=202309289","ictv.global=202309289")</f>
        <v>ictv.global=202309289</v>
      </c>
    </row>
    <row r="7403" spans="1:21">
      <c r="A7403">
        <v>7402</v>
      </c>
      <c r="B7403" s="30" t="s">
        <v>1226</v>
      </c>
      <c r="D7403" s="30" t="s">
        <v>2024</v>
      </c>
      <c r="F7403" s="30" t="s">
        <v>2032</v>
      </c>
      <c r="H7403" s="30" t="s">
        <v>2033</v>
      </c>
      <c r="J7403" s="30" t="s">
        <v>2035</v>
      </c>
      <c r="L7403" s="30" t="s">
        <v>429</v>
      </c>
      <c r="N7403" s="30" t="s">
        <v>206</v>
      </c>
      <c r="P7403" s="30" t="s">
        <v>14302</v>
      </c>
      <c r="Q7403" t="s">
        <v>621</v>
      </c>
      <c r="R7403" t="s">
        <v>920</v>
      </c>
      <c r="S7403">
        <v>39</v>
      </c>
      <c r="T7403" s="29" t="str">
        <f>HYPERLINK("https://ictv.global/ictv/proposals/2023.004P.Bromoviridae_rename_sp.zip","2023.004P.Bromoviridae_rename_sp.zip")</f>
        <v>2023.004P.Bromoviridae_rename_sp.zip</v>
      </c>
      <c r="U7403" s="29" t="str">
        <f>HYPERLINK("https://ictv.global/taxonomy/taxondetails?taxnode_id=202302760","ictv.global=202302760")</f>
        <v>ictv.global=202302760</v>
      </c>
    </row>
    <row r="7404" spans="1:21">
      <c r="A7404">
        <v>7403</v>
      </c>
      <c r="B7404" s="30" t="s">
        <v>1226</v>
      </c>
      <c r="D7404" s="30" t="s">
        <v>2024</v>
      </c>
      <c r="F7404" s="30" t="s">
        <v>2032</v>
      </c>
      <c r="H7404" s="30" t="s">
        <v>2033</v>
      </c>
      <c r="J7404" s="30" t="s">
        <v>2035</v>
      </c>
      <c r="L7404" s="30" t="s">
        <v>429</v>
      </c>
      <c r="N7404" s="30" t="s">
        <v>207</v>
      </c>
      <c r="P7404" s="30" t="s">
        <v>14303</v>
      </c>
      <c r="Q7404" t="s">
        <v>621</v>
      </c>
      <c r="R7404" t="s">
        <v>920</v>
      </c>
      <c r="S7404">
        <v>39</v>
      </c>
      <c r="T7404" s="29" t="str">
        <f>HYPERLINK("https://ictv.global/ictv/proposals/2023.004P.Bromoviridae_rename_sp.zip","2023.004P.Bromoviridae_rename_sp.zip")</f>
        <v>2023.004P.Bromoviridae_rename_sp.zip</v>
      </c>
      <c r="U7404" s="29" t="str">
        <f>HYPERLINK("https://ictv.global/taxonomy/taxondetails?taxnode_id=202302762","ictv.global=202302762")</f>
        <v>ictv.global=202302762</v>
      </c>
    </row>
    <row r="7405" spans="1:21">
      <c r="A7405">
        <v>7404</v>
      </c>
      <c r="B7405" s="30" t="s">
        <v>1226</v>
      </c>
      <c r="D7405" s="30" t="s">
        <v>2024</v>
      </c>
      <c r="F7405" s="30" t="s">
        <v>2032</v>
      </c>
      <c r="H7405" s="30" t="s">
        <v>2033</v>
      </c>
      <c r="J7405" s="30" t="s">
        <v>2035</v>
      </c>
      <c r="L7405" s="30" t="s">
        <v>429</v>
      </c>
      <c r="N7405" s="30" t="s">
        <v>207</v>
      </c>
      <c r="P7405" s="30" t="s">
        <v>9178</v>
      </c>
      <c r="Q7405" t="s">
        <v>621</v>
      </c>
      <c r="R7405" t="s">
        <v>917</v>
      </c>
      <c r="S7405">
        <v>37</v>
      </c>
      <c r="T7405" s="29" t="str">
        <f>HYPERLINK("https://ictv.global/ictv/proposals/2021.004P.R.Anulavirus_1ns.zip","2021.004P.R.Anulavirus_1ns.zip")</f>
        <v>2021.004P.R.Anulavirus_1ns.zip</v>
      </c>
      <c r="U7405" s="29" t="str">
        <f>HYPERLINK("https://ictv.global/taxonomy/taxondetails?taxnode_id=202313833","ictv.global=202313833")</f>
        <v>ictv.global=202313833</v>
      </c>
    </row>
    <row r="7406" spans="1:21">
      <c r="A7406">
        <v>7405</v>
      </c>
      <c r="B7406" s="30" t="s">
        <v>1226</v>
      </c>
      <c r="D7406" s="30" t="s">
        <v>2024</v>
      </c>
      <c r="F7406" s="30" t="s">
        <v>2032</v>
      </c>
      <c r="H7406" s="30" t="s">
        <v>2033</v>
      </c>
      <c r="J7406" s="30" t="s">
        <v>2035</v>
      </c>
      <c r="L7406" s="30" t="s">
        <v>429</v>
      </c>
      <c r="N7406" s="30" t="s">
        <v>207</v>
      </c>
      <c r="P7406" s="30" t="s">
        <v>14304</v>
      </c>
      <c r="Q7406" t="s">
        <v>621</v>
      </c>
      <c r="R7406" t="s">
        <v>920</v>
      </c>
      <c r="S7406">
        <v>39</v>
      </c>
      <c r="T7406" s="29" t="str">
        <f t="shared" ref="T7406:T7412" si="320">HYPERLINK("https://ictv.global/ictv/proposals/2023.004P.Bromoviridae_rename_sp.zip","2023.004P.Bromoviridae_rename_sp.zip")</f>
        <v>2023.004P.Bromoviridae_rename_sp.zip</v>
      </c>
      <c r="U7406" s="29" t="str">
        <f>HYPERLINK("https://ictv.global/taxonomy/taxondetails?taxnode_id=202302763","ictv.global=202302763")</f>
        <v>ictv.global=202302763</v>
      </c>
    </row>
    <row r="7407" spans="1:21">
      <c r="A7407">
        <v>7406</v>
      </c>
      <c r="B7407" s="30" t="s">
        <v>1226</v>
      </c>
      <c r="D7407" s="30" t="s">
        <v>2024</v>
      </c>
      <c r="F7407" s="30" t="s">
        <v>2032</v>
      </c>
      <c r="H7407" s="30" t="s">
        <v>2033</v>
      </c>
      <c r="J7407" s="30" t="s">
        <v>2035</v>
      </c>
      <c r="L7407" s="30" t="s">
        <v>429</v>
      </c>
      <c r="N7407" s="30" t="s">
        <v>208</v>
      </c>
      <c r="P7407" s="30" t="s">
        <v>14305</v>
      </c>
      <c r="Q7407" t="s">
        <v>621</v>
      </c>
      <c r="R7407" t="s">
        <v>920</v>
      </c>
      <c r="S7407">
        <v>39</v>
      </c>
      <c r="T7407" s="29" t="str">
        <f t="shared" si="320"/>
        <v>2023.004P.Bromoviridae_rename_sp.zip</v>
      </c>
      <c r="U7407" s="29" t="str">
        <f>HYPERLINK("https://ictv.global/taxonomy/taxondetails?taxnode_id=202302765","ictv.global=202302765")</f>
        <v>ictv.global=202302765</v>
      </c>
    </row>
    <row r="7408" spans="1:21">
      <c r="A7408">
        <v>7407</v>
      </c>
      <c r="B7408" s="30" t="s">
        <v>1226</v>
      </c>
      <c r="D7408" s="30" t="s">
        <v>2024</v>
      </c>
      <c r="F7408" s="30" t="s">
        <v>2032</v>
      </c>
      <c r="H7408" s="30" t="s">
        <v>2033</v>
      </c>
      <c r="J7408" s="30" t="s">
        <v>2035</v>
      </c>
      <c r="L7408" s="30" t="s">
        <v>429</v>
      </c>
      <c r="N7408" s="30" t="s">
        <v>208</v>
      </c>
      <c r="P7408" s="30" t="s">
        <v>14306</v>
      </c>
      <c r="Q7408" t="s">
        <v>621</v>
      </c>
      <c r="R7408" t="s">
        <v>920</v>
      </c>
      <c r="S7408">
        <v>39</v>
      </c>
      <c r="T7408" s="29" t="str">
        <f t="shared" si="320"/>
        <v>2023.004P.Bromoviridae_rename_sp.zip</v>
      </c>
      <c r="U7408" s="29" t="str">
        <f>HYPERLINK("https://ictv.global/taxonomy/taxondetails?taxnode_id=202302766","ictv.global=202302766")</f>
        <v>ictv.global=202302766</v>
      </c>
    </row>
    <row r="7409" spans="1:21">
      <c r="A7409">
        <v>7408</v>
      </c>
      <c r="B7409" s="30" t="s">
        <v>1226</v>
      </c>
      <c r="D7409" s="30" t="s">
        <v>2024</v>
      </c>
      <c r="F7409" s="30" t="s">
        <v>2032</v>
      </c>
      <c r="H7409" s="30" t="s">
        <v>2033</v>
      </c>
      <c r="J7409" s="30" t="s">
        <v>2035</v>
      </c>
      <c r="L7409" s="30" t="s">
        <v>429</v>
      </c>
      <c r="N7409" s="30" t="s">
        <v>208</v>
      </c>
      <c r="P7409" s="30" t="s">
        <v>14307</v>
      </c>
      <c r="Q7409" t="s">
        <v>621</v>
      </c>
      <c r="R7409" t="s">
        <v>920</v>
      </c>
      <c r="S7409">
        <v>39</v>
      </c>
      <c r="T7409" s="29" t="str">
        <f t="shared" si="320"/>
        <v>2023.004P.Bromoviridae_rename_sp.zip</v>
      </c>
      <c r="U7409" s="29" t="str">
        <f>HYPERLINK("https://ictv.global/taxonomy/taxondetails?taxnode_id=202302768","ictv.global=202302768")</f>
        <v>ictv.global=202302768</v>
      </c>
    </row>
    <row r="7410" spans="1:21">
      <c r="A7410">
        <v>7409</v>
      </c>
      <c r="B7410" s="30" t="s">
        <v>1226</v>
      </c>
      <c r="D7410" s="30" t="s">
        <v>2024</v>
      </c>
      <c r="F7410" s="30" t="s">
        <v>2032</v>
      </c>
      <c r="H7410" s="30" t="s">
        <v>2033</v>
      </c>
      <c r="J7410" s="30" t="s">
        <v>2035</v>
      </c>
      <c r="L7410" s="30" t="s">
        <v>429</v>
      </c>
      <c r="N7410" s="30" t="s">
        <v>208</v>
      </c>
      <c r="P7410" s="30" t="s">
        <v>14308</v>
      </c>
      <c r="Q7410" t="s">
        <v>621</v>
      </c>
      <c r="R7410" t="s">
        <v>920</v>
      </c>
      <c r="S7410">
        <v>39</v>
      </c>
      <c r="T7410" s="29" t="str">
        <f t="shared" si="320"/>
        <v>2023.004P.Bromoviridae_rename_sp.zip</v>
      </c>
      <c r="U7410" s="29" t="str">
        <f>HYPERLINK("https://ictv.global/taxonomy/taxondetails?taxnode_id=202302767","ictv.global=202302767")</f>
        <v>ictv.global=202302767</v>
      </c>
    </row>
    <row r="7411" spans="1:21">
      <c r="A7411">
        <v>7410</v>
      </c>
      <c r="B7411" s="30" t="s">
        <v>1226</v>
      </c>
      <c r="D7411" s="30" t="s">
        <v>2024</v>
      </c>
      <c r="F7411" s="30" t="s">
        <v>2032</v>
      </c>
      <c r="H7411" s="30" t="s">
        <v>2033</v>
      </c>
      <c r="J7411" s="30" t="s">
        <v>2035</v>
      </c>
      <c r="L7411" s="30" t="s">
        <v>429</v>
      </c>
      <c r="N7411" s="30" t="s">
        <v>208</v>
      </c>
      <c r="P7411" s="30" t="s">
        <v>14309</v>
      </c>
      <c r="Q7411" t="s">
        <v>621</v>
      </c>
      <c r="R7411" t="s">
        <v>920</v>
      </c>
      <c r="S7411">
        <v>39</v>
      </c>
      <c r="T7411" s="29" t="str">
        <f t="shared" si="320"/>
        <v>2023.004P.Bromoviridae_rename_sp.zip</v>
      </c>
      <c r="U7411" s="29" t="str">
        <f>HYPERLINK("https://ictv.global/taxonomy/taxondetails?taxnode_id=202302769","ictv.global=202302769")</f>
        <v>ictv.global=202302769</v>
      </c>
    </row>
    <row r="7412" spans="1:21">
      <c r="A7412">
        <v>7411</v>
      </c>
      <c r="B7412" s="30" t="s">
        <v>1226</v>
      </c>
      <c r="D7412" s="30" t="s">
        <v>2024</v>
      </c>
      <c r="F7412" s="30" t="s">
        <v>2032</v>
      </c>
      <c r="H7412" s="30" t="s">
        <v>2033</v>
      </c>
      <c r="J7412" s="30" t="s">
        <v>2035</v>
      </c>
      <c r="L7412" s="30" t="s">
        <v>429</v>
      </c>
      <c r="N7412" s="30" t="s">
        <v>208</v>
      </c>
      <c r="P7412" s="30" t="s">
        <v>14310</v>
      </c>
      <c r="Q7412" t="s">
        <v>621</v>
      </c>
      <c r="R7412" t="s">
        <v>920</v>
      </c>
      <c r="S7412">
        <v>39</v>
      </c>
      <c r="T7412" s="29" t="str">
        <f t="shared" si="320"/>
        <v>2023.004P.Bromoviridae_rename_sp.zip</v>
      </c>
      <c r="U7412" s="29" t="str">
        <f>HYPERLINK("https://ictv.global/taxonomy/taxondetails?taxnode_id=202302770","ictv.global=202302770")</f>
        <v>ictv.global=202302770</v>
      </c>
    </row>
    <row r="7413" spans="1:21">
      <c r="A7413">
        <v>7412</v>
      </c>
      <c r="B7413" s="30" t="s">
        <v>1226</v>
      </c>
      <c r="D7413" s="30" t="s">
        <v>2024</v>
      </c>
      <c r="F7413" s="30" t="s">
        <v>2032</v>
      </c>
      <c r="H7413" s="30" t="s">
        <v>2033</v>
      </c>
      <c r="J7413" s="30" t="s">
        <v>2035</v>
      </c>
      <c r="L7413" s="30" t="s">
        <v>429</v>
      </c>
      <c r="N7413" s="30" t="s">
        <v>208</v>
      </c>
      <c r="P7413" s="30" t="s">
        <v>9179</v>
      </c>
      <c r="Q7413" t="s">
        <v>621</v>
      </c>
      <c r="R7413" t="s">
        <v>917</v>
      </c>
      <c r="S7413">
        <v>37</v>
      </c>
      <c r="T7413" s="29" t="str">
        <f>HYPERLINK("https://ictv.global/ictv/proposals/2021.005P.R.Bromovirus_1ns.zip","2021.005P.R.Bromovirus_1ns.zip")</f>
        <v>2021.005P.R.Bromovirus_1ns.zip</v>
      </c>
      <c r="U7413" s="29" t="str">
        <f>HYPERLINK("https://ictv.global/taxonomy/taxondetails?taxnode_id=202313834","ictv.global=202313834")</f>
        <v>ictv.global=202313834</v>
      </c>
    </row>
    <row r="7414" spans="1:21">
      <c r="A7414">
        <v>7413</v>
      </c>
      <c r="B7414" s="30" t="s">
        <v>1226</v>
      </c>
      <c r="D7414" s="30" t="s">
        <v>2024</v>
      </c>
      <c r="F7414" s="30" t="s">
        <v>2032</v>
      </c>
      <c r="H7414" s="30" t="s">
        <v>2033</v>
      </c>
      <c r="J7414" s="30" t="s">
        <v>2035</v>
      </c>
      <c r="L7414" s="30" t="s">
        <v>429</v>
      </c>
      <c r="N7414" s="30" t="s">
        <v>184</v>
      </c>
      <c r="P7414" s="30" t="s">
        <v>14311</v>
      </c>
      <c r="Q7414" t="s">
        <v>621</v>
      </c>
      <c r="R7414" t="s">
        <v>920</v>
      </c>
      <c r="S7414">
        <v>39</v>
      </c>
      <c r="T7414" s="29" t="str">
        <f>HYPERLINK("https://ictv.global/ictv/proposals/2023.004P.Bromoviridae_rename_sp.zip","2023.004P.Bromoviridae_rename_sp.zip")</f>
        <v>2023.004P.Bromoviridae_rename_sp.zip</v>
      </c>
      <c r="U7414" s="29" t="str">
        <f>HYPERLINK("https://ictv.global/taxonomy/taxondetails?taxnode_id=202302772","ictv.global=202302772")</f>
        <v>ictv.global=202302772</v>
      </c>
    </row>
    <row r="7415" spans="1:21">
      <c r="A7415">
        <v>7414</v>
      </c>
      <c r="B7415" s="30" t="s">
        <v>1226</v>
      </c>
      <c r="D7415" s="30" t="s">
        <v>2024</v>
      </c>
      <c r="F7415" s="30" t="s">
        <v>2032</v>
      </c>
      <c r="H7415" s="30" t="s">
        <v>2033</v>
      </c>
      <c r="J7415" s="30" t="s">
        <v>2035</v>
      </c>
      <c r="L7415" s="30" t="s">
        <v>429</v>
      </c>
      <c r="N7415" s="30" t="s">
        <v>184</v>
      </c>
      <c r="P7415" s="30" t="s">
        <v>14312</v>
      </c>
      <c r="Q7415" t="s">
        <v>621</v>
      </c>
      <c r="R7415" t="s">
        <v>920</v>
      </c>
      <c r="S7415">
        <v>39</v>
      </c>
      <c r="T7415" s="29" t="str">
        <f>HYPERLINK("https://ictv.global/ictv/proposals/2023.004P.Bromoviridae_rename_sp.zip","2023.004P.Bromoviridae_rename_sp.zip")</f>
        <v>2023.004P.Bromoviridae_rename_sp.zip</v>
      </c>
      <c r="U7415" s="29" t="str">
        <f>HYPERLINK("https://ictv.global/taxonomy/taxondetails?taxnode_id=202302773","ictv.global=202302773")</f>
        <v>ictv.global=202302773</v>
      </c>
    </row>
    <row r="7416" spans="1:21">
      <c r="A7416">
        <v>7415</v>
      </c>
      <c r="B7416" s="30" t="s">
        <v>1226</v>
      </c>
      <c r="D7416" s="30" t="s">
        <v>2024</v>
      </c>
      <c r="F7416" s="30" t="s">
        <v>2032</v>
      </c>
      <c r="H7416" s="30" t="s">
        <v>2033</v>
      </c>
      <c r="J7416" s="30" t="s">
        <v>2035</v>
      </c>
      <c r="L7416" s="30" t="s">
        <v>429</v>
      </c>
      <c r="N7416" s="30" t="s">
        <v>184</v>
      </c>
      <c r="P7416" s="30" t="s">
        <v>14313</v>
      </c>
      <c r="Q7416" t="s">
        <v>621</v>
      </c>
      <c r="R7416" t="s">
        <v>920</v>
      </c>
      <c r="S7416">
        <v>39</v>
      </c>
      <c r="T7416" s="29" t="str">
        <f>HYPERLINK("https://ictv.global/ictv/proposals/2023.004P.Bromoviridae_rename_sp.zip","2023.004P.Bromoviridae_rename_sp.zip")</f>
        <v>2023.004P.Bromoviridae_rename_sp.zip</v>
      </c>
      <c r="U7416" s="29" t="str">
        <f>HYPERLINK("https://ictv.global/taxonomy/taxondetails?taxnode_id=202302774","ictv.global=202302774")</f>
        <v>ictv.global=202302774</v>
      </c>
    </row>
    <row r="7417" spans="1:21">
      <c r="A7417">
        <v>7416</v>
      </c>
      <c r="B7417" s="30" t="s">
        <v>1226</v>
      </c>
      <c r="D7417" s="30" t="s">
        <v>2024</v>
      </c>
      <c r="F7417" s="30" t="s">
        <v>2032</v>
      </c>
      <c r="H7417" s="30" t="s">
        <v>2033</v>
      </c>
      <c r="J7417" s="30" t="s">
        <v>2035</v>
      </c>
      <c r="L7417" s="30" t="s">
        <v>429</v>
      </c>
      <c r="N7417" s="30" t="s">
        <v>184</v>
      </c>
      <c r="P7417" s="30" t="s">
        <v>14314</v>
      </c>
      <c r="Q7417" t="s">
        <v>621</v>
      </c>
      <c r="R7417" t="s">
        <v>920</v>
      </c>
      <c r="S7417">
        <v>39</v>
      </c>
      <c r="T7417" s="29" t="str">
        <f>HYPERLINK("https://ictv.global/ictv/proposals/2023.004P.Bromoviridae_rename_sp.zip","2023.004P.Bromoviridae_rename_sp.zip")</f>
        <v>2023.004P.Bromoviridae_rename_sp.zip</v>
      </c>
      <c r="U7417" s="29" t="str">
        <f>HYPERLINK("https://ictv.global/taxonomy/taxondetails?taxnode_id=202302775","ictv.global=202302775")</f>
        <v>ictv.global=202302775</v>
      </c>
    </row>
    <row r="7418" spans="1:21">
      <c r="A7418">
        <v>7417</v>
      </c>
      <c r="B7418" s="30" t="s">
        <v>1226</v>
      </c>
      <c r="D7418" s="30" t="s">
        <v>2024</v>
      </c>
      <c r="F7418" s="30" t="s">
        <v>2032</v>
      </c>
      <c r="H7418" s="30" t="s">
        <v>2033</v>
      </c>
      <c r="J7418" s="30" t="s">
        <v>2035</v>
      </c>
      <c r="L7418" s="30" t="s">
        <v>429</v>
      </c>
      <c r="N7418" s="30" t="s">
        <v>430</v>
      </c>
      <c r="P7418" s="30" t="s">
        <v>14315</v>
      </c>
      <c r="Q7418" t="s">
        <v>621</v>
      </c>
      <c r="R7418" t="s">
        <v>920</v>
      </c>
      <c r="S7418">
        <v>39</v>
      </c>
      <c r="T7418" s="29" t="str">
        <f>HYPERLINK("https://ictv.global/ictv/proposals/2023.004P.Bromoviridae_rename_sp.zip","2023.004P.Bromoviridae_rename_sp.zip")</f>
        <v>2023.004P.Bromoviridae_rename_sp.zip</v>
      </c>
      <c r="U7418" s="29" t="str">
        <f>HYPERLINK("https://ictv.global/taxonomy/taxondetails?taxnode_id=202305758","ictv.global=202305758")</f>
        <v>ictv.global=202305758</v>
      </c>
    </row>
    <row r="7419" spans="1:21">
      <c r="A7419">
        <v>7418</v>
      </c>
      <c r="B7419" s="30" t="s">
        <v>1226</v>
      </c>
      <c r="D7419" s="30" t="s">
        <v>2024</v>
      </c>
      <c r="F7419" s="30" t="s">
        <v>2032</v>
      </c>
      <c r="H7419" s="30" t="s">
        <v>2033</v>
      </c>
      <c r="J7419" s="30" t="s">
        <v>2035</v>
      </c>
      <c r="L7419" s="30" t="s">
        <v>429</v>
      </c>
      <c r="N7419" s="30" t="s">
        <v>430</v>
      </c>
      <c r="P7419" s="30" t="s">
        <v>14316</v>
      </c>
      <c r="Q7419" t="s">
        <v>621</v>
      </c>
      <c r="R7419" t="s">
        <v>917</v>
      </c>
      <c r="S7419">
        <v>39</v>
      </c>
      <c r="T7419" s="29" t="str">
        <f>HYPERLINK("https://ictv.global/ictv/proposals/2023.005P.Bromoviridae_10ns.zip","2023.005P.Bromoviridae_10ns.zip")</f>
        <v>2023.005P.Bromoviridae_10ns.zip</v>
      </c>
      <c r="U7419" s="29" t="str">
        <f>HYPERLINK("https://ictv.global/taxonomy/taxondetails?taxnode_id=202317819","ictv.global=202317819")</f>
        <v>ictv.global=202317819</v>
      </c>
    </row>
    <row r="7420" spans="1:21">
      <c r="A7420">
        <v>7419</v>
      </c>
      <c r="B7420" s="30" t="s">
        <v>1226</v>
      </c>
      <c r="D7420" s="30" t="s">
        <v>2024</v>
      </c>
      <c r="F7420" s="30" t="s">
        <v>2032</v>
      </c>
      <c r="H7420" s="30" t="s">
        <v>2033</v>
      </c>
      <c r="J7420" s="30" t="s">
        <v>2035</v>
      </c>
      <c r="L7420" s="30" t="s">
        <v>429</v>
      </c>
      <c r="N7420" s="30" t="s">
        <v>430</v>
      </c>
      <c r="P7420" s="30" t="s">
        <v>14317</v>
      </c>
      <c r="Q7420" t="s">
        <v>621</v>
      </c>
      <c r="R7420" t="s">
        <v>920</v>
      </c>
      <c r="S7420">
        <v>39</v>
      </c>
      <c r="T7420" s="29" t="str">
        <f>HYPERLINK("https://ictv.global/ictv/proposals/2023.004P.Bromoviridae_rename_sp.zip","2023.004P.Bromoviridae_rename_sp.zip")</f>
        <v>2023.004P.Bromoviridae_rename_sp.zip</v>
      </c>
      <c r="U7420" s="29" t="str">
        <f>HYPERLINK("https://ictv.global/taxonomy/taxondetails?taxnode_id=202302777","ictv.global=202302777")</f>
        <v>ictv.global=202302777</v>
      </c>
    </row>
    <row r="7421" spans="1:21">
      <c r="A7421">
        <v>7420</v>
      </c>
      <c r="B7421" s="30" t="s">
        <v>1226</v>
      </c>
      <c r="D7421" s="30" t="s">
        <v>2024</v>
      </c>
      <c r="F7421" s="30" t="s">
        <v>2032</v>
      </c>
      <c r="H7421" s="30" t="s">
        <v>2033</v>
      </c>
      <c r="J7421" s="30" t="s">
        <v>2035</v>
      </c>
      <c r="L7421" s="30" t="s">
        <v>429</v>
      </c>
      <c r="N7421" s="30" t="s">
        <v>430</v>
      </c>
      <c r="P7421" s="30" t="s">
        <v>14318</v>
      </c>
      <c r="Q7421" t="s">
        <v>621</v>
      </c>
      <c r="R7421" t="s">
        <v>920</v>
      </c>
      <c r="S7421">
        <v>39</v>
      </c>
      <c r="T7421" s="29" t="str">
        <f>HYPERLINK("https://ictv.global/ictv/proposals/2023.004P.Bromoviridae_rename_sp.zip","2023.004P.Bromoviridae_rename_sp.zip")</f>
        <v>2023.004P.Bromoviridae_rename_sp.zip</v>
      </c>
      <c r="U7421" s="29" t="str">
        <f>HYPERLINK("https://ictv.global/taxonomy/taxondetails?taxnode_id=202302778","ictv.global=202302778")</f>
        <v>ictv.global=202302778</v>
      </c>
    </row>
    <row r="7422" spans="1:21">
      <c r="A7422">
        <v>7421</v>
      </c>
      <c r="B7422" s="30" t="s">
        <v>1226</v>
      </c>
      <c r="D7422" s="30" t="s">
        <v>2024</v>
      </c>
      <c r="F7422" s="30" t="s">
        <v>2032</v>
      </c>
      <c r="H7422" s="30" t="s">
        <v>2033</v>
      </c>
      <c r="J7422" s="30" t="s">
        <v>2035</v>
      </c>
      <c r="L7422" s="30" t="s">
        <v>429</v>
      </c>
      <c r="N7422" s="30" t="s">
        <v>430</v>
      </c>
      <c r="P7422" s="30" t="s">
        <v>14319</v>
      </c>
      <c r="Q7422" t="s">
        <v>621</v>
      </c>
      <c r="R7422" t="s">
        <v>920</v>
      </c>
      <c r="S7422">
        <v>39</v>
      </c>
      <c r="T7422" s="29" t="str">
        <f>HYPERLINK("https://ictv.global/ictv/proposals/2023.004P.Bromoviridae_rename_sp.zip","2023.004P.Bromoviridae_rename_sp.zip")</f>
        <v>2023.004P.Bromoviridae_rename_sp.zip</v>
      </c>
      <c r="U7422" s="29" t="str">
        <f>HYPERLINK("https://ictv.global/taxonomy/taxondetails?taxnode_id=202302779","ictv.global=202302779")</f>
        <v>ictv.global=202302779</v>
      </c>
    </row>
    <row r="7423" spans="1:21">
      <c r="A7423">
        <v>7422</v>
      </c>
      <c r="B7423" s="30" t="s">
        <v>1226</v>
      </c>
      <c r="D7423" s="30" t="s">
        <v>2024</v>
      </c>
      <c r="F7423" s="30" t="s">
        <v>2032</v>
      </c>
      <c r="H7423" s="30" t="s">
        <v>2033</v>
      </c>
      <c r="J7423" s="30" t="s">
        <v>2035</v>
      </c>
      <c r="L7423" s="30" t="s">
        <v>429</v>
      </c>
      <c r="N7423" s="30" t="s">
        <v>430</v>
      </c>
      <c r="P7423" s="30" t="s">
        <v>14320</v>
      </c>
      <c r="Q7423" t="s">
        <v>621</v>
      </c>
      <c r="R7423" t="s">
        <v>917</v>
      </c>
      <c r="S7423">
        <v>39</v>
      </c>
      <c r="T7423" s="29" t="str">
        <f>HYPERLINK("https://ictv.global/ictv/proposals/2023.005P.Bromoviridae_10ns.zip","2023.005P.Bromoviridae_10ns.zip")</f>
        <v>2023.005P.Bromoviridae_10ns.zip</v>
      </c>
      <c r="U7423" s="29" t="str">
        <f>HYPERLINK("https://ictv.global/taxonomy/taxondetails?taxnode_id=202317818","ictv.global=202317818")</f>
        <v>ictv.global=202317818</v>
      </c>
    </row>
    <row r="7424" spans="1:21">
      <c r="A7424">
        <v>7423</v>
      </c>
      <c r="B7424" s="30" t="s">
        <v>1226</v>
      </c>
      <c r="D7424" s="30" t="s">
        <v>2024</v>
      </c>
      <c r="F7424" s="30" t="s">
        <v>2032</v>
      </c>
      <c r="H7424" s="30" t="s">
        <v>2033</v>
      </c>
      <c r="J7424" s="30" t="s">
        <v>2035</v>
      </c>
      <c r="L7424" s="30" t="s">
        <v>429</v>
      </c>
      <c r="N7424" s="30" t="s">
        <v>430</v>
      </c>
      <c r="P7424" s="30" t="s">
        <v>14321</v>
      </c>
      <c r="Q7424" t="s">
        <v>621</v>
      </c>
      <c r="R7424" t="s">
        <v>920</v>
      </c>
      <c r="S7424">
        <v>39</v>
      </c>
      <c r="T7424" s="29" t="str">
        <f>HYPERLINK("https://ictv.global/ictv/proposals/2023.004P.Bromoviridae_rename_sp.zip","2023.004P.Bromoviridae_rename_sp.zip")</f>
        <v>2023.004P.Bromoviridae_rename_sp.zip</v>
      </c>
      <c r="U7424" s="29" t="str">
        <f>HYPERLINK("https://ictv.global/taxonomy/taxondetails?taxnode_id=202302780","ictv.global=202302780")</f>
        <v>ictv.global=202302780</v>
      </c>
    </row>
    <row r="7425" spans="1:21">
      <c r="A7425">
        <v>7424</v>
      </c>
      <c r="B7425" s="30" t="s">
        <v>1226</v>
      </c>
      <c r="D7425" s="30" t="s">
        <v>2024</v>
      </c>
      <c r="F7425" s="30" t="s">
        <v>2032</v>
      </c>
      <c r="H7425" s="30" t="s">
        <v>2033</v>
      </c>
      <c r="J7425" s="30" t="s">
        <v>2035</v>
      </c>
      <c r="L7425" s="30" t="s">
        <v>429</v>
      </c>
      <c r="N7425" s="30" t="s">
        <v>430</v>
      </c>
      <c r="P7425" s="30" t="s">
        <v>14322</v>
      </c>
      <c r="Q7425" t="s">
        <v>621</v>
      </c>
      <c r="R7425" t="s">
        <v>920</v>
      </c>
      <c r="S7425">
        <v>39</v>
      </c>
      <c r="T7425" s="29" t="str">
        <f>HYPERLINK("https://ictv.global/ictv/proposals/2023.004P.Bromoviridae_rename_sp.zip","2023.004P.Bromoviridae_rename_sp.zip")</f>
        <v>2023.004P.Bromoviridae_rename_sp.zip</v>
      </c>
      <c r="U7425" s="29" t="str">
        <f>HYPERLINK("https://ictv.global/taxonomy/taxondetails?taxnode_id=202302781","ictv.global=202302781")</f>
        <v>ictv.global=202302781</v>
      </c>
    </row>
    <row r="7426" spans="1:21">
      <c r="A7426">
        <v>7425</v>
      </c>
      <c r="B7426" s="30" t="s">
        <v>1226</v>
      </c>
      <c r="D7426" s="30" t="s">
        <v>2024</v>
      </c>
      <c r="F7426" s="30" t="s">
        <v>2032</v>
      </c>
      <c r="H7426" s="30" t="s">
        <v>2033</v>
      </c>
      <c r="J7426" s="30" t="s">
        <v>2035</v>
      </c>
      <c r="L7426" s="30" t="s">
        <v>429</v>
      </c>
      <c r="N7426" s="30" t="s">
        <v>430</v>
      </c>
      <c r="P7426" s="30" t="s">
        <v>14323</v>
      </c>
      <c r="Q7426" t="s">
        <v>621</v>
      </c>
      <c r="R7426" t="s">
        <v>917</v>
      </c>
      <c r="S7426">
        <v>39</v>
      </c>
      <c r="T7426" s="29" t="str">
        <f>HYPERLINK("https://ictv.global/ictv/proposals/2023.005P.Bromoviridae_10ns.zip","2023.005P.Bromoviridae_10ns.zip")</f>
        <v>2023.005P.Bromoviridae_10ns.zip</v>
      </c>
      <c r="U7426" s="29" t="str">
        <f>HYPERLINK("https://ictv.global/taxonomy/taxondetails?taxnode_id=202317820","ictv.global=202317820")</f>
        <v>ictv.global=202317820</v>
      </c>
    </row>
    <row r="7427" spans="1:21">
      <c r="A7427">
        <v>7426</v>
      </c>
      <c r="B7427" s="30" t="s">
        <v>1226</v>
      </c>
      <c r="D7427" s="30" t="s">
        <v>2024</v>
      </c>
      <c r="F7427" s="30" t="s">
        <v>2032</v>
      </c>
      <c r="H7427" s="30" t="s">
        <v>2033</v>
      </c>
      <c r="J7427" s="30" t="s">
        <v>2035</v>
      </c>
      <c r="L7427" s="30" t="s">
        <v>429</v>
      </c>
      <c r="N7427" s="30" t="s">
        <v>430</v>
      </c>
      <c r="P7427" s="30" t="s">
        <v>14324</v>
      </c>
      <c r="Q7427" t="s">
        <v>621</v>
      </c>
      <c r="R7427" t="s">
        <v>920</v>
      </c>
      <c r="S7427">
        <v>39</v>
      </c>
      <c r="T7427" s="29" t="str">
        <f>HYPERLINK("https://ictv.global/ictv/proposals/2023.004P.Bromoviridae_rename_sp.zip","2023.004P.Bromoviridae_rename_sp.zip")</f>
        <v>2023.004P.Bromoviridae_rename_sp.zip</v>
      </c>
      <c r="U7427" s="29" t="str">
        <f>HYPERLINK("https://ictv.global/taxonomy/taxondetails?taxnode_id=202302782","ictv.global=202302782")</f>
        <v>ictv.global=202302782</v>
      </c>
    </row>
    <row r="7428" spans="1:21">
      <c r="A7428">
        <v>7427</v>
      </c>
      <c r="B7428" s="30" t="s">
        <v>1226</v>
      </c>
      <c r="D7428" s="30" t="s">
        <v>2024</v>
      </c>
      <c r="F7428" s="30" t="s">
        <v>2032</v>
      </c>
      <c r="H7428" s="30" t="s">
        <v>2033</v>
      </c>
      <c r="J7428" s="30" t="s">
        <v>2035</v>
      </c>
      <c r="L7428" s="30" t="s">
        <v>429</v>
      </c>
      <c r="N7428" s="30" t="s">
        <v>430</v>
      </c>
      <c r="P7428" s="30" t="s">
        <v>14325</v>
      </c>
      <c r="Q7428" t="s">
        <v>621</v>
      </c>
      <c r="R7428" t="s">
        <v>920</v>
      </c>
      <c r="S7428">
        <v>39</v>
      </c>
      <c r="T7428" s="29" t="str">
        <f>HYPERLINK("https://ictv.global/ictv/proposals/2023.004P.Bromoviridae_rename_sp.zip","2023.004P.Bromoviridae_rename_sp.zip")</f>
        <v>2023.004P.Bromoviridae_rename_sp.zip</v>
      </c>
      <c r="U7428" s="29" t="str">
        <f>HYPERLINK("https://ictv.global/taxonomy/taxondetails?taxnode_id=202302783","ictv.global=202302783")</f>
        <v>ictv.global=202302783</v>
      </c>
    </row>
    <row r="7429" spans="1:21">
      <c r="A7429">
        <v>7428</v>
      </c>
      <c r="B7429" s="30" t="s">
        <v>1226</v>
      </c>
      <c r="D7429" s="30" t="s">
        <v>2024</v>
      </c>
      <c r="F7429" s="30" t="s">
        <v>2032</v>
      </c>
      <c r="H7429" s="30" t="s">
        <v>2033</v>
      </c>
      <c r="J7429" s="30" t="s">
        <v>2035</v>
      </c>
      <c r="L7429" s="30" t="s">
        <v>429</v>
      </c>
      <c r="N7429" s="30" t="s">
        <v>430</v>
      </c>
      <c r="P7429" s="30" t="s">
        <v>14326</v>
      </c>
      <c r="Q7429" t="s">
        <v>621</v>
      </c>
      <c r="R7429" t="s">
        <v>920</v>
      </c>
      <c r="S7429">
        <v>39</v>
      </c>
      <c r="T7429" s="29" t="str">
        <f>HYPERLINK("https://ictv.global/ictv/proposals/2023.004P.Bromoviridae_rename_sp.zip","2023.004P.Bromoviridae_rename_sp.zip")</f>
        <v>2023.004P.Bromoviridae_rename_sp.zip</v>
      </c>
      <c r="U7429" s="29" t="str">
        <f>HYPERLINK("https://ictv.global/taxonomy/taxondetails?taxnode_id=202302784","ictv.global=202302784")</f>
        <v>ictv.global=202302784</v>
      </c>
    </row>
    <row r="7430" spans="1:21">
      <c r="A7430">
        <v>7429</v>
      </c>
      <c r="B7430" s="30" t="s">
        <v>1226</v>
      </c>
      <c r="D7430" s="30" t="s">
        <v>2024</v>
      </c>
      <c r="F7430" s="30" t="s">
        <v>2032</v>
      </c>
      <c r="H7430" s="30" t="s">
        <v>2033</v>
      </c>
      <c r="J7430" s="30" t="s">
        <v>2035</v>
      </c>
      <c r="L7430" s="30" t="s">
        <v>429</v>
      </c>
      <c r="N7430" s="30" t="s">
        <v>430</v>
      </c>
      <c r="P7430" s="30" t="s">
        <v>14327</v>
      </c>
      <c r="Q7430" t="s">
        <v>621</v>
      </c>
      <c r="R7430" t="s">
        <v>920</v>
      </c>
      <c r="S7430">
        <v>39</v>
      </c>
      <c r="T7430" s="29" t="str">
        <f>HYPERLINK("https://ictv.global/ictv/proposals/2023.004P.Bromoviridae_rename_sp.zip","2023.004P.Bromoviridae_rename_sp.zip")</f>
        <v>2023.004P.Bromoviridae_rename_sp.zip</v>
      </c>
      <c r="U7430" s="29" t="str">
        <f>HYPERLINK("https://ictv.global/taxonomy/taxondetails?taxnode_id=202302785","ictv.global=202302785")</f>
        <v>ictv.global=202302785</v>
      </c>
    </row>
    <row r="7431" spans="1:21">
      <c r="A7431">
        <v>7430</v>
      </c>
      <c r="B7431" s="30" t="s">
        <v>1226</v>
      </c>
      <c r="D7431" s="30" t="s">
        <v>2024</v>
      </c>
      <c r="F7431" s="30" t="s">
        <v>2032</v>
      </c>
      <c r="H7431" s="30" t="s">
        <v>2033</v>
      </c>
      <c r="J7431" s="30" t="s">
        <v>2035</v>
      </c>
      <c r="L7431" s="30" t="s">
        <v>429</v>
      </c>
      <c r="N7431" s="30" t="s">
        <v>430</v>
      </c>
      <c r="P7431" s="30" t="s">
        <v>14328</v>
      </c>
      <c r="Q7431" t="s">
        <v>621</v>
      </c>
      <c r="R7431" t="s">
        <v>917</v>
      </c>
      <c r="S7431">
        <v>39</v>
      </c>
      <c r="T7431" s="29" t="str">
        <f>HYPERLINK("https://ictv.global/ictv/proposals/2023.005P.Bromoviridae_10ns.zip","2023.005P.Bromoviridae_10ns.zip")</f>
        <v>2023.005P.Bromoviridae_10ns.zip</v>
      </c>
      <c r="U7431" s="29" t="str">
        <f>HYPERLINK("https://ictv.global/taxonomy/taxondetails?taxnode_id=202317821","ictv.global=202317821")</f>
        <v>ictv.global=202317821</v>
      </c>
    </row>
    <row r="7432" spans="1:21">
      <c r="A7432">
        <v>7431</v>
      </c>
      <c r="B7432" s="30" t="s">
        <v>1226</v>
      </c>
      <c r="D7432" s="30" t="s">
        <v>2024</v>
      </c>
      <c r="F7432" s="30" t="s">
        <v>2032</v>
      </c>
      <c r="H7432" s="30" t="s">
        <v>2033</v>
      </c>
      <c r="J7432" s="30" t="s">
        <v>2035</v>
      </c>
      <c r="L7432" s="30" t="s">
        <v>429</v>
      </c>
      <c r="N7432" s="30" t="s">
        <v>430</v>
      </c>
      <c r="P7432" s="30" t="s">
        <v>14329</v>
      </c>
      <c r="Q7432" t="s">
        <v>621</v>
      </c>
      <c r="R7432" t="s">
        <v>920</v>
      </c>
      <c r="S7432">
        <v>39</v>
      </c>
      <c r="T7432" s="29" t="str">
        <f t="shared" ref="T7432:T7438" si="321">HYPERLINK("https://ictv.global/ictv/proposals/2023.004P.Bromoviridae_rename_sp.zip","2023.004P.Bromoviridae_rename_sp.zip")</f>
        <v>2023.004P.Bromoviridae_rename_sp.zip</v>
      </c>
      <c r="U7432" s="29" t="str">
        <f>HYPERLINK("https://ictv.global/taxonomy/taxondetails?taxnode_id=202302786","ictv.global=202302786")</f>
        <v>ictv.global=202302786</v>
      </c>
    </row>
    <row r="7433" spans="1:21">
      <c r="A7433">
        <v>7432</v>
      </c>
      <c r="B7433" s="30" t="s">
        <v>1226</v>
      </c>
      <c r="D7433" s="30" t="s">
        <v>2024</v>
      </c>
      <c r="F7433" s="30" t="s">
        <v>2032</v>
      </c>
      <c r="H7433" s="30" t="s">
        <v>2033</v>
      </c>
      <c r="J7433" s="30" t="s">
        <v>2035</v>
      </c>
      <c r="L7433" s="30" t="s">
        <v>429</v>
      </c>
      <c r="N7433" s="30" t="s">
        <v>430</v>
      </c>
      <c r="P7433" s="30" t="s">
        <v>14330</v>
      </c>
      <c r="Q7433" t="s">
        <v>621</v>
      </c>
      <c r="R7433" t="s">
        <v>920</v>
      </c>
      <c r="S7433">
        <v>39</v>
      </c>
      <c r="T7433" s="29" t="str">
        <f t="shared" si="321"/>
        <v>2023.004P.Bromoviridae_rename_sp.zip</v>
      </c>
      <c r="U7433" s="29" t="str">
        <f>HYPERLINK("https://ictv.global/taxonomy/taxondetails?taxnode_id=202302787","ictv.global=202302787")</f>
        <v>ictv.global=202302787</v>
      </c>
    </row>
    <row r="7434" spans="1:21">
      <c r="A7434">
        <v>7433</v>
      </c>
      <c r="B7434" s="30" t="s">
        <v>1226</v>
      </c>
      <c r="D7434" s="30" t="s">
        <v>2024</v>
      </c>
      <c r="F7434" s="30" t="s">
        <v>2032</v>
      </c>
      <c r="H7434" s="30" t="s">
        <v>2033</v>
      </c>
      <c r="J7434" s="30" t="s">
        <v>2035</v>
      </c>
      <c r="L7434" s="30" t="s">
        <v>429</v>
      </c>
      <c r="N7434" s="30" t="s">
        <v>430</v>
      </c>
      <c r="P7434" s="30" t="s">
        <v>14331</v>
      </c>
      <c r="Q7434" t="s">
        <v>621</v>
      </c>
      <c r="R7434" t="s">
        <v>920</v>
      </c>
      <c r="S7434">
        <v>39</v>
      </c>
      <c r="T7434" s="29" t="str">
        <f t="shared" si="321"/>
        <v>2023.004P.Bromoviridae_rename_sp.zip</v>
      </c>
      <c r="U7434" s="29" t="str">
        <f>HYPERLINK("https://ictv.global/taxonomy/taxondetails?taxnode_id=202302788","ictv.global=202302788")</f>
        <v>ictv.global=202302788</v>
      </c>
    </row>
    <row r="7435" spans="1:21">
      <c r="A7435">
        <v>7434</v>
      </c>
      <c r="B7435" s="30" t="s">
        <v>1226</v>
      </c>
      <c r="D7435" s="30" t="s">
        <v>2024</v>
      </c>
      <c r="F7435" s="30" t="s">
        <v>2032</v>
      </c>
      <c r="H7435" s="30" t="s">
        <v>2033</v>
      </c>
      <c r="J7435" s="30" t="s">
        <v>2035</v>
      </c>
      <c r="L7435" s="30" t="s">
        <v>429</v>
      </c>
      <c r="N7435" s="30" t="s">
        <v>430</v>
      </c>
      <c r="P7435" s="30" t="s">
        <v>14332</v>
      </c>
      <c r="Q7435" t="s">
        <v>621</v>
      </c>
      <c r="R7435" t="s">
        <v>920</v>
      </c>
      <c r="S7435">
        <v>39</v>
      </c>
      <c r="T7435" s="29" t="str">
        <f t="shared" si="321"/>
        <v>2023.004P.Bromoviridae_rename_sp.zip</v>
      </c>
      <c r="U7435" s="29" t="str">
        <f>HYPERLINK("https://ictv.global/taxonomy/taxondetails?taxnode_id=202302790","ictv.global=202302790")</f>
        <v>ictv.global=202302790</v>
      </c>
    </row>
    <row r="7436" spans="1:21">
      <c r="A7436">
        <v>7435</v>
      </c>
      <c r="B7436" s="30" t="s">
        <v>1226</v>
      </c>
      <c r="D7436" s="30" t="s">
        <v>2024</v>
      </c>
      <c r="F7436" s="30" t="s">
        <v>2032</v>
      </c>
      <c r="H7436" s="30" t="s">
        <v>2033</v>
      </c>
      <c r="J7436" s="30" t="s">
        <v>2035</v>
      </c>
      <c r="L7436" s="30" t="s">
        <v>429</v>
      </c>
      <c r="N7436" s="30" t="s">
        <v>430</v>
      </c>
      <c r="P7436" s="30" t="s">
        <v>14333</v>
      </c>
      <c r="Q7436" t="s">
        <v>621</v>
      </c>
      <c r="R7436" t="s">
        <v>920</v>
      </c>
      <c r="S7436">
        <v>39</v>
      </c>
      <c r="T7436" s="29" t="str">
        <f t="shared" si="321"/>
        <v>2023.004P.Bromoviridae_rename_sp.zip</v>
      </c>
      <c r="U7436" s="29" t="str">
        <f>HYPERLINK("https://ictv.global/taxonomy/taxondetails?taxnode_id=202302789","ictv.global=202302789")</f>
        <v>ictv.global=202302789</v>
      </c>
    </row>
    <row r="7437" spans="1:21">
      <c r="A7437">
        <v>7436</v>
      </c>
      <c r="B7437" s="30" t="s">
        <v>1226</v>
      </c>
      <c r="D7437" s="30" t="s">
        <v>2024</v>
      </c>
      <c r="F7437" s="30" t="s">
        <v>2032</v>
      </c>
      <c r="H7437" s="30" t="s">
        <v>2033</v>
      </c>
      <c r="J7437" s="30" t="s">
        <v>2035</v>
      </c>
      <c r="L7437" s="30" t="s">
        <v>429</v>
      </c>
      <c r="N7437" s="30" t="s">
        <v>430</v>
      </c>
      <c r="P7437" s="30" t="s">
        <v>14334</v>
      </c>
      <c r="Q7437" t="s">
        <v>621</v>
      </c>
      <c r="R7437" t="s">
        <v>920</v>
      </c>
      <c r="S7437">
        <v>39</v>
      </c>
      <c r="T7437" s="29" t="str">
        <f t="shared" si="321"/>
        <v>2023.004P.Bromoviridae_rename_sp.zip</v>
      </c>
      <c r="U7437" s="29" t="str">
        <f>HYPERLINK("https://ictv.global/taxonomy/taxondetails?taxnode_id=202302791","ictv.global=202302791")</f>
        <v>ictv.global=202302791</v>
      </c>
    </row>
    <row r="7438" spans="1:21">
      <c r="A7438">
        <v>7437</v>
      </c>
      <c r="B7438" s="30" t="s">
        <v>1226</v>
      </c>
      <c r="D7438" s="30" t="s">
        <v>2024</v>
      </c>
      <c r="F7438" s="30" t="s">
        <v>2032</v>
      </c>
      <c r="H7438" s="30" t="s">
        <v>2033</v>
      </c>
      <c r="J7438" s="30" t="s">
        <v>2035</v>
      </c>
      <c r="L7438" s="30" t="s">
        <v>429</v>
      </c>
      <c r="N7438" s="30" t="s">
        <v>430</v>
      </c>
      <c r="P7438" s="30" t="s">
        <v>14335</v>
      </c>
      <c r="Q7438" t="s">
        <v>621</v>
      </c>
      <c r="R7438" t="s">
        <v>920</v>
      </c>
      <c r="S7438">
        <v>39</v>
      </c>
      <c r="T7438" s="29" t="str">
        <f t="shared" si="321"/>
        <v>2023.004P.Bromoviridae_rename_sp.zip</v>
      </c>
      <c r="U7438" s="29" t="str">
        <f>HYPERLINK("https://ictv.global/taxonomy/taxondetails?taxnode_id=202305759","ictv.global=202305759")</f>
        <v>ictv.global=202305759</v>
      </c>
    </row>
    <row r="7439" spans="1:21">
      <c r="A7439">
        <v>7438</v>
      </c>
      <c r="B7439" s="30" t="s">
        <v>1226</v>
      </c>
      <c r="D7439" s="30" t="s">
        <v>2024</v>
      </c>
      <c r="F7439" s="30" t="s">
        <v>2032</v>
      </c>
      <c r="H7439" s="30" t="s">
        <v>2033</v>
      </c>
      <c r="J7439" s="30" t="s">
        <v>2035</v>
      </c>
      <c r="L7439" s="30" t="s">
        <v>429</v>
      </c>
      <c r="N7439" s="30" t="s">
        <v>430</v>
      </c>
      <c r="P7439" s="30" t="s">
        <v>14336</v>
      </c>
      <c r="Q7439" t="s">
        <v>621</v>
      </c>
      <c r="R7439" t="s">
        <v>917</v>
      </c>
      <c r="S7439">
        <v>39</v>
      </c>
      <c r="T7439" s="29" t="str">
        <f>HYPERLINK("https://ictv.global/ictv/proposals/2023.005P.Bromoviridae_10ns.zip","2023.005P.Bromoviridae_10ns.zip")</f>
        <v>2023.005P.Bromoviridae_10ns.zip</v>
      </c>
      <c r="U7439" s="29" t="str">
        <f>HYPERLINK("https://ictv.global/taxonomy/taxondetails?taxnode_id=202317822","ictv.global=202317822")</f>
        <v>ictv.global=202317822</v>
      </c>
    </row>
    <row r="7440" spans="1:21">
      <c r="A7440">
        <v>7439</v>
      </c>
      <c r="B7440" s="30" t="s">
        <v>1226</v>
      </c>
      <c r="D7440" s="30" t="s">
        <v>2024</v>
      </c>
      <c r="F7440" s="30" t="s">
        <v>2032</v>
      </c>
      <c r="H7440" s="30" t="s">
        <v>2033</v>
      </c>
      <c r="J7440" s="30" t="s">
        <v>2035</v>
      </c>
      <c r="L7440" s="30" t="s">
        <v>429</v>
      </c>
      <c r="N7440" s="30" t="s">
        <v>430</v>
      </c>
      <c r="P7440" s="30" t="s">
        <v>14337</v>
      </c>
      <c r="Q7440" t="s">
        <v>621</v>
      </c>
      <c r="R7440" t="s">
        <v>917</v>
      </c>
      <c r="S7440">
        <v>39</v>
      </c>
      <c r="T7440" s="29" t="str">
        <f>HYPERLINK("https://ictv.global/ictv/proposals/2023.005P.Bromoviridae_10ns.zip","2023.005P.Bromoviridae_10ns.zip")</f>
        <v>2023.005P.Bromoviridae_10ns.zip</v>
      </c>
      <c r="U7440" s="29" t="str">
        <f>HYPERLINK("https://ictv.global/taxonomy/taxondetails?taxnode_id=202317823","ictv.global=202317823")</f>
        <v>ictv.global=202317823</v>
      </c>
    </row>
    <row r="7441" spans="1:21">
      <c r="A7441">
        <v>7440</v>
      </c>
      <c r="B7441" s="30" t="s">
        <v>1226</v>
      </c>
      <c r="D7441" s="30" t="s">
        <v>2024</v>
      </c>
      <c r="F7441" s="30" t="s">
        <v>2032</v>
      </c>
      <c r="H7441" s="30" t="s">
        <v>2033</v>
      </c>
      <c r="J7441" s="30" t="s">
        <v>2035</v>
      </c>
      <c r="L7441" s="30" t="s">
        <v>429</v>
      </c>
      <c r="N7441" s="30" t="s">
        <v>430</v>
      </c>
      <c r="P7441" s="30" t="s">
        <v>14338</v>
      </c>
      <c r="Q7441" t="s">
        <v>621</v>
      </c>
      <c r="R7441" t="s">
        <v>917</v>
      </c>
      <c r="S7441">
        <v>39</v>
      </c>
      <c r="T7441" s="29" t="str">
        <f>HYPERLINK("https://ictv.global/ictv/proposals/2023.005P.Bromoviridae_10ns.zip","2023.005P.Bromoviridae_10ns.zip")</f>
        <v>2023.005P.Bromoviridae_10ns.zip</v>
      </c>
      <c r="U7441" s="29" t="str">
        <f>HYPERLINK("https://ictv.global/taxonomy/taxondetails?taxnode_id=202317824","ictv.global=202317824")</f>
        <v>ictv.global=202317824</v>
      </c>
    </row>
    <row r="7442" spans="1:21">
      <c r="A7442">
        <v>7441</v>
      </c>
      <c r="B7442" s="30" t="s">
        <v>1226</v>
      </c>
      <c r="D7442" s="30" t="s">
        <v>2024</v>
      </c>
      <c r="F7442" s="30" t="s">
        <v>2032</v>
      </c>
      <c r="H7442" s="30" t="s">
        <v>2033</v>
      </c>
      <c r="J7442" s="30" t="s">
        <v>2035</v>
      </c>
      <c r="L7442" s="30" t="s">
        <v>429</v>
      </c>
      <c r="N7442" s="30" t="s">
        <v>430</v>
      </c>
      <c r="P7442" s="30" t="s">
        <v>14339</v>
      </c>
      <c r="Q7442" t="s">
        <v>621</v>
      </c>
      <c r="R7442" t="s">
        <v>920</v>
      </c>
      <c r="S7442">
        <v>39</v>
      </c>
      <c r="T7442" s="29" t="str">
        <f>HYPERLINK("https://ictv.global/ictv/proposals/2023.004P.Bromoviridae_rename_sp.zip","2023.004P.Bromoviridae_rename_sp.zip")</f>
        <v>2023.004P.Bromoviridae_rename_sp.zip</v>
      </c>
      <c r="U7442" s="29" t="str">
        <f>HYPERLINK("https://ictv.global/taxonomy/taxondetails?taxnode_id=202302792","ictv.global=202302792")</f>
        <v>ictv.global=202302792</v>
      </c>
    </row>
    <row r="7443" spans="1:21">
      <c r="A7443">
        <v>7442</v>
      </c>
      <c r="B7443" s="30" t="s">
        <v>1226</v>
      </c>
      <c r="D7443" s="30" t="s">
        <v>2024</v>
      </c>
      <c r="F7443" s="30" t="s">
        <v>2032</v>
      </c>
      <c r="H7443" s="30" t="s">
        <v>2033</v>
      </c>
      <c r="J7443" s="30" t="s">
        <v>2035</v>
      </c>
      <c r="L7443" s="30" t="s">
        <v>429</v>
      </c>
      <c r="N7443" s="30" t="s">
        <v>430</v>
      </c>
      <c r="P7443" s="30" t="s">
        <v>14340</v>
      </c>
      <c r="Q7443" t="s">
        <v>621</v>
      </c>
      <c r="R7443" t="s">
        <v>917</v>
      </c>
      <c r="S7443">
        <v>39</v>
      </c>
      <c r="T7443" s="29" t="str">
        <f>HYPERLINK("https://ictv.global/ictv/proposals/2023.005P.Bromoviridae_10ns.zip","2023.005P.Bromoviridae_10ns.zip")</f>
        <v>2023.005P.Bromoviridae_10ns.zip</v>
      </c>
      <c r="U7443" s="29" t="str">
        <f>HYPERLINK("https://ictv.global/taxonomy/taxondetails?taxnode_id=202317825","ictv.global=202317825")</f>
        <v>ictv.global=202317825</v>
      </c>
    </row>
    <row r="7444" spans="1:21">
      <c r="A7444">
        <v>7443</v>
      </c>
      <c r="B7444" s="30" t="s">
        <v>1226</v>
      </c>
      <c r="D7444" s="30" t="s">
        <v>2024</v>
      </c>
      <c r="F7444" s="30" t="s">
        <v>2032</v>
      </c>
      <c r="H7444" s="30" t="s">
        <v>2033</v>
      </c>
      <c r="J7444" s="30" t="s">
        <v>2035</v>
      </c>
      <c r="L7444" s="30" t="s">
        <v>429</v>
      </c>
      <c r="N7444" s="30" t="s">
        <v>430</v>
      </c>
      <c r="P7444" s="30" t="s">
        <v>14341</v>
      </c>
      <c r="Q7444" t="s">
        <v>621</v>
      </c>
      <c r="R7444" t="s">
        <v>920</v>
      </c>
      <c r="S7444">
        <v>39</v>
      </c>
      <c r="T7444" s="29" t="str">
        <f>HYPERLINK("https://ictv.global/ictv/proposals/2023.004P.Bromoviridae_rename_sp.zip","2023.004P.Bromoviridae_rename_sp.zip")</f>
        <v>2023.004P.Bromoviridae_rename_sp.zip</v>
      </c>
      <c r="U7444" s="29" t="str">
        <f>HYPERLINK("https://ictv.global/taxonomy/taxondetails?taxnode_id=202302793","ictv.global=202302793")</f>
        <v>ictv.global=202302793</v>
      </c>
    </row>
    <row r="7445" spans="1:21">
      <c r="A7445">
        <v>7444</v>
      </c>
      <c r="B7445" s="30" t="s">
        <v>1226</v>
      </c>
      <c r="D7445" s="30" t="s">
        <v>2024</v>
      </c>
      <c r="F7445" s="30" t="s">
        <v>2032</v>
      </c>
      <c r="H7445" s="30" t="s">
        <v>2033</v>
      </c>
      <c r="J7445" s="30" t="s">
        <v>2035</v>
      </c>
      <c r="L7445" s="30" t="s">
        <v>429</v>
      </c>
      <c r="N7445" s="30" t="s">
        <v>430</v>
      </c>
      <c r="P7445" s="30" t="s">
        <v>14342</v>
      </c>
      <c r="Q7445" t="s">
        <v>621</v>
      </c>
      <c r="R7445" t="s">
        <v>917</v>
      </c>
      <c r="S7445">
        <v>39</v>
      </c>
      <c r="T7445" s="29" t="str">
        <f>HYPERLINK("https://ictv.global/ictv/proposals/2023.005P.Bromoviridae_10ns.zip","2023.005P.Bromoviridae_10ns.zip")</f>
        <v>2023.005P.Bromoviridae_10ns.zip</v>
      </c>
      <c r="U7445" s="29" t="str">
        <f>HYPERLINK("https://ictv.global/taxonomy/taxondetails?taxnode_id=202317826","ictv.global=202317826")</f>
        <v>ictv.global=202317826</v>
      </c>
    </row>
    <row r="7446" spans="1:21">
      <c r="A7446">
        <v>7445</v>
      </c>
      <c r="B7446" s="30" t="s">
        <v>1226</v>
      </c>
      <c r="D7446" s="30" t="s">
        <v>2024</v>
      </c>
      <c r="F7446" s="30" t="s">
        <v>2032</v>
      </c>
      <c r="H7446" s="30" t="s">
        <v>2033</v>
      </c>
      <c r="J7446" s="30" t="s">
        <v>2035</v>
      </c>
      <c r="L7446" s="30" t="s">
        <v>429</v>
      </c>
      <c r="N7446" s="30" t="s">
        <v>430</v>
      </c>
      <c r="P7446" s="30" t="s">
        <v>14343</v>
      </c>
      <c r="Q7446" t="s">
        <v>621</v>
      </c>
      <c r="R7446" t="s">
        <v>920</v>
      </c>
      <c r="S7446">
        <v>39</v>
      </c>
      <c r="T7446" s="29" t="str">
        <f>HYPERLINK("https://ictv.global/ictv/proposals/2023.004P.Bromoviridae_rename_sp.zip","2023.004P.Bromoviridae_rename_sp.zip")</f>
        <v>2023.004P.Bromoviridae_rename_sp.zip</v>
      </c>
      <c r="U7446" s="29" t="str">
        <f>HYPERLINK("https://ictv.global/taxonomy/taxondetails?taxnode_id=202302795","ictv.global=202302795")</f>
        <v>ictv.global=202302795</v>
      </c>
    </row>
    <row r="7447" spans="1:21">
      <c r="A7447">
        <v>7446</v>
      </c>
      <c r="B7447" s="30" t="s">
        <v>1226</v>
      </c>
      <c r="D7447" s="30" t="s">
        <v>2024</v>
      </c>
      <c r="F7447" s="30" t="s">
        <v>2032</v>
      </c>
      <c r="H7447" s="30" t="s">
        <v>2033</v>
      </c>
      <c r="J7447" s="30" t="s">
        <v>2035</v>
      </c>
      <c r="L7447" s="30" t="s">
        <v>429</v>
      </c>
      <c r="N7447" s="30" t="s">
        <v>430</v>
      </c>
      <c r="P7447" s="30" t="s">
        <v>14344</v>
      </c>
      <c r="Q7447" t="s">
        <v>621</v>
      </c>
      <c r="R7447" t="s">
        <v>920</v>
      </c>
      <c r="S7447">
        <v>39</v>
      </c>
      <c r="T7447" s="29" t="str">
        <f>HYPERLINK("https://ictv.global/ictv/proposals/2023.004P.Bromoviridae_rename_sp.zip","2023.004P.Bromoviridae_rename_sp.zip")</f>
        <v>2023.004P.Bromoviridae_rename_sp.zip</v>
      </c>
      <c r="U7447" s="29" t="str">
        <f>HYPERLINK("https://ictv.global/taxonomy/taxondetails?taxnode_id=202305760","ictv.global=202305760")</f>
        <v>ictv.global=202305760</v>
      </c>
    </row>
    <row r="7448" spans="1:21">
      <c r="A7448">
        <v>7447</v>
      </c>
      <c r="B7448" s="30" t="s">
        <v>1226</v>
      </c>
      <c r="D7448" s="30" t="s">
        <v>2024</v>
      </c>
      <c r="F7448" s="30" t="s">
        <v>2032</v>
      </c>
      <c r="H7448" s="30" t="s">
        <v>2033</v>
      </c>
      <c r="J7448" s="30" t="s">
        <v>2035</v>
      </c>
      <c r="L7448" s="30" t="s">
        <v>429</v>
      </c>
      <c r="N7448" s="30" t="s">
        <v>430</v>
      </c>
      <c r="P7448" s="30" t="s">
        <v>14345</v>
      </c>
      <c r="Q7448" t="s">
        <v>621</v>
      </c>
      <c r="R7448" t="s">
        <v>920</v>
      </c>
      <c r="S7448">
        <v>39</v>
      </c>
      <c r="T7448" s="29" t="str">
        <f>HYPERLINK("https://ictv.global/ictv/proposals/2023.004P.Bromoviridae_rename_sp.zip","2023.004P.Bromoviridae_rename_sp.zip")</f>
        <v>2023.004P.Bromoviridae_rename_sp.zip</v>
      </c>
      <c r="U7448" s="29" t="str">
        <f>HYPERLINK("https://ictv.global/taxonomy/taxondetails?taxnode_id=202302794","ictv.global=202302794")</f>
        <v>ictv.global=202302794</v>
      </c>
    </row>
    <row r="7449" spans="1:21">
      <c r="A7449">
        <v>7448</v>
      </c>
      <c r="B7449" s="30" t="s">
        <v>1226</v>
      </c>
      <c r="D7449" s="30" t="s">
        <v>2024</v>
      </c>
      <c r="F7449" s="30" t="s">
        <v>2032</v>
      </c>
      <c r="H7449" s="30" t="s">
        <v>2033</v>
      </c>
      <c r="J7449" s="30" t="s">
        <v>2035</v>
      </c>
      <c r="L7449" s="30" t="s">
        <v>429</v>
      </c>
      <c r="N7449" s="30" t="s">
        <v>430</v>
      </c>
      <c r="P7449" s="30" t="s">
        <v>14346</v>
      </c>
      <c r="Q7449" t="s">
        <v>621</v>
      </c>
      <c r="R7449" t="s">
        <v>917</v>
      </c>
      <c r="S7449">
        <v>39</v>
      </c>
      <c r="T7449" s="29" t="str">
        <f>HYPERLINK("https://ictv.global/ictv/proposals/2023.005P.Bromoviridae_10ns.zip","2023.005P.Bromoviridae_10ns.zip")</f>
        <v>2023.005P.Bromoviridae_10ns.zip</v>
      </c>
      <c r="U7449" s="29" t="str">
        <f>HYPERLINK("https://ictv.global/taxonomy/taxondetails?taxnode_id=202317827","ictv.global=202317827")</f>
        <v>ictv.global=202317827</v>
      </c>
    </row>
    <row r="7450" spans="1:21">
      <c r="A7450">
        <v>7449</v>
      </c>
      <c r="B7450" s="30" t="s">
        <v>1226</v>
      </c>
      <c r="D7450" s="30" t="s">
        <v>2024</v>
      </c>
      <c r="F7450" s="30" t="s">
        <v>2032</v>
      </c>
      <c r="H7450" s="30" t="s">
        <v>2033</v>
      </c>
      <c r="J7450" s="30" t="s">
        <v>2035</v>
      </c>
      <c r="L7450" s="30" t="s">
        <v>429</v>
      </c>
      <c r="N7450" s="30" t="s">
        <v>463</v>
      </c>
      <c r="P7450" s="30" t="s">
        <v>14347</v>
      </c>
      <c r="Q7450" t="s">
        <v>621</v>
      </c>
      <c r="R7450" t="s">
        <v>920</v>
      </c>
      <c r="S7450">
        <v>39</v>
      </c>
      <c r="T7450" s="29" t="str">
        <f>HYPERLINK("https://ictv.global/ictv/proposals/2023.004P.Bromoviridae_rename_sp.zip","2023.004P.Bromoviridae_rename_sp.zip")</f>
        <v>2023.004P.Bromoviridae_rename_sp.zip</v>
      </c>
      <c r="U7450" s="29" t="str">
        <f>HYPERLINK("https://ictv.global/taxonomy/taxondetails?taxnode_id=202302797","ictv.global=202302797")</f>
        <v>ictv.global=202302797</v>
      </c>
    </row>
    <row r="7451" spans="1:21">
      <c r="A7451">
        <v>7450</v>
      </c>
      <c r="B7451" s="30" t="s">
        <v>1226</v>
      </c>
      <c r="D7451" s="30" t="s">
        <v>2024</v>
      </c>
      <c r="F7451" s="30" t="s">
        <v>2032</v>
      </c>
      <c r="H7451" s="30" t="s">
        <v>2033</v>
      </c>
      <c r="J7451" s="30" t="s">
        <v>2035</v>
      </c>
      <c r="L7451" s="30" t="s">
        <v>461</v>
      </c>
      <c r="N7451" s="30" t="s">
        <v>462</v>
      </c>
      <c r="P7451" s="30" t="s">
        <v>14348</v>
      </c>
      <c r="Q7451" t="s">
        <v>621</v>
      </c>
      <c r="R7451" t="s">
        <v>920</v>
      </c>
      <c r="S7451">
        <v>39</v>
      </c>
      <c r="T7451" s="29" t="str">
        <f t="shared" ref="T7451:T7482" si="322">HYPERLINK("https://ictv.global/ictv/proposals/2023.030P.Closteroviridae_rename_sp.zip","2023.030P.Closteroviridae_rename_sp.zip")</f>
        <v>2023.030P.Closteroviridae_rename_sp.zip</v>
      </c>
      <c r="U7451" s="29" t="str">
        <f>HYPERLINK("https://ictv.global/taxonomy/taxondetails?taxnode_id=202306656","ictv.global=202306656")</f>
        <v>ictv.global=202306656</v>
      </c>
    </row>
    <row r="7452" spans="1:21">
      <c r="A7452">
        <v>7451</v>
      </c>
      <c r="B7452" s="30" t="s">
        <v>1226</v>
      </c>
      <c r="D7452" s="30" t="s">
        <v>2024</v>
      </c>
      <c r="F7452" s="30" t="s">
        <v>2032</v>
      </c>
      <c r="H7452" s="30" t="s">
        <v>2033</v>
      </c>
      <c r="J7452" s="30" t="s">
        <v>2035</v>
      </c>
      <c r="L7452" s="30" t="s">
        <v>461</v>
      </c>
      <c r="N7452" s="30" t="s">
        <v>462</v>
      </c>
      <c r="P7452" s="30" t="s">
        <v>14349</v>
      </c>
      <c r="Q7452" t="s">
        <v>621</v>
      </c>
      <c r="R7452" t="s">
        <v>920</v>
      </c>
      <c r="S7452">
        <v>39</v>
      </c>
      <c r="T7452" s="29" t="str">
        <f t="shared" si="322"/>
        <v>2023.030P.Closteroviridae_rename_sp.zip</v>
      </c>
      <c r="U7452" s="29" t="str">
        <f>HYPERLINK("https://ictv.global/taxonomy/taxondetails?taxnode_id=202308911","ictv.global=202308911")</f>
        <v>ictv.global=202308911</v>
      </c>
    </row>
    <row r="7453" spans="1:21">
      <c r="A7453">
        <v>7452</v>
      </c>
      <c r="B7453" s="30" t="s">
        <v>1226</v>
      </c>
      <c r="D7453" s="30" t="s">
        <v>2024</v>
      </c>
      <c r="F7453" s="30" t="s">
        <v>2032</v>
      </c>
      <c r="H7453" s="30" t="s">
        <v>2033</v>
      </c>
      <c r="J7453" s="30" t="s">
        <v>2035</v>
      </c>
      <c r="L7453" s="30" t="s">
        <v>461</v>
      </c>
      <c r="N7453" s="30" t="s">
        <v>462</v>
      </c>
      <c r="P7453" s="30" t="s">
        <v>14350</v>
      </c>
      <c r="Q7453" t="s">
        <v>621</v>
      </c>
      <c r="R7453" t="s">
        <v>920</v>
      </c>
      <c r="S7453">
        <v>39</v>
      </c>
      <c r="T7453" s="29" t="str">
        <f t="shared" si="322"/>
        <v>2023.030P.Closteroviridae_rename_sp.zip</v>
      </c>
      <c r="U7453" s="29" t="str">
        <f>HYPERLINK("https://ictv.global/taxonomy/taxondetails?taxnode_id=202302987","ictv.global=202302987")</f>
        <v>ictv.global=202302987</v>
      </c>
    </row>
    <row r="7454" spans="1:21">
      <c r="A7454">
        <v>7453</v>
      </c>
      <c r="B7454" s="30" t="s">
        <v>1226</v>
      </c>
      <c r="D7454" s="30" t="s">
        <v>2024</v>
      </c>
      <c r="F7454" s="30" t="s">
        <v>2032</v>
      </c>
      <c r="H7454" s="30" t="s">
        <v>2033</v>
      </c>
      <c r="J7454" s="30" t="s">
        <v>2035</v>
      </c>
      <c r="L7454" s="30" t="s">
        <v>461</v>
      </c>
      <c r="N7454" s="30" t="s">
        <v>462</v>
      </c>
      <c r="P7454" s="30" t="s">
        <v>14351</v>
      </c>
      <c r="Q7454" t="s">
        <v>621</v>
      </c>
      <c r="R7454" t="s">
        <v>920</v>
      </c>
      <c r="S7454">
        <v>39</v>
      </c>
      <c r="T7454" s="29" t="str">
        <f t="shared" si="322"/>
        <v>2023.030P.Closteroviridae_rename_sp.zip</v>
      </c>
      <c r="U7454" s="29" t="str">
        <f>HYPERLINK("https://ictv.global/taxonomy/taxondetails?taxnode_id=202302985","ictv.global=202302985")</f>
        <v>ictv.global=202302985</v>
      </c>
    </row>
    <row r="7455" spans="1:21">
      <c r="A7455">
        <v>7454</v>
      </c>
      <c r="B7455" s="30" t="s">
        <v>1226</v>
      </c>
      <c r="D7455" s="30" t="s">
        <v>2024</v>
      </c>
      <c r="F7455" s="30" t="s">
        <v>2032</v>
      </c>
      <c r="H7455" s="30" t="s">
        <v>2033</v>
      </c>
      <c r="J7455" s="30" t="s">
        <v>2035</v>
      </c>
      <c r="L7455" s="30" t="s">
        <v>461</v>
      </c>
      <c r="N7455" s="30" t="s">
        <v>462</v>
      </c>
      <c r="P7455" s="30" t="s">
        <v>14352</v>
      </c>
      <c r="Q7455" t="s">
        <v>621</v>
      </c>
      <c r="R7455" t="s">
        <v>920</v>
      </c>
      <c r="S7455">
        <v>39</v>
      </c>
      <c r="T7455" s="29" t="str">
        <f t="shared" si="322"/>
        <v>2023.030P.Closteroviridae_rename_sp.zip</v>
      </c>
      <c r="U7455" s="29" t="str">
        <f>HYPERLINK("https://ictv.global/taxonomy/taxondetails?taxnode_id=202307265","ictv.global=202307265")</f>
        <v>ictv.global=202307265</v>
      </c>
    </row>
    <row r="7456" spans="1:21">
      <c r="A7456">
        <v>7455</v>
      </c>
      <c r="B7456" s="30" t="s">
        <v>1226</v>
      </c>
      <c r="D7456" s="30" t="s">
        <v>2024</v>
      </c>
      <c r="F7456" s="30" t="s">
        <v>2032</v>
      </c>
      <c r="H7456" s="30" t="s">
        <v>2033</v>
      </c>
      <c r="J7456" s="30" t="s">
        <v>2035</v>
      </c>
      <c r="L7456" s="30" t="s">
        <v>461</v>
      </c>
      <c r="N7456" s="30" t="s">
        <v>462</v>
      </c>
      <c r="P7456" s="30" t="s">
        <v>14353</v>
      </c>
      <c r="Q7456" t="s">
        <v>621</v>
      </c>
      <c r="R7456" t="s">
        <v>920</v>
      </c>
      <c r="S7456">
        <v>39</v>
      </c>
      <c r="T7456" s="29" t="str">
        <f t="shared" si="322"/>
        <v>2023.030P.Closteroviridae_rename_sp.zip</v>
      </c>
      <c r="U7456" s="29" t="str">
        <f>HYPERLINK("https://ictv.global/taxonomy/taxondetails?taxnode_id=202302989","ictv.global=202302989")</f>
        <v>ictv.global=202302989</v>
      </c>
    </row>
    <row r="7457" spans="1:21">
      <c r="A7457">
        <v>7456</v>
      </c>
      <c r="B7457" s="30" t="s">
        <v>1226</v>
      </c>
      <c r="D7457" s="30" t="s">
        <v>2024</v>
      </c>
      <c r="F7457" s="30" t="s">
        <v>2032</v>
      </c>
      <c r="H7457" s="30" t="s">
        <v>2033</v>
      </c>
      <c r="J7457" s="30" t="s">
        <v>2035</v>
      </c>
      <c r="L7457" s="30" t="s">
        <v>461</v>
      </c>
      <c r="N7457" s="30" t="s">
        <v>462</v>
      </c>
      <c r="P7457" s="30" t="s">
        <v>14354</v>
      </c>
      <c r="Q7457" t="s">
        <v>621</v>
      </c>
      <c r="R7457" t="s">
        <v>920</v>
      </c>
      <c r="S7457">
        <v>39</v>
      </c>
      <c r="T7457" s="29" t="str">
        <f t="shared" si="322"/>
        <v>2023.030P.Closteroviridae_rename_sp.zip</v>
      </c>
      <c r="U7457" s="29" t="str">
        <f>HYPERLINK("https://ictv.global/taxonomy/taxondetails?taxnode_id=202302984","ictv.global=202302984")</f>
        <v>ictv.global=202302984</v>
      </c>
    </row>
    <row r="7458" spans="1:21">
      <c r="A7458">
        <v>7457</v>
      </c>
      <c r="B7458" s="30" t="s">
        <v>1226</v>
      </c>
      <c r="D7458" s="30" t="s">
        <v>2024</v>
      </c>
      <c r="F7458" s="30" t="s">
        <v>2032</v>
      </c>
      <c r="H7458" s="30" t="s">
        <v>2033</v>
      </c>
      <c r="J7458" s="30" t="s">
        <v>2035</v>
      </c>
      <c r="L7458" s="30" t="s">
        <v>461</v>
      </c>
      <c r="N7458" s="30" t="s">
        <v>462</v>
      </c>
      <c r="P7458" s="30" t="s">
        <v>14355</v>
      </c>
      <c r="Q7458" t="s">
        <v>621</v>
      </c>
      <c r="R7458" t="s">
        <v>920</v>
      </c>
      <c r="S7458">
        <v>39</v>
      </c>
      <c r="T7458" s="29" t="str">
        <f t="shared" si="322"/>
        <v>2023.030P.Closteroviridae_rename_sp.zip</v>
      </c>
      <c r="U7458" s="29" t="str">
        <f>HYPERLINK("https://ictv.global/taxonomy/taxondetails?taxnode_id=202305771","ictv.global=202305771")</f>
        <v>ictv.global=202305771</v>
      </c>
    </row>
    <row r="7459" spans="1:21">
      <c r="A7459">
        <v>7458</v>
      </c>
      <c r="B7459" s="30" t="s">
        <v>1226</v>
      </c>
      <c r="D7459" s="30" t="s">
        <v>2024</v>
      </c>
      <c r="F7459" s="30" t="s">
        <v>2032</v>
      </c>
      <c r="H7459" s="30" t="s">
        <v>2033</v>
      </c>
      <c r="J7459" s="30" t="s">
        <v>2035</v>
      </c>
      <c r="L7459" s="30" t="s">
        <v>461</v>
      </c>
      <c r="N7459" s="30" t="s">
        <v>462</v>
      </c>
      <c r="P7459" s="30" t="s">
        <v>14356</v>
      </c>
      <c r="Q7459" t="s">
        <v>621</v>
      </c>
      <c r="R7459" t="s">
        <v>920</v>
      </c>
      <c r="S7459">
        <v>39</v>
      </c>
      <c r="T7459" s="29" t="str">
        <f t="shared" si="322"/>
        <v>2023.030P.Closteroviridae_rename_sp.zip</v>
      </c>
      <c r="U7459" s="29" t="str">
        <f>HYPERLINK("https://ictv.global/taxonomy/taxondetails?taxnode_id=202302988","ictv.global=202302988")</f>
        <v>ictv.global=202302988</v>
      </c>
    </row>
    <row r="7460" spans="1:21">
      <c r="A7460">
        <v>7459</v>
      </c>
      <c r="B7460" s="30" t="s">
        <v>1226</v>
      </c>
      <c r="D7460" s="30" t="s">
        <v>2024</v>
      </c>
      <c r="F7460" s="30" t="s">
        <v>2032</v>
      </c>
      <c r="H7460" s="30" t="s">
        <v>2033</v>
      </c>
      <c r="J7460" s="30" t="s">
        <v>2035</v>
      </c>
      <c r="L7460" s="30" t="s">
        <v>461</v>
      </c>
      <c r="N7460" s="30" t="s">
        <v>462</v>
      </c>
      <c r="P7460" s="30" t="s">
        <v>14357</v>
      </c>
      <c r="Q7460" t="s">
        <v>621</v>
      </c>
      <c r="R7460" t="s">
        <v>920</v>
      </c>
      <c r="S7460">
        <v>39</v>
      </c>
      <c r="T7460" s="29" t="str">
        <f t="shared" si="322"/>
        <v>2023.030P.Closteroviridae_rename_sp.zip</v>
      </c>
      <c r="U7460" s="29" t="str">
        <f>HYPERLINK("https://ictv.global/taxonomy/taxondetails?taxnode_id=202302983","ictv.global=202302983")</f>
        <v>ictv.global=202302983</v>
      </c>
    </row>
    <row r="7461" spans="1:21">
      <c r="A7461">
        <v>7460</v>
      </c>
      <c r="B7461" s="30" t="s">
        <v>1226</v>
      </c>
      <c r="D7461" s="30" t="s">
        <v>2024</v>
      </c>
      <c r="F7461" s="30" t="s">
        <v>2032</v>
      </c>
      <c r="H7461" s="30" t="s">
        <v>2033</v>
      </c>
      <c r="J7461" s="30" t="s">
        <v>2035</v>
      </c>
      <c r="L7461" s="30" t="s">
        <v>461</v>
      </c>
      <c r="N7461" s="30" t="s">
        <v>462</v>
      </c>
      <c r="P7461" s="30" t="s">
        <v>14358</v>
      </c>
      <c r="Q7461" t="s">
        <v>621</v>
      </c>
      <c r="R7461" t="s">
        <v>920</v>
      </c>
      <c r="S7461">
        <v>39</v>
      </c>
      <c r="T7461" s="29" t="str">
        <f t="shared" si="322"/>
        <v>2023.030P.Closteroviridae_rename_sp.zip</v>
      </c>
      <c r="U7461" s="29" t="str">
        <f>HYPERLINK("https://ictv.global/taxonomy/taxondetails?taxnode_id=202302986","ictv.global=202302986")</f>
        <v>ictv.global=202302986</v>
      </c>
    </row>
    <row r="7462" spans="1:21">
      <c r="A7462">
        <v>7461</v>
      </c>
      <c r="B7462" s="30" t="s">
        <v>1226</v>
      </c>
      <c r="D7462" s="30" t="s">
        <v>2024</v>
      </c>
      <c r="F7462" s="30" t="s">
        <v>2032</v>
      </c>
      <c r="H7462" s="30" t="s">
        <v>2033</v>
      </c>
      <c r="J7462" s="30" t="s">
        <v>2035</v>
      </c>
      <c r="L7462" s="30" t="s">
        <v>461</v>
      </c>
      <c r="N7462" s="30" t="s">
        <v>462</v>
      </c>
      <c r="P7462" s="30" t="s">
        <v>14359</v>
      </c>
      <c r="Q7462" t="s">
        <v>621</v>
      </c>
      <c r="R7462" t="s">
        <v>920</v>
      </c>
      <c r="S7462">
        <v>39</v>
      </c>
      <c r="T7462" s="29" t="str">
        <f t="shared" si="322"/>
        <v>2023.030P.Closteroviridae_rename_sp.zip</v>
      </c>
      <c r="U7462" s="29" t="str">
        <f>HYPERLINK("https://ictv.global/taxonomy/taxondetails?taxnode_id=202302982","ictv.global=202302982")</f>
        <v>ictv.global=202302982</v>
      </c>
    </row>
    <row r="7463" spans="1:21">
      <c r="A7463">
        <v>7462</v>
      </c>
      <c r="B7463" s="30" t="s">
        <v>1226</v>
      </c>
      <c r="D7463" s="30" t="s">
        <v>2024</v>
      </c>
      <c r="F7463" s="30" t="s">
        <v>2032</v>
      </c>
      <c r="H7463" s="30" t="s">
        <v>2033</v>
      </c>
      <c r="J7463" s="30" t="s">
        <v>2035</v>
      </c>
      <c r="L7463" s="30" t="s">
        <v>461</v>
      </c>
      <c r="N7463" s="30" t="s">
        <v>462</v>
      </c>
      <c r="P7463" s="30" t="s">
        <v>14360</v>
      </c>
      <c r="Q7463" t="s">
        <v>621</v>
      </c>
      <c r="R7463" t="s">
        <v>920</v>
      </c>
      <c r="S7463">
        <v>39</v>
      </c>
      <c r="T7463" s="29" t="str">
        <f t="shared" si="322"/>
        <v>2023.030P.Closteroviridae_rename_sp.zip</v>
      </c>
      <c r="U7463" s="29" t="str">
        <f>HYPERLINK("https://ictv.global/taxonomy/taxondetails?taxnode_id=202302981","ictv.global=202302981")</f>
        <v>ictv.global=202302981</v>
      </c>
    </row>
    <row r="7464" spans="1:21">
      <c r="A7464">
        <v>7463</v>
      </c>
      <c r="B7464" s="30" t="s">
        <v>1226</v>
      </c>
      <c r="D7464" s="30" t="s">
        <v>2024</v>
      </c>
      <c r="F7464" s="30" t="s">
        <v>2032</v>
      </c>
      <c r="H7464" s="30" t="s">
        <v>2033</v>
      </c>
      <c r="J7464" s="30" t="s">
        <v>2035</v>
      </c>
      <c r="L7464" s="30" t="s">
        <v>461</v>
      </c>
      <c r="N7464" s="30" t="s">
        <v>9180</v>
      </c>
      <c r="P7464" s="30" t="s">
        <v>14361</v>
      </c>
      <c r="Q7464" t="s">
        <v>621</v>
      </c>
      <c r="R7464" t="s">
        <v>920</v>
      </c>
      <c r="S7464">
        <v>39</v>
      </c>
      <c r="T7464" s="29" t="str">
        <f t="shared" si="322"/>
        <v>2023.030P.Closteroviridae_rename_sp.zip</v>
      </c>
      <c r="U7464" s="29" t="str">
        <f>HYPERLINK("https://ictv.global/taxonomy/taxondetails?taxnode_id=202303021","ictv.global=202303021")</f>
        <v>ictv.global=202303021</v>
      </c>
    </row>
    <row r="7465" spans="1:21">
      <c r="A7465">
        <v>7464</v>
      </c>
      <c r="B7465" s="30" t="s">
        <v>1226</v>
      </c>
      <c r="D7465" s="30" t="s">
        <v>2024</v>
      </c>
      <c r="F7465" s="30" t="s">
        <v>2032</v>
      </c>
      <c r="H7465" s="30" t="s">
        <v>2033</v>
      </c>
      <c r="J7465" s="30" t="s">
        <v>2035</v>
      </c>
      <c r="L7465" s="30" t="s">
        <v>461</v>
      </c>
      <c r="N7465" s="30" t="s">
        <v>489</v>
      </c>
      <c r="P7465" s="30" t="s">
        <v>14362</v>
      </c>
      <c r="Q7465" t="s">
        <v>621</v>
      </c>
      <c r="R7465" t="s">
        <v>920</v>
      </c>
      <c r="S7465">
        <v>39</v>
      </c>
      <c r="T7465" s="29" t="str">
        <f t="shared" si="322"/>
        <v>2023.030P.Closteroviridae_rename_sp.zip</v>
      </c>
      <c r="U7465" s="29" t="str">
        <f>HYPERLINK("https://ictv.global/taxonomy/taxondetails?taxnode_id=202307262","ictv.global=202307262")</f>
        <v>ictv.global=202307262</v>
      </c>
    </row>
    <row r="7466" spans="1:21">
      <c r="A7466">
        <v>7465</v>
      </c>
      <c r="B7466" s="30" t="s">
        <v>1226</v>
      </c>
      <c r="D7466" s="30" t="s">
        <v>2024</v>
      </c>
      <c r="F7466" s="30" t="s">
        <v>2032</v>
      </c>
      <c r="H7466" s="30" t="s">
        <v>2033</v>
      </c>
      <c r="J7466" s="30" t="s">
        <v>2035</v>
      </c>
      <c r="L7466" s="30" t="s">
        <v>461</v>
      </c>
      <c r="N7466" s="30" t="s">
        <v>489</v>
      </c>
      <c r="P7466" s="30" t="s">
        <v>14363</v>
      </c>
      <c r="Q7466" t="s">
        <v>621</v>
      </c>
      <c r="R7466" t="s">
        <v>920</v>
      </c>
      <c r="S7466">
        <v>39</v>
      </c>
      <c r="T7466" s="29" t="str">
        <f t="shared" si="322"/>
        <v>2023.030P.Closteroviridae_rename_sp.zip</v>
      </c>
      <c r="U7466" s="29" t="str">
        <f>HYPERLINK("https://ictv.global/taxonomy/taxondetails?taxnode_id=202308910","ictv.global=202308910")</f>
        <v>ictv.global=202308910</v>
      </c>
    </row>
    <row r="7467" spans="1:21">
      <c r="A7467">
        <v>7466</v>
      </c>
      <c r="B7467" s="30" t="s">
        <v>1226</v>
      </c>
      <c r="D7467" s="30" t="s">
        <v>2024</v>
      </c>
      <c r="F7467" s="30" t="s">
        <v>2032</v>
      </c>
      <c r="H7467" s="30" t="s">
        <v>2033</v>
      </c>
      <c r="J7467" s="30" t="s">
        <v>2035</v>
      </c>
      <c r="L7467" s="30" t="s">
        <v>461</v>
      </c>
      <c r="N7467" s="30" t="s">
        <v>489</v>
      </c>
      <c r="P7467" s="30" t="s">
        <v>14364</v>
      </c>
      <c r="Q7467" t="s">
        <v>621</v>
      </c>
      <c r="R7467" t="s">
        <v>920</v>
      </c>
      <c r="S7467">
        <v>39</v>
      </c>
      <c r="T7467" s="29" t="str">
        <f t="shared" si="322"/>
        <v>2023.030P.Closteroviridae_rename_sp.zip</v>
      </c>
      <c r="U7467" s="29" t="str">
        <f>HYPERLINK("https://ictv.global/taxonomy/taxondetails?taxnode_id=202302993","ictv.global=202302993")</f>
        <v>ictv.global=202302993</v>
      </c>
    </row>
    <row r="7468" spans="1:21">
      <c r="A7468">
        <v>7467</v>
      </c>
      <c r="B7468" s="30" t="s">
        <v>1226</v>
      </c>
      <c r="D7468" s="30" t="s">
        <v>2024</v>
      </c>
      <c r="F7468" s="30" t="s">
        <v>2032</v>
      </c>
      <c r="H7468" s="30" t="s">
        <v>2033</v>
      </c>
      <c r="J7468" s="30" t="s">
        <v>2035</v>
      </c>
      <c r="L7468" s="30" t="s">
        <v>461</v>
      </c>
      <c r="N7468" s="30" t="s">
        <v>489</v>
      </c>
      <c r="P7468" s="30" t="s">
        <v>14365</v>
      </c>
      <c r="Q7468" t="s">
        <v>621</v>
      </c>
      <c r="R7468" t="s">
        <v>920</v>
      </c>
      <c r="S7468">
        <v>39</v>
      </c>
      <c r="T7468" s="29" t="str">
        <f t="shared" si="322"/>
        <v>2023.030P.Closteroviridae_rename_sp.zip</v>
      </c>
      <c r="U7468" s="29" t="str">
        <f>HYPERLINK("https://ictv.global/taxonomy/taxondetails?taxnode_id=202302992","ictv.global=202302992")</f>
        <v>ictv.global=202302992</v>
      </c>
    </row>
    <row r="7469" spans="1:21">
      <c r="A7469">
        <v>7468</v>
      </c>
      <c r="B7469" s="30" t="s">
        <v>1226</v>
      </c>
      <c r="D7469" s="30" t="s">
        <v>2024</v>
      </c>
      <c r="F7469" s="30" t="s">
        <v>2032</v>
      </c>
      <c r="H7469" s="30" t="s">
        <v>2033</v>
      </c>
      <c r="J7469" s="30" t="s">
        <v>2035</v>
      </c>
      <c r="L7469" s="30" t="s">
        <v>461</v>
      </c>
      <c r="N7469" s="30" t="s">
        <v>489</v>
      </c>
      <c r="P7469" s="30" t="s">
        <v>14366</v>
      </c>
      <c r="Q7469" t="s">
        <v>621</v>
      </c>
      <c r="R7469" t="s">
        <v>920</v>
      </c>
      <c r="S7469">
        <v>39</v>
      </c>
      <c r="T7469" s="29" t="str">
        <f t="shared" si="322"/>
        <v>2023.030P.Closteroviridae_rename_sp.zip</v>
      </c>
      <c r="U7469" s="29" t="str">
        <f>HYPERLINK("https://ictv.global/taxonomy/taxondetails?taxnode_id=202302995","ictv.global=202302995")</f>
        <v>ictv.global=202302995</v>
      </c>
    </row>
    <row r="7470" spans="1:21">
      <c r="A7470">
        <v>7469</v>
      </c>
      <c r="B7470" s="30" t="s">
        <v>1226</v>
      </c>
      <c r="D7470" s="30" t="s">
        <v>2024</v>
      </c>
      <c r="F7470" s="30" t="s">
        <v>2032</v>
      </c>
      <c r="H7470" s="30" t="s">
        <v>2033</v>
      </c>
      <c r="J7470" s="30" t="s">
        <v>2035</v>
      </c>
      <c r="L7470" s="30" t="s">
        <v>461</v>
      </c>
      <c r="N7470" s="30" t="s">
        <v>489</v>
      </c>
      <c r="P7470" s="30" t="s">
        <v>14367</v>
      </c>
      <c r="Q7470" t="s">
        <v>621</v>
      </c>
      <c r="R7470" t="s">
        <v>920</v>
      </c>
      <c r="S7470">
        <v>39</v>
      </c>
      <c r="T7470" s="29" t="str">
        <f t="shared" si="322"/>
        <v>2023.030P.Closteroviridae_rename_sp.zip</v>
      </c>
      <c r="U7470" s="29" t="str">
        <f>HYPERLINK("https://ictv.global/taxonomy/taxondetails?taxnode_id=202303003","ictv.global=202303003")</f>
        <v>ictv.global=202303003</v>
      </c>
    </row>
    <row r="7471" spans="1:21">
      <c r="A7471">
        <v>7470</v>
      </c>
      <c r="B7471" s="30" t="s">
        <v>1226</v>
      </c>
      <c r="D7471" s="30" t="s">
        <v>2024</v>
      </c>
      <c r="F7471" s="30" t="s">
        <v>2032</v>
      </c>
      <c r="H7471" s="30" t="s">
        <v>2033</v>
      </c>
      <c r="J7471" s="30" t="s">
        <v>2035</v>
      </c>
      <c r="L7471" s="30" t="s">
        <v>461</v>
      </c>
      <c r="N7471" s="30" t="s">
        <v>489</v>
      </c>
      <c r="P7471" s="30" t="s">
        <v>14368</v>
      </c>
      <c r="Q7471" t="s">
        <v>621</v>
      </c>
      <c r="R7471" t="s">
        <v>920</v>
      </c>
      <c r="S7471">
        <v>39</v>
      </c>
      <c r="T7471" s="29" t="str">
        <f t="shared" si="322"/>
        <v>2023.030P.Closteroviridae_rename_sp.zip</v>
      </c>
      <c r="U7471" s="29" t="str">
        <f>HYPERLINK("https://ictv.global/taxonomy/taxondetails?taxnode_id=202303001","ictv.global=202303001")</f>
        <v>ictv.global=202303001</v>
      </c>
    </row>
    <row r="7472" spans="1:21">
      <c r="A7472">
        <v>7471</v>
      </c>
      <c r="B7472" s="30" t="s">
        <v>1226</v>
      </c>
      <c r="D7472" s="30" t="s">
        <v>2024</v>
      </c>
      <c r="F7472" s="30" t="s">
        <v>2032</v>
      </c>
      <c r="H7472" s="30" t="s">
        <v>2033</v>
      </c>
      <c r="J7472" s="30" t="s">
        <v>2035</v>
      </c>
      <c r="L7472" s="30" t="s">
        <v>461</v>
      </c>
      <c r="N7472" s="30" t="s">
        <v>489</v>
      </c>
      <c r="P7472" s="30" t="s">
        <v>14369</v>
      </c>
      <c r="Q7472" t="s">
        <v>621</v>
      </c>
      <c r="R7472" t="s">
        <v>920</v>
      </c>
      <c r="S7472">
        <v>39</v>
      </c>
      <c r="T7472" s="29" t="str">
        <f t="shared" si="322"/>
        <v>2023.030P.Closteroviridae_rename_sp.zip</v>
      </c>
      <c r="U7472" s="29" t="str">
        <f>HYPERLINK("https://ictv.global/taxonomy/taxondetails?taxnode_id=202302999","ictv.global=202302999")</f>
        <v>ictv.global=202302999</v>
      </c>
    </row>
    <row r="7473" spans="1:21">
      <c r="A7473">
        <v>7472</v>
      </c>
      <c r="B7473" s="30" t="s">
        <v>1226</v>
      </c>
      <c r="D7473" s="30" t="s">
        <v>2024</v>
      </c>
      <c r="F7473" s="30" t="s">
        <v>2032</v>
      </c>
      <c r="H7473" s="30" t="s">
        <v>2033</v>
      </c>
      <c r="J7473" s="30" t="s">
        <v>2035</v>
      </c>
      <c r="L7473" s="30" t="s">
        <v>461</v>
      </c>
      <c r="N7473" s="30" t="s">
        <v>489</v>
      </c>
      <c r="P7473" s="30" t="s">
        <v>14370</v>
      </c>
      <c r="Q7473" t="s">
        <v>621</v>
      </c>
      <c r="R7473" t="s">
        <v>920</v>
      </c>
      <c r="S7473">
        <v>39</v>
      </c>
      <c r="T7473" s="29" t="str">
        <f t="shared" si="322"/>
        <v>2023.030P.Closteroviridae_rename_sp.zip</v>
      </c>
      <c r="U7473" s="29" t="str">
        <f>HYPERLINK("https://ictv.global/taxonomy/taxondetails?taxnode_id=202302998","ictv.global=202302998")</f>
        <v>ictv.global=202302998</v>
      </c>
    </row>
    <row r="7474" spans="1:21">
      <c r="A7474">
        <v>7473</v>
      </c>
      <c r="B7474" s="30" t="s">
        <v>1226</v>
      </c>
      <c r="D7474" s="30" t="s">
        <v>2024</v>
      </c>
      <c r="F7474" s="30" t="s">
        <v>2032</v>
      </c>
      <c r="H7474" s="30" t="s">
        <v>2033</v>
      </c>
      <c r="J7474" s="30" t="s">
        <v>2035</v>
      </c>
      <c r="L7474" s="30" t="s">
        <v>461</v>
      </c>
      <c r="N7474" s="30" t="s">
        <v>489</v>
      </c>
      <c r="P7474" s="30" t="s">
        <v>14371</v>
      </c>
      <c r="Q7474" t="s">
        <v>621</v>
      </c>
      <c r="R7474" t="s">
        <v>920</v>
      </c>
      <c r="S7474">
        <v>39</v>
      </c>
      <c r="T7474" s="29" t="str">
        <f t="shared" si="322"/>
        <v>2023.030P.Closteroviridae_rename_sp.zip</v>
      </c>
      <c r="U7474" s="29" t="str">
        <f>HYPERLINK("https://ictv.global/taxonomy/taxondetails?taxnode_id=202302991","ictv.global=202302991")</f>
        <v>ictv.global=202302991</v>
      </c>
    </row>
    <row r="7475" spans="1:21">
      <c r="A7475">
        <v>7474</v>
      </c>
      <c r="B7475" s="30" t="s">
        <v>1226</v>
      </c>
      <c r="D7475" s="30" t="s">
        <v>2024</v>
      </c>
      <c r="F7475" s="30" t="s">
        <v>2032</v>
      </c>
      <c r="H7475" s="30" t="s">
        <v>2033</v>
      </c>
      <c r="J7475" s="30" t="s">
        <v>2035</v>
      </c>
      <c r="L7475" s="30" t="s">
        <v>461</v>
      </c>
      <c r="N7475" s="30" t="s">
        <v>489</v>
      </c>
      <c r="P7475" s="30" t="s">
        <v>14372</v>
      </c>
      <c r="Q7475" t="s">
        <v>621</v>
      </c>
      <c r="R7475" t="s">
        <v>920</v>
      </c>
      <c r="S7475">
        <v>39</v>
      </c>
      <c r="T7475" s="29" t="str">
        <f t="shared" si="322"/>
        <v>2023.030P.Closteroviridae_rename_sp.zip</v>
      </c>
      <c r="U7475" s="29" t="str">
        <f>HYPERLINK("https://ictv.global/taxonomy/taxondetails?taxnode_id=202302994","ictv.global=202302994")</f>
        <v>ictv.global=202302994</v>
      </c>
    </row>
    <row r="7476" spans="1:21">
      <c r="A7476">
        <v>7475</v>
      </c>
      <c r="B7476" s="30" t="s">
        <v>1226</v>
      </c>
      <c r="D7476" s="30" t="s">
        <v>2024</v>
      </c>
      <c r="F7476" s="30" t="s">
        <v>2032</v>
      </c>
      <c r="H7476" s="30" t="s">
        <v>2033</v>
      </c>
      <c r="J7476" s="30" t="s">
        <v>2035</v>
      </c>
      <c r="L7476" s="30" t="s">
        <v>461</v>
      </c>
      <c r="N7476" s="30" t="s">
        <v>489</v>
      </c>
      <c r="P7476" s="30" t="s">
        <v>14373</v>
      </c>
      <c r="Q7476" t="s">
        <v>621</v>
      </c>
      <c r="R7476" t="s">
        <v>920</v>
      </c>
      <c r="S7476">
        <v>39</v>
      </c>
      <c r="T7476" s="29" t="str">
        <f t="shared" si="322"/>
        <v>2023.030P.Closteroviridae_rename_sp.zip</v>
      </c>
      <c r="U7476" s="29" t="str">
        <f>HYPERLINK("https://ictv.global/taxonomy/taxondetails?taxnode_id=202307263","ictv.global=202307263")</f>
        <v>ictv.global=202307263</v>
      </c>
    </row>
    <row r="7477" spans="1:21">
      <c r="A7477">
        <v>7476</v>
      </c>
      <c r="B7477" s="30" t="s">
        <v>1226</v>
      </c>
      <c r="D7477" s="30" t="s">
        <v>2024</v>
      </c>
      <c r="F7477" s="30" t="s">
        <v>2032</v>
      </c>
      <c r="H7477" s="30" t="s">
        <v>2033</v>
      </c>
      <c r="J7477" s="30" t="s">
        <v>2035</v>
      </c>
      <c r="L7477" s="30" t="s">
        <v>461</v>
      </c>
      <c r="N7477" s="30" t="s">
        <v>489</v>
      </c>
      <c r="P7477" s="30" t="s">
        <v>14374</v>
      </c>
      <c r="Q7477" t="s">
        <v>621</v>
      </c>
      <c r="R7477" t="s">
        <v>920</v>
      </c>
      <c r="S7477">
        <v>39</v>
      </c>
      <c r="T7477" s="29" t="str">
        <f t="shared" si="322"/>
        <v>2023.030P.Closteroviridae_rename_sp.zip</v>
      </c>
      <c r="U7477" s="29" t="str">
        <f>HYPERLINK("https://ictv.global/taxonomy/taxondetails?taxnode_id=202303000","ictv.global=202303000")</f>
        <v>ictv.global=202303000</v>
      </c>
    </row>
    <row r="7478" spans="1:21">
      <c r="A7478">
        <v>7477</v>
      </c>
      <c r="B7478" s="30" t="s">
        <v>1226</v>
      </c>
      <c r="D7478" s="30" t="s">
        <v>2024</v>
      </c>
      <c r="F7478" s="30" t="s">
        <v>2032</v>
      </c>
      <c r="H7478" s="30" t="s">
        <v>2033</v>
      </c>
      <c r="J7478" s="30" t="s">
        <v>2035</v>
      </c>
      <c r="L7478" s="30" t="s">
        <v>461</v>
      </c>
      <c r="N7478" s="30" t="s">
        <v>489</v>
      </c>
      <c r="P7478" s="30" t="s">
        <v>14375</v>
      </c>
      <c r="Q7478" t="s">
        <v>621</v>
      </c>
      <c r="R7478" t="s">
        <v>920</v>
      </c>
      <c r="S7478">
        <v>39</v>
      </c>
      <c r="T7478" s="29" t="str">
        <f t="shared" si="322"/>
        <v>2023.030P.Closteroviridae_rename_sp.zip</v>
      </c>
      <c r="U7478" s="29" t="str">
        <f>HYPERLINK("https://ictv.global/taxonomy/taxondetails?taxnode_id=202303002","ictv.global=202303002")</f>
        <v>ictv.global=202303002</v>
      </c>
    </row>
    <row r="7479" spans="1:21">
      <c r="A7479">
        <v>7478</v>
      </c>
      <c r="B7479" s="30" t="s">
        <v>1226</v>
      </c>
      <c r="D7479" s="30" t="s">
        <v>2024</v>
      </c>
      <c r="F7479" s="30" t="s">
        <v>2032</v>
      </c>
      <c r="H7479" s="30" t="s">
        <v>2033</v>
      </c>
      <c r="J7479" s="30" t="s">
        <v>2035</v>
      </c>
      <c r="L7479" s="30" t="s">
        <v>461</v>
      </c>
      <c r="N7479" s="30" t="s">
        <v>489</v>
      </c>
      <c r="P7479" s="30" t="s">
        <v>14376</v>
      </c>
      <c r="Q7479" t="s">
        <v>621</v>
      </c>
      <c r="R7479" t="s">
        <v>920</v>
      </c>
      <c r="S7479">
        <v>39</v>
      </c>
      <c r="T7479" s="29" t="str">
        <f t="shared" si="322"/>
        <v>2023.030P.Closteroviridae_rename_sp.zip</v>
      </c>
      <c r="U7479" s="29" t="str">
        <f>HYPERLINK("https://ictv.global/taxonomy/taxondetails?taxnode_id=202302996","ictv.global=202302996")</f>
        <v>ictv.global=202302996</v>
      </c>
    </row>
    <row r="7480" spans="1:21">
      <c r="A7480">
        <v>7479</v>
      </c>
      <c r="B7480" s="30" t="s">
        <v>1226</v>
      </c>
      <c r="D7480" s="30" t="s">
        <v>2024</v>
      </c>
      <c r="F7480" s="30" t="s">
        <v>2032</v>
      </c>
      <c r="H7480" s="30" t="s">
        <v>2033</v>
      </c>
      <c r="J7480" s="30" t="s">
        <v>2035</v>
      </c>
      <c r="L7480" s="30" t="s">
        <v>461</v>
      </c>
      <c r="N7480" s="30" t="s">
        <v>489</v>
      </c>
      <c r="P7480" s="30" t="s">
        <v>14377</v>
      </c>
      <c r="Q7480" t="s">
        <v>621</v>
      </c>
      <c r="R7480" t="s">
        <v>920</v>
      </c>
      <c r="S7480">
        <v>39</v>
      </c>
      <c r="T7480" s="29" t="str">
        <f t="shared" si="322"/>
        <v>2023.030P.Closteroviridae_rename_sp.zip</v>
      </c>
      <c r="U7480" s="29" t="str">
        <f>HYPERLINK("https://ictv.global/taxonomy/taxondetails?taxnode_id=202307264","ictv.global=202307264")</f>
        <v>ictv.global=202307264</v>
      </c>
    </row>
    <row r="7481" spans="1:21">
      <c r="A7481">
        <v>7480</v>
      </c>
      <c r="B7481" s="30" t="s">
        <v>1226</v>
      </c>
      <c r="D7481" s="30" t="s">
        <v>2024</v>
      </c>
      <c r="F7481" s="30" t="s">
        <v>2032</v>
      </c>
      <c r="H7481" s="30" t="s">
        <v>2033</v>
      </c>
      <c r="J7481" s="30" t="s">
        <v>2035</v>
      </c>
      <c r="L7481" s="30" t="s">
        <v>461</v>
      </c>
      <c r="N7481" s="30" t="s">
        <v>489</v>
      </c>
      <c r="P7481" s="30" t="s">
        <v>14378</v>
      </c>
      <c r="Q7481" t="s">
        <v>621</v>
      </c>
      <c r="R7481" t="s">
        <v>920</v>
      </c>
      <c r="S7481">
        <v>39</v>
      </c>
      <c r="T7481" s="29" t="str">
        <f t="shared" si="322"/>
        <v>2023.030P.Closteroviridae_rename_sp.zip</v>
      </c>
      <c r="U7481" s="29" t="str">
        <f>HYPERLINK("https://ictv.global/taxonomy/taxondetails?taxnode_id=202302997","ictv.global=202302997")</f>
        <v>ictv.global=202302997</v>
      </c>
    </row>
    <row r="7482" spans="1:21">
      <c r="A7482">
        <v>7481</v>
      </c>
      <c r="B7482" s="30" t="s">
        <v>1226</v>
      </c>
      <c r="D7482" s="30" t="s">
        <v>2024</v>
      </c>
      <c r="F7482" s="30" t="s">
        <v>2032</v>
      </c>
      <c r="H7482" s="30" t="s">
        <v>2033</v>
      </c>
      <c r="J7482" s="30" t="s">
        <v>2035</v>
      </c>
      <c r="L7482" s="30" t="s">
        <v>461</v>
      </c>
      <c r="N7482" s="30" t="s">
        <v>490</v>
      </c>
      <c r="P7482" s="30" t="s">
        <v>14379</v>
      </c>
      <c r="Q7482" t="s">
        <v>621</v>
      </c>
      <c r="R7482" t="s">
        <v>920</v>
      </c>
      <c r="S7482">
        <v>39</v>
      </c>
      <c r="T7482" s="29" t="str">
        <f t="shared" si="322"/>
        <v>2023.030P.Closteroviridae_rename_sp.zip</v>
      </c>
      <c r="U7482" s="29" t="str">
        <f>HYPERLINK("https://ictv.global/taxonomy/taxondetails?taxnode_id=202303005","ictv.global=202303005")</f>
        <v>ictv.global=202303005</v>
      </c>
    </row>
    <row r="7483" spans="1:21">
      <c r="A7483">
        <v>7482</v>
      </c>
      <c r="B7483" s="30" t="s">
        <v>1226</v>
      </c>
      <c r="D7483" s="30" t="s">
        <v>2024</v>
      </c>
      <c r="F7483" s="30" t="s">
        <v>2032</v>
      </c>
      <c r="H7483" s="30" t="s">
        <v>2033</v>
      </c>
      <c r="J7483" s="30" t="s">
        <v>2035</v>
      </c>
      <c r="L7483" s="30" t="s">
        <v>461</v>
      </c>
      <c r="N7483" s="30" t="s">
        <v>490</v>
      </c>
      <c r="P7483" s="30" t="s">
        <v>14380</v>
      </c>
      <c r="Q7483" t="s">
        <v>621</v>
      </c>
      <c r="R7483" t="s">
        <v>920</v>
      </c>
      <c r="S7483">
        <v>39</v>
      </c>
      <c r="T7483" s="29" t="str">
        <f t="shared" ref="T7483:T7507" si="323">HYPERLINK("https://ictv.global/ictv/proposals/2023.030P.Closteroviridae_rename_sp.zip","2023.030P.Closteroviridae_rename_sp.zip")</f>
        <v>2023.030P.Closteroviridae_rename_sp.zip</v>
      </c>
      <c r="U7483" s="29" t="str">
        <f>HYPERLINK("https://ictv.global/taxonomy/taxondetails?taxnode_id=202303016","ictv.global=202303016")</f>
        <v>ictv.global=202303016</v>
      </c>
    </row>
    <row r="7484" spans="1:21">
      <c r="A7484">
        <v>7483</v>
      </c>
      <c r="B7484" s="30" t="s">
        <v>1226</v>
      </c>
      <c r="D7484" s="30" t="s">
        <v>2024</v>
      </c>
      <c r="F7484" s="30" t="s">
        <v>2032</v>
      </c>
      <c r="H7484" s="30" t="s">
        <v>2033</v>
      </c>
      <c r="J7484" s="30" t="s">
        <v>2035</v>
      </c>
      <c r="L7484" s="30" t="s">
        <v>461</v>
      </c>
      <c r="N7484" s="30" t="s">
        <v>490</v>
      </c>
      <c r="P7484" s="30" t="s">
        <v>14381</v>
      </c>
      <c r="Q7484" t="s">
        <v>621</v>
      </c>
      <c r="R7484" t="s">
        <v>920</v>
      </c>
      <c r="S7484">
        <v>39</v>
      </c>
      <c r="T7484" s="29" t="str">
        <f t="shared" si="323"/>
        <v>2023.030P.Closteroviridae_rename_sp.zip</v>
      </c>
      <c r="U7484" s="29" t="str">
        <f>HYPERLINK("https://ictv.global/taxonomy/taxondetails?taxnode_id=202303018","ictv.global=202303018")</f>
        <v>ictv.global=202303018</v>
      </c>
    </row>
    <row r="7485" spans="1:21">
      <c r="A7485">
        <v>7484</v>
      </c>
      <c r="B7485" s="30" t="s">
        <v>1226</v>
      </c>
      <c r="D7485" s="30" t="s">
        <v>2024</v>
      </c>
      <c r="F7485" s="30" t="s">
        <v>2032</v>
      </c>
      <c r="H7485" s="30" t="s">
        <v>2033</v>
      </c>
      <c r="J7485" s="30" t="s">
        <v>2035</v>
      </c>
      <c r="L7485" s="30" t="s">
        <v>461</v>
      </c>
      <c r="N7485" s="30" t="s">
        <v>490</v>
      </c>
      <c r="P7485" s="30" t="s">
        <v>14382</v>
      </c>
      <c r="Q7485" t="s">
        <v>621</v>
      </c>
      <c r="R7485" t="s">
        <v>920</v>
      </c>
      <c r="S7485">
        <v>39</v>
      </c>
      <c r="T7485" s="29" t="str">
        <f t="shared" si="323"/>
        <v>2023.030P.Closteroviridae_rename_sp.zip</v>
      </c>
      <c r="U7485" s="29" t="str">
        <f>HYPERLINK("https://ictv.global/taxonomy/taxondetails?taxnode_id=202303009","ictv.global=202303009")</f>
        <v>ictv.global=202303009</v>
      </c>
    </row>
    <row r="7486" spans="1:21">
      <c r="A7486">
        <v>7485</v>
      </c>
      <c r="B7486" s="30" t="s">
        <v>1226</v>
      </c>
      <c r="D7486" s="30" t="s">
        <v>2024</v>
      </c>
      <c r="F7486" s="30" t="s">
        <v>2032</v>
      </c>
      <c r="H7486" s="30" t="s">
        <v>2033</v>
      </c>
      <c r="J7486" s="30" t="s">
        <v>2035</v>
      </c>
      <c r="L7486" s="30" t="s">
        <v>461</v>
      </c>
      <c r="N7486" s="30" t="s">
        <v>490</v>
      </c>
      <c r="P7486" s="30" t="s">
        <v>14383</v>
      </c>
      <c r="Q7486" t="s">
        <v>621</v>
      </c>
      <c r="R7486" t="s">
        <v>920</v>
      </c>
      <c r="S7486">
        <v>39</v>
      </c>
      <c r="T7486" s="29" t="str">
        <f t="shared" si="323"/>
        <v>2023.030P.Closteroviridae_rename_sp.zip</v>
      </c>
      <c r="U7486" s="29" t="str">
        <f>HYPERLINK("https://ictv.global/taxonomy/taxondetails?taxnode_id=202303010","ictv.global=202303010")</f>
        <v>ictv.global=202303010</v>
      </c>
    </row>
    <row r="7487" spans="1:21">
      <c r="A7487">
        <v>7486</v>
      </c>
      <c r="B7487" s="30" t="s">
        <v>1226</v>
      </c>
      <c r="D7487" s="30" t="s">
        <v>2024</v>
      </c>
      <c r="F7487" s="30" t="s">
        <v>2032</v>
      </c>
      <c r="H7487" s="30" t="s">
        <v>2033</v>
      </c>
      <c r="J7487" s="30" t="s">
        <v>2035</v>
      </c>
      <c r="L7487" s="30" t="s">
        <v>461</v>
      </c>
      <c r="N7487" s="30" t="s">
        <v>490</v>
      </c>
      <c r="P7487" s="30" t="s">
        <v>14384</v>
      </c>
      <c r="Q7487" t="s">
        <v>621</v>
      </c>
      <c r="R7487" t="s">
        <v>920</v>
      </c>
      <c r="S7487">
        <v>39</v>
      </c>
      <c r="T7487" s="29" t="str">
        <f t="shared" si="323"/>
        <v>2023.030P.Closteroviridae_rename_sp.zip</v>
      </c>
      <c r="U7487" s="29" t="str">
        <f>HYPERLINK("https://ictv.global/taxonomy/taxondetails?taxnode_id=202303006","ictv.global=202303006")</f>
        <v>ictv.global=202303006</v>
      </c>
    </row>
    <row r="7488" spans="1:21">
      <c r="A7488">
        <v>7487</v>
      </c>
      <c r="B7488" s="30" t="s">
        <v>1226</v>
      </c>
      <c r="D7488" s="30" t="s">
        <v>2024</v>
      </c>
      <c r="F7488" s="30" t="s">
        <v>2032</v>
      </c>
      <c r="H7488" s="30" t="s">
        <v>2033</v>
      </c>
      <c r="J7488" s="30" t="s">
        <v>2035</v>
      </c>
      <c r="L7488" s="30" t="s">
        <v>461</v>
      </c>
      <c r="N7488" s="30" t="s">
        <v>490</v>
      </c>
      <c r="P7488" s="30" t="s">
        <v>14385</v>
      </c>
      <c r="Q7488" t="s">
        <v>621</v>
      </c>
      <c r="R7488" t="s">
        <v>920</v>
      </c>
      <c r="S7488">
        <v>39</v>
      </c>
      <c r="T7488" s="29" t="str">
        <f t="shared" si="323"/>
        <v>2023.030P.Closteroviridae_rename_sp.zip</v>
      </c>
      <c r="U7488" s="29" t="str">
        <f>HYPERLINK("https://ictv.global/taxonomy/taxondetails?taxnode_id=202303013","ictv.global=202303013")</f>
        <v>ictv.global=202303013</v>
      </c>
    </row>
    <row r="7489" spans="1:21">
      <c r="A7489">
        <v>7488</v>
      </c>
      <c r="B7489" s="30" t="s">
        <v>1226</v>
      </c>
      <c r="D7489" s="30" t="s">
        <v>2024</v>
      </c>
      <c r="F7489" s="30" t="s">
        <v>2032</v>
      </c>
      <c r="H7489" s="30" t="s">
        <v>2033</v>
      </c>
      <c r="J7489" s="30" t="s">
        <v>2035</v>
      </c>
      <c r="L7489" s="30" t="s">
        <v>461</v>
      </c>
      <c r="N7489" s="30" t="s">
        <v>490</v>
      </c>
      <c r="P7489" s="30" t="s">
        <v>14386</v>
      </c>
      <c r="Q7489" t="s">
        <v>621</v>
      </c>
      <c r="R7489" t="s">
        <v>920</v>
      </c>
      <c r="S7489">
        <v>39</v>
      </c>
      <c r="T7489" s="29" t="str">
        <f t="shared" si="323"/>
        <v>2023.030P.Closteroviridae_rename_sp.zip</v>
      </c>
      <c r="U7489" s="29" t="str">
        <f>HYPERLINK("https://ictv.global/taxonomy/taxondetails?taxnode_id=202303015","ictv.global=202303015")</f>
        <v>ictv.global=202303015</v>
      </c>
    </row>
    <row r="7490" spans="1:21">
      <c r="A7490">
        <v>7489</v>
      </c>
      <c r="B7490" s="30" t="s">
        <v>1226</v>
      </c>
      <c r="D7490" s="30" t="s">
        <v>2024</v>
      </c>
      <c r="F7490" s="30" t="s">
        <v>2032</v>
      </c>
      <c r="H7490" s="30" t="s">
        <v>2033</v>
      </c>
      <c r="J7490" s="30" t="s">
        <v>2035</v>
      </c>
      <c r="L7490" s="30" t="s">
        <v>461</v>
      </c>
      <c r="N7490" s="30" t="s">
        <v>490</v>
      </c>
      <c r="P7490" s="30" t="s">
        <v>14387</v>
      </c>
      <c r="Q7490" t="s">
        <v>621</v>
      </c>
      <c r="R7490" t="s">
        <v>920</v>
      </c>
      <c r="S7490">
        <v>39</v>
      </c>
      <c r="T7490" s="29" t="str">
        <f t="shared" si="323"/>
        <v>2023.030P.Closteroviridae_rename_sp.zip</v>
      </c>
      <c r="U7490" s="29" t="str">
        <f>HYPERLINK("https://ictv.global/taxonomy/taxondetails?taxnode_id=202303011","ictv.global=202303011")</f>
        <v>ictv.global=202303011</v>
      </c>
    </row>
    <row r="7491" spans="1:21">
      <c r="A7491">
        <v>7490</v>
      </c>
      <c r="B7491" s="30" t="s">
        <v>1226</v>
      </c>
      <c r="D7491" s="30" t="s">
        <v>2024</v>
      </c>
      <c r="F7491" s="30" t="s">
        <v>2032</v>
      </c>
      <c r="H7491" s="30" t="s">
        <v>2033</v>
      </c>
      <c r="J7491" s="30" t="s">
        <v>2035</v>
      </c>
      <c r="L7491" s="30" t="s">
        <v>461</v>
      </c>
      <c r="N7491" s="30" t="s">
        <v>490</v>
      </c>
      <c r="P7491" s="30" t="s">
        <v>14388</v>
      </c>
      <c r="Q7491" t="s">
        <v>621</v>
      </c>
      <c r="R7491" t="s">
        <v>920</v>
      </c>
      <c r="S7491">
        <v>39</v>
      </c>
      <c r="T7491" s="29" t="str">
        <f t="shared" si="323"/>
        <v>2023.030P.Closteroviridae_rename_sp.zip</v>
      </c>
      <c r="U7491" s="29" t="str">
        <f>HYPERLINK("https://ictv.global/taxonomy/taxondetails?taxnode_id=202303012","ictv.global=202303012")</f>
        <v>ictv.global=202303012</v>
      </c>
    </row>
    <row r="7492" spans="1:21">
      <c r="A7492">
        <v>7491</v>
      </c>
      <c r="B7492" s="30" t="s">
        <v>1226</v>
      </c>
      <c r="D7492" s="30" t="s">
        <v>2024</v>
      </c>
      <c r="F7492" s="30" t="s">
        <v>2032</v>
      </c>
      <c r="H7492" s="30" t="s">
        <v>2033</v>
      </c>
      <c r="J7492" s="30" t="s">
        <v>2035</v>
      </c>
      <c r="L7492" s="30" t="s">
        <v>461</v>
      </c>
      <c r="N7492" s="30" t="s">
        <v>490</v>
      </c>
      <c r="P7492" s="30" t="s">
        <v>14389</v>
      </c>
      <c r="Q7492" t="s">
        <v>621</v>
      </c>
      <c r="R7492" t="s">
        <v>920</v>
      </c>
      <c r="S7492">
        <v>39</v>
      </c>
      <c r="T7492" s="29" t="str">
        <f t="shared" si="323"/>
        <v>2023.030P.Closteroviridae_rename_sp.zip</v>
      </c>
      <c r="U7492" s="29" t="str">
        <f>HYPERLINK("https://ictv.global/taxonomy/taxondetails?taxnode_id=202303014","ictv.global=202303014")</f>
        <v>ictv.global=202303014</v>
      </c>
    </row>
    <row r="7493" spans="1:21">
      <c r="A7493">
        <v>7492</v>
      </c>
      <c r="B7493" s="30" t="s">
        <v>1226</v>
      </c>
      <c r="D7493" s="30" t="s">
        <v>2024</v>
      </c>
      <c r="F7493" s="30" t="s">
        <v>2032</v>
      </c>
      <c r="H7493" s="30" t="s">
        <v>2033</v>
      </c>
      <c r="J7493" s="30" t="s">
        <v>2035</v>
      </c>
      <c r="L7493" s="30" t="s">
        <v>461</v>
      </c>
      <c r="N7493" s="30" t="s">
        <v>490</v>
      </c>
      <c r="P7493" s="30" t="s">
        <v>14390</v>
      </c>
      <c r="Q7493" t="s">
        <v>621</v>
      </c>
      <c r="R7493" t="s">
        <v>920</v>
      </c>
      <c r="S7493">
        <v>39</v>
      </c>
      <c r="T7493" s="29" t="str">
        <f t="shared" si="323"/>
        <v>2023.030P.Closteroviridae_rename_sp.zip</v>
      </c>
      <c r="U7493" s="29" t="str">
        <f>HYPERLINK("https://ictv.global/taxonomy/taxondetails?taxnode_id=202303007","ictv.global=202303007")</f>
        <v>ictv.global=202303007</v>
      </c>
    </row>
    <row r="7494" spans="1:21">
      <c r="A7494">
        <v>7493</v>
      </c>
      <c r="B7494" s="30" t="s">
        <v>1226</v>
      </c>
      <c r="D7494" s="30" t="s">
        <v>2024</v>
      </c>
      <c r="F7494" s="30" t="s">
        <v>2032</v>
      </c>
      <c r="H7494" s="30" t="s">
        <v>2033</v>
      </c>
      <c r="J7494" s="30" t="s">
        <v>2035</v>
      </c>
      <c r="L7494" s="30" t="s">
        <v>461</v>
      </c>
      <c r="N7494" s="30" t="s">
        <v>490</v>
      </c>
      <c r="P7494" s="30" t="s">
        <v>14391</v>
      </c>
      <c r="Q7494" t="s">
        <v>621</v>
      </c>
      <c r="R7494" t="s">
        <v>920</v>
      </c>
      <c r="S7494">
        <v>39</v>
      </c>
      <c r="T7494" s="29" t="str">
        <f t="shared" si="323"/>
        <v>2023.030P.Closteroviridae_rename_sp.zip</v>
      </c>
      <c r="U7494" s="29" t="str">
        <f>HYPERLINK("https://ictv.global/taxonomy/taxondetails?taxnode_id=202303008","ictv.global=202303008")</f>
        <v>ictv.global=202303008</v>
      </c>
    </row>
    <row r="7495" spans="1:21">
      <c r="A7495">
        <v>7494</v>
      </c>
      <c r="B7495" s="30" t="s">
        <v>1226</v>
      </c>
      <c r="D7495" s="30" t="s">
        <v>2024</v>
      </c>
      <c r="F7495" s="30" t="s">
        <v>2032</v>
      </c>
      <c r="H7495" s="30" t="s">
        <v>2033</v>
      </c>
      <c r="J7495" s="30" t="s">
        <v>2035</v>
      </c>
      <c r="L7495" s="30" t="s">
        <v>461</v>
      </c>
      <c r="N7495" s="30" t="s">
        <v>490</v>
      </c>
      <c r="P7495" s="30" t="s">
        <v>14392</v>
      </c>
      <c r="Q7495" t="s">
        <v>621</v>
      </c>
      <c r="R7495" t="s">
        <v>920</v>
      </c>
      <c r="S7495">
        <v>39</v>
      </c>
      <c r="T7495" s="29" t="str">
        <f t="shared" si="323"/>
        <v>2023.030P.Closteroviridae_rename_sp.zip</v>
      </c>
      <c r="U7495" s="29" t="str">
        <f>HYPERLINK("https://ictv.global/taxonomy/taxondetails?taxnode_id=202303017","ictv.global=202303017")</f>
        <v>ictv.global=202303017</v>
      </c>
    </row>
    <row r="7496" spans="1:21">
      <c r="A7496">
        <v>7495</v>
      </c>
      <c r="B7496" s="30" t="s">
        <v>1226</v>
      </c>
      <c r="D7496" s="30" t="s">
        <v>2024</v>
      </c>
      <c r="F7496" s="30" t="s">
        <v>2032</v>
      </c>
      <c r="H7496" s="30" t="s">
        <v>2033</v>
      </c>
      <c r="J7496" s="30" t="s">
        <v>2035</v>
      </c>
      <c r="L7496" s="30" t="s">
        <v>461</v>
      </c>
      <c r="N7496" s="30" t="s">
        <v>9181</v>
      </c>
      <c r="P7496" s="30" t="s">
        <v>14393</v>
      </c>
      <c r="Q7496" t="s">
        <v>621</v>
      </c>
      <c r="R7496" t="s">
        <v>920</v>
      </c>
      <c r="S7496">
        <v>39</v>
      </c>
      <c r="T7496" s="29" t="str">
        <f t="shared" si="323"/>
        <v>2023.030P.Closteroviridae_rename_sp.zip</v>
      </c>
      <c r="U7496" s="29" t="str">
        <f>HYPERLINK("https://ictv.global/taxonomy/taxondetails?taxnode_id=202303023","ictv.global=202303023")</f>
        <v>ictv.global=202303023</v>
      </c>
    </row>
    <row r="7497" spans="1:21">
      <c r="A7497">
        <v>7496</v>
      </c>
      <c r="B7497" s="30" t="s">
        <v>1226</v>
      </c>
      <c r="D7497" s="30" t="s">
        <v>2024</v>
      </c>
      <c r="F7497" s="30" t="s">
        <v>2032</v>
      </c>
      <c r="H7497" s="30" t="s">
        <v>2033</v>
      </c>
      <c r="J7497" s="30" t="s">
        <v>2035</v>
      </c>
      <c r="L7497" s="30" t="s">
        <v>461</v>
      </c>
      <c r="N7497" s="30" t="s">
        <v>9182</v>
      </c>
      <c r="P7497" s="30" t="s">
        <v>14394</v>
      </c>
      <c r="Q7497" t="s">
        <v>621</v>
      </c>
      <c r="R7497" t="s">
        <v>920</v>
      </c>
      <c r="S7497">
        <v>39</v>
      </c>
      <c r="T7497" s="29" t="str">
        <f t="shared" si="323"/>
        <v>2023.030P.Closteroviridae_rename_sp.zip</v>
      </c>
      <c r="U7497" s="29" t="str">
        <f>HYPERLINK("https://ictv.global/taxonomy/taxondetails?taxnode_id=202306657","ictv.global=202306657")</f>
        <v>ictv.global=202306657</v>
      </c>
    </row>
    <row r="7498" spans="1:21">
      <c r="A7498">
        <v>7497</v>
      </c>
      <c r="B7498" s="30" t="s">
        <v>1226</v>
      </c>
      <c r="D7498" s="30" t="s">
        <v>2024</v>
      </c>
      <c r="F7498" s="30" t="s">
        <v>2032</v>
      </c>
      <c r="H7498" s="30" t="s">
        <v>2033</v>
      </c>
      <c r="J7498" s="30" t="s">
        <v>2035</v>
      </c>
      <c r="L7498" s="30" t="s">
        <v>461</v>
      </c>
      <c r="N7498" s="30" t="s">
        <v>9182</v>
      </c>
      <c r="P7498" s="30" t="s">
        <v>14395</v>
      </c>
      <c r="Q7498" t="s">
        <v>621</v>
      </c>
      <c r="R7498" t="s">
        <v>920</v>
      </c>
      <c r="S7498">
        <v>39</v>
      </c>
      <c r="T7498" s="29" t="str">
        <f t="shared" si="323"/>
        <v>2023.030P.Closteroviridae_rename_sp.zip</v>
      </c>
      <c r="U7498" s="29" t="str">
        <f>HYPERLINK("https://ictv.global/taxonomy/taxondetails?taxnode_id=202303025","ictv.global=202303025")</f>
        <v>ictv.global=202303025</v>
      </c>
    </row>
    <row r="7499" spans="1:21">
      <c r="A7499">
        <v>7498</v>
      </c>
      <c r="B7499" s="30" t="s">
        <v>1226</v>
      </c>
      <c r="D7499" s="30" t="s">
        <v>2024</v>
      </c>
      <c r="F7499" s="30" t="s">
        <v>2032</v>
      </c>
      <c r="H7499" s="30" t="s">
        <v>2033</v>
      </c>
      <c r="J7499" s="30" t="s">
        <v>2035</v>
      </c>
      <c r="L7499" s="30" t="s">
        <v>461</v>
      </c>
      <c r="N7499" s="30" t="s">
        <v>9182</v>
      </c>
      <c r="P7499" s="30" t="s">
        <v>14396</v>
      </c>
      <c r="Q7499" t="s">
        <v>621</v>
      </c>
      <c r="R7499" t="s">
        <v>920</v>
      </c>
      <c r="S7499">
        <v>39</v>
      </c>
      <c r="T7499" s="29" t="str">
        <f t="shared" si="323"/>
        <v>2023.030P.Closteroviridae_rename_sp.zip</v>
      </c>
      <c r="U7499" s="29" t="str">
        <f>HYPERLINK("https://ictv.global/taxonomy/taxondetails?taxnode_id=202303024","ictv.global=202303024")</f>
        <v>ictv.global=202303024</v>
      </c>
    </row>
    <row r="7500" spans="1:21">
      <c r="A7500">
        <v>7499</v>
      </c>
      <c r="B7500" s="30" t="s">
        <v>1226</v>
      </c>
      <c r="D7500" s="30" t="s">
        <v>2024</v>
      </c>
      <c r="F7500" s="30" t="s">
        <v>2032</v>
      </c>
      <c r="H7500" s="30" t="s">
        <v>2033</v>
      </c>
      <c r="J7500" s="30" t="s">
        <v>2035</v>
      </c>
      <c r="L7500" s="30" t="s">
        <v>461</v>
      </c>
      <c r="N7500" s="30" t="s">
        <v>550</v>
      </c>
      <c r="P7500" s="30" t="s">
        <v>14397</v>
      </c>
      <c r="Q7500" t="s">
        <v>621</v>
      </c>
      <c r="R7500" t="s">
        <v>920</v>
      </c>
      <c r="S7500">
        <v>39</v>
      </c>
      <c r="T7500" s="29" t="str">
        <f t="shared" si="323"/>
        <v>2023.030P.Closteroviridae_rename_sp.zip</v>
      </c>
      <c r="U7500" s="29" t="str">
        <f>HYPERLINK("https://ictv.global/taxonomy/taxondetails?taxnode_id=202308912","ictv.global=202308912")</f>
        <v>ictv.global=202308912</v>
      </c>
    </row>
    <row r="7501" spans="1:21">
      <c r="A7501">
        <v>7500</v>
      </c>
      <c r="B7501" s="30" t="s">
        <v>1226</v>
      </c>
      <c r="D7501" s="30" t="s">
        <v>2024</v>
      </c>
      <c r="F7501" s="30" t="s">
        <v>2032</v>
      </c>
      <c r="H7501" s="30" t="s">
        <v>2033</v>
      </c>
      <c r="J7501" s="30" t="s">
        <v>2035</v>
      </c>
      <c r="L7501" s="30" t="s">
        <v>461</v>
      </c>
      <c r="N7501" s="30" t="s">
        <v>550</v>
      </c>
      <c r="P7501" s="30" t="s">
        <v>14398</v>
      </c>
      <c r="Q7501" t="s">
        <v>621</v>
      </c>
      <c r="R7501" t="s">
        <v>920</v>
      </c>
      <c r="S7501">
        <v>39</v>
      </c>
      <c r="T7501" s="29" t="str">
        <f t="shared" si="323"/>
        <v>2023.030P.Closteroviridae_rename_sp.zip</v>
      </c>
      <c r="U7501" s="29" t="str">
        <f>HYPERLINK("https://ictv.global/taxonomy/taxondetails?taxnode_id=202303027","ictv.global=202303027")</f>
        <v>ictv.global=202303027</v>
      </c>
    </row>
    <row r="7502" spans="1:21">
      <c r="A7502">
        <v>7501</v>
      </c>
      <c r="B7502" s="30" t="s">
        <v>1226</v>
      </c>
      <c r="D7502" s="30" t="s">
        <v>2024</v>
      </c>
      <c r="F7502" s="30" t="s">
        <v>2032</v>
      </c>
      <c r="H7502" s="30" t="s">
        <v>2033</v>
      </c>
      <c r="J7502" s="30" t="s">
        <v>2035</v>
      </c>
      <c r="L7502" s="30" t="s">
        <v>461</v>
      </c>
      <c r="N7502" s="30" t="s">
        <v>550</v>
      </c>
      <c r="P7502" s="30" t="s">
        <v>14399</v>
      </c>
      <c r="Q7502" t="s">
        <v>621</v>
      </c>
      <c r="R7502" t="s">
        <v>920</v>
      </c>
      <c r="S7502">
        <v>39</v>
      </c>
      <c r="T7502" s="29" t="str">
        <f t="shared" si="323"/>
        <v>2023.030P.Closteroviridae_rename_sp.zip</v>
      </c>
      <c r="U7502" s="29" t="str">
        <f>HYPERLINK("https://ictv.global/taxonomy/taxondetails?taxnode_id=202303029","ictv.global=202303029")</f>
        <v>ictv.global=202303029</v>
      </c>
    </row>
    <row r="7503" spans="1:21">
      <c r="A7503">
        <v>7502</v>
      </c>
      <c r="B7503" s="30" t="s">
        <v>1226</v>
      </c>
      <c r="D7503" s="30" t="s">
        <v>2024</v>
      </c>
      <c r="F7503" s="30" t="s">
        <v>2032</v>
      </c>
      <c r="H7503" s="30" t="s">
        <v>2033</v>
      </c>
      <c r="J7503" s="30" t="s">
        <v>2035</v>
      </c>
      <c r="L7503" s="30" t="s">
        <v>461</v>
      </c>
      <c r="N7503" s="30" t="s">
        <v>550</v>
      </c>
      <c r="P7503" s="30" t="s">
        <v>14400</v>
      </c>
      <c r="Q7503" t="s">
        <v>621</v>
      </c>
      <c r="R7503" t="s">
        <v>920</v>
      </c>
      <c r="S7503">
        <v>39</v>
      </c>
      <c r="T7503" s="29" t="str">
        <f t="shared" si="323"/>
        <v>2023.030P.Closteroviridae_rename_sp.zip</v>
      </c>
      <c r="U7503" s="29" t="str">
        <f>HYPERLINK("https://ictv.global/taxonomy/taxondetails?taxnode_id=202303033","ictv.global=202303033")</f>
        <v>ictv.global=202303033</v>
      </c>
    </row>
    <row r="7504" spans="1:21">
      <c r="A7504">
        <v>7503</v>
      </c>
      <c r="B7504" s="30" t="s">
        <v>1226</v>
      </c>
      <c r="D7504" s="30" t="s">
        <v>2024</v>
      </c>
      <c r="F7504" s="30" t="s">
        <v>2032</v>
      </c>
      <c r="H7504" s="30" t="s">
        <v>2033</v>
      </c>
      <c r="J7504" s="30" t="s">
        <v>2035</v>
      </c>
      <c r="L7504" s="30" t="s">
        <v>461</v>
      </c>
      <c r="N7504" s="30" t="s">
        <v>550</v>
      </c>
      <c r="P7504" s="30" t="s">
        <v>14401</v>
      </c>
      <c r="Q7504" t="s">
        <v>621</v>
      </c>
      <c r="R7504" t="s">
        <v>920</v>
      </c>
      <c r="S7504">
        <v>39</v>
      </c>
      <c r="T7504" s="29" t="str">
        <f t="shared" si="323"/>
        <v>2023.030P.Closteroviridae_rename_sp.zip</v>
      </c>
      <c r="U7504" s="29" t="str">
        <f>HYPERLINK("https://ictv.global/taxonomy/taxondetails?taxnode_id=202303032","ictv.global=202303032")</f>
        <v>ictv.global=202303032</v>
      </c>
    </row>
    <row r="7505" spans="1:21">
      <c r="A7505">
        <v>7504</v>
      </c>
      <c r="B7505" s="30" t="s">
        <v>1226</v>
      </c>
      <c r="D7505" s="30" t="s">
        <v>2024</v>
      </c>
      <c r="F7505" s="30" t="s">
        <v>2032</v>
      </c>
      <c r="H7505" s="30" t="s">
        <v>2033</v>
      </c>
      <c r="J7505" s="30" t="s">
        <v>2035</v>
      </c>
      <c r="L7505" s="30" t="s">
        <v>461</v>
      </c>
      <c r="N7505" s="30" t="s">
        <v>550</v>
      </c>
      <c r="P7505" s="30" t="s">
        <v>14402</v>
      </c>
      <c r="Q7505" t="s">
        <v>621</v>
      </c>
      <c r="R7505" t="s">
        <v>920</v>
      </c>
      <c r="S7505">
        <v>39</v>
      </c>
      <c r="T7505" s="29" t="str">
        <f t="shared" si="323"/>
        <v>2023.030P.Closteroviridae_rename_sp.zip</v>
      </c>
      <c r="U7505" s="29" t="str">
        <f>HYPERLINK("https://ictv.global/taxonomy/taxondetails?taxnode_id=202303031","ictv.global=202303031")</f>
        <v>ictv.global=202303031</v>
      </c>
    </row>
    <row r="7506" spans="1:21">
      <c r="A7506">
        <v>7505</v>
      </c>
      <c r="B7506" s="30" t="s">
        <v>1226</v>
      </c>
      <c r="D7506" s="30" t="s">
        <v>2024</v>
      </c>
      <c r="F7506" s="30" t="s">
        <v>2032</v>
      </c>
      <c r="H7506" s="30" t="s">
        <v>2033</v>
      </c>
      <c r="J7506" s="30" t="s">
        <v>2035</v>
      </c>
      <c r="L7506" s="30" t="s">
        <v>461</v>
      </c>
      <c r="N7506" s="30" t="s">
        <v>550</v>
      </c>
      <c r="P7506" s="30" t="s">
        <v>14403</v>
      </c>
      <c r="Q7506" t="s">
        <v>621</v>
      </c>
      <c r="R7506" t="s">
        <v>920</v>
      </c>
      <c r="S7506">
        <v>39</v>
      </c>
      <c r="T7506" s="29" t="str">
        <f t="shared" si="323"/>
        <v>2023.030P.Closteroviridae_rename_sp.zip</v>
      </c>
      <c r="U7506" s="29" t="str">
        <f>HYPERLINK("https://ictv.global/taxonomy/taxondetails?taxnode_id=202303030","ictv.global=202303030")</f>
        <v>ictv.global=202303030</v>
      </c>
    </row>
    <row r="7507" spans="1:21">
      <c r="A7507">
        <v>7506</v>
      </c>
      <c r="B7507" s="30" t="s">
        <v>1226</v>
      </c>
      <c r="D7507" s="30" t="s">
        <v>2024</v>
      </c>
      <c r="F7507" s="30" t="s">
        <v>2032</v>
      </c>
      <c r="H7507" s="30" t="s">
        <v>2033</v>
      </c>
      <c r="J7507" s="30" t="s">
        <v>2035</v>
      </c>
      <c r="L7507" s="30" t="s">
        <v>461</v>
      </c>
      <c r="N7507" s="30" t="s">
        <v>550</v>
      </c>
      <c r="P7507" s="30" t="s">
        <v>14404</v>
      </c>
      <c r="Q7507" t="s">
        <v>621</v>
      </c>
      <c r="R7507" t="s">
        <v>920</v>
      </c>
      <c r="S7507">
        <v>39</v>
      </c>
      <c r="T7507" s="29" t="str">
        <f t="shared" si="323"/>
        <v>2023.030P.Closteroviridae_rename_sp.zip</v>
      </c>
      <c r="U7507" s="29" t="str">
        <f>HYPERLINK("https://ictv.global/taxonomy/taxondetails?taxnode_id=202303028","ictv.global=202303028")</f>
        <v>ictv.global=202303028</v>
      </c>
    </row>
    <row r="7508" spans="1:21">
      <c r="A7508">
        <v>7507</v>
      </c>
      <c r="B7508" s="30" t="s">
        <v>1226</v>
      </c>
      <c r="D7508" s="30" t="s">
        <v>2024</v>
      </c>
      <c r="F7508" s="30" t="s">
        <v>2032</v>
      </c>
      <c r="H7508" s="30" t="s">
        <v>2033</v>
      </c>
      <c r="J7508" s="30" t="s">
        <v>2035</v>
      </c>
      <c r="L7508" s="30" t="s">
        <v>396</v>
      </c>
      <c r="N7508" s="30" t="s">
        <v>809</v>
      </c>
      <c r="P7508" s="30" t="s">
        <v>14405</v>
      </c>
      <c r="Q7508" t="s">
        <v>621</v>
      </c>
      <c r="R7508" t="s">
        <v>920</v>
      </c>
      <c r="S7508">
        <v>39</v>
      </c>
      <c r="T7508" s="29" t="str">
        <f t="shared" ref="T7508:T7538" si="324">HYPERLINK("https://ictv.global/ictv/proposals/2023.002P.Endornaviridae_rename_sp.zip","2023.002P.Endornaviridae_rename_sp.zip")</f>
        <v>2023.002P.Endornaviridae_rename_sp.zip</v>
      </c>
      <c r="U7508" s="29" t="str">
        <f>HYPERLINK("https://ictv.global/taxonomy/taxondetails?taxnode_id=202307538","ictv.global=202307538")</f>
        <v>ictv.global=202307538</v>
      </c>
    </row>
    <row r="7509" spans="1:21">
      <c r="A7509">
        <v>7508</v>
      </c>
      <c r="B7509" s="30" t="s">
        <v>1226</v>
      </c>
      <c r="D7509" s="30" t="s">
        <v>2024</v>
      </c>
      <c r="F7509" s="30" t="s">
        <v>2032</v>
      </c>
      <c r="H7509" s="30" t="s">
        <v>2033</v>
      </c>
      <c r="J7509" s="30" t="s">
        <v>2035</v>
      </c>
      <c r="L7509" s="30" t="s">
        <v>396</v>
      </c>
      <c r="N7509" s="30" t="s">
        <v>809</v>
      </c>
      <c r="P7509" s="30" t="s">
        <v>14406</v>
      </c>
      <c r="Q7509" t="s">
        <v>621</v>
      </c>
      <c r="R7509" t="s">
        <v>920</v>
      </c>
      <c r="S7509">
        <v>39</v>
      </c>
      <c r="T7509" s="29" t="str">
        <f t="shared" si="324"/>
        <v>2023.002P.Endornaviridae_rename_sp.zip</v>
      </c>
      <c r="U7509" s="29" t="str">
        <f>HYPERLINK("https://ictv.global/taxonomy/taxondetails?taxnode_id=202303045","ictv.global=202303045")</f>
        <v>ictv.global=202303045</v>
      </c>
    </row>
    <row r="7510" spans="1:21">
      <c r="A7510">
        <v>7509</v>
      </c>
      <c r="B7510" s="30" t="s">
        <v>1226</v>
      </c>
      <c r="D7510" s="30" t="s">
        <v>2024</v>
      </c>
      <c r="F7510" s="30" t="s">
        <v>2032</v>
      </c>
      <c r="H7510" s="30" t="s">
        <v>2033</v>
      </c>
      <c r="J7510" s="30" t="s">
        <v>2035</v>
      </c>
      <c r="L7510" s="30" t="s">
        <v>396</v>
      </c>
      <c r="N7510" s="30" t="s">
        <v>809</v>
      </c>
      <c r="P7510" s="30" t="s">
        <v>14407</v>
      </c>
      <c r="Q7510" t="s">
        <v>621</v>
      </c>
      <c r="R7510" t="s">
        <v>920</v>
      </c>
      <c r="S7510">
        <v>39</v>
      </c>
      <c r="T7510" s="29" t="str">
        <f t="shared" si="324"/>
        <v>2023.002P.Endornaviridae_rename_sp.zip</v>
      </c>
      <c r="U7510" s="29" t="str">
        <f>HYPERLINK("https://ictv.global/taxonomy/taxondetails?taxnode_id=202303046","ictv.global=202303046")</f>
        <v>ictv.global=202303046</v>
      </c>
    </row>
    <row r="7511" spans="1:21">
      <c r="A7511">
        <v>7510</v>
      </c>
      <c r="B7511" s="30" t="s">
        <v>1226</v>
      </c>
      <c r="D7511" s="30" t="s">
        <v>2024</v>
      </c>
      <c r="F7511" s="30" t="s">
        <v>2032</v>
      </c>
      <c r="H7511" s="30" t="s">
        <v>2033</v>
      </c>
      <c r="J7511" s="30" t="s">
        <v>2035</v>
      </c>
      <c r="L7511" s="30" t="s">
        <v>396</v>
      </c>
      <c r="N7511" s="30" t="s">
        <v>809</v>
      </c>
      <c r="P7511" s="30" t="s">
        <v>14408</v>
      </c>
      <c r="Q7511" t="s">
        <v>621</v>
      </c>
      <c r="R7511" t="s">
        <v>920</v>
      </c>
      <c r="S7511">
        <v>39</v>
      </c>
      <c r="T7511" s="29" t="str">
        <f t="shared" si="324"/>
        <v>2023.002P.Endornaviridae_rename_sp.zip</v>
      </c>
      <c r="U7511" s="29" t="str">
        <f>HYPERLINK("https://ictv.global/taxonomy/taxondetails?taxnode_id=202303047","ictv.global=202303047")</f>
        <v>ictv.global=202303047</v>
      </c>
    </row>
    <row r="7512" spans="1:21">
      <c r="A7512">
        <v>7511</v>
      </c>
      <c r="B7512" s="30" t="s">
        <v>1226</v>
      </c>
      <c r="D7512" s="30" t="s">
        <v>2024</v>
      </c>
      <c r="F7512" s="30" t="s">
        <v>2032</v>
      </c>
      <c r="H7512" s="30" t="s">
        <v>2033</v>
      </c>
      <c r="J7512" s="30" t="s">
        <v>2035</v>
      </c>
      <c r="L7512" s="30" t="s">
        <v>396</v>
      </c>
      <c r="N7512" s="30" t="s">
        <v>809</v>
      </c>
      <c r="P7512" s="30" t="s">
        <v>14409</v>
      </c>
      <c r="Q7512" t="s">
        <v>621</v>
      </c>
      <c r="R7512" t="s">
        <v>920</v>
      </c>
      <c r="S7512">
        <v>39</v>
      </c>
      <c r="T7512" s="29" t="str">
        <f t="shared" si="324"/>
        <v>2023.002P.Endornaviridae_rename_sp.zip</v>
      </c>
      <c r="U7512" s="29" t="str">
        <f>HYPERLINK("https://ictv.global/taxonomy/taxondetails?taxnode_id=202307539","ictv.global=202307539")</f>
        <v>ictv.global=202307539</v>
      </c>
    </row>
    <row r="7513" spans="1:21">
      <c r="A7513">
        <v>7512</v>
      </c>
      <c r="B7513" s="30" t="s">
        <v>1226</v>
      </c>
      <c r="D7513" s="30" t="s">
        <v>2024</v>
      </c>
      <c r="F7513" s="30" t="s">
        <v>2032</v>
      </c>
      <c r="H7513" s="30" t="s">
        <v>2033</v>
      </c>
      <c r="J7513" s="30" t="s">
        <v>2035</v>
      </c>
      <c r="L7513" s="30" t="s">
        <v>396</v>
      </c>
      <c r="N7513" s="30" t="s">
        <v>809</v>
      </c>
      <c r="P7513" s="30" t="s">
        <v>14410</v>
      </c>
      <c r="Q7513" t="s">
        <v>621</v>
      </c>
      <c r="R7513" t="s">
        <v>920</v>
      </c>
      <c r="S7513">
        <v>39</v>
      </c>
      <c r="T7513" s="29" t="str">
        <f t="shared" si="324"/>
        <v>2023.002P.Endornaviridae_rename_sp.zip</v>
      </c>
      <c r="U7513" s="29" t="str">
        <f>HYPERLINK("https://ictv.global/taxonomy/taxondetails?taxnode_id=202303048","ictv.global=202303048")</f>
        <v>ictv.global=202303048</v>
      </c>
    </row>
    <row r="7514" spans="1:21">
      <c r="A7514">
        <v>7513</v>
      </c>
      <c r="B7514" s="30" t="s">
        <v>1226</v>
      </c>
      <c r="D7514" s="30" t="s">
        <v>2024</v>
      </c>
      <c r="F7514" s="30" t="s">
        <v>2032</v>
      </c>
      <c r="H7514" s="30" t="s">
        <v>2033</v>
      </c>
      <c r="J7514" s="30" t="s">
        <v>2035</v>
      </c>
      <c r="L7514" s="30" t="s">
        <v>396</v>
      </c>
      <c r="N7514" s="30" t="s">
        <v>809</v>
      </c>
      <c r="P7514" s="30" t="s">
        <v>14411</v>
      </c>
      <c r="Q7514" t="s">
        <v>621</v>
      </c>
      <c r="R7514" t="s">
        <v>920</v>
      </c>
      <c r="S7514">
        <v>39</v>
      </c>
      <c r="T7514" s="29" t="str">
        <f t="shared" si="324"/>
        <v>2023.002P.Endornaviridae_rename_sp.zip</v>
      </c>
      <c r="U7514" s="29" t="str">
        <f>HYPERLINK("https://ictv.global/taxonomy/taxondetails?taxnode_id=202303052","ictv.global=202303052")</f>
        <v>ictv.global=202303052</v>
      </c>
    </row>
    <row r="7515" spans="1:21">
      <c r="A7515">
        <v>7514</v>
      </c>
      <c r="B7515" s="30" t="s">
        <v>1226</v>
      </c>
      <c r="D7515" s="30" t="s">
        <v>2024</v>
      </c>
      <c r="F7515" s="30" t="s">
        <v>2032</v>
      </c>
      <c r="H7515" s="30" t="s">
        <v>2033</v>
      </c>
      <c r="J7515" s="30" t="s">
        <v>2035</v>
      </c>
      <c r="L7515" s="30" t="s">
        <v>396</v>
      </c>
      <c r="N7515" s="30" t="s">
        <v>809</v>
      </c>
      <c r="P7515" s="30" t="s">
        <v>14412</v>
      </c>
      <c r="Q7515" t="s">
        <v>621</v>
      </c>
      <c r="R7515" t="s">
        <v>920</v>
      </c>
      <c r="S7515">
        <v>39</v>
      </c>
      <c r="T7515" s="29" t="str">
        <f t="shared" si="324"/>
        <v>2023.002P.Endornaviridae_rename_sp.zip</v>
      </c>
      <c r="U7515" s="29" t="str">
        <f>HYPERLINK("https://ictv.global/taxonomy/taxondetails?taxnode_id=202303058","ictv.global=202303058")</f>
        <v>ictv.global=202303058</v>
      </c>
    </row>
    <row r="7516" spans="1:21">
      <c r="A7516">
        <v>7515</v>
      </c>
      <c r="B7516" s="30" t="s">
        <v>1226</v>
      </c>
      <c r="D7516" s="30" t="s">
        <v>2024</v>
      </c>
      <c r="F7516" s="30" t="s">
        <v>2032</v>
      </c>
      <c r="H7516" s="30" t="s">
        <v>2033</v>
      </c>
      <c r="J7516" s="30" t="s">
        <v>2035</v>
      </c>
      <c r="L7516" s="30" t="s">
        <v>396</v>
      </c>
      <c r="N7516" s="30" t="s">
        <v>809</v>
      </c>
      <c r="P7516" s="30" t="s">
        <v>14413</v>
      </c>
      <c r="Q7516" t="s">
        <v>621</v>
      </c>
      <c r="R7516" t="s">
        <v>920</v>
      </c>
      <c r="S7516">
        <v>39</v>
      </c>
      <c r="T7516" s="29" t="str">
        <f t="shared" si="324"/>
        <v>2023.002P.Endornaviridae_rename_sp.zip</v>
      </c>
      <c r="U7516" s="29" t="str">
        <f>HYPERLINK("https://ictv.global/taxonomy/taxondetails?taxnode_id=202307540","ictv.global=202307540")</f>
        <v>ictv.global=202307540</v>
      </c>
    </row>
    <row r="7517" spans="1:21">
      <c r="A7517">
        <v>7516</v>
      </c>
      <c r="B7517" s="30" t="s">
        <v>1226</v>
      </c>
      <c r="D7517" s="30" t="s">
        <v>2024</v>
      </c>
      <c r="F7517" s="30" t="s">
        <v>2032</v>
      </c>
      <c r="H7517" s="30" t="s">
        <v>2033</v>
      </c>
      <c r="J7517" s="30" t="s">
        <v>2035</v>
      </c>
      <c r="L7517" s="30" t="s">
        <v>396</v>
      </c>
      <c r="N7517" s="30" t="s">
        <v>809</v>
      </c>
      <c r="P7517" s="30" t="s">
        <v>14414</v>
      </c>
      <c r="Q7517" t="s">
        <v>621</v>
      </c>
      <c r="R7517" t="s">
        <v>920</v>
      </c>
      <c r="S7517">
        <v>39</v>
      </c>
      <c r="T7517" s="29" t="str">
        <f t="shared" si="324"/>
        <v>2023.002P.Endornaviridae_rename_sp.zip</v>
      </c>
      <c r="U7517" s="29" t="str">
        <f>HYPERLINK("https://ictv.global/taxonomy/taxondetails?taxnode_id=202303050","ictv.global=202303050")</f>
        <v>ictv.global=202303050</v>
      </c>
    </row>
    <row r="7518" spans="1:21">
      <c r="A7518">
        <v>7517</v>
      </c>
      <c r="B7518" s="30" t="s">
        <v>1226</v>
      </c>
      <c r="D7518" s="30" t="s">
        <v>2024</v>
      </c>
      <c r="F7518" s="30" t="s">
        <v>2032</v>
      </c>
      <c r="H7518" s="30" t="s">
        <v>2033</v>
      </c>
      <c r="J7518" s="30" t="s">
        <v>2035</v>
      </c>
      <c r="L7518" s="30" t="s">
        <v>396</v>
      </c>
      <c r="N7518" s="30" t="s">
        <v>809</v>
      </c>
      <c r="P7518" s="30" t="s">
        <v>14415</v>
      </c>
      <c r="Q7518" t="s">
        <v>621</v>
      </c>
      <c r="R7518" t="s">
        <v>920</v>
      </c>
      <c r="S7518">
        <v>39</v>
      </c>
      <c r="T7518" s="29" t="str">
        <f t="shared" si="324"/>
        <v>2023.002P.Endornaviridae_rename_sp.zip</v>
      </c>
      <c r="U7518" s="29" t="str">
        <f>HYPERLINK("https://ictv.global/taxonomy/taxondetails?taxnode_id=202303051","ictv.global=202303051")</f>
        <v>ictv.global=202303051</v>
      </c>
    </row>
    <row r="7519" spans="1:21">
      <c r="A7519">
        <v>7518</v>
      </c>
      <c r="B7519" s="30" t="s">
        <v>1226</v>
      </c>
      <c r="D7519" s="30" t="s">
        <v>2024</v>
      </c>
      <c r="F7519" s="30" t="s">
        <v>2032</v>
      </c>
      <c r="H7519" s="30" t="s">
        <v>2033</v>
      </c>
      <c r="J7519" s="30" t="s">
        <v>2035</v>
      </c>
      <c r="L7519" s="30" t="s">
        <v>396</v>
      </c>
      <c r="N7519" s="30" t="s">
        <v>809</v>
      </c>
      <c r="P7519" s="30" t="s">
        <v>14416</v>
      </c>
      <c r="Q7519" t="s">
        <v>621</v>
      </c>
      <c r="R7519" t="s">
        <v>920</v>
      </c>
      <c r="S7519">
        <v>39</v>
      </c>
      <c r="T7519" s="29" t="str">
        <f t="shared" si="324"/>
        <v>2023.002P.Endornaviridae_rename_sp.zip</v>
      </c>
      <c r="U7519" s="29" t="str">
        <f>HYPERLINK("https://ictv.global/taxonomy/taxondetails?taxnode_id=202303053","ictv.global=202303053")</f>
        <v>ictv.global=202303053</v>
      </c>
    </row>
    <row r="7520" spans="1:21">
      <c r="A7520">
        <v>7519</v>
      </c>
      <c r="B7520" s="30" t="s">
        <v>1226</v>
      </c>
      <c r="D7520" s="30" t="s">
        <v>2024</v>
      </c>
      <c r="F7520" s="30" t="s">
        <v>2032</v>
      </c>
      <c r="H7520" s="30" t="s">
        <v>2033</v>
      </c>
      <c r="J7520" s="30" t="s">
        <v>2035</v>
      </c>
      <c r="L7520" s="30" t="s">
        <v>396</v>
      </c>
      <c r="N7520" s="30" t="s">
        <v>809</v>
      </c>
      <c r="P7520" s="30" t="s">
        <v>14417</v>
      </c>
      <c r="Q7520" t="s">
        <v>621</v>
      </c>
      <c r="R7520" t="s">
        <v>920</v>
      </c>
      <c r="S7520">
        <v>39</v>
      </c>
      <c r="T7520" s="29" t="str">
        <f t="shared" si="324"/>
        <v>2023.002P.Endornaviridae_rename_sp.zip</v>
      </c>
      <c r="U7520" s="29" t="str">
        <f>HYPERLINK("https://ictv.global/taxonomy/taxondetails?taxnode_id=202307541","ictv.global=202307541")</f>
        <v>ictv.global=202307541</v>
      </c>
    </row>
    <row r="7521" spans="1:21">
      <c r="A7521">
        <v>7520</v>
      </c>
      <c r="B7521" s="30" t="s">
        <v>1226</v>
      </c>
      <c r="D7521" s="30" t="s">
        <v>2024</v>
      </c>
      <c r="F7521" s="30" t="s">
        <v>2032</v>
      </c>
      <c r="H7521" s="30" t="s">
        <v>2033</v>
      </c>
      <c r="J7521" s="30" t="s">
        <v>2035</v>
      </c>
      <c r="L7521" s="30" t="s">
        <v>396</v>
      </c>
      <c r="N7521" s="30" t="s">
        <v>809</v>
      </c>
      <c r="P7521" s="30" t="s">
        <v>14418</v>
      </c>
      <c r="Q7521" t="s">
        <v>621</v>
      </c>
      <c r="R7521" t="s">
        <v>920</v>
      </c>
      <c r="S7521">
        <v>39</v>
      </c>
      <c r="T7521" s="29" t="str">
        <f t="shared" si="324"/>
        <v>2023.002P.Endornaviridae_rename_sp.zip</v>
      </c>
      <c r="U7521" s="29" t="str">
        <f>HYPERLINK("https://ictv.global/taxonomy/taxondetails?taxnode_id=202303055","ictv.global=202303055")</f>
        <v>ictv.global=202303055</v>
      </c>
    </row>
    <row r="7522" spans="1:21">
      <c r="A7522">
        <v>7521</v>
      </c>
      <c r="B7522" s="30" t="s">
        <v>1226</v>
      </c>
      <c r="D7522" s="30" t="s">
        <v>2024</v>
      </c>
      <c r="F7522" s="30" t="s">
        <v>2032</v>
      </c>
      <c r="H7522" s="30" t="s">
        <v>2033</v>
      </c>
      <c r="J7522" s="30" t="s">
        <v>2035</v>
      </c>
      <c r="L7522" s="30" t="s">
        <v>396</v>
      </c>
      <c r="N7522" s="30" t="s">
        <v>809</v>
      </c>
      <c r="P7522" s="30" t="s">
        <v>14419</v>
      </c>
      <c r="Q7522" t="s">
        <v>621</v>
      </c>
      <c r="R7522" t="s">
        <v>920</v>
      </c>
      <c r="S7522">
        <v>39</v>
      </c>
      <c r="T7522" s="29" t="str">
        <f t="shared" si="324"/>
        <v>2023.002P.Endornaviridae_rename_sp.zip</v>
      </c>
      <c r="U7522" s="29" t="str">
        <f>HYPERLINK("https://ictv.global/taxonomy/taxondetails?taxnode_id=202303056","ictv.global=202303056")</f>
        <v>ictv.global=202303056</v>
      </c>
    </row>
    <row r="7523" spans="1:21">
      <c r="A7523">
        <v>7522</v>
      </c>
      <c r="B7523" s="30" t="s">
        <v>1226</v>
      </c>
      <c r="D7523" s="30" t="s">
        <v>2024</v>
      </c>
      <c r="F7523" s="30" t="s">
        <v>2032</v>
      </c>
      <c r="H7523" s="30" t="s">
        <v>2033</v>
      </c>
      <c r="J7523" s="30" t="s">
        <v>2035</v>
      </c>
      <c r="L7523" s="30" t="s">
        <v>396</v>
      </c>
      <c r="N7523" s="30" t="s">
        <v>809</v>
      </c>
      <c r="P7523" s="30" t="s">
        <v>14420</v>
      </c>
      <c r="Q7523" t="s">
        <v>621</v>
      </c>
      <c r="R7523" t="s">
        <v>920</v>
      </c>
      <c r="S7523">
        <v>39</v>
      </c>
      <c r="T7523" s="29" t="str">
        <f t="shared" si="324"/>
        <v>2023.002P.Endornaviridae_rename_sp.zip</v>
      </c>
      <c r="U7523" s="29" t="str">
        <f>HYPERLINK("https://ictv.global/taxonomy/taxondetails?taxnode_id=202303057","ictv.global=202303057")</f>
        <v>ictv.global=202303057</v>
      </c>
    </row>
    <row r="7524" spans="1:21">
      <c r="A7524">
        <v>7523</v>
      </c>
      <c r="B7524" s="30" t="s">
        <v>1226</v>
      </c>
      <c r="D7524" s="30" t="s">
        <v>2024</v>
      </c>
      <c r="F7524" s="30" t="s">
        <v>2032</v>
      </c>
      <c r="H7524" s="30" t="s">
        <v>2033</v>
      </c>
      <c r="J7524" s="30" t="s">
        <v>2035</v>
      </c>
      <c r="L7524" s="30" t="s">
        <v>396</v>
      </c>
      <c r="N7524" s="30" t="s">
        <v>809</v>
      </c>
      <c r="P7524" s="30" t="s">
        <v>14421</v>
      </c>
      <c r="Q7524" t="s">
        <v>621</v>
      </c>
      <c r="R7524" t="s">
        <v>920</v>
      </c>
      <c r="S7524">
        <v>39</v>
      </c>
      <c r="T7524" s="29" t="str">
        <f t="shared" si="324"/>
        <v>2023.002P.Endornaviridae_rename_sp.zip</v>
      </c>
      <c r="U7524" s="29" t="str">
        <f>HYPERLINK("https://ictv.global/taxonomy/taxondetails?taxnode_id=202303059","ictv.global=202303059")</f>
        <v>ictv.global=202303059</v>
      </c>
    </row>
    <row r="7525" spans="1:21">
      <c r="A7525">
        <v>7524</v>
      </c>
      <c r="B7525" s="30" t="s">
        <v>1226</v>
      </c>
      <c r="D7525" s="30" t="s">
        <v>2024</v>
      </c>
      <c r="F7525" s="30" t="s">
        <v>2032</v>
      </c>
      <c r="H7525" s="30" t="s">
        <v>2033</v>
      </c>
      <c r="J7525" s="30" t="s">
        <v>2035</v>
      </c>
      <c r="L7525" s="30" t="s">
        <v>396</v>
      </c>
      <c r="N7525" s="30" t="s">
        <v>809</v>
      </c>
      <c r="P7525" s="30" t="s">
        <v>14422</v>
      </c>
      <c r="Q7525" t="s">
        <v>621</v>
      </c>
      <c r="R7525" t="s">
        <v>920</v>
      </c>
      <c r="S7525">
        <v>39</v>
      </c>
      <c r="T7525" s="29" t="str">
        <f t="shared" si="324"/>
        <v>2023.002P.Endornaviridae_rename_sp.zip</v>
      </c>
      <c r="U7525" s="29" t="str">
        <f>HYPERLINK("https://ictv.global/taxonomy/taxondetails?taxnode_id=202305778","ictv.global=202305778")</f>
        <v>ictv.global=202305778</v>
      </c>
    </row>
    <row r="7526" spans="1:21">
      <c r="A7526">
        <v>7525</v>
      </c>
      <c r="B7526" s="30" t="s">
        <v>1226</v>
      </c>
      <c r="D7526" s="30" t="s">
        <v>2024</v>
      </c>
      <c r="F7526" s="30" t="s">
        <v>2032</v>
      </c>
      <c r="H7526" s="30" t="s">
        <v>2033</v>
      </c>
      <c r="J7526" s="30" t="s">
        <v>2035</v>
      </c>
      <c r="L7526" s="30" t="s">
        <v>396</v>
      </c>
      <c r="N7526" s="30" t="s">
        <v>809</v>
      </c>
      <c r="P7526" s="30" t="s">
        <v>14423</v>
      </c>
      <c r="Q7526" t="s">
        <v>621</v>
      </c>
      <c r="R7526" t="s">
        <v>920</v>
      </c>
      <c r="S7526">
        <v>39</v>
      </c>
      <c r="T7526" s="29" t="str">
        <f t="shared" si="324"/>
        <v>2023.002P.Endornaviridae_rename_sp.zip</v>
      </c>
      <c r="U7526" s="29" t="str">
        <f>HYPERLINK("https://ictv.global/taxonomy/taxondetails?taxnode_id=202303060","ictv.global=202303060")</f>
        <v>ictv.global=202303060</v>
      </c>
    </row>
    <row r="7527" spans="1:21">
      <c r="A7527">
        <v>7526</v>
      </c>
      <c r="B7527" s="30" t="s">
        <v>1226</v>
      </c>
      <c r="D7527" s="30" t="s">
        <v>2024</v>
      </c>
      <c r="F7527" s="30" t="s">
        <v>2032</v>
      </c>
      <c r="H7527" s="30" t="s">
        <v>2033</v>
      </c>
      <c r="J7527" s="30" t="s">
        <v>2035</v>
      </c>
      <c r="L7527" s="30" t="s">
        <v>396</v>
      </c>
      <c r="N7527" s="30" t="s">
        <v>809</v>
      </c>
      <c r="P7527" s="30" t="s">
        <v>14424</v>
      </c>
      <c r="Q7527" t="s">
        <v>621</v>
      </c>
      <c r="R7527" t="s">
        <v>920</v>
      </c>
      <c r="S7527">
        <v>39</v>
      </c>
      <c r="T7527" s="29" t="str">
        <f t="shared" si="324"/>
        <v>2023.002P.Endornaviridae_rename_sp.zip</v>
      </c>
      <c r="U7527" s="29" t="str">
        <f>HYPERLINK("https://ictv.global/taxonomy/taxondetails?taxnode_id=202307542","ictv.global=202307542")</f>
        <v>ictv.global=202307542</v>
      </c>
    </row>
    <row r="7528" spans="1:21">
      <c r="A7528">
        <v>7527</v>
      </c>
      <c r="B7528" s="30" t="s">
        <v>1226</v>
      </c>
      <c r="D7528" s="30" t="s">
        <v>2024</v>
      </c>
      <c r="F7528" s="30" t="s">
        <v>2032</v>
      </c>
      <c r="H7528" s="30" t="s">
        <v>2033</v>
      </c>
      <c r="J7528" s="30" t="s">
        <v>2035</v>
      </c>
      <c r="L7528" s="30" t="s">
        <v>396</v>
      </c>
      <c r="N7528" s="30" t="s">
        <v>809</v>
      </c>
      <c r="P7528" s="30" t="s">
        <v>14425</v>
      </c>
      <c r="Q7528" t="s">
        <v>621</v>
      </c>
      <c r="R7528" t="s">
        <v>920</v>
      </c>
      <c r="S7528">
        <v>39</v>
      </c>
      <c r="T7528" s="29" t="str">
        <f t="shared" si="324"/>
        <v>2023.002P.Endornaviridae_rename_sp.zip</v>
      </c>
      <c r="U7528" s="29" t="str">
        <f>HYPERLINK("https://ictv.global/taxonomy/taxondetails?taxnode_id=202303054","ictv.global=202303054")</f>
        <v>ictv.global=202303054</v>
      </c>
    </row>
    <row r="7529" spans="1:21">
      <c r="A7529">
        <v>7528</v>
      </c>
      <c r="B7529" s="30" t="s">
        <v>1226</v>
      </c>
      <c r="D7529" s="30" t="s">
        <v>2024</v>
      </c>
      <c r="F7529" s="30" t="s">
        <v>2032</v>
      </c>
      <c r="H7529" s="30" t="s">
        <v>2033</v>
      </c>
      <c r="J7529" s="30" t="s">
        <v>2035</v>
      </c>
      <c r="L7529" s="30" t="s">
        <v>396</v>
      </c>
      <c r="N7529" s="30" t="s">
        <v>809</v>
      </c>
      <c r="P7529" s="30" t="s">
        <v>14426</v>
      </c>
      <c r="Q7529" t="s">
        <v>621</v>
      </c>
      <c r="R7529" t="s">
        <v>920</v>
      </c>
      <c r="S7529">
        <v>39</v>
      </c>
      <c r="T7529" s="29" t="str">
        <f t="shared" si="324"/>
        <v>2023.002P.Endornaviridae_rename_sp.zip</v>
      </c>
      <c r="U7529" s="29" t="str">
        <f>HYPERLINK("https://ictv.global/taxonomy/taxondetails?taxnode_id=202303061","ictv.global=202303061")</f>
        <v>ictv.global=202303061</v>
      </c>
    </row>
    <row r="7530" spans="1:21">
      <c r="A7530">
        <v>7529</v>
      </c>
      <c r="B7530" s="30" t="s">
        <v>1226</v>
      </c>
      <c r="D7530" s="30" t="s">
        <v>2024</v>
      </c>
      <c r="F7530" s="30" t="s">
        <v>2032</v>
      </c>
      <c r="H7530" s="30" t="s">
        <v>2033</v>
      </c>
      <c r="J7530" s="30" t="s">
        <v>2035</v>
      </c>
      <c r="L7530" s="30" t="s">
        <v>396</v>
      </c>
      <c r="N7530" s="30" t="s">
        <v>809</v>
      </c>
      <c r="P7530" s="30" t="s">
        <v>14427</v>
      </c>
      <c r="Q7530" t="s">
        <v>621</v>
      </c>
      <c r="R7530" t="s">
        <v>920</v>
      </c>
      <c r="S7530">
        <v>39</v>
      </c>
      <c r="T7530" s="29" t="str">
        <f t="shared" si="324"/>
        <v>2023.002P.Endornaviridae_rename_sp.zip</v>
      </c>
      <c r="U7530" s="29" t="str">
        <f>HYPERLINK("https://ictv.global/taxonomy/taxondetails?taxnode_id=202303049","ictv.global=202303049")</f>
        <v>ictv.global=202303049</v>
      </c>
    </row>
    <row r="7531" spans="1:21">
      <c r="A7531">
        <v>7530</v>
      </c>
      <c r="B7531" s="30" t="s">
        <v>1226</v>
      </c>
      <c r="D7531" s="30" t="s">
        <v>2024</v>
      </c>
      <c r="F7531" s="30" t="s">
        <v>2032</v>
      </c>
      <c r="H7531" s="30" t="s">
        <v>2033</v>
      </c>
      <c r="J7531" s="30" t="s">
        <v>2035</v>
      </c>
      <c r="L7531" s="30" t="s">
        <v>396</v>
      </c>
      <c r="N7531" s="30" t="s">
        <v>809</v>
      </c>
      <c r="P7531" s="30" t="s">
        <v>14428</v>
      </c>
      <c r="Q7531" t="s">
        <v>621</v>
      </c>
      <c r="R7531" t="s">
        <v>920</v>
      </c>
      <c r="S7531">
        <v>39</v>
      </c>
      <c r="T7531" s="29" t="str">
        <f t="shared" si="324"/>
        <v>2023.002P.Endornaviridae_rename_sp.zip</v>
      </c>
      <c r="U7531" s="29" t="str">
        <f>HYPERLINK("https://ictv.global/taxonomy/taxondetails?taxnode_id=202303062","ictv.global=202303062")</f>
        <v>ictv.global=202303062</v>
      </c>
    </row>
    <row r="7532" spans="1:21">
      <c r="A7532">
        <v>7531</v>
      </c>
      <c r="B7532" s="30" t="s">
        <v>1226</v>
      </c>
      <c r="D7532" s="30" t="s">
        <v>2024</v>
      </c>
      <c r="F7532" s="30" t="s">
        <v>2032</v>
      </c>
      <c r="H7532" s="30" t="s">
        <v>2033</v>
      </c>
      <c r="J7532" s="30" t="s">
        <v>2035</v>
      </c>
      <c r="L7532" s="30" t="s">
        <v>396</v>
      </c>
      <c r="N7532" s="30" t="s">
        <v>830</v>
      </c>
      <c r="P7532" s="30" t="s">
        <v>14429</v>
      </c>
      <c r="Q7532" t="s">
        <v>621</v>
      </c>
      <c r="R7532" t="s">
        <v>920</v>
      </c>
      <c r="S7532">
        <v>39</v>
      </c>
      <c r="T7532" s="29" t="str">
        <f t="shared" si="324"/>
        <v>2023.002P.Endornaviridae_rename_sp.zip</v>
      </c>
      <c r="U7532" s="29" t="str">
        <f>HYPERLINK("https://ictv.global/taxonomy/taxondetails?taxnode_id=202303064","ictv.global=202303064")</f>
        <v>ictv.global=202303064</v>
      </c>
    </row>
    <row r="7533" spans="1:21">
      <c r="A7533">
        <v>7532</v>
      </c>
      <c r="B7533" s="30" t="s">
        <v>1226</v>
      </c>
      <c r="D7533" s="30" t="s">
        <v>2024</v>
      </c>
      <c r="F7533" s="30" t="s">
        <v>2032</v>
      </c>
      <c r="H7533" s="30" t="s">
        <v>2033</v>
      </c>
      <c r="J7533" s="30" t="s">
        <v>2035</v>
      </c>
      <c r="L7533" s="30" t="s">
        <v>396</v>
      </c>
      <c r="N7533" s="30" t="s">
        <v>830</v>
      </c>
      <c r="P7533" s="30" t="s">
        <v>14430</v>
      </c>
      <c r="Q7533" t="s">
        <v>621</v>
      </c>
      <c r="R7533" t="s">
        <v>920</v>
      </c>
      <c r="S7533">
        <v>39</v>
      </c>
      <c r="T7533" s="29" t="str">
        <f t="shared" si="324"/>
        <v>2023.002P.Endornaviridae_rename_sp.zip</v>
      </c>
      <c r="U7533" s="29" t="str">
        <f>HYPERLINK("https://ictv.global/taxonomy/taxondetails?taxnode_id=202305779","ictv.global=202305779")</f>
        <v>ictv.global=202305779</v>
      </c>
    </row>
    <row r="7534" spans="1:21">
      <c r="A7534">
        <v>7533</v>
      </c>
      <c r="B7534" s="30" t="s">
        <v>1226</v>
      </c>
      <c r="D7534" s="30" t="s">
        <v>2024</v>
      </c>
      <c r="F7534" s="30" t="s">
        <v>2032</v>
      </c>
      <c r="H7534" s="30" t="s">
        <v>2033</v>
      </c>
      <c r="J7534" s="30" t="s">
        <v>2035</v>
      </c>
      <c r="L7534" s="30" t="s">
        <v>396</v>
      </c>
      <c r="N7534" s="30" t="s">
        <v>830</v>
      </c>
      <c r="P7534" s="30" t="s">
        <v>14431</v>
      </c>
      <c r="Q7534" t="s">
        <v>621</v>
      </c>
      <c r="R7534" t="s">
        <v>920</v>
      </c>
      <c r="S7534">
        <v>39</v>
      </c>
      <c r="T7534" s="29" t="str">
        <f t="shared" si="324"/>
        <v>2023.002P.Endornaviridae_rename_sp.zip</v>
      </c>
      <c r="U7534" s="29" t="str">
        <f>HYPERLINK("https://ictv.global/taxonomy/taxondetails?taxnode_id=202307544","ictv.global=202307544")</f>
        <v>ictv.global=202307544</v>
      </c>
    </row>
    <row r="7535" spans="1:21">
      <c r="A7535">
        <v>7534</v>
      </c>
      <c r="B7535" s="30" t="s">
        <v>1226</v>
      </c>
      <c r="D7535" s="30" t="s">
        <v>2024</v>
      </c>
      <c r="F7535" s="30" t="s">
        <v>2032</v>
      </c>
      <c r="H7535" s="30" t="s">
        <v>2033</v>
      </c>
      <c r="J7535" s="30" t="s">
        <v>2035</v>
      </c>
      <c r="L7535" s="30" t="s">
        <v>396</v>
      </c>
      <c r="N7535" s="30" t="s">
        <v>830</v>
      </c>
      <c r="P7535" s="30" t="s">
        <v>14432</v>
      </c>
      <c r="Q7535" t="s">
        <v>621</v>
      </c>
      <c r="R7535" t="s">
        <v>920</v>
      </c>
      <c r="S7535">
        <v>39</v>
      </c>
      <c r="T7535" s="29" t="str">
        <f t="shared" si="324"/>
        <v>2023.002P.Endornaviridae_rename_sp.zip</v>
      </c>
      <c r="U7535" s="29" t="str">
        <f>HYPERLINK("https://ictv.global/taxonomy/taxondetails?taxnode_id=202303065","ictv.global=202303065")</f>
        <v>ictv.global=202303065</v>
      </c>
    </row>
    <row r="7536" spans="1:21">
      <c r="A7536">
        <v>7535</v>
      </c>
      <c r="B7536" s="30" t="s">
        <v>1226</v>
      </c>
      <c r="D7536" s="30" t="s">
        <v>2024</v>
      </c>
      <c r="F7536" s="30" t="s">
        <v>2032</v>
      </c>
      <c r="H7536" s="30" t="s">
        <v>2033</v>
      </c>
      <c r="J7536" s="30" t="s">
        <v>2035</v>
      </c>
      <c r="L7536" s="30" t="s">
        <v>396</v>
      </c>
      <c r="N7536" s="30" t="s">
        <v>830</v>
      </c>
      <c r="P7536" s="30" t="s">
        <v>14433</v>
      </c>
      <c r="Q7536" t="s">
        <v>621</v>
      </c>
      <c r="R7536" t="s">
        <v>920</v>
      </c>
      <c r="S7536">
        <v>39</v>
      </c>
      <c r="T7536" s="29" t="str">
        <f t="shared" si="324"/>
        <v>2023.002P.Endornaviridae_rename_sp.zip</v>
      </c>
      <c r="U7536" s="29" t="str">
        <f>HYPERLINK("https://ictv.global/taxonomy/taxondetails?taxnode_id=202307543","ictv.global=202307543")</f>
        <v>ictv.global=202307543</v>
      </c>
    </row>
    <row r="7537" spans="1:21">
      <c r="A7537">
        <v>7536</v>
      </c>
      <c r="B7537" s="30" t="s">
        <v>1226</v>
      </c>
      <c r="D7537" s="30" t="s">
        <v>2024</v>
      </c>
      <c r="F7537" s="30" t="s">
        <v>2032</v>
      </c>
      <c r="H7537" s="30" t="s">
        <v>2033</v>
      </c>
      <c r="J7537" s="30" t="s">
        <v>2035</v>
      </c>
      <c r="L7537" s="30" t="s">
        <v>396</v>
      </c>
      <c r="N7537" s="30" t="s">
        <v>830</v>
      </c>
      <c r="P7537" s="30" t="s">
        <v>14434</v>
      </c>
      <c r="Q7537" t="s">
        <v>621</v>
      </c>
      <c r="R7537" t="s">
        <v>920</v>
      </c>
      <c r="S7537">
        <v>39</v>
      </c>
      <c r="T7537" s="29" t="str">
        <f t="shared" si="324"/>
        <v>2023.002P.Endornaviridae_rename_sp.zip</v>
      </c>
      <c r="U7537" s="29" t="str">
        <f>HYPERLINK("https://ictv.global/taxonomy/taxondetails?taxnode_id=202303066","ictv.global=202303066")</f>
        <v>ictv.global=202303066</v>
      </c>
    </row>
    <row r="7538" spans="1:21">
      <c r="A7538">
        <v>7537</v>
      </c>
      <c r="B7538" s="30" t="s">
        <v>1226</v>
      </c>
      <c r="D7538" s="30" t="s">
        <v>2024</v>
      </c>
      <c r="F7538" s="30" t="s">
        <v>2032</v>
      </c>
      <c r="H7538" s="30" t="s">
        <v>2033</v>
      </c>
      <c r="J7538" s="30" t="s">
        <v>2035</v>
      </c>
      <c r="L7538" s="30" t="s">
        <v>396</v>
      </c>
      <c r="N7538" s="30" t="s">
        <v>830</v>
      </c>
      <c r="P7538" s="30" t="s">
        <v>14435</v>
      </c>
      <c r="Q7538" t="s">
        <v>621</v>
      </c>
      <c r="R7538" t="s">
        <v>920</v>
      </c>
      <c r="S7538">
        <v>39</v>
      </c>
      <c r="T7538" s="29" t="str">
        <f t="shared" si="324"/>
        <v>2023.002P.Endornaviridae_rename_sp.zip</v>
      </c>
      <c r="U7538" s="29" t="str">
        <f>HYPERLINK("https://ictv.global/taxonomy/taxondetails?taxnode_id=202303067","ictv.global=202303067")</f>
        <v>ictv.global=202303067</v>
      </c>
    </row>
    <row r="7539" spans="1:21">
      <c r="A7539">
        <v>7538</v>
      </c>
      <c r="B7539" s="30" t="s">
        <v>1226</v>
      </c>
      <c r="D7539" s="30" t="s">
        <v>2024</v>
      </c>
      <c r="F7539" s="30" t="s">
        <v>2032</v>
      </c>
      <c r="H7539" s="30" t="s">
        <v>2033</v>
      </c>
      <c r="J7539" s="30" t="s">
        <v>2035</v>
      </c>
      <c r="L7539" s="30" t="s">
        <v>1309</v>
      </c>
      <c r="N7539" s="30" t="s">
        <v>915</v>
      </c>
      <c r="P7539" s="30" t="s">
        <v>9183</v>
      </c>
      <c r="Q7539" t="s">
        <v>621</v>
      </c>
      <c r="R7539" t="s">
        <v>920</v>
      </c>
      <c r="S7539">
        <v>38</v>
      </c>
      <c r="T7539" s="29" t="str">
        <f>HYPERLINK("https://ictv.global/ictv/proposals/2022.017P.Kitaviridae_rename.zip","2022.017P.Kitaviridae_rename.zip")</f>
        <v>2022.017P.Kitaviridae_rename.zip</v>
      </c>
      <c r="U7539" s="29" t="str">
        <f>HYPERLINK("https://ictv.global/taxonomy/taxondetails?taxnode_id=202307186","ictv.global=202307186")</f>
        <v>ictv.global=202307186</v>
      </c>
    </row>
    <row r="7540" spans="1:21">
      <c r="A7540">
        <v>7539</v>
      </c>
      <c r="B7540" s="30" t="s">
        <v>1226</v>
      </c>
      <c r="D7540" s="30" t="s">
        <v>2024</v>
      </c>
      <c r="F7540" s="30" t="s">
        <v>2032</v>
      </c>
      <c r="H7540" s="30" t="s">
        <v>2033</v>
      </c>
      <c r="J7540" s="30" t="s">
        <v>2035</v>
      </c>
      <c r="L7540" s="30" t="s">
        <v>1309</v>
      </c>
      <c r="N7540" s="30" t="s">
        <v>915</v>
      </c>
      <c r="P7540" s="30" t="s">
        <v>9184</v>
      </c>
      <c r="Q7540" t="s">
        <v>621</v>
      </c>
      <c r="R7540" t="s">
        <v>920</v>
      </c>
      <c r="S7540">
        <v>38</v>
      </c>
      <c r="T7540" s="29" t="str">
        <f>HYPERLINK("https://ictv.global/ictv/proposals/2022.017P.Kitaviridae_rename.zip","2022.017P.Kitaviridae_rename.zip")</f>
        <v>2022.017P.Kitaviridae_rename.zip</v>
      </c>
      <c r="U7540" s="29" t="str">
        <f>HYPERLINK("https://ictv.global/taxonomy/taxondetails?taxnode_id=202309259","ictv.global=202309259")</f>
        <v>ictv.global=202309259</v>
      </c>
    </row>
    <row r="7541" spans="1:21">
      <c r="A7541">
        <v>7540</v>
      </c>
      <c r="B7541" s="30" t="s">
        <v>1226</v>
      </c>
      <c r="D7541" s="30" t="s">
        <v>2024</v>
      </c>
      <c r="F7541" s="30" t="s">
        <v>2032</v>
      </c>
      <c r="H7541" s="30" t="s">
        <v>2033</v>
      </c>
      <c r="J7541" s="30" t="s">
        <v>2035</v>
      </c>
      <c r="L7541" s="30" t="s">
        <v>1309</v>
      </c>
      <c r="N7541" s="30" t="s">
        <v>915</v>
      </c>
      <c r="P7541" s="30" t="s">
        <v>9185</v>
      </c>
      <c r="Q7541" t="s">
        <v>621</v>
      </c>
      <c r="R7541" t="s">
        <v>920</v>
      </c>
      <c r="S7541">
        <v>38</v>
      </c>
      <c r="T7541" s="29" t="str">
        <f>HYPERLINK("https://ictv.global/ictv/proposals/2022.017P.Kitaviridae_rename.zip","2022.017P.Kitaviridae_rename.zip")</f>
        <v>2022.017P.Kitaviridae_rename.zip</v>
      </c>
      <c r="U7541" s="29" t="str">
        <f>HYPERLINK("https://ictv.global/taxonomy/taxondetails?taxnode_id=202305341","ictv.global=202305341")</f>
        <v>ictv.global=202305341</v>
      </c>
    </row>
    <row r="7542" spans="1:21">
      <c r="A7542">
        <v>7541</v>
      </c>
      <c r="B7542" s="30" t="s">
        <v>1226</v>
      </c>
      <c r="D7542" s="30" t="s">
        <v>2024</v>
      </c>
      <c r="F7542" s="30" t="s">
        <v>2032</v>
      </c>
      <c r="H7542" s="30" t="s">
        <v>2033</v>
      </c>
      <c r="J7542" s="30" t="s">
        <v>2035</v>
      </c>
      <c r="L7542" s="30" t="s">
        <v>1309</v>
      </c>
      <c r="N7542" s="30" t="s">
        <v>465</v>
      </c>
      <c r="P7542" s="30" t="s">
        <v>9186</v>
      </c>
      <c r="Q7542" t="s">
        <v>621</v>
      </c>
      <c r="R7542" t="s">
        <v>917</v>
      </c>
      <c r="S7542">
        <v>38</v>
      </c>
      <c r="T7542" s="29" t="str">
        <f>HYPERLINK("https://ictv.global/ictv/proposals/2022.016P.Cilevirus_3ns.zip","2022.016P.Cilevirus_3ns.zip")</f>
        <v>2022.016P.Cilevirus_3ns.zip</v>
      </c>
      <c r="U7542" s="29" t="str">
        <f>HYPERLINK("https://ictv.global/taxonomy/taxondetails?taxnode_id=202315120","ictv.global=202315120")</f>
        <v>ictv.global=202315120</v>
      </c>
    </row>
    <row r="7543" spans="1:21">
      <c r="A7543">
        <v>7542</v>
      </c>
      <c r="B7543" s="30" t="s">
        <v>1226</v>
      </c>
      <c r="D7543" s="30" t="s">
        <v>2024</v>
      </c>
      <c r="F7543" s="30" t="s">
        <v>2032</v>
      </c>
      <c r="H7543" s="30" t="s">
        <v>2033</v>
      </c>
      <c r="J7543" s="30" t="s">
        <v>2035</v>
      </c>
      <c r="L7543" s="30" t="s">
        <v>1309</v>
      </c>
      <c r="N7543" s="30" t="s">
        <v>465</v>
      </c>
      <c r="P7543" s="30" t="s">
        <v>9187</v>
      </c>
      <c r="Q7543" t="s">
        <v>621</v>
      </c>
      <c r="R7543" t="s">
        <v>920</v>
      </c>
      <c r="S7543">
        <v>38</v>
      </c>
      <c r="T7543" s="29" t="str">
        <f>HYPERLINK("https://ictv.global/ictv/proposals/2022.017P.Kitaviridae_rename.zip","2022.017P.Kitaviridae_rename.zip")</f>
        <v>2022.017P.Kitaviridae_rename.zip</v>
      </c>
      <c r="U7543" s="29" t="str">
        <f>HYPERLINK("https://ictv.global/taxonomy/taxondetails?taxnode_id=202305346","ictv.global=202305346")</f>
        <v>ictv.global=202305346</v>
      </c>
    </row>
    <row r="7544" spans="1:21">
      <c r="A7544">
        <v>7543</v>
      </c>
      <c r="B7544" s="30" t="s">
        <v>1226</v>
      </c>
      <c r="D7544" s="30" t="s">
        <v>2024</v>
      </c>
      <c r="F7544" s="30" t="s">
        <v>2032</v>
      </c>
      <c r="H7544" s="30" t="s">
        <v>2033</v>
      </c>
      <c r="J7544" s="30" t="s">
        <v>2035</v>
      </c>
      <c r="L7544" s="30" t="s">
        <v>1309</v>
      </c>
      <c r="N7544" s="30" t="s">
        <v>465</v>
      </c>
      <c r="P7544" s="30" t="s">
        <v>9188</v>
      </c>
      <c r="Q7544" t="s">
        <v>621</v>
      </c>
      <c r="R7544" t="s">
        <v>920</v>
      </c>
      <c r="S7544">
        <v>38</v>
      </c>
      <c r="T7544" s="29" t="str">
        <f>HYPERLINK("https://ictv.global/ictv/proposals/2022.017P.Kitaviridae_rename.zip","2022.017P.Kitaviridae_rename.zip")</f>
        <v>2022.017P.Kitaviridae_rename.zip</v>
      </c>
      <c r="U7544" s="29" t="str">
        <f>HYPERLINK("https://ictv.global/taxonomy/taxondetails?taxnode_id=202305345","ictv.global=202305345")</f>
        <v>ictv.global=202305345</v>
      </c>
    </row>
    <row r="7545" spans="1:21">
      <c r="A7545">
        <v>7544</v>
      </c>
      <c r="B7545" s="30" t="s">
        <v>1226</v>
      </c>
      <c r="D7545" s="30" t="s">
        <v>2024</v>
      </c>
      <c r="F7545" s="30" t="s">
        <v>2032</v>
      </c>
      <c r="H7545" s="30" t="s">
        <v>2033</v>
      </c>
      <c r="J7545" s="30" t="s">
        <v>2035</v>
      </c>
      <c r="L7545" s="30" t="s">
        <v>1309</v>
      </c>
      <c r="N7545" s="30" t="s">
        <v>465</v>
      </c>
      <c r="P7545" s="30" t="s">
        <v>9189</v>
      </c>
      <c r="Q7545" t="s">
        <v>621</v>
      </c>
      <c r="R7545" t="s">
        <v>917</v>
      </c>
      <c r="S7545">
        <v>38</v>
      </c>
      <c r="T7545" s="29" t="str">
        <f>HYPERLINK("https://ictv.global/ictv/proposals/2022.016P.Cilevirus_3ns.zip","2022.016P.Cilevirus_3ns.zip")</f>
        <v>2022.016P.Cilevirus_3ns.zip</v>
      </c>
      <c r="U7545" s="29" t="str">
        <f>HYPERLINK("https://ictv.global/taxonomy/taxondetails?taxnode_id=202315119","ictv.global=202315119")</f>
        <v>ictv.global=202315119</v>
      </c>
    </row>
    <row r="7546" spans="1:21">
      <c r="A7546">
        <v>7545</v>
      </c>
      <c r="B7546" s="30" t="s">
        <v>1226</v>
      </c>
      <c r="D7546" s="30" t="s">
        <v>2024</v>
      </c>
      <c r="F7546" s="30" t="s">
        <v>2032</v>
      </c>
      <c r="H7546" s="30" t="s">
        <v>2033</v>
      </c>
      <c r="J7546" s="30" t="s">
        <v>2035</v>
      </c>
      <c r="L7546" s="30" t="s">
        <v>1309</v>
      </c>
      <c r="N7546" s="30" t="s">
        <v>465</v>
      </c>
      <c r="P7546" s="30" t="s">
        <v>9190</v>
      </c>
      <c r="Q7546" t="s">
        <v>621</v>
      </c>
      <c r="R7546" t="s">
        <v>917</v>
      </c>
      <c r="S7546">
        <v>37</v>
      </c>
      <c r="T7546" s="29" t="str">
        <f>HYPERLINK("https://ictv.global/ictv/proposals/2021.008P.R.Cilevirus_1ns.zip","2021.008P.R.Cilevirus_1ns.zip")</f>
        <v>2021.008P.R.Cilevirus_1ns.zip</v>
      </c>
      <c r="U7546" s="29" t="str">
        <f>HYPERLINK("https://ictv.global/taxonomy/taxondetails?taxnode_id=202313862","ictv.global=202313862")</f>
        <v>ictv.global=202313862</v>
      </c>
    </row>
    <row r="7547" spans="1:21">
      <c r="A7547">
        <v>7546</v>
      </c>
      <c r="B7547" s="30" t="s">
        <v>1226</v>
      </c>
      <c r="D7547" s="30" t="s">
        <v>2024</v>
      </c>
      <c r="F7547" s="30" t="s">
        <v>2032</v>
      </c>
      <c r="H7547" s="30" t="s">
        <v>2033</v>
      </c>
      <c r="J7547" s="30" t="s">
        <v>2035</v>
      </c>
      <c r="L7547" s="30" t="s">
        <v>1309</v>
      </c>
      <c r="N7547" s="30" t="s">
        <v>465</v>
      </c>
      <c r="P7547" s="30" t="s">
        <v>9191</v>
      </c>
      <c r="Q7547" t="s">
        <v>621</v>
      </c>
      <c r="R7547" t="s">
        <v>920</v>
      </c>
      <c r="S7547">
        <v>38</v>
      </c>
      <c r="T7547" s="29" t="str">
        <f>HYPERLINK("https://ictv.global/ictv/proposals/2022.017P.Kitaviridae_rename.zip","2022.017P.Kitaviridae_rename.zip")</f>
        <v>2022.017P.Kitaviridae_rename.zip</v>
      </c>
      <c r="U7547" s="29" t="str">
        <f>HYPERLINK("https://ictv.global/taxonomy/taxondetails?taxnode_id=202309287","ictv.global=202309287")</f>
        <v>ictv.global=202309287</v>
      </c>
    </row>
    <row r="7548" spans="1:21">
      <c r="A7548">
        <v>7547</v>
      </c>
      <c r="B7548" s="30" t="s">
        <v>1226</v>
      </c>
      <c r="D7548" s="30" t="s">
        <v>2024</v>
      </c>
      <c r="F7548" s="30" t="s">
        <v>2032</v>
      </c>
      <c r="H7548" s="30" t="s">
        <v>2033</v>
      </c>
      <c r="J7548" s="30" t="s">
        <v>2035</v>
      </c>
      <c r="L7548" s="30" t="s">
        <v>1309</v>
      </c>
      <c r="N7548" s="30" t="s">
        <v>465</v>
      </c>
      <c r="P7548" s="30" t="s">
        <v>9192</v>
      </c>
      <c r="Q7548" t="s">
        <v>621</v>
      </c>
      <c r="R7548" t="s">
        <v>917</v>
      </c>
      <c r="S7548">
        <v>38</v>
      </c>
      <c r="T7548" s="29" t="str">
        <f>HYPERLINK("https://ictv.global/ictv/proposals/2022.016P.Cilevirus_3ns.zip","2022.016P.Cilevirus_3ns.zip")</f>
        <v>2022.016P.Cilevirus_3ns.zip</v>
      </c>
      <c r="U7548" s="29" t="str">
        <f>HYPERLINK("https://ictv.global/taxonomy/taxondetails?taxnode_id=202315118","ictv.global=202315118")</f>
        <v>ictv.global=202315118</v>
      </c>
    </row>
    <row r="7549" spans="1:21">
      <c r="A7549">
        <v>7548</v>
      </c>
      <c r="B7549" s="30" t="s">
        <v>1226</v>
      </c>
      <c r="D7549" s="30" t="s">
        <v>2024</v>
      </c>
      <c r="F7549" s="30" t="s">
        <v>2032</v>
      </c>
      <c r="H7549" s="30" t="s">
        <v>2033</v>
      </c>
      <c r="J7549" s="30" t="s">
        <v>2035</v>
      </c>
      <c r="L7549" s="30" t="s">
        <v>1309</v>
      </c>
      <c r="N7549" s="30" t="s">
        <v>608</v>
      </c>
      <c r="P7549" s="30" t="s">
        <v>9193</v>
      </c>
      <c r="Q7549" t="s">
        <v>621</v>
      </c>
      <c r="R7549" t="s">
        <v>920</v>
      </c>
      <c r="S7549">
        <v>38</v>
      </c>
      <c r="T7549" s="29" t="str">
        <f>HYPERLINK("https://ictv.global/ictv/proposals/2022.017P.Kitaviridae_rename.zip","2022.017P.Kitaviridae_rename.zip")</f>
        <v>2022.017P.Kitaviridae_rename.zip</v>
      </c>
      <c r="U7549" s="29" t="str">
        <f>HYPERLINK("https://ictv.global/taxonomy/taxondetails?taxnode_id=202305352","ictv.global=202305352")</f>
        <v>ictv.global=202305352</v>
      </c>
    </row>
    <row r="7550" spans="1:21">
      <c r="A7550">
        <v>7549</v>
      </c>
      <c r="B7550" s="30" t="s">
        <v>1226</v>
      </c>
      <c r="D7550" s="30" t="s">
        <v>2024</v>
      </c>
      <c r="F7550" s="30" t="s">
        <v>2032</v>
      </c>
      <c r="H7550" s="30" t="s">
        <v>2033</v>
      </c>
      <c r="J7550" s="30" t="s">
        <v>2035</v>
      </c>
      <c r="L7550" s="30" t="s">
        <v>2036</v>
      </c>
      <c r="N7550" s="30" t="s">
        <v>125</v>
      </c>
      <c r="P7550" s="30" t="s">
        <v>9194</v>
      </c>
      <c r="Q7550" t="s">
        <v>621</v>
      </c>
      <c r="R7550" t="s">
        <v>920</v>
      </c>
      <c r="S7550">
        <v>37</v>
      </c>
      <c r="T7550" s="29" t="str">
        <f>HYPERLINK("https://ictv.global/ictv/proposals/2021.020P.R.Mayoviridae_binomials.zip","2021.020P.R.Mayoviridae_binomials.zip")</f>
        <v>2021.020P.R.Mayoviridae_binomials.zip</v>
      </c>
      <c r="U7550" s="29" t="str">
        <f>HYPERLINK("https://ictv.global/taxonomy/taxondetails?taxnode_id=202306633","ictv.global=202306633")</f>
        <v>ictv.global=202306633</v>
      </c>
    </row>
    <row r="7551" spans="1:21">
      <c r="A7551">
        <v>7550</v>
      </c>
      <c r="B7551" s="30" t="s">
        <v>1226</v>
      </c>
      <c r="D7551" s="30" t="s">
        <v>2024</v>
      </c>
      <c r="F7551" s="30" t="s">
        <v>2032</v>
      </c>
      <c r="H7551" s="30" t="s">
        <v>2033</v>
      </c>
      <c r="J7551" s="30" t="s">
        <v>2035</v>
      </c>
      <c r="L7551" s="30" t="s">
        <v>2036</v>
      </c>
      <c r="N7551" s="30" t="s">
        <v>125</v>
      </c>
      <c r="P7551" s="30" t="s">
        <v>9195</v>
      </c>
      <c r="Q7551" t="s">
        <v>621</v>
      </c>
      <c r="R7551" t="s">
        <v>920</v>
      </c>
      <c r="S7551">
        <v>37</v>
      </c>
      <c r="T7551" s="29" t="str">
        <f>HYPERLINK("https://ictv.global/ictv/proposals/2021.020P.R.Mayoviridae_binomials.zip","2021.020P.R.Mayoviridae_binomials.zip")</f>
        <v>2021.020P.R.Mayoviridae_binomials.zip</v>
      </c>
      <c r="U7551" s="29" t="str">
        <f>HYPERLINK("https://ictv.global/taxonomy/taxondetails?taxnode_id=202305354","ictv.global=202305354")</f>
        <v>ictv.global=202305354</v>
      </c>
    </row>
    <row r="7552" spans="1:21">
      <c r="A7552">
        <v>7551</v>
      </c>
      <c r="B7552" s="30" t="s">
        <v>1226</v>
      </c>
      <c r="D7552" s="30" t="s">
        <v>2024</v>
      </c>
      <c r="F7552" s="30" t="s">
        <v>2032</v>
      </c>
      <c r="H7552" s="30" t="s">
        <v>2033</v>
      </c>
      <c r="J7552" s="30" t="s">
        <v>2035</v>
      </c>
      <c r="L7552" s="30" t="s">
        <v>2036</v>
      </c>
      <c r="N7552" s="30" t="s">
        <v>2037</v>
      </c>
      <c r="P7552" s="30" t="s">
        <v>9196</v>
      </c>
      <c r="Q7552" t="s">
        <v>621</v>
      </c>
      <c r="R7552" t="s">
        <v>920</v>
      </c>
      <c r="S7552">
        <v>37</v>
      </c>
      <c r="T7552" s="29" t="str">
        <f>HYPERLINK("https://ictv.global/ictv/proposals/2021.020P.R.Mayoviridae_binomials.zip","2021.020P.R.Mayoviridae_binomials.zip")</f>
        <v>2021.020P.R.Mayoviridae_binomials.zip</v>
      </c>
      <c r="U7552" s="29" t="str">
        <f>HYPERLINK("https://ictv.global/taxonomy/taxondetails?taxnode_id=202307565","ictv.global=202307565")</f>
        <v>ictv.global=202307565</v>
      </c>
    </row>
    <row r="7553" spans="1:21">
      <c r="A7553">
        <v>7552</v>
      </c>
      <c r="B7553" s="30" t="s">
        <v>1226</v>
      </c>
      <c r="D7553" s="30" t="s">
        <v>2024</v>
      </c>
      <c r="F7553" s="30" t="s">
        <v>2032</v>
      </c>
      <c r="H7553" s="30" t="s">
        <v>2033</v>
      </c>
      <c r="J7553" s="30" t="s">
        <v>2035</v>
      </c>
      <c r="L7553" s="30" t="s">
        <v>2036</v>
      </c>
      <c r="N7553" s="30" t="s">
        <v>2037</v>
      </c>
      <c r="P7553" s="30" t="s">
        <v>9197</v>
      </c>
      <c r="Q7553" t="s">
        <v>621</v>
      </c>
      <c r="R7553" t="s">
        <v>920</v>
      </c>
      <c r="S7553">
        <v>37</v>
      </c>
      <c r="T7553" s="29" t="str">
        <f>HYPERLINK("https://ictv.global/ictv/proposals/2021.020P.R.Mayoviridae_binomials.zip","2021.020P.R.Mayoviridae_binomials.zip")</f>
        <v>2021.020P.R.Mayoviridae_binomials.zip</v>
      </c>
      <c r="U7553" s="29" t="str">
        <f>HYPERLINK("https://ictv.global/taxonomy/taxondetails?taxnode_id=202307566","ictv.global=202307566")</f>
        <v>ictv.global=202307566</v>
      </c>
    </row>
    <row r="7554" spans="1:21">
      <c r="A7554">
        <v>7553</v>
      </c>
      <c r="B7554" s="30" t="s">
        <v>1226</v>
      </c>
      <c r="D7554" s="30" t="s">
        <v>2024</v>
      </c>
      <c r="F7554" s="30" t="s">
        <v>2032</v>
      </c>
      <c r="H7554" s="30" t="s">
        <v>2033</v>
      </c>
      <c r="J7554" s="30" t="s">
        <v>2035</v>
      </c>
      <c r="L7554" s="30" t="s">
        <v>231</v>
      </c>
      <c r="N7554" s="30" t="s">
        <v>232</v>
      </c>
      <c r="P7554" s="30" t="s">
        <v>14436</v>
      </c>
      <c r="Q7554" t="s">
        <v>621</v>
      </c>
      <c r="R7554" t="s">
        <v>920</v>
      </c>
      <c r="S7554">
        <v>39</v>
      </c>
      <c r="T7554" s="29" t="str">
        <f t="shared" ref="T7554:T7585" si="325">HYPERLINK("https://ictv.global/ictv/proposals/2023.006S.Togaviridae_32sprenamed.zip","2023.006S.Togaviridae_32sprenamed.zip")</f>
        <v>2023.006S.Togaviridae_32sprenamed.zip</v>
      </c>
      <c r="U7554" s="29" t="str">
        <f>HYPERLINK("https://ictv.global/taxonomy/taxondetails?taxnode_id=202305083","ictv.global=202305083")</f>
        <v>ictv.global=202305083</v>
      </c>
    </row>
    <row r="7555" spans="1:21">
      <c r="A7555">
        <v>7554</v>
      </c>
      <c r="B7555" s="30" t="s">
        <v>1226</v>
      </c>
      <c r="D7555" s="30" t="s">
        <v>2024</v>
      </c>
      <c r="F7555" s="30" t="s">
        <v>2032</v>
      </c>
      <c r="H7555" s="30" t="s">
        <v>2033</v>
      </c>
      <c r="J7555" s="30" t="s">
        <v>2035</v>
      </c>
      <c r="L7555" s="30" t="s">
        <v>231</v>
      </c>
      <c r="N7555" s="30" t="s">
        <v>232</v>
      </c>
      <c r="P7555" s="30" t="s">
        <v>14437</v>
      </c>
      <c r="Q7555" t="s">
        <v>621</v>
      </c>
      <c r="R7555" t="s">
        <v>920</v>
      </c>
      <c r="S7555">
        <v>39</v>
      </c>
      <c r="T7555" s="29" t="str">
        <f t="shared" si="325"/>
        <v>2023.006S.Togaviridae_32sprenamed.zip</v>
      </c>
      <c r="U7555" s="29" t="str">
        <f>HYPERLINK("https://ictv.global/taxonomy/taxondetails?taxnode_id=202305084","ictv.global=202305084")</f>
        <v>ictv.global=202305084</v>
      </c>
    </row>
    <row r="7556" spans="1:21">
      <c r="A7556">
        <v>7555</v>
      </c>
      <c r="B7556" s="30" t="s">
        <v>1226</v>
      </c>
      <c r="D7556" s="30" t="s">
        <v>2024</v>
      </c>
      <c r="F7556" s="30" t="s">
        <v>2032</v>
      </c>
      <c r="H7556" s="30" t="s">
        <v>2033</v>
      </c>
      <c r="J7556" s="30" t="s">
        <v>2035</v>
      </c>
      <c r="L7556" s="30" t="s">
        <v>231</v>
      </c>
      <c r="N7556" s="30" t="s">
        <v>232</v>
      </c>
      <c r="P7556" s="30" t="s">
        <v>14438</v>
      </c>
      <c r="Q7556" t="s">
        <v>621</v>
      </c>
      <c r="R7556" t="s">
        <v>920</v>
      </c>
      <c r="S7556">
        <v>39</v>
      </c>
      <c r="T7556" s="29" t="str">
        <f t="shared" si="325"/>
        <v>2023.006S.Togaviridae_32sprenamed.zip</v>
      </c>
      <c r="U7556" s="29" t="str">
        <f>HYPERLINK("https://ictv.global/taxonomy/taxondetails?taxnode_id=202305085","ictv.global=202305085")</f>
        <v>ictv.global=202305085</v>
      </c>
    </row>
    <row r="7557" spans="1:21">
      <c r="A7557">
        <v>7556</v>
      </c>
      <c r="B7557" s="30" t="s">
        <v>1226</v>
      </c>
      <c r="D7557" s="30" t="s">
        <v>2024</v>
      </c>
      <c r="F7557" s="30" t="s">
        <v>2032</v>
      </c>
      <c r="H7557" s="30" t="s">
        <v>2033</v>
      </c>
      <c r="J7557" s="30" t="s">
        <v>2035</v>
      </c>
      <c r="L7557" s="30" t="s">
        <v>231</v>
      </c>
      <c r="N7557" s="30" t="s">
        <v>232</v>
      </c>
      <c r="P7557" s="30" t="s">
        <v>14439</v>
      </c>
      <c r="Q7557" t="s">
        <v>621</v>
      </c>
      <c r="R7557" t="s">
        <v>920</v>
      </c>
      <c r="S7557">
        <v>39</v>
      </c>
      <c r="T7557" s="29" t="str">
        <f t="shared" si="325"/>
        <v>2023.006S.Togaviridae_32sprenamed.zip</v>
      </c>
      <c r="U7557" s="29" t="str">
        <f>HYPERLINK("https://ictv.global/taxonomy/taxondetails?taxnode_id=202309260","ictv.global=202309260")</f>
        <v>ictv.global=202309260</v>
      </c>
    </row>
    <row r="7558" spans="1:21">
      <c r="A7558">
        <v>7557</v>
      </c>
      <c r="B7558" s="30" t="s">
        <v>1226</v>
      </c>
      <c r="D7558" s="30" t="s">
        <v>2024</v>
      </c>
      <c r="F7558" s="30" t="s">
        <v>2032</v>
      </c>
      <c r="H7558" s="30" t="s">
        <v>2033</v>
      </c>
      <c r="J7558" s="30" t="s">
        <v>2035</v>
      </c>
      <c r="L7558" s="30" t="s">
        <v>231</v>
      </c>
      <c r="N7558" s="30" t="s">
        <v>232</v>
      </c>
      <c r="P7558" s="30" t="s">
        <v>14440</v>
      </c>
      <c r="Q7558" t="s">
        <v>621</v>
      </c>
      <c r="R7558" t="s">
        <v>920</v>
      </c>
      <c r="S7558">
        <v>39</v>
      </c>
      <c r="T7558" s="29" t="str">
        <f t="shared" si="325"/>
        <v>2023.006S.Togaviridae_32sprenamed.zip</v>
      </c>
      <c r="U7558" s="29" t="str">
        <f>HYPERLINK("https://ictv.global/taxonomy/taxondetails?taxnode_id=202305086","ictv.global=202305086")</f>
        <v>ictv.global=202305086</v>
      </c>
    </row>
    <row r="7559" spans="1:21">
      <c r="A7559">
        <v>7558</v>
      </c>
      <c r="B7559" s="30" t="s">
        <v>1226</v>
      </c>
      <c r="D7559" s="30" t="s">
        <v>2024</v>
      </c>
      <c r="F7559" s="30" t="s">
        <v>2032</v>
      </c>
      <c r="H7559" s="30" t="s">
        <v>2033</v>
      </c>
      <c r="J7559" s="30" t="s">
        <v>2035</v>
      </c>
      <c r="L7559" s="30" t="s">
        <v>231</v>
      </c>
      <c r="N7559" s="30" t="s">
        <v>232</v>
      </c>
      <c r="P7559" s="30" t="s">
        <v>14441</v>
      </c>
      <c r="Q7559" t="s">
        <v>621</v>
      </c>
      <c r="R7559" t="s">
        <v>920</v>
      </c>
      <c r="S7559">
        <v>39</v>
      </c>
      <c r="T7559" s="29" t="str">
        <f t="shared" si="325"/>
        <v>2023.006S.Togaviridae_32sprenamed.zip</v>
      </c>
      <c r="U7559" s="29" t="str">
        <f>HYPERLINK("https://ictv.global/taxonomy/taxondetails?taxnode_id=202305087","ictv.global=202305087")</f>
        <v>ictv.global=202305087</v>
      </c>
    </row>
    <row r="7560" spans="1:21">
      <c r="A7560">
        <v>7559</v>
      </c>
      <c r="B7560" s="30" t="s">
        <v>1226</v>
      </c>
      <c r="D7560" s="30" t="s">
        <v>2024</v>
      </c>
      <c r="F7560" s="30" t="s">
        <v>2032</v>
      </c>
      <c r="H7560" s="30" t="s">
        <v>2033</v>
      </c>
      <c r="J7560" s="30" t="s">
        <v>2035</v>
      </c>
      <c r="L7560" s="30" t="s">
        <v>231</v>
      </c>
      <c r="N7560" s="30" t="s">
        <v>232</v>
      </c>
      <c r="P7560" s="30" t="s">
        <v>14442</v>
      </c>
      <c r="Q7560" t="s">
        <v>621</v>
      </c>
      <c r="R7560" t="s">
        <v>920</v>
      </c>
      <c r="S7560">
        <v>39</v>
      </c>
      <c r="T7560" s="29" t="str">
        <f t="shared" si="325"/>
        <v>2023.006S.Togaviridae_32sprenamed.zip</v>
      </c>
      <c r="U7560" s="29" t="str">
        <f>HYPERLINK("https://ictv.global/taxonomy/taxondetails?taxnode_id=202305088","ictv.global=202305088")</f>
        <v>ictv.global=202305088</v>
      </c>
    </row>
    <row r="7561" spans="1:21">
      <c r="A7561">
        <v>7560</v>
      </c>
      <c r="B7561" s="30" t="s">
        <v>1226</v>
      </c>
      <c r="D7561" s="30" t="s">
        <v>2024</v>
      </c>
      <c r="F7561" s="30" t="s">
        <v>2032</v>
      </c>
      <c r="H7561" s="30" t="s">
        <v>2033</v>
      </c>
      <c r="J7561" s="30" t="s">
        <v>2035</v>
      </c>
      <c r="L7561" s="30" t="s">
        <v>231</v>
      </c>
      <c r="N7561" s="30" t="s">
        <v>232</v>
      </c>
      <c r="P7561" s="30" t="s">
        <v>14443</v>
      </c>
      <c r="Q7561" t="s">
        <v>621</v>
      </c>
      <c r="R7561" t="s">
        <v>920</v>
      </c>
      <c r="S7561">
        <v>39</v>
      </c>
      <c r="T7561" s="29" t="str">
        <f t="shared" si="325"/>
        <v>2023.006S.Togaviridae_32sprenamed.zip</v>
      </c>
      <c r="U7561" s="29" t="str">
        <f>HYPERLINK("https://ictv.global/taxonomy/taxondetails?taxnode_id=202305089","ictv.global=202305089")</f>
        <v>ictv.global=202305089</v>
      </c>
    </row>
    <row r="7562" spans="1:21">
      <c r="A7562">
        <v>7561</v>
      </c>
      <c r="B7562" s="30" t="s">
        <v>1226</v>
      </c>
      <c r="D7562" s="30" t="s">
        <v>2024</v>
      </c>
      <c r="F7562" s="30" t="s">
        <v>2032</v>
      </c>
      <c r="H7562" s="30" t="s">
        <v>2033</v>
      </c>
      <c r="J7562" s="30" t="s">
        <v>2035</v>
      </c>
      <c r="L7562" s="30" t="s">
        <v>231</v>
      </c>
      <c r="N7562" s="30" t="s">
        <v>232</v>
      </c>
      <c r="P7562" s="30" t="s">
        <v>14444</v>
      </c>
      <c r="Q7562" t="s">
        <v>621</v>
      </c>
      <c r="R7562" t="s">
        <v>920</v>
      </c>
      <c r="S7562">
        <v>39</v>
      </c>
      <c r="T7562" s="29" t="str">
        <f t="shared" si="325"/>
        <v>2023.006S.Togaviridae_32sprenamed.zip</v>
      </c>
      <c r="U7562" s="29" t="str">
        <f>HYPERLINK("https://ictv.global/taxonomy/taxondetails?taxnode_id=202305090","ictv.global=202305090")</f>
        <v>ictv.global=202305090</v>
      </c>
    </row>
    <row r="7563" spans="1:21">
      <c r="A7563">
        <v>7562</v>
      </c>
      <c r="B7563" s="30" t="s">
        <v>1226</v>
      </c>
      <c r="D7563" s="30" t="s">
        <v>2024</v>
      </c>
      <c r="F7563" s="30" t="s">
        <v>2032</v>
      </c>
      <c r="H7563" s="30" t="s">
        <v>2033</v>
      </c>
      <c r="J7563" s="30" t="s">
        <v>2035</v>
      </c>
      <c r="L7563" s="30" t="s">
        <v>231</v>
      </c>
      <c r="N7563" s="30" t="s">
        <v>232</v>
      </c>
      <c r="P7563" s="30" t="s">
        <v>14445</v>
      </c>
      <c r="Q7563" t="s">
        <v>621</v>
      </c>
      <c r="R7563" t="s">
        <v>920</v>
      </c>
      <c r="S7563">
        <v>39</v>
      </c>
      <c r="T7563" s="29" t="str">
        <f t="shared" si="325"/>
        <v>2023.006S.Togaviridae_32sprenamed.zip</v>
      </c>
      <c r="U7563" s="29" t="str">
        <f>HYPERLINK("https://ictv.global/taxonomy/taxondetails?taxnode_id=202305091","ictv.global=202305091")</f>
        <v>ictv.global=202305091</v>
      </c>
    </row>
    <row r="7564" spans="1:21">
      <c r="A7564">
        <v>7563</v>
      </c>
      <c r="B7564" s="30" t="s">
        <v>1226</v>
      </c>
      <c r="D7564" s="30" t="s">
        <v>2024</v>
      </c>
      <c r="F7564" s="30" t="s">
        <v>2032</v>
      </c>
      <c r="H7564" s="30" t="s">
        <v>2033</v>
      </c>
      <c r="J7564" s="30" t="s">
        <v>2035</v>
      </c>
      <c r="L7564" s="30" t="s">
        <v>231</v>
      </c>
      <c r="N7564" s="30" t="s">
        <v>232</v>
      </c>
      <c r="P7564" s="30" t="s">
        <v>14446</v>
      </c>
      <c r="Q7564" t="s">
        <v>621</v>
      </c>
      <c r="R7564" t="s">
        <v>920</v>
      </c>
      <c r="S7564">
        <v>39</v>
      </c>
      <c r="T7564" s="29" t="str">
        <f t="shared" si="325"/>
        <v>2023.006S.Togaviridae_32sprenamed.zip</v>
      </c>
      <c r="U7564" s="29" t="str">
        <f>HYPERLINK("https://ictv.global/taxonomy/taxondetails?taxnode_id=202305092","ictv.global=202305092")</f>
        <v>ictv.global=202305092</v>
      </c>
    </row>
    <row r="7565" spans="1:21">
      <c r="A7565">
        <v>7564</v>
      </c>
      <c r="B7565" s="30" t="s">
        <v>1226</v>
      </c>
      <c r="D7565" s="30" t="s">
        <v>2024</v>
      </c>
      <c r="F7565" s="30" t="s">
        <v>2032</v>
      </c>
      <c r="H7565" s="30" t="s">
        <v>2033</v>
      </c>
      <c r="J7565" s="30" t="s">
        <v>2035</v>
      </c>
      <c r="L7565" s="30" t="s">
        <v>231</v>
      </c>
      <c r="N7565" s="30" t="s">
        <v>232</v>
      </c>
      <c r="P7565" s="30" t="s">
        <v>14447</v>
      </c>
      <c r="Q7565" t="s">
        <v>621</v>
      </c>
      <c r="R7565" t="s">
        <v>920</v>
      </c>
      <c r="S7565">
        <v>39</v>
      </c>
      <c r="T7565" s="29" t="str">
        <f t="shared" si="325"/>
        <v>2023.006S.Togaviridae_32sprenamed.zip</v>
      </c>
      <c r="U7565" s="29" t="str">
        <f>HYPERLINK("https://ictv.global/taxonomy/taxondetails?taxnode_id=202305093","ictv.global=202305093")</f>
        <v>ictv.global=202305093</v>
      </c>
    </row>
    <row r="7566" spans="1:21">
      <c r="A7566">
        <v>7565</v>
      </c>
      <c r="B7566" s="30" t="s">
        <v>1226</v>
      </c>
      <c r="D7566" s="30" t="s">
        <v>2024</v>
      </c>
      <c r="F7566" s="30" t="s">
        <v>2032</v>
      </c>
      <c r="H7566" s="30" t="s">
        <v>2033</v>
      </c>
      <c r="J7566" s="30" t="s">
        <v>2035</v>
      </c>
      <c r="L7566" s="30" t="s">
        <v>231</v>
      </c>
      <c r="N7566" s="30" t="s">
        <v>232</v>
      </c>
      <c r="P7566" s="30" t="s">
        <v>14448</v>
      </c>
      <c r="Q7566" t="s">
        <v>621</v>
      </c>
      <c r="R7566" t="s">
        <v>920</v>
      </c>
      <c r="S7566">
        <v>39</v>
      </c>
      <c r="T7566" s="29" t="str">
        <f t="shared" si="325"/>
        <v>2023.006S.Togaviridae_32sprenamed.zip</v>
      </c>
      <c r="U7566" s="29" t="str">
        <f>HYPERLINK("https://ictv.global/taxonomy/taxondetails?taxnode_id=202305094","ictv.global=202305094")</f>
        <v>ictv.global=202305094</v>
      </c>
    </row>
    <row r="7567" spans="1:21">
      <c r="A7567">
        <v>7566</v>
      </c>
      <c r="B7567" s="30" t="s">
        <v>1226</v>
      </c>
      <c r="D7567" s="30" t="s">
        <v>2024</v>
      </c>
      <c r="F7567" s="30" t="s">
        <v>2032</v>
      </c>
      <c r="H7567" s="30" t="s">
        <v>2033</v>
      </c>
      <c r="J7567" s="30" t="s">
        <v>2035</v>
      </c>
      <c r="L7567" s="30" t="s">
        <v>231</v>
      </c>
      <c r="N7567" s="30" t="s">
        <v>232</v>
      </c>
      <c r="P7567" s="30" t="s">
        <v>14449</v>
      </c>
      <c r="Q7567" t="s">
        <v>621</v>
      </c>
      <c r="R7567" t="s">
        <v>920</v>
      </c>
      <c r="S7567">
        <v>39</v>
      </c>
      <c r="T7567" s="29" t="str">
        <f t="shared" si="325"/>
        <v>2023.006S.Togaviridae_32sprenamed.zip</v>
      </c>
      <c r="U7567" s="29" t="str">
        <f>HYPERLINK("https://ictv.global/taxonomy/taxondetails?taxnode_id=202305095","ictv.global=202305095")</f>
        <v>ictv.global=202305095</v>
      </c>
    </row>
    <row r="7568" spans="1:21">
      <c r="A7568">
        <v>7567</v>
      </c>
      <c r="B7568" s="30" t="s">
        <v>1226</v>
      </c>
      <c r="D7568" s="30" t="s">
        <v>2024</v>
      </c>
      <c r="F7568" s="30" t="s">
        <v>2032</v>
      </c>
      <c r="H7568" s="30" t="s">
        <v>2033</v>
      </c>
      <c r="J7568" s="30" t="s">
        <v>2035</v>
      </c>
      <c r="L7568" s="30" t="s">
        <v>231</v>
      </c>
      <c r="N7568" s="30" t="s">
        <v>232</v>
      </c>
      <c r="P7568" s="30" t="s">
        <v>14450</v>
      </c>
      <c r="Q7568" t="s">
        <v>621</v>
      </c>
      <c r="R7568" t="s">
        <v>920</v>
      </c>
      <c r="S7568">
        <v>39</v>
      </c>
      <c r="T7568" s="29" t="str">
        <f t="shared" si="325"/>
        <v>2023.006S.Togaviridae_32sprenamed.zip</v>
      </c>
      <c r="U7568" s="29" t="str">
        <f>HYPERLINK("https://ictv.global/taxonomy/taxondetails?taxnode_id=202305096","ictv.global=202305096")</f>
        <v>ictv.global=202305096</v>
      </c>
    </row>
    <row r="7569" spans="1:21">
      <c r="A7569">
        <v>7568</v>
      </c>
      <c r="B7569" s="30" t="s">
        <v>1226</v>
      </c>
      <c r="D7569" s="30" t="s">
        <v>2024</v>
      </c>
      <c r="F7569" s="30" t="s">
        <v>2032</v>
      </c>
      <c r="H7569" s="30" t="s">
        <v>2033</v>
      </c>
      <c r="J7569" s="30" t="s">
        <v>2035</v>
      </c>
      <c r="L7569" s="30" t="s">
        <v>231</v>
      </c>
      <c r="N7569" s="30" t="s">
        <v>232</v>
      </c>
      <c r="P7569" s="30" t="s">
        <v>14451</v>
      </c>
      <c r="Q7569" t="s">
        <v>621</v>
      </c>
      <c r="R7569" t="s">
        <v>920</v>
      </c>
      <c r="S7569">
        <v>39</v>
      </c>
      <c r="T7569" s="29" t="str">
        <f t="shared" si="325"/>
        <v>2023.006S.Togaviridae_32sprenamed.zip</v>
      </c>
      <c r="U7569" s="29" t="str">
        <f>HYPERLINK("https://ictv.global/taxonomy/taxondetails?taxnode_id=202305097","ictv.global=202305097")</f>
        <v>ictv.global=202305097</v>
      </c>
    </row>
    <row r="7570" spans="1:21">
      <c r="A7570">
        <v>7569</v>
      </c>
      <c r="B7570" s="30" t="s">
        <v>1226</v>
      </c>
      <c r="D7570" s="30" t="s">
        <v>2024</v>
      </c>
      <c r="F7570" s="30" t="s">
        <v>2032</v>
      </c>
      <c r="H7570" s="30" t="s">
        <v>2033</v>
      </c>
      <c r="J7570" s="30" t="s">
        <v>2035</v>
      </c>
      <c r="L7570" s="30" t="s">
        <v>231</v>
      </c>
      <c r="N7570" s="30" t="s">
        <v>232</v>
      </c>
      <c r="P7570" s="30" t="s">
        <v>14452</v>
      </c>
      <c r="Q7570" t="s">
        <v>621</v>
      </c>
      <c r="R7570" t="s">
        <v>920</v>
      </c>
      <c r="S7570">
        <v>39</v>
      </c>
      <c r="T7570" s="29" t="str">
        <f t="shared" si="325"/>
        <v>2023.006S.Togaviridae_32sprenamed.zip</v>
      </c>
      <c r="U7570" s="29" t="str">
        <f>HYPERLINK("https://ictv.global/taxonomy/taxondetails?taxnode_id=202305098","ictv.global=202305098")</f>
        <v>ictv.global=202305098</v>
      </c>
    </row>
    <row r="7571" spans="1:21">
      <c r="A7571">
        <v>7570</v>
      </c>
      <c r="B7571" s="30" t="s">
        <v>1226</v>
      </c>
      <c r="D7571" s="30" t="s">
        <v>2024</v>
      </c>
      <c r="F7571" s="30" t="s">
        <v>2032</v>
      </c>
      <c r="H7571" s="30" t="s">
        <v>2033</v>
      </c>
      <c r="J7571" s="30" t="s">
        <v>2035</v>
      </c>
      <c r="L7571" s="30" t="s">
        <v>231</v>
      </c>
      <c r="N7571" s="30" t="s">
        <v>232</v>
      </c>
      <c r="P7571" s="30" t="s">
        <v>14453</v>
      </c>
      <c r="Q7571" t="s">
        <v>621</v>
      </c>
      <c r="R7571" t="s">
        <v>920</v>
      </c>
      <c r="S7571">
        <v>39</v>
      </c>
      <c r="T7571" s="29" t="str">
        <f t="shared" si="325"/>
        <v>2023.006S.Togaviridae_32sprenamed.zip</v>
      </c>
      <c r="U7571" s="29" t="str">
        <f>HYPERLINK("https://ictv.global/taxonomy/taxondetails?taxnode_id=202305099","ictv.global=202305099")</f>
        <v>ictv.global=202305099</v>
      </c>
    </row>
    <row r="7572" spans="1:21">
      <c r="A7572">
        <v>7571</v>
      </c>
      <c r="B7572" s="30" t="s">
        <v>1226</v>
      </c>
      <c r="D7572" s="30" t="s">
        <v>2024</v>
      </c>
      <c r="F7572" s="30" t="s">
        <v>2032</v>
      </c>
      <c r="H7572" s="30" t="s">
        <v>2033</v>
      </c>
      <c r="J7572" s="30" t="s">
        <v>2035</v>
      </c>
      <c r="L7572" s="30" t="s">
        <v>231</v>
      </c>
      <c r="N7572" s="30" t="s">
        <v>232</v>
      </c>
      <c r="P7572" s="30" t="s">
        <v>14454</v>
      </c>
      <c r="Q7572" t="s">
        <v>621</v>
      </c>
      <c r="R7572" t="s">
        <v>920</v>
      </c>
      <c r="S7572">
        <v>39</v>
      </c>
      <c r="T7572" s="29" t="str">
        <f t="shared" si="325"/>
        <v>2023.006S.Togaviridae_32sprenamed.zip</v>
      </c>
      <c r="U7572" s="29" t="str">
        <f>HYPERLINK("https://ictv.global/taxonomy/taxondetails?taxnode_id=202305102","ictv.global=202305102")</f>
        <v>ictv.global=202305102</v>
      </c>
    </row>
    <row r="7573" spans="1:21">
      <c r="A7573">
        <v>7572</v>
      </c>
      <c r="B7573" s="30" t="s">
        <v>1226</v>
      </c>
      <c r="D7573" s="30" t="s">
        <v>2024</v>
      </c>
      <c r="F7573" s="30" t="s">
        <v>2032</v>
      </c>
      <c r="H7573" s="30" t="s">
        <v>2033</v>
      </c>
      <c r="J7573" s="30" t="s">
        <v>2035</v>
      </c>
      <c r="L7573" s="30" t="s">
        <v>231</v>
      </c>
      <c r="N7573" s="30" t="s">
        <v>232</v>
      </c>
      <c r="P7573" s="30" t="s">
        <v>14455</v>
      </c>
      <c r="Q7573" t="s">
        <v>621</v>
      </c>
      <c r="R7573" t="s">
        <v>920</v>
      </c>
      <c r="S7573">
        <v>39</v>
      </c>
      <c r="T7573" s="29" t="str">
        <f t="shared" si="325"/>
        <v>2023.006S.Togaviridae_32sprenamed.zip</v>
      </c>
      <c r="U7573" s="29" t="str">
        <f>HYPERLINK("https://ictv.global/taxonomy/taxondetails?taxnode_id=202305100","ictv.global=202305100")</f>
        <v>ictv.global=202305100</v>
      </c>
    </row>
    <row r="7574" spans="1:21">
      <c r="A7574">
        <v>7573</v>
      </c>
      <c r="B7574" s="30" t="s">
        <v>1226</v>
      </c>
      <c r="D7574" s="30" t="s">
        <v>2024</v>
      </c>
      <c r="F7574" s="30" t="s">
        <v>2032</v>
      </c>
      <c r="H7574" s="30" t="s">
        <v>2033</v>
      </c>
      <c r="J7574" s="30" t="s">
        <v>2035</v>
      </c>
      <c r="L7574" s="30" t="s">
        <v>231</v>
      </c>
      <c r="N7574" s="30" t="s">
        <v>232</v>
      </c>
      <c r="P7574" s="30" t="s">
        <v>14456</v>
      </c>
      <c r="Q7574" t="s">
        <v>621</v>
      </c>
      <c r="R7574" t="s">
        <v>920</v>
      </c>
      <c r="S7574">
        <v>39</v>
      </c>
      <c r="T7574" s="29" t="str">
        <f t="shared" si="325"/>
        <v>2023.006S.Togaviridae_32sprenamed.zip</v>
      </c>
      <c r="U7574" s="29" t="str">
        <f>HYPERLINK("https://ictv.global/taxonomy/taxondetails?taxnode_id=202305101","ictv.global=202305101")</f>
        <v>ictv.global=202305101</v>
      </c>
    </row>
    <row r="7575" spans="1:21">
      <c r="A7575">
        <v>7574</v>
      </c>
      <c r="B7575" s="30" t="s">
        <v>1226</v>
      </c>
      <c r="D7575" s="30" t="s">
        <v>2024</v>
      </c>
      <c r="F7575" s="30" t="s">
        <v>2032</v>
      </c>
      <c r="H7575" s="30" t="s">
        <v>2033</v>
      </c>
      <c r="J7575" s="30" t="s">
        <v>2035</v>
      </c>
      <c r="L7575" s="30" t="s">
        <v>231</v>
      </c>
      <c r="N7575" s="30" t="s">
        <v>232</v>
      </c>
      <c r="P7575" s="30" t="s">
        <v>14457</v>
      </c>
      <c r="Q7575" t="s">
        <v>621</v>
      </c>
      <c r="R7575" t="s">
        <v>920</v>
      </c>
      <c r="S7575">
        <v>39</v>
      </c>
      <c r="T7575" s="29" t="str">
        <f t="shared" si="325"/>
        <v>2023.006S.Togaviridae_32sprenamed.zip</v>
      </c>
      <c r="U7575" s="29" t="str">
        <f>HYPERLINK("https://ictv.global/taxonomy/taxondetails?taxnode_id=202305103","ictv.global=202305103")</f>
        <v>ictv.global=202305103</v>
      </c>
    </row>
    <row r="7576" spans="1:21">
      <c r="A7576">
        <v>7575</v>
      </c>
      <c r="B7576" s="30" t="s">
        <v>1226</v>
      </c>
      <c r="D7576" s="30" t="s">
        <v>2024</v>
      </c>
      <c r="F7576" s="30" t="s">
        <v>2032</v>
      </c>
      <c r="H7576" s="30" t="s">
        <v>2033</v>
      </c>
      <c r="J7576" s="30" t="s">
        <v>2035</v>
      </c>
      <c r="L7576" s="30" t="s">
        <v>231</v>
      </c>
      <c r="N7576" s="30" t="s">
        <v>232</v>
      </c>
      <c r="P7576" s="30" t="s">
        <v>14458</v>
      </c>
      <c r="Q7576" t="s">
        <v>621</v>
      </c>
      <c r="R7576" t="s">
        <v>920</v>
      </c>
      <c r="S7576">
        <v>39</v>
      </c>
      <c r="T7576" s="29" t="str">
        <f t="shared" si="325"/>
        <v>2023.006S.Togaviridae_32sprenamed.zip</v>
      </c>
      <c r="U7576" s="29" t="str">
        <f>HYPERLINK("https://ictv.global/taxonomy/taxondetails?taxnode_id=202305104","ictv.global=202305104")</f>
        <v>ictv.global=202305104</v>
      </c>
    </row>
    <row r="7577" spans="1:21">
      <c r="A7577">
        <v>7576</v>
      </c>
      <c r="B7577" s="30" t="s">
        <v>1226</v>
      </c>
      <c r="D7577" s="30" t="s">
        <v>2024</v>
      </c>
      <c r="F7577" s="30" t="s">
        <v>2032</v>
      </c>
      <c r="H7577" s="30" t="s">
        <v>2033</v>
      </c>
      <c r="J7577" s="30" t="s">
        <v>2035</v>
      </c>
      <c r="L7577" s="30" t="s">
        <v>231</v>
      </c>
      <c r="N7577" s="30" t="s">
        <v>232</v>
      </c>
      <c r="P7577" s="30" t="s">
        <v>14459</v>
      </c>
      <c r="Q7577" t="s">
        <v>621</v>
      </c>
      <c r="R7577" t="s">
        <v>920</v>
      </c>
      <c r="S7577">
        <v>39</v>
      </c>
      <c r="T7577" s="29" t="str">
        <f t="shared" si="325"/>
        <v>2023.006S.Togaviridae_32sprenamed.zip</v>
      </c>
      <c r="U7577" s="29" t="str">
        <f>HYPERLINK("https://ictv.global/taxonomy/taxondetails?taxnode_id=202305107","ictv.global=202305107")</f>
        <v>ictv.global=202305107</v>
      </c>
    </row>
    <row r="7578" spans="1:21">
      <c r="A7578">
        <v>7577</v>
      </c>
      <c r="B7578" s="30" t="s">
        <v>1226</v>
      </c>
      <c r="D7578" s="30" t="s">
        <v>2024</v>
      </c>
      <c r="F7578" s="30" t="s">
        <v>2032</v>
      </c>
      <c r="H7578" s="30" t="s">
        <v>2033</v>
      </c>
      <c r="J7578" s="30" t="s">
        <v>2035</v>
      </c>
      <c r="L7578" s="30" t="s">
        <v>231</v>
      </c>
      <c r="N7578" s="30" t="s">
        <v>232</v>
      </c>
      <c r="P7578" s="30" t="s">
        <v>14460</v>
      </c>
      <c r="Q7578" t="s">
        <v>621</v>
      </c>
      <c r="R7578" t="s">
        <v>920</v>
      </c>
      <c r="S7578">
        <v>39</v>
      </c>
      <c r="T7578" s="29" t="str">
        <f t="shared" si="325"/>
        <v>2023.006S.Togaviridae_32sprenamed.zip</v>
      </c>
      <c r="U7578" s="29" t="str">
        <f>HYPERLINK("https://ictv.global/taxonomy/taxondetails?taxnode_id=202305105","ictv.global=202305105")</f>
        <v>ictv.global=202305105</v>
      </c>
    </row>
    <row r="7579" spans="1:21">
      <c r="A7579">
        <v>7578</v>
      </c>
      <c r="B7579" s="30" t="s">
        <v>1226</v>
      </c>
      <c r="D7579" s="30" t="s">
        <v>2024</v>
      </c>
      <c r="F7579" s="30" t="s">
        <v>2032</v>
      </c>
      <c r="H7579" s="30" t="s">
        <v>2033</v>
      </c>
      <c r="J7579" s="30" t="s">
        <v>2035</v>
      </c>
      <c r="L7579" s="30" t="s">
        <v>231</v>
      </c>
      <c r="N7579" s="30" t="s">
        <v>232</v>
      </c>
      <c r="P7579" s="30" t="s">
        <v>14461</v>
      </c>
      <c r="Q7579" t="s">
        <v>621</v>
      </c>
      <c r="R7579" t="s">
        <v>920</v>
      </c>
      <c r="S7579">
        <v>39</v>
      </c>
      <c r="T7579" s="29" t="str">
        <f t="shared" si="325"/>
        <v>2023.006S.Togaviridae_32sprenamed.zip</v>
      </c>
      <c r="U7579" s="29" t="str">
        <f>HYPERLINK("https://ictv.global/taxonomy/taxondetails?taxnode_id=202305106","ictv.global=202305106")</f>
        <v>ictv.global=202305106</v>
      </c>
    </row>
    <row r="7580" spans="1:21">
      <c r="A7580">
        <v>7579</v>
      </c>
      <c r="B7580" s="30" t="s">
        <v>1226</v>
      </c>
      <c r="D7580" s="30" t="s">
        <v>2024</v>
      </c>
      <c r="F7580" s="30" t="s">
        <v>2032</v>
      </c>
      <c r="H7580" s="30" t="s">
        <v>2033</v>
      </c>
      <c r="J7580" s="30" t="s">
        <v>2035</v>
      </c>
      <c r="L7580" s="30" t="s">
        <v>231</v>
      </c>
      <c r="N7580" s="30" t="s">
        <v>232</v>
      </c>
      <c r="P7580" s="30" t="s">
        <v>14462</v>
      </c>
      <c r="Q7580" t="s">
        <v>621</v>
      </c>
      <c r="R7580" t="s">
        <v>920</v>
      </c>
      <c r="S7580">
        <v>39</v>
      </c>
      <c r="T7580" s="29" t="str">
        <f t="shared" si="325"/>
        <v>2023.006S.Togaviridae_32sprenamed.zip</v>
      </c>
      <c r="U7580" s="29" t="str">
        <f>HYPERLINK("https://ictv.global/taxonomy/taxondetails?taxnode_id=202305108","ictv.global=202305108")</f>
        <v>ictv.global=202305108</v>
      </c>
    </row>
    <row r="7581" spans="1:21">
      <c r="A7581">
        <v>7580</v>
      </c>
      <c r="B7581" s="30" t="s">
        <v>1226</v>
      </c>
      <c r="D7581" s="30" t="s">
        <v>2024</v>
      </c>
      <c r="F7581" s="30" t="s">
        <v>2032</v>
      </c>
      <c r="H7581" s="30" t="s">
        <v>2033</v>
      </c>
      <c r="J7581" s="30" t="s">
        <v>2035</v>
      </c>
      <c r="L7581" s="30" t="s">
        <v>231</v>
      </c>
      <c r="N7581" s="30" t="s">
        <v>232</v>
      </c>
      <c r="P7581" s="30" t="s">
        <v>14463</v>
      </c>
      <c r="Q7581" t="s">
        <v>621</v>
      </c>
      <c r="R7581" t="s">
        <v>920</v>
      </c>
      <c r="S7581">
        <v>39</v>
      </c>
      <c r="T7581" s="29" t="str">
        <f t="shared" si="325"/>
        <v>2023.006S.Togaviridae_32sprenamed.zip</v>
      </c>
      <c r="U7581" s="29" t="str">
        <f>HYPERLINK("https://ictv.global/taxonomy/taxondetails?taxnode_id=202305109","ictv.global=202305109")</f>
        <v>ictv.global=202305109</v>
      </c>
    </row>
    <row r="7582" spans="1:21">
      <c r="A7582">
        <v>7581</v>
      </c>
      <c r="B7582" s="30" t="s">
        <v>1226</v>
      </c>
      <c r="D7582" s="30" t="s">
        <v>2024</v>
      </c>
      <c r="F7582" s="30" t="s">
        <v>2032</v>
      </c>
      <c r="H7582" s="30" t="s">
        <v>2033</v>
      </c>
      <c r="J7582" s="30" t="s">
        <v>2035</v>
      </c>
      <c r="L7582" s="30" t="s">
        <v>231</v>
      </c>
      <c r="N7582" s="30" t="s">
        <v>232</v>
      </c>
      <c r="P7582" s="30" t="s">
        <v>14464</v>
      </c>
      <c r="Q7582" t="s">
        <v>621</v>
      </c>
      <c r="R7582" t="s">
        <v>920</v>
      </c>
      <c r="S7582">
        <v>39</v>
      </c>
      <c r="T7582" s="29" t="str">
        <f t="shared" si="325"/>
        <v>2023.006S.Togaviridae_32sprenamed.zip</v>
      </c>
      <c r="U7582" s="29" t="str">
        <f>HYPERLINK("https://ictv.global/taxonomy/taxondetails?taxnode_id=202305110","ictv.global=202305110")</f>
        <v>ictv.global=202305110</v>
      </c>
    </row>
    <row r="7583" spans="1:21">
      <c r="A7583">
        <v>7582</v>
      </c>
      <c r="B7583" s="30" t="s">
        <v>1226</v>
      </c>
      <c r="D7583" s="30" t="s">
        <v>2024</v>
      </c>
      <c r="F7583" s="30" t="s">
        <v>2032</v>
      </c>
      <c r="H7583" s="30" t="s">
        <v>2033</v>
      </c>
      <c r="J7583" s="30" t="s">
        <v>2035</v>
      </c>
      <c r="L7583" s="30" t="s">
        <v>231</v>
      </c>
      <c r="N7583" s="30" t="s">
        <v>232</v>
      </c>
      <c r="P7583" s="30" t="s">
        <v>14465</v>
      </c>
      <c r="Q7583" t="s">
        <v>621</v>
      </c>
      <c r="R7583" t="s">
        <v>920</v>
      </c>
      <c r="S7583">
        <v>39</v>
      </c>
      <c r="T7583" s="29" t="str">
        <f t="shared" si="325"/>
        <v>2023.006S.Togaviridae_32sprenamed.zip</v>
      </c>
      <c r="U7583" s="29" t="str">
        <f>HYPERLINK("https://ictv.global/taxonomy/taxondetails?taxnode_id=202305111","ictv.global=202305111")</f>
        <v>ictv.global=202305111</v>
      </c>
    </row>
    <row r="7584" spans="1:21">
      <c r="A7584">
        <v>7583</v>
      </c>
      <c r="B7584" s="30" t="s">
        <v>1226</v>
      </c>
      <c r="D7584" s="30" t="s">
        <v>2024</v>
      </c>
      <c r="F7584" s="30" t="s">
        <v>2032</v>
      </c>
      <c r="H7584" s="30" t="s">
        <v>2033</v>
      </c>
      <c r="J7584" s="30" t="s">
        <v>2035</v>
      </c>
      <c r="L7584" s="30" t="s">
        <v>231</v>
      </c>
      <c r="N7584" s="30" t="s">
        <v>232</v>
      </c>
      <c r="P7584" s="30" t="s">
        <v>14466</v>
      </c>
      <c r="Q7584" t="s">
        <v>621</v>
      </c>
      <c r="R7584" t="s">
        <v>920</v>
      </c>
      <c r="S7584">
        <v>39</v>
      </c>
      <c r="T7584" s="29" t="str">
        <f t="shared" si="325"/>
        <v>2023.006S.Togaviridae_32sprenamed.zip</v>
      </c>
      <c r="U7584" s="29" t="str">
        <f>HYPERLINK("https://ictv.global/taxonomy/taxondetails?taxnode_id=202305112","ictv.global=202305112")</f>
        <v>ictv.global=202305112</v>
      </c>
    </row>
    <row r="7585" spans="1:21">
      <c r="A7585">
        <v>7584</v>
      </c>
      <c r="B7585" s="30" t="s">
        <v>1226</v>
      </c>
      <c r="D7585" s="30" t="s">
        <v>2024</v>
      </c>
      <c r="F7585" s="30" t="s">
        <v>2032</v>
      </c>
      <c r="H7585" s="30" t="s">
        <v>2033</v>
      </c>
      <c r="J7585" s="30" t="s">
        <v>2035</v>
      </c>
      <c r="L7585" s="30" t="s">
        <v>231</v>
      </c>
      <c r="N7585" s="30" t="s">
        <v>232</v>
      </c>
      <c r="P7585" s="30" t="s">
        <v>14467</v>
      </c>
      <c r="Q7585" t="s">
        <v>621</v>
      </c>
      <c r="R7585" t="s">
        <v>920</v>
      </c>
      <c r="S7585">
        <v>39</v>
      </c>
      <c r="T7585" s="29" t="str">
        <f t="shared" si="325"/>
        <v>2023.006S.Togaviridae_32sprenamed.zip</v>
      </c>
      <c r="U7585" s="29" t="str">
        <f>HYPERLINK("https://ictv.global/taxonomy/taxondetails?taxnode_id=202305113","ictv.global=202305113")</f>
        <v>ictv.global=202305113</v>
      </c>
    </row>
    <row r="7586" spans="1:21">
      <c r="A7586">
        <v>7585</v>
      </c>
      <c r="B7586" s="30" t="s">
        <v>1226</v>
      </c>
      <c r="D7586" s="30" t="s">
        <v>2024</v>
      </c>
      <c r="F7586" s="30" t="s">
        <v>2032</v>
      </c>
      <c r="H7586" s="30" t="s">
        <v>2033</v>
      </c>
      <c r="J7586" s="30" t="s">
        <v>2035</v>
      </c>
      <c r="L7586" s="30" t="s">
        <v>466</v>
      </c>
      <c r="N7586" s="30" t="s">
        <v>330</v>
      </c>
      <c r="P7586" s="30" t="s">
        <v>14468</v>
      </c>
      <c r="Q7586" t="s">
        <v>621</v>
      </c>
      <c r="R7586" t="s">
        <v>920</v>
      </c>
      <c r="S7586">
        <v>39</v>
      </c>
      <c r="T7586" s="29" t="str">
        <f t="shared" ref="T7586:T7617" si="326">HYPERLINK("https://ictv.global/ictv/proposals/2023.016P.Virgaviridae_and_Benyviridae_rename_sp.zip","2023.016P.Virgaviridae_and_Benyviridae_rename_sp.zip")</f>
        <v>2023.016P.Virgaviridae_and_Benyviridae_rename_sp.zip</v>
      </c>
      <c r="U7586" s="29" t="str">
        <f>HYPERLINK("https://ictv.global/taxonomy/taxondetails?taxnode_id=202305399","ictv.global=202305399")</f>
        <v>ictv.global=202305399</v>
      </c>
    </row>
    <row r="7587" spans="1:21">
      <c r="A7587">
        <v>7586</v>
      </c>
      <c r="B7587" s="30" t="s">
        <v>1226</v>
      </c>
      <c r="D7587" s="30" t="s">
        <v>2024</v>
      </c>
      <c r="F7587" s="30" t="s">
        <v>2032</v>
      </c>
      <c r="H7587" s="30" t="s">
        <v>2033</v>
      </c>
      <c r="J7587" s="30" t="s">
        <v>2035</v>
      </c>
      <c r="L7587" s="30" t="s">
        <v>466</v>
      </c>
      <c r="N7587" s="30" t="s">
        <v>330</v>
      </c>
      <c r="P7587" s="30" t="s">
        <v>14469</v>
      </c>
      <c r="Q7587" t="s">
        <v>621</v>
      </c>
      <c r="R7587" t="s">
        <v>920</v>
      </c>
      <c r="S7587">
        <v>39</v>
      </c>
      <c r="T7587" s="29" t="str">
        <f t="shared" si="326"/>
        <v>2023.016P.Virgaviridae_and_Benyviridae_rename_sp.zip</v>
      </c>
      <c r="U7587" s="29" t="str">
        <f>HYPERLINK("https://ictv.global/taxonomy/taxondetails?taxnode_id=202305400","ictv.global=202305400")</f>
        <v>ictv.global=202305400</v>
      </c>
    </row>
    <row r="7588" spans="1:21">
      <c r="A7588">
        <v>7587</v>
      </c>
      <c r="B7588" s="30" t="s">
        <v>1226</v>
      </c>
      <c r="D7588" s="30" t="s">
        <v>2024</v>
      </c>
      <c r="F7588" s="30" t="s">
        <v>2032</v>
      </c>
      <c r="H7588" s="30" t="s">
        <v>2033</v>
      </c>
      <c r="J7588" s="30" t="s">
        <v>2035</v>
      </c>
      <c r="L7588" s="30" t="s">
        <v>466</v>
      </c>
      <c r="N7588" s="30" t="s">
        <v>330</v>
      </c>
      <c r="P7588" s="30" t="s">
        <v>14470</v>
      </c>
      <c r="Q7588" t="s">
        <v>621</v>
      </c>
      <c r="R7588" t="s">
        <v>920</v>
      </c>
      <c r="S7588">
        <v>39</v>
      </c>
      <c r="T7588" s="29" t="str">
        <f t="shared" si="326"/>
        <v>2023.016P.Virgaviridae_and_Benyviridae_rename_sp.zip</v>
      </c>
      <c r="U7588" s="29" t="str">
        <f>HYPERLINK("https://ictv.global/taxonomy/taxondetails?taxnode_id=202305397","ictv.global=202305397")</f>
        <v>ictv.global=202305397</v>
      </c>
    </row>
    <row r="7589" spans="1:21">
      <c r="A7589">
        <v>7588</v>
      </c>
      <c r="B7589" s="30" t="s">
        <v>1226</v>
      </c>
      <c r="D7589" s="30" t="s">
        <v>2024</v>
      </c>
      <c r="F7589" s="30" t="s">
        <v>2032</v>
      </c>
      <c r="H7589" s="30" t="s">
        <v>2033</v>
      </c>
      <c r="J7589" s="30" t="s">
        <v>2035</v>
      </c>
      <c r="L7589" s="30" t="s">
        <v>466</v>
      </c>
      <c r="N7589" s="30" t="s">
        <v>330</v>
      </c>
      <c r="P7589" s="30" t="s">
        <v>14471</v>
      </c>
      <c r="Q7589" t="s">
        <v>621</v>
      </c>
      <c r="R7589" t="s">
        <v>920</v>
      </c>
      <c r="S7589">
        <v>39</v>
      </c>
      <c r="T7589" s="29" t="str">
        <f t="shared" si="326"/>
        <v>2023.016P.Virgaviridae_and_Benyviridae_rename_sp.zip</v>
      </c>
      <c r="U7589" s="29" t="str">
        <f>HYPERLINK("https://ictv.global/taxonomy/taxondetails?taxnode_id=202305398","ictv.global=202305398")</f>
        <v>ictv.global=202305398</v>
      </c>
    </row>
    <row r="7590" spans="1:21">
      <c r="A7590">
        <v>7589</v>
      </c>
      <c r="B7590" s="30" t="s">
        <v>1226</v>
      </c>
      <c r="D7590" s="30" t="s">
        <v>2024</v>
      </c>
      <c r="F7590" s="30" t="s">
        <v>2032</v>
      </c>
      <c r="H7590" s="30" t="s">
        <v>2033</v>
      </c>
      <c r="J7590" s="30" t="s">
        <v>2035</v>
      </c>
      <c r="L7590" s="30" t="s">
        <v>466</v>
      </c>
      <c r="N7590" s="30" t="s">
        <v>330</v>
      </c>
      <c r="P7590" s="30" t="s">
        <v>14472</v>
      </c>
      <c r="Q7590" t="s">
        <v>621</v>
      </c>
      <c r="R7590" t="s">
        <v>920</v>
      </c>
      <c r="S7590">
        <v>39</v>
      </c>
      <c r="T7590" s="29" t="str">
        <f t="shared" si="326"/>
        <v>2023.016P.Virgaviridae_and_Benyviridae_rename_sp.zip</v>
      </c>
      <c r="U7590" s="29" t="str">
        <f>HYPERLINK("https://ictv.global/taxonomy/taxondetails?taxnode_id=202305402","ictv.global=202305402")</f>
        <v>ictv.global=202305402</v>
      </c>
    </row>
    <row r="7591" spans="1:21">
      <c r="A7591">
        <v>7590</v>
      </c>
      <c r="B7591" s="30" t="s">
        <v>1226</v>
      </c>
      <c r="D7591" s="30" t="s">
        <v>2024</v>
      </c>
      <c r="F7591" s="30" t="s">
        <v>2032</v>
      </c>
      <c r="H7591" s="30" t="s">
        <v>2033</v>
      </c>
      <c r="J7591" s="30" t="s">
        <v>2035</v>
      </c>
      <c r="L7591" s="30" t="s">
        <v>466</v>
      </c>
      <c r="N7591" s="30" t="s">
        <v>330</v>
      </c>
      <c r="P7591" s="30" t="s">
        <v>14473</v>
      </c>
      <c r="Q7591" t="s">
        <v>621</v>
      </c>
      <c r="R7591" t="s">
        <v>920</v>
      </c>
      <c r="S7591">
        <v>39</v>
      </c>
      <c r="T7591" s="29" t="str">
        <f t="shared" si="326"/>
        <v>2023.016P.Virgaviridae_and_Benyviridae_rename_sp.zip</v>
      </c>
      <c r="U7591" s="29" t="str">
        <f>HYPERLINK("https://ictv.global/taxonomy/taxondetails?taxnode_id=202305401","ictv.global=202305401")</f>
        <v>ictv.global=202305401</v>
      </c>
    </row>
    <row r="7592" spans="1:21">
      <c r="A7592">
        <v>7591</v>
      </c>
      <c r="B7592" s="30" t="s">
        <v>1226</v>
      </c>
      <c r="D7592" s="30" t="s">
        <v>2024</v>
      </c>
      <c r="F7592" s="30" t="s">
        <v>2032</v>
      </c>
      <c r="H7592" s="30" t="s">
        <v>2033</v>
      </c>
      <c r="J7592" s="30" t="s">
        <v>2035</v>
      </c>
      <c r="L7592" s="30" t="s">
        <v>466</v>
      </c>
      <c r="N7592" s="30" t="s">
        <v>802</v>
      </c>
      <c r="P7592" s="30" t="s">
        <v>14474</v>
      </c>
      <c r="Q7592" t="s">
        <v>621</v>
      </c>
      <c r="R7592" t="s">
        <v>920</v>
      </c>
      <c r="S7592">
        <v>39</v>
      </c>
      <c r="T7592" s="29" t="str">
        <f t="shared" si="326"/>
        <v>2023.016P.Virgaviridae_and_Benyviridae_rename_sp.zip</v>
      </c>
      <c r="U7592" s="29" t="str">
        <f>HYPERLINK("https://ictv.global/taxonomy/taxondetails?taxnode_id=202305404","ictv.global=202305404")</f>
        <v>ictv.global=202305404</v>
      </c>
    </row>
    <row r="7593" spans="1:21">
      <c r="A7593">
        <v>7592</v>
      </c>
      <c r="B7593" s="30" t="s">
        <v>1226</v>
      </c>
      <c r="D7593" s="30" t="s">
        <v>2024</v>
      </c>
      <c r="F7593" s="30" t="s">
        <v>2032</v>
      </c>
      <c r="H7593" s="30" t="s">
        <v>2033</v>
      </c>
      <c r="J7593" s="30" t="s">
        <v>2035</v>
      </c>
      <c r="L7593" s="30" t="s">
        <v>466</v>
      </c>
      <c r="N7593" s="30" t="s">
        <v>802</v>
      </c>
      <c r="P7593" s="30" t="s">
        <v>14475</v>
      </c>
      <c r="Q7593" t="s">
        <v>621</v>
      </c>
      <c r="R7593" t="s">
        <v>920</v>
      </c>
      <c r="S7593">
        <v>39</v>
      </c>
      <c r="T7593" s="29" t="str">
        <f t="shared" si="326"/>
        <v>2023.016P.Virgaviridae_and_Benyviridae_rename_sp.zip</v>
      </c>
      <c r="U7593" s="29" t="str">
        <f>HYPERLINK("https://ictv.global/taxonomy/taxondetails?taxnode_id=202305405","ictv.global=202305405")</f>
        <v>ictv.global=202305405</v>
      </c>
    </row>
    <row r="7594" spans="1:21">
      <c r="A7594">
        <v>7593</v>
      </c>
      <c r="B7594" s="30" t="s">
        <v>1226</v>
      </c>
      <c r="D7594" s="30" t="s">
        <v>2024</v>
      </c>
      <c r="F7594" s="30" t="s">
        <v>2032</v>
      </c>
      <c r="H7594" s="30" t="s">
        <v>2033</v>
      </c>
      <c r="J7594" s="30" t="s">
        <v>2035</v>
      </c>
      <c r="L7594" s="30" t="s">
        <v>466</v>
      </c>
      <c r="N7594" s="30" t="s">
        <v>124</v>
      </c>
      <c r="P7594" s="30" t="s">
        <v>14476</v>
      </c>
      <c r="Q7594" t="s">
        <v>621</v>
      </c>
      <c r="R7594" t="s">
        <v>920</v>
      </c>
      <c r="S7594">
        <v>39</v>
      </c>
      <c r="T7594" s="29" t="str">
        <f t="shared" si="326"/>
        <v>2023.016P.Virgaviridae_and_Benyviridae_rename_sp.zip</v>
      </c>
      <c r="U7594" s="29" t="str">
        <f>HYPERLINK("https://ictv.global/taxonomy/taxondetails?taxnode_id=202305407","ictv.global=202305407")</f>
        <v>ictv.global=202305407</v>
      </c>
    </row>
    <row r="7595" spans="1:21">
      <c r="A7595">
        <v>7594</v>
      </c>
      <c r="B7595" s="30" t="s">
        <v>1226</v>
      </c>
      <c r="D7595" s="30" t="s">
        <v>2024</v>
      </c>
      <c r="F7595" s="30" t="s">
        <v>2032</v>
      </c>
      <c r="H7595" s="30" t="s">
        <v>2033</v>
      </c>
      <c r="J7595" s="30" t="s">
        <v>2035</v>
      </c>
      <c r="L7595" s="30" t="s">
        <v>466</v>
      </c>
      <c r="N7595" s="30" t="s">
        <v>124</v>
      </c>
      <c r="P7595" s="30" t="s">
        <v>14477</v>
      </c>
      <c r="Q7595" t="s">
        <v>621</v>
      </c>
      <c r="R7595" t="s">
        <v>920</v>
      </c>
      <c r="S7595">
        <v>39</v>
      </c>
      <c r="T7595" s="29" t="str">
        <f t="shared" si="326"/>
        <v>2023.016P.Virgaviridae_and_Benyviridae_rename_sp.zip</v>
      </c>
      <c r="U7595" s="29" t="str">
        <f>HYPERLINK("https://ictv.global/taxonomy/taxondetails?taxnode_id=202305408","ictv.global=202305408")</f>
        <v>ictv.global=202305408</v>
      </c>
    </row>
    <row r="7596" spans="1:21">
      <c r="A7596">
        <v>7595</v>
      </c>
      <c r="B7596" s="30" t="s">
        <v>1226</v>
      </c>
      <c r="D7596" s="30" t="s">
        <v>2024</v>
      </c>
      <c r="F7596" s="30" t="s">
        <v>2032</v>
      </c>
      <c r="H7596" s="30" t="s">
        <v>2033</v>
      </c>
      <c r="J7596" s="30" t="s">
        <v>2035</v>
      </c>
      <c r="L7596" s="30" t="s">
        <v>466</v>
      </c>
      <c r="N7596" s="30" t="s">
        <v>124</v>
      </c>
      <c r="P7596" s="30" t="s">
        <v>14478</v>
      </c>
      <c r="Q7596" t="s">
        <v>621</v>
      </c>
      <c r="R7596" t="s">
        <v>920</v>
      </c>
      <c r="S7596">
        <v>39</v>
      </c>
      <c r="T7596" s="29" t="str">
        <f t="shared" si="326"/>
        <v>2023.016P.Virgaviridae_and_Benyviridae_rename_sp.zip</v>
      </c>
      <c r="U7596" s="29" t="str">
        <f>HYPERLINK("https://ictv.global/taxonomy/taxondetails?taxnode_id=202305409","ictv.global=202305409")</f>
        <v>ictv.global=202305409</v>
      </c>
    </row>
    <row r="7597" spans="1:21">
      <c r="A7597">
        <v>7596</v>
      </c>
      <c r="B7597" s="30" t="s">
        <v>1226</v>
      </c>
      <c r="D7597" s="30" t="s">
        <v>2024</v>
      </c>
      <c r="F7597" s="30" t="s">
        <v>2032</v>
      </c>
      <c r="H7597" s="30" t="s">
        <v>2033</v>
      </c>
      <c r="J7597" s="30" t="s">
        <v>2035</v>
      </c>
      <c r="L7597" s="30" t="s">
        <v>466</v>
      </c>
      <c r="N7597" s="30" t="s">
        <v>124</v>
      </c>
      <c r="P7597" s="30" t="s">
        <v>14479</v>
      </c>
      <c r="Q7597" t="s">
        <v>621</v>
      </c>
      <c r="R7597" t="s">
        <v>920</v>
      </c>
      <c r="S7597">
        <v>39</v>
      </c>
      <c r="T7597" s="29" t="str">
        <f t="shared" si="326"/>
        <v>2023.016P.Virgaviridae_and_Benyviridae_rename_sp.zip</v>
      </c>
      <c r="U7597" s="29" t="str">
        <f>HYPERLINK("https://ictv.global/taxonomy/taxondetails?taxnode_id=202305410","ictv.global=202305410")</f>
        <v>ictv.global=202305410</v>
      </c>
    </row>
    <row r="7598" spans="1:21">
      <c r="A7598">
        <v>7597</v>
      </c>
      <c r="B7598" s="30" t="s">
        <v>1226</v>
      </c>
      <c r="D7598" s="30" t="s">
        <v>2024</v>
      </c>
      <c r="F7598" s="30" t="s">
        <v>2032</v>
      </c>
      <c r="H7598" s="30" t="s">
        <v>2033</v>
      </c>
      <c r="J7598" s="30" t="s">
        <v>2035</v>
      </c>
      <c r="L7598" s="30" t="s">
        <v>466</v>
      </c>
      <c r="N7598" s="30" t="s">
        <v>130</v>
      </c>
      <c r="P7598" s="30" t="s">
        <v>14480</v>
      </c>
      <c r="Q7598" t="s">
        <v>621</v>
      </c>
      <c r="R7598" t="s">
        <v>920</v>
      </c>
      <c r="S7598">
        <v>39</v>
      </c>
      <c r="T7598" s="29" t="str">
        <f t="shared" si="326"/>
        <v>2023.016P.Virgaviridae_and_Benyviridae_rename_sp.zip</v>
      </c>
      <c r="U7598" s="29" t="str">
        <f>HYPERLINK("https://ictv.global/taxonomy/taxondetails?taxnode_id=202305413","ictv.global=202305413")</f>
        <v>ictv.global=202305413</v>
      </c>
    </row>
    <row r="7599" spans="1:21">
      <c r="A7599">
        <v>7598</v>
      </c>
      <c r="B7599" s="30" t="s">
        <v>1226</v>
      </c>
      <c r="D7599" s="30" t="s">
        <v>2024</v>
      </c>
      <c r="F7599" s="30" t="s">
        <v>2032</v>
      </c>
      <c r="H7599" s="30" t="s">
        <v>2033</v>
      </c>
      <c r="J7599" s="30" t="s">
        <v>2035</v>
      </c>
      <c r="L7599" s="30" t="s">
        <v>466</v>
      </c>
      <c r="N7599" s="30" t="s">
        <v>130</v>
      </c>
      <c r="P7599" s="30" t="s">
        <v>14481</v>
      </c>
      <c r="Q7599" t="s">
        <v>621</v>
      </c>
      <c r="R7599" t="s">
        <v>920</v>
      </c>
      <c r="S7599">
        <v>39</v>
      </c>
      <c r="T7599" s="29" t="str">
        <f t="shared" si="326"/>
        <v>2023.016P.Virgaviridae_and_Benyviridae_rename_sp.zip</v>
      </c>
      <c r="U7599" s="29" t="str">
        <f>HYPERLINK("https://ictv.global/taxonomy/taxondetails?taxnode_id=202305412","ictv.global=202305412")</f>
        <v>ictv.global=202305412</v>
      </c>
    </row>
    <row r="7600" spans="1:21">
      <c r="A7600">
        <v>7599</v>
      </c>
      <c r="B7600" s="30" t="s">
        <v>1226</v>
      </c>
      <c r="D7600" s="30" t="s">
        <v>2024</v>
      </c>
      <c r="F7600" s="30" t="s">
        <v>2032</v>
      </c>
      <c r="H7600" s="30" t="s">
        <v>2033</v>
      </c>
      <c r="J7600" s="30" t="s">
        <v>2035</v>
      </c>
      <c r="L7600" s="30" t="s">
        <v>466</v>
      </c>
      <c r="N7600" s="30" t="s">
        <v>149</v>
      </c>
      <c r="P7600" s="30" t="s">
        <v>14482</v>
      </c>
      <c r="Q7600" t="s">
        <v>621</v>
      </c>
      <c r="R7600" t="s">
        <v>920</v>
      </c>
      <c r="S7600">
        <v>39</v>
      </c>
      <c r="T7600" s="29" t="str">
        <f t="shared" si="326"/>
        <v>2023.016P.Virgaviridae_and_Benyviridae_rename_sp.zip</v>
      </c>
      <c r="U7600" s="29" t="str">
        <f>HYPERLINK("https://ictv.global/taxonomy/taxondetails?taxnode_id=202305416","ictv.global=202305416")</f>
        <v>ictv.global=202305416</v>
      </c>
    </row>
    <row r="7601" spans="1:21">
      <c r="A7601">
        <v>7600</v>
      </c>
      <c r="B7601" s="30" t="s">
        <v>1226</v>
      </c>
      <c r="D7601" s="30" t="s">
        <v>2024</v>
      </c>
      <c r="F7601" s="30" t="s">
        <v>2032</v>
      </c>
      <c r="H7601" s="30" t="s">
        <v>2033</v>
      </c>
      <c r="J7601" s="30" t="s">
        <v>2035</v>
      </c>
      <c r="L7601" s="30" t="s">
        <v>466</v>
      </c>
      <c r="N7601" s="30" t="s">
        <v>149</v>
      </c>
      <c r="P7601" s="30" t="s">
        <v>14483</v>
      </c>
      <c r="Q7601" t="s">
        <v>621</v>
      </c>
      <c r="R7601" t="s">
        <v>920</v>
      </c>
      <c r="S7601">
        <v>39</v>
      </c>
      <c r="T7601" s="29" t="str">
        <f t="shared" si="326"/>
        <v>2023.016P.Virgaviridae_and_Benyviridae_rename_sp.zip</v>
      </c>
      <c r="U7601" s="29" t="str">
        <f>HYPERLINK("https://ictv.global/taxonomy/taxondetails?taxnode_id=202305418","ictv.global=202305418")</f>
        <v>ictv.global=202305418</v>
      </c>
    </row>
    <row r="7602" spans="1:21">
      <c r="A7602">
        <v>7601</v>
      </c>
      <c r="B7602" s="30" t="s">
        <v>1226</v>
      </c>
      <c r="D7602" s="30" t="s">
        <v>2024</v>
      </c>
      <c r="F7602" s="30" t="s">
        <v>2032</v>
      </c>
      <c r="H7602" s="30" t="s">
        <v>2033</v>
      </c>
      <c r="J7602" s="30" t="s">
        <v>2035</v>
      </c>
      <c r="L7602" s="30" t="s">
        <v>466</v>
      </c>
      <c r="N7602" s="30" t="s">
        <v>149</v>
      </c>
      <c r="P7602" s="30" t="s">
        <v>14484</v>
      </c>
      <c r="Q7602" t="s">
        <v>621</v>
      </c>
      <c r="R7602" t="s">
        <v>920</v>
      </c>
      <c r="S7602">
        <v>39</v>
      </c>
      <c r="T7602" s="29" t="str">
        <f t="shared" si="326"/>
        <v>2023.016P.Virgaviridae_and_Benyviridae_rename_sp.zip</v>
      </c>
      <c r="U7602" s="29" t="str">
        <f>HYPERLINK("https://ictv.global/taxonomy/taxondetails?taxnode_id=202305419","ictv.global=202305419")</f>
        <v>ictv.global=202305419</v>
      </c>
    </row>
    <row r="7603" spans="1:21">
      <c r="A7603">
        <v>7602</v>
      </c>
      <c r="B7603" s="30" t="s">
        <v>1226</v>
      </c>
      <c r="D7603" s="30" t="s">
        <v>2024</v>
      </c>
      <c r="F7603" s="30" t="s">
        <v>2032</v>
      </c>
      <c r="H7603" s="30" t="s">
        <v>2033</v>
      </c>
      <c r="J7603" s="30" t="s">
        <v>2035</v>
      </c>
      <c r="L7603" s="30" t="s">
        <v>466</v>
      </c>
      <c r="N7603" s="30" t="s">
        <v>149</v>
      </c>
      <c r="P7603" s="30" t="s">
        <v>14485</v>
      </c>
      <c r="Q7603" t="s">
        <v>621</v>
      </c>
      <c r="R7603" t="s">
        <v>920</v>
      </c>
      <c r="S7603">
        <v>39</v>
      </c>
      <c r="T7603" s="29" t="str">
        <f t="shared" si="326"/>
        <v>2023.016P.Virgaviridae_and_Benyviridae_rename_sp.zip</v>
      </c>
      <c r="U7603" s="29" t="str">
        <f>HYPERLINK("https://ictv.global/taxonomy/taxondetails?taxnode_id=202305415","ictv.global=202305415")</f>
        <v>ictv.global=202305415</v>
      </c>
    </row>
    <row r="7604" spans="1:21">
      <c r="A7604">
        <v>7603</v>
      </c>
      <c r="B7604" s="30" t="s">
        <v>1226</v>
      </c>
      <c r="D7604" s="30" t="s">
        <v>2024</v>
      </c>
      <c r="F7604" s="30" t="s">
        <v>2032</v>
      </c>
      <c r="H7604" s="30" t="s">
        <v>2033</v>
      </c>
      <c r="J7604" s="30" t="s">
        <v>2035</v>
      </c>
      <c r="L7604" s="30" t="s">
        <v>466</v>
      </c>
      <c r="N7604" s="30" t="s">
        <v>149</v>
      </c>
      <c r="P7604" s="30" t="s">
        <v>14486</v>
      </c>
      <c r="Q7604" t="s">
        <v>621</v>
      </c>
      <c r="R7604" t="s">
        <v>920</v>
      </c>
      <c r="S7604">
        <v>39</v>
      </c>
      <c r="T7604" s="29" t="str">
        <f t="shared" si="326"/>
        <v>2023.016P.Virgaviridae_and_Benyviridae_rename_sp.zip</v>
      </c>
      <c r="U7604" s="29" t="str">
        <f>HYPERLINK("https://ictv.global/taxonomy/taxondetails?taxnode_id=202305417","ictv.global=202305417")</f>
        <v>ictv.global=202305417</v>
      </c>
    </row>
    <row r="7605" spans="1:21">
      <c r="A7605">
        <v>7604</v>
      </c>
      <c r="B7605" s="30" t="s">
        <v>1226</v>
      </c>
      <c r="D7605" s="30" t="s">
        <v>2024</v>
      </c>
      <c r="F7605" s="30" t="s">
        <v>2032</v>
      </c>
      <c r="H7605" s="30" t="s">
        <v>2033</v>
      </c>
      <c r="J7605" s="30" t="s">
        <v>2035</v>
      </c>
      <c r="L7605" s="30" t="s">
        <v>466</v>
      </c>
      <c r="N7605" s="30" t="s">
        <v>156</v>
      </c>
      <c r="P7605" s="30" t="s">
        <v>14487</v>
      </c>
      <c r="Q7605" t="s">
        <v>621</v>
      </c>
      <c r="R7605" t="s">
        <v>920</v>
      </c>
      <c r="S7605">
        <v>39</v>
      </c>
      <c r="T7605" s="29" t="str">
        <f t="shared" si="326"/>
        <v>2023.016P.Virgaviridae_and_Benyviridae_rename_sp.zip</v>
      </c>
      <c r="U7605" s="29" t="str">
        <f>HYPERLINK("https://ictv.global/taxonomy/taxondetails?taxnode_id=202305455","ictv.global=202305455")</f>
        <v>ictv.global=202305455</v>
      </c>
    </row>
    <row r="7606" spans="1:21">
      <c r="A7606">
        <v>7605</v>
      </c>
      <c r="B7606" s="30" t="s">
        <v>1226</v>
      </c>
      <c r="D7606" s="30" t="s">
        <v>2024</v>
      </c>
      <c r="F7606" s="30" t="s">
        <v>2032</v>
      </c>
      <c r="H7606" s="30" t="s">
        <v>2033</v>
      </c>
      <c r="J7606" s="30" t="s">
        <v>2035</v>
      </c>
      <c r="L7606" s="30" t="s">
        <v>466</v>
      </c>
      <c r="N7606" s="30" t="s">
        <v>156</v>
      </c>
      <c r="P7606" s="30" t="s">
        <v>14488</v>
      </c>
      <c r="Q7606" t="s">
        <v>621</v>
      </c>
      <c r="R7606" t="s">
        <v>920</v>
      </c>
      <c r="S7606">
        <v>39</v>
      </c>
      <c r="T7606" s="29" t="str">
        <f t="shared" si="326"/>
        <v>2023.016P.Virgaviridae_and_Benyviridae_rename_sp.zip</v>
      </c>
      <c r="U7606" s="29" t="str">
        <f>HYPERLINK("https://ictv.global/taxonomy/taxondetails?taxnode_id=202305422","ictv.global=202305422")</f>
        <v>ictv.global=202305422</v>
      </c>
    </row>
    <row r="7607" spans="1:21">
      <c r="A7607">
        <v>7606</v>
      </c>
      <c r="B7607" s="30" t="s">
        <v>1226</v>
      </c>
      <c r="D7607" s="30" t="s">
        <v>2024</v>
      </c>
      <c r="F7607" s="30" t="s">
        <v>2032</v>
      </c>
      <c r="H7607" s="30" t="s">
        <v>2033</v>
      </c>
      <c r="J7607" s="30" t="s">
        <v>2035</v>
      </c>
      <c r="L7607" s="30" t="s">
        <v>466</v>
      </c>
      <c r="N7607" s="30" t="s">
        <v>156</v>
      </c>
      <c r="P7607" s="30" t="s">
        <v>14489</v>
      </c>
      <c r="Q7607" t="s">
        <v>621</v>
      </c>
      <c r="R7607" t="s">
        <v>920</v>
      </c>
      <c r="S7607">
        <v>39</v>
      </c>
      <c r="T7607" s="29" t="str">
        <f t="shared" si="326"/>
        <v>2023.016P.Virgaviridae_and_Benyviridae_rename_sp.zip</v>
      </c>
      <c r="U7607" s="29" t="str">
        <f>HYPERLINK("https://ictv.global/taxonomy/taxondetails?taxnode_id=202305423","ictv.global=202305423")</f>
        <v>ictv.global=202305423</v>
      </c>
    </row>
    <row r="7608" spans="1:21">
      <c r="A7608">
        <v>7607</v>
      </c>
      <c r="B7608" s="30" t="s">
        <v>1226</v>
      </c>
      <c r="D7608" s="30" t="s">
        <v>2024</v>
      </c>
      <c r="F7608" s="30" t="s">
        <v>2032</v>
      </c>
      <c r="H7608" s="30" t="s">
        <v>2033</v>
      </c>
      <c r="J7608" s="30" t="s">
        <v>2035</v>
      </c>
      <c r="L7608" s="30" t="s">
        <v>466</v>
      </c>
      <c r="N7608" s="30" t="s">
        <v>156</v>
      </c>
      <c r="P7608" s="30" t="s">
        <v>14490</v>
      </c>
      <c r="Q7608" t="s">
        <v>621</v>
      </c>
      <c r="R7608" t="s">
        <v>920</v>
      </c>
      <c r="S7608">
        <v>39</v>
      </c>
      <c r="T7608" s="29" t="str">
        <f t="shared" si="326"/>
        <v>2023.016P.Virgaviridae_and_Benyviridae_rename_sp.zip</v>
      </c>
      <c r="U7608" s="29" t="str">
        <f>HYPERLINK("https://ictv.global/taxonomy/taxondetails?taxnode_id=202305437","ictv.global=202305437")</f>
        <v>ictv.global=202305437</v>
      </c>
    </row>
    <row r="7609" spans="1:21">
      <c r="A7609">
        <v>7608</v>
      </c>
      <c r="B7609" s="30" t="s">
        <v>1226</v>
      </c>
      <c r="D7609" s="30" t="s">
        <v>2024</v>
      </c>
      <c r="F7609" s="30" t="s">
        <v>2032</v>
      </c>
      <c r="H7609" s="30" t="s">
        <v>2033</v>
      </c>
      <c r="J7609" s="30" t="s">
        <v>2035</v>
      </c>
      <c r="L7609" s="30" t="s">
        <v>466</v>
      </c>
      <c r="N7609" s="30" t="s">
        <v>156</v>
      </c>
      <c r="P7609" s="30" t="s">
        <v>14491</v>
      </c>
      <c r="Q7609" t="s">
        <v>621</v>
      </c>
      <c r="R7609" t="s">
        <v>920</v>
      </c>
      <c r="S7609">
        <v>39</v>
      </c>
      <c r="T7609" s="29" t="str">
        <f t="shared" si="326"/>
        <v>2023.016P.Virgaviridae_and_Benyviridae_rename_sp.zip</v>
      </c>
      <c r="U7609" s="29" t="str">
        <f>HYPERLINK("https://ictv.global/taxonomy/taxondetails?taxnode_id=202305424","ictv.global=202305424")</f>
        <v>ictv.global=202305424</v>
      </c>
    </row>
    <row r="7610" spans="1:21">
      <c r="A7610">
        <v>7609</v>
      </c>
      <c r="B7610" s="30" t="s">
        <v>1226</v>
      </c>
      <c r="D7610" s="30" t="s">
        <v>2024</v>
      </c>
      <c r="F7610" s="30" t="s">
        <v>2032</v>
      </c>
      <c r="H7610" s="30" t="s">
        <v>2033</v>
      </c>
      <c r="J7610" s="30" t="s">
        <v>2035</v>
      </c>
      <c r="L7610" s="30" t="s">
        <v>466</v>
      </c>
      <c r="N7610" s="30" t="s">
        <v>156</v>
      </c>
      <c r="P7610" s="30" t="s">
        <v>14492</v>
      </c>
      <c r="Q7610" t="s">
        <v>621</v>
      </c>
      <c r="R7610" t="s">
        <v>920</v>
      </c>
      <c r="S7610">
        <v>39</v>
      </c>
      <c r="T7610" s="29" t="str">
        <f t="shared" si="326"/>
        <v>2023.016P.Virgaviridae_and_Benyviridae_rename_sp.zip</v>
      </c>
      <c r="U7610" s="29" t="str">
        <f>HYPERLINK("https://ictv.global/taxonomy/taxondetails?taxnode_id=202305444","ictv.global=202305444")</f>
        <v>ictv.global=202305444</v>
      </c>
    </row>
    <row r="7611" spans="1:21">
      <c r="A7611">
        <v>7610</v>
      </c>
      <c r="B7611" s="30" t="s">
        <v>1226</v>
      </c>
      <c r="D7611" s="30" t="s">
        <v>2024</v>
      </c>
      <c r="F7611" s="30" t="s">
        <v>2032</v>
      </c>
      <c r="H7611" s="30" t="s">
        <v>2033</v>
      </c>
      <c r="J7611" s="30" t="s">
        <v>2035</v>
      </c>
      <c r="L7611" s="30" t="s">
        <v>466</v>
      </c>
      <c r="N7611" s="30" t="s">
        <v>156</v>
      </c>
      <c r="P7611" s="30" t="s">
        <v>14493</v>
      </c>
      <c r="Q7611" t="s">
        <v>621</v>
      </c>
      <c r="R7611" t="s">
        <v>920</v>
      </c>
      <c r="S7611">
        <v>39</v>
      </c>
      <c r="T7611" s="29" t="str">
        <f t="shared" si="326"/>
        <v>2023.016P.Virgaviridae_and_Benyviridae_rename_sp.zip</v>
      </c>
      <c r="U7611" s="29" t="str">
        <f>HYPERLINK("https://ictv.global/taxonomy/taxondetails?taxnode_id=202305427","ictv.global=202305427")</f>
        <v>ictv.global=202305427</v>
      </c>
    </row>
    <row r="7612" spans="1:21">
      <c r="A7612">
        <v>7611</v>
      </c>
      <c r="B7612" s="30" t="s">
        <v>1226</v>
      </c>
      <c r="D7612" s="30" t="s">
        <v>2024</v>
      </c>
      <c r="F7612" s="30" t="s">
        <v>2032</v>
      </c>
      <c r="H7612" s="30" t="s">
        <v>2033</v>
      </c>
      <c r="J7612" s="30" t="s">
        <v>2035</v>
      </c>
      <c r="L7612" s="30" t="s">
        <v>466</v>
      </c>
      <c r="N7612" s="30" t="s">
        <v>156</v>
      </c>
      <c r="P7612" s="30" t="s">
        <v>14494</v>
      </c>
      <c r="Q7612" t="s">
        <v>621</v>
      </c>
      <c r="R7612" t="s">
        <v>920</v>
      </c>
      <c r="S7612">
        <v>39</v>
      </c>
      <c r="T7612" s="29" t="str">
        <f t="shared" si="326"/>
        <v>2023.016P.Virgaviridae_and_Benyviridae_rename_sp.zip</v>
      </c>
      <c r="U7612" s="29" t="str">
        <f>HYPERLINK("https://ictv.global/taxonomy/taxondetails?taxnode_id=202305457","ictv.global=202305457")</f>
        <v>ictv.global=202305457</v>
      </c>
    </row>
    <row r="7613" spans="1:21">
      <c r="A7613">
        <v>7612</v>
      </c>
      <c r="B7613" s="30" t="s">
        <v>1226</v>
      </c>
      <c r="D7613" s="30" t="s">
        <v>2024</v>
      </c>
      <c r="F7613" s="30" t="s">
        <v>2032</v>
      </c>
      <c r="H7613" s="30" t="s">
        <v>2033</v>
      </c>
      <c r="J7613" s="30" t="s">
        <v>2035</v>
      </c>
      <c r="L7613" s="30" t="s">
        <v>466</v>
      </c>
      <c r="N7613" s="30" t="s">
        <v>156</v>
      </c>
      <c r="P7613" s="30" t="s">
        <v>14495</v>
      </c>
      <c r="Q7613" t="s">
        <v>621</v>
      </c>
      <c r="R7613" t="s">
        <v>920</v>
      </c>
      <c r="S7613">
        <v>39</v>
      </c>
      <c r="T7613" s="29" t="str">
        <f t="shared" si="326"/>
        <v>2023.016P.Virgaviridae_and_Benyviridae_rename_sp.zip</v>
      </c>
      <c r="U7613" s="29" t="str">
        <f>HYPERLINK("https://ictv.global/taxonomy/taxondetails?taxnode_id=202305429","ictv.global=202305429")</f>
        <v>ictv.global=202305429</v>
      </c>
    </row>
    <row r="7614" spans="1:21">
      <c r="A7614">
        <v>7613</v>
      </c>
      <c r="B7614" s="30" t="s">
        <v>1226</v>
      </c>
      <c r="D7614" s="30" t="s">
        <v>2024</v>
      </c>
      <c r="F7614" s="30" t="s">
        <v>2032</v>
      </c>
      <c r="H7614" s="30" t="s">
        <v>2033</v>
      </c>
      <c r="J7614" s="30" t="s">
        <v>2035</v>
      </c>
      <c r="L7614" s="30" t="s">
        <v>466</v>
      </c>
      <c r="N7614" s="30" t="s">
        <v>156</v>
      </c>
      <c r="P7614" s="30" t="s">
        <v>14496</v>
      </c>
      <c r="Q7614" t="s">
        <v>621</v>
      </c>
      <c r="R7614" t="s">
        <v>920</v>
      </c>
      <c r="S7614">
        <v>39</v>
      </c>
      <c r="T7614" s="29" t="str">
        <f t="shared" si="326"/>
        <v>2023.016P.Virgaviridae_and_Benyviridae_rename_sp.zip</v>
      </c>
      <c r="U7614" s="29" t="str">
        <f>HYPERLINK("https://ictv.global/taxonomy/taxondetails?taxnode_id=202305428","ictv.global=202305428")</f>
        <v>ictv.global=202305428</v>
      </c>
    </row>
    <row r="7615" spans="1:21">
      <c r="A7615">
        <v>7614</v>
      </c>
      <c r="B7615" s="30" t="s">
        <v>1226</v>
      </c>
      <c r="D7615" s="30" t="s">
        <v>2024</v>
      </c>
      <c r="F7615" s="30" t="s">
        <v>2032</v>
      </c>
      <c r="H7615" s="30" t="s">
        <v>2033</v>
      </c>
      <c r="J7615" s="30" t="s">
        <v>2035</v>
      </c>
      <c r="L7615" s="30" t="s">
        <v>466</v>
      </c>
      <c r="N7615" s="30" t="s">
        <v>156</v>
      </c>
      <c r="P7615" s="30" t="s">
        <v>14497</v>
      </c>
      <c r="Q7615" t="s">
        <v>621</v>
      </c>
      <c r="R7615" t="s">
        <v>920</v>
      </c>
      <c r="S7615">
        <v>39</v>
      </c>
      <c r="T7615" s="29" t="str">
        <f t="shared" si="326"/>
        <v>2023.016P.Virgaviridae_and_Benyviridae_rename_sp.zip</v>
      </c>
      <c r="U7615" s="29" t="str">
        <f>HYPERLINK("https://ictv.global/taxonomy/taxondetails?taxnode_id=202305448","ictv.global=202305448")</f>
        <v>ictv.global=202305448</v>
      </c>
    </row>
    <row r="7616" spans="1:21">
      <c r="A7616">
        <v>7615</v>
      </c>
      <c r="B7616" s="30" t="s">
        <v>1226</v>
      </c>
      <c r="D7616" s="30" t="s">
        <v>2024</v>
      </c>
      <c r="F7616" s="30" t="s">
        <v>2032</v>
      </c>
      <c r="H7616" s="30" t="s">
        <v>2033</v>
      </c>
      <c r="J7616" s="30" t="s">
        <v>2035</v>
      </c>
      <c r="L7616" s="30" t="s">
        <v>466</v>
      </c>
      <c r="N7616" s="30" t="s">
        <v>156</v>
      </c>
      <c r="P7616" s="30" t="s">
        <v>14498</v>
      </c>
      <c r="Q7616" t="s">
        <v>621</v>
      </c>
      <c r="R7616" t="s">
        <v>920</v>
      </c>
      <c r="S7616">
        <v>39</v>
      </c>
      <c r="T7616" s="29" t="str">
        <f t="shared" si="326"/>
        <v>2023.016P.Virgaviridae_and_Benyviridae_rename_sp.zip</v>
      </c>
      <c r="U7616" s="29" t="str">
        <f>HYPERLINK("https://ictv.global/taxonomy/taxondetails?taxnode_id=202305431","ictv.global=202305431")</f>
        <v>ictv.global=202305431</v>
      </c>
    </row>
    <row r="7617" spans="1:21">
      <c r="A7617">
        <v>7616</v>
      </c>
      <c r="B7617" s="30" t="s">
        <v>1226</v>
      </c>
      <c r="D7617" s="30" t="s">
        <v>2024</v>
      </c>
      <c r="F7617" s="30" t="s">
        <v>2032</v>
      </c>
      <c r="H7617" s="30" t="s">
        <v>2033</v>
      </c>
      <c r="J7617" s="30" t="s">
        <v>2035</v>
      </c>
      <c r="L7617" s="30" t="s">
        <v>466</v>
      </c>
      <c r="N7617" s="30" t="s">
        <v>156</v>
      </c>
      <c r="P7617" s="30" t="s">
        <v>14499</v>
      </c>
      <c r="Q7617" t="s">
        <v>621</v>
      </c>
      <c r="R7617" t="s">
        <v>920</v>
      </c>
      <c r="S7617">
        <v>39</v>
      </c>
      <c r="T7617" s="29" t="str">
        <f t="shared" si="326"/>
        <v>2023.016P.Virgaviridae_and_Benyviridae_rename_sp.zip</v>
      </c>
      <c r="U7617" s="29" t="str">
        <f>HYPERLINK("https://ictv.global/taxonomy/taxondetails?taxnode_id=202305445","ictv.global=202305445")</f>
        <v>ictv.global=202305445</v>
      </c>
    </row>
    <row r="7618" spans="1:21">
      <c r="A7618">
        <v>7617</v>
      </c>
      <c r="B7618" s="30" t="s">
        <v>1226</v>
      </c>
      <c r="D7618" s="30" t="s">
        <v>2024</v>
      </c>
      <c r="F7618" s="30" t="s">
        <v>2032</v>
      </c>
      <c r="H7618" s="30" t="s">
        <v>2033</v>
      </c>
      <c r="J7618" s="30" t="s">
        <v>2035</v>
      </c>
      <c r="L7618" s="30" t="s">
        <v>466</v>
      </c>
      <c r="N7618" s="30" t="s">
        <v>156</v>
      </c>
      <c r="P7618" s="30" t="s">
        <v>14500</v>
      </c>
      <c r="Q7618" t="s">
        <v>621</v>
      </c>
      <c r="R7618" t="s">
        <v>920</v>
      </c>
      <c r="S7618">
        <v>39</v>
      </c>
      <c r="T7618" s="29" t="str">
        <f t="shared" ref="T7618:T7644" si="327">HYPERLINK("https://ictv.global/ictv/proposals/2023.016P.Virgaviridae_and_Benyviridae_rename_sp.zip","2023.016P.Virgaviridae_and_Benyviridae_rename_sp.zip")</f>
        <v>2023.016P.Virgaviridae_and_Benyviridae_rename_sp.zip</v>
      </c>
      <c r="U7618" s="29" t="str">
        <f>HYPERLINK("https://ictv.global/taxonomy/taxondetails?taxnode_id=202305421","ictv.global=202305421")</f>
        <v>ictv.global=202305421</v>
      </c>
    </row>
    <row r="7619" spans="1:21">
      <c r="A7619">
        <v>7618</v>
      </c>
      <c r="B7619" s="30" t="s">
        <v>1226</v>
      </c>
      <c r="D7619" s="30" t="s">
        <v>2024</v>
      </c>
      <c r="F7619" s="30" t="s">
        <v>2032</v>
      </c>
      <c r="H7619" s="30" t="s">
        <v>2033</v>
      </c>
      <c r="J7619" s="30" t="s">
        <v>2035</v>
      </c>
      <c r="L7619" s="30" t="s">
        <v>466</v>
      </c>
      <c r="N7619" s="30" t="s">
        <v>156</v>
      </c>
      <c r="P7619" s="30" t="s">
        <v>14501</v>
      </c>
      <c r="Q7619" t="s">
        <v>621</v>
      </c>
      <c r="R7619" t="s">
        <v>920</v>
      </c>
      <c r="S7619">
        <v>39</v>
      </c>
      <c r="T7619" s="29" t="str">
        <f t="shared" si="327"/>
        <v>2023.016P.Virgaviridae_and_Benyviridae_rename_sp.zip</v>
      </c>
      <c r="U7619" s="29" t="str">
        <f>HYPERLINK("https://ictv.global/taxonomy/taxondetails?taxnode_id=202305425","ictv.global=202305425")</f>
        <v>ictv.global=202305425</v>
      </c>
    </row>
    <row r="7620" spans="1:21">
      <c r="A7620">
        <v>7619</v>
      </c>
      <c r="B7620" s="30" t="s">
        <v>1226</v>
      </c>
      <c r="D7620" s="30" t="s">
        <v>2024</v>
      </c>
      <c r="F7620" s="30" t="s">
        <v>2032</v>
      </c>
      <c r="H7620" s="30" t="s">
        <v>2033</v>
      </c>
      <c r="J7620" s="30" t="s">
        <v>2035</v>
      </c>
      <c r="L7620" s="30" t="s">
        <v>466</v>
      </c>
      <c r="N7620" s="30" t="s">
        <v>156</v>
      </c>
      <c r="P7620" s="30" t="s">
        <v>14502</v>
      </c>
      <c r="Q7620" t="s">
        <v>621</v>
      </c>
      <c r="R7620" t="s">
        <v>920</v>
      </c>
      <c r="S7620">
        <v>39</v>
      </c>
      <c r="T7620" s="29" t="str">
        <f t="shared" si="327"/>
        <v>2023.016P.Virgaviridae_and_Benyviridae_rename_sp.zip</v>
      </c>
      <c r="U7620" s="29" t="str">
        <f>HYPERLINK("https://ictv.global/taxonomy/taxondetails?taxnode_id=202305450","ictv.global=202305450")</f>
        <v>ictv.global=202305450</v>
      </c>
    </row>
    <row r="7621" spans="1:21">
      <c r="A7621">
        <v>7620</v>
      </c>
      <c r="B7621" s="30" t="s">
        <v>1226</v>
      </c>
      <c r="D7621" s="30" t="s">
        <v>2024</v>
      </c>
      <c r="F7621" s="30" t="s">
        <v>2032</v>
      </c>
      <c r="H7621" s="30" t="s">
        <v>2033</v>
      </c>
      <c r="J7621" s="30" t="s">
        <v>2035</v>
      </c>
      <c r="L7621" s="30" t="s">
        <v>466</v>
      </c>
      <c r="N7621" s="30" t="s">
        <v>156</v>
      </c>
      <c r="P7621" s="30" t="s">
        <v>14503</v>
      </c>
      <c r="Q7621" t="s">
        <v>621</v>
      </c>
      <c r="R7621" t="s">
        <v>920</v>
      </c>
      <c r="S7621">
        <v>39</v>
      </c>
      <c r="T7621" s="29" t="str">
        <f t="shared" si="327"/>
        <v>2023.016P.Virgaviridae_and_Benyviridae_rename_sp.zip</v>
      </c>
      <c r="U7621" s="29" t="str">
        <f>HYPERLINK("https://ictv.global/taxonomy/taxondetails?taxnode_id=202305432","ictv.global=202305432")</f>
        <v>ictv.global=202305432</v>
      </c>
    </row>
    <row r="7622" spans="1:21">
      <c r="A7622">
        <v>7621</v>
      </c>
      <c r="B7622" s="30" t="s">
        <v>1226</v>
      </c>
      <c r="D7622" s="30" t="s">
        <v>2024</v>
      </c>
      <c r="F7622" s="30" t="s">
        <v>2032</v>
      </c>
      <c r="H7622" s="30" t="s">
        <v>2033</v>
      </c>
      <c r="J7622" s="30" t="s">
        <v>2035</v>
      </c>
      <c r="L7622" s="30" t="s">
        <v>466</v>
      </c>
      <c r="N7622" s="30" t="s">
        <v>156</v>
      </c>
      <c r="P7622" s="30" t="s">
        <v>14504</v>
      </c>
      <c r="Q7622" t="s">
        <v>621</v>
      </c>
      <c r="R7622" t="s">
        <v>920</v>
      </c>
      <c r="S7622">
        <v>39</v>
      </c>
      <c r="T7622" s="29" t="str">
        <f t="shared" si="327"/>
        <v>2023.016P.Virgaviridae_and_Benyviridae_rename_sp.zip</v>
      </c>
      <c r="U7622" s="29" t="str">
        <f>HYPERLINK("https://ictv.global/taxonomy/taxondetails?taxnode_id=202305446","ictv.global=202305446")</f>
        <v>ictv.global=202305446</v>
      </c>
    </row>
    <row r="7623" spans="1:21">
      <c r="A7623">
        <v>7622</v>
      </c>
      <c r="B7623" s="30" t="s">
        <v>1226</v>
      </c>
      <c r="D7623" s="30" t="s">
        <v>2024</v>
      </c>
      <c r="F7623" s="30" t="s">
        <v>2032</v>
      </c>
      <c r="H7623" s="30" t="s">
        <v>2033</v>
      </c>
      <c r="J7623" s="30" t="s">
        <v>2035</v>
      </c>
      <c r="L7623" s="30" t="s">
        <v>466</v>
      </c>
      <c r="N7623" s="30" t="s">
        <v>156</v>
      </c>
      <c r="P7623" s="30" t="s">
        <v>14505</v>
      </c>
      <c r="Q7623" t="s">
        <v>621</v>
      </c>
      <c r="R7623" t="s">
        <v>920</v>
      </c>
      <c r="S7623">
        <v>39</v>
      </c>
      <c r="T7623" s="29" t="str">
        <f t="shared" si="327"/>
        <v>2023.016P.Virgaviridae_and_Benyviridae_rename_sp.zip</v>
      </c>
      <c r="U7623" s="29" t="str">
        <f>HYPERLINK("https://ictv.global/taxonomy/taxondetails?taxnode_id=202305439","ictv.global=202305439")</f>
        <v>ictv.global=202305439</v>
      </c>
    </row>
    <row r="7624" spans="1:21">
      <c r="A7624">
        <v>7623</v>
      </c>
      <c r="B7624" s="30" t="s">
        <v>1226</v>
      </c>
      <c r="D7624" s="30" t="s">
        <v>2024</v>
      </c>
      <c r="F7624" s="30" t="s">
        <v>2032</v>
      </c>
      <c r="H7624" s="30" t="s">
        <v>2033</v>
      </c>
      <c r="J7624" s="30" t="s">
        <v>2035</v>
      </c>
      <c r="L7624" s="30" t="s">
        <v>466</v>
      </c>
      <c r="N7624" s="30" t="s">
        <v>156</v>
      </c>
      <c r="P7624" s="30" t="s">
        <v>14506</v>
      </c>
      <c r="Q7624" t="s">
        <v>621</v>
      </c>
      <c r="R7624" t="s">
        <v>920</v>
      </c>
      <c r="S7624">
        <v>39</v>
      </c>
      <c r="T7624" s="29" t="str">
        <f t="shared" si="327"/>
        <v>2023.016P.Virgaviridae_and_Benyviridae_rename_sp.zip</v>
      </c>
      <c r="U7624" s="29" t="str">
        <f>HYPERLINK("https://ictv.global/taxonomy/taxondetails?taxnode_id=202305433","ictv.global=202305433")</f>
        <v>ictv.global=202305433</v>
      </c>
    </row>
    <row r="7625" spans="1:21">
      <c r="A7625">
        <v>7624</v>
      </c>
      <c r="B7625" s="30" t="s">
        <v>1226</v>
      </c>
      <c r="D7625" s="30" t="s">
        <v>2024</v>
      </c>
      <c r="F7625" s="30" t="s">
        <v>2032</v>
      </c>
      <c r="H7625" s="30" t="s">
        <v>2033</v>
      </c>
      <c r="J7625" s="30" t="s">
        <v>2035</v>
      </c>
      <c r="L7625" s="30" t="s">
        <v>466</v>
      </c>
      <c r="N7625" s="30" t="s">
        <v>156</v>
      </c>
      <c r="P7625" s="30" t="s">
        <v>14507</v>
      </c>
      <c r="Q7625" t="s">
        <v>621</v>
      </c>
      <c r="R7625" t="s">
        <v>920</v>
      </c>
      <c r="S7625">
        <v>39</v>
      </c>
      <c r="T7625" s="29" t="str">
        <f t="shared" si="327"/>
        <v>2023.016P.Virgaviridae_and_Benyviridae_rename_sp.zip</v>
      </c>
      <c r="U7625" s="29" t="str">
        <f>HYPERLINK("https://ictv.global/taxonomy/taxondetails?taxnode_id=202305434","ictv.global=202305434")</f>
        <v>ictv.global=202305434</v>
      </c>
    </row>
    <row r="7626" spans="1:21">
      <c r="A7626">
        <v>7625</v>
      </c>
      <c r="B7626" s="30" t="s">
        <v>1226</v>
      </c>
      <c r="D7626" s="30" t="s">
        <v>2024</v>
      </c>
      <c r="F7626" s="30" t="s">
        <v>2032</v>
      </c>
      <c r="H7626" s="30" t="s">
        <v>2033</v>
      </c>
      <c r="J7626" s="30" t="s">
        <v>2035</v>
      </c>
      <c r="L7626" s="30" t="s">
        <v>466</v>
      </c>
      <c r="N7626" s="30" t="s">
        <v>156</v>
      </c>
      <c r="P7626" s="30" t="s">
        <v>14508</v>
      </c>
      <c r="Q7626" t="s">
        <v>621</v>
      </c>
      <c r="R7626" t="s">
        <v>920</v>
      </c>
      <c r="S7626">
        <v>39</v>
      </c>
      <c r="T7626" s="29" t="str">
        <f t="shared" si="327"/>
        <v>2023.016P.Virgaviridae_and_Benyviridae_rename_sp.zip</v>
      </c>
      <c r="U7626" s="29" t="str">
        <f>HYPERLINK("https://ictv.global/taxonomy/taxondetails?taxnode_id=202305442","ictv.global=202305442")</f>
        <v>ictv.global=202305442</v>
      </c>
    </row>
    <row r="7627" spans="1:21">
      <c r="A7627">
        <v>7626</v>
      </c>
      <c r="B7627" s="30" t="s">
        <v>1226</v>
      </c>
      <c r="D7627" s="30" t="s">
        <v>2024</v>
      </c>
      <c r="F7627" s="30" t="s">
        <v>2032</v>
      </c>
      <c r="H7627" s="30" t="s">
        <v>2033</v>
      </c>
      <c r="J7627" s="30" t="s">
        <v>2035</v>
      </c>
      <c r="L7627" s="30" t="s">
        <v>466</v>
      </c>
      <c r="N7627" s="30" t="s">
        <v>156</v>
      </c>
      <c r="P7627" s="30" t="s">
        <v>14509</v>
      </c>
      <c r="Q7627" t="s">
        <v>621</v>
      </c>
      <c r="R7627" t="s">
        <v>920</v>
      </c>
      <c r="S7627">
        <v>39</v>
      </c>
      <c r="T7627" s="29" t="str">
        <f t="shared" si="327"/>
        <v>2023.016P.Virgaviridae_and_Benyviridae_rename_sp.zip</v>
      </c>
      <c r="U7627" s="29" t="str">
        <f>HYPERLINK("https://ictv.global/taxonomy/taxondetails?taxnode_id=202305435","ictv.global=202305435")</f>
        <v>ictv.global=202305435</v>
      </c>
    </row>
    <row r="7628" spans="1:21">
      <c r="A7628">
        <v>7627</v>
      </c>
      <c r="B7628" s="30" t="s">
        <v>1226</v>
      </c>
      <c r="D7628" s="30" t="s">
        <v>2024</v>
      </c>
      <c r="F7628" s="30" t="s">
        <v>2032</v>
      </c>
      <c r="H7628" s="30" t="s">
        <v>2033</v>
      </c>
      <c r="J7628" s="30" t="s">
        <v>2035</v>
      </c>
      <c r="L7628" s="30" t="s">
        <v>466</v>
      </c>
      <c r="N7628" s="30" t="s">
        <v>156</v>
      </c>
      <c r="P7628" s="30" t="s">
        <v>14510</v>
      </c>
      <c r="Q7628" t="s">
        <v>621</v>
      </c>
      <c r="R7628" t="s">
        <v>920</v>
      </c>
      <c r="S7628">
        <v>39</v>
      </c>
      <c r="T7628" s="29" t="str">
        <f t="shared" si="327"/>
        <v>2023.016P.Virgaviridae_and_Benyviridae_rename_sp.zip</v>
      </c>
      <c r="U7628" s="29" t="str">
        <f>HYPERLINK("https://ictv.global/taxonomy/taxondetails?taxnode_id=202305436","ictv.global=202305436")</f>
        <v>ictv.global=202305436</v>
      </c>
    </row>
    <row r="7629" spans="1:21">
      <c r="A7629">
        <v>7628</v>
      </c>
      <c r="B7629" s="30" t="s">
        <v>1226</v>
      </c>
      <c r="D7629" s="30" t="s">
        <v>2024</v>
      </c>
      <c r="F7629" s="30" t="s">
        <v>2032</v>
      </c>
      <c r="H7629" s="30" t="s">
        <v>2033</v>
      </c>
      <c r="J7629" s="30" t="s">
        <v>2035</v>
      </c>
      <c r="L7629" s="30" t="s">
        <v>466</v>
      </c>
      <c r="N7629" s="30" t="s">
        <v>156</v>
      </c>
      <c r="P7629" s="30" t="s">
        <v>14511</v>
      </c>
      <c r="Q7629" t="s">
        <v>621</v>
      </c>
      <c r="R7629" t="s">
        <v>920</v>
      </c>
      <c r="S7629">
        <v>39</v>
      </c>
      <c r="T7629" s="29" t="str">
        <f t="shared" si="327"/>
        <v>2023.016P.Virgaviridae_and_Benyviridae_rename_sp.zip</v>
      </c>
      <c r="U7629" s="29" t="str">
        <f>HYPERLINK("https://ictv.global/taxonomy/taxondetails?taxnode_id=202305441","ictv.global=202305441")</f>
        <v>ictv.global=202305441</v>
      </c>
    </row>
    <row r="7630" spans="1:21">
      <c r="A7630">
        <v>7629</v>
      </c>
      <c r="B7630" s="30" t="s">
        <v>1226</v>
      </c>
      <c r="D7630" s="30" t="s">
        <v>2024</v>
      </c>
      <c r="F7630" s="30" t="s">
        <v>2032</v>
      </c>
      <c r="H7630" s="30" t="s">
        <v>2033</v>
      </c>
      <c r="J7630" s="30" t="s">
        <v>2035</v>
      </c>
      <c r="L7630" s="30" t="s">
        <v>466</v>
      </c>
      <c r="N7630" s="30" t="s">
        <v>156</v>
      </c>
      <c r="P7630" s="30" t="s">
        <v>14512</v>
      </c>
      <c r="Q7630" t="s">
        <v>621</v>
      </c>
      <c r="R7630" t="s">
        <v>920</v>
      </c>
      <c r="S7630">
        <v>39</v>
      </c>
      <c r="T7630" s="29" t="str">
        <f t="shared" si="327"/>
        <v>2023.016P.Virgaviridae_and_Benyviridae_rename_sp.zip</v>
      </c>
      <c r="U7630" s="29" t="str">
        <f>HYPERLINK("https://ictv.global/taxonomy/taxondetails?taxnode_id=202305438","ictv.global=202305438")</f>
        <v>ictv.global=202305438</v>
      </c>
    </row>
    <row r="7631" spans="1:21">
      <c r="A7631">
        <v>7630</v>
      </c>
      <c r="B7631" s="30" t="s">
        <v>1226</v>
      </c>
      <c r="D7631" s="30" t="s">
        <v>2024</v>
      </c>
      <c r="F7631" s="30" t="s">
        <v>2032</v>
      </c>
      <c r="H7631" s="30" t="s">
        <v>2033</v>
      </c>
      <c r="J7631" s="30" t="s">
        <v>2035</v>
      </c>
      <c r="L7631" s="30" t="s">
        <v>466</v>
      </c>
      <c r="N7631" s="30" t="s">
        <v>156</v>
      </c>
      <c r="P7631" s="30" t="s">
        <v>14513</v>
      </c>
      <c r="Q7631" t="s">
        <v>621</v>
      </c>
      <c r="R7631" t="s">
        <v>920</v>
      </c>
      <c r="S7631">
        <v>39</v>
      </c>
      <c r="T7631" s="29" t="str">
        <f t="shared" si="327"/>
        <v>2023.016P.Virgaviridae_and_Benyviridae_rename_sp.zip</v>
      </c>
      <c r="U7631" s="29" t="str">
        <f>HYPERLINK("https://ictv.global/taxonomy/taxondetails?taxnode_id=202305452","ictv.global=202305452")</f>
        <v>ictv.global=202305452</v>
      </c>
    </row>
    <row r="7632" spans="1:21">
      <c r="A7632">
        <v>7631</v>
      </c>
      <c r="B7632" s="30" t="s">
        <v>1226</v>
      </c>
      <c r="D7632" s="30" t="s">
        <v>2024</v>
      </c>
      <c r="F7632" s="30" t="s">
        <v>2032</v>
      </c>
      <c r="H7632" s="30" t="s">
        <v>2033</v>
      </c>
      <c r="J7632" s="30" t="s">
        <v>2035</v>
      </c>
      <c r="L7632" s="30" t="s">
        <v>466</v>
      </c>
      <c r="N7632" s="30" t="s">
        <v>156</v>
      </c>
      <c r="P7632" s="30" t="s">
        <v>14514</v>
      </c>
      <c r="Q7632" t="s">
        <v>621</v>
      </c>
      <c r="R7632" t="s">
        <v>920</v>
      </c>
      <c r="S7632">
        <v>39</v>
      </c>
      <c r="T7632" s="29" t="str">
        <f t="shared" si="327"/>
        <v>2023.016P.Virgaviridae_and_Benyviridae_rename_sp.zip</v>
      </c>
      <c r="U7632" s="29" t="str">
        <f>HYPERLINK("https://ictv.global/taxonomy/taxondetails?taxnode_id=202305440","ictv.global=202305440")</f>
        <v>ictv.global=202305440</v>
      </c>
    </row>
    <row r="7633" spans="1:21">
      <c r="A7633">
        <v>7632</v>
      </c>
      <c r="B7633" s="30" t="s">
        <v>1226</v>
      </c>
      <c r="D7633" s="30" t="s">
        <v>2024</v>
      </c>
      <c r="F7633" s="30" t="s">
        <v>2032</v>
      </c>
      <c r="H7633" s="30" t="s">
        <v>2033</v>
      </c>
      <c r="J7633" s="30" t="s">
        <v>2035</v>
      </c>
      <c r="L7633" s="30" t="s">
        <v>466</v>
      </c>
      <c r="N7633" s="30" t="s">
        <v>156</v>
      </c>
      <c r="P7633" s="30" t="s">
        <v>14515</v>
      </c>
      <c r="Q7633" t="s">
        <v>621</v>
      </c>
      <c r="R7633" t="s">
        <v>920</v>
      </c>
      <c r="S7633">
        <v>39</v>
      </c>
      <c r="T7633" s="29" t="str">
        <f t="shared" si="327"/>
        <v>2023.016P.Virgaviridae_and_Benyviridae_rename_sp.zip</v>
      </c>
      <c r="U7633" s="29" t="str">
        <f>HYPERLINK("https://ictv.global/taxonomy/taxondetails?taxnode_id=202305430","ictv.global=202305430")</f>
        <v>ictv.global=202305430</v>
      </c>
    </row>
    <row r="7634" spans="1:21">
      <c r="A7634">
        <v>7633</v>
      </c>
      <c r="B7634" s="30" t="s">
        <v>1226</v>
      </c>
      <c r="D7634" s="30" t="s">
        <v>2024</v>
      </c>
      <c r="F7634" s="30" t="s">
        <v>2032</v>
      </c>
      <c r="H7634" s="30" t="s">
        <v>2033</v>
      </c>
      <c r="J7634" s="30" t="s">
        <v>2035</v>
      </c>
      <c r="L7634" s="30" t="s">
        <v>466</v>
      </c>
      <c r="N7634" s="30" t="s">
        <v>156</v>
      </c>
      <c r="P7634" s="30" t="s">
        <v>14516</v>
      </c>
      <c r="Q7634" t="s">
        <v>621</v>
      </c>
      <c r="R7634" t="s">
        <v>920</v>
      </c>
      <c r="S7634">
        <v>39</v>
      </c>
      <c r="T7634" s="29" t="str">
        <f t="shared" si="327"/>
        <v>2023.016P.Virgaviridae_and_Benyviridae_rename_sp.zip</v>
      </c>
      <c r="U7634" s="29" t="str">
        <f>HYPERLINK("https://ictv.global/taxonomy/taxondetails?taxnode_id=202305443","ictv.global=202305443")</f>
        <v>ictv.global=202305443</v>
      </c>
    </row>
    <row r="7635" spans="1:21">
      <c r="A7635">
        <v>7634</v>
      </c>
      <c r="B7635" s="30" t="s">
        <v>1226</v>
      </c>
      <c r="D7635" s="30" t="s">
        <v>2024</v>
      </c>
      <c r="F7635" s="30" t="s">
        <v>2032</v>
      </c>
      <c r="H7635" s="30" t="s">
        <v>2033</v>
      </c>
      <c r="J7635" s="30" t="s">
        <v>2035</v>
      </c>
      <c r="L7635" s="30" t="s">
        <v>466</v>
      </c>
      <c r="N7635" s="30" t="s">
        <v>156</v>
      </c>
      <c r="P7635" s="30" t="s">
        <v>14517</v>
      </c>
      <c r="Q7635" t="s">
        <v>621</v>
      </c>
      <c r="R7635" t="s">
        <v>920</v>
      </c>
      <c r="S7635">
        <v>39</v>
      </c>
      <c r="T7635" s="29" t="str">
        <f t="shared" si="327"/>
        <v>2023.016P.Virgaviridae_and_Benyviridae_rename_sp.zip</v>
      </c>
      <c r="U7635" s="29" t="str">
        <f>HYPERLINK("https://ictv.global/taxonomy/taxondetails?taxnode_id=202305447","ictv.global=202305447")</f>
        <v>ictv.global=202305447</v>
      </c>
    </row>
    <row r="7636" spans="1:21">
      <c r="A7636">
        <v>7635</v>
      </c>
      <c r="B7636" s="30" t="s">
        <v>1226</v>
      </c>
      <c r="D7636" s="30" t="s">
        <v>2024</v>
      </c>
      <c r="F7636" s="30" t="s">
        <v>2032</v>
      </c>
      <c r="H7636" s="30" t="s">
        <v>2033</v>
      </c>
      <c r="J7636" s="30" t="s">
        <v>2035</v>
      </c>
      <c r="L7636" s="30" t="s">
        <v>466</v>
      </c>
      <c r="N7636" s="30" t="s">
        <v>156</v>
      </c>
      <c r="P7636" s="30" t="s">
        <v>14518</v>
      </c>
      <c r="Q7636" t="s">
        <v>621</v>
      </c>
      <c r="R7636" t="s">
        <v>920</v>
      </c>
      <c r="S7636">
        <v>39</v>
      </c>
      <c r="T7636" s="29" t="str">
        <f t="shared" si="327"/>
        <v>2023.016P.Virgaviridae_and_Benyviridae_rename_sp.zip</v>
      </c>
      <c r="U7636" s="29" t="str">
        <f>HYPERLINK("https://ictv.global/taxonomy/taxondetails?taxnode_id=202305449","ictv.global=202305449")</f>
        <v>ictv.global=202305449</v>
      </c>
    </row>
    <row r="7637" spans="1:21">
      <c r="A7637">
        <v>7636</v>
      </c>
      <c r="B7637" s="30" t="s">
        <v>1226</v>
      </c>
      <c r="D7637" s="30" t="s">
        <v>2024</v>
      </c>
      <c r="F7637" s="30" t="s">
        <v>2032</v>
      </c>
      <c r="H7637" s="30" t="s">
        <v>2033</v>
      </c>
      <c r="J7637" s="30" t="s">
        <v>2035</v>
      </c>
      <c r="L7637" s="30" t="s">
        <v>466</v>
      </c>
      <c r="N7637" s="30" t="s">
        <v>156</v>
      </c>
      <c r="P7637" s="30" t="s">
        <v>14519</v>
      </c>
      <c r="Q7637" t="s">
        <v>621</v>
      </c>
      <c r="R7637" t="s">
        <v>920</v>
      </c>
      <c r="S7637">
        <v>39</v>
      </c>
      <c r="T7637" s="29" t="str">
        <f t="shared" si="327"/>
        <v>2023.016P.Virgaviridae_and_Benyviridae_rename_sp.zip</v>
      </c>
      <c r="U7637" s="29" t="str">
        <f>HYPERLINK("https://ictv.global/taxonomy/taxondetails?taxnode_id=202305451","ictv.global=202305451")</f>
        <v>ictv.global=202305451</v>
      </c>
    </row>
    <row r="7638" spans="1:21">
      <c r="A7638">
        <v>7637</v>
      </c>
      <c r="B7638" s="30" t="s">
        <v>1226</v>
      </c>
      <c r="D7638" s="30" t="s">
        <v>2024</v>
      </c>
      <c r="F7638" s="30" t="s">
        <v>2032</v>
      </c>
      <c r="H7638" s="30" t="s">
        <v>2033</v>
      </c>
      <c r="J7638" s="30" t="s">
        <v>2035</v>
      </c>
      <c r="L7638" s="30" t="s">
        <v>466</v>
      </c>
      <c r="N7638" s="30" t="s">
        <v>156</v>
      </c>
      <c r="P7638" s="30" t="s">
        <v>14520</v>
      </c>
      <c r="Q7638" t="s">
        <v>621</v>
      </c>
      <c r="R7638" t="s">
        <v>920</v>
      </c>
      <c r="S7638">
        <v>39</v>
      </c>
      <c r="T7638" s="29" t="str">
        <f t="shared" si="327"/>
        <v>2023.016P.Virgaviridae_and_Benyviridae_rename_sp.zip</v>
      </c>
      <c r="U7638" s="29" t="str">
        <f>HYPERLINK("https://ictv.global/taxonomy/taxondetails?taxnode_id=202305453","ictv.global=202305453")</f>
        <v>ictv.global=202305453</v>
      </c>
    </row>
    <row r="7639" spans="1:21">
      <c r="A7639">
        <v>7638</v>
      </c>
      <c r="B7639" s="30" t="s">
        <v>1226</v>
      </c>
      <c r="D7639" s="30" t="s">
        <v>2024</v>
      </c>
      <c r="F7639" s="30" t="s">
        <v>2032</v>
      </c>
      <c r="H7639" s="30" t="s">
        <v>2033</v>
      </c>
      <c r="J7639" s="30" t="s">
        <v>2035</v>
      </c>
      <c r="L7639" s="30" t="s">
        <v>466</v>
      </c>
      <c r="N7639" s="30" t="s">
        <v>156</v>
      </c>
      <c r="P7639" s="30" t="s">
        <v>14521</v>
      </c>
      <c r="Q7639" t="s">
        <v>621</v>
      </c>
      <c r="R7639" t="s">
        <v>920</v>
      </c>
      <c r="S7639">
        <v>39</v>
      </c>
      <c r="T7639" s="29" t="str">
        <f t="shared" si="327"/>
        <v>2023.016P.Virgaviridae_and_Benyviridae_rename_sp.zip</v>
      </c>
      <c r="U7639" s="29" t="str">
        <f>HYPERLINK("https://ictv.global/taxonomy/taxondetails?taxnode_id=202305426","ictv.global=202305426")</f>
        <v>ictv.global=202305426</v>
      </c>
    </row>
    <row r="7640" spans="1:21">
      <c r="A7640">
        <v>7639</v>
      </c>
      <c r="B7640" s="30" t="s">
        <v>1226</v>
      </c>
      <c r="D7640" s="30" t="s">
        <v>2024</v>
      </c>
      <c r="F7640" s="30" t="s">
        <v>2032</v>
      </c>
      <c r="H7640" s="30" t="s">
        <v>2033</v>
      </c>
      <c r="J7640" s="30" t="s">
        <v>2035</v>
      </c>
      <c r="L7640" s="30" t="s">
        <v>466</v>
      </c>
      <c r="N7640" s="30" t="s">
        <v>156</v>
      </c>
      <c r="P7640" s="30" t="s">
        <v>14522</v>
      </c>
      <c r="Q7640" t="s">
        <v>621</v>
      </c>
      <c r="R7640" t="s">
        <v>920</v>
      </c>
      <c r="S7640">
        <v>39</v>
      </c>
      <c r="T7640" s="29" t="str">
        <f t="shared" si="327"/>
        <v>2023.016P.Virgaviridae_and_Benyviridae_rename_sp.zip</v>
      </c>
      <c r="U7640" s="29" t="str">
        <f>HYPERLINK("https://ictv.global/taxonomy/taxondetails?taxnode_id=202305454","ictv.global=202305454")</f>
        <v>ictv.global=202305454</v>
      </c>
    </row>
    <row r="7641" spans="1:21">
      <c r="A7641">
        <v>7640</v>
      </c>
      <c r="B7641" s="30" t="s">
        <v>1226</v>
      </c>
      <c r="D7641" s="30" t="s">
        <v>2024</v>
      </c>
      <c r="F7641" s="30" t="s">
        <v>2032</v>
      </c>
      <c r="H7641" s="30" t="s">
        <v>2033</v>
      </c>
      <c r="J7641" s="30" t="s">
        <v>2035</v>
      </c>
      <c r="L7641" s="30" t="s">
        <v>466</v>
      </c>
      <c r="N7641" s="30" t="s">
        <v>156</v>
      </c>
      <c r="P7641" s="30" t="s">
        <v>14523</v>
      </c>
      <c r="Q7641" t="s">
        <v>621</v>
      </c>
      <c r="R7641" t="s">
        <v>920</v>
      </c>
      <c r="S7641">
        <v>39</v>
      </c>
      <c r="T7641" s="29" t="str">
        <f t="shared" si="327"/>
        <v>2023.016P.Virgaviridae_and_Benyviridae_rename_sp.zip</v>
      </c>
      <c r="U7641" s="29" t="str">
        <f>HYPERLINK("https://ictv.global/taxonomy/taxondetails?taxnode_id=202305456","ictv.global=202305456")</f>
        <v>ictv.global=202305456</v>
      </c>
    </row>
    <row r="7642" spans="1:21">
      <c r="A7642">
        <v>7641</v>
      </c>
      <c r="B7642" s="30" t="s">
        <v>1226</v>
      </c>
      <c r="D7642" s="30" t="s">
        <v>2024</v>
      </c>
      <c r="F7642" s="30" t="s">
        <v>2032</v>
      </c>
      <c r="H7642" s="30" t="s">
        <v>2033</v>
      </c>
      <c r="J7642" s="30" t="s">
        <v>2035</v>
      </c>
      <c r="L7642" s="30" t="s">
        <v>466</v>
      </c>
      <c r="N7642" s="30" t="s">
        <v>413</v>
      </c>
      <c r="P7642" s="30" t="s">
        <v>14524</v>
      </c>
      <c r="Q7642" t="s">
        <v>621</v>
      </c>
      <c r="R7642" t="s">
        <v>920</v>
      </c>
      <c r="S7642">
        <v>39</v>
      </c>
      <c r="T7642" s="29" t="str">
        <f t="shared" si="327"/>
        <v>2023.016P.Virgaviridae_and_Benyviridae_rename_sp.zip</v>
      </c>
      <c r="U7642" s="29" t="str">
        <f>HYPERLINK("https://ictv.global/taxonomy/taxondetails?taxnode_id=202305460","ictv.global=202305460")</f>
        <v>ictv.global=202305460</v>
      </c>
    </row>
    <row r="7643" spans="1:21">
      <c r="A7643">
        <v>7642</v>
      </c>
      <c r="B7643" s="30" t="s">
        <v>1226</v>
      </c>
      <c r="D7643" s="30" t="s">
        <v>2024</v>
      </c>
      <c r="F7643" s="30" t="s">
        <v>2032</v>
      </c>
      <c r="H7643" s="30" t="s">
        <v>2033</v>
      </c>
      <c r="J7643" s="30" t="s">
        <v>2035</v>
      </c>
      <c r="L7643" s="30" t="s">
        <v>466</v>
      </c>
      <c r="N7643" s="30" t="s">
        <v>413</v>
      </c>
      <c r="P7643" s="30" t="s">
        <v>14525</v>
      </c>
      <c r="Q7643" t="s">
        <v>621</v>
      </c>
      <c r="R7643" t="s">
        <v>920</v>
      </c>
      <c r="S7643">
        <v>39</v>
      </c>
      <c r="T7643" s="29" t="str">
        <f t="shared" si="327"/>
        <v>2023.016P.Virgaviridae_and_Benyviridae_rename_sp.zip</v>
      </c>
      <c r="U7643" s="29" t="str">
        <f>HYPERLINK("https://ictv.global/taxonomy/taxondetails?taxnode_id=202305459","ictv.global=202305459")</f>
        <v>ictv.global=202305459</v>
      </c>
    </row>
    <row r="7644" spans="1:21">
      <c r="A7644">
        <v>7643</v>
      </c>
      <c r="B7644" s="30" t="s">
        <v>1226</v>
      </c>
      <c r="D7644" s="30" t="s">
        <v>2024</v>
      </c>
      <c r="F7644" s="30" t="s">
        <v>2032</v>
      </c>
      <c r="H7644" s="30" t="s">
        <v>2033</v>
      </c>
      <c r="J7644" s="30" t="s">
        <v>2035</v>
      </c>
      <c r="L7644" s="30" t="s">
        <v>466</v>
      </c>
      <c r="N7644" s="30" t="s">
        <v>413</v>
      </c>
      <c r="P7644" s="30" t="s">
        <v>14526</v>
      </c>
      <c r="Q7644" t="s">
        <v>621</v>
      </c>
      <c r="R7644" t="s">
        <v>920</v>
      </c>
      <c r="S7644">
        <v>39</v>
      </c>
      <c r="T7644" s="29" t="str">
        <f t="shared" si="327"/>
        <v>2023.016P.Virgaviridae_and_Benyviridae_rename_sp.zip</v>
      </c>
      <c r="U7644" s="29" t="str">
        <f>HYPERLINK("https://ictv.global/taxonomy/taxondetails?taxnode_id=202305461","ictv.global=202305461")</f>
        <v>ictv.global=202305461</v>
      </c>
    </row>
    <row r="7645" spans="1:21">
      <c r="A7645">
        <v>7644</v>
      </c>
      <c r="B7645" s="30" t="s">
        <v>1226</v>
      </c>
      <c r="D7645" s="30" t="s">
        <v>2024</v>
      </c>
      <c r="F7645" s="30" t="s">
        <v>2032</v>
      </c>
      <c r="H7645" s="30" t="s">
        <v>2033</v>
      </c>
      <c r="J7645" s="30" t="s">
        <v>314</v>
      </c>
      <c r="L7645" s="30" t="s">
        <v>133</v>
      </c>
      <c r="N7645" s="30" t="s">
        <v>152</v>
      </c>
      <c r="O7645" s="30" t="s">
        <v>2858</v>
      </c>
      <c r="P7645" s="30" t="s">
        <v>14527</v>
      </c>
      <c r="Q7645" t="s">
        <v>621</v>
      </c>
      <c r="R7645" t="s">
        <v>920</v>
      </c>
      <c r="S7645">
        <v>39</v>
      </c>
      <c r="T7645" s="29" t="str">
        <f t="shared" ref="T7645:T7676" si="328">HYPERLINK("https://ictv.global/ictv/proposals/2023.025P.Alphaflexiviridae_rename_sp.zip","2023.025P.Alphaflexiviridae_rename_sp.zip")</f>
        <v>2023.025P.Alphaflexiviridae_rename_sp.zip</v>
      </c>
      <c r="U7645" s="29" t="str">
        <f>HYPERLINK("https://ictv.global/taxonomy/taxondetails?taxnode_id=202302176","ictv.global=202302176")</f>
        <v>ictv.global=202302176</v>
      </c>
    </row>
    <row r="7646" spans="1:21">
      <c r="A7646">
        <v>7645</v>
      </c>
      <c r="B7646" s="30" t="s">
        <v>1226</v>
      </c>
      <c r="D7646" s="30" t="s">
        <v>2024</v>
      </c>
      <c r="F7646" s="30" t="s">
        <v>2032</v>
      </c>
      <c r="H7646" s="30" t="s">
        <v>2033</v>
      </c>
      <c r="J7646" s="30" t="s">
        <v>314</v>
      </c>
      <c r="L7646" s="30" t="s">
        <v>133</v>
      </c>
      <c r="N7646" s="30" t="s">
        <v>152</v>
      </c>
      <c r="O7646" s="30" t="s">
        <v>2858</v>
      </c>
      <c r="P7646" s="30" t="s">
        <v>14528</v>
      </c>
      <c r="Q7646" t="s">
        <v>621</v>
      </c>
      <c r="R7646" t="s">
        <v>920</v>
      </c>
      <c r="S7646">
        <v>39</v>
      </c>
      <c r="T7646" s="29" t="str">
        <f t="shared" si="328"/>
        <v>2023.025P.Alphaflexiviridae_rename_sp.zip</v>
      </c>
      <c r="U7646" s="29" t="str">
        <f>HYPERLINK("https://ictv.global/taxonomy/taxondetails?taxnode_id=202302177","ictv.global=202302177")</f>
        <v>ictv.global=202302177</v>
      </c>
    </row>
    <row r="7647" spans="1:21">
      <c r="A7647">
        <v>7646</v>
      </c>
      <c r="B7647" s="30" t="s">
        <v>1226</v>
      </c>
      <c r="D7647" s="30" t="s">
        <v>2024</v>
      </c>
      <c r="F7647" s="30" t="s">
        <v>2032</v>
      </c>
      <c r="H7647" s="30" t="s">
        <v>2033</v>
      </c>
      <c r="J7647" s="30" t="s">
        <v>314</v>
      </c>
      <c r="L7647" s="30" t="s">
        <v>133</v>
      </c>
      <c r="N7647" s="30" t="s">
        <v>152</v>
      </c>
      <c r="O7647" s="30" t="s">
        <v>2858</v>
      </c>
      <c r="P7647" s="30" t="s">
        <v>14529</v>
      </c>
      <c r="Q7647" t="s">
        <v>621</v>
      </c>
      <c r="R7647" t="s">
        <v>920</v>
      </c>
      <c r="S7647">
        <v>39</v>
      </c>
      <c r="T7647" s="29" t="str">
        <f t="shared" si="328"/>
        <v>2023.025P.Alphaflexiviridae_rename_sp.zip</v>
      </c>
      <c r="U7647" s="29" t="str">
        <f>HYPERLINK("https://ictv.global/taxonomy/taxondetails?taxnode_id=202302178","ictv.global=202302178")</f>
        <v>ictv.global=202302178</v>
      </c>
    </row>
    <row r="7648" spans="1:21">
      <c r="A7648">
        <v>7647</v>
      </c>
      <c r="B7648" s="30" t="s">
        <v>1226</v>
      </c>
      <c r="D7648" s="30" t="s">
        <v>2024</v>
      </c>
      <c r="F7648" s="30" t="s">
        <v>2032</v>
      </c>
      <c r="H7648" s="30" t="s">
        <v>2033</v>
      </c>
      <c r="J7648" s="30" t="s">
        <v>314</v>
      </c>
      <c r="L7648" s="30" t="s">
        <v>133</v>
      </c>
      <c r="N7648" s="30" t="s">
        <v>152</v>
      </c>
      <c r="O7648" s="30" t="s">
        <v>2858</v>
      </c>
      <c r="P7648" s="30" t="s">
        <v>14530</v>
      </c>
      <c r="Q7648" t="s">
        <v>621</v>
      </c>
      <c r="R7648" t="s">
        <v>920</v>
      </c>
      <c r="S7648">
        <v>39</v>
      </c>
      <c r="T7648" s="29" t="str">
        <f t="shared" si="328"/>
        <v>2023.025P.Alphaflexiviridae_rename_sp.zip</v>
      </c>
      <c r="U7648" s="29" t="str">
        <f>HYPERLINK("https://ictv.global/taxonomy/taxondetails?taxnode_id=202302179","ictv.global=202302179")</f>
        <v>ictv.global=202302179</v>
      </c>
    </row>
    <row r="7649" spans="1:21">
      <c r="A7649">
        <v>7648</v>
      </c>
      <c r="B7649" s="30" t="s">
        <v>1226</v>
      </c>
      <c r="D7649" s="30" t="s">
        <v>2024</v>
      </c>
      <c r="F7649" s="30" t="s">
        <v>2032</v>
      </c>
      <c r="H7649" s="30" t="s">
        <v>2033</v>
      </c>
      <c r="J7649" s="30" t="s">
        <v>314</v>
      </c>
      <c r="L7649" s="30" t="s">
        <v>133</v>
      </c>
      <c r="N7649" s="30" t="s">
        <v>152</v>
      </c>
      <c r="O7649" s="30" t="s">
        <v>2858</v>
      </c>
      <c r="P7649" s="30" t="s">
        <v>14531</v>
      </c>
      <c r="Q7649" t="s">
        <v>621</v>
      </c>
      <c r="R7649" t="s">
        <v>920</v>
      </c>
      <c r="S7649">
        <v>39</v>
      </c>
      <c r="T7649" s="29" t="str">
        <f t="shared" si="328"/>
        <v>2023.025P.Alphaflexiviridae_rename_sp.zip</v>
      </c>
      <c r="U7649" s="29" t="str">
        <f>HYPERLINK("https://ictv.global/taxonomy/taxondetails?taxnode_id=202302181","ictv.global=202302181")</f>
        <v>ictv.global=202302181</v>
      </c>
    </row>
    <row r="7650" spans="1:21">
      <c r="A7650">
        <v>7649</v>
      </c>
      <c r="B7650" s="30" t="s">
        <v>1226</v>
      </c>
      <c r="D7650" s="30" t="s">
        <v>2024</v>
      </c>
      <c r="F7650" s="30" t="s">
        <v>2032</v>
      </c>
      <c r="H7650" s="30" t="s">
        <v>2033</v>
      </c>
      <c r="J7650" s="30" t="s">
        <v>314</v>
      </c>
      <c r="L7650" s="30" t="s">
        <v>133</v>
      </c>
      <c r="N7650" s="30" t="s">
        <v>152</v>
      </c>
      <c r="O7650" s="30" t="s">
        <v>2858</v>
      </c>
      <c r="P7650" s="30" t="s">
        <v>14532</v>
      </c>
      <c r="Q7650" t="s">
        <v>621</v>
      </c>
      <c r="R7650" t="s">
        <v>920</v>
      </c>
      <c r="S7650">
        <v>39</v>
      </c>
      <c r="T7650" s="29" t="str">
        <f t="shared" si="328"/>
        <v>2023.025P.Alphaflexiviridae_rename_sp.zip</v>
      </c>
      <c r="U7650" s="29" t="str">
        <f>HYPERLINK("https://ictv.global/taxonomy/taxondetails?taxnode_id=202302182","ictv.global=202302182")</f>
        <v>ictv.global=202302182</v>
      </c>
    </row>
    <row r="7651" spans="1:21">
      <c r="A7651">
        <v>7650</v>
      </c>
      <c r="B7651" s="30" t="s">
        <v>1226</v>
      </c>
      <c r="D7651" s="30" t="s">
        <v>2024</v>
      </c>
      <c r="F7651" s="30" t="s">
        <v>2032</v>
      </c>
      <c r="H7651" s="30" t="s">
        <v>2033</v>
      </c>
      <c r="J7651" s="30" t="s">
        <v>314</v>
      </c>
      <c r="L7651" s="30" t="s">
        <v>133</v>
      </c>
      <c r="N7651" s="30" t="s">
        <v>152</v>
      </c>
      <c r="O7651" s="30" t="s">
        <v>2858</v>
      </c>
      <c r="P7651" s="30" t="s">
        <v>14533</v>
      </c>
      <c r="Q7651" t="s">
        <v>621</v>
      </c>
      <c r="R7651" t="s">
        <v>920</v>
      </c>
      <c r="S7651">
        <v>39</v>
      </c>
      <c r="T7651" s="29" t="str">
        <f t="shared" si="328"/>
        <v>2023.025P.Alphaflexiviridae_rename_sp.zip</v>
      </c>
      <c r="U7651" s="29" t="str">
        <f>HYPERLINK("https://ictv.global/taxonomy/taxondetails?taxnode_id=202302180","ictv.global=202302180")</f>
        <v>ictv.global=202302180</v>
      </c>
    </row>
    <row r="7652" spans="1:21">
      <c r="A7652">
        <v>7651</v>
      </c>
      <c r="B7652" s="30" t="s">
        <v>1226</v>
      </c>
      <c r="D7652" s="30" t="s">
        <v>2024</v>
      </c>
      <c r="F7652" s="30" t="s">
        <v>2032</v>
      </c>
      <c r="H7652" s="30" t="s">
        <v>2033</v>
      </c>
      <c r="J7652" s="30" t="s">
        <v>314</v>
      </c>
      <c r="L7652" s="30" t="s">
        <v>133</v>
      </c>
      <c r="N7652" s="30" t="s">
        <v>152</v>
      </c>
      <c r="P7652" s="30" t="s">
        <v>14534</v>
      </c>
      <c r="Q7652" t="s">
        <v>621</v>
      </c>
      <c r="R7652" t="s">
        <v>920</v>
      </c>
      <c r="S7652">
        <v>39</v>
      </c>
      <c r="T7652" s="29" t="str">
        <f t="shared" si="328"/>
        <v>2023.025P.Alphaflexiviridae_rename_sp.zip</v>
      </c>
      <c r="U7652" s="29" t="str">
        <f>HYPERLINK("https://ictv.global/taxonomy/taxondetails?taxnode_id=202302231","ictv.global=202302231")</f>
        <v>ictv.global=202302231</v>
      </c>
    </row>
    <row r="7653" spans="1:21">
      <c r="A7653">
        <v>7652</v>
      </c>
      <c r="B7653" s="30" t="s">
        <v>1226</v>
      </c>
      <c r="D7653" s="30" t="s">
        <v>2024</v>
      </c>
      <c r="F7653" s="30" t="s">
        <v>2032</v>
      </c>
      <c r="H7653" s="30" t="s">
        <v>2033</v>
      </c>
      <c r="J7653" s="30" t="s">
        <v>314</v>
      </c>
      <c r="L7653" s="30" t="s">
        <v>133</v>
      </c>
      <c r="N7653" s="30" t="s">
        <v>152</v>
      </c>
      <c r="P7653" s="30" t="s">
        <v>14535</v>
      </c>
      <c r="Q7653" t="s">
        <v>621</v>
      </c>
      <c r="R7653" t="s">
        <v>920</v>
      </c>
      <c r="S7653">
        <v>39</v>
      </c>
      <c r="T7653" s="29" t="str">
        <f t="shared" si="328"/>
        <v>2023.025P.Alphaflexiviridae_rename_sp.zip</v>
      </c>
      <c r="U7653" s="29" t="str">
        <f>HYPERLINK("https://ictv.global/taxonomy/taxondetails?taxnode_id=202302175","ictv.global=202302175")</f>
        <v>ictv.global=202302175</v>
      </c>
    </row>
    <row r="7654" spans="1:21">
      <c r="A7654">
        <v>7653</v>
      </c>
      <c r="B7654" s="30" t="s">
        <v>1226</v>
      </c>
      <c r="D7654" s="30" t="s">
        <v>2024</v>
      </c>
      <c r="F7654" s="30" t="s">
        <v>2032</v>
      </c>
      <c r="H7654" s="30" t="s">
        <v>2033</v>
      </c>
      <c r="J7654" s="30" t="s">
        <v>314</v>
      </c>
      <c r="L7654" s="30" t="s">
        <v>133</v>
      </c>
      <c r="N7654" s="30" t="s">
        <v>152</v>
      </c>
      <c r="P7654" s="30" t="s">
        <v>14536</v>
      </c>
      <c r="Q7654" t="s">
        <v>621</v>
      </c>
      <c r="R7654" t="s">
        <v>920</v>
      </c>
      <c r="S7654">
        <v>39</v>
      </c>
      <c r="T7654" s="29" t="str">
        <f t="shared" si="328"/>
        <v>2023.025P.Alphaflexiviridae_rename_sp.zip</v>
      </c>
      <c r="U7654" s="29" t="str">
        <f>HYPERLINK("https://ictv.global/taxonomy/taxondetails?taxnode_id=202305633","ictv.global=202305633")</f>
        <v>ictv.global=202305633</v>
      </c>
    </row>
    <row r="7655" spans="1:21">
      <c r="A7655">
        <v>7654</v>
      </c>
      <c r="B7655" s="30" t="s">
        <v>1226</v>
      </c>
      <c r="D7655" s="30" t="s">
        <v>2024</v>
      </c>
      <c r="F7655" s="30" t="s">
        <v>2032</v>
      </c>
      <c r="H7655" s="30" t="s">
        <v>2033</v>
      </c>
      <c r="J7655" s="30" t="s">
        <v>314</v>
      </c>
      <c r="L7655" s="30" t="s">
        <v>133</v>
      </c>
      <c r="N7655" s="30" t="s">
        <v>152</v>
      </c>
      <c r="P7655" s="30" t="s">
        <v>14537</v>
      </c>
      <c r="Q7655" t="s">
        <v>621</v>
      </c>
      <c r="R7655" t="s">
        <v>920</v>
      </c>
      <c r="S7655">
        <v>39</v>
      </c>
      <c r="T7655" s="29" t="str">
        <f t="shared" si="328"/>
        <v>2023.025P.Alphaflexiviridae_rename_sp.zip</v>
      </c>
      <c r="U7655" s="29" t="str">
        <f>HYPERLINK("https://ictv.global/taxonomy/taxondetails?taxnode_id=202305632","ictv.global=202305632")</f>
        <v>ictv.global=202305632</v>
      </c>
    </row>
    <row r="7656" spans="1:21">
      <c r="A7656">
        <v>7655</v>
      </c>
      <c r="B7656" s="30" t="s">
        <v>1226</v>
      </c>
      <c r="D7656" s="30" t="s">
        <v>2024</v>
      </c>
      <c r="F7656" s="30" t="s">
        <v>2032</v>
      </c>
      <c r="H7656" s="30" t="s">
        <v>2033</v>
      </c>
      <c r="J7656" s="30" t="s">
        <v>314</v>
      </c>
      <c r="L7656" s="30" t="s">
        <v>133</v>
      </c>
      <c r="N7656" s="30" t="s">
        <v>152</v>
      </c>
      <c r="P7656" s="30" t="s">
        <v>14538</v>
      </c>
      <c r="Q7656" t="s">
        <v>621</v>
      </c>
      <c r="R7656" t="s">
        <v>920</v>
      </c>
      <c r="S7656">
        <v>39</v>
      </c>
      <c r="T7656" s="29" t="str">
        <f t="shared" si="328"/>
        <v>2023.025P.Alphaflexiviridae_rename_sp.zip</v>
      </c>
      <c r="U7656" s="29" t="str">
        <f>HYPERLINK("https://ictv.global/taxonomy/taxondetails?taxnode_id=202309851","ictv.global=202309851")</f>
        <v>ictv.global=202309851</v>
      </c>
    </row>
    <row r="7657" spans="1:21">
      <c r="A7657">
        <v>7656</v>
      </c>
      <c r="B7657" s="30" t="s">
        <v>1226</v>
      </c>
      <c r="D7657" s="30" t="s">
        <v>2024</v>
      </c>
      <c r="F7657" s="30" t="s">
        <v>2032</v>
      </c>
      <c r="H7657" s="30" t="s">
        <v>2033</v>
      </c>
      <c r="J7657" s="30" t="s">
        <v>314</v>
      </c>
      <c r="L7657" s="30" t="s">
        <v>133</v>
      </c>
      <c r="N7657" s="30" t="s">
        <v>152</v>
      </c>
      <c r="P7657" s="30" t="s">
        <v>14539</v>
      </c>
      <c r="Q7657" t="s">
        <v>621</v>
      </c>
      <c r="R7657" t="s">
        <v>920</v>
      </c>
      <c r="S7657">
        <v>39</v>
      </c>
      <c r="T7657" s="29" t="str">
        <f t="shared" si="328"/>
        <v>2023.025P.Alphaflexiviridae_rename_sp.zip</v>
      </c>
      <c r="U7657" s="29" t="str">
        <f>HYPERLINK("https://ictv.global/taxonomy/taxondetails?taxnode_id=202305631","ictv.global=202305631")</f>
        <v>ictv.global=202305631</v>
      </c>
    </row>
    <row r="7658" spans="1:21">
      <c r="A7658">
        <v>7657</v>
      </c>
      <c r="B7658" s="30" t="s">
        <v>1226</v>
      </c>
      <c r="D7658" s="30" t="s">
        <v>2024</v>
      </c>
      <c r="F7658" s="30" t="s">
        <v>2032</v>
      </c>
      <c r="H7658" s="30" t="s">
        <v>2033</v>
      </c>
      <c r="J7658" s="30" t="s">
        <v>314</v>
      </c>
      <c r="L7658" s="30" t="s">
        <v>133</v>
      </c>
      <c r="N7658" s="30" t="s">
        <v>198</v>
      </c>
      <c r="P7658" s="30" t="s">
        <v>14540</v>
      </c>
      <c r="Q7658" t="s">
        <v>621</v>
      </c>
      <c r="R7658" t="s">
        <v>920</v>
      </c>
      <c r="S7658">
        <v>39</v>
      </c>
      <c r="T7658" s="29" t="str">
        <f t="shared" si="328"/>
        <v>2023.025P.Alphaflexiviridae_rename_sp.zip</v>
      </c>
      <c r="U7658" s="29" t="str">
        <f>HYPERLINK("https://ictv.global/taxonomy/taxondetails?taxnode_id=202302184","ictv.global=202302184")</f>
        <v>ictv.global=202302184</v>
      </c>
    </row>
    <row r="7659" spans="1:21">
      <c r="A7659">
        <v>7658</v>
      </c>
      <c r="B7659" s="30" t="s">
        <v>1226</v>
      </c>
      <c r="D7659" s="30" t="s">
        <v>2024</v>
      </c>
      <c r="F7659" s="30" t="s">
        <v>2032</v>
      </c>
      <c r="H7659" s="30" t="s">
        <v>2033</v>
      </c>
      <c r="J7659" s="30" t="s">
        <v>314</v>
      </c>
      <c r="L7659" s="30" t="s">
        <v>133</v>
      </c>
      <c r="N7659" s="30" t="s">
        <v>501</v>
      </c>
      <c r="P7659" s="30" t="s">
        <v>14541</v>
      </c>
      <c r="Q7659" t="s">
        <v>621</v>
      </c>
      <c r="R7659" t="s">
        <v>920</v>
      </c>
      <c r="S7659">
        <v>39</v>
      </c>
      <c r="T7659" s="29" t="str">
        <f t="shared" si="328"/>
        <v>2023.025P.Alphaflexiviridae_rename_sp.zip</v>
      </c>
      <c r="U7659" s="29" t="str">
        <f>HYPERLINK("https://ictv.global/taxonomy/taxondetails?taxnode_id=202302186","ictv.global=202302186")</f>
        <v>ictv.global=202302186</v>
      </c>
    </row>
    <row r="7660" spans="1:21">
      <c r="A7660">
        <v>7659</v>
      </c>
      <c r="B7660" s="30" t="s">
        <v>1226</v>
      </c>
      <c r="D7660" s="30" t="s">
        <v>2024</v>
      </c>
      <c r="F7660" s="30" t="s">
        <v>2032</v>
      </c>
      <c r="H7660" s="30" t="s">
        <v>2033</v>
      </c>
      <c r="J7660" s="30" t="s">
        <v>314</v>
      </c>
      <c r="L7660" s="30" t="s">
        <v>133</v>
      </c>
      <c r="N7660" s="30" t="s">
        <v>724</v>
      </c>
      <c r="P7660" s="30" t="s">
        <v>14542</v>
      </c>
      <c r="Q7660" t="s">
        <v>621</v>
      </c>
      <c r="R7660" t="s">
        <v>920</v>
      </c>
      <c r="S7660">
        <v>39</v>
      </c>
      <c r="T7660" s="29" t="str">
        <f t="shared" si="328"/>
        <v>2023.025P.Alphaflexiviridae_rename_sp.zip</v>
      </c>
      <c r="U7660" s="29" t="str">
        <f>HYPERLINK("https://ictv.global/taxonomy/taxondetails?taxnode_id=202302191","ictv.global=202302191")</f>
        <v>ictv.global=202302191</v>
      </c>
    </row>
    <row r="7661" spans="1:21">
      <c r="A7661">
        <v>7660</v>
      </c>
      <c r="B7661" s="30" t="s">
        <v>1226</v>
      </c>
      <c r="D7661" s="30" t="s">
        <v>2024</v>
      </c>
      <c r="F7661" s="30" t="s">
        <v>2032</v>
      </c>
      <c r="H7661" s="30" t="s">
        <v>2033</v>
      </c>
      <c r="J7661" s="30" t="s">
        <v>314</v>
      </c>
      <c r="L7661" s="30" t="s">
        <v>133</v>
      </c>
      <c r="N7661" s="30" t="s">
        <v>321</v>
      </c>
      <c r="O7661" s="30" t="s">
        <v>140</v>
      </c>
      <c r="P7661" s="30" t="s">
        <v>14543</v>
      </c>
      <c r="Q7661" t="s">
        <v>621</v>
      </c>
      <c r="R7661" t="s">
        <v>920</v>
      </c>
      <c r="S7661">
        <v>39</v>
      </c>
      <c r="T7661" s="29" t="str">
        <f t="shared" si="328"/>
        <v>2023.025P.Alphaflexiviridae_rename_sp.zip</v>
      </c>
      <c r="U7661" s="29" t="str">
        <f>HYPERLINK("https://ictv.global/taxonomy/taxondetails?taxnode_id=202309865","ictv.global=202309865")</f>
        <v>ictv.global=202309865</v>
      </c>
    </row>
    <row r="7662" spans="1:21">
      <c r="A7662">
        <v>7661</v>
      </c>
      <c r="B7662" s="30" t="s">
        <v>1226</v>
      </c>
      <c r="D7662" s="30" t="s">
        <v>2024</v>
      </c>
      <c r="F7662" s="30" t="s">
        <v>2032</v>
      </c>
      <c r="H7662" s="30" t="s">
        <v>2033</v>
      </c>
      <c r="J7662" s="30" t="s">
        <v>314</v>
      </c>
      <c r="L7662" s="30" t="s">
        <v>133</v>
      </c>
      <c r="N7662" s="30" t="s">
        <v>321</v>
      </c>
      <c r="O7662" s="30" t="s">
        <v>140</v>
      </c>
      <c r="P7662" s="30" t="s">
        <v>14544</v>
      </c>
      <c r="Q7662" t="s">
        <v>621</v>
      </c>
      <c r="R7662" t="s">
        <v>920</v>
      </c>
      <c r="S7662">
        <v>39</v>
      </c>
      <c r="T7662" s="29" t="str">
        <f t="shared" si="328"/>
        <v>2023.025P.Alphaflexiviridae_rename_sp.zip</v>
      </c>
      <c r="U7662" s="29" t="str">
        <f>HYPERLINK("https://ictv.global/taxonomy/taxondetails?taxnode_id=202302188","ictv.global=202302188")</f>
        <v>ictv.global=202302188</v>
      </c>
    </row>
    <row r="7663" spans="1:21">
      <c r="A7663">
        <v>7662</v>
      </c>
      <c r="B7663" s="30" t="s">
        <v>1226</v>
      </c>
      <c r="D7663" s="30" t="s">
        <v>2024</v>
      </c>
      <c r="F7663" s="30" t="s">
        <v>2032</v>
      </c>
      <c r="H7663" s="30" t="s">
        <v>2033</v>
      </c>
      <c r="J7663" s="30" t="s">
        <v>314</v>
      </c>
      <c r="L7663" s="30" t="s">
        <v>133</v>
      </c>
      <c r="N7663" s="30" t="s">
        <v>321</v>
      </c>
      <c r="O7663" s="30" t="s">
        <v>140</v>
      </c>
      <c r="P7663" s="30" t="s">
        <v>14545</v>
      </c>
      <c r="Q7663" t="s">
        <v>621</v>
      </c>
      <c r="R7663" t="s">
        <v>920</v>
      </c>
      <c r="S7663">
        <v>39</v>
      </c>
      <c r="T7663" s="29" t="str">
        <f t="shared" si="328"/>
        <v>2023.025P.Alphaflexiviridae_rename_sp.zip</v>
      </c>
      <c r="U7663" s="29" t="str">
        <f>HYPERLINK("https://ictv.global/taxonomy/taxondetails?taxnode_id=202302189","ictv.global=202302189")</f>
        <v>ictv.global=202302189</v>
      </c>
    </row>
    <row r="7664" spans="1:21">
      <c r="A7664">
        <v>7663</v>
      </c>
      <c r="B7664" s="30" t="s">
        <v>1226</v>
      </c>
      <c r="D7664" s="30" t="s">
        <v>2024</v>
      </c>
      <c r="F7664" s="30" t="s">
        <v>2032</v>
      </c>
      <c r="H7664" s="30" t="s">
        <v>2033</v>
      </c>
      <c r="J7664" s="30" t="s">
        <v>314</v>
      </c>
      <c r="L7664" s="30" t="s">
        <v>133</v>
      </c>
      <c r="N7664" s="30" t="s">
        <v>321</v>
      </c>
      <c r="P7664" s="30" t="s">
        <v>14546</v>
      </c>
      <c r="Q7664" t="s">
        <v>621</v>
      </c>
      <c r="R7664" t="s">
        <v>920</v>
      </c>
      <c r="S7664">
        <v>39</v>
      </c>
      <c r="T7664" s="29" t="str">
        <f t="shared" si="328"/>
        <v>2023.025P.Alphaflexiviridae_rename_sp.zip</v>
      </c>
      <c r="U7664" s="29" t="str">
        <f>HYPERLINK("https://ictv.global/taxonomy/taxondetails?taxnode_id=202302195","ictv.global=202302195")</f>
        <v>ictv.global=202302195</v>
      </c>
    </row>
    <row r="7665" spans="1:21">
      <c r="A7665">
        <v>7664</v>
      </c>
      <c r="B7665" s="30" t="s">
        <v>1226</v>
      </c>
      <c r="D7665" s="30" t="s">
        <v>2024</v>
      </c>
      <c r="F7665" s="30" t="s">
        <v>2032</v>
      </c>
      <c r="H7665" s="30" t="s">
        <v>2033</v>
      </c>
      <c r="J7665" s="30" t="s">
        <v>314</v>
      </c>
      <c r="L7665" s="30" t="s">
        <v>133</v>
      </c>
      <c r="N7665" s="30" t="s">
        <v>321</v>
      </c>
      <c r="P7665" s="30" t="s">
        <v>14547</v>
      </c>
      <c r="Q7665" t="s">
        <v>621</v>
      </c>
      <c r="R7665" t="s">
        <v>920</v>
      </c>
      <c r="S7665">
        <v>39</v>
      </c>
      <c r="T7665" s="29" t="str">
        <f t="shared" si="328"/>
        <v>2023.025P.Alphaflexiviridae_rename_sp.zip</v>
      </c>
      <c r="U7665" s="29" t="str">
        <f>HYPERLINK("https://ictv.global/taxonomy/taxondetails?taxnode_id=202309847","ictv.global=202309847")</f>
        <v>ictv.global=202309847</v>
      </c>
    </row>
    <row r="7666" spans="1:21">
      <c r="A7666">
        <v>7665</v>
      </c>
      <c r="B7666" s="30" t="s">
        <v>1226</v>
      </c>
      <c r="D7666" s="30" t="s">
        <v>2024</v>
      </c>
      <c r="F7666" s="30" t="s">
        <v>2032</v>
      </c>
      <c r="H7666" s="30" t="s">
        <v>2033</v>
      </c>
      <c r="J7666" s="30" t="s">
        <v>314</v>
      </c>
      <c r="L7666" s="30" t="s">
        <v>133</v>
      </c>
      <c r="N7666" s="30" t="s">
        <v>321</v>
      </c>
      <c r="P7666" s="30" t="s">
        <v>14548</v>
      </c>
      <c r="Q7666" t="s">
        <v>621</v>
      </c>
      <c r="R7666" t="s">
        <v>920</v>
      </c>
      <c r="S7666">
        <v>39</v>
      </c>
      <c r="T7666" s="29" t="str">
        <f t="shared" si="328"/>
        <v>2023.025P.Alphaflexiviridae_rename_sp.zip</v>
      </c>
      <c r="U7666" s="29" t="str">
        <f>HYPERLINK("https://ictv.global/taxonomy/taxondetails?taxnode_id=202302197","ictv.global=202302197")</f>
        <v>ictv.global=202302197</v>
      </c>
    </row>
    <row r="7667" spans="1:21">
      <c r="A7667">
        <v>7666</v>
      </c>
      <c r="B7667" s="30" t="s">
        <v>1226</v>
      </c>
      <c r="D7667" s="30" t="s">
        <v>2024</v>
      </c>
      <c r="F7667" s="30" t="s">
        <v>2032</v>
      </c>
      <c r="H7667" s="30" t="s">
        <v>2033</v>
      </c>
      <c r="J7667" s="30" t="s">
        <v>314</v>
      </c>
      <c r="L7667" s="30" t="s">
        <v>133</v>
      </c>
      <c r="N7667" s="30" t="s">
        <v>321</v>
      </c>
      <c r="P7667" s="30" t="s">
        <v>14549</v>
      </c>
      <c r="Q7667" t="s">
        <v>621</v>
      </c>
      <c r="R7667" t="s">
        <v>920</v>
      </c>
      <c r="S7667">
        <v>39</v>
      </c>
      <c r="T7667" s="29" t="str">
        <f t="shared" si="328"/>
        <v>2023.025P.Alphaflexiviridae_rename_sp.zip</v>
      </c>
      <c r="U7667" s="29" t="str">
        <f>HYPERLINK("https://ictv.global/taxonomy/taxondetails?taxnode_id=202309844","ictv.global=202309844")</f>
        <v>ictv.global=202309844</v>
      </c>
    </row>
    <row r="7668" spans="1:21">
      <c r="A7668">
        <v>7667</v>
      </c>
      <c r="B7668" s="30" t="s">
        <v>1226</v>
      </c>
      <c r="D7668" s="30" t="s">
        <v>2024</v>
      </c>
      <c r="F7668" s="30" t="s">
        <v>2032</v>
      </c>
      <c r="H7668" s="30" t="s">
        <v>2033</v>
      </c>
      <c r="J7668" s="30" t="s">
        <v>314</v>
      </c>
      <c r="L7668" s="30" t="s">
        <v>133</v>
      </c>
      <c r="N7668" s="30" t="s">
        <v>321</v>
      </c>
      <c r="P7668" s="30" t="s">
        <v>14550</v>
      </c>
      <c r="Q7668" t="s">
        <v>621</v>
      </c>
      <c r="R7668" t="s">
        <v>920</v>
      </c>
      <c r="S7668">
        <v>39</v>
      </c>
      <c r="T7668" s="29" t="str">
        <f t="shared" si="328"/>
        <v>2023.025P.Alphaflexiviridae_rename_sp.zip</v>
      </c>
      <c r="U7668" s="29" t="str">
        <f>HYPERLINK("https://ictv.global/taxonomy/taxondetails?taxnode_id=202302202","ictv.global=202302202")</f>
        <v>ictv.global=202302202</v>
      </c>
    </row>
    <row r="7669" spans="1:21">
      <c r="A7669">
        <v>7668</v>
      </c>
      <c r="B7669" s="30" t="s">
        <v>1226</v>
      </c>
      <c r="D7669" s="30" t="s">
        <v>2024</v>
      </c>
      <c r="F7669" s="30" t="s">
        <v>2032</v>
      </c>
      <c r="H7669" s="30" t="s">
        <v>2033</v>
      </c>
      <c r="J7669" s="30" t="s">
        <v>314</v>
      </c>
      <c r="L7669" s="30" t="s">
        <v>133</v>
      </c>
      <c r="N7669" s="30" t="s">
        <v>321</v>
      </c>
      <c r="P7669" s="30" t="s">
        <v>14551</v>
      </c>
      <c r="Q7669" t="s">
        <v>621</v>
      </c>
      <c r="R7669" t="s">
        <v>920</v>
      </c>
      <c r="S7669">
        <v>39</v>
      </c>
      <c r="T7669" s="29" t="str">
        <f t="shared" si="328"/>
        <v>2023.025P.Alphaflexiviridae_rename_sp.zip</v>
      </c>
      <c r="U7669" s="29" t="str">
        <f>HYPERLINK("https://ictv.global/taxonomy/taxondetails?taxnode_id=202302193","ictv.global=202302193")</f>
        <v>ictv.global=202302193</v>
      </c>
    </row>
    <row r="7670" spans="1:21">
      <c r="A7670">
        <v>7669</v>
      </c>
      <c r="B7670" s="30" t="s">
        <v>1226</v>
      </c>
      <c r="D7670" s="30" t="s">
        <v>2024</v>
      </c>
      <c r="F7670" s="30" t="s">
        <v>2032</v>
      </c>
      <c r="H7670" s="30" t="s">
        <v>2033</v>
      </c>
      <c r="J7670" s="30" t="s">
        <v>314</v>
      </c>
      <c r="L7670" s="30" t="s">
        <v>133</v>
      </c>
      <c r="N7670" s="30" t="s">
        <v>321</v>
      </c>
      <c r="P7670" s="30" t="s">
        <v>14552</v>
      </c>
      <c r="Q7670" t="s">
        <v>621</v>
      </c>
      <c r="R7670" t="s">
        <v>920</v>
      </c>
      <c r="S7670">
        <v>39</v>
      </c>
      <c r="T7670" s="29" t="str">
        <f t="shared" si="328"/>
        <v>2023.025P.Alphaflexiviridae_rename_sp.zip</v>
      </c>
      <c r="U7670" s="29" t="str">
        <f>HYPERLINK("https://ictv.global/taxonomy/taxondetails?taxnode_id=202302194","ictv.global=202302194")</f>
        <v>ictv.global=202302194</v>
      </c>
    </row>
    <row r="7671" spans="1:21">
      <c r="A7671">
        <v>7670</v>
      </c>
      <c r="B7671" s="30" t="s">
        <v>1226</v>
      </c>
      <c r="D7671" s="30" t="s">
        <v>2024</v>
      </c>
      <c r="F7671" s="30" t="s">
        <v>2032</v>
      </c>
      <c r="H7671" s="30" t="s">
        <v>2033</v>
      </c>
      <c r="J7671" s="30" t="s">
        <v>314</v>
      </c>
      <c r="L7671" s="30" t="s">
        <v>133</v>
      </c>
      <c r="N7671" s="30" t="s">
        <v>321</v>
      </c>
      <c r="P7671" s="30" t="s">
        <v>14553</v>
      </c>
      <c r="Q7671" t="s">
        <v>621</v>
      </c>
      <c r="R7671" t="s">
        <v>920</v>
      </c>
      <c r="S7671">
        <v>39</v>
      </c>
      <c r="T7671" s="29" t="str">
        <f t="shared" si="328"/>
        <v>2023.025P.Alphaflexiviridae_rename_sp.zip</v>
      </c>
      <c r="U7671" s="29" t="str">
        <f>HYPERLINK("https://ictv.global/taxonomy/taxondetails?taxnode_id=202302198","ictv.global=202302198")</f>
        <v>ictv.global=202302198</v>
      </c>
    </row>
    <row r="7672" spans="1:21">
      <c r="A7672">
        <v>7671</v>
      </c>
      <c r="B7672" s="30" t="s">
        <v>1226</v>
      </c>
      <c r="D7672" s="30" t="s">
        <v>2024</v>
      </c>
      <c r="F7672" s="30" t="s">
        <v>2032</v>
      </c>
      <c r="H7672" s="30" t="s">
        <v>2033</v>
      </c>
      <c r="J7672" s="30" t="s">
        <v>314</v>
      </c>
      <c r="L7672" s="30" t="s">
        <v>133</v>
      </c>
      <c r="N7672" s="30" t="s">
        <v>321</v>
      </c>
      <c r="P7672" s="30" t="s">
        <v>14554</v>
      </c>
      <c r="Q7672" t="s">
        <v>621</v>
      </c>
      <c r="R7672" t="s">
        <v>920</v>
      </c>
      <c r="S7672">
        <v>39</v>
      </c>
      <c r="T7672" s="29" t="str">
        <f t="shared" si="328"/>
        <v>2023.025P.Alphaflexiviridae_rename_sp.zip</v>
      </c>
      <c r="U7672" s="29" t="str">
        <f>HYPERLINK("https://ictv.global/taxonomy/taxondetails?taxnode_id=202302221","ictv.global=202302221")</f>
        <v>ictv.global=202302221</v>
      </c>
    </row>
    <row r="7673" spans="1:21">
      <c r="A7673">
        <v>7672</v>
      </c>
      <c r="B7673" s="30" t="s">
        <v>1226</v>
      </c>
      <c r="D7673" s="30" t="s">
        <v>2024</v>
      </c>
      <c r="F7673" s="30" t="s">
        <v>2032</v>
      </c>
      <c r="H7673" s="30" t="s">
        <v>2033</v>
      </c>
      <c r="J7673" s="30" t="s">
        <v>314</v>
      </c>
      <c r="L7673" s="30" t="s">
        <v>133</v>
      </c>
      <c r="N7673" s="30" t="s">
        <v>321</v>
      </c>
      <c r="P7673" s="30" t="s">
        <v>14555</v>
      </c>
      <c r="Q7673" t="s">
        <v>621</v>
      </c>
      <c r="R7673" t="s">
        <v>920</v>
      </c>
      <c r="S7673">
        <v>39</v>
      </c>
      <c r="T7673" s="29" t="str">
        <f t="shared" si="328"/>
        <v>2023.025P.Alphaflexiviridae_rename_sp.zip</v>
      </c>
      <c r="U7673" s="29" t="str">
        <f>HYPERLINK("https://ictv.global/taxonomy/taxondetails?taxnode_id=202309850","ictv.global=202309850")</f>
        <v>ictv.global=202309850</v>
      </c>
    </row>
    <row r="7674" spans="1:21">
      <c r="A7674">
        <v>7673</v>
      </c>
      <c r="B7674" s="30" t="s">
        <v>1226</v>
      </c>
      <c r="D7674" s="30" t="s">
        <v>2024</v>
      </c>
      <c r="F7674" s="30" t="s">
        <v>2032</v>
      </c>
      <c r="H7674" s="30" t="s">
        <v>2033</v>
      </c>
      <c r="J7674" s="30" t="s">
        <v>314</v>
      </c>
      <c r="L7674" s="30" t="s">
        <v>133</v>
      </c>
      <c r="N7674" s="30" t="s">
        <v>321</v>
      </c>
      <c r="P7674" s="30" t="s">
        <v>14556</v>
      </c>
      <c r="Q7674" t="s">
        <v>621</v>
      </c>
      <c r="R7674" t="s">
        <v>920</v>
      </c>
      <c r="S7674">
        <v>39</v>
      </c>
      <c r="T7674" s="29" t="str">
        <f t="shared" si="328"/>
        <v>2023.025P.Alphaflexiviridae_rename_sp.zip</v>
      </c>
      <c r="U7674" s="29" t="str">
        <f>HYPERLINK("https://ictv.global/taxonomy/taxondetails?taxnode_id=202302226","ictv.global=202302226")</f>
        <v>ictv.global=202302226</v>
      </c>
    </row>
    <row r="7675" spans="1:21">
      <c r="A7675">
        <v>7674</v>
      </c>
      <c r="B7675" s="30" t="s">
        <v>1226</v>
      </c>
      <c r="D7675" s="30" t="s">
        <v>2024</v>
      </c>
      <c r="F7675" s="30" t="s">
        <v>2032</v>
      </c>
      <c r="H7675" s="30" t="s">
        <v>2033</v>
      </c>
      <c r="J7675" s="30" t="s">
        <v>314</v>
      </c>
      <c r="L7675" s="30" t="s">
        <v>133</v>
      </c>
      <c r="N7675" s="30" t="s">
        <v>321</v>
      </c>
      <c r="P7675" s="30" t="s">
        <v>14557</v>
      </c>
      <c r="Q7675" t="s">
        <v>621</v>
      </c>
      <c r="R7675" t="s">
        <v>920</v>
      </c>
      <c r="S7675">
        <v>39</v>
      </c>
      <c r="T7675" s="29" t="str">
        <f t="shared" si="328"/>
        <v>2023.025P.Alphaflexiviridae_rename_sp.zip</v>
      </c>
      <c r="U7675" s="29" t="str">
        <f>HYPERLINK("https://ictv.global/taxonomy/taxondetails?taxnode_id=202302204","ictv.global=202302204")</f>
        <v>ictv.global=202302204</v>
      </c>
    </row>
    <row r="7676" spans="1:21">
      <c r="A7676">
        <v>7675</v>
      </c>
      <c r="B7676" s="30" t="s">
        <v>1226</v>
      </c>
      <c r="D7676" s="30" t="s">
        <v>2024</v>
      </c>
      <c r="F7676" s="30" t="s">
        <v>2032</v>
      </c>
      <c r="H7676" s="30" t="s">
        <v>2033</v>
      </c>
      <c r="J7676" s="30" t="s">
        <v>314</v>
      </c>
      <c r="L7676" s="30" t="s">
        <v>133</v>
      </c>
      <c r="N7676" s="30" t="s">
        <v>321</v>
      </c>
      <c r="P7676" s="30" t="s">
        <v>14558</v>
      </c>
      <c r="Q7676" t="s">
        <v>621</v>
      </c>
      <c r="R7676" t="s">
        <v>920</v>
      </c>
      <c r="S7676">
        <v>39</v>
      </c>
      <c r="T7676" s="29" t="str">
        <f t="shared" si="328"/>
        <v>2023.025P.Alphaflexiviridae_rename_sp.zip</v>
      </c>
      <c r="U7676" s="29" t="str">
        <f>HYPERLINK("https://ictv.global/taxonomy/taxondetails?taxnode_id=202302207","ictv.global=202302207")</f>
        <v>ictv.global=202302207</v>
      </c>
    </row>
    <row r="7677" spans="1:21">
      <c r="A7677">
        <v>7676</v>
      </c>
      <c r="B7677" s="30" t="s">
        <v>1226</v>
      </c>
      <c r="D7677" s="30" t="s">
        <v>2024</v>
      </c>
      <c r="F7677" s="30" t="s">
        <v>2032</v>
      </c>
      <c r="H7677" s="30" t="s">
        <v>2033</v>
      </c>
      <c r="J7677" s="30" t="s">
        <v>314</v>
      </c>
      <c r="L7677" s="30" t="s">
        <v>133</v>
      </c>
      <c r="N7677" s="30" t="s">
        <v>321</v>
      </c>
      <c r="P7677" s="30" t="s">
        <v>14559</v>
      </c>
      <c r="Q7677" t="s">
        <v>621</v>
      </c>
      <c r="R7677" t="s">
        <v>920</v>
      </c>
      <c r="S7677">
        <v>39</v>
      </c>
      <c r="T7677" s="29" t="str">
        <f t="shared" ref="T7677:T7709" si="329">HYPERLINK("https://ictv.global/ictv/proposals/2023.025P.Alphaflexiviridae_rename_sp.zip","2023.025P.Alphaflexiviridae_rename_sp.zip")</f>
        <v>2023.025P.Alphaflexiviridae_rename_sp.zip</v>
      </c>
      <c r="U7677" s="29" t="str">
        <f>HYPERLINK("https://ictv.global/taxonomy/taxondetails?taxnode_id=202302208","ictv.global=202302208")</f>
        <v>ictv.global=202302208</v>
      </c>
    </row>
    <row r="7678" spans="1:21">
      <c r="A7678">
        <v>7677</v>
      </c>
      <c r="B7678" s="30" t="s">
        <v>1226</v>
      </c>
      <c r="D7678" s="30" t="s">
        <v>2024</v>
      </c>
      <c r="F7678" s="30" t="s">
        <v>2032</v>
      </c>
      <c r="H7678" s="30" t="s">
        <v>2033</v>
      </c>
      <c r="J7678" s="30" t="s">
        <v>314</v>
      </c>
      <c r="L7678" s="30" t="s">
        <v>133</v>
      </c>
      <c r="N7678" s="30" t="s">
        <v>321</v>
      </c>
      <c r="P7678" s="30" t="s">
        <v>14560</v>
      </c>
      <c r="Q7678" t="s">
        <v>621</v>
      </c>
      <c r="R7678" t="s">
        <v>920</v>
      </c>
      <c r="S7678">
        <v>39</v>
      </c>
      <c r="T7678" s="29" t="str">
        <f t="shared" si="329"/>
        <v>2023.025P.Alphaflexiviridae_rename_sp.zip</v>
      </c>
      <c r="U7678" s="29" t="str">
        <f>HYPERLINK("https://ictv.global/taxonomy/taxondetails?taxnode_id=202302200","ictv.global=202302200")</f>
        <v>ictv.global=202302200</v>
      </c>
    </row>
    <row r="7679" spans="1:21">
      <c r="A7679">
        <v>7678</v>
      </c>
      <c r="B7679" s="30" t="s">
        <v>1226</v>
      </c>
      <c r="D7679" s="30" t="s">
        <v>2024</v>
      </c>
      <c r="F7679" s="30" t="s">
        <v>2032</v>
      </c>
      <c r="H7679" s="30" t="s">
        <v>2033</v>
      </c>
      <c r="J7679" s="30" t="s">
        <v>314</v>
      </c>
      <c r="L7679" s="30" t="s">
        <v>133</v>
      </c>
      <c r="N7679" s="30" t="s">
        <v>321</v>
      </c>
      <c r="P7679" s="30" t="s">
        <v>14561</v>
      </c>
      <c r="Q7679" t="s">
        <v>621</v>
      </c>
      <c r="R7679" t="s">
        <v>920</v>
      </c>
      <c r="S7679">
        <v>39</v>
      </c>
      <c r="T7679" s="29" t="str">
        <f t="shared" si="329"/>
        <v>2023.025P.Alphaflexiviridae_rename_sp.zip</v>
      </c>
      <c r="U7679" s="29" t="str">
        <f>HYPERLINK("https://ictv.global/taxonomy/taxondetails?taxnode_id=202302210","ictv.global=202302210")</f>
        <v>ictv.global=202302210</v>
      </c>
    </row>
    <row r="7680" spans="1:21">
      <c r="A7680">
        <v>7679</v>
      </c>
      <c r="B7680" s="30" t="s">
        <v>1226</v>
      </c>
      <c r="D7680" s="30" t="s">
        <v>2024</v>
      </c>
      <c r="F7680" s="30" t="s">
        <v>2032</v>
      </c>
      <c r="H7680" s="30" t="s">
        <v>2033</v>
      </c>
      <c r="J7680" s="30" t="s">
        <v>314</v>
      </c>
      <c r="L7680" s="30" t="s">
        <v>133</v>
      </c>
      <c r="N7680" s="30" t="s">
        <v>321</v>
      </c>
      <c r="P7680" s="30" t="s">
        <v>14562</v>
      </c>
      <c r="Q7680" t="s">
        <v>621</v>
      </c>
      <c r="R7680" t="s">
        <v>920</v>
      </c>
      <c r="S7680">
        <v>39</v>
      </c>
      <c r="T7680" s="29" t="str">
        <f t="shared" si="329"/>
        <v>2023.025P.Alphaflexiviridae_rename_sp.zip</v>
      </c>
      <c r="U7680" s="29" t="str">
        <f>HYPERLINK("https://ictv.global/taxonomy/taxondetails?taxnode_id=202302212","ictv.global=202302212")</f>
        <v>ictv.global=202302212</v>
      </c>
    </row>
    <row r="7681" spans="1:21">
      <c r="A7681">
        <v>7680</v>
      </c>
      <c r="B7681" s="30" t="s">
        <v>1226</v>
      </c>
      <c r="D7681" s="30" t="s">
        <v>2024</v>
      </c>
      <c r="F7681" s="30" t="s">
        <v>2032</v>
      </c>
      <c r="H7681" s="30" t="s">
        <v>2033</v>
      </c>
      <c r="J7681" s="30" t="s">
        <v>314</v>
      </c>
      <c r="L7681" s="30" t="s">
        <v>133</v>
      </c>
      <c r="N7681" s="30" t="s">
        <v>321</v>
      </c>
      <c r="P7681" s="30" t="s">
        <v>14563</v>
      </c>
      <c r="Q7681" t="s">
        <v>621</v>
      </c>
      <c r="R7681" t="s">
        <v>920</v>
      </c>
      <c r="S7681">
        <v>39</v>
      </c>
      <c r="T7681" s="29" t="str">
        <f t="shared" si="329"/>
        <v>2023.025P.Alphaflexiviridae_rename_sp.zip</v>
      </c>
      <c r="U7681" s="29" t="str">
        <f>HYPERLINK("https://ictv.global/taxonomy/taxondetails?taxnode_id=202302213","ictv.global=202302213")</f>
        <v>ictv.global=202302213</v>
      </c>
    </row>
    <row r="7682" spans="1:21">
      <c r="A7682">
        <v>7681</v>
      </c>
      <c r="B7682" s="30" t="s">
        <v>1226</v>
      </c>
      <c r="D7682" s="30" t="s">
        <v>2024</v>
      </c>
      <c r="F7682" s="30" t="s">
        <v>2032</v>
      </c>
      <c r="H7682" s="30" t="s">
        <v>2033</v>
      </c>
      <c r="J7682" s="30" t="s">
        <v>314</v>
      </c>
      <c r="L7682" s="30" t="s">
        <v>133</v>
      </c>
      <c r="N7682" s="30" t="s">
        <v>321</v>
      </c>
      <c r="P7682" s="30" t="s">
        <v>14564</v>
      </c>
      <c r="Q7682" t="s">
        <v>621</v>
      </c>
      <c r="R7682" t="s">
        <v>920</v>
      </c>
      <c r="S7682">
        <v>39</v>
      </c>
      <c r="T7682" s="29" t="str">
        <f t="shared" si="329"/>
        <v>2023.025P.Alphaflexiviridae_rename_sp.zip</v>
      </c>
      <c r="U7682" s="29" t="str">
        <f>HYPERLINK("https://ictv.global/taxonomy/taxondetails?taxnode_id=202302216","ictv.global=202302216")</f>
        <v>ictv.global=202302216</v>
      </c>
    </row>
    <row r="7683" spans="1:21">
      <c r="A7683">
        <v>7682</v>
      </c>
      <c r="B7683" s="30" t="s">
        <v>1226</v>
      </c>
      <c r="D7683" s="30" t="s">
        <v>2024</v>
      </c>
      <c r="F7683" s="30" t="s">
        <v>2032</v>
      </c>
      <c r="H7683" s="30" t="s">
        <v>2033</v>
      </c>
      <c r="J7683" s="30" t="s">
        <v>314</v>
      </c>
      <c r="L7683" s="30" t="s">
        <v>133</v>
      </c>
      <c r="N7683" s="30" t="s">
        <v>321</v>
      </c>
      <c r="P7683" s="30" t="s">
        <v>14565</v>
      </c>
      <c r="Q7683" t="s">
        <v>621</v>
      </c>
      <c r="R7683" t="s">
        <v>920</v>
      </c>
      <c r="S7683">
        <v>39</v>
      </c>
      <c r="T7683" s="29" t="str">
        <f t="shared" si="329"/>
        <v>2023.025P.Alphaflexiviridae_rename_sp.zip</v>
      </c>
      <c r="U7683" s="29" t="str">
        <f>HYPERLINK("https://ictv.global/taxonomy/taxondetails?taxnode_id=202305635","ictv.global=202305635")</f>
        <v>ictv.global=202305635</v>
      </c>
    </row>
    <row r="7684" spans="1:21">
      <c r="A7684">
        <v>7683</v>
      </c>
      <c r="B7684" s="30" t="s">
        <v>1226</v>
      </c>
      <c r="D7684" s="30" t="s">
        <v>2024</v>
      </c>
      <c r="F7684" s="30" t="s">
        <v>2032</v>
      </c>
      <c r="H7684" s="30" t="s">
        <v>2033</v>
      </c>
      <c r="J7684" s="30" t="s">
        <v>314</v>
      </c>
      <c r="L7684" s="30" t="s">
        <v>133</v>
      </c>
      <c r="N7684" s="30" t="s">
        <v>321</v>
      </c>
      <c r="P7684" s="30" t="s">
        <v>14566</v>
      </c>
      <c r="Q7684" t="s">
        <v>621</v>
      </c>
      <c r="R7684" t="s">
        <v>920</v>
      </c>
      <c r="S7684">
        <v>39</v>
      </c>
      <c r="T7684" s="29" t="str">
        <f t="shared" si="329"/>
        <v>2023.025P.Alphaflexiviridae_rename_sp.zip</v>
      </c>
      <c r="U7684" s="29" t="str">
        <f>HYPERLINK("https://ictv.global/taxonomy/taxondetails?taxnode_id=202302218","ictv.global=202302218")</f>
        <v>ictv.global=202302218</v>
      </c>
    </row>
    <row r="7685" spans="1:21">
      <c r="A7685">
        <v>7684</v>
      </c>
      <c r="B7685" s="30" t="s">
        <v>1226</v>
      </c>
      <c r="D7685" s="30" t="s">
        <v>2024</v>
      </c>
      <c r="F7685" s="30" t="s">
        <v>2032</v>
      </c>
      <c r="H7685" s="30" t="s">
        <v>2033</v>
      </c>
      <c r="J7685" s="30" t="s">
        <v>314</v>
      </c>
      <c r="L7685" s="30" t="s">
        <v>133</v>
      </c>
      <c r="N7685" s="30" t="s">
        <v>321</v>
      </c>
      <c r="P7685" s="30" t="s">
        <v>14567</v>
      </c>
      <c r="Q7685" t="s">
        <v>621</v>
      </c>
      <c r="R7685" t="s">
        <v>920</v>
      </c>
      <c r="S7685">
        <v>39</v>
      </c>
      <c r="T7685" s="29" t="str">
        <f t="shared" si="329"/>
        <v>2023.025P.Alphaflexiviridae_rename_sp.zip</v>
      </c>
      <c r="U7685" s="29" t="str">
        <f>HYPERLINK("https://ictv.global/taxonomy/taxondetails?taxnode_id=202302220","ictv.global=202302220")</f>
        <v>ictv.global=202302220</v>
      </c>
    </row>
    <row r="7686" spans="1:21">
      <c r="A7686">
        <v>7685</v>
      </c>
      <c r="B7686" s="30" t="s">
        <v>1226</v>
      </c>
      <c r="D7686" s="30" t="s">
        <v>2024</v>
      </c>
      <c r="F7686" s="30" t="s">
        <v>2032</v>
      </c>
      <c r="H7686" s="30" t="s">
        <v>2033</v>
      </c>
      <c r="J7686" s="30" t="s">
        <v>314</v>
      </c>
      <c r="L7686" s="30" t="s">
        <v>133</v>
      </c>
      <c r="N7686" s="30" t="s">
        <v>321</v>
      </c>
      <c r="P7686" s="30" t="s">
        <v>14568</v>
      </c>
      <c r="Q7686" t="s">
        <v>621</v>
      </c>
      <c r="R7686" t="s">
        <v>920</v>
      </c>
      <c r="S7686">
        <v>39</v>
      </c>
      <c r="T7686" s="29" t="str">
        <f t="shared" si="329"/>
        <v>2023.025P.Alphaflexiviridae_rename_sp.zip</v>
      </c>
      <c r="U7686" s="29" t="str">
        <f>HYPERLINK("https://ictv.global/taxonomy/taxondetails?taxnode_id=202309849","ictv.global=202309849")</f>
        <v>ictv.global=202309849</v>
      </c>
    </row>
    <row r="7687" spans="1:21">
      <c r="A7687">
        <v>7686</v>
      </c>
      <c r="B7687" s="30" t="s">
        <v>1226</v>
      </c>
      <c r="D7687" s="30" t="s">
        <v>2024</v>
      </c>
      <c r="F7687" s="30" t="s">
        <v>2032</v>
      </c>
      <c r="H7687" s="30" t="s">
        <v>2033</v>
      </c>
      <c r="J7687" s="30" t="s">
        <v>314</v>
      </c>
      <c r="L7687" s="30" t="s">
        <v>133</v>
      </c>
      <c r="N7687" s="30" t="s">
        <v>321</v>
      </c>
      <c r="P7687" s="30" t="s">
        <v>14569</v>
      </c>
      <c r="Q7687" t="s">
        <v>621</v>
      </c>
      <c r="R7687" t="s">
        <v>920</v>
      </c>
      <c r="S7687">
        <v>39</v>
      </c>
      <c r="T7687" s="29" t="str">
        <f t="shared" si="329"/>
        <v>2023.025P.Alphaflexiviridae_rename_sp.zip</v>
      </c>
      <c r="U7687" s="29" t="str">
        <f>HYPERLINK("https://ictv.global/taxonomy/taxondetails?taxnode_id=202302224","ictv.global=202302224")</f>
        <v>ictv.global=202302224</v>
      </c>
    </row>
    <row r="7688" spans="1:21">
      <c r="A7688">
        <v>7687</v>
      </c>
      <c r="B7688" s="30" t="s">
        <v>1226</v>
      </c>
      <c r="D7688" s="30" t="s">
        <v>2024</v>
      </c>
      <c r="F7688" s="30" t="s">
        <v>2032</v>
      </c>
      <c r="H7688" s="30" t="s">
        <v>2033</v>
      </c>
      <c r="J7688" s="30" t="s">
        <v>314</v>
      </c>
      <c r="L7688" s="30" t="s">
        <v>133</v>
      </c>
      <c r="N7688" s="30" t="s">
        <v>321</v>
      </c>
      <c r="P7688" s="30" t="s">
        <v>14570</v>
      </c>
      <c r="Q7688" t="s">
        <v>621</v>
      </c>
      <c r="R7688" t="s">
        <v>920</v>
      </c>
      <c r="S7688">
        <v>39</v>
      </c>
      <c r="T7688" s="29" t="str">
        <f t="shared" si="329"/>
        <v>2023.025P.Alphaflexiviridae_rename_sp.zip</v>
      </c>
      <c r="U7688" s="29" t="str">
        <f>HYPERLINK("https://ictv.global/taxonomy/taxondetails?taxnode_id=202305636","ictv.global=202305636")</f>
        <v>ictv.global=202305636</v>
      </c>
    </row>
    <row r="7689" spans="1:21">
      <c r="A7689">
        <v>7688</v>
      </c>
      <c r="B7689" s="30" t="s">
        <v>1226</v>
      </c>
      <c r="D7689" s="30" t="s">
        <v>2024</v>
      </c>
      <c r="F7689" s="30" t="s">
        <v>2032</v>
      </c>
      <c r="H7689" s="30" t="s">
        <v>2033</v>
      </c>
      <c r="J7689" s="30" t="s">
        <v>314</v>
      </c>
      <c r="L7689" s="30" t="s">
        <v>133</v>
      </c>
      <c r="N7689" s="30" t="s">
        <v>321</v>
      </c>
      <c r="P7689" s="30" t="s">
        <v>14571</v>
      </c>
      <c r="Q7689" t="s">
        <v>621</v>
      </c>
      <c r="R7689" t="s">
        <v>920</v>
      </c>
      <c r="S7689">
        <v>39</v>
      </c>
      <c r="T7689" s="29" t="str">
        <f t="shared" si="329"/>
        <v>2023.025P.Alphaflexiviridae_rename_sp.zip</v>
      </c>
      <c r="U7689" s="29" t="str">
        <f>HYPERLINK("https://ictv.global/taxonomy/taxondetails?taxnode_id=202302227","ictv.global=202302227")</f>
        <v>ictv.global=202302227</v>
      </c>
    </row>
    <row r="7690" spans="1:21">
      <c r="A7690">
        <v>7689</v>
      </c>
      <c r="B7690" s="30" t="s">
        <v>1226</v>
      </c>
      <c r="D7690" s="30" t="s">
        <v>2024</v>
      </c>
      <c r="F7690" s="30" t="s">
        <v>2032</v>
      </c>
      <c r="H7690" s="30" t="s">
        <v>2033</v>
      </c>
      <c r="J7690" s="30" t="s">
        <v>314</v>
      </c>
      <c r="L7690" s="30" t="s">
        <v>133</v>
      </c>
      <c r="N7690" s="30" t="s">
        <v>321</v>
      </c>
      <c r="P7690" s="30" t="s">
        <v>14572</v>
      </c>
      <c r="Q7690" t="s">
        <v>621</v>
      </c>
      <c r="R7690" t="s">
        <v>920</v>
      </c>
      <c r="S7690">
        <v>39</v>
      </c>
      <c r="T7690" s="29" t="str">
        <f t="shared" si="329"/>
        <v>2023.025P.Alphaflexiviridae_rename_sp.zip</v>
      </c>
      <c r="U7690" s="29" t="str">
        <f>HYPERLINK("https://ictv.global/taxonomy/taxondetails?taxnode_id=202309845","ictv.global=202309845")</f>
        <v>ictv.global=202309845</v>
      </c>
    </row>
    <row r="7691" spans="1:21">
      <c r="A7691">
        <v>7690</v>
      </c>
      <c r="B7691" s="30" t="s">
        <v>1226</v>
      </c>
      <c r="D7691" s="30" t="s">
        <v>2024</v>
      </c>
      <c r="F7691" s="30" t="s">
        <v>2032</v>
      </c>
      <c r="H7691" s="30" t="s">
        <v>2033</v>
      </c>
      <c r="J7691" s="30" t="s">
        <v>314</v>
      </c>
      <c r="L7691" s="30" t="s">
        <v>133</v>
      </c>
      <c r="N7691" s="30" t="s">
        <v>321</v>
      </c>
      <c r="P7691" s="30" t="s">
        <v>14573</v>
      </c>
      <c r="Q7691" t="s">
        <v>621</v>
      </c>
      <c r="R7691" t="s">
        <v>920</v>
      </c>
      <c r="S7691">
        <v>39</v>
      </c>
      <c r="T7691" s="29" t="str">
        <f t="shared" si="329"/>
        <v>2023.025P.Alphaflexiviridae_rename_sp.zip</v>
      </c>
      <c r="U7691" s="29" t="str">
        <f>HYPERLINK("https://ictv.global/taxonomy/taxondetails?taxnode_id=202302201","ictv.global=202302201")</f>
        <v>ictv.global=202302201</v>
      </c>
    </row>
    <row r="7692" spans="1:21">
      <c r="A7692">
        <v>7691</v>
      </c>
      <c r="B7692" s="30" t="s">
        <v>1226</v>
      </c>
      <c r="D7692" s="30" t="s">
        <v>2024</v>
      </c>
      <c r="F7692" s="30" t="s">
        <v>2032</v>
      </c>
      <c r="H7692" s="30" t="s">
        <v>2033</v>
      </c>
      <c r="J7692" s="30" t="s">
        <v>314</v>
      </c>
      <c r="L7692" s="30" t="s">
        <v>133</v>
      </c>
      <c r="N7692" s="30" t="s">
        <v>321</v>
      </c>
      <c r="P7692" s="30" t="s">
        <v>14574</v>
      </c>
      <c r="Q7692" t="s">
        <v>621</v>
      </c>
      <c r="R7692" t="s">
        <v>920</v>
      </c>
      <c r="S7692">
        <v>39</v>
      </c>
      <c r="T7692" s="29" t="str">
        <f t="shared" si="329"/>
        <v>2023.025P.Alphaflexiviridae_rename_sp.zip</v>
      </c>
      <c r="U7692" s="29" t="str">
        <f>HYPERLINK("https://ictv.global/taxonomy/taxondetails?taxnode_id=202309846","ictv.global=202309846")</f>
        <v>ictv.global=202309846</v>
      </c>
    </row>
    <row r="7693" spans="1:21">
      <c r="A7693">
        <v>7692</v>
      </c>
      <c r="B7693" s="30" t="s">
        <v>1226</v>
      </c>
      <c r="D7693" s="30" t="s">
        <v>2024</v>
      </c>
      <c r="F7693" s="30" t="s">
        <v>2032</v>
      </c>
      <c r="H7693" s="30" t="s">
        <v>2033</v>
      </c>
      <c r="J7693" s="30" t="s">
        <v>314</v>
      </c>
      <c r="L7693" s="30" t="s">
        <v>133</v>
      </c>
      <c r="N7693" s="30" t="s">
        <v>321</v>
      </c>
      <c r="P7693" s="30" t="s">
        <v>14575</v>
      </c>
      <c r="Q7693" t="s">
        <v>621</v>
      </c>
      <c r="R7693" t="s">
        <v>920</v>
      </c>
      <c r="S7693">
        <v>39</v>
      </c>
      <c r="T7693" s="29" t="str">
        <f t="shared" si="329"/>
        <v>2023.025P.Alphaflexiviridae_rename_sp.zip</v>
      </c>
      <c r="U7693" s="29" t="str">
        <f>HYPERLINK("https://ictv.global/taxonomy/taxondetails?taxnode_id=202302222","ictv.global=202302222")</f>
        <v>ictv.global=202302222</v>
      </c>
    </row>
    <row r="7694" spans="1:21">
      <c r="A7694">
        <v>7693</v>
      </c>
      <c r="B7694" s="30" t="s">
        <v>1226</v>
      </c>
      <c r="D7694" s="30" t="s">
        <v>2024</v>
      </c>
      <c r="F7694" s="30" t="s">
        <v>2032</v>
      </c>
      <c r="H7694" s="30" t="s">
        <v>2033</v>
      </c>
      <c r="J7694" s="30" t="s">
        <v>314</v>
      </c>
      <c r="L7694" s="30" t="s">
        <v>133</v>
      </c>
      <c r="N7694" s="30" t="s">
        <v>321</v>
      </c>
      <c r="P7694" s="30" t="s">
        <v>14576</v>
      </c>
      <c r="Q7694" t="s">
        <v>621</v>
      </c>
      <c r="R7694" t="s">
        <v>920</v>
      </c>
      <c r="S7694">
        <v>39</v>
      </c>
      <c r="T7694" s="29" t="str">
        <f t="shared" si="329"/>
        <v>2023.025P.Alphaflexiviridae_rename_sp.zip</v>
      </c>
      <c r="U7694" s="29" t="str">
        <f>HYPERLINK("https://ictv.global/taxonomy/taxondetails?taxnode_id=202302205","ictv.global=202302205")</f>
        <v>ictv.global=202302205</v>
      </c>
    </row>
    <row r="7695" spans="1:21">
      <c r="A7695">
        <v>7694</v>
      </c>
      <c r="B7695" s="30" t="s">
        <v>1226</v>
      </c>
      <c r="D7695" s="30" t="s">
        <v>2024</v>
      </c>
      <c r="F7695" s="30" t="s">
        <v>2032</v>
      </c>
      <c r="H7695" s="30" t="s">
        <v>2033</v>
      </c>
      <c r="J7695" s="30" t="s">
        <v>314</v>
      </c>
      <c r="L7695" s="30" t="s">
        <v>133</v>
      </c>
      <c r="N7695" s="30" t="s">
        <v>321</v>
      </c>
      <c r="P7695" s="30" t="s">
        <v>14577</v>
      </c>
      <c r="Q7695" t="s">
        <v>621</v>
      </c>
      <c r="R7695" t="s">
        <v>920</v>
      </c>
      <c r="S7695">
        <v>39</v>
      </c>
      <c r="T7695" s="29" t="str">
        <f t="shared" si="329"/>
        <v>2023.025P.Alphaflexiviridae_rename_sp.zip</v>
      </c>
      <c r="U7695" s="29" t="str">
        <f>HYPERLINK("https://ictv.global/taxonomy/taxondetails?taxnode_id=202302206","ictv.global=202302206")</f>
        <v>ictv.global=202302206</v>
      </c>
    </row>
    <row r="7696" spans="1:21">
      <c r="A7696">
        <v>7695</v>
      </c>
      <c r="B7696" s="30" t="s">
        <v>1226</v>
      </c>
      <c r="D7696" s="30" t="s">
        <v>2024</v>
      </c>
      <c r="F7696" s="30" t="s">
        <v>2032</v>
      </c>
      <c r="H7696" s="30" t="s">
        <v>2033</v>
      </c>
      <c r="J7696" s="30" t="s">
        <v>314</v>
      </c>
      <c r="L7696" s="30" t="s">
        <v>133</v>
      </c>
      <c r="N7696" s="30" t="s">
        <v>321</v>
      </c>
      <c r="P7696" s="30" t="s">
        <v>14578</v>
      </c>
      <c r="Q7696" t="s">
        <v>621</v>
      </c>
      <c r="R7696" t="s">
        <v>920</v>
      </c>
      <c r="S7696">
        <v>39</v>
      </c>
      <c r="T7696" s="29" t="str">
        <f t="shared" si="329"/>
        <v>2023.025P.Alphaflexiviridae_rename_sp.zip</v>
      </c>
      <c r="U7696" s="29" t="str">
        <f>HYPERLINK("https://ictv.global/taxonomy/taxondetails?taxnode_id=202302209","ictv.global=202302209")</f>
        <v>ictv.global=202302209</v>
      </c>
    </row>
    <row r="7697" spans="1:21">
      <c r="A7697">
        <v>7696</v>
      </c>
      <c r="B7697" s="30" t="s">
        <v>1226</v>
      </c>
      <c r="D7697" s="30" t="s">
        <v>2024</v>
      </c>
      <c r="F7697" s="30" t="s">
        <v>2032</v>
      </c>
      <c r="H7697" s="30" t="s">
        <v>2033</v>
      </c>
      <c r="J7697" s="30" t="s">
        <v>314</v>
      </c>
      <c r="L7697" s="30" t="s">
        <v>133</v>
      </c>
      <c r="N7697" s="30" t="s">
        <v>321</v>
      </c>
      <c r="P7697" s="30" t="s">
        <v>14579</v>
      </c>
      <c r="Q7697" t="s">
        <v>621</v>
      </c>
      <c r="R7697" t="s">
        <v>920</v>
      </c>
      <c r="S7697">
        <v>39</v>
      </c>
      <c r="T7697" s="29" t="str">
        <f t="shared" si="329"/>
        <v>2023.025P.Alphaflexiviridae_rename_sp.zip</v>
      </c>
      <c r="U7697" s="29" t="str">
        <f>HYPERLINK("https://ictv.global/taxonomy/taxondetails?taxnode_id=202302219","ictv.global=202302219")</f>
        <v>ictv.global=202302219</v>
      </c>
    </row>
    <row r="7698" spans="1:21">
      <c r="A7698">
        <v>7697</v>
      </c>
      <c r="B7698" s="30" t="s">
        <v>1226</v>
      </c>
      <c r="D7698" s="30" t="s">
        <v>2024</v>
      </c>
      <c r="F7698" s="30" t="s">
        <v>2032</v>
      </c>
      <c r="H7698" s="30" t="s">
        <v>2033</v>
      </c>
      <c r="J7698" s="30" t="s">
        <v>314</v>
      </c>
      <c r="L7698" s="30" t="s">
        <v>133</v>
      </c>
      <c r="N7698" s="30" t="s">
        <v>321</v>
      </c>
      <c r="P7698" s="30" t="s">
        <v>14580</v>
      </c>
      <c r="Q7698" t="s">
        <v>621</v>
      </c>
      <c r="R7698" t="s">
        <v>920</v>
      </c>
      <c r="S7698">
        <v>39</v>
      </c>
      <c r="T7698" s="29" t="str">
        <f t="shared" si="329"/>
        <v>2023.025P.Alphaflexiviridae_rename_sp.zip</v>
      </c>
      <c r="U7698" s="29" t="str">
        <f>HYPERLINK("https://ictv.global/taxonomy/taxondetails?taxnode_id=202302223","ictv.global=202302223")</f>
        <v>ictv.global=202302223</v>
      </c>
    </row>
    <row r="7699" spans="1:21">
      <c r="A7699">
        <v>7698</v>
      </c>
      <c r="B7699" s="30" t="s">
        <v>1226</v>
      </c>
      <c r="D7699" s="30" t="s">
        <v>2024</v>
      </c>
      <c r="F7699" s="30" t="s">
        <v>2032</v>
      </c>
      <c r="H7699" s="30" t="s">
        <v>2033</v>
      </c>
      <c r="J7699" s="30" t="s">
        <v>314</v>
      </c>
      <c r="L7699" s="30" t="s">
        <v>133</v>
      </c>
      <c r="N7699" s="30" t="s">
        <v>321</v>
      </c>
      <c r="P7699" s="30" t="s">
        <v>14581</v>
      </c>
      <c r="Q7699" t="s">
        <v>621</v>
      </c>
      <c r="R7699" t="s">
        <v>920</v>
      </c>
      <c r="S7699">
        <v>39</v>
      </c>
      <c r="T7699" s="29" t="str">
        <f t="shared" si="329"/>
        <v>2023.025P.Alphaflexiviridae_rename_sp.zip</v>
      </c>
      <c r="U7699" s="29" t="str">
        <f>HYPERLINK("https://ictv.global/taxonomy/taxondetails?taxnode_id=202302199","ictv.global=202302199")</f>
        <v>ictv.global=202302199</v>
      </c>
    </row>
    <row r="7700" spans="1:21">
      <c r="A7700">
        <v>7699</v>
      </c>
      <c r="B7700" s="30" t="s">
        <v>1226</v>
      </c>
      <c r="D7700" s="30" t="s">
        <v>2024</v>
      </c>
      <c r="F7700" s="30" t="s">
        <v>2032</v>
      </c>
      <c r="H7700" s="30" t="s">
        <v>2033</v>
      </c>
      <c r="J7700" s="30" t="s">
        <v>314</v>
      </c>
      <c r="L7700" s="30" t="s">
        <v>133</v>
      </c>
      <c r="N7700" s="30" t="s">
        <v>321</v>
      </c>
      <c r="P7700" s="30" t="s">
        <v>14582</v>
      </c>
      <c r="Q7700" t="s">
        <v>621</v>
      </c>
      <c r="R7700" t="s">
        <v>920</v>
      </c>
      <c r="S7700">
        <v>39</v>
      </c>
      <c r="T7700" s="29" t="str">
        <f t="shared" si="329"/>
        <v>2023.025P.Alphaflexiviridae_rename_sp.zip</v>
      </c>
      <c r="U7700" s="29" t="str">
        <f>HYPERLINK("https://ictv.global/taxonomy/taxondetails?taxnode_id=202302217","ictv.global=202302217")</f>
        <v>ictv.global=202302217</v>
      </c>
    </row>
    <row r="7701" spans="1:21">
      <c r="A7701">
        <v>7700</v>
      </c>
      <c r="B7701" s="30" t="s">
        <v>1226</v>
      </c>
      <c r="D7701" s="30" t="s">
        <v>2024</v>
      </c>
      <c r="F7701" s="30" t="s">
        <v>2032</v>
      </c>
      <c r="H7701" s="30" t="s">
        <v>2033</v>
      </c>
      <c r="J7701" s="30" t="s">
        <v>314</v>
      </c>
      <c r="L7701" s="30" t="s">
        <v>133</v>
      </c>
      <c r="N7701" s="30" t="s">
        <v>321</v>
      </c>
      <c r="P7701" s="30" t="s">
        <v>14583</v>
      </c>
      <c r="Q7701" t="s">
        <v>621</v>
      </c>
      <c r="R7701" t="s">
        <v>920</v>
      </c>
      <c r="S7701">
        <v>39</v>
      </c>
      <c r="T7701" s="29" t="str">
        <f t="shared" si="329"/>
        <v>2023.025P.Alphaflexiviridae_rename_sp.zip</v>
      </c>
      <c r="U7701" s="29" t="str">
        <f>HYPERLINK("https://ictv.global/taxonomy/taxondetails?taxnode_id=202309848","ictv.global=202309848")</f>
        <v>ictv.global=202309848</v>
      </c>
    </row>
    <row r="7702" spans="1:21">
      <c r="A7702">
        <v>7701</v>
      </c>
      <c r="B7702" s="30" t="s">
        <v>1226</v>
      </c>
      <c r="D7702" s="30" t="s">
        <v>2024</v>
      </c>
      <c r="F7702" s="30" t="s">
        <v>2032</v>
      </c>
      <c r="H7702" s="30" t="s">
        <v>2033</v>
      </c>
      <c r="J7702" s="30" t="s">
        <v>314</v>
      </c>
      <c r="L7702" s="30" t="s">
        <v>133</v>
      </c>
      <c r="N7702" s="30" t="s">
        <v>321</v>
      </c>
      <c r="P7702" s="30" t="s">
        <v>14584</v>
      </c>
      <c r="Q7702" t="s">
        <v>621</v>
      </c>
      <c r="R7702" t="s">
        <v>920</v>
      </c>
      <c r="S7702">
        <v>39</v>
      </c>
      <c r="T7702" s="29" t="str">
        <f t="shared" si="329"/>
        <v>2023.025P.Alphaflexiviridae_rename_sp.zip</v>
      </c>
      <c r="U7702" s="29" t="str">
        <f>HYPERLINK("https://ictv.global/taxonomy/taxondetails?taxnode_id=202302211","ictv.global=202302211")</f>
        <v>ictv.global=202302211</v>
      </c>
    </row>
    <row r="7703" spans="1:21">
      <c r="A7703">
        <v>7702</v>
      </c>
      <c r="B7703" s="30" t="s">
        <v>1226</v>
      </c>
      <c r="D7703" s="30" t="s">
        <v>2024</v>
      </c>
      <c r="F7703" s="30" t="s">
        <v>2032</v>
      </c>
      <c r="H7703" s="30" t="s">
        <v>2033</v>
      </c>
      <c r="J7703" s="30" t="s">
        <v>314</v>
      </c>
      <c r="L7703" s="30" t="s">
        <v>133</v>
      </c>
      <c r="N7703" s="30" t="s">
        <v>321</v>
      </c>
      <c r="P7703" s="30" t="s">
        <v>14585</v>
      </c>
      <c r="Q7703" t="s">
        <v>621</v>
      </c>
      <c r="R7703" t="s">
        <v>920</v>
      </c>
      <c r="S7703">
        <v>39</v>
      </c>
      <c r="T7703" s="29" t="str">
        <f t="shared" si="329"/>
        <v>2023.025P.Alphaflexiviridae_rename_sp.zip</v>
      </c>
      <c r="U7703" s="29" t="str">
        <f>HYPERLINK("https://ictv.global/taxonomy/taxondetails?taxnode_id=202309843","ictv.global=202309843")</f>
        <v>ictv.global=202309843</v>
      </c>
    </row>
    <row r="7704" spans="1:21">
      <c r="A7704">
        <v>7703</v>
      </c>
      <c r="B7704" s="30" t="s">
        <v>1226</v>
      </c>
      <c r="D7704" s="30" t="s">
        <v>2024</v>
      </c>
      <c r="F7704" s="30" t="s">
        <v>2032</v>
      </c>
      <c r="H7704" s="30" t="s">
        <v>2033</v>
      </c>
      <c r="J7704" s="30" t="s">
        <v>314</v>
      </c>
      <c r="L7704" s="30" t="s">
        <v>133</v>
      </c>
      <c r="N7704" s="30" t="s">
        <v>321</v>
      </c>
      <c r="P7704" s="30" t="s">
        <v>14586</v>
      </c>
      <c r="Q7704" t="s">
        <v>621</v>
      </c>
      <c r="R7704" t="s">
        <v>920</v>
      </c>
      <c r="S7704">
        <v>39</v>
      </c>
      <c r="T7704" s="29" t="str">
        <f t="shared" si="329"/>
        <v>2023.025P.Alphaflexiviridae_rename_sp.zip</v>
      </c>
      <c r="U7704" s="29" t="str">
        <f>HYPERLINK("https://ictv.global/taxonomy/taxondetails?taxnode_id=202302214","ictv.global=202302214")</f>
        <v>ictv.global=202302214</v>
      </c>
    </row>
    <row r="7705" spans="1:21">
      <c r="A7705">
        <v>7704</v>
      </c>
      <c r="B7705" s="30" t="s">
        <v>1226</v>
      </c>
      <c r="D7705" s="30" t="s">
        <v>2024</v>
      </c>
      <c r="F7705" s="30" t="s">
        <v>2032</v>
      </c>
      <c r="H7705" s="30" t="s">
        <v>2033</v>
      </c>
      <c r="J7705" s="30" t="s">
        <v>314</v>
      </c>
      <c r="L7705" s="30" t="s">
        <v>133</v>
      </c>
      <c r="N7705" s="30" t="s">
        <v>321</v>
      </c>
      <c r="P7705" s="30" t="s">
        <v>14587</v>
      </c>
      <c r="Q7705" t="s">
        <v>621</v>
      </c>
      <c r="R7705" t="s">
        <v>920</v>
      </c>
      <c r="S7705">
        <v>39</v>
      </c>
      <c r="T7705" s="29" t="str">
        <f t="shared" si="329"/>
        <v>2023.025P.Alphaflexiviridae_rename_sp.zip</v>
      </c>
      <c r="U7705" s="29" t="str">
        <f>HYPERLINK("https://ictv.global/taxonomy/taxondetails?taxnode_id=202302215","ictv.global=202302215")</f>
        <v>ictv.global=202302215</v>
      </c>
    </row>
    <row r="7706" spans="1:21">
      <c r="A7706">
        <v>7705</v>
      </c>
      <c r="B7706" s="30" t="s">
        <v>1226</v>
      </c>
      <c r="D7706" s="30" t="s">
        <v>2024</v>
      </c>
      <c r="F7706" s="30" t="s">
        <v>2032</v>
      </c>
      <c r="H7706" s="30" t="s">
        <v>2033</v>
      </c>
      <c r="J7706" s="30" t="s">
        <v>314</v>
      </c>
      <c r="L7706" s="30" t="s">
        <v>133</v>
      </c>
      <c r="N7706" s="30" t="s">
        <v>321</v>
      </c>
      <c r="P7706" s="30" t="s">
        <v>14588</v>
      </c>
      <c r="Q7706" t="s">
        <v>621</v>
      </c>
      <c r="R7706" t="s">
        <v>920</v>
      </c>
      <c r="S7706">
        <v>39</v>
      </c>
      <c r="T7706" s="29" t="str">
        <f t="shared" si="329"/>
        <v>2023.025P.Alphaflexiviridae_rename_sp.zip</v>
      </c>
      <c r="U7706" s="29" t="str">
        <f>HYPERLINK("https://ictv.global/taxonomy/taxondetails?taxnode_id=202302203","ictv.global=202302203")</f>
        <v>ictv.global=202302203</v>
      </c>
    </row>
    <row r="7707" spans="1:21">
      <c r="A7707">
        <v>7706</v>
      </c>
      <c r="B7707" s="30" t="s">
        <v>1226</v>
      </c>
      <c r="D7707" s="30" t="s">
        <v>2024</v>
      </c>
      <c r="F7707" s="30" t="s">
        <v>2032</v>
      </c>
      <c r="H7707" s="30" t="s">
        <v>2033</v>
      </c>
      <c r="J7707" s="30" t="s">
        <v>314</v>
      </c>
      <c r="L7707" s="30" t="s">
        <v>133</v>
      </c>
      <c r="N7707" s="30" t="s">
        <v>321</v>
      </c>
      <c r="P7707" s="30" t="s">
        <v>14589</v>
      </c>
      <c r="Q7707" t="s">
        <v>621</v>
      </c>
      <c r="R7707" t="s">
        <v>920</v>
      </c>
      <c r="S7707">
        <v>39</v>
      </c>
      <c r="T7707" s="29" t="str">
        <f t="shared" si="329"/>
        <v>2023.025P.Alphaflexiviridae_rename_sp.zip</v>
      </c>
      <c r="U7707" s="29" t="str">
        <f>HYPERLINK("https://ictv.global/taxonomy/taxondetails?taxnode_id=202302196","ictv.global=202302196")</f>
        <v>ictv.global=202302196</v>
      </c>
    </row>
    <row r="7708" spans="1:21">
      <c r="A7708">
        <v>7707</v>
      </c>
      <c r="B7708" s="30" t="s">
        <v>1226</v>
      </c>
      <c r="D7708" s="30" t="s">
        <v>2024</v>
      </c>
      <c r="F7708" s="30" t="s">
        <v>2032</v>
      </c>
      <c r="H7708" s="30" t="s">
        <v>2033</v>
      </c>
      <c r="J7708" s="30" t="s">
        <v>314</v>
      </c>
      <c r="L7708" s="30" t="s">
        <v>133</v>
      </c>
      <c r="N7708" s="30" t="s">
        <v>321</v>
      </c>
      <c r="P7708" s="30" t="s">
        <v>14590</v>
      </c>
      <c r="Q7708" t="s">
        <v>621</v>
      </c>
      <c r="R7708" t="s">
        <v>920</v>
      </c>
      <c r="S7708">
        <v>39</v>
      </c>
      <c r="T7708" s="29" t="str">
        <f t="shared" si="329"/>
        <v>2023.025P.Alphaflexiviridae_rename_sp.zip</v>
      </c>
      <c r="U7708" s="29" t="str">
        <f>HYPERLINK("https://ictv.global/taxonomy/taxondetails?taxnode_id=202302225","ictv.global=202302225")</f>
        <v>ictv.global=202302225</v>
      </c>
    </row>
    <row r="7709" spans="1:21">
      <c r="A7709">
        <v>7708</v>
      </c>
      <c r="B7709" s="30" t="s">
        <v>1226</v>
      </c>
      <c r="D7709" s="30" t="s">
        <v>2024</v>
      </c>
      <c r="F7709" s="30" t="s">
        <v>2032</v>
      </c>
      <c r="H7709" s="30" t="s">
        <v>2033</v>
      </c>
      <c r="J7709" s="30" t="s">
        <v>314</v>
      </c>
      <c r="L7709" s="30" t="s">
        <v>133</v>
      </c>
      <c r="N7709" s="30" t="s">
        <v>407</v>
      </c>
      <c r="P7709" s="30" t="s">
        <v>14591</v>
      </c>
      <c r="Q7709" t="s">
        <v>621</v>
      </c>
      <c r="R7709" t="s">
        <v>920</v>
      </c>
      <c r="S7709">
        <v>39</v>
      </c>
      <c r="T7709" s="29" t="str">
        <f t="shared" si="329"/>
        <v>2023.025P.Alphaflexiviridae_rename_sp.zip</v>
      </c>
      <c r="U7709" s="29" t="str">
        <f>HYPERLINK("https://ictv.global/taxonomy/taxondetails?taxnode_id=202302229","ictv.global=202302229")</f>
        <v>ictv.global=202302229</v>
      </c>
    </row>
    <row r="7710" spans="1:21">
      <c r="A7710">
        <v>7709</v>
      </c>
      <c r="B7710" s="30" t="s">
        <v>1226</v>
      </c>
      <c r="D7710" s="30" t="s">
        <v>2024</v>
      </c>
      <c r="F7710" s="30" t="s">
        <v>2032</v>
      </c>
      <c r="H7710" s="30" t="s">
        <v>2033</v>
      </c>
      <c r="J7710" s="30" t="s">
        <v>314</v>
      </c>
      <c r="L7710" s="30" t="s">
        <v>315</v>
      </c>
      <c r="M7710" s="30" t="s">
        <v>725</v>
      </c>
      <c r="N7710" s="30" t="s">
        <v>9198</v>
      </c>
      <c r="P7710" s="30" t="s">
        <v>14592</v>
      </c>
      <c r="Q7710" t="s">
        <v>621</v>
      </c>
      <c r="R7710" t="s">
        <v>920</v>
      </c>
      <c r="S7710">
        <v>39</v>
      </c>
      <c r="T7710" s="29" t="str">
        <f t="shared" ref="T7710:T7731" si="330">HYPERLINK("https://ictv.global/ictv/proposals/2023.027P.Betaflexiviridae_rename.zip","2023.027P.Betaflexiviridae_rename.zip")</f>
        <v>2023.027P.Betaflexiviridae_rename.zip</v>
      </c>
      <c r="U7710" s="29" t="str">
        <f>HYPERLINK("https://ictv.global/taxonomy/taxondetails?taxnode_id=202302296","ictv.global=202302296")</f>
        <v>ictv.global=202302296</v>
      </c>
    </row>
    <row r="7711" spans="1:21">
      <c r="A7711">
        <v>7710</v>
      </c>
      <c r="B7711" s="30" t="s">
        <v>1226</v>
      </c>
      <c r="D7711" s="30" t="s">
        <v>2024</v>
      </c>
      <c r="F7711" s="30" t="s">
        <v>2032</v>
      </c>
      <c r="H7711" s="30" t="s">
        <v>2033</v>
      </c>
      <c r="J7711" s="30" t="s">
        <v>314</v>
      </c>
      <c r="L7711" s="30" t="s">
        <v>315</v>
      </c>
      <c r="M7711" s="30" t="s">
        <v>725</v>
      </c>
      <c r="N7711" s="30" t="s">
        <v>9198</v>
      </c>
      <c r="P7711" s="30" t="s">
        <v>14593</v>
      </c>
      <c r="Q7711" t="s">
        <v>621</v>
      </c>
      <c r="R7711" t="s">
        <v>920</v>
      </c>
      <c r="S7711">
        <v>39</v>
      </c>
      <c r="T7711" s="29" t="str">
        <f t="shared" si="330"/>
        <v>2023.027P.Betaflexiviridae_rename.zip</v>
      </c>
      <c r="U7711" s="29" t="str">
        <f>HYPERLINK("https://ictv.global/taxonomy/taxondetails?taxnode_id=202315089","ictv.global=202315089")</f>
        <v>ictv.global=202315089</v>
      </c>
    </row>
    <row r="7712" spans="1:21">
      <c r="A7712">
        <v>7711</v>
      </c>
      <c r="B7712" s="30" t="s">
        <v>1226</v>
      </c>
      <c r="D7712" s="30" t="s">
        <v>2024</v>
      </c>
      <c r="F7712" s="30" t="s">
        <v>2032</v>
      </c>
      <c r="H7712" s="30" t="s">
        <v>2033</v>
      </c>
      <c r="J7712" s="30" t="s">
        <v>314</v>
      </c>
      <c r="L7712" s="30" t="s">
        <v>315</v>
      </c>
      <c r="M7712" s="30" t="s">
        <v>725</v>
      </c>
      <c r="N7712" s="30" t="s">
        <v>153</v>
      </c>
      <c r="P7712" s="30" t="s">
        <v>14594</v>
      </c>
      <c r="Q7712" t="s">
        <v>621</v>
      </c>
      <c r="R7712" t="s">
        <v>920</v>
      </c>
      <c r="S7712">
        <v>39</v>
      </c>
      <c r="T7712" s="29" t="str">
        <f t="shared" si="330"/>
        <v>2023.027P.Betaflexiviridae_rename.zip</v>
      </c>
      <c r="U7712" s="29" t="str">
        <f>HYPERLINK("https://ictv.global/taxonomy/taxondetails?taxnode_id=202313846","ictv.global=202313846")</f>
        <v>ictv.global=202313846</v>
      </c>
    </row>
    <row r="7713" spans="1:21">
      <c r="A7713">
        <v>7712</v>
      </c>
      <c r="B7713" s="30" t="s">
        <v>1226</v>
      </c>
      <c r="D7713" s="30" t="s">
        <v>2024</v>
      </c>
      <c r="F7713" s="30" t="s">
        <v>2032</v>
      </c>
      <c r="H7713" s="30" t="s">
        <v>2033</v>
      </c>
      <c r="J7713" s="30" t="s">
        <v>314</v>
      </c>
      <c r="L7713" s="30" t="s">
        <v>315</v>
      </c>
      <c r="M7713" s="30" t="s">
        <v>725</v>
      </c>
      <c r="N7713" s="30" t="s">
        <v>153</v>
      </c>
      <c r="P7713" s="30" t="s">
        <v>14595</v>
      </c>
      <c r="Q7713" t="s">
        <v>621</v>
      </c>
      <c r="R7713" t="s">
        <v>920</v>
      </c>
      <c r="S7713">
        <v>39</v>
      </c>
      <c r="T7713" s="29" t="str">
        <f t="shared" si="330"/>
        <v>2023.027P.Betaflexiviridae_rename.zip</v>
      </c>
      <c r="U7713" s="29" t="str">
        <f>HYPERLINK("https://ictv.global/taxonomy/taxondetails?taxnode_id=202315083","ictv.global=202315083")</f>
        <v>ictv.global=202315083</v>
      </c>
    </row>
    <row r="7714" spans="1:21">
      <c r="A7714">
        <v>7713</v>
      </c>
      <c r="B7714" s="30" t="s">
        <v>1226</v>
      </c>
      <c r="D7714" s="30" t="s">
        <v>2024</v>
      </c>
      <c r="F7714" s="30" t="s">
        <v>2032</v>
      </c>
      <c r="H7714" s="30" t="s">
        <v>2033</v>
      </c>
      <c r="J7714" s="30" t="s">
        <v>314</v>
      </c>
      <c r="L7714" s="30" t="s">
        <v>315</v>
      </c>
      <c r="M7714" s="30" t="s">
        <v>725</v>
      </c>
      <c r="N7714" s="30" t="s">
        <v>153</v>
      </c>
      <c r="P7714" s="30" t="s">
        <v>14596</v>
      </c>
      <c r="Q7714" t="s">
        <v>621</v>
      </c>
      <c r="R7714" t="s">
        <v>920</v>
      </c>
      <c r="S7714">
        <v>39</v>
      </c>
      <c r="T7714" s="29" t="str">
        <f t="shared" si="330"/>
        <v>2023.027P.Betaflexiviridae_rename.zip</v>
      </c>
      <c r="U7714" s="29" t="str">
        <f>HYPERLINK("https://ictv.global/taxonomy/taxondetails?taxnode_id=202315079","ictv.global=202315079")</f>
        <v>ictv.global=202315079</v>
      </c>
    </row>
    <row r="7715" spans="1:21">
      <c r="A7715">
        <v>7714</v>
      </c>
      <c r="B7715" s="30" t="s">
        <v>1226</v>
      </c>
      <c r="D7715" s="30" t="s">
        <v>2024</v>
      </c>
      <c r="F7715" s="30" t="s">
        <v>2032</v>
      </c>
      <c r="H7715" s="30" t="s">
        <v>2033</v>
      </c>
      <c r="J7715" s="30" t="s">
        <v>314</v>
      </c>
      <c r="L7715" s="30" t="s">
        <v>315</v>
      </c>
      <c r="M7715" s="30" t="s">
        <v>725</v>
      </c>
      <c r="N7715" s="30" t="s">
        <v>153</v>
      </c>
      <c r="P7715" s="30" t="s">
        <v>14597</v>
      </c>
      <c r="Q7715" t="s">
        <v>621</v>
      </c>
      <c r="R7715" t="s">
        <v>920</v>
      </c>
      <c r="S7715">
        <v>39</v>
      </c>
      <c r="T7715" s="29" t="str">
        <f t="shared" si="330"/>
        <v>2023.027P.Betaflexiviridae_rename.zip</v>
      </c>
      <c r="U7715" s="29" t="str">
        <f>HYPERLINK("https://ictv.global/taxonomy/taxondetails?taxnode_id=202305638","ictv.global=202305638")</f>
        <v>ictv.global=202305638</v>
      </c>
    </row>
    <row r="7716" spans="1:21">
      <c r="A7716">
        <v>7715</v>
      </c>
      <c r="B7716" s="30" t="s">
        <v>1226</v>
      </c>
      <c r="D7716" s="30" t="s">
        <v>2024</v>
      </c>
      <c r="F7716" s="30" t="s">
        <v>2032</v>
      </c>
      <c r="H7716" s="30" t="s">
        <v>2033</v>
      </c>
      <c r="J7716" s="30" t="s">
        <v>314</v>
      </c>
      <c r="L7716" s="30" t="s">
        <v>315</v>
      </c>
      <c r="M7716" s="30" t="s">
        <v>725</v>
      </c>
      <c r="N7716" s="30" t="s">
        <v>153</v>
      </c>
      <c r="P7716" s="30" t="s">
        <v>14598</v>
      </c>
      <c r="Q7716" t="s">
        <v>621</v>
      </c>
      <c r="R7716" t="s">
        <v>920</v>
      </c>
      <c r="S7716">
        <v>39</v>
      </c>
      <c r="T7716" s="29" t="str">
        <f t="shared" si="330"/>
        <v>2023.027P.Betaflexiviridae_rename.zip</v>
      </c>
      <c r="U7716" s="29" t="str">
        <f>HYPERLINK("https://ictv.global/taxonomy/taxondetails?taxnode_id=202313847","ictv.global=202313847")</f>
        <v>ictv.global=202313847</v>
      </c>
    </row>
    <row r="7717" spans="1:21">
      <c r="A7717">
        <v>7716</v>
      </c>
      <c r="B7717" s="30" t="s">
        <v>1226</v>
      </c>
      <c r="D7717" s="30" t="s">
        <v>2024</v>
      </c>
      <c r="F7717" s="30" t="s">
        <v>2032</v>
      </c>
      <c r="H7717" s="30" t="s">
        <v>2033</v>
      </c>
      <c r="J7717" s="30" t="s">
        <v>314</v>
      </c>
      <c r="L7717" s="30" t="s">
        <v>315</v>
      </c>
      <c r="M7717" s="30" t="s">
        <v>725</v>
      </c>
      <c r="N7717" s="30" t="s">
        <v>153</v>
      </c>
      <c r="P7717" s="30" t="s">
        <v>14599</v>
      </c>
      <c r="Q7717" t="s">
        <v>621</v>
      </c>
      <c r="R7717" t="s">
        <v>920</v>
      </c>
      <c r="S7717">
        <v>39</v>
      </c>
      <c r="T7717" s="29" t="str">
        <f t="shared" si="330"/>
        <v>2023.027P.Betaflexiviridae_rename.zip</v>
      </c>
      <c r="U7717" s="29" t="str">
        <f>HYPERLINK("https://ictv.global/taxonomy/taxondetails?taxnode_id=202302236","ictv.global=202302236")</f>
        <v>ictv.global=202302236</v>
      </c>
    </row>
    <row r="7718" spans="1:21">
      <c r="A7718">
        <v>7717</v>
      </c>
      <c r="B7718" s="30" t="s">
        <v>1226</v>
      </c>
      <c r="D7718" s="30" t="s">
        <v>2024</v>
      </c>
      <c r="F7718" s="30" t="s">
        <v>2032</v>
      </c>
      <c r="H7718" s="30" t="s">
        <v>2033</v>
      </c>
      <c r="J7718" s="30" t="s">
        <v>314</v>
      </c>
      <c r="L7718" s="30" t="s">
        <v>315</v>
      </c>
      <c r="M7718" s="30" t="s">
        <v>725</v>
      </c>
      <c r="N7718" s="30" t="s">
        <v>153</v>
      </c>
      <c r="P7718" s="30" t="s">
        <v>14600</v>
      </c>
      <c r="Q7718" t="s">
        <v>621</v>
      </c>
      <c r="R7718" t="s">
        <v>920</v>
      </c>
      <c r="S7718">
        <v>39</v>
      </c>
      <c r="T7718" s="29" t="str">
        <f t="shared" si="330"/>
        <v>2023.027P.Betaflexiviridae_rename.zip</v>
      </c>
      <c r="U7718" s="29" t="str">
        <f>HYPERLINK("https://ictv.global/taxonomy/taxondetails?taxnode_id=202305637","ictv.global=202305637")</f>
        <v>ictv.global=202305637</v>
      </c>
    </row>
    <row r="7719" spans="1:21">
      <c r="A7719">
        <v>7718</v>
      </c>
      <c r="B7719" s="30" t="s">
        <v>1226</v>
      </c>
      <c r="D7719" s="30" t="s">
        <v>2024</v>
      </c>
      <c r="F7719" s="30" t="s">
        <v>2032</v>
      </c>
      <c r="H7719" s="30" t="s">
        <v>2033</v>
      </c>
      <c r="J7719" s="30" t="s">
        <v>314</v>
      </c>
      <c r="L7719" s="30" t="s">
        <v>315</v>
      </c>
      <c r="M7719" s="30" t="s">
        <v>725</v>
      </c>
      <c r="N7719" s="30" t="s">
        <v>153</v>
      </c>
      <c r="P7719" s="30" t="s">
        <v>14601</v>
      </c>
      <c r="Q7719" t="s">
        <v>621</v>
      </c>
      <c r="R7719" t="s">
        <v>920</v>
      </c>
      <c r="S7719">
        <v>39</v>
      </c>
      <c r="T7719" s="29" t="str">
        <f t="shared" si="330"/>
        <v>2023.027P.Betaflexiviridae_rename.zip</v>
      </c>
      <c r="U7719" s="29" t="str">
        <f>HYPERLINK("https://ictv.global/taxonomy/taxondetails?taxnode_id=202302242","ictv.global=202302242")</f>
        <v>ictv.global=202302242</v>
      </c>
    </row>
    <row r="7720" spans="1:21">
      <c r="A7720">
        <v>7719</v>
      </c>
      <c r="B7720" s="30" t="s">
        <v>1226</v>
      </c>
      <c r="D7720" s="30" t="s">
        <v>2024</v>
      </c>
      <c r="F7720" s="30" t="s">
        <v>2032</v>
      </c>
      <c r="H7720" s="30" t="s">
        <v>2033</v>
      </c>
      <c r="J7720" s="30" t="s">
        <v>314</v>
      </c>
      <c r="L7720" s="30" t="s">
        <v>315</v>
      </c>
      <c r="M7720" s="30" t="s">
        <v>725</v>
      </c>
      <c r="N7720" s="30" t="s">
        <v>153</v>
      </c>
      <c r="P7720" s="30" t="s">
        <v>14602</v>
      </c>
      <c r="Q7720" t="s">
        <v>621</v>
      </c>
      <c r="R7720" t="s">
        <v>920</v>
      </c>
      <c r="S7720">
        <v>39</v>
      </c>
      <c r="T7720" s="29" t="str">
        <f t="shared" si="330"/>
        <v>2023.027P.Betaflexiviridae_rename.zip</v>
      </c>
      <c r="U7720" s="29" t="str">
        <f>HYPERLINK("https://ictv.global/taxonomy/taxondetails?taxnode_id=202315080","ictv.global=202315080")</f>
        <v>ictv.global=202315080</v>
      </c>
    </row>
    <row r="7721" spans="1:21">
      <c r="A7721">
        <v>7720</v>
      </c>
      <c r="B7721" s="30" t="s">
        <v>1226</v>
      </c>
      <c r="D7721" s="30" t="s">
        <v>2024</v>
      </c>
      <c r="F7721" s="30" t="s">
        <v>2032</v>
      </c>
      <c r="H7721" s="30" t="s">
        <v>2033</v>
      </c>
      <c r="J7721" s="30" t="s">
        <v>314</v>
      </c>
      <c r="L7721" s="30" t="s">
        <v>315</v>
      </c>
      <c r="M7721" s="30" t="s">
        <v>725</v>
      </c>
      <c r="N7721" s="30" t="s">
        <v>153</v>
      </c>
      <c r="P7721" s="30" t="s">
        <v>14603</v>
      </c>
      <c r="Q7721" t="s">
        <v>621</v>
      </c>
      <c r="R7721" t="s">
        <v>920</v>
      </c>
      <c r="S7721">
        <v>39</v>
      </c>
      <c r="T7721" s="29" t="str">
        <f t="shared" si="330"/>
        <v>2023.027P.Betaflexiviridae_rename.zip</v>
      </c>
      <c r="U7721" s="29" t="str">
        <f>HYPERLINK("https://ictv.global/taxonomy/taxondetails?taxnode_id=202302266","ictv.global=202302266")</f>
        <v>ictv.global=202302266</v>
      </c>
    </row>
    <row r="7722" spans="1:21">
      <c r="A7722">
        <v>7721</v>
      </c>
      <c r="B7722" s="30" t="s">
        <v>1226</v>
      </c>
      <c r="D7722" s="30" t="s">
        <v>2024</v>
      </c>
      <c r="F7722" s="30" t="s">
        <v>2032</v>
      </c>
      <c r="H7722" s="30" t="s">
        <v>2033</v>
      </c>
      <c r="J7722" s="30" t="s">
        <v>314</v>
      </c>
      <c r="L7722" s="30" t="s">
        <v>315</v>
      </c>
      <c r="M7722" s="30" t="s">
        <v>725</v>
      </c>
      <c r="N7722" s="30" t="s">
        <v>153</v>
      </c>
      <c r="P7722" s="30" t="s">
        <v>14604</v>
      </c>
      <c r="Q7722" t="s">
        <v>621</v>
      </c>
      <c r="R7722" t="s">
        <v>920</v>
      </c>
      <c r="S7722">
        <v>39</v>
      </c>
      <c r="T7722" s="29" t="str">
        <f t="shared" si="330"/>
        <v>2023.027P.Betaflexiviridae_rename.zip</v>
      </c>
      <c r="U7722" s="29" t="str">
        <f>HYPERLINK("https://ictv.global/taxonomy/taxondetails?taxnode_id=202315084","ictv.global=202315084")</f>
        <v>ictv.global=202315084</v>
      </c>
    </row>
    <row r="7723" spans="1:21">
      <c r="A7723">
        <v>7722</v>
      </c>
      <c r="B7723" s="30" t="s">
        <v>1226</v>
      </c>
      <c r="D7723" s="30" t="s">
        <v>2024</v>
      </c>
      <c r="F7723" s="30" t="s">
        <v>2032</v>
      </c>
      <c r="H7723" s="30" t="s">
        <v>2033</v>
      </c>
      <c r="J7723" s="30" t="s">
        <v>314</v>
      </c>
      <c r="L7723" s="30" t="s">
        <v>315</v>
      </c>
      <c r="M7723" s="30" t="s">
        <v>725</v>
      </c>
      <c r="N7723" s="30" t="s">
        <v>153</v>
      </c>
      <c r="P7723" s="30" t="s">
        <v>14605</v>
      </c>
      <c r="Q7723" t="s">
        <v>621</v>
      </c>
      <c r="R7723" t="s">
        <v>920</v>
      </c>
      <c r="S7723">
        <v>39</v>
      </c>
      <c r="T7723" s="29" t="str">
        <f t="shared" si="330"/>
        <v>2023.027P.Betaflexiviridae_rename.zip</v>
      </c>
      <c r="U7723" s="29" t="str">
        <f>HYPERLINK("https://ictv.global/taxonomy/taxondetails?taxnode_id=202313842","ictv.global=202313842")</f>
        <v>ictv.global=202313842</v>
      </c>
    </row>
    <row r="7724" spans="1:21">
      <c r="A7724">
        <v>7723</v>
      </c>
      <c r="B7724" s="30" t="s">
        <v>1226</v>
      </c>
      <c r="D7724" s="30" t="s">
        <v>2024</v>
      </c>
      <c r="F7724" s="30" t="s">
        <v>2032</v>
      </c>
      <c r="H7724" s="30" t="s">
        <v>2033</v>
      </c>
      <c r="J7724" s="30" t="s">
        <v>314</v>
      </c>
      <c r="L7724" s="30" t="s">
        <v>315</v>
      </c>
      <c r="M7724" s="30" t="s">
        <v>725</v>
      </c>
      <c r="N7724" s="30" t="s">
        <v>153</v>
      </c>
      <c r="P7724" s="30" t="s">
        <v>14606</v>
      </c>
      <c r="Q7724" t="s">
        <v>621</v>
      </c>
      <c r="R7724" t="s">
        <v>920</v>
      </c>
      <c r="S7724">
        <v>39</v>
      </c>
      <c r="T7724" s="29" t="str">
        <f t="shared" si="330"/>
        <v>2023.027P.Betaflexiviridae_rename.zip</v>
      </c>
      <c r="U7724" s="29" t="str">
        <f>HYPERLINK("https://ictv.global/taxonomy/taxondetails?taxnode_id=202302239","ictv.global=202302239")</f>
        <v>ictv.global=202302239</v>
      </c>
    </row>
    <row r="7725" spans="1:21">
      <c r="A7725">
        <v>7724</v>
      </c>
      <c r="B7725" s="30" t="s">
        <v>1226</v>
      </c>
      <c r="D7725" s="30" t="s">
        <v>2024</v>
      </c>
      <c r="F7725" s="30" t="s">
        <v>2032</v>
      </c>
      <c r="H7725" s="30" t="s">
        <v>2033</v>
      </c>
      <c r="J7725" s="30" t="s">
        <v>314</v>
      </c>
      <c r="L7725" s="30" t="s">
        <v>315</v>
      </c>
      <c r="M7725" s="30" t="s">
        <v>725</v>
      </c>
      <c r="N7725" s="30" t="s">
        <v>153</v>
      </c>
      <c r="P7725" s="30" t="s">
        <v>14607</v>
      </c>
      <c r="Q7725" t="s">
        <v>621</v>
      </c>
      <c r="R7725" t="s">
        <v>920</v>
      </c>
      <c r="S7725">
        <v>39</v>
      </c>
      <c r="T7725" s="29" t="str">
        <f t="shared" si="330"/>
        <v>2023.027P.Betaflexiviridae_rename.zip</v>
      </c>
      <c r="U7725" s="29" t="str">
        <f>HYPERLINK("https://ictv.global/taxonomy/taxondetails?taxnode_id=202302271","ictv.global=202302271")</f>
        <v>ictv.global=202302271</v>
      </c>
    </row>
    <row r="7726" spans="1:21">
      <c r="A7726">
        <v>7725</v>
      </c>
      <c r="B7726" s="30" t="s">
        <v>1226</v>
      </c>
      <c r="D7726" s="30" t="s">
        <v>2024</v>
      </c>
      <c r="F7726" s="30" t="s">
        <v>2032</v>
      </c>
      <c r="H7726" s="30" t="s">
        <v>2033</v>
      </c>
      <c r="J7726" s="30" t="s">
        <v>314</v>
      </c>
      <c r="L7726" s="30" t="s">
        <v>315</v>
      </c>
      <c r="M7726" s="30" t="s">
        <v>725</v>
      </c>
      <c r="N7726" s="30" t="s">
        <v>153</v>
      </c>
      <c r="P7726" s="30" t="s">
        <v>14608</v>
      </c>
      <c r="Q7726" t="s">
        <v>621</v>
      </c>
      <c r="R7726" t="s">
        <v>920</v>
      </c>
      <c r="S7726">
        <v>39</v>
      </c>
      <c r="T7726" s="29" t="str">
        <f t="shared" si="330"/>
        <v>2023.027P.Betaflexiviridae_rename.zip</v>
      </c>
      <c r="U7726" s="29" t="str">
        <f>HYPERLINK("https://ictv.global/taxonomy/taxondetails?taxnode_id=202302280","ictv.global=202302280")</f>
        <v>ictv.global=202302280</v>
      </c>
    </row>
    <row r="7727" spans="1:21">
      <c r="A7727">
        <v>7726</v>
      </c>
      <c r="B7727" s="30" t="s">
        <v>1226</v>
      </c>
      <c r="D7727" s="30" t="s">
        <v>2024</v>
      </c>
      <c r="F7727" s="30" t="s">
        <v>2032</v>
      </c>
      <c r="H7727" s="30" t="s">
        <v>2033</v>
      </c>
      <c r="J7727" s="30" t="s">
        <v>314</v>
      </c>
      <c r="L7727" s="30" t="s">
        <v>315</v>
      </c>
      <c r="M7727" s="30" t="s">
        <v>725</v>
      </c>
      <c r="N7727" s="30" t="s">
        <v>153</v>
      </c>
      <c r="P7727" s="30" t="s">
        <v>14609</v>
      </c>
      <c r="Q7727" t="s">
        <v>621</v>
      </c>
      <c r="R7727" t="s">
        <v>920</v>
      </c>
      <c r="S7727">
        <v>39</v>
      </c>
      <c r="T7727" s="29" t="str">
        <f t="shared" si="330"/>
        <v>2023.027P.Betaflexiviridae_rename.zip</v>
      </c>
      <c r="U7727" s="29" t="str">
        <f>HYPERLINK("https://ictv.global/taxonomy/taxondetails?taxnode_id=202302244","ictv.global=202302244")</f>
        <v>ictv.global=202302244</v>
      </c>
    </row>
    <row r="7728" spans="1:21">
      <c r="A7728">
        <v>7727</v>
      </c>
      <c r="B7728" s="30" t="s">
        <v>1226</v>
      </c>
      <c r="D7728" s="30" t="s">
        <v>2024</v>
      </c>
      <c r="F7728" s="30" t="s">
        <v>2032</v>
      </c>
      <c r="H7728" s="30" t="s">
        <v>2033</v>
      </c>
      <c r="J7728" s="30" t="s">
        <v>314</v>
      </c>
      <c r="L7728" s="30" t="s">
        <v>315</v>
      </c>
      <c r="M7728" s="30" t="s">
        <v>725</v>
      </c>
      <c r="N7728" s="30" t="s">
        <v>153</v>
      </c>
      <c r="P7728" s="30" t="s">
        <v>14610</v>
      </c>
      <c r="Q7728" t="s">
        <v>621</v>
      </c>
      <c r="R7728" t="s">
        <v>920</v>
      </c>
      <c r="S7728">
        <v>39</v>
      </c>
      <c r="T7728" s="29" t="str">
        <f t="shared" si="330"/>
        <v>2023.027P.Betaflexiviridae_rename.zip</v>
      </c>
      <c r="U7728" s="29" t="str">
        <f>HYPERLINK("https://ictv.global/taxonomy/taxondetails?taxnode_id=202302277","ictv.global=202302277")</f>
        <v>ictv.global=202302277</v>
      </c>
    </row>
    <row r="7729" spans="1:21">
      <c r="A7729">
        <v>7728</v>
      </c>
      <c r="B7729" s="30" t="s">
        <v>1226</v>
      </c>
      <c r="D7729" s="30" t="s">
        <v>2024</v>
      </c>
      <c r="F7729" s="30" t="s">
        <v>2032</v>
      </c>
      <c r="H7729" s="30" t="s">
        <v>2033</v>
      </c>
      <c r="J7729" s="30" t="s">
        <v>314</v>
      </c>
      <c r="L7729" s="30" t="s">
        <v>315</v>
      </c>
      <c r="M7729" s="30" t="s">
        <v>725</v>
      </c>
      <c r="N7729" s="30" t="s">
        <v>153</v>
      </c>
      <c r="P7729" s="30" t="s">
        <v>14611</v>
      </c>
      <c r="Q7729" t="s">
        <v>621</v>
      </c>
      <c r="R7729" t="s">
        <v>920</v>
      </c>
      <c r="S7729">
        <v>39</v>
      </c>
      <c r="T7729" s="29" t="str">
        <f t="shared" si="330"/>
        <v>2023.027P.Betaflexiviridae_rename.zip</v>
      </c>
      <c r="U7729" s="29" t="str">
        <f>HYPERLINK("https://ictv.global/taxonomy/taxondetails?taxnode_id=202302246","ictv.global=202302246")</f>
        <v>ictv.global=202302246</v>
      </c>
    </row>
    <row r="7730" spans="1:21">
      <c r="A7730">
        <v>7729</v>
      </c>
      <c r="B7730" s="30" t="s">
        <v>1226</v>
      </c>
      <c r="D7730" s="30" t="s">
        <v>2024</v>
      </c>
      <c r="F7730" s="30" t="s">
        <v>2032</v>
      </c>
      <c r="H7730" s="30" t="s">
        <v>2033</v>
      </c>
      <c r="J7730" s="30" t="s">
        <v>314</v>
      </c>
      <c r="L7730" s="30" t="s">
        <v>315</v>
      </c>
      <c r="M7730" s="30" t="s">
        <v>725</v>
      </c>
      <c r="N7730" s="30" t="s">
        <v>153</v>
      </c>
      <c r="P7730" s="30" t="s">
        <v>14612</v>
      </c>
      <c r="Q7730" t="s">
        <v>621</v>
      </c>
      <c r="R7730" t="s">
        <v>920</v>
      </c>
      <c r="S7730">
        <v>39</v>
      </c>
      <c r="T7730" s="29" t="str">
        <f t="shared" si="330"/>
        <v>2023.027P.Betaflexiviridae_rename.zip</v>
      </c>
      <c r="U7730" s="29" t="str">
        <f>HYPERLINK("https://ictv.global/taxonomy/taxondetails?taxnode_id=202305640","ictv.global=202305640")</f>
        <v>ictv.global=202305640</v>
      </c>
    </row>
    <row r="7731" spans="1:21">
      <c r="A7731">
        <v>7730</v>
      </c>
      <c r="B7731" s="30" t="s">
        <v>1226</v>
      </c>
      <c r="D7731" s="30" t="s">
        <v>2024</v>
      </c>
      <c r="F7731" s="30" t="s">
        <v>2032</v>
      </c>
      <c r="H7731" s="30" t="s">
        <v>2033</v>
      </c>
      <c r="J7731" s="30" t="s">
        <v>314</v>
      </c>
      <c r="L7731" s="30" t="s">
        <v>315</v>
      </c>
      <c r="M7731" s="30" t="s">
        <v>725</v>
      </c>
      <c r="N7731" s="30" t="s">
        <v>153</v>
      </c>
      <c r="P7731" s="30" t="s">
        <v>14613</v>
      </c>
      <c r="Q7731" t="s">
        <v>621</v>
      </c>
      <c r="R7731" t="s">
        <v>920</v>
      </c>
      <c r="S7731">
        <v>39</v>
      </c>
      <c r="T7731" s="29" t="str">
        <f t="shared" si="330"/>
        <v>2023.027P.Betaflexiviridae_rename.zip</v>
      </c>
      <c r="U7731" s="29" t="str">
        <f>HYPERLINK("https://ictv.global/taxonomy/taxondetails?taxnode_id=202315082","ictv.global=202315082")</f>
        <v>ictv.global=202315082</v>
      </c>
    </row>
    <row r="7732" spans="1:21">
      <c r="A7732">
        <v>7731</v>
      </c>
      <c r="B7732" s="30" t="s">
        <v>1226</v>
      </c>
      <c r="D7732" s="30" t="s">
        <v>2024</v>
      </c>
      <c r="F7732" s="30" t="s">
        <v>2032</v>
      </c>
      <c r="H7732" s="30" t="s">
        <v>2033</v>
      </c>
      <c r="J7732" s="30" t="s">
        <v>314</v>
      </c>
      <c r="L7732" s="30" t="s">
        <v>315</v>
      </c>
      <c r="M7732" s="30" t="s">
        <v>725</v>
      </c>
      <c r="N7732" s="30" t="s">
        <v>153</v>
      </c>
      <c r="P7732" s="30" t="s">
        <v>14614</v>
      </c>
      <c r="Q7732" t="s">
        <v>621</v>
      </c>
      <c r="R7732" t="s">
        <v>917</v>
      </c>
      <c r="S7732">
        <v>39</v>
      </c>
      <c r="T7732" s="29" t="str">
        <f>HYPERLINK("https://ictv.global/ictv/proposals/2023.028P.Betaflexiviridae_13nsp.zip","2023.028P.Betaflexiviridae_13nsp.zip")</f>
        <v>2023.028P.Betaflexiviridae_13nsp.zip</v>
      </c>
      <c r="U7732" s="29" t="str">
        <f>HYPERLINK("https://ictv.global/taxonomy/taxondetails?taxnode_id=202319034","ictv.global=202319034")</f>
        <v>ictv.global=202319034</v>
      </c>
    </row>
    <row r="7733" spans="1:21">
      <c r="A7733">
        <v>7732</v>
      </c>
      <c r="B7733" s="30" t="s">
        <v>1226</v>
      </c>
      <c r="D7733" s="30" t="s">
        <v>2024</v>
      </c>
      <c r="F7733" s="30" t="s">
        <v>2032</v>
      </c>
      <c r="H7733" s="30" t="s">
        <v>2033</v>
      </c>
      <c r="J7733" s="30" t="s">
        <v>314</v>
      </c>
      <c r="L7733" s="30" t="s">
        <v>315</v>
      </c>
      <c r="M7733" s="30" t="s">
        <v>725</v>
      </c>
      <c r="N7733" s="30" t="s">
        <v>153</v>
      </c>
      <c r="P7733" s="30" t="s">
        <v>14615</v>
      </c>
      <c r="Q7733" t="s">
        <v>621</v>
      </c>
      <c r="R7733" t="s">
        <v>920</v>
      </c>
      <c r="S7733">
        <v>39</v>
      </c>
      <c r="T7733" s="29" t="str">
        <f t="shared" ref="T7733:T7739" si="331">HYPERLINK("https://ictv.global/ictv/proposals/2023.027P.Betaflexiviridae_rename.zip","2023.027P.Betaflexiviridae_rename.zip")</f>
        <v>2023.027P.Betaflexiviridae_rename.zip</v>
      </c>
      <c r="U7733" s="29" t="str">
        <f>HYPERLINK("https://ictv.global/taxonomy/taxondetails?taxnode_id=202305641","ictv.global=202305641")</f>
        <v>ictv.global=202305641</v>
      </c>
    </row>
    <row r="7734" spans="1:21">
      <c r="A7734">
        <v>7733</v>
      </c>
      <c r="B7734" s="30" t="s">
        <v>1226</v>
      </c>
      <c r="D7734" s="30" t="s">
        <v>2024</v>
      </c>
      <c r="F7734" s="30" t="s">
        <v>2032</v>
      </c>
      <c r="H7734" s="30" t="s">
        <v>2033</v>
      </c>
      <c r="J7734" s="30" t="s">
        <v>314</v>
      </c>
      <c r="L7734" s="30" t="s">
        <v>315</v>
      </c>
      <c r="M7734" s="30" t="s">
        <v>725</v>
      </c>
      <c r="N7734" s="30" t="s">
        <v>153</v>
      </c>
      <c r="P7734" s="30" t="s">
        <v>14616</v>
      </c>
      <c r="Q7734" t="s">
        <v>621</v>
      </c>
      <c r="R7734" t="s">
        <v>920</v>
      </c>
      <c r="S7734">
        <v>39</v>
      </c>
      <c r="T7734" s="29" t="str">
        <f t="shared" si="331"/>
        <v>2023.027P.Betaflexiviridae_rename.zip</v>
      </c>
      <c r="U7734" s="29" t="str">
        <f>HYPERLINK("https://ictv.global/taxonomy/taxondetails?taxnode_id=202302278","ictv.global=202302278")</f>
        <v>ictv.global=202302278</v>
      </c>
    </row>
    <row r="7735" spans="1:21">
      <c r="A7735">
        <v>7734</v>
      </c>
      <c r="B7735" s="30" t="s">
        <v>1226</v>
      </c>
      <c r="D7735" s="30" t="s">
        <v>2024</v>
      </c>
      <c r="F7735" s="30" t="s">
        <v>2032</v>
      </c>
      <c r="H7735" s="30" t="s">
        <v>2033</v>
      </c>
      <c r="J7735" s="30" t="s">
        <v>314</v>
      </c>
      <c r="L7735" s="30" t="s">
        <v>315</v>
      </c>
      <c r="M7735" s="30" t="s">
        <v>725</v>
      </c>
      <c r="N7735" s="30" t="s">
        <v>153</v>
      </c>
      <c r="P7735" s="30" t="s">
        <v>14617</v>
      </c>
      <c r="Q7735" t="s">
        <v>621</v>
      </c>
      <c r="R7735" t="s">
        <v>920</v>
      </c>
      <c r="S7735">
        <v>39</v>
      </c>
      <c r="T7735" s="29" t="str">
        <f t="shared" si="331"/>
        <v>2023.027P.Betaflexiviridae_rename.zip</v>
      </c>
      <c r="U7735" s="29" t="str">
        <f>HYPERLINK("https://ictv.global/taxonomy/taxondetails?taxnode_id=202305639","ictv.global=202305639")</f>
        <v>ictv.global=202305639</v>
      </c>
    </row>
    <row r="7736" spans="1:21">
      <c r="A7736">
        <v>7735</v>
      </c>
      <c r="B7736" s="30" t="s">
        <v>1226</v>
      </c>
      <c r="D7736" s="30" t="s">
        <v>2024</v>
      </c>
      <c r="F7736" s="30" t="s">
        <v>2032</v>
      </c>
      <c r="H7736" s="30" t="s">
        <v>2033</v>
      </c>
      <c r="J7736" s="30" t="s">
        <v>314</v>
      </c>
      <c r="L7736" s="30" t="s">
        <v>315</v>
      </c>
      <c r="M7736" s="30" t="s">
        <v>725</v>
      </c>
      <c r="N7736" s="30" t="s">
        <v>153</v>
      </c>
      <c r="P7736" s="30" t="s">
        <v>14618</v>
      </c>
      <c r="Q7736" t="s">
        <v>621</v>
      </c>
      <c r="R7736" t="s">
        <v>920</v>
      </c>
      <c r="S7736">
        <v>39</v>
      </c>
      <c r="T7736" s="29" t="str">
        <f t="shared" si="331"/>
        <v>2023.027P.Betaflexiviridae_rename.zip</v>
      </c>
      <c r="U7736" s="29" t="str">
        <f>HYPERLINK("https://ictv.global/taxonomy/taxondetails?taxnode_id=202302251","ictv.global=202302251")</f>
        <v>ictv.global=202302251</v>
      </c>
    </row>
    <row r="7737" spans="1:21">
      <c r="A7737">
        <v>7736</v>
      </c>
      <c r="B7737" s="30" t="s">
        <v>1226</v>
      </c>
      <c r="D7737" s="30" t="s">
        <v>2024</v>
      </c>
      <c r="F7737" s="30" t="s">
        <v>2032</v>
      </c>
      <c r="H7737" s="30" t="s">
        <v>2033</v>
      </c>
      <c r="J7737" s="30" t="s">
        <v>314</v>
      </c>
      <c r="L7737" s="30" t="s">
        <v>315</v>
      </c>
      <c r="M7737" s="30" t="s">
        <v>725</v>
      </c>
      <c r="N7737" s="30" t="s">
        <v>153</v>
      </c>
      <c r="P7737" s="30" t="s">
        <v>14619</v>
      </c>
      <c r="Q7737" t="s">
        <v>621</v>
      </c>
      <c r="R7737" t="s">
        <v>920</v>
      </c>
      <c r="S7737">
        <v>39</v>
      </c>
      <c r="T7737" s="29" t="str">
        <f t="shared" si="331"/>
        <v>2023.027P.Betaflexiviridae_rename.zip</v>
      </c>
      <c r="U7737" s="29" t="str">
        <f>HYPERLINK("https://ictv.global/taxonomy/taxondetails?taxnode_id=202302255","ictv.global=202302255")</f>
        <v>ictv.global=202302255</v>
      </c>
    </row>
    <row r="7738" spans="1:21">
      <c r="A7738">
        <v>7737</v>
      </c>
      <c r="B7738" s="30" t="s">
        <v>1226</v>
      </c>
      <c r="D7738" s="30" t="s">
        <v>2024</v>
      </c>
      <c r="F7738" s="30" t="s">
        <v>2032</v>
      </c>
      <c r="H7738" s="30" t="s">
        <v>2033</v>
      </c>
      <c r="J7738" s="30" t="s">
        <v>314</v>
      </c>
      <c r="L7738" s="30" t="s">
        <v>315</v>
      </c>
      <c r="M7738" s="30" t="s">
        <v>725</v>
      </c>
      <c r="N7738" s="30" t="s">
        <v>153</v>
      </c>
      <c r="P7738" s="30" t="s">
        <v>14620</v>
      </c>
      <c r="Q7738" t="s">
        <v>621</v>
      </c>
      <c r="R7738" t="s">
        <v>920</v>
      </c>
      <c r="S7738">
        <v>39</v>
      </c>
      <c r="T7738" s="29" t="str">
        <f t="shared" si="331"/>
        <v>2023.027P.Betaflexiviridae_rename.zip</v>
      </c>
      <c r="U7738" s="29" t="str">
        <f>HYPERLINK("https://ictv.global/taxonomy/taxondetails?taxnode_id=202302256","ictv.global=202302256")</f>
        <v>ictv.global=202302256</v>
      </c>
    </row>
    <row r="7739" spans="1:21">
      <c r="A7739">
        <v>7738</v>
      </c>
      <c r="B7739" s="30" t="s">
        <v>1226</v>
      </c>
      <c r="D7739" s="30" t="s">
        <v>2024</v>
      </c>
      <c r="F7739" s="30" t="s">
        <v>2032</v>
      </c>
      <c r="H7739" s="30" t="s">
        <v>2033</v>
      </c>
      <c r="J7739" s="30" t="s">
        <v>314</v>
      </c>
      <c r="L7739" s="30" t="s">
        <v>315</v>
      </c>
      <c r="M7739" s="30" t="s">
        <v>725</v>
      </c>
      <c r="N7739" s="30" t="s">
        <v>153</v>
      </c>
      <c r="P7739" s="30" t="s">
        <v>14621</v>
      </c>
      <c r="Q7739" t="s">
        <v>621</v>
      </c>
      <c r="R7739" t="s">
        <v>920</v>
      </c>
      <c r="S7739">
        <v>39</v>
      </c>
      <c r="T7739" s="29" t="str">
        <f t="shared" si="331"/>
        <v>2023.027P.Betaflexiviridae_rename.zip</v>
      </c>
      <c r="U7739" s="29" t="str">
        <f>HYPERLINK("https://ictv.global/taxonomy/taxondetails?taxnode_id=202302279","ictv.global=202302279")</f>
        <v>ictv.global=202302279</v>
      </c>
    </row>
    <row r="7740" spans="1:21">
      <c r="A7740">
        <v>7739</v>
      </c>
      <c r="B7740" s="30" t="s">
        <v>1226</v>
      </c>
      <c r="D7740" s="30" t="s">
        <v>2024</v>
      </c>
      <c r="F7740" s="30" t="s">
        <v>2032</v>
      </c>
      <c r="H7740" s="30" t="s">
        <v>2033</v>
      </c>
      <c r="J7740" s="30" t="s">
        <v>314</v>
      </c>
      <c r="L7740" s="30" t="s">
        <v>315</v>
      </c>
      <c r="M7740" s="30" t="s">
        <v>725</v>
      </c>
      <c r="N7740" s="30" t="s">
        <v>153</v>
      </c>
      <c r="P7740" s="30" t="s">
        <v>14622</v>
      </c>
      <c r="Q7740" t="s">
        <v>621</v>
      </c>
      <c r="R7740" t="s">
        <v>917</v>
      </c>
      <c r="S7740">
        <v>39</v>
      </c>
      <c r="T7740" s="29" t="str">
        <f>HYPERLINK("https://ictv.global/ictv/proposals/2023.028P.Betaflexiviridae_13nsp.zip","2023.028P.Betaflexiviridae_13nsp.zip")</f>
        <v>2023.028P.Betaflexiviridae_13nsp.zip</v>
      </c>
      <c r="U7740" s="29" t="str">
        <f>HYPERLINK("https://ictv.global/taxonomy/taxondetails?taxnode_id=202319032","ictv.global=202319032")</f>
        <v>ictv.global=202319032</v>
      </c>
    </row>
    <row r="7741" spans="1:21">
      <c r="A7741">
        <v>7740</v>
      </c>
      <c r="B7741" s="30" t="s">
        <v>1226</v>
      </c>
      <c r="D7741" s="30" t="s">
        <v>2024</v>
      </c>
      <c r="F7741" s="30" t="s">
        <v>2032</v>
      </c>
      <c r="H7741" s="30" t="s">
        <v>2033</v>
      </c>
      <c r="J7741" s="30" t="s">
        <v>314</v>
      </c>
      <c r="L7741" s="30" t="s">
        <v>315</v>
      </c>
      <c r="M7741" s="30" t="s">
        <v>725</v>
      </c>
      <c r="N7741" s="30" t="s">
        <v>153</v>
      </c>
      <c r="P7741" s="30" t="s">
        <v>14623</v>
      </c>
      <c r="Q7741" t="s">
        <v>621</v>
      </c>
      <c r="R7741" t="s">
        <v>920</v>
      </c>
      <c r="S7741">
        <v>39</v>
      </c>
      <c r="T7741" s="29" t="str">
        <f t="shared" ref="T7741:T7765" si="332">HYPERLINK("https://ictv.global/ictv/proposals/2023.027P.Betaflexiviridae_rename.zip","2023.027P.Betaflexiviridae_rename.zip")</f>
        <v>2023.027P.Betaflexiviridae_rename.zip</v>
      </c>
      <c r="U7741" s="29" t="str">
        <f>HYPERLINK("https://ictv.global/taxonomy/taxondetails?taxnode_id=202302235","ictv.global=202302235")</f>
        <v>ictv.global=202302235</v>
      </c>
    </row>
    <row r="7742" spans="1:21">
      <c r="A7742">
        <v>7741</v>
      </c>
      <c r="B7742" s="30" t="s">
        <v>1226</v>
      </c>
      <c r="D7742" s="30" t="s">
        <v>2024</v>
      </c>
      <c r="F7742" s="30" t="s">
        <v>2032</v>
      </c>
      <c r="H7742" s="30" t="s">
        <v>2033</v>
      </c>
      <c r="J7742" s="30" t="s">
        <v>314</v>
      </c>
      <c r="L7742" s="30" t="s">
        <v>315</v>
      </c>
      <c r="M7742" s="30" t="s">
        <v>725</v>
      </c>
      <c r="N7742" s="30" t="s">
        <v>153</v>
      </c>
      <c r="P7742" s="30" t="s">
        <v>14624</v>
      </c>
      <c r="Q7742" t="s">
        <v>621</v>
      </c>
      <c r="R7742" t="s">
        <v>920</v>
      </c>
      <c r="S7742">
        <v>39</v>
      </c>
      <c r="T7742" s="29" t="str">
        <f t="shared" si="332"/>
        <v>2023.027P.Betaflexiviridae_rename.zip</v>
      </c>
      <c r="U7742" s="29" t="str">
        <f>HYPERLINK("https://ictv.global/taxonomy/taxondetails?taxnode_id=202302249","ictv.global=202302249")</f>
        <v>ictv.global=202302249</v>
      </c>
    </row>
    <row r="7743" spans="1:21">
      <c r="A7743">
        <v>7742</v>
      </c>
      <c r="B7743" s="30" t="s">
        <v>1226</v>
      </c>
      <c r="D7743" s="30" t="s">
        <v>2024</v>
      </c>
      <c r="F7743" s="30" t="s">
        <v>2032</v>
      </c>
      <c r="H7743" s="30" t="s">
        <v>2033</v>
      </c>
      <c r="J7743" s="30" t="s">
        <v>314</v>
      </c>
      <c r="L7743" s="30" t="s">
        <v>315</v>
      </c>
      <c r="M7743" s="30" t="s">
        <v>725</v>
      </c>
      <c r="N7743" s="30" t="s">
        <v>153</v>
      </c>
      <c r="P7743" s="30" t="s">
        <v>14625</v>
      </c>
      <c r="Q7743" t="s">
        <v>621</v>
      </c>
      <c r="R7743" t="s">
        <v>920</v>
      </c>
      <c r="S7743">
        <v>39</v>
      </c>
      <c r="T7743" s="29" t="str">
        <f t="shared" si="332"/>
        <v>2023.027P.Betaflexiviridae_rename.zip</v>
      </c>
      <c r="U7743" s="29" t="str">
        <f>HYPERLINK("https://ictv.global/taxonomy/taxondetails?taxnode_id=202302276","ictv.global=202302276")</f>
        <v>ictv.global=202302276</v>
      </c>
    </row>
    <row r="7744" spans="1:21">
      <c r="A7744">
        <v>7743</v>
      </c>
      <c r="B7744" s="30" t="s">
        <v>1226</v>
      </c>
      <c r="D7744" s="30" t="s">
        <v>2024</v>
      </c>
      <c r="F7744" s="30" t="s">
        <v>2032</v>
      </c>
      <c r="H7744" s="30" t="s">
        <v>2033</v>
      </c>
      <c r="J7744" s="30" t="s">
        <v>314</v>
      </c>
      <c r="L7744" s="30" t="s">
        <v>315</v>
      </c>
      <c r="M7744" s="30" t="s">
        <v>725</v>
      </c>
      <c r="N7744" s="30" t="s">
        <v>153</v>
      </c>
      <c r="P7744" s="30" t="s">
        <v>14626</v>
      </c>
      <c r="Q7744" t="s">
        <v>621</v>
      </c>
      <c r="R7744" t="s">
        <v>920</v>
      </c>
      <c r="S7744">
        <v>39</v>
      </c>
      <c r="T7744" s="29" t="str">
        <f t="shared" si="332"/>
        <v>2023.027P.Betaflexiviridae_rename.zip</v>
      </c>
      <c r="U7744" s="29" t="str">
        <f>HYPERLINK("https://ictv.global/taxonomy/taxondetails?taxnode_id=202302243","ictv.global=202302243")</f>
        <v>ictv.global=202302243</v>
      </c>
    </row>
    <row r="7745" spans="1:21">
      <c r="A7745">
        <v>7744</v>
      </c>
      <c r="B7745" s="30" t="s">
        <v>1226</v>
      </c>
      <c r="D7745" s="30" t="s">
        <v>2024</v>
      </c>
      <c r="F7745" s="30" t="s">
        <v>2032</v>
      </c>
      <c r="H7745" s="30" t="s">
        <v>2033</v>
      </c>
      <c r="J7745" s="30" t="s">
        <v>314</v>
      </c>
      <c r="L7745" s="30" t="s">
        <v>315</v>
      </c>
      <c r="M7745" s="30" t="s">
        <v>725</v>
      </c>
      <c r="N7745" s="30" t="s">
        <v>153</v>
      </c>
      <c r="P7745" s="30" t="s">
        <v>14627</v>
      </c>
      <c r="Q7745" t="s">
        <v>621</v>
      </c>
      <c r="R7745" t="s">
        <v>920</v>
      </c>
      <c r="S7745">
        <v>39</v>
      </c>
      <c r="T7745" s="29" t="str">
        <f t="shared" si="332"/>
        <v>2023.027P.Betaflexiviridae_rename.zip</v>
      </c>
      <c r="U7745" s="29" t="str">
        <f>HYPERLINK("https://ictv.global/taxonomy/taxondetails?taxnode_id=202302240","ictv.global=202302240")</f>
        <v>ictv.global=202302240</v>
      </c>
    </row>
    <row r="7746" spans="1:21">
      <c r="A7746">
        <v>7745</v>
      </c>
      <c r="B7746" s="30" t="s">
        <v>1226</v>
      </c>
      <c r="D7746" s="30" t="s">
        <v>2024</v>
      </c>
      <c r="F7746" s="30" t="s">
        <v>2032</v>
      </c>
      <c r="H7746" s="30" t="s">
        <v>2033</v>
      </c>
      <c r="J7746" s="30" t="s">
        <v>314</v>
      </c>
      <c r="L7746" s="30" t="s">
        <v>315</v>
      </c>
      <c r="M7746" s="30" t="s">
        <v>725</v>
      </c>
      <c r="N7746" s="30" t="s">
        <v>153</v>
      </c>
      <c r="P7746" s="30" t="s">
        <v>14628</v>
      </c>
      <c r="Q7746" t="s">
        <v>621</v>
      </c>
      <c r="R7746" t="s">
        <v>920</v>
      </c>
      <c r="S7746">
        <v>39</v>
      </c>
      <c r="T7746" s="29" t="str">
        <f t="shared" si="332"/>
        <v>2023.027P.Betaflexiviridae_rename.zip</v>
      </c>
      <c r="U7746" s="29" t="str">
        <f>HYPERLINK("https://ictv.global/taxonomy/taxondetails?taxnode_id=202302241","ictv.global=202302241")</f>
        <v>ictv.global=202302241</v>
      </c>
    </row>
    <row r="7747" spans="1:21">
      <c r="A7747">
        <v>7746</v>
      </c>
      <c r="B7747" s="30" t="s">
        <v>1226</v>
      </c>
      <c r="D7747" s="30" t="s">
        <v>2024</v>
      </c>
      <c r="F7747" s="30" t="s">
        <v>2032</v>
      </c>
      <c r="H7747" s="30" t="s">
        <v>2033</v>
      </c>
      <c r="J7747" s="30" t="s">
        <v>314</v>
      </c>
      <c r="L7747" s="30" t="s">
        <v>315</v>
      </c>
      <c r="M7747" s="30" t="s">
        <v>725</v>
      </c>
      <c r="N7747" s="30" t="s">
        <v>153</v>
      </c>
      <c r="P7747" s="30" t="s">
        <v>14629</v>
      </c>
      <c r="Q7747" t="s">
        <v>621</v>
      </c>
      <c r="R7747" t="s">
        <v>920</v>
      </c>
      <c r="S7747">
        <v>39</v>
      </c>
      <c r="T7747" s="29" t="str">
        <f t="shared" si="332"/>
        <v>2023.027P.Betaflexiviridae_rename.zip</v>
      </c>
      <c r="U7747" s="29" t="str">
        <f>HYPERLINK("https://ictv.global/taxonomy/taxondetails?taxnode_id=202305642","ictv.global=202305642")</f>
        <v>ictv.global=202305642</v>
      </c>
    </row>
    <row r="7748" spans="1:21">
      <c r="A7748">
        <v>7747</v>
      </c>
      <c r="B7748" s="30" t="s">
        <v>1226</v>
      </c>
      <c r="D7748" s="30" t="s">
        <v>2024</v>
      </c>
      <c r="F7748" s="30" t="s">
        <v>2032</v>
      </c>
      <c r="H7748" s="30" t="s">
        <v>2033</v>
      </c>
      <c r="J7748" s="30" t="s">
        <v>314</v>
      </c>
      <c r="L7748" s="30" t="s">
        <v>315</v>
      </c>
      <c r="M7748" s="30" t="s">
        <v>725</v>
      </c>
      <c r="N7748" s="30" t="s">
        <v>153</v>
      </c>
      <c r="P7748" s="30" t="s">
        <v>14630</v>
      </c>
      <c r="Q7748" t="s">
        <v>621</v>
      </c>
      <c r="R7748" t="s">
        <v>920</v>
      </c>
      <c r="S7748">
        <v>39</v>
      </c>
      <c r="T7748" s="29" t="str">
        <f t="shared" si="332"/>
        <v>2023.027P.Betaflexiviridae_rename.zip</v>
      </c>
      <c r="U7748" s="29" t="str">
        <f>HYPERLINK("https://ictv.global/taxonomy/taxondetails?taxnode_id=202302248","ictv.global=202302248")</f>
        <v>ictv.global=202302248</v>
      </c>
    </row>
    <row r="7749" spans="1:21">
      <c r="A7749">
        <v>7748</v>
      </c>
      <c r="B7749" s="30" t="s">
        <v>1226</v>
      </c>
      <c r="D7749" s="30" t="s">
        <v>2024</v>
      </c>
      <c r="F7749" s="30" t="s">
        <v>2032</v>
      </c>
      <c r="H7749" s="30" t="s">
        <v>2033</v>
      </c>
      <c r="J7749" s="30" t="s">
        <v>314</v>
      </c>
      <c r="L7749" s="30" t="s">
        <v>315</v>
      </c>
      <c r="M7749" s="30" t="s">
        <v>725</v>
      </c>
      <c r="N7749" s="30" t="s">
        <v>153</v>
      </c>
      <c r="P7749" s="30" t="s">
        <v>14631</v>
      </c>
      <c r="Q7749" t="s">
        <v>621</v>
      </c>
      <c r="R7749" t="s">
        <v>920</v>
      </c>
      <c r="S7749">
        <v>39</v>
      </c>
      <c r="T7749" s="29" t="str">
        <f t="shared" si="332"/>
        <v>2023.027P.Betaflexiviridae_rename.zip</v>
      </c>
      <c r="U7749" s="29" t="str">
        <f>HYPERLINK("https://ictv.global/taxonomy/taxondetails?taxnode_id=202302253","ictv.global=202302253")</f>
        <v>ictv.global=202302253</v>
      </c>
    </row>
    <row r="7750" spans="1:21">
      <c r="A7750">
        <v>7749</v>
      </c>
      <c r="B7750" s="30" t="s">
        <v>1226</v>
      </c>
      <c r="D7750" s="30" t="s">
        <v>2024</v>
      </c>
      <c r="F7750" s="30" t="s">
        <v>2032</v>
      </c>
      <c r="H7750" s="30" t="s">
        <v>2033</v>
      </c>
      <c r="J7750" s="30" t="s">
        <v>314</v>
      </c>
      <c r="L7750" s="30" t="s">
        <v>315</v>
      </c>
      <c r="M7750" s="30" t="s">
        <v>725</v>
      </c>
      <c r="N7750" s="30" t="s">
        <v>153</v>
      </c>
      <c r="P7750" s="30" t="s">
        <v>14632</v>
      </c>
      <c r="Q7750" t="s">
        <v>621</v>
      </c>
      <c r="R7750" t="s">
        <v>920</v>
      </c>
      <c r="S7750">
        <v>39</v>
      </c>
      <c r="T7750" s="29" t="str">
        <f t="shared" si="332"/>
        <v>2023.027P.Betaflexiviridae_rename.zip</v>
      </c>
      <c r="U7750" s="29" t="str">
        <f>HYPERLINK("https://ictv.global/taxonomy/taxondetails?taxnode_id=202302254","ictv.global=202302254")</f>
        <v>ictv.global=202302254</v>
      </c>
    </row>
    <row r="7751" spans="1:21">
      <c r="A7751">
        <v>7750</v>
      </c>
      <c r="B7751" s="30" t="s">
        <v>1226</v>
      </c>
      <c r="D7751" s="30" t="s">
        <v>2024</v>
      </c>
      <c r="F7751" s="30" t="s">
        <v>2032</v>
      </c>
      <c r="H7751" s="30" t="s">
        <v>2033</v>
      </c>
      <c r="J7751" s="30" t="s">
        <v>314</v>
      </c>
      <c r="L7751" s="30" t="s">
        <v>315</v>
      </c>
      <c r="M7751" s="30" t="s">
        <v>725</v>
      </c>
      <c r="N7751" s="30" t="s">
        <v>153</v>
      </c>
      <c r="P7751" s="30" t="s">
        <v>14633</v>
      </c>
      <c r="Q7751" t="s">
        <v>621</v>
      </c>
      <c r="R7751" t="s">
        <v>920</v>
      </c>
      <c r="S7751">
        <v>39</v>
      </c>
      <c r="T7751" s="29" t="str">
        <f t="shared" si="332"/>
        <v>2023.027P.Betaflexiviridae_rename.zip</v>
      </c>
      <c r="U7751" s="29" t="str">
        <f>HYPERLINK("https://ictv.global/taxonomy/taxondetails?taxnode_id=202302257","ictv.global=202302257")</f>
        <v>ictv.global=202302257</v>
      </c>
    </row>
    <row r="7752" spans="1:21">
      <c r="A7752">
        <v>7751</v>
      </c>
      <c r="B7752" s="30" t="s">
        <v>1226</v>
      </c>
      <c r="D7752" s="30" t="s">
        <v>2024</v>
      </c>
      <c r="F7752" s="30" t="s">
        <v>2032</v>
      </c>
      <c r="H7752" s="30" t="s">
        <v>2033</v>
      </c>
      <c r="J7752" s="30" t="s">
        <v>314</v>
      </c>
      <c r="L7752" s="30" t="s">
        <v>315</v>
      </c>
      <c r="M7752" s="30" t="s">
        <v>725</v>
      </c>
      <c r="N7752" s="30" t="s">
        <v>153</v>
      </c>
      <c r="P7752" s="30" t="s">
        <v>14634</v>
      </c>
      <c r="Q7752" t="s">
        <v>621</v>
      </c>
      <c r="R7752" t="s">
        <v>920</v>
      </c>
      <c r="S7752">
        <v>39</v>
      </c>
      <c r="T7752" s="29" t="str">
        <f t="shared" si="332"/>
        <v>2023.027P.Betaflexiviridae_rename.zip</v>
      </c>
      <c r="U7752" s="29" t="str">
        <f>HYPERLINK("https://ictv.global/taxonomy/taxondetails?taxnode_id=202302262","ictv.global=202302262")</f>
        <v>ictv.global=202302262</v>
      </c>
    </row>
    <row r="7753" spans="1:21">
      <c r="A7753">
        <v>7752</v>
      </c>
      <c r="B7753" s="30" t="s">
        <v>1226</v>
      </c>
      <c r="D7753" s="30" t="s">
        <v>2024</v>
      </c>
      <c r="F7753" s="30" t="s">
        <v>2032</v>
      </c>
      <c r="H7753" s="30" t="s">
        <v>2033</v>
      </c>
      <c r="J7753" s="30" t="s">
        <v>314</v>
      </c>
      <c r="L7753" s="30" t="s">
        <v>315</v>
      </c>
      <c r="M7753" s="30" t="s">
        <v>725</v>
      </c>
      <c r="N7753" s="30" t="s">
        <v>153</v>
      </c>
      <c r="P7753" s="30" t="s">
        <v>14635</v>
      </c>
      <c r="Q7753" t="s">
        <v>621</v>
      </c>
      <c r="R7753" t="s">
        <v>920</v>
      </c>
      <c r="S7753">
        <v>39</v>
      </c>
      <c r="T7753" s="29" t="str">
        <f t="shared" si="332"/>
        <v>2023.027P.Betaflexiviridae_rename.zip</v>
      </c>
      <c r="U7753" s="29" t="str">
        <f>HYPERLINK("https://ictv.global/taxonomy/taxondetails?taxnode_id=202302263","ictv.global=202302263")</f>
        <v>ictv.global=202302263</v>
      </c>
    </row>
    <row r="7754" spans="1:21">
      <c r="A7754">
        <v>7753</v>
      </c>
      <c r="B7754" s="30" t="s">
        <v>1226</v>
      </c>
      <c r="D7754" s="30" t="s">
        <v>2024</v>
      </c>
      <c r="F7754" s="30" t="s">
        <v>2032</v>
      </c>
      <c r="H7754" s="30" t="s">
        <v>2033</v>
      </c>
      <c r="J7754" s="30" t="s">
        <v>314</v>
      </c>
      <c r="L7754" s="30" t="s">
        <v>315</v>
      </c>
      <c r="M7754" s="30" t="s">
        <v>725</v>
      </c>
      <c r="N7754" s="30" t="s">
        <v>153</v>
      </c>
      <c r="P7754" s="30" t="s">
        <v>14636</v>
      </c>
      <c r="Q7754" t="s">
        <v>621</v>
      </c>
      <c r="R7754" t="s">
        <v>920</v>
      </c>
      <c r="S7754">
        <v>39</v>
      </c>
      <c r="T7754" s="29" t="str">
        <f t="shared" si="332"/>
        <v>2023.027P.Betaflexiviridae_rename.zip</v>
      </c>
      <c r="U7754" s="29" t="str">
        <f>HYPERLINK("https://ictv.global/taxonomy/taxondetails?taxnode_id=202302270","ictv.global=202302270")</f>
        <v>ictv.global=202302270</v>
      </c>
    </row>
    <row r="7755" spans="1:21">
      <c r="A7755">
        <v>7754</v>
      </c>
      <c r="B7755" s="30" t="s">
        <v>1226</v>
      </c>
      <c r="D7755" s="30" t="s">
        <v>2024</v>
      </c>
      <c r="F7755" s="30" t="s">
        <v>2032</v>
      </c>
      <c r="H7755" s="30" t="s">
        <v>2033</v>
      </c>
      <c r="J7755" s="30" t="s">
        <v>314</v>
      </c>
      <c r="L7755" s="30" t="s">
        <v>315</v>
      </c>
      <c r="M7755" s="30" t="s">
        <v>725</v>
      </c>
      <c r="N7755" s="30" t="s">
        <v>153</v>
      </c>
      <c r="P7755" s="30" t="s">
        <v>14637</v>
      </c>
      <c r="Q7755" t="s">
        <v>621</v>
      </c>
      <c r="R7755" t="s">
        <v>920</v>
      </c>
      <c r="S7755">
        <v>39</v>
      </c>
      <c r="T7755" s="29" t="str">
        <f t="shared" si="332"/>
        <v>2023.027P.Betaflexiviridae_rename.zip</v>
      </c>
      <c r="U7755" s="29" t="str">
        <f>HYPERLINK("https://ictv.global/taxonomy/taxondetails?taxnode_id=202302264","ictv.global=202302264")</f>
        <v>ictv.global=202302264</v>
      </c>
    </row>
    <row r="7756" spans="1:21">
      <c r="A7756">
        <v>7755</v>
      </c>
      <c r="B7756" s="30" t="s">
        <v>1226</v>
      </c>
      <c r="D7756" s="30" t="s">
        <v>2024</v>
      </c>
      <c r="F7756" s="30" t="s">
        <v>2032</v>
      </c>
      <c r="H7756" s="30" t="s">
        <v>2033</v>
      </c>
      <c r="J7756" s="30" t="s">
        <v>314</v>
      </c>
      <c r="L7756" s="30" t="s">
        <v>315</v>
      </c>
      <c r="M7756" s="30" t="s">
        <v>725</v>
      </c>
      <c r="N7756" s="30" t="s">
        <v>153</v>
      </c>
      <c r="P7756" s="30" t="s">
        <v>14638</v>
      </c>
      <c r="Q7756" t="s">
        <v>621</v>
      </c>
      <c r="R7756" t="s">
        <v>920</v>
      </c>
      <c r="S7756">
        <v>39</v>
      </c>
      <c r="T7756" s="29" t="str">
        <f t="shared" si="332"/>
        <v>2023.027P.Betaflexiviridae_rename.zip</v>
      </c>
      <c r="U7756" s="29" t="str">
        <f>HYPERLINK("https://ictv.global/taxonomy/taxondetails?taxnode_id=202302281","ictv.global=202302281")</f>
        <v>ictv.global=202302281</v>
      </c>
    </row>
    <row r="7757" spans="1:21">
      <c r="A7757">
        <v>7756</v>
      </c>
      <c r="B7757" s="30" t="s">
        <v>1226</v>
      </c>
      <c r="D7757" s="30" t="s">
        <v>2024</v>
      </c>
      <c r="F7757" s="30" t="s">
        <v>2032</v>
      </c>
      <c r="H7757" s="30" t="s">
        <v>2033</v>
      </c>
      <c r="J7757" s="30" t="s">
        <v>314</v>
      </c>
      <c r="L7757" s="30" t="s">
        <v>315</v>
      </c>
      <c r="M7757" s="30" t="s">
        <v>725</v>
      </c>
      <c r="N7757" s="30" t="s">
        <v>153</v>
      </c>
      <c r="P7757" s="30" t="s">
        <v>14639</v>
      </c>
      <c r="Q7757" t="s">
        <v>621</v>
      </c>
      <c r="R7757" t="s">
        <v>920</v>
      </c>
      <c r="S7757">
        <v>39</v>
      </c>
      <c r="T7757" s="29" t="str">
        <f t="shared" si="332"/>
        <v>2023.027P.Betaflexiviridae_rename.zip</v>
      </c>
      <c r="U7757" s="29" t="str">
        <f>HYPERLINK("https://ictv.global/taxonomy/taxondetails?taxnode_id=202302259","ictv.global=202302259")</f>
        <v>ictv.global=202302259</v>
      </c>
    </row>
    <row r="7758" spans="1:21">
      <c r="A7758">
        <v>7757</v>
      </c>
      <c r="B7758" s="30" t="s">
        <v>1226</v>
      </c>
      <c r="D7758" s="30" t="s">
        <v>2024</v>
      </c>
      <c r="F7758" s="30" t="s">
        <v>2032</v>
      </c>
      <c r="H7758" s="30" t="s">
        <v>2033</v>
      </c>
      <c r="J7758" s="30" t="s">
        <v>314</v>
      </c>
      <c r="L7758" s="30" t="s">
        <v>315</v>
      </c>
      <c r="M7758" s="30" t="s">
        <v>725</v>
      </c>
      <c r="N7758" s="30" t="s">
        <v>153</v>
      </c>
      <c r="P7758" s="30" t="s">
        <v>14640</v>
      </c>
      <c r="Q7758" t="s">
        <v>621</v>
      </c>
      <c r="R7758" t="s">
        <v>920</v>
      </c>
      <c r="S7758">
        <v>39</v>
      </c>
      <c r="T7758" s="29" t="str">
        <f t="shared" si="332"/>
        <v>2023.027P.Betaflexiviridae_rename.zip</v>
      </c>
      <c r="U7758" s="29" t="str">
        <f>HYPERLINK("https://ictv.global/taxonomy/taxondetails?taxnode_id=202313845","ictv.global=202313845")</f>
        <v>ictv.global=202313845</v>
      </c>
    </row>
    <row r="7759" spans="1:21">
      <c r="A7759">
        <v>7758</v>
      </c>
      <c r="B7759" s="30" t="s">
        <v>1226</v>
      </c>
      <c r="D7759" s="30" t="s">
        <v>2024</v>
      </c>
      <c r="F7759" s="30" t="s">
        <v>2032</v>
      </c>
      <c r="H7759" s="30" t="s">
        <v>2033</v>
      </c>
      <c r="J7759" s="30" t="s">
        <v>314</v>
      </c>
      <c r="L7759" s="30" t="s">
        <v>315</v>
      </c>
      <c r="M7759" s="30" t="s">
        <v>725</v>
      </c>
      <c r="N7759" s="30" t="s">
        <v>153</v>
      </c>
      <c r="P7759" s="30" t="s">
        <v>14641</v>
      </c>
      <c r="Q7759" t="s">
        <v>621</v>
      </c>
      <c r="R7759" t="s">
        <v>920</v>
      </c>
      <c r="S7759">
        <v>39</v>
      </c>
      <c r="T7759" s="29" t="str">
        <f t="shared" si="332"/>
        <v>2023.027P.Betaflexiviridae_rename.zip</v>
      </c>
      <c r="U7759" s="29" t="str">
        <f>HYPERLINK("https://ictv.global/taxonomy/taxondetails?taxnode_id=202302260","ictv.global=202302260")</f>
        <v>ictv.global=202302260</v>
      </c>
    </row>
    <row r="7760" spans="1:21">
      <c r="A7760">
        <v>7759</v>
      </c>
      <c r="B7760" s="30" t="s">
        <v>1226</v>
      </c>
      <c r="D7760" s="30" t="s">
        <v>2024</v>
      </c>
      <c r="F7760" s="30" t="s">
        <v>2032</v>
      </c>
      <c r="H7760" s="30" t="s">
        <v>2033</v>
      </c>
      <c r="J7760" s="30" t="s">
        <v>314</v>
      </c>
      <c r="L7760" s="30" t="s">
        <v>315</v>
      </c>
      <c r="M7760" s="30" t="s">
        <v>725</v>
      </c>
      <c r="N7760" s="30" t="s">
        <v>153</v>
      </c>
      <c r="P7760" s="30" t="s">
        <v>14642</v>
      </c>
      <c r="Q7760" t="s">
        <v>621</v>
      </c>
      <c r="R7760" t="s">
        <v>920</v>
      </c>
      <c r="S7760">
        <v>39</v>
      </c>
      <c r="T7760" s="29" t="str">
        <f t="shared" si="332"/>
        <v>2023.027P.Betaflexiviridae_rename.zip</v>
      </c>
      <c r="U7760" s="29" t="str">
        <f>HYPERLINK("https://ictv.global/taxonomy/taxondetails?taxnode_id=202302267","ictv.global=202302267")</f>
        <v>ictv.global=202302267</v>
      </c>
    </row>
    <row r="7761" spans="1:21">
      <c r="A7761">
        <v>7760</v>
      </c>
      <c r="B7761" s="30" t="s">
        <v>1226</v>
      </c>
      <c r="D7761" s="30" t="s">
        <v>2024</v>
      </c>
      <c r="F7761" s="30" t="s">
        <v>2032</v>
      </c>
      <c r="H7761" s="30" t="s">
        <v>2033</v>
      </c>
      <c r="J7761" s="30" t="s">
        <v>314</v>
      </c>
      <c r="L7761" s="30" t="s">
        <v>315</v>
      </c>
      <c r="M7761" s="30" t="s">
        <v>725</v>
      </c>
      <c r="N7761" s="30" t="s">
        <v>153</v>
      </c>
      <c r="P7761" s="30" t="s">
        <v>14643</v>
      </c>
      <c r="Q7761" t="s">
        <v>621</v>
      </c>
      <c r="R7761" t="s">
        <v>920</v>
      </c>
      <c r="S7761">
        <v>39</v>
      </c>
      <c r="T7761" s="29" t="str">
        <f t="shared" si="332"/>
        <v>2023.027P.Betaflexiviridae_rename.zip</v>
      </c>
      <c r="U7761" s="29" t="str">
        <f>HYPERLINK("https://ictv.global/taxonomy/taxondetails?taxnode_id=202302261","ictv.global=202302261")</f>
        <v>ictv.global=202302261</v>
      </c>
    </row>
    <row r="7762" spans="1:21">
      <c r="A7762">
        <v>7761</v>
      </c>
      <c r="B7762" s="30" t="s">
        <v>1226</v>
      </c>
      <c r="D7762" s="30" t="s">
        <v>2024</v>
      </c>
      <c r="F7762" s="30" t="s">
        <v>2032</v>
      </c>
      <c r="H7762" s="30" t="s">
        <v>2033</v>
      </c>
      <c r="J7762" s="30" t="s">
        <v>314</v>
      </c>
      <c r="L7762" s="30" t="s">
        <v>315</v>
      </c>
      <c r="M7762" s="30" t="s">
        <v>725</v>
      </c>
      <c r="N7762" s="30" t="s">
        <v>153</v>
      </c>
      <c r="P7762" s="30" t="s">
        <v>14644</v>
      </c>
      <c r="Q7762" t="s">
        <v>621</v>
      </c>
      <c r="R7762" t="s">
        <v>920</v>
      </c>
      <c r="S7762">
        <v>39</v>
      </c>
      <c r="T7762" s="29" t="str">
        <f t="shared" si="332"/>
        <v>2023.027P.Betaflexiviridae_rename.zip</v>
      </c>
      <c r="U7762" s="29" t="str">
        <f>HYPERLINK("https://ictv.global/taxonomy/taxondetails?taxnode_id=202302272","ictv.global=202302272")</f>
        <v>ictv.global=202302272</v>
      </c>
    </row>
    <row r="7763" spans="1:21">
      <c r="A7763">
        <v>7762</v>
      </c>
      <c r="B7763" s="30" t="s">
        <v>1226</v>
      </c>
      <c r="D7763" s="30" t="s">
        <v>2024</v>
      </c>
      <c r="F7763" s="30" t="s">
        <v>2032</v>
      </c>
      <c r="H7763" s="30" t="s">
        <v>2033</v>
      </c>
      <c r="J7763" s="30" t="s">
        <v>314</v>
      </c>
      <c r="L7763" s="30" t="s">
        <v>315</v>
      </c>
      <c r="M7763" s="30" t="s">
        <v>725</v>
      </c>
      <c r="N7763" s="30" t="s">
        <v>153</v>
      </c>
      <c r="P7763" s="30" t="s">
        <v>14645</v>
      </c>
      <c r="Q7763" t="s">
        <v>621</v>
      </c>
      <c r="R7763" t="s">
        <v>920</v>
      </c>
      <c r="S7763">
        <v>39</v>
      </c>
      <c r="T7763" s="29" t="str">
        <f t="shared" si="332"/>
        <v>2023.027P.Betaflexiviridae_rename.zip</v>
      </c>
      <c r="U7763" s="29" t="str">
        <f>HYPERLINK("https://ictv.global/taxonomy/taxondetails?taxnode_id=202313844","ictv.global=202313844")</f>
        <v>ictv.global=202313844</v>
      </c>
    </row>
    <row r="7764" spans="1:21">
      <c r="A7764">
        <v>7763</v>
      </c>
      <c r="B7764" s="30" t="s">
        <v>1226</v>
      </c>
      <c r="D7764" s="30" t="s">
        <v>2024</v>
      </c>
      <c r="F7764" s="30" t="s">
        <v>2032</v>
      </c>
      <c r="H7764" s="30" t="s">
        <v>2033</v>
      </c>
      <c r="J7764" s="30" t="s">
        <v>314</v>
      </c>
      <c r="L7764" s="30" t="s">
        <v>315</v>
      </c>
      <c r="M7764" s="30" t="s">
        <v>725</v>
      </c>
      <c r="N7764" s="30" t="s">
        <v>153</v>
      </c>
      <c r="P7764" s="30" t="s">
        <v>14646</v>
      </c>
      <c r="Q7764" t="s">
        <v>621</v>
      </c>
      <c r="R7764" t="s">
        <v>920</v>
      </c>
      <c r="S7764">
        <v>39</v>
      </c>
      <c r="T7764" s="29" t="str">
        <f t="shared" si="332"/>
        <v>2023.027P.Betaflexiviridae_rename.zip</v>
      </c>
      <c r="U7764" s="29" t="str">
        <f>HYPERLINK("https://ictv.global/taxonomy/taxondetails?taxnode_id=202302258","ictv.global=202302258")</f>
        <v>ictv.global=202302258</v>
      </c>
    </row>
    <row r="7765" spans="1:21">
      <c r="A7765">
        <v>7764</v>
      </c>
      <c r="B7765" s="30" t="s">
        <v>1226</v>
      </c>
      <c r="D7765" s="30" t="s">
        <v>2024</v>
      </c>
      <c r="F7765" s="30" t="s">
        <v>2032</v>
      </c>
      <c r="H7765" s="30" t="s">
        <v>2033</v>
      </c>
      <c r="J7765" s="30" t="s">
        <v>314</v>
      </c>
      <c r="L7765" s="30" t="s">
        <v>315</v>
      </c>
      <c r="M7765" s="30" t="s">
        <v>725</v>
      </c>
      <c r="N7765" s="30" t="s">
        <v>153</v>
      </c>
      <c r="P7765" s="30" t="s">
        <v>14647</v>
      </c>
      <c r="Q7765" t="s">
        <v>621</v>
      </c>
      <c r="R7765" t="s">
        <v>920</v>
      </c>
      <c r="S7765">
        <v>39</v>
      </c>
      <c r="T7765" s="29" t="str">
        <f t="shared" si="332"/>
        <v>2023.027P.Betaflexiviridae_rename.zip</v>
      </c>
      <c r="U7765" s="29" t="str">
        <f>HYPERLINK("https://ictv.global/taxonomy/taxondetails?taxnode_id=202302252","ictv.global=202302252")</f>
        <v>ictv.global=202302252</v>
      </c>
    </row>
    <row r="7766" spans="1:21">
      <c r="A7766">
        <v>7765</v>
      </c>
      <c r="B7766" s="30" t="s">
        <v>1226</v>
      </c>
      <c r="D7766" s="30" t="s">
        <v>2024</v>
      </c>
      <c r="F7766" s="30" t="s">
        <v>2032</v>
      </c>
      <c r="H7766" s="30" t="s">
        <v>2033</v>
      </c>
      <c r="J7766" s="30" t="s">
        <v>314</v>
      </c>
      <c r="L7766" s="30" t="s">
        <v>315</v>
      </c>
      <c r="M7766" s="30" t="s">
        <v>725</v>
      </c>
      <c r="N7766" s="30" t="s">
        <v>153</v>
      </c>
      <c r="P7766" s="30" t="s">
        <v>14648</v>
      </c>
      <c r="Q7766" t="s">
        <v>621</v>
      </c>
      <c r="R7766" t="s">
        <v>917</v>
      </c>
      <c r="S7766">
        <v>39</v>
      </c>
      <c r="T7766" s="29" t="str">
        <f>HYPERLINK("https://ictv.global/ictv/proposals/2023.028P.Betaflexiviridae_13nsp.zip","2023.028P.Betaflexiviridae_13nsp.zip")</f>
        <v>2023.028P.Betaflexiviridae_13nsp.zip</v>
      </c>
      <c r="U7766" s="29" t="str">
        <f>HYPERLINK("https://ictv.global/taxonomy/taxondetails?taxnode_id=202319031","ictv.global=202319031")</f>
        <v>ictv.global=202319031</v>
      </c>
    </row>
    <row r="7767" spans="1:21">
      <c r="A7767">
        <v>7766</v>
      </c>
      <c r="B7767" s="30" t="s">
        <v>1226</v>
      </c>
      <c r="D7767" s="30" t="s">
        <v>2024</v>
      </c>
      <c r="F7767" s="30" t="s">
        <v>2032</v>
      </c>
      <c r="H7767" s="30" t="s">
        <v>2033</v>
      </c>
      <c r="J7767" s="30" t="s">
        <v>314</v>
      </c>
      <c r="L7767" s="30" t="s">
        <v>315</v>
      </c>
      <c r="M7767" s="30" t="s">
        <v>725</v>
      </c>
      <c r="N7767" s="30" t="s">
        <v>153</v>
      </c>
      <c r="P7767" s="30" t="s">
        <v>14649</v>
      </c>
      <c r="Q7767" t="s">
        <v>621</v>
      </c>
      <c r="R7767" t="s">
        <v>920</v>
      </c>
      <c r="S7767">
        <v>39</v>
      </c>
      <c r="T7767" s="29" t="str">
        <f t="shared" ref="T7767:T7776" si="333">HYPERLINK("https://ictv.global/ictv/proposals/2023.027P.Betaflexiviridae_rename.zip","2023.027P.Betaflexiviridae_rename.zip")</f>
        <v>2023.027P.Betaflexiviridae_rename.zip</v>
      </c>
      <c r="U7767" s="29" t="str">
        <f>HYPERLINK("https://ictv.global/taxonomy/taxondetails?taxnode_id=202302238","ictv.global=202302238")</f>
        <v>ictv.global=202302238</v>
      </c>
    </row>
    <row r="7768" spans="1:21">
      <c r="A7768">
        <v>7767</v>
      </c>
      <c r="B7768" s="30" t="s">
        <v>1226</v>
      </c>
      <c r="D7768" s="30" t="s">
        <v>2024</v>
      </c>
      <c r="F7768" s="30" t="s">
        <v>2032</v>
      </c>
      <c r="H7768" s="30" t="s">
        <v>2033</v>
      </c>
      <c r="J7768" s="30" t="s">
        <v>314</v>
      </c>
      <c r="L7768" s="30" t="s">
        <v>315</v>
      </c>
      <c r="M7768" s="30" t="s">
        <v>725</v>
      </c>
      <c r="N7768" s="30" t="s">
        <v>153</v>
      </c>
      <c r="P7768" s="30" t="s">
        <v>14650</v>
      </c>
      <c r="Q7768" t="s">
        <v>621</v>
      </c>
      <c r="R7768" t="s">
        <v>920</v>
      </c>
      <c r="S7768">
        <v>39</v>
      </c>
      <c r="T7768" s="29" t="str">
        <f t="shared" si="333"/>
        <v>2023.027P.Betaflexiviridae_rename.zip</v>
      </c>
      <c r="U7768" s="29" t="str">
        <f>HYPERLINK("https://ictv.global/taxonomy/taxondetails?taxnode_id=202302265","ictv.global=202302265")</f>
        <v>ictv.global=202302265</v>
      </c>
    </row>
    <row r="7769" spans="1:21">
      <c r="A7769">
        <v>7768</v>
      </c>
      <c r="B7769" s="30" t="s">
        <v>1226</v>
      </c>
      <c r="D7769" s="30" t="s">
        <v>2024</v>
      </c>
      <c r="F7769" s="30" t="s">
        <v>2032</v>
      </c>
      <c r="H7769" s="30" t="s">
        <v>2033</v>
      </c>
      <c r="J7769" s="30" t="s">
        <v>314</v>
      </c>
      <c r="L7769" s="30" t="s">
        <v>315</v>
      </c>
      <c r="M7769" s="30" t="s">
        <v>725</v>
      </c>
      <c r="N7769" s="30" t="s">
        <v>153</v>
      </c>
      <c r="P7769" s="30" t="s">
        <v>14651</v>
      </c>
      <c r="Q7769" t="s">
        <v>621</v>
      </c>
      <c r="R7769" t="s">
        <v>920</v>
      </c>
      <c r="S7769">
        <v>39</v>
      </c>
      <c r="T7769" s="29" t="str">
        <f t="shared" si="333"/>
        <v>2023.027P.Betaflexiviridae_rename.zip</v>
      </c>
      <c r="U7769" s="29" t="str">
        <f>HYPERLINK("https://ictv.global/taxonomy/taxondetails?taxnode_id=202302273","ictv.global=202302273")</f>
        <v>ictv.global=202302273</v>
      </c>
    </row>
    <row r="7770" spans="1:21">
      <c r="A7770">
        <v>7769</v>
      </c>
      <c r="B7770" s="30" t="s">
        <v>1226</v>
      </c>
      <c r="D7770" s="30" t="s">
        <v>2024</v>
      </c>
      <c r="F7770" s="30" t="s">
        <v>2032</v>
      </c>
      <c r="H7770" s="30" t="s">
        <v>2033</v>
      </c>
      <c r="J7770" s="30" t="s">
        <v>314</v>
      </c>
      <c r="L7770" s="30" t="s">
        <v>315</v>
      </c>
      <c r="M7770" s="30" t="s">
        <v>725</v>
      </c>
      <c r="N7770" s="30" t="s">
        <v>153</v>
      </c>
      <c r="P7770" s="30" t="s">
        <v>14652</v>
      </c>
      <c r="Q7770" t="s">
        <v>621</v>
      </c>
      <c r="R7770" t="s">
        <v>920</v>
      </c>
      <c r="S7770">
        <v>39</v>
      </c>
      <c r="T7770" s="29" t="str">
        <f t="shared" si="333"/>
        <v>2023.027P.Betaflexiviridae_rename.zip</v>
      </c>
      <c r="U7770" s="29" t="str">
        <f>HYPERLINK("https://ictv.global/taxonomy/taxondetails?taxnode_id=202302269","ictv.global=202302269")</f>
        <v>ictv.global=202302269</v>
      </c>
    </row>
    <row r="7771" spans="1:21">
      <c r="A7771">
        <v>7770</v>
      </c>
      <c r="B7771" s="30" t="s">
        <v>1226</v>
      </c>
      <c r="D7771" s="30" t="s">
        <v>2024</v>
      </c>
      <c r="F7771" s="30" t="s">
        <v>2032</v>
      </c>
      <c r="H7771" s="30" t="s">
        <v>2033</v>
      </c>
      <c r="J7771" s="30" t="s">
        <v>314</v>
      </c>
      <c r="L7771" s="30" t="s">
        <v>315</v>
      </c>
      <c r="M7771" s="30" t="s">
        <v>725</v>
      </c>
      <c r="N7771" s="30" t="s">
        <v>153</v>
      </c>
      <c r="P7771" s="30" t="s">
        <v>14653</v>
      </c>
      <c r="Q7771" t="s">
        <v>621</v>
      </c>
      <c r="R7771" t="s">
        <v>920</v>
      </c>
      <c r="S7771">
        <v>39</v>
      </c>
      <c r="T7771" s="29" t="str">
        <f t="shared" si="333"/>
        <v>2023.027P.Betaflexiviridae_rename.zip</v>
      </c>
      <c r="U7771" s="29" t="str">
        <f>HYPERLINK("https://ictv.global/taxonomy/taxondetails?taxnode_id=202313843","ictv.global=202313843")</f>
        <v>ictv.global=202313843</v>
      </c>
    </row>
    <row r="7772" spans="1:21">
      <c r="A7772">
        <v>7771</v>
      </c>
      <c r="B7772" s="30" t="s">
        <v>1226</v>
      </c>
      <c r="D7772" s="30" t="s">
        <v>2024</v>
      </c>
      <c r="F7772" s="30" t="s">
        <v>2032</v>
      </c>
      <c r="H7772" s="30" t="s">
        <v>2033</v>
      </c>
      <c r="J7772" s="30" t="s">
        <v>314</v>
      </c>
      <c r="L7772" s="30" t="s">
        <v>315</v>
      </c>
      <c r="M7772" s="30" t="s">
        <v>725</v>
      </c>
      <c r="N7772" s="30" t="s">
        <v>153</v>
      </c>
      <c r="P7772" s="30" t="s">
        <v>14654</v>
      </c>
      <c r="Q7772" t="s">
        <v>621</v>
      </c>
      <c r="R7772" t="s">
        <v>920</v>
      </c>
      <c r="S7772">
        <v>39</v>
      </c>
      <c r="T7772" s="29" t="str">
        <f t="shared" si="333"/>
        <v>2023.027P.Betaflexiviridae_rename.zip</v>
      </c>
      <c r="U7772" s="29" t="str">
        <f>HYPERLINK("https://ictv.global/taxonomy/taxondetails?taxnode_id=202302247","ictv.global=202302247")</f>
        <v>ictv.global=202302247</v>
      </c>
    </row>
    <row r="7773" spans="1:21">
      <c r="A7773">
        <v>7772</v>
      </c>
      <c r="B7773" s="30" t="s">
        <v>1226</v>
      </c>
      <c r="D7773" s="30" t="s">
        <v>2024</v>
      </c>
      <c r="F7773" s="30" t="s">
        <v>2032</v>
      </c>
      <c r="H7773" s="30" t="s">
        <v>2033</v>
      </c>
      <c r="J7773" s="30" t="s">
        <v>314</v>
      </c>
      <c r="L7773" s="30" t="s">
        <v>315</v>
      </c>
      <c r="M7773" s="30" t="s">
        <v>725</v>
      </c>
      <c r="N7773" s="30" t="s">
        <v>153</v>
      </c>
      <c r="P7773" s="30" t="s">
        <v>14655</v>
      </c>
      <c r="Q7773" t="s">
        <v>621</v>
      </c>
      <c r="R7773" t="s">
        <v>920</v>
      </c>
      <c r="S7773">
        <v>39</v>
      </c>
      <c r="T7773" s="29" t="str">
        <f t="shared" si="333"/>
        <v>2023.027P.Betaflexiviridae_rename.zip</v>
      </c>
      <c r="U7773" s="29" t="str">
        <f>HYPERLINK("https://ictv.global/taxonomy/taxondetails?taxnode_id=202302250","ictv.global=202302250")</f>
        <v>ictv.global=202302250</v>
      </c>
    </row>
    <row r="7774" spans="1:21">
      <c r="A7774">
        <v>7773</v>
      </c>
      <c r="B7774" s="30" t="s">
        <v>1226</v>
      </c>
      <c r="D7774" s="30" t="s">
        <v>2024</v>
      </c>
      <c r="F7774" s="30" t="s">
        <v>2032</v>
      </c>
      <c r="H7774" s="30" t="s">
        <v>2033</v>
      </c>
      <c r="J7774" s="30" t="s">
        <v>314</v>
      </c>
      <c r="L7774" s="30" t="s">
        <v>315</v>
      </c>
      <c r="M7774" s="30" t="s">
        <v>725</v>
      </c>
      <c r="N7774" s="30" t="s">
        <v>153</v>
      </c>
      <c r="P7774" s="30" t="s">
        <v>14656</v>
      </c>
      <c r="Q7774" t="s">
        <v>621</v>
      </c>
      <c r="R7774" t="s">
        <v>920</v>
      </c>
      <c r="S7774">
        <v>39</v>
      </c>
      <c r="T7774" s="29" t="str">
        <f t="shared" si="333"/>
        <v>2023.027P.Betaflexiviridae_rename.zip</v>
      </c>
      <c r="U7774" s="29" t="str">
        <f>HYPERLINK("https://ictv.global/taxonomy/taxondetails?taxnode_id=202302268","ictv.global=202302268")</f>
        <v>ictv.global=202302268</v>
      </c>
    </row>
    <row r="7775" spans="1:21">
      <c r="A7775">
        <v>7774</v>
      </c>
      <c r="B7775" s="30" t="s">
        <v>1226</v>
      </c>
      <c r="D7775" s="30" t="s">
        <v>2024</v>
      </c>
      <c r="F7775" s="30" t="s">
        <v>2032</v>
      </c>
      <c r="H7775" s="30" t="s">
        <v>2033</v>
      </c>
      <c r="J7775" s="30" t="s">
        <v>314</v>
      </c>
      <c r="L7775" s="30" t="s">
        <v>315</v>
      </c>
      <c r="M7775" s="30" t="s">
        <v>725</v>
      </c>
      <c r="N7775" s="30" t="s">
        <v>153</v>
      </c>
      <c r="P7775" s="30" t="s">
        <v>14657</v>
      </c>
      <c r="Q7775" t="s">
        <v>621</v>
      </c>
      <c r="R7775" t="s">
        <v>920</v>
      </c>
      <c r="S7775">
        <v>39</v>
      </c>
      <c r="T7775" s="29" t="str">
        <f t="shared" si="333"/>
        <v>2023.027P.Betaflexiviridae_rename.zip</v>
      </c>
      <c r="U7775" s="29" t="str">
        <f>HYPERLINK("https://ictv.global/taxonomy/taxondetails?taxnode_id=202313849","ictv.global=202313849")</f>
        <v>ictv.global=202313849</v>
      </c>
    </row>
    <row r="7776" spans="1:21">
      <c r="A7776">
        <v>7775</v>
      </c>
      <c r="B7776" s="30" t="s">
        <v>1226</v>
      </c>
      <c r="D7776" s="30" t="s">
        <v>2024</v>
      </c>
      <c r="F7776" s="30" t="s">
        <v>2032</v>
      </c>
      <c r="H7776" s="30" t="s">
        <v>2033</v>
      </c>
      <c r="J7776" s="30" t="s">
        <v>314</v>
      </c>
      <c r="L7776" s="30" t="s">
        <v>315</v>
      </c>
      <c r="M7776" s="30" t="s">
        <v>725</v>
      </c>
      <c r="N7776" s="30" t="s">
        <v>153</v>
      </c>
      <c r="P7776" s="30" t="s">
        <v>14658</v>
      </c>
      <c r="Q7776" t="s">
        <v>621</v>
      </c>
      <c r="R7776" t="s">
        <v>920</v>
      </c>
      <c r="S7776">
        <v>39</v>
      </c>
      <c r="T7776" s="29" t="str">
        <f t="shared" si="333"/>
        <v>2023.027P.Betaflexiviridae_rename.zip</v>
      </c>
      <c r="U7776" s="29" t="str">
        <f>HYPERLINK("https://ictv.global/taxonomy/taxondetails?taxnode_id=202302274","ictv.global=202302274")</f>
        <v>ictv.global=202302274</v>
      </c>
    </row>
    <row r="7777" spans="1:21">
      <c r="A7777">
        <v>7776</v>
      </c>
      <c r="B7777" s="30" t="s">
        <v>1226</v>
      </c>
      <c r="D7777" s="30" t="s">
        <v>2024</v>
      </c>
      <c r="F7777" s="30" t="s">
        <v>2032</v>
      </c>
      <c r="H7777" s="30" t="s">
        <v>2033</v>
      </c>
      <c r="J7777" s="30" t="s">
        <v>314</v>
      </c>
      <c r="L7777" s="30" t="s">
        <v>315</v>
      </c>
      <c r="M7777" s="30" t="s">
        <v>725</v>
      </c>
      <c r="N7777" s="30" t="s">
        <v>153</v>
      </c>
      <c r="P7777" s="30" t="s">
        <v>14659</v>
      </c>
      <c r="Q7777" t="s">
        <v>621</v>
      </c>
      <c r="R7777" t="s">
        <v>917</v>
      </c>
      <c r="S7777">
        <v>39</v>
      </c>
      <c r="T7777" s="29" t="str">
        <f>HYPERLINK("https://ictv.global/ictv/proposals/2023.028P.Betaflexiviridae_13nsp.zip","2023.028P.Betaflexiviridae_13nsp.zip")</f>
        <v>2023.028P.Betaflexiviridae_13nsp.zip</v>
      </c>
      <c r="U7777" s="29" t="str">
        <f>HYPERLINK("https://ictv.global/taxonomy/taxondetails?taxnode_id=202319030","ictv.global=202319030")</f>
        <v>ictv.global=202319030</v>
      </c>
    </row>
    <row r="7778" spans="1:21">
      <c r="A7778">
        <v>7777</v>
      </c>
      <c r="B7778" s="30" t="s">
        <v>1226</v>
      </c>
      <c r="D7778" s="30" t="s">
        <v>2024</v>
      </c>
      <c r="F7778" s="30" t="s">
        <v>2032</v>
      </c>
      <c r="H7778" s="30" t="s">
        <v>2033</v>
      </c>
      <c r="J7778" s="30" t="s">
        <v>314</v>
      </c>
      <c r="L7778" s="30" t="s">
        <v>315</v>
      </c>
      <c r="M7778" s="30" t="s">
        <v>725</v>
      </c>
      <c r="N7778" s="30" t="s">
        <v>153</v>
      </c>
      <c r="P7778" s="30" t="s">
        <v>14660</v>
      </c>
      <c r="Q7778" t="s">
        <v>621</v>
      </c>
      <c r="R7778" t="s">
        <v>920</v>
      </c>
      <c r="S7778">
        <v>39</v>
      </c>
      <c r="T7778" s="29" t="str">
        <f>HYPERLINK("https://ictv.global/ictv/proposals/2023.027P.Betaflexiviridae_rename.zip","2023.027P.Betaflexiviridae_rename.zip")</f>
        <v>2023.027P.Betaflexiviridae_rename.zip</v>
      </c>
      <c r="U7778" s="29" t="str">
        <f>HYPERLINK("https://ictv.global/taxonomy/taxondetails?taxnode_id=202302275","ictv.global=202302275")</f>
        <v>ictv.global=202302275</v>
      </c>
    </row>
    <row r="7779" spans="1:21">
      <c r="A7779">
        <v>7778</v>
      </c>
      <c r="B7779" s="30" t="s">
        <v>1226</v>
      </c>
      <c r="D7779" s="30" t="s">
        <v>2024</v>
      </c>
      <c r="F7779" s="30" t="s">
        <v>2032</v>
      </c>
      <c r="H7779" s="30" t="s">
        <v>2033</v>
      </c>
      <c r="J7779" s="30" t="s">
        <v>314</v>
      </c>
      <c r="L7779" s="30" t="s">
        <v>315</v>
      </c>
      <c r="M7779" s="30" t="s">
        <v>725</v>
      </c>
      <c r="N7779" s="30" t="s">
        <v>153</v>
      </c>
      <c r="P7779" s="30" t="s">
        <v>14661</v>
      </c>
      <c r="Q7779" t="s">
        <v>621</v>
      </c>
      <c r="R7779" t="s">
        <v>917</v>
      </c>
      <c r="S7779">
        <v>39</v>
      </c>
      <c r="T7779" s="29" t="str">
        <f>HYPERLINK("https://ictv.global/ictv/proposals/2023.028P.Betaflexiviridae_13nsp.zip","2023.028P.Betaflexiviridae_13nsp.zip")</f>
        <v>2023.028P.Betaflexiviridae_13nsp.zip</v>
      </c>
      <c r="U7779" s="29" t="str">
        <f>HYPERLINK("https://ictv.global/taxonomy/taxondetails?taxnode_id=202319035","ictv.global=202319035")</f>
        <v>ictv.global=202319035</v>
      </c>
    </row>
    <row r="7780" spans="1:21">
      <c r="A7780">
        <v>7779</v>
      </c>
      <c r="B7780" s="30" t="s">
        <v>1226</v>
      </c>
      <c r="D7780" s="30" t="s">
        <v>2024</v>
      </c>
      <c r="F7780" s="30" t="s">
        <v>2032</v>
      </c>
      <c r="H7780" s="30" t="s">
        <v>2033</v>
      </c>
      <c r="J7780" s="30" t="s">
        <v>314</v>
      </c>
      <c r="L7780" s="30" t="s">
        <v>315</v>
      </c>
      <c r="M7780" s="30" t="s">
        <v>725</v>
      </c>
      <c r="N7780" s="30" t="s">
        <v>153</v>
      </c>
      <c r="P7780" s="30" t="s">
        <v>14662</v>
      </c>
      <c r="Q7780" t="s">
        <v>621</v>
      </c>
      <c r="R7780" t="s">
        <v>920</v>
      </c>
      <c r="S7780">
        <v>39</v>
      </c>
      <c r="T7780" s="29" t="str">
        <f>HYPERLINK("https://ictv.global/ictv/proposals/2023.027P.Betaflexiviridae_rename.zip","2023.027P.Betaflexiviridae_rename.zip")</f>
        <v>2023.027P.Betaflexiviridae_rename.zip</v>
      </c>
      <c r="U7780" s="29" t="str">
        <f>HYPERLINK("https://ictv.global/taxonomy/taxondetails?taxnode_id=202315081","ictv.global=202315081")</f>
        <v>ictv.global=202315081</v>
      </c>
    </row>
    <row r="7781" spans="1:21">
      <c r="A7781">
        <v>7780</v>
      </c>
      <c r="B7781" s="30" t="s">
        <v>1226</v>
      </c>
      <c r="D7781" s="30" t="s">
        <v>2024</v>
      </c>
      <c r="F7781" s="30" t="s">
        <v>2032</v>
      </c>
      <c r="H7781" s="30" t="s">
        <v>2033</v>
      </c>
      <c r="J7781" s="30" t="s">
        <v>314</v>
      </c>
      <c r="L7781" s="30" t="s">
        <v>315</v>
      </c>
      <c r="M7781" s="30" t="s">
        <v>725</v>
      </c>
      <c r="N7781" s="30" t="s">
        <v>153</v>
      </c>
      <c r="P7781" s="30" t="s">
        <v>14663</v>
      </c>
      <c r="Q7781" t="s">
        <v>621</v>
      </c>
      <c r="R7781" t="s">
        <v>920</v>
      </c>
      <c r="S7781">
        <v>39</v>
      </c>
      <c r="T7781" s="29" t="str">
        <f>HYPERLINK("https://ictv.global/ictv/proposals/2023.027P.Betaflexiviridae_rename.zip","2023.027P.Betaflexiviridae_rename.zip")</f>
        <v>2023.027P.Betaflexiviridae_rename.zip</v>
      </c>
      <c r="U7781" s="29" t="str">
        <f>HYPERLINK("https://ictv.global/taxonomy/taxondetails?taxnode_id=202313848","ictv.global=202313848")</f>
        <v>ictv.global=202313848</v>
      </c>
    </row>
    <row r="7782" spans="1:21">
      <c r="A7782">
        <v>7781</v>
      </c>
      <c r="B7782" s="30" t="s">
        <v>1226</v>
      </c>
      <c r="D7782" s="30" t="s">
        <v>2024</v>
      </c>
      <c r="F7782" s="30" t="s">
        <v>2032</v>
      </c>
      <c r="H7782" s="30" t="s">
        <v>2033</v>
      </c>
      <c r="J7782" s="30" t="s">
        <v>314</v>
      </c>
      <c r="L7782" s="30" t="s">
        <v>315</v>
      </c>
      <c r="M7782" s="30" t="s">
        <v>725</v>
      </c>
      <c r="N7782" s="30" t="s">
        <v>153</v>
      </c>
      <c r="P7782" s="30" t="s">
        <v>14664</v>
      </c>
      <c r="Q7782" t="s">
        <v>621</v>
      </c>
      <c r="R7782" t="s">
        <v>917</v>
      </c>
      <c r="S7782">
        <v>39</v>
      </c>
      <c r="T7782" s="29" t="str">
        <f>HYPERLINK("https://ictv.global/ictv/proposals/2023.028P.Betaflexiviridae_13nsp.zip","2023.028P.Betaflexiviridae_13nsp.zip")</f>
        <v>2023.028P.Betaflexiviridae_13nsp.zip</v>
      </c>
      <c r="U7782" s="29" t="str">
        <f>HYPERLINK("https://ictv.global/taxonomy/taxondetails?taxnode_id=202319033","ictv.global=202319033")</f>
        <v>ictv.global=202319033</v>
      </c>
    </row>
    <row r="7783" spans="1:21">
      <c r="A7783">
        <v>7782</v>
      </c>
      <c r="B7783" s="30" t="s">
        <v>1226</v>
      </c>
      <c r="D7783" s="30" t="s">
        <v>2024</v>
      </c>
      <c r="F7783" s="30" t="s">
        <v>2032</v>
      </c>
      <c r="H7783" s="30" t="s">
        <v>2033</v>
      </c>
      <c r="J7783" s="30" t="s">
        <v>314</v>
      </c>
      <c r="L7783" s="30" t="s">
        <v>315</v>
      </c>
      <c r="M7783" s="30" t="s">
        <v>725</v>
      </c>
      <c r="N7783" s="30" t="s">
        <v>153</v>
      </c>
      <c r="P7783" s="30" t="s">
        <v>14665</v>
      </c>
      <c r="Q7783" t="s">
        <v>621</v>
      </c>
      <c r="R7783" t="s">
        <v>917</v>
      </c>
      <c r="S7783">
        <v>39</v>
      </c>
      <c r="T7783" s="29" t="str">
        <f>HYPERLINK("https://ictv.global/ictv/proposals/2023.028P.Betaflexiviridae_13nsp.zip","2023.028P.Betaflexiviridae_13nsp.zip")</f>
        <v>2023.028P.Betaflexiviridae_13nsp.zip</v>
      </c>
      <c r="U7783" s="29" t="str">
        <f>HYPERLINK("https://ictv.global/taxonomy/taxondetails?taxnode_id=202319036","ictv.global=202319036")</f>
        <v>ictv.global=202319036</v>
      </c>
    </row>
    <row r="7784" spans="1:21">
      <c r="A7784">
        <v>7783</v>
      </c>
      <c r="B7784" s="30" t="s">
        <v>1226</v>
      </c>
      <c r="D7784" s="30" t="s">
        <v>2024</v>
      </c>
      <c r="F7784" s="30" t="s">
        <v>2032</v>
      </c>
      <c r="H7784" s="30" t="s">
        <v>2033</v>
      </c>
      <c r="J7784" s="30" t="s">
        <v>314</v>
      </c>
      <c r="L7784" s="30" t="s">
        <v>315</v>
      </c>
      <c r="M7784" s="30" t="s">
        <v>725</v>
      </c>
      <c r="N7784" s="30" t="s">
        <v>153</v>
      </c>
      <c r="P7784" s="30" t="s">
        <v>14666</v>
      </c>
      <c r="Q7784" t="s">
        <v>621</v>
      </c>
      <c r="R7784" t="s">
        <v>920</v>
      </c>
      <c r="S7784">
        <v>39</v>
      </c>
      <c r="T7784" s="29" t="str">
        <f t="shared" ref="T7784:T7790" si="334">HYPERLINK("https://ictv.global/ictv/proposals/2023.027P.Betaflexiviridae_rename.zip","2023.027P.Betaflexiviridae_rename.zip")</f>
        <v>2023.027P.Betaflexiviridae_rename.zip</v>
      </c>
      <c r="U7784" s="29" t="str">
        <f>HYPERLINK("https://ictv.global/taxonomy/taxondetails?taxnode_id=202302237","ictv.global=202302237")</f>
        <v>ictv.global=202302237</v>
      </c>
    </row>
    <row r="7785" spans="1:21">
      <c r="A7785">
        <v>7784</v>
      </c>
      <c r="B7785" s="30" t="s">
        <v>1226</v>
      </c>
      <c r="D7785" s="30" t="s">
        <v>2024</v>
      </c>
      <c r="F7785" s="30" t="s">
        <v>2032</v>
      </c>
      <c r="H7785" s="30" t="s">
        <v>2033</v>
      </c>
      <c r="J7785" s="30" t="s">
        <v>314</v>
      </c>
      <c r="L7785" s="30" t="s">
        <v>315</v>
      </c>
      <c r="M7785" s="30" t="s">
        <v>725</v>
      </c>
      <c r="N7785" s="30" t="s">
        <v>153</v>
      </c>
      <c r="P7785" s="30" t="s">
        <v>14667</v>
      </c>
      <c r="Q7785" t="s">
        <v>621</v>
      </c>
      <c r="R7785" t="s">
        <v>920</v>
      </c>
      <c r="S7785">
        <v>39</v>
      </c>
      <c r="T7785" s="29" t="str">
        <f t="shared" si="334"/>
        <v>2023.027P.Betaflexiviridae_rename.zip</v>
      </c>
      <c r="U7785" s="29" t="str">
        <f>HYPERLINK("https://ictv.global/taxonomy/taxondetails?taxnode_id=202302245","ictv.global=202302245")</f>
        <v>ictv.global=202302245</v>
      </c>
    </row>
    <row r="7786" spans="1:21">
      <c r="A7786">
        <v>7785</v>
      </c>
      <c r="B7786" s="30" t="s">
        <v>1226</v>
      </c>
      <c r="D7786" s="30" t="s">
        <v>2024</v>
      </c>
      <c r="F7786" s="30" t="s">
        <v>2032</v>
      </c>
      <c r="H7786" s="30" t="s">
        <v>2033</v>
      </c>
      <c r="J7786" s="30" t="s">
        <v>314</v>
      </c>
      <c r="L7786" s="30" t="s">
        <v>315</v>
      </c>
      <c r="M7786" s="30" t="s">
        <v>725</v>
      </c>
      <c r="N7786" s="30" t="s">
        <v>119</v>
      </c>
      <c r="P7786" s="30" t="s">
        <v>14668</v>
      </c>
      <c r="Q7786" t="s">
        <v>621</v>
      </c>
      <c r="R7786" t="s">
        <v>920</v>
      </c>
      <c r="S7786">
        <v>39</v>
      </c>
      <c r="T7786" s="29" t="str">
        <f t="shared" si="334"/>
        <v>2023.027P.Betaflexiviridae_rename.zip</v>
      </c>
      <c r="U7786" s="29" t="str">
        <f>HYPERLINK("https://ictv.global/taxonomy/taxondetails?taxnode_id=202315086","ictv.global=202315086")</f>
        <v>ictv.global=202315086</v>
      </c>
    </row>
    <row r="7787" spans="1:21">
      <c r="A7787">
        <v>7786</v>
      </c>
      <c r="B7787" s="30" t="s">
        <v>1226</v>
      </c>
      <c r="D7787" s="30" t="s">
        <v>2024</v>
      </c>
      <c r="F7787" s="30" t="s">
        <v>2032</v>
      </c>
      <c r="H7787" s="30" t="s">
        <v>2033</v>
      </c>
      <c r="J7787" s="30" t="s">
        <v>314</v>
      </c>
      <c r="L7787" s="30" t="s">
        <v>315</v>
      </c>
      <c r="M7787" s="30" t="s">
        <v>725</v>
      </c>
      <c r="N7787" s="30" t="s">
        <v>119</v>
      </c>
      <c r="P7787" s="30" t="s">
        <v>14669</v>
      </c>
      <c r="Q7787" t="s">
        <v>621</v>
      </c>
      <c r="R7787" t="s">
        <v>920</v>
      </c>
      <c r="S7787">
        <v>39</v>
      </c>
      <c r="T7787" s="29" t="str">
        <f t="shared" si="334"/>
        <v>2023.027P.Betaflexiviridae_rename.zip</v>
      </c>
      <c r="U7787" s="29" t="str">
        <f>HYPERLINK("https://ictv.global/taxonomy/taxondetails?taxnode_id=202313850","ictv.global=202313850")</f>
        <v>ictv.global=202313850</v>
      </c>
    </row>
    <row r="7788" spans="1:21">
      <c r="A7788">
        <v>7787</v>
      </c>
      <c r="B7788" s="30" t="s">
        <v>1226</v>
      </c>
      <c r="D7788" s="30" t="s">
        <v>2024</v>
      </c>
      <c r="F7788" s="30" t="s">
        <v>2032</v>
      </c>
      <c r="H7788" s="30" t="s">
        <v>2033</v>
      </c>
      <c r="J7788" s="30" t="s">
        <v>314</v>
      </c>
      <c r="L7788" s="30" t="s">
        <v>315</v>
      </c>
      <c r="M7788" s="30" t="s">
        <v>725</v>
      </c>
      <c r="N7788" s="30" t="s">
        <v>119</v>
      </c>
      <c r="P7788" s="30" t="s">
        <v>14670</v>
      </c>
      <c r="Q7788" t="s">
        <v>621</v>
      </c>
      <c r="R7788" t="s">
        <v>920</v>
      </c>
      <c r="S7788">
        <v>39</v>
      </c>
      <c r="T7788" s="29" t="str">
        <f t="shared" si="334"/>
        <v>2023.027P.Betaflexiviridae_rename.zip</v>
      </c>
      <c r="U7788" s="29" t="str">
        <f>HYPERLINK("https://ictv.global/taxonomy/taxondetails?taxnode_id=202305643","ictv.global=202305643")</f>
        <v>ictv.global=202305643</v>
      </c>
    </row>
    <row r="7789" spans="1:21">
      <c r="A7789">
        <v>7788</v>
      </c>
      <c r="B7789" s="30" t="s">
        <v>1226</v>
      </c>
      <c r="D7789" s="30" t="s">
        <v>2024</v>
      </c>
      <c r="F7789" s="30" t="s">
        <v>2032</v>
      </c>
      <c r="H7789" s="30" t="s">
        <v>2033</v>
      </c>
      <c r="J7789" s="30" t="s">
        <v>314</v>
      </c>
      <c r="L7789" s="30" t="s">
        <v>315</v>
      </c>
      <c r="M7789" s="30" t="s">
        <v>725</v>
      </c>
      <c r="N7789" s="30" t="s">
        <v>119</v>
      </c>
      <c r="P7789" s="30" t="s">
        <v>14671</v>
      </c>
      <c r="Q7789" t="s">
        <v>621</v>
      </c>
      <c r="R7789" t="s">
        <v>920</v>
      </c>
      <c r="S7789">
        <v>39</v>
      </c>
      <c r="T7789" s="29" t="str">
        <f t="shared" si="334"/>
        <v>2023.027P.Betaflexiviridae_rename.zip</v>
      </c>
      <c r="U7789" s="29" t="str">
        <f>HYPERLINK("https://ictv.global/taxonomy/taxondetails?taxnode_id=202302284","ictv.global=202302284")</f>
        <v>ictv.global=202302284</v>
      </c>
    </row>
    <row r="7790" spans="1:21">
      <c r="A7790">
        <v>7789</v>
      </c>
      <c r="B7790" s="30" t="s">
        <v>1226</v>
      </c>
      <c r="D7790" s="30" t="s">
        <v>2024</v>
      </c>
      <c r="F7790" s="30" t="s">
        <v>2032</v>
      </c>
      <c r="H7790" s="30" t="s">
        <v>2033</v>
      </c>
      <c r="J7790" s="30" t="s">
        <v>314</v>
      </c>
      <c r="L7790" s="30" t="s">
        <v>315</v>
      </c>
      <c r="M7790" s="30" t="s">
        <v>725</v>
      </c>
      <c r="N7790" s="30" t="s">
        <v>119</v>
      </c>
      <c r="P7790" s="30" t="s">
        <v>14672</v>
      </c>
      <c r="Q7790" t="s">
        <v>621</v>
      </c>
      <c r="R7790" t="s">
        <v>920</v>
      </c>
      <c r="S7790">
        <v>39</v>
      </c>
      <c r="T7790" s="29" t="str">
        <f t="shared" si="334"/>
        <v>2023.027P.Betaflexiviridae_rename.zip</v>
      </c>
      <c r="U7790" s="29" t="str">
        <f>HYPERLINK("https://ictv.global/taxonomy/taxondetails?taxnode_id=202302283","ictv.global=202302283")</f>
        <v>ictv.global=202302283</v>
      </c>
    </row>
    <row r="7791" spans="1:21">
      <c r="A7791">
        <v>7790</v>
      </c>
      <c r="B7791" s="30" t="s">
        <v>1226</v>
      </c>
      <c r="D7791" s="30" t="s">
        <v>2024</v>
      </c>
      <c r="F7791" s="30" t="s">
        <v>2032</v>
      </c>
      <c r="H7791" s="30" t="s">
        <v>2033</v>
      </c>
      <c r="J7791" s="30" t="s">
        <v>314</v>
      </c>
      <c r="L7791" s="30" t="s">
        <v>315</v>
      </c>
      <c r="M7791" s="30" t="s">
        <v>725</v>
      </c>
      <c r="N7791" s="30" t="s">
        <v>119</v>
      </c>
      <c r="P7791" s="30" t="s">
        <v>14673</v>
      </c>
      <c r="Q7791" t="s">
        <v>621</v>
      </c>
      <c r="R7791" t="s">
        <v>917</v>
      </c>
      <c r="S7791">
        <v>39</v>
      </c>
      <c r="T7791" s="29" t="str">
        <f>HYPERLINK("https://ictv.global/ictv/proposals/2023.028P.Betaflexiviridae_13nsp.zip","2023.028P.Betaflexiviridae_13nsp.zip")</f>
        <v>2023.028P.Betaflexiviridae_13nsp.zip</v>
      </c>
      <c r="U7791" s="29" t="str">
        <f>HYPERLINK("https://ictv.global/taxonomy/taxondetails?taxnode_id=202319037","ictv.global=202319037")</f>
        <v>ictv.global=202319037</v>
      </c>
    </row>
    <row r="7792" spans="1:21">
      <c r="A7792">
        <v>7791</v>
      </c>
      <c r="B7792" s="30" t="s">
        <v>1226</v>
      </c>
      <c r="D7792" s="30" t="s">
        <v>2024</v>
      </c>
      <c r="F7792" s="30" t="s">
        <v>2032</v>
      </c>
      <c r="H7792" s="30" t="s">
        <v>2033</v>
      </c>
      <c r="J7792" s="30" t="s">
        <v>314</v>
      </c>
      <c r="L7792" s="30" t="s">
        <v>315</v>
      </c>
      <c r="M7792" s="30" t="s">
        <v>725</v>
      </c>
      <c r="N7792" s="30" t="s">
        <v>119</v>
      </c>
      <c r="P7792" s="30" t="s">
        <v>14674</v>
      </c>
      <c r="Q7792" t="s">
        <v>621</v>
      </c>
      <c r="R7792" t="s">
        <v>920</v>
      </c>
      <c r="S7792">
        <v>39</v>
      </c>
      <c r="T7792" s="29" t="str">
        <f t="shared" ref="T7792:T7804" si="335">HYPERLINK("https://ictv.global/ictv/proposals/2023.027P.Betaflexiviridae_rename.zip","2023.027P.Betaflexiviridae_rename.zip")</f>
        <v>2023.027P.Betaflexiviridae_rename.zip</v>
      </c>
      <c r="U7792" s="29" t="str">
        <f>HYPERLINK("https://ictv.global/taxonomy/taxondetails?taxnode_id=202302287","ictv.global=202302287")</f>
        <v>ictv.global=202302287</v>
      </c>
    </row>
    <row r="7793" spans="1:21">
      <c r="A7793">
        <v>7792</v>
      </c>
      <c r="B7793" s="30" t="s">
        <v>1226</v>
      </c>
      <c r="D7793" s="30" t="s">
        <v>2024</v>
      </c>
      <c r="F7793" s="30" t="s">
        <v>2032</v>
      </c>
      <c r="H7793" s="30" t="s">
        <v>2033</v>
      </c>
      <c r="J7793" s="30" t="s">
        <v>314</v>
      </c>
      <c r="L7793" s="30" t="s">
        <v>315</v>
      </c>
      <c r="M7793" s="30" t="s">
        <v>725</v>
      </c>
      <c r="N7793" s="30" t="s">
        <v>119</v>
      </c>
      <c r="P7793" s="30" t="s">
        <v>14675</v>
      </c>
      <c r="Q7793" t="s">
        <v>621</v>
      </c>
      <c r="R7793" t="s">
        <v>920</v>
      </c>
      <c r="S7793">
        <v>39</v>
      </c>
      <c r="T7793" s="29" t="str">
        <f t="shared" si="335"/>
        <v>2023.027P.Betaflexiviridae_rename.zip</v>
      </c>
      <c r="U7793" s="29" t="str">
        <f>HYPERLINK("https://ictv.global/taxonomy/taxondetails?taxnode_id=202302286","ictv.global=202302286")</f>
        <v>ictv.global=202302286</v>
      </c>
    </row>
    <row r="7794" spans="1:21">
      <c r="A7794">
        <v>7793</v>
      </c>
      <c r="B7794" s="30" t="s">
        <v>1226</v>
      </c>
      <c r="D7794" s="30" t="s">
        <v>2024</v>
      </c>
      <c r="F7794" s="30" t="s">
        <v>2032</v>
      </c>
      <c r="H7794" s="30" t="s">
        <v>2033</v>
      </c>
      <c r="J7794" s="30" t="s">
        <v>314</v>
      </c>
      <c r="L7794" s="30" t="s">
        <v>315</v>
      </c>
      <c r="M7794" s="30" t="s">
        <v>725</v>
      </c>
      <c r="N7794" s="30" t="s">
        <v>119</v>
      </c>
      <c r="P7794" s="30" t="s">
        <v>14676</v>
      </c>
      <c r="Q7794" t="s">
        <v>621</v>
      </c>
      <c r="R7794" t="s">
        <v>920</v>
      </c>
      <c r="S7794">
        <v>39</v>
      </c>
      <c r="T7794" s="29" t="str">
        <f t="shared" si="335"/>
        <v>2023.027P.Betaflexiviridae_rename.zip</v>
      </c>
      <c r="U7794" s="29" t="str">
        <f>HYPERLINK("https://ictv.global/taxonomy/taxondetails?taxnode_id=202306339","ictv.global=202306339")</f>
        <v>ictv.global=202306339</v>
      </c>
    </row>
    <row r="7795" spans="1:21">
      <c r="A7795">
        <v>7794</v>
      </c>
      <c r="B7795" s="30" t="s">
        <v>1226</v>
      </c>
      <c r="D7795" s="30" t="s">
        <v>2024</v>
      </c>
      <c r="F7795" s="30" t="s">
        <v>2032</v>
      </c>
      <c r="H7795" s="30" t="s">
        <v>2033</v>
      </c>
      <c r="J7795" s="30" t="s">
        <v>314</v>
      </c>
      <c r="L7795" s="30" t="s">
        <v>315</v>
      </c>
      <c r="M7795" s="30" t="s">
        <v>725</v>
      </c>
      <c r="N7795" s="30" t="s">
        <v>119</v>
      </c>
      <c r="P7795" s="30" t="s">
        <v>14677</v>
      </c>
      <c r="Q7795" t="s">
        <v>621</v>
      </c>
      <c r="R7795" t="s">
        <v>920</v>
      </c>
      <c r="S7795">
        <v>39</v>
      </c>
      <c r="T7795" s="29" t="str">
        <f t="shared" si="335"/>
        <v>2023.027P.Betaflexiviridae_rename.zip</v>
      </c>
      <c r="U7795" s="29" t="str">
        <f>HYPERLINK("https://ictv.global/taxonomy/taxondetails?taxnode_id=202315085","ictv.global=202315085")</f>
        <v>ictv.global=202315085</v>
      </c>
    </row>
    <row r="7796" spans="1:21">
      <c r="A7796">
        <v>7795</v>
      </c>
      <c r="B7796" s="30" t="s">
        <v>1226</v>
      </c>
      <c r="D7796" s="30" t="s">
        <v>2024</v>
      </c>
      <c r="F7796" s="30" t="s">
        <v>2032</v>
      </c>
      <c r="H7796" s="30" t="s">
        <v>2033</v>
      </c>
      <c r="J7796" s="30" t="s">
        <v>314</v>
      </c>
      <c r="L7796" s="30" t="s">
        <v>315</v>
      </c>
      <c r="M7796" s="30" t="s">
        <v>725</v>
      </c>
      <c r="N7796" s="30" t="s">
        <v>119</v>
      </c>
      <c r="P7796" s="30" t="s">
        <v>14678</v>
      </c>
      <c r="Q7796" t="s">
        <v>621</v>
      </c>
      <c r="R7796" t="s">
        <v>920</v>
      </c>
      <c r="S7796">
        <v>39</v>
      </c>
      <c r="T7796" s="29" t="str">
        <f t="shared" si="335"/>
        <v>2023.027P.Betaflexiviridae_rename.zip</v>
      </c>
      <c r="U7796" s="29" t="str">
        <f>HYPERLINK("https://ictv.global/taxonomy/taxondetails?taxnode_id=202302285","ictv.global=202302285")</f>
        <v>ictv.global=202302285</v>
      </c>
    </row>
    <row r="7797" spans="1:21">
      <c r="A7797">
        <v>7796</v>
      </c>
      <c r="B7797" s="30" t="s">
        <v>1226</v>
      </c>
      <c r="D7797" s="30" t="s">
        <v>2024</v>
      </c>
      <c r="F7797" s="30" t="s">
        <v>2032</v>
      </c>
      <c r="H7797" s="30" t="s">
        <v>2033</v>
      </c>
      <c r="J7797" s="30" t="s">
        <v>314</v>
      </c>
      <c r="L7797" s="30" t="s">
        <v>315</v>
      </c>
      <c r="M7797" s="30" t="s">
        <v>725</v>
      </c>
      <c r="N7797" s="30" t="s">
        <v>119</v>
      </c>
      <c r="P7797" s="30" t="s">
        <v>14679</v>
      </c>
      <c r="Q7797" t="s">
        <v>621</v>
      </c>
      <c r="R7797" t="s">
        <v>920</v>
      </c>
      <c r="S7797">
        <v>39</v>
      </c>
      <c r="T7797" s="29" t="str">
        <f t="shared" si="335"/>
        <v>2023.027P.Betaflexiviridae_rename.zip</v>
      </c>
      <c r="U7797" s="29" t="str">
        <f>HYPERLINK("https://ictv.global/taxonomy/taxondetails?taxnode_id=202302288","ictv.global=202302288")</f>
        <v>ictv.global=202302288</v>
      </c>
    </row>
    <row r="7798" spans="1:21">
      <c r="A7798">
        <v>7797</v>
      </c>
      <c r="B7798" s="30" t="s">
        <v>1226</v>
      </c>
      <c r="D7798" s="30" t="s">
        <v>2024</v>
      </c>
      <c r="F7798" s="30" t="s">
        <v>2032</v>
      </c>
      <c r="H7798" s="30" t="s">
        <v>2033</v>
      </c>
      <c r="J7798" s="30" t="s">
        <v>314</v>
      </c>
      <c r="L7798" s="30" t="s">
        <v>315</v>
      </c>
      <c r="M7798" s="30" t="s">
        <v>725</v>
      </c>
      <c r="N7798" s="30" t="s">
        <v>119</v>
      </c>
      <c r="P7798" s="30" t="s">
        <v>14680</v>
      </c>
      <c r="Q7798" t="s">
        <v>621</v>
      </c>
      <c r="R7798" t="s">
        <v>920</v>
      </c>
      <c r="S7798">
        <v>39</v>
      </c>
      <c r="T7798" s="29" t="str">
        <f t="shared" si="335"/>
        <v>2023.027P.Betaflexiviridae_rename.zip</v>
      </c>
      <c r="U7798" s="29" t="str">
        <f>HYPERLINK("https://ictv.global/taxonomy/taxondetails?taxnode_id=202313851","ictv.global=202313851")</f>
        <v>ictv.global=202313851</v>
      </c>
    </row>
    <row r="7799" spans="1:21">
      <c r="A7799">
        <v>7798</v>
      </c>
      <c r="B7799" s="30" t="s">
        <v>1226</v>
      </c>
      <c r="D7799" s="30" t="s">
        <v>2024</v>
      </c>
      <c r="F7799" s="30" t="s">
        <v>2032</v>
      </c>
      <c r="H7799" s="30" t="s">
        <v>2033</v>
      </c>
      <c r="J7799" s="30" t="s">
        <v>314</v>
      </c>
      <c r="L7799" s="30" t="s">
        <v>315</v>
      </c>
      <c r="M7799" s="30" t="s">
        <v>725</v>
      </c>
      <c r="N7799" s="30" t="s">
        <v>726</v>
      </c>
      <c r="P7799" s="30" t="s">
        <v>14681</v>
      </c>
      <c r="Q7799" t="s">
        <v>621</v>
      </c>
      <c r="R7799" t="s">
        <v>920</v>
      </c>
      <c r="S7799">
        <v>39</v>
      </c>
      <c r="T7799" s="29" t="str">
        <f t="shared" si="335"/>
        <v>2023.027P.Betaflexiviridae_rename.zip</v>
      </c>
      <c r="U7799" s="29" t="str">
        <f>HYPERLINK("https://ictv.global/taxonomy/taxondetails?taxnode_id=202302290","ictv.global=202302290")</f>
        <v>ictv.global=202302290</v>
      </c>
    </row>
    <row r="7800" spans="1:21">
      <c r="A7800">
        <v>7799</v>
      </c>
      <c r="B7800" s="30" t="s">
        <v>1226</v>
      </c>
      <c r="D7800" s="30" t="s">
        <v>2024</v>
      </c>
      <c r="F7800" s="30" t="s">
        <v>2032</v>
      </c>
      <c r="H7800" s="30" t="s">
        <v>2033</v>
      </c>
      <c r="J7800" s="30" t="s">
        <v>314</v>
      </c>
      <c r="L7800" s="30" t="s">
        <v>315</v>
      </c>
      <c r="M7800" s="30" t="s">
        <v>725</v>
      </c>
      <c r="N7800" s="30" t="s">
        <v>726</v>
      </c>
      <c r="P7800" s="30" t="s">
        <v>14682</v>
      </c>
      <c r="Q7800" t="s">
        <v>621</v>
      </c>
      <c r="R7800" t="s">
        <v>920</v>
      </c>
      <c r="S7800">
        <v>39</v>
      </c>
      <c r="T7800" s="29" t="str">
        <f t="shared" si="335"/>
        <v>2023.027P.Betaflexiviridae_rename.zip</v>
      </c>
      <c r="U7800" s="29" t="str">
        <f>HYPERLINK("https://ictv.global/taxonomy/taxondetails?taxnode_id=202302292","ictv.global=202302292")</f>
        <v>ictv.global=202302292</v>
      </c>
    </row>
    <row r="7801" spans="1:21">
      <c r="A7801">
        <v>7800</v>
      </c>
      <c r="B7801" s="30" t="s">
        <v>1226</v>
      </c>
      <c r="D7801" s="30" t="s">
        <v>2024</v>
      </c>
      <c r="F7801" s="30" t="s">
        <v>2032</v>
      </c>
      <c r="H7801" s="30" t="s">
        <v>2033</v>
      </c>
      <c r="J7801" s="30" t="s">
        <v>314</v>
      </c>
      <c r="L7801" s="30" t="s">
        <v>315</v>
      </c>
      <c r="M7801" s="30" t="s">
        <v>725</v>
      </c>
      <c r="N7801" s="30" t="s">
        <v>726</v>
      </c>
      <c r="P7801" s="30" t="s">
        <v>14683</v>
      </c>
      <c r="Q7801" t="s">
        <v>621</v>
      </c>
      <c r="R7801" t="s">
        <v>920</v>
      </c>
      <c r="S7801">
        <v>39</v>
      </c>
      <c r="T7801" s="29" t="str">
        <f t="shared" si="335"/>
        <v>2023.027P.Betaflexiviridae_rename.zip</v>
      </c>
      <c r="U7801" s="29" t="str">
        <f>HYPERLINK("https://ictv.global/taxonomy/taxondetails?taxnode_id=202302293","ictv.global=202302293")</f>
        <v>ictv.global=202302293</v>
      </c>
    </row>
    <row r="7802" spans="1:21">
      <c r="A7802">
        <v>7801</v>
      </c>
      <c r="B7802" s="30" t="s">
        <v>1226</v>
      </c>
      <c r="D7802" s="30" t="s">
        <v>2024</v>
      </c>
      <c r="F7802" s="30" t="s">
        <v>2032</v>
      </c>
      <c r="H7802" s="30" t="s">
        <v>2033</v>
      </c>
      <c r="J7802" s="30" t="s">
        <v>314</v>
      </c>
      <c r="L7802" s="30" t="s">
        <v>315</v>
      </c>
      <c r="M7802" s="30" t="s">
        <v>725</v>
      </c>
      <c r="N7802" s="30" t="s">
        <v>726</v>
      </c>
      <c r="P7802" s="30" t="s">
        <v>14684</v>
      </c>
      <c r="Q7802" t="s">
        <v>621</v>
      </c>
      <c r="R7802" t="s">
        <v>920</v>
      </c>
      <c r="S7802">
        <v>39</v>
      </c>
      <c r="T7802" s="29" t="str">
        <f t="shared" si="335"/>
        <v>2023.027P.Betaflexiviridae_rename.zip</v>
      </c>
      <c r="U7802" s="29" t="str">
        <f>HYPERLINK("https://ictv.global/taxonomy/taxondetails?taxnode_id=202302294","ictv.global=202302294")</f>
        <v>ictv.global=202302294</v>
      </c>
    </row>
    <row r="7803" spans="1:21">
      <c r="A7803">
        <v>7802</v>
      </c>
      <c r="B7803" s="30" t="s">
        <v>1226</v>
      </c>
      <c r="D7803" s="30" t="s">
        <v>2024</v>
      </c>
      <c r="F7803" s="30" t="s">
        <v>2032</v>
      </c>
      <c r="H7803" s="30" t="s">
        <v>2033</v>
      </c>
      <c r="J7803" s="30" t="s">
        <v>314</v>
      </c>
      <c r="L7803" s="30" t="s">
        <v>315</v>
      </c>
      <c r="M7803" s="30" t="s">
        <v>725</v>
      </c>
      <c r="N7803" s="30" t="s">
        <v>726</v>
      </c>
      <c r="P7803" s="30" t="s">
        <v>14685</v>
      </c>
      <c r="Q7803" t="s">
        <v>621</v>
      </c>
      <c r="R7803" t="s">
        <v>920</v>
      </c>
      <c r="S7803">
        <v>39</v>
      </c>
      <c r="T7803" s="29" t="str">
        <f t="shared" si="335"/>
        <v>2023.027P.Betaflexiviridae_rename.zip</v>
      </c>
      <c r="U7803" s="29" t="str">
        <f>HYPERLINK("https://ictv.global/taxonomy/taxondetails?taxnode_id=202302291","ictv.global=202302291")</f>
        <v>ictv.global=202302291</v>
      </c>
    </row>
    <row r="7804" spans="1:21">
      <c r="A7804">
        <v>7803</v>
      </c>
      <c r="B7804" s="30" t="s">
        <v>1226</v>
      </c>
      <c r="D7804" s="30" t="s">
        <v>2024</v>
      </c>
      <c r="F7804" s="30" t="s">
        <v>2032</v>
      </c>
      <c r="H7804" s="30" t="s">
        <v>2033</v>
      </c>
      <c r="J7804" s="30" t="s">
        <v>314</v>
      </c>
      <c r="L7804" s="30" t="s">
        <v>315</v>
      </c>
      <c r="M7804" s="30" t="s">
        <v>725</v>
      </c>
      <c r="N7804" s="30" t="s">
        <v>9199</v>
      </c>
      <c r="P7804" s="30" t="s">
        <v>14686</v>
      </c>
      <c r="Q7804" t="s">
        <v>621</v>
      </c>
      <c r="R7804" t="s">
        <v>920</v>
      </c>
      <c r="S7804">
        <v>39</v>
      </c>
      <c r="T7804" s="29" t="str">
        <f t="shared" si="335"/>
        <v>2023.027P.Betaflexiviridae_rename.zip</v>
      </c>
      <c r="U7804" s="29" t="str">
        <f>HYPERLINK("https://ictv.global/taxonomy/taxondetails?taxnode_id=202302298","ictv.global=202302298")</f>
        <v>ictv.global=202302298</v>
      </c>
    </row>
    <row r="7805" spans="1:21">
      <c r="A7805">
        <v>7804</v>
      </c>
      <c r="B7805" s="30" t="s">
        <v>1226</v>
      </c>
      <c r="D7805" s="30" t="s">
        <v>2024</v>
      </c>
      <c r="F7805" s="30" t="s">
        <v>2032</v>
      </c>
      <c r="H7805" s="30" t="s">
        <v>2033</v>
      </c>
      <c r="J7805" s="30" t="s">
        <v>314</v>
      </c>
      <c r="L7805" s="30" t="s">
        <v>315</v>
      </c>
      <c r="M7805" s="30" t="s">
        <v>725</v>
      </c>
      <c r="P7805" s="30" t="s">
        <v>517</v>
      </c>
      <c r="Q7805" t="s">
        <v>621</v>
      </c>
      <c r="R7805" t="s">
        <v>919</v>
      </c>
      <c r="S7805">
        <v>35</v>
      </c>
      <c r="T7805" s="29" t="str">
        <f>HYPERLINK("https://ictv.global/ictv/proposals/2019.006G.zip","2019.006G.zip")</f>
        <v>2019.006G.zip</v>
      </c>
      <c r="U7805" s="29" t="str">
        <f>HYPERLINK("https://ictv.global/taxonomy/taxondetails?taxnode_id=202302297","ictv.global=202302297")</f>
        <v>ictv.global=202302297</v>
      </c>
    </row>
    <row r="7806" spans="1:21">
      <c r="A7806">
        <v>7805</v>
      </c>
      <c r="B7806" s="30" t="s">
        <v>1226</v>
      </c>
      <c r="D7806" s="30" t="s">
        <v>2024</v>
      </c>
      <c r="F7806" s="30" t="s">
        <v>2032</v>
      </c>
      <c r="H7806" s="30" t="s">
        <v>2033</v>
      </c>
      <c r="J7806" s="30" t="s">
        <v>314</v>
      </c>
      <c r="L7806" s="30" t="s">
        <v>315</v>
      </c>
      <c r="M7806" s="30" t="s">
        <v>727</v>
      </c>
      <c r="N7806" s="30" t="s">
        <v>131</v>
      </c>
      <c r="P7806" s="30" t="s">
        <v>14687</v>
      </c>
      <c r="Q7806" t="s">
        <v>621</v>
      </c>
      <c r="R7806" t="s">
        <v>920</v>
      </c>
      <c r="S7806">
        <v>39</v>
      </c>
      <c r="T7806" s="29" t="str">
        <f>HYPERLINK("https://ictv.global/ictv/proposals/2023.027P.Betaflexiviridae_rename.zip","2023.027P.Betaflexiviridae_rename.zip")</f>
        <v>2023.027P.Betaflexiviridae_rename.zip</v>
      </c>
      <c r="U7806" s="29" t="str">
        <f>HYPERLINK("https://ictv.global/taxonomy/taxondetails?taxnode_id=202315078","ictv.global=202315078")</f>
        <v>ictv.global=202315078</v>
      </c>
    </row>
    <row r="7807" spans="1:21">
      <c r="A7807">
        <v>7806</v>
      </c>
      <c r="B7807" s="30" t="s">
        <v>1226</v>
      </c>
      <c r="D7807" s="30" t="s">
        <v>2024</v>
      </c>
      <c r="F7807" s="30" t="s">
        <v>2032</v>
      </c>
      <c r="H7807" s="30" t="s">
        <v>2033</v>
      </c>
      <c r="J7807" s="30" t="s">
        <v>314</v>
      </c>
      <c r="L7807" s="30" t="s">
        <v>315</v>
      </c>
      <c r="M7807" s="30" t="s">
        <v>727</v>
      </c>
      <c r="N7807" s="30" t="s">
        <v>131</v>
      </c>
      <c r="P7807" s="30" t="s">
        <v>14688</v>
      </c>
      <c r="Q7807" t="s">
        <v>621</v>
      </c>
      <c r="R7807" t="s">
        <v>917</v>
      </c>
      <c r="S7807">
        <v>39</v>
      </c>
      <c r="T7807" s="29" t="str">
        <f>HYPERLINK("https://ictv.global/ictv/proposals/2023.028P.Betaflexiviridae_13nsp.zip","2023.028P.Betaflexiviridae_13nsp.zip")</f>
        <v>2023.028P.Betaflexiviridae_13nsp.zip</v>
      </c>
      <c r="U7807" s="29" t="str">
        <f>HYPERLINK("https://ictv.global/taxonomy/taxondetails?taxnode_id=202319025","ictv.global=202319025")</f>
        <v>ictv.global=202319025</v>
      </c>
    </row>
    <row r="7808" spans="1:21">
      <c r="A7808">
        <v>7807</v>
      </c>
      <c r="B7808" s="30" t="s">
        <v>1226</v>
      </c>
      <c r="D7808" s="30" t="s">
        <v>2024</v>
      </c>
      <c r="F7808" s="30" t="s">
        <v>2032</v>
      </c>
      <c r="H7808" s="30" t="s">
        <v>2033</v>
      </c>
      <c r="J7808" s="30" t="s">
        <v>314</v>
      </c>
      <c r="L7808" s="30" t="s">
        <v>315</v>
      </c>
      <c r="M7808" s="30" t="s">
        <v>727</v>
      </c>
      <c r="N7808" s="30" t="s">
        <v>131</v>
      </c>
      <c r="P7808" s="30" t="s">
        <v>14689</v>
      </c>
      <c r="Q7808" t="s">
        <v>621</v>
      </c>
      <c r="R7808" t="s">
        <v>920</v>
      </c>
      <c r="S7808">
        <v>39</v>
      </c>
      <c r="T7808" s="29" t="str">
        <f>HYPERLINK("https://ictv.global/ictv/proposals/2023.027P.Betaflexiviridae_rename.zip","2023.027P.Betaflexiviridae_rename.zip")</f>
        <v>2023.027P.Betaflexiviridae_rename.zip</v>
      </c>
      <c r="U7808" s="29" t="str">
        <f>HYPERLINK("https://ictv.global/taxonomy/taxondetails?taxnode_id=202306322","ictv.global=202306322")</f>
        <v>ictv.global=202306322</v>
      </c>
    </row>
    <row r="7809" spans="1:21">
      <c r="A7809">
        <v>7808</v>
      </c>
      <c r="B7809" s="30" t="s">
        <v>1226</v>
      </c>
      <c r="D7809" s="30" t="s">
        <v>2024</v>
      </c>
      <c r="F7809" s="30" t="s">
        <v>2032</v>
      </c>
      <c r="H7809" s="30" t="s">
        <v>2033</v>
      </c>
      <c r="J7809" s="30" t="s">
        <v>314</v>
      </c>
      <c r="L7809" s="30" t="s">
        <v>315</v>
      </c>
      <c r="M7809" s="30" t="s">
        <v>727</v>
      </c>
      <c r="N7809" s="30" t="s">
        <v>131</v>
      </c>
      <c r="P7809" s="30" t="s">
        <v>14690</v>
      </c>
      <c r="Q7809" t="s">
        <v>621</v>
      </c>
      <c r="R7809" t="s">
        <v>920</v>
      </c>
      <c r="S7809">
        <v>39</v>
      </c>
      <c r="T7809" s="29" t="str">
        <f>HYPERLINK("https://ictv.global/ictv/proposals/2023.027P.Betaflexiviridae_rename.zip","2023.027P.Betaflexiviridae_rename.zip")</f>
        <v>2023.027P.Betaflexiviridae_rename.zip</v>
      </c>
      <c r="U7809" s="29" t="str">
        <f>HYPERLINK("https://ictv.global/taxonomy/taxondetails?taxnode_id=202306329","ictv.global=202306329")</f>
        <v>ictv.global=202306329</v>
      </c>
    </row>
    <row r="7810" spans="1:21">
      <c r="A7810">
        <v>7809</v>
      </c>
      <c r="B7810" s="30" t="s">
        <v>1226</v>
      </c>
      <c r="D7810" s="30" t="s">
        <v>2024</v>
      </c>
      <c r="F7810" s="30" t="s">
        <v>2032</v>
      </c>
      <c r="H7810" s="30" t="s">
        <v>2033</v>
      </c>
      <c r="J7810" s="30" t="s">
        <v>314</v>
      </c>
      <c r="L7810" s="30" t="s">
        <v>315</v>
      </c>
      <c r="M7810" s="30" t="s">
        <v>727</v>
      </c>
      <c r="N7810" s="30" t="s">
        <v>131</v>
      </c>
      <c r="P7810" s="30" t="s">
        <v>14691</v>
      </c>
      <c r="Q7810" t="s">
        <v>621</v>
      </c>
      <c r="R7810" t="s">
        <v>920</v>
      </c>
      <c r="S7810">
        <v>39</v>
      </c>
      <c r="T7810" s="29" t="str">
        <f>HYPERLINK("https://ictv.global/ictv/proposals/2023.027P.Betaflexiviridae_rename.zip","2023.027P.Betaflexiviridae_rename.zip")</f>
        <v>2023.027P.Betaflexiviridae_rename.zip</v>
      </c>
      <c r="U7810" s="29" t="str">
        <f>HYPERLINK("https://ictv.global/taxonomy/taxondetails?taxnode_id=202302302","ictv.global=202302302")</f>
        <v>ictv.global=202302302</v>
      </c>
    </row>
    <row r="7811" spans="1:21">
      <c r="A7811">
        <v>7810</v>
      </c>
      <c r="B7811" s="30" t="s">
        <v>1226</v>
      </c>
      <c r="D7811" s="30" t="s">
        <v>2024</v>
      </c>
      <c r="F7811" s="30" t="s">
        <v>2032</v>
      </c>
      <c r="H7811" s="30" t="s">
        <v>2033</v>
      </c>
      <c r="J7811" s="30" t="s">
        <v>314</v>
      </c>
      <c r="L7811" s="30" t="s">
        <v>315</v>
      </c>
      <c r="M7811" s="30" t="s">
        <v>727</v>
      </c>
      <c r="N7811" s="30" t="s">
        <v>131</v>
      </c>
      <c r="P7811" s="30" t="s">
        <v>14692</v>
      </c>
      <c r="Q7811" t="s">
        <v>621</v>
      </c>
      <c r="R7811" t="s">
        <v>920</v>
      </c>
      <c r="S7811">
        <v>39</v>
      </c>
      <c r="T7811" s="29" t="str">
        <f>HYPERLINK("https://ictv.global/ictv/proposals/2023.027P.Betaflexiviridae_rename.zip","2023.027P.Betaflexiviridae_rename.zip")</f>
        <v>2023.027P.Betaflexiviridae_rename.zip</v>
      </c>
      <c r="U7811" s="29" t="str">
        <f>HYPERLINK("https://ictv.global/taxonomy/taxondetails?taxnode_id=202302301","ictv.global=202302301")</f>
        <v>ictv.global=202302301</v>
      </c>
    </row>
    <row r="7812" spans="1:21">
      <c r="A7812">
        <v>7811</v>
      </c>
      <c r="B7812" s="30" t="s">
        <v>1226</v>
      </c>
      <c r="D7812" s="30" t="s">
        <v>2024</v>
      </c>
      <c r="F7812" s="30" t="s">
        <v>2032</v>
      </c>
      <c r="H7812" s="30" t="s">
        <v>2033</v>
      </c>
      <c r="J7812" s="30" t="s">
        <v>314</v>
      </c>
      <c r="L7812" s="30" t="s">
        <v>315</v>
      </c>
      <c r="M7812" s="30" t="s">
        <v>727</v>
      </c>
      <c r="N7812" s="30" t="s">
        <v>131</v>
      </c>
      <c r="P7812" s="30" t="s">
        <v>14693</v>
      </c>
      <c r="Q7812" t="s">
        <v>621</v>
      </c>
      <c r="R7812" t="s">
        <v>920</v>
      </c>
      <c r="S7812">
        <v>39</v>
      </c>
      <c r="T7812" s="29" t="str">
        <f>HYPERLINK("https://ictv.global/ictv/proposals/2023.027P.Betaflexiviridae_rename.zip","2023.027P.Betaflexiviridae_rename.zip")</f>
        <v>2023.027P.Betaflexiviridae_rename.zip</v>
      </c>
      <c r="U7812" s="29" t="str">
        <f>HYPERLINK("https://ictv.global/taxonomy/taxondetails?taxnode_id=202313852","ictv.global=202313852")</f>
        <v>ictv.global=202313852</v>
      </c>
    </row>
    <row r="7813" spans="1:21">
      <c r="A7813">
        <v>7812</v>
      </c>
      <c r="B7813" s="30" t="s">
        <v>1226</v>
      </c>
      <c r="D7813" s="30" t="s">
        <v>2024</v>
      </c>
      <c r="F7813" s="30" t="s">
        <v>2032</v>
      </c>
      <c r="H7813" s="30" t="s">
        <v>2033</v>
      </c>
      <c r="J7813" s="30" t="s">
        <v>314</v>
      </c>
      <c r="L7813" s="30" t="s">
        <v>315</v>
      </c>
      <c r="M7813" s="30" t="s">
        <v>727</v>
      </c>
      <c r="N7813" s="30" t="s">
        <v>131</v>
      </c>
      <c r="P7813" s="30" t="s">
        <v>14694</v>
      </c>
      <c r="Q7813" t="s">
        <v>621</v>
      </c>
      <c r="R7813" t="s">
        <v>917</v>
      </c>
      <c r="S7813">
        <v>39</v>
      </c>
      <c r="T7813" s="29" t="str">
        <f>HYPERLINK("https://ictv.global/ictv/proposals/2023.028P.Betaflexiviridae_13nsp.zip","2023.028P.Betaflexiviridae_13nsp.zip")</f>
        <v>2023.028P.Betaflexiviridae_13nsp.zip</v>
      </c>
      <c r="U7813" s="29" t="str">
        <f>HYPERLINK("https://ictv.global/taxonomy/taxondetails?taxnode_id=202319026","ictv.global=202319026")</f>
        <v>ictv.global=202319026</v>
      </c>
    </row>
    <row r="7814" spans="1:21">
      <c r="A7814">
        <v>7813</v>
      </c>
      <c r="B7814" s="30" t="s">
        <v>1226</v>
      </c>
      <c r="D7814" s="30" t="s">
        <v>2024</v>
      </c>
      <c r="F7814" s="30" t="s">
        <v>2032</v>
      </c>
      <c r="H7814" s="30" t="s">
        <v>2033</v>
      </c>
      <c r="J7814" s="30" t="s">
        <v>314</v>
      </c>
      <c r="L7814" s="30" t="s">
        <v>315</v>
      </c>
      <c r="M7814" s="30" t="s">
        <v>727</v>
      </c>
      <c r="N7814" s="30" t="s">
        <v>728</v>
      </c>
      <c r="P7814" s="30" t="s">
        <v>14695</v>
      </c>
      <c r="Q7814" t="s">
        <v>621</v>
      </c>
      <c r="R7814" t="s">
        <v>920</v>
      </c>
      <c r="S7814">
        <v>39</v>
      </c>
      <c r="T7814" s="29" t="str">
        <f>HYPERLINK("https://ictv.global/ictv/proposals/2023.027P.Betaflexiviridae_rename.zip","2023.027P.Betaflexiviridae_rename.zip")</f>
        <v>2023.027P.Betaflexiviridae_rename.zip</v>
      </c>
      <c r="U7814" s="29" t="str">
        <f>HYPERLINK("https://ictv.global/taxonomy/taxondetails?taxnode_id=202302305","ictv.global=202302305")</f>
        <v>ictv.global=202302305</v>
      </c>
    </row>
    <row r="7815" spans="1:21">
      <c r="A7815">
        <v>7814</v>
      </c>
      <c r="B7815" s="30" t="s">
        <v>1226</v>
      </c>
      <c r="D7815" s="30" t="s">
        <v>2024</v>
      </c>
      <c r="F7815" s="30" t="s">
        <v>2032</v>
      </c>
      <c r="H7815" s="30" t="s">
        <v>2033</v>
      </c>
      <c r="J7815" s="30" t="s">
        <v>314</v>
      </c>
      <c r="L7815" s="30" t="s">
        <v>315</v>
      </c>
      <c r="M7815" s="30" t="s">
        <v>727</v>
      </c>
      <c r="N7815" s="30" t="s">
        <v>728</v>
      </c>
      <c r="P7815" s="30" t="s">
        <v>14696</v>
      </c>
      <c r="Q7815" t="s">
        <v>621</v>
      </c>
      <c r="R7815" t="s">
        <v>920</v>
      </c>
      <c r="S7815">
        <v>39</v>
      </c>
      <c r="T7815" s="29" t="str">
        <f>HYPERLINK("https://ictv.global/ictv/proposals/2023.027P.Betaflexiviridae_rename.zip","2023.027P.Betaflexiviridae_rename.zip")</f>
        <v>2023.027P.Betaflexiviridae_rename.zip</v>
      </c>
      <c r="U7815" s="29" t="str">
        <f>HYPERLINK("https://ictv.global/taxonomy/taxondetails?taxnode_id=202315087","ictv.global=202315087")</f>
        <v>ictv.global=202315087</v>
      </c>
    </row>
    <row r="7816" spans="1:21">
      <c r="A7816">
        <v>7815</v>
      </c>
      <c r="B7816" s="30" t="s">
        <v>1226</v>
      </c>
      <c r="D7816" s="30" t="s">
        <v>2024</v>
      </c>
      <c r="F7816" s="30" t="s">
        <v>2032</v>
      </c>
      <c r="H7816" s="30" t="s">
        <v>2033</v>
      </c>
      <c r="J7816" s="30" t="s">
        <v>314</v>
      </c>
      <c r="L7816" s="30" t="s">
        <v>315</v>
      </c>
      <c r="M7816" s="30" t="s">
        <v>727</v>
      </c>
      <c r="N7816" s="30" t="s">
        <v>728</v>
      </c>
      <c r="P7816" s="30" t="s">
        <v>14697</v>
      </c>
      <c r="Q7816" t="s">
        <v>621</v>
      </c>
      <c r="R7816" t="s">
        <v>920</v>
      </c>
      <c r="S7816">
        <v>39</v>
      </c>
      <c r="T7816" s="29" t="str">
        <f>HYPERLINK("https://ictv.global/ictv/proposals/2023.027P.Betaflexiviridae_rename.zip","2023.027P.Betaflexiviridae_rename.zip")</f>
        <v>2023.027P.Betaflexiviridae_rename.zip</v>
      </c>
      <c r="U7816" s="29" t="str">
        <f>HYPERLINK("https://ictv.global/taxonomy/taxondetails?taxnode_id=202302304","ictv.global=202302304")</f>
        <v>ictv.global=202302304</v>
      </c>
    </row>
    <row r="7817" spans="1:21">
      <c r="A7817">
        <v>7816</v>
      </c>
      <c r="B7817" s="30" t="s">
        <v>1226</v>
      </c>
      <c r="D7817" s="30" t="s">
        <v>2024</v>
      </c>
      <c r="F7817" s="30" t="s">
        <v>2032</v>
      </c>
      <c r="H7817" s="30" t="s">
        <v>2033</v>
      </c>
      <c r="J7817" s="30" t="s">
        <v>314</v>
      </c>
      <c r="L7817" s="30" t="s">
        <v>315</v>
      </c>
      <c r="M7817" s="30" t="s">
        <v>727</v>
      </c>
      <c r="N7817" s="30" t="s">
        <v>728</v>
      </c>
      <c r="P7817" s="30" t="s">
        <v>14698</v>
      </c>
      <c r="Q7817" t="s">
        <v>621</v>
      </c>
      <c r="R7817" t="s">
        <v>920</v>
      </c>
      <c r="S7817">
        <v>39</v>
      </c>
      <c r="T7817" s="29" t="str">
        <f>HYPERLINK("https://ictv.global/ictv/proposals/2023.027P.Betaflexiviridae_rename.zip","2023.027P.Betaflexiviridae_rename.zip")</f>
        <v>2023.027P.Betaflexiviridae_rename.zip</v>
      </c>
      <c r="U7817" s="29" t="str">
        <f>HYPERLINK("https://ictv.global/taxonomy/taxondetails?taxnode_id=202315088","ictv.global=202315088")</f>
        <v>ictv.global=202315088</v>
      </c>
    </row>
    <row r="7818" spans="1:21">
      <c r="A7818">
        <v>7817</v>
      </c>
      <c r="B7818" s="30" t="s">
        <v>1226</v>
      </c>
      <c r="D7818" s="30" t="s">
        <v>2024</v>
      </c>
      <c r="F7818" s="30" t="s">
        <v>2032</v>
      </c>
      <c r="H7818" s="30" t="s">
        <v>2033</v>
      </c>
      <c r="J7818" s="30" t="s">
        <v>314</v>
      </c>
      <c r="L7818" s="30" t="s">
        <v>315</v>
      </c>
      <c r="M7818" s="30" t="s">
        <v>727</v>
      </c>
      <c r="N7818" s="30" t="s">
        <v>118</v>
      </c>
      <c r="P7818" s="30" t="s">
        <v>14699</v>
      </c>
      <c r="Q7818" t="s">
        <v>621</v>
      </c>
      <c r="R7818" t="s">
        <v>920</v>
      </c>
      <c r="S7818">
        <v>39</v>
      </c>
      <c r="T7818" s="29" t="str">
        <f>HYPERLINK("https://ictv.global/ictv/proposals/2023.027P.Betaflexiviridae_rename.zip","2023.027P.Betaflexiviridae_rename.zip")</f>
        <v>2023.027P.Betaflexiviridae_rename.zip</v>
      </c>
      <c r="U7818" s="29" t="str">
        <f>HYPERLINK("https://ictv.global/taxonomy/taxondetails?taxnode_id=202302307","ictv.global=202302307")</f>
        <v>ictv.global=202302307</v>
      </c>
    </row>
    <row r="7819" spans="1:21">
      <c r="A7819">
        <v>7818</v>
      </c>
      <c r="B7819" s="30" t="s">
        <v>1226</v>
      </c>
      <c r="D7819" s="30" t="s">
        <v>2024</v>
      </c>
      <c r="F7819" s="30" t="s">
        <v>2032</v>
      </c>
      <c r="H7819" s="30" t="s">
        <v>2033</v>
      </c>
      <c r="J7819" s="30" t="s">
        <v>314</v>
      </c>
      <c r="L7819" s="30" t="s">
        <v>315</v>
      </c>
      <c r="M7819" s="30" t="s">
        <v>727</v>
      </c>
      <c r="N7819" s="30" t="s">
        <v>118</v>
      </c>
      <c r="P7819" s="30" t="s">
        <v>14700</v>
      </c>
      <c r="Q7819" t="s">
        <v>621</v>
      </c>
      <c r="R7819" t="s">
        <v>917</v>
      </c>
      <c r="S7819">
        <v>39</v>
      </c>
      <c r="T7819" s="29" t="str">
        <f>HYPERLINK("https://ictv.global/ictv/proposals/2023.028P.Betaflexiviridae_13nsp.zip","2023.028P.Betaflexiviridae_13nsp.zip")</f>
        <v>2023.028P.Betaflexiviridae_13nsp.zip</v>
      </c>
      <c r="U7819" s="29" t="str">
        <f>HYPERLINK("https://ictv.global/taxonomy/taxondetails?taxnode_id=202319027","ictv.global=202319027")</f>
        <v>ictv.global=202319027</v>
      </c>
    </row>
    <row r="7820" spans="1:21">
      <c r="A7820">
        <v>7819</v>
      </c>
      <c r="B7820" s="30" t="s">
        <v>1226</v>
      </c>
      <c r="D7820" s="30" t="s">
        <v>2024</v>
      </c>
      <c r="F7820" s="30" t="s">
        <v>2032</v>
      </c>
      <c r="H7820" s="30" t="s">
        <v>2033</v>
      </c>
      <c r="J7820" s="30" t="s">
        <v>314</v>
      </c>
      <c r="L7820" s="30" t="s">
        <v>315</v>
      </c>
      <c r="M7820" s="30" t="s">
        <v>727</v>
      </c>
      <c r="N7820" s="30" t="s">
        <v>729</v>
      </c>
      <c r="P7820" s="30" t="s">
        <v>14701</v>
      </c>
      <c r="Q7820" t="s">
        <v>621</v>
      </c>
      <c r="R7820" t="s">
        <v>920</v>
      </c>
      <c r="S7820">
        <v>39</v>
      </c>
      <c r="T7820" s="29" t="str">
        <f t="shared" ref="T7820:T7845" si="336">HYPERLINK("https://ictv.global/ictv/proposals/2023.027P.Betaflexiviridae_rename.zip","2023.027P.Betaflexiviridae_rename.zip")</f>
        <v>2023.027P.Betaflexiviridae_rename.zip</v>
      </c>
      <c r="U7820" s="29" t="str">
        <f>HYPERLINK("https://ictv.global/taxonomy/taxondetails?taxnode_id=202302309","ictv.global=202302309")</f>
        <v>ictv.global=202302309</v>
      </c>
    </row>
    <row r="7821" spans="1:21">
      <c r="A7821">
        <v>7820</v>
      </c>
      <c r="B7821" s="30" t="s">
        <v>1226</v>
      </c>
      <c r="D7821" s="30" t="s">
        <v>2024</v>
      </c>
      <c r="F7821" s="30" t="s">
        <v>2032</v>
      </c>
      <c r="H7821" s="30" t="s">
        <v>2033</v>
      </c>
      <c r="J7821" s="30" t="s">
        <v>314</v>
      </c>
      <c r="L7821" s="30" t="s">
        <v>315</v>
      </c>
      <c r="M7821" s="30" t="s">
        <v>727</v>
      </c>
      <c r="N7821" s="30" t="s">
        <v>729</v>
      </c>
      <c r="P7821" s="30" t="s">
        <v>14702</v>
      </c>
      <c r="Q7821" t="s">
        <v>621</v>
      </c>
      <c r="R7821" t="s">
        <v>920</v>
      </c>
      <c r="S7821">
        <v>39</v>
      </c>
      <c r="T7821" s="29" t="str">
        <f t="shared" si="336"/>
        <v>2023.027P.Betaflexiviridae_rename.zip</v>
      </c>
      <c r="U7821" s="29" t="str">
        <f>HYPERLINK("https://ictv.global/taxonomy/taxondetails?taxnode_id=202302311","ictv.global=202302311")</f>
        <v>ictv.global=202302311</v>
      </c>
    </row>
    <row r="7822" spans="1:21">
      <c r="A7822">
        <v>7821</v>
      </c>
      <c r="B7822" s="30" t="s">
        <v>1226</v>
      </c>
      <c r="D7822" s="30" t="s">
        <v>2024</v>
      </c>
      <c r="F7822" s="30" t="s">
        <v>2032</v>
      </c>
      <c r="H7822" s="30" t="s">
        <v>2033</v>
      </c>
      <c r="J7822" s="30" t="s">
        <v>314</v>
      </c>
      <c r="L7822" s="30" t="s">
        <v>315</v>
      </c>
      <c r="M7822" s="30" t="s">
        <v>727</v>
      </c>
      <c r="N7822" s="30" t="s">
        <v>729</v>
      </c>
      <c r="P7822" s="30" t="s">
        <v>14703</v>
      </c>
      <c r="Q7822" t="s">
        <v>621</v>
      </c>
      <c r="R7822" t="s">
        <v>920</v>
      </c>
      <c r="S7822">
        <v>39</v>
      </c>
      <c r="T7822" s="29" t="str">
        <f t="shared" si="336"/>
        <v>2023.027P.Betaflexiviridae_rename.zip</v>
      </c>
      <c r="U7822" s="29" t="str">
        <f>HYPERLINK("https://ictv.global/taxonomy/taxondetails?taxnode_id=202302310","ictv.global=202302310")</f>
        <v>ictv.global=202302310</v>
      </c>
    </row>
    <row r="7823" spans="1:21">
      <c r="A7823">
        <v>7822</v>
      </c>
      <c r="B7823" s="30" t="s">
        <v>1226</v>
      </c>
      <c r="D7823" s="30" t="s">
        <v>2024</v>
      </c>
      <c r="F7823" s="30" t="s">
        <v>2032</v>
      </c>
      <c r="H7823" s="30" t="s">
        <v>2033</v>
      </c>
      <c r="J7823" s="30" t="s">
        <v>314</v>
      </c>
      <c r="L7823" s="30" t="s">
        <v>315</v>
      </c>
      <c r="M7823" s="30" t="s">
        <v>727</v>
      </c>
      <c r="N7823" s="30" t="s">
        <v>730</v>
      </c>
      <c r="P7823" s="30" t="s">
        <v>14704</v>
      </c>
      <c r="Q7823" t="s">
        <v>621</v>
      </c>
      <c r="R7823" t="s">
        <v>920</v>
      </c>
      <c r="S7823">
        <v>39</v>
      </c>
      <c r="T7823" s="29" t="str">
        <f t="shared" si="336"/>
        <v>2023.027P.Betaflexiviridae_rename.zip</v>
      </c>
      <c r="U7823" s="29" t="str">
        <f>HYPERLINK("https://ictv.global/taxonomy/taxondetails?taxnode_id=202306390","ictv.global=202306390")</f>
        <v>ictv.global=202306390</v>
      </c>
    </row>
    <row r="7824" spans="1:21">
      <c r="A7824">
        <v>7823</v>
      </c>
      <c r="B7824" s="30" t="s">
        <v>1226</v>
      </c>
      <c r="D7824" s="30" t="s">
        <v>2024</v>
      </c>
      <c r="F7824" s="30" t="s">
        <v>2032</v>
      </c>
      <c r="H7824" s="30" t="s">
        <v>2033</v>
      </c>
      <c r="J7824" s="30" t="s">
        <v>314</v>
      </c>
      <c r="L7824" s="30" t="s">
        <v>315</v>
      </c>
      <c r="M7824" s="30" t="s">
        <v>727</v>
      </c>
      <c r="N7824" s="30" t="s">
        <v>730</v>
      </c>
      <c r="P7824" s="30" t="s">
        <v>14705</v>
      </c>
      <c r="Q7824" t="s">
        <v>621</v>
      </c>
      <c r="R7824" t="s">
        <v>920</v>
      </c>
      <c r="S7824">
        <v>39</v>
      </c>
      <c r="T7824" s="29" t="str">
        <f t="shared" si="336"/>
        <v>2023.027P.Betaflexiviridae_rename.zip</v>
      </c>
      <c r="U7824" s="29" t="str">
        <f>HYPERLINK("https://ictv.global/taxonomy/taxondetails?taxnode_id=202302313","ictv.global=202302313")</f>
        <v>ictv.global=202302313</v>
      </c>
    </row>
    <row r="7825" spans="1:21">
      <c r="A7825">
        <v>7824</v>
      </c>
      <c r="B7825" s="30" t="s">
        <v>1226</v>
      </c>
      <c r="D7825" s="30" t="s">
        <v>2024</v>
      </c>
      <c r="F7825" s="30" t="s">
        <v>2032</v>
      </c>
      <c r="H7825" s="30" t="s">
        <v>2033</v>
      </c>
      <c r="J7825" s="30" t="s">
        <v>314</v>
      </c>
      <c r="L7825" s="30" t="s">
        <v>315</v>
      </c>
      <c r="M7825" s="30" t="s">
        <v>727</v>
      </c>
      <c r="N7825" s="30" t="s">
        <v>730</v>
      </c>
      <c r="P7825" s="30" t="s">
        <v>14706</v>
      </c>
      <c r="Q7825" t="s">
        <v>621</v>
      </c>
      <c r="R7825" t="s">
        <v>920</v>
      </c>
      <c r="S7825">
        <v>39</v>
      </c>
      <c r="T7825" s="29" t="str">
        <f t="shared" si="336"/>
        <v>2023.027P.Betaflexiviridae_rename.zip</v>
      </c>
      <c r="U7825" s="29" t="str">
        <f>HYPERLINK("https://ictv.global/taxonomy/taxondetails?taxnode_id=202302314","ictv.global=202302314")</f>
        <v>ictv.global=202302314</v>
      </c>
    </row>
    <row r="7826" spans="1:21">
      <c r="A7826">
        <v>7825</v>
      </c>
      <c r="B7826" s="30" t="s">
        <v>1226</v>
      </c>
      <c r="D7826" s="30" t="s">
        <v>2024</v>
      </c>
      <c r="F7826" s="30" t="s">
        <v>2032</v>
      </c>
      <c r="H7826" s="30" t="s">
        <v>2033</v>
      </c>
      <c r="J7826" s="30" t="s">
        <v>314</v>
      </c>
      <c r="L7826" s="30" t="s">
        <v>315</v>
      </c>
      <c r="M7826" s="30" t="s">
        <v>727</v>
      </c>
      <c r="N7826" s="30" t="s">
        <v>730</v>
      </c>
      <c r="P7826" s="30" t="s">
        <v>14707</v>
      </c>
      <c r="Q7826" t="s">
        <v>621</v>
      </c>
      <c r="R7826" t="s">
        <v>920</v>
      </c>
      <c r="S7826">
        <v>39</v>
      </c>
      <c r="T7826" s="29" t="str">
        <f t="shared" si="336"/>
        <v>2023.027P.Betaflexiviridae_rename.zip</v>
      </c>
      <c r="U7826" s="29" t="str">
        <f>HYPERLINK("https://ictv.global/taxonomy/taxondetails?taxnode_id=202313853","ictv.global=202313853")</f>
        <v>ictv.global=202313853</v>
      </c>
    </row>
    <row r="7827" spans="1:21">
      <c r="A7827">
        <v>7826</v>
      </c>
      <c r="B7827" s="30" t="s">
        <v>1226</v>
      </c>
      <c r="D7827" s="30" t="s">
        <v>2024</v>
      </c>
      <c r="F7827" s="30" t="s">
        <v>2032</v>
      </c>
      <c r="H7827" s="30" t="s">
        <v>2033</v>
      </c>
      <c r="J7827" s="30" t="s">
        <v>314</v>
      </c>
      <c r="L7827" s="30" t="s">
        <v>315</v>
      </c>
      <c r="M7827" s="30" t="s">
        <v>727</v>
      </c>
      <c r="N7827" s="30" t="s">
        <v>2038</v>
      </c>
      <c r="P7827" s="30" t="s">
        <v>14708</v>
      </c>
      <c r="Q7827" t="s">
        <v>621</v>
      </c>
      <c r="R7827" t="s">
        <v>920</v>
      </c>
      <c r="S7827">
        <v>39</v>
      </c>
      <c r="T7827" s="29" t="str">
        <f t="shared" si="336"/>
        <v>2023.027P.Betaflexiviridae_rename.zip</v>
      </c>
      <c r="U7827" s="29" t="str">
        <f>HYPERLINK("https://ictv.global/taxonomy/taxondetails?taxnode_id=202307396","ictv.global=202307396")</f>
        <v>ictv.global=202307396</v>
      </c>
    </row>
    <row r="7828" spans="1:21">
      <c r="A7828">
        <v>7827</v>
      </c>
      <c r="B7828" s="30" t="s">
        <v>1226</v>
      </c>
      <c r="D7828" s="30" t="s">
        <v>2024</v>
      </c>
      <c r="F7828" s="30" t="s">
        <v>2032</v>
      </c>
      <c r="H7828" s="30" t="s">
        <v>2033</v>
      </c>
      <c r="J7828" s="30" t="s">
        <v>314</v>
      </c>
      <c r="L7828" s="30" t="s">
        <v>315</v>
      </c>
      <c r="M7828" s="30" t="s">
        <v>727</v>
      </c>
      <c r="N7828" s="30" t="s">
        <v>6</v>
      </c>
      <c r="P7828" s="30" t="s">
        <v>14709</v>
      </c>
      <c r="Q7828" t="s">
        <v>621</v>
      </c>
      <c r="R7828" t="s">
        <v>920</v>
      </c>
      <c r="S7828">
        <v>39</v>
      </c>
      <c r="T7828" s="29" t="str">
        <f t="shared" si="336"/>
        <v>2023.027P.Betaflexiviridae_rename.zip</v>
      </c>
      <c r="U7828" s="29" t="str">
        <f>HYPERLINK("https://ictv.global/taxonomy/taxondetails?taxnode_id=202313854","ictv.global=202313854")</f>
        <v>ictv.global=202313854</v>
      </c>
    </row>
    <row r="7829" spans="1:21">
      <c r="A7829">
        <v>7828</v>
      </c>
      <c r="B7829" s="30" t="s">
        <v>1226</v>
      </c>
      <c r="D7829" s="30" t="s">
        <v>2024</v>
      </c>
      <c r="F7829" s="30" t="s">
        <v>2032</v>
      </c>
      <c r="H7829" s="30" t="s">
        <v>2033</v>
      </c>
      <c r="J7829" s="30" t="s">
        <v>314</v>
      </c>
      <c r="L7829" s="30" t="s">
        <v>315</v>
      </c>
      <c r="M7829" s="30" t="s">
        <v>727</v>
      </c>
      <c r="N7829" s="30" t="s">
        <v>6</v>
      </c>
      <c r="P7829" s="30" t="s">
        <v>14710</v>
      </c>
      <c r="Q7829" t="s">
        <v>621</v>
      </c>
      <c r="R7829" t="s">
        <v>920</v>
      </c>
      <c r="S7829">
        <v>39</v>
      </c>
      <c r="T7829" s="29" t="str">
        <f t="shared" si="336"/>
        <v>2023.027P.Betaflexiviridae_rename.zip</v>
      </c>
      <c r="U7829" s="29" t="str">
        <f>HYPERLINK("https://ictv.global/taxonomy/taxondetails?taxnode_id=202313855","ictv.global=202313855")</f>
        <v>ictv.global=202313855</v>
      </c>
    </row>
    <row r="7830" spans="1:21">
      <c r="A7830">
        <v>7829</v>
      </c>
      <c r="B7830" s="30" t="s">
        <v>1226</v>
      </c>
      <c r="D7830" s="30" t="s">
        <v>2024</v>
      </c>
      <c r="F7830" s="30" t="s">
        <v>2032</v>
      </c>
      <c r="H7830" s="30" t="s">
        <v>2033</v>
      </c>
      <c r="J7830" s="30" t="s">
        <v>314</v>
      </c>
      <c r="L7830" s="30" t="s">
        <v>315</v>
      </c>
      <c r="M7830" s="30" t="s">
        <v>727</v>
      </c>
      <c r="N7830" s="30" t="s">
        <v>6</v>
      </c>
      <c r="P7830" s="30" t="s">
        <v>14711</v>
      </c>
      <c r="Q7830" t="s">
        <v>621</v>
      </c>
      <c r="R7830" t="s">
        <v>920</v>
      </c>
      <c r="S7830">
        <v>39</v>
      </c>
      <c r="T7830" s="29" t="str">
        <f t="shared" si="336"/>
        <v>2023.027P.Betaflexiviridae_rename.zip</v>
      </c>
      <c r="U7830" s="29" t="str">
        <f>HYPERLINK("https://ictv.global/taxonomy/taxondetails?taxnode_id=202302317","ictv.global=202302317")</f>
        <v>ictv.global=202302317</v>
      </c>
    </row>
    <row r="7831" spans="1:21">
      <c r="A7831">
        <v>7830</v>
      </c>
      <c r="B7831" s="30" t="s">
        <v>1226</v>
      </c>
      <c r="D7831" s="30" t="s">
        <v>2024</v>
      </c>
      <c r="F7831" s="30" t="s">
        <v>2032</v>
      </c>
      <c r="H7831" s="30" t="s">
        <v>2033</v>
      </c>
      <c r="J7831" s="30" t="s">
        <v>314</v>
      </c>
      <c r="L7831" s="30" t="s">
        <v>315</v>
      </c>
      <c r="M7831" s="30" t="s">
        <v>727</v>
      </c>
      <c r="N7831" s="30" t="s">
        <v>6</v>
      </c>
      <c r="P7831" s="30" t="s">
        <v>14712</v>
      </c>
      <c r="Q7831" t="s">
        <v>621</v>
      </c>
      <c r="R7831" t="s">
        <v>920</v>
      </c>
      <c r="S7831">
        <v>39</v>
      </c>
      <c r="T7831" s="29" t="str">
        <f t="shared" si="336"/>
        <v>2023.027P.Betaflexiviridae_rename.zip</v>
      </c>
      <c r="U7831" s="29" t="str">
        <f>HYPERLINK("https://ictv.global/taxonomy/taxondetails?taxnode_id=202302316","ictv.global=202302316")</f>
        <v>ictv.global=202302316</v>
      </c>
    </row>
    <row r="7832" spans="1:21">
      <c r="A7832">
        <v>7831</v>
      </c>
      <c r="B7832" s="30" t="s">
        <v>1226</v>
      </c>
      <c r="D7832" s="30" t="s">
        <v>2024</v>
      </c>
      <c r="F7832" s="30" t="s">
        <v>2032</v>
      </c>
      <c r="H7832" s="30" t="s">
        <v>2033</v>
      </c>
      <c r="J7832" s="30" t="s">
        <v>314</v>
      </c>
      <c r="L7832" s="30" t="s">
        <v>315</v>
      </c>
      <c r="M7832" s="30" t="s">
        <v>727</v>
      </c>
      <c r="N7832" s="30" t="s">
        <v>6</v>
      </c>
      <c r="P7832" s="30" t="s">
        <v>14713</v>
      </c>
      <c r="Q7832" t="s">
        <v>621</v>
      </c>
      <c r="R7832" t="s">
        <v>920</v>
      </c>
      <c r="S7832">
        <v>39</v>
      </c>
      <c r="T7832" s="29" t="str">
        <f t="shared" si="336"/>
        <v>2023.027P.Betaflexiviridae_rename.zip</v>
      </c>
      <c r="U7832" s="29" t="str">
        <f>HYPERLINK("https://ictv.global/taxonomy/taxondetails?taxnode_id=202313856","ictv.global=202313856")</f>
        <v>ictv.global=202313856</v>
      </c>
    </row>
    <row r="7833" spans="1:21">
      <c r="A7833">
        <v>7832</v>
      </c>
      <c r="B7833" s="30" t="s">
        <v>1226</v>
      </c>
      <c r="D7833" s="30" t="s">
        <v>2024</v>
      </c>
      <c r="F7833" s="30" t="s">
        <v>2032</v>
      </c>
      <c r="H7833" s="30" t="s">
        <v>2033</v>
      </c>
      <c r="J7833" s="30" t="s">
        <v>314</v>
      </c>
      <c r="L7833" s="30" t="s">
        <v>315</v>
      </c>
      <c r="M7833" s="30" t="s">
        <v>727</v>
      </c>
      <c r="N7833" s="30" t="s">
        <v>141</v>
      </c>
      <c r="P7833" s="30" t="s">
        <v>14714</v>
      </c>
      <c r="Q7833" t="s">
        <v>621</v>
      </c>
      <c r="R7833" t="s">
        <v>920</v>
      </c>
      <c r="S7833">
        <v>39</v>
      </c>
      <c r="T7833" s="29" t="str">
        <f t="shared" si="336"/>
        <v>2023.027P.Betaflexiviridae_rename.zip</v>
      </c>
      <c r="U7833" s="29" t="str">
        <f>HYPERLINK("https://ictv.global/taxonomy/taxondetails?taxnode_id=202302320","ictv.global=202302320")</f>
        <v>ictv.global=202302320</v>
      </c>
    </row>
    <row r="7834" spans="1:21">
      <c r="A7834">
        <v>7833</v>
      </c>
      <c r="B7834" s="30" t="s">
        <v>1226</v>
      </c>
      <c r="D7834" s="30" t="s">
        <v>2024</v>
      </c>
      <c r="F7834" s="30" t="s">
        <v>2032</v>
      </c>
      <c r="H7834" s="30" t="s">
        <v>2033</v>
      </c>
      <c r="J7834" s="30" t="s">
        <v>314</v>
      </c>
      <c r="L7834" s="30" t="s">
        <v>315</v>
      </c>
      <c r="M7834" s="30" t="s">
        <v>727</v>
      </c>
      <c r="N7834" s="30" t="s">
        <v>141</v>
      </c>
      <c r="P7834" s="30" t="s">
        <v>14715</v>
      </c>
      <c r="Q7834" t="s">
        <v>621</v>
      </c>
      <c r="R7834" t="s">
        <v>920</v>
      </c>
      <c r="S7834">
        <v>39</v>
      </c>
      <c r="T7834" s="29" t="str">
        <f t="shared" si="336"/>
        <v>2023.027P.Betaflexiviridae_rename.zip</v>
      </c>
      <c r="U7834" s="29" t="str">
        <f>HYPERLINK("https://ictv.global/taxonomy/taxondetails?taxnode_id=202313859","ictv.global=202313859")</f>
        <v>ictv.global=202313859</v>
      </c>
    </row>
    <row r="7835" spans="1:21">
      <c r="A7835">
        <v>7834</v>
      </c>
      <c r="B7835" s="30" t="s">
        <v>1226</v>
      </c>
      <c r="D7835" s="30" t="s">
        <v>2024</v>
      </c>
      <c r="F7835" s="30" t="s">
        <v>2032</v>
      </c>
      <c r="H7835" s="30" t="s">
        <v>2033</v>
      </c>
      <c r="J7835" s="30" t="s">
        <v>314</v>
      </c>
      <c r="L7835" s="30" t="s">
        <v>315</v>
      </c>
      <c r="M7835" s="30" t="s">
        <v>727</v>
      </c>
      <c r="N7835" s="30" t="s">
        <v>141</v>
      </c>
      <c r="P7835" s="30" t="s">
        <v>14716</v>
      </c>
      <c r="Q7835" t="s">
        <v>621</v>
      </c>
      <c r="R7835" t="s">
        <v>920</v>
      </c>
      <c r="S7835">
        <v>39</v>
      </c>
      <c r="T7835" s="29" t="str">
        <f t="shared" si="336"/>
        <v>2023.027P.Betaflexiviridae_rename.zip</v>
      </c>
      <c r="U7835" s="29" t="str">
        <f>HYPERLINK("https://ictv.global/taxonomy/taxondetails?taxnode_id=202313857","ictv.global=202313857")</f>
        <v>ictv.global=202313857</v>
      </c>
    </row>
    <row r="7836" spans="1:21">
      <c r="A7836">
        <v>7835</v>
      </c>
      <c r="B7836" s="30" t="s">
        <v>1226</v>
      </c>
      <c r="D7836" s="30" t="s">
        <v>2024</v>
      </c>
      <c r="F7836" s="30" t="s">
        <v>2032</v>
      </c>
      <c r="H7836" s="30" t="s">
        <v>2033</v>
      </c>
      <c r="J7836" s="30" t="s">
        <v>314</v>
      </c>
      <c r="L7836" s="30" t="s">
        <v>315</v>
      </c>
      <c r="M7836" s="30" t="s">
        <v>727</v>
      </c>
      <c r="N7836" s="30" t="s">
        <v>141</v>
      </c>
      <c r="P7836" s="30" t="s">
        <v>14717</v>
      </c>
      <c r="Q7836" t="s">
        <v>621</v>
      </c>
      <c r="R7836" t="s">
        <v>920</v>
      </c>
      <c r="S7836">
        <v>39</v>
      </c>
      <c r="T7836" s="29" t="str">
        <f t="shared" si="336"/>
        <v>2023.027P.Betaflexiviridae_rename.zip</v>
      </c>
      <c r="U7836" s="29" t="str">
        <f>HYPERLINK("https://ictv.global/taxonomy/taxondetails?taxnode_id=202302321","ictv.global=202302321")</f>
        <v>ictv.global=202302321</v>
      </c>
    </row>
    <row r="7837" spans="1:21">
      <c r="A7837">
        <v>7836</v>
      </c>
      <c r="B7837" s="30" t="s">
        <v>1226</v>
      </c>
      <c r="D7837" s="30" t="s">
        <v>2024</v>
      </c>
      <c r="F7837" s="30" t="s">
        <v>2032</v>
      </c>
      <c r="H7837" s="30" t="s">
        <v>2033</v>
      </c>
      <c r="J7837" s="30" t="s">
        <v>314</v>
      </c>
      <c r="L7837" s="30" t="s">
        <v>315</v>
      </c>
      <c r="M7837" s="30" t="s">
        <v>727</v>
      </c>
      <c r="N7837" s="30" t="s">
        <v>141</v>
      </c>
      <c r="P7837" s="30" t="s">
        <v>14718</v>
      </c>
      <c r="Q7837" t="s">
        <v>621</v>
      </c>
      <c r="R7837" t="s">
        <v>920</v>
      </c>
      <c r="S7837">
        <v>39</v>
      </c>
      <c r="T7837" s="29" t="str">
        <f t="shared" si="336"/>
        <v>2023.027P.Betaflexiviridae_rename.zip</v>
      </c>
      <c r="U7837" s="29" t="str">
        <f>HYPERLINK("https://ictv.global/taxonomy/taxondetails?taxnode_id=202302319","ictv.global=202302319")</f>
        <v>ictv.global=202302319</v>
      </c>
    </row>
    <row r="7838" spans="1:21">
      <c r="A7838">
        <v>7837</v>
      </c>
      <c r="B7838" s="30" t="s">
        <v>1226</v>
      </c>
      <c r="D7838" s="30" t="s">
        <v>2024</v>
      </c>
      <c r="F7838" s="30" t="s">
        <v>2032</v>
      </c>
      <c r="H7838" s="30" t="s">
        <v>2033</v>
      </c>
      <c r="J7838" s="30" t="s">
        <v>314</v>
      </c>
      <c r="L7838" s="30" t="s">
        <v>315</v>
      </c>
      <c r="M7838" s="30" t="s">
        <v>727</v>
      </c>
      <c r="N7838" s="30" t="s">
        <v>141</v>
      </c>
      <c r="P7838" s="30" t="s">
        <v>14719</v>
      </c>
      <c r="Q7838" t="s">
        <v>621</v>
      </c>
      <c r="R7838" t="s">
        <v>920</v>
      </c>
      <c r="S7838">
        <v>39</v>
      </c>
      <c r="T7838" s="29" t="str">
        <f t="shared" si="336"/>
        <v>2023.027P.Betaflexiviridae_rename.zip</v>
      </c>
      <c r="U7838" s="29" t="str">
        <f>HYPERLINK("https://ictv.global/taxonomy/taxondetails?taxnode_id=202313858","ictv.global=202313858")</f>
        <v>ictv.global=202313858</v>
      </c>
    </row>
    <row r="7839" spans="1:21">
      <c r="A7839">
        <v>7838</v>
      </c>
      <c r="B7839" s="30" t="s">
        <v>1226</v>
      </c>
      <c r="D7839" s="30" t="s">
        <v>2024</v>
      </c>
      <c r="F7839" s="30" t="s">
        <v>2032</v>
      </c>
      <c r="H7839" s="30" t="s">
        <v>2033</v>
      </c>
      <c r="J7839" s="30" t="s">
        <v>314</v>
      </c>
      <c r="L7839" s="30" t="s">
        <v>315</v>
      </c>
      <c r="M7839" s="30" t="s">
        <v>727</v>
      </c>
      <c r="N7839" s="30" t="s">
        <v>141</v>
      </c>
      <c r="P7839" s="30" t="s">
        <v>14720</v>
      </c>
      <c r="Q7839" t="s">
        <v>621</v>
      </c>
      <c r="R7839" t="s">
        <v>920</v>
      </c>
      <c r="S7839">
        <v>39</v>
      </c>
      <c r="T7839" s="29" t="str">
        <f t="shared" si="336"/>
        <v>2023.027P.Betaflexiviridae_rename.zip</v>
      </c>
      <c r="U7839" s="29" t="str">
        <f>HYPERLINK("https://ictv.global/taxonomy/taxondetails?taxnode_id=202302322","ictv.global=202302322")</f>
        <v>ictv.global=202302322</v>
      </c>
    </row>
    <row r="7840" spans="1:21">
      <c r="A7840">
        <v>7839</v>
      </c>
      <c r="B7840" s="30" t="s">
        <v>1226</v>
      </c>
      <c r="D7840" s="30" t="s">
        <v>2024</v>
      </c>
      <c r="F7840" s="30" t="s">
        <v>2032</v>
      </c>
      <c r="H7840" s="30" t="s">
        <v>2033</v>
      </c>
      <c r="J7840" s="30" t="s">
        <v>314</v>
      </c>
      <c r="L7840" s="30" t="s">
        <v>315</v>
      </c>
      <c r="M7840" s="30" t="s">
        <v>727</v>
      </c>
      <c r="N7840" s="30" t="s">
        <v>141</v>
      </c>
      <c r="P7840" s="30" t="s">
        <v>14721</v>
      </c>
      <c r="Q7840" t="s">
        <v>621</v>
      </c>
      <c r="R7840" t="s">
        <v>920</v>
      </c>
      <c r="S7840">
        <v>39</v>
      </c>
      <c r="T7840" s="29" t="str">
        <f t="shared" si="336"/>
        <v>2023.027P.Betaflexiviridae_rename.zip</v>
      </c>
      <c r="U7840" s="29" t="str">
        <f>HYPERLINK("https://ictv.global/taxonomy/taxondetails?taxnode_id=202302324","ictv.global=202302324")</f>
        <v>ictv.global=202302324</v>
      </c>
    </row>
    <row r="7841" spans="1:21">
      <c r="A7841">
        <v>7840</v>
      </c>
      <c r="B7841" s="30" t="s">
        <v>1226</v>
      </c>
      <c r="D7841" s="30" t="s">
        <v>2024</v>
      </c>
      <c r="F7841" s="30" t="s">
        <v>2032</v>
      </c>
      <c r="H7841" s="30" t="s">
        <v>2033</v>
      </c>
      <c r="J7841" s="30" t="s">
        <v>314</v>
      </c>
      <c r="L7841" s="30" t="s">
        <v>315</v>
      </c>
      <c r="M7841" s="30" t="s">
        <v>727</v>
      </c>
      <c r="N7841" s="30" t="s">
        <v>141</v>
      </c>
      <c r="P7841" s="30" t="s">
        <v>14722</v>
      </c>
      <c r="Q7841" t="s">
        <v>621</v>
      </c>
      <c r="R7841" t="s">
        <v>920</v>
      </c>
      <c r="S7841">
        <v>39</v>
      </c>
      <c r="T7841" s="29" t="str">
        <f t="shared" si="336"/>
        <v>2023.027P.Betaflexiviridae_rename.zip</v>
      </c>
      <c r="U7841" s="29" t="str">
        <f>HYPERLINK("https://ictv.global/taxonomy/taxondetails?taxnode_id=202302325","ictv.global=202302325")</f>
        <v>ictv.global=202302325</v>
      </c>
    </row>
    <row r="7842" spans="1:21">
      <c r="A7842">
        <v>7841</v>
      </c>
      <c r="B7842" s="30" t="s">
        <v>1226</v>
      </c>
      <c r="D7842" s="30" t="s">
        <v>2024</v>
      </c>
      <c r="F7842" s="30" t="s">
        <v>2032</v>
      </c>
      <c r="H7842" s="30" t="s">
        <v>2033</v>
      </c>
      <c r="J7842" s="30" t="s">
        <v>314</v>
      </c>
      <c r="L7842" s="30" t="s">
        <v>315</v>
      </c>
      <c r="M7842" s="30" t="s">
        <v>727</v>
      </c>
      <c r="N7842" s="30" t="s">
        <v>141</v>
      </c>
      <c r="P7842" s="30" t="s">
        <v>14723</v>
      </c>
      <c r="Q7842" t="s">
        <v>621</v>
      </c>
      <c r="R7842" t="s">
        <v>920</v>
      </c>
      <c r="S7842">
        <v>39</v>
      </c>
      <c r="T7842" s="29" t="str">
        <f t="shared" si="336"/>
        <v>2023.027P.Betaflexiviridae_rename.zip</v>
      </c>
      <c r="U7842" s="29" t="str">
        <f>HYPERLINK("https://ictv.global/taxonomy/taxondetails?taxnode_id=202302323","ictv.global=202302323")</f>
        <v>ictv.global=202302323</v>
      </c>
    </row>
    <row r="7843" spans="1:21">
      <c r="A7843">
        <v>7842</v>
      </c>
      <c r="B7843" s="30" t="s">
        <v>1226</v>
      </c>
      <c r="D7843" s="30" t="s">
        <v>2024</v>
      </c>
      <c r="F7843" s="30" t="s">
        <v>2032</v>
      </c>
      <c r="H7843" s="30" t="s">
        <v>2033</v>
      </c>
      <c r="J7843" s="30" t="s">
        <v>314</v>
      </c>
      <c r="L7843" s="30" t="s">
        <v>315</v>
      </c>
      <c r="M7843" s="30" t="s">
        <v>727</v>
      </c>
      <c r="N7843" s="30" t="s">
        <v>398</v>
      </c>
      <c r="P7843" s="30" t="s">
        <v>14724</v>
      </c>
      <c r="Q7843" t="s">
        <v>621</v>
      </c>
      <c r="R7843" t="s">
        <v>920</v>
      </c>
      <c r="S7843">
        <v>39</v>
      </c>
      <c r="T7843" s="29" t="str">
        <f t="shared" si="336"/>
        <v>2023.027P.Betaflexiviridae_rename.zip</v>
      </c>
      <c r="U7843" s="29" t="str">
        <f>HYPERLINK("https://ictv.global/taxonomy/taxondetails?taxnode_id=202302327","ictv.global=202302327")</f>
        <v>ictv.global=202302327</v>
      </c>
    </row>
    <row r="7844" spans="1:21">
      <c r="A7844">
        <v>7843</v>
      </c>
      <c r="B7844" s="30" t="s">
        <v>1226</v>
      </c>
      <c r="D7844" s="30" t="s">
        <v>2024</v>
      </c>
      <c r="F7844" s="30" t="s">
        <v>2032</v>
      </c>
      <c r="H7844" s="30" t="s">
        <v>2033</v>
      </c>
      <c r="J7844" s="30" t="s">
        <v>314</v>
      </c>
      <c r="L7844" s="30" t="s">
        <v>315</v>
      </c>
      <c r="M7844" s="30" t="s">
        <v>727</v>
      </c>
      <c r="N7844" s="30" t="s">
        <v>398</v>
      </c>
      <c r="P7844" s="30" t="s">
        <v>14725</v>
      </c>
      <c r="Q7844" t="s">
        <v>621</v>
      </c>
      <c r="R7844" t="s">
        <v>920</v>
      </c>
      <c r="S7844">
        <v>39</v>
      </c>
      <c r="T7844" s="29" t="str">
        <f t="shared" si="336"/>
        <v>2023.027P.Betaflexiviridae_rename.zip</v>
      </c>
      <c r="U7844" s="29" t="str">
        <f>HYPERLINK("https://ictv.global/taxonomy/taxondetails?taxnode_id=202306439","ictv.global=202306439")</f>
        <v>ictv.global=202306439</v>
      </c>
    </row>
    <row r="7845" spans="1:21">
      <c r="A7845">
        <v>7844</v>
      </c>
      <c r="B7845" s="30" t="s">
        <v>1226</v>
      </c>
      <c r="D7845" s="30" t="s">
        <v>2024</v>
      </c>
      <c r="F7845" s="30" t="s">
        <v>2032</v>
      </c>
      <c r="H7845" s="30" t="s">
        <v>2033</v>
      </c>
      <c r="J7845" s="30" t="s">
        <v>314</v>
      </c>
      <c r="L7845" s="30" t="s">
        <v>315</v>
      </c>
      <c r="M7845" s="30" t="s">
        <v>727</v>
      </c>
      <c r="N7845" s="30" t="s">
        <v>398</v>
      </c>
      <c r="P7845" s="30" t="s">
        <v>14726</v>
      </c>
      <c r="Q7845" t="s">
        <v>621</v>
      </c>
      <c r="R7845" t="s">
        <v>920</v>
      </c>
      <c r="S7845">
        <v>39</v>
      </c>
      <c r="T7845" s="29" t="str">
        <f t="shared" si="336"/>
        <v>2023.027P.Betaflexiviridae_rename.zip</v>
      </c>
      <c r="U7845" s="29" t="str">
        <f>HYPERLINK("https://ictv.global/taxonomy/taxondetails?taxnode_id=202302329","ictv.global=202302329")</f>
        <v>ictv.global=202302329</v>
      </c>
    </row>
    <row r="7846" spans="1:21">
      <c r="A7846">
        <v>7845</v>
      </c>
      <c r="B7846" s="30" t="s">
        <v>1226</v>
      </c>
      <c r="D7846" s="30" t="s">
        <v>2024</v>
      </c>
      <c r="F7846" s="30" t="s">
        <v>2032</v>
      </c>
      <c r="H7846" s="30" t="s">
        <v>2033</v>
      </c>
      <c r="J7846" s="30" t="s">
        <v>314</v>
      </c>
      <c r="L7846" s="30" t="s">
        <v>315</v>
      </c>
      <c r="M7846" s="30" t="s">
        <v>727</v>
      </c>
      <c r="N7846" s="30" t="s">
        <v>398</v>
      </c>
      <c r="P7846" s="30" t="s">
        <v>14727</v>
      </c>
      <c r="Q7846" t="s">
        <v>621</v>
      </c>
      <c r="R7846" t="s">
        <v>917</v>
      </c>
      <c r="S7846">
        <v>39</v>
      </c>
      <c r="T7846" s="29" t="str">
        <f>HYPERLINK("https://ictv.global/ictv/proposals/2023.028P.Betaflexiviridae_13nsp.zip","2023.028P.Betaflexiviridae_13nsp.zip")</f>
        <v>2023.028P.Betaflexiviridae_13nsp.zip</v>
      </c>
      <c r="U7846" s="29" t="str">
        <f>HYPERLINK("https://ictv.global/taxonomy/taxondetails?taxnode_id=202319029","ictv.global=202319029")</f>
        <v>ictv.global=202319029</v>
      </c>
    </row>
    <row r="7847" spans="1:21">
      <c r="A7847">
        <v>7846</v>
      </c>
      <c r="B7847" s="30" t="s">
        <v>1226</v>
      </c>
      <c r="D7847" s="30" t="s">
        <v>2024</v>
      </c>
      <c r="F7847" s="30" t="s">
        <v>2032</v>
      </c>
      <c r="H7847" s="30" t="s">
        <v>2033</v>
      </c>
      <c r="J7847" s="30" t="s">
        <v>314</v>
      </c>
      <c r="L7847" s="30" t="s">
        <v>315</v>
      </c>
      <c r="M7847" s="30" t="s">
        <v>727</v>
      </c>
      <c r="N7847" s="30" t="s">
        <v>398</v>
      </c>
      <c r="P7847" s="30" t="s">
        <v>14728</v>
      </c>
      <c r="Q7847" t="s">
        <v>621</v>
      </c>
      <c r="R7847" t="s">
        <v>920</v>
      </c>
      <c r="S7847">
        <v>39</v>
      </c>
      <c r="T7847" s="29" t="str">
        <f t="shared" ref="T7847:T7857" si="337">HYPERLINK("https://ictv.global/ictv/proposals/2023.027P.Betaflexiviridae_rename.zip","2023.027P.Betaflexiviridae_rename.zip")</f>
        <v>2023.027P.Betaflexiviridae_rename.zip</v>
      </c>
      <c r="U7847" s="29" t="str">
        <f>HYPERLINK("https://ictv.global/taxonomy/taxondetails?taxnode_id=202302328","ictv.global=202302328")</f>
        <v>ictv.global=202302328</v>
      </c>
    </row>
    <row r="7848" spans="1:21">
      <c r="A7848">
        <v>7847</v>
      </c>
      <c r="B7848" s="30" t="s">
        <v>1226</v>
      </c>
      <c r="D7848" s="30" t="s">
        <v>2024</v>
      </c>
      <c r="F7848" s="30" t="s">
        <v>2032</v>
      </c>
      <c r="H7848" s="30" t="s">
        <v>2033</v>
      </c>
      <c r="J7848" s="30" t="s">
        <v>314</v>
      </c>
      <c r="L7848" s="30" t="s">
        <v>315</v>
      </c>
      <c r="M7848" s="30" t="s">
        <v>727</v>
      </c>
      <c r="N7848" s="30" t="s">
        <v>398</v>
      </c>
      <c r="P7848" s="30" t="s">
        <v>14729</v>
      </c>
      <c r="Q7848" t="s">
        <v>621</v>
      </c>
      <c r="R7848" t="s">
        <v>920</v>
      </c>
      <c r="S7848">
        <v>39</v>
      </c>
      <c r="T7848" s="29" t="str">
        <f t="shared" si="337"/>
        <v>2023.027P.Betaflexiviridae_rename.zip</v>
      </c>
      <c r="U7848" s="29" t="str">
        <f>HYPERLINK("https://ictv.global/taxonomy/taxondetails?taxnode_id=202302330","ictv.global=202302330")</f>
        <v>ictv.global=202302330</v>
      </c>
    </row>
    <row r="7849" spans="1:21">
      <c r="A7849">
        <v>7848</v>
      </c>
      <c r="B7849" s="30" t="s">
        <v>1226</v>
      </c>
      <c r="D7849" s="30" t="s">
        <v>2024</v>
      </c>
      <c r="F7849" s="30" t="s">
        <v>2032</v>
      </c>
      <c r="H7849" s="30" t="s">
        <v>2033</v>
      </c>
      <c r="J7849" s="30" t="s">
        <v>314</v>
      </c>
      <c r="L7849" s="30" t="s">
        <v>315</v>
      </c>
      <c r="M7849" s="30" t="s">
        <v>727</v>
      </c>
      <c r="N7849" s="30" t="s">
        <v>398</v>
      </c>
      <c r="P7849" s="30" t="s">
        <v>14730</v>
      </c>
      <c r="Q7849" t="s">
        <v>621</v>
      </c>
      <c r="R7849" t="s">
        <v>920</v>
      </c>
      <c r="S7849">
        <v>39</v>
      </c>
      <c r="T7849" s="29" t="str">
        <f t="shared" si="337"/>
        <v>2023.027P.Betaflexiviridae_rename.zip</v>
      </c>
      <c r="U7849" s="29" t="str">
        <f>HYPERLINK("https://ictv.global/taxonomy/taxondetails?taxnode_id=202302331","ictv.global=202302331")</f>
        <v>ictv.global=202302331</v>
      </c>
    </row>
    <row r="7850" spans="1:21">
      <c r="A7850">
        <v>7849</v>
      </c>
      <c r="B7850" s="30" t="s">
        <v>1226</v>
      </c>
      <c r="D7850" s="30" t="s">
        <v>2024</v>
      </c>
      <c r="F7850" s="30" t="s">
        <v>2032</v>
      </c>
      <c r="H7850" s="30" t="s">
        <v>2033</v>
      </c>
      <c r="J7850" s="30" t="s">
        <v>314</v>
      </c>
      <c r="L7850" s="30" t="s">
        <v>315</v>
      </c>
      <c r="M7850" s="30" t="s">
        <v>727</v>
      </c>
      <c r="N7850" s="30" t="s">
        <v>398</v>
      </c>
      <c r="P7850" s="30" t="s">
        <v>14731</v>
      </c>
      <c r="Q7850" t="s">
        <v>621</v>
      </c>
      <c r="R7850" t="s">
        <v>920</v>
      </c>
      <c r="S7850">
        <v>39</v>
      </c>
      <c r="T7850" s="29" t="str">
        <f t="shared" si="337"/>
        <v>2023.027P.Betaflexiviridae_rename.zip</v>
      </c>
      <c r="U7850" s="29" t="str">
        <f>HYPERLINK("https://ictv.global/taxonomy/taxondetails?taxnode_id=202302335","ictv.global=202302335")</f>
        <v>ictv.global=202302335</v>
      </c>
    </row>
    <row r="7851" spans="1:21">
      <c r="A7851">
        <v>7850</v>
      </c>
      <c r="B7851" s="30" t="s">
        <v>1226</v>
      </c>
      <c r="D7851" s="30" t="s">
        <v>2024</v>
      </c>
      <c r="F7851" s="30" t="s">
        <v>2032</v>
      </c>
      <c r="H7851" s="30" t="s">
        <v>2033</v>
      </c>
      <c r="J7851" s="30" t="s">
        <v>314</v>
      </c>
      <c r="L7851" s="30" t="s">
        <v>315</v>
      </c>
      <c r="M7851" s="30" t="s">
        <v>727</v>
      </c>
      <c r="N7851" s="30" t="s">
        <v>398</v>
      </c>
      <c r="P7851" s="30" t="s">
        <v>14732</v>
      </c>
      <c r="Q7851" t="s">
        <v>621</v>
      </c>
      <c r="R7851" t="s">
        <v>920</v>
      </c>
      <c r="S7851">
        <v>39</v>
      </c>
      <c r="T7851" s="29" t="str">
        <f t="shared" si="337"/>
        <v>2023.027P.Betaflexiviridae_rename.zip</v>
      </c>
      <c r="U7851" s="29" t="str">
        <f>HYPERLINK("https://ictv.global/taxonomy/taxondetails?taxnode_id=202302332","ictv.global=202302332")</f>
        <v>ictv.global=202302332</v>
      </c>
    </row>
    <row r="7852" spans="1:21">
      <c r="A7852">
        <v>7851</v>
      </c>
      <c r="B7852" s="30" t="s">
        <v>1226</v>
      </c>
      <c r="D7852" s="30" t="s">
        <v>2024</v>
      </c>
      <c r="F7852" s="30" t="s">
        <v>2032</v>
      </c>
      <c r="H7852" s="30" t="s">
        <v>2033</v>
      </c>
      <c r="J7852" s="30" t="s">
        <v>314</v>
      </c>
      <c r="L7852" s="30" t="s">
        <v>315</v>
      </c>
      <c r="M7852" s="30" t="s">
        <v>727</v>
      </c>
      <c r="N7852" s="30" t="s">
        <v>398</v>
      </c>
      <c r="P7852" s="30" t="s">
        <v>14733</v>
      </c>
      <c r="Q7852" t="s">
        <v>621</v>
      </c>
      <c r="R7852" t="s">
        <v>920</v>
      </c>
      <c r="S7852">
        <v>39</v>
      </c>
      <c r="T7852" s="29" t="str">
        <f t="shared" si="337"/>
        <v>2023.027P.Betaflexiviridae_rename.zip</v>
      </c>
      <c r="U7852" s="29" t="str">
        <f>HYPERLINK("https://ictv.global/taxonomy/taxondetails?taxnode_id=202306481","ictv.global=202306481")</f>
        <v>ictv.global=202306481</v>
      </c>
    </row>
    <row r="7853" spans="1:21">
      <c r="A7853">
        <v>7852</v>
      </c>
      <c r="B7853" s="30" t="s">
        <v>1226</v>
      </c>
      <c r="D7853" s="30" t="s">
        <v>2024</v>
      </c>
      <c r="F7853" s="30" t="s">
        <v>2032</v>
      </c>
      <c r="H7853" s="30" t="s">
        <v>2033</v>
      </c>
      <c r="J7853" s="30" t="s">
        <v>314</v>
      </c>
      <c r="L7853" s="30" t="s">
        <v>315</v>
      </c>
      <c r="M7853" s="30" t="s">
        <v>727</v>
      </c>
      <c r="N7853" s="30" t="s">
        <v>398</v>
      </c>
      <c r="P7853" s="30" t="s">
        <v>14734</v>
      </c>
      <c r="Q7853" t="s">
        <v>621</v>
      </c>
      <c r="R7853" t="s">
        <v>920</v>
      </c>
      <c r="S7853">
        <v>39</v>
      </c>
      <c r="T7853" s="29" t="str">
        <f t="shared" si="337"/>
        <v>2023.027P.Betaflexiviridae_rename.zip</v>
      </c>
      <c r="U7853" s="29" t="str">
        <f>HYPERLINK("https://ictv.global/taxonomy/taxondetails?taxnode_id=202306476","ictv.global=202306476")</f>
        <v>ictv.global=202306476</v>
      </c>
    </row>
    <row r="7854" spans="1:21">
      <c r="A7854">
        <v>7853</v>
      </c>
      <c r="B7854" s="30" t="s">
        <v>1226</v>
      </c>
      <c r="D7854" s="30" t="s">
        <v>2024</v>
      </c>
      <c r="F7854" s="30" t="s">
        <v>2032</v>
      </c>
      <c r="H7854" s="30" t="s">
        <v>2033</v>
      </c>
      <c r="J7854" s="30" t="s">
        <v>314</v>
      </c>
      <c r="L7854" s="30" t="s">
        <v>315</v>
      </c>
      <c r="M7854" s="30" t="s">
        <v>727</v>
      </c>
      <c r="N7854" s="30" t="s">
        <v>398</v>
      </c>
      <c r="P7854" s="30" t="s">
        <v>14735</v>
      </c>
      <c r="Q7854" t="s">
        <v>621</v>
      </c>
      <c r="R7854" t="s">
        <v>920</v>
      </c>
      <c r="S7854">
        <v>39</v>
      </c>
      <c r="T7854" s="29" t="str">
        <f t="shared" si="337"/>
        <v>2023.027P.Betaflexiviridae_rename.zip</v>
      </c>
      <c r="U7854" s="29" t="str">
        <f>HYPERLINK("https://ictv.global/taxonomy/taxondetails?taxnode_id=202306487","ictv.global=202306487")</f>
        <v>ictv.global=202306487</v>
      </c>
    </row>
    <row r="7855" spans="1:21">
      <c r="A7855">
        <v>7854</v>
      </c>
      <c r="B7855" s="30" t="s">
        <v>1226</v>
      </c>
      <c r="D7855" s="30" t="s">
        <v>2024</v>
      </c>
      <c r="F7855" s="30" t="s">
        <v>2032</v>
      </c>
      <c r="H7855" s="30" t="s">
        <v>2033</v>
      </c>
      <c r="J7855" s="30" t="s">
        <v>314</v>
      </c>
      <c r="L7855" s="30" t="s">
        <v>315</v>
      </c>
      <c r="M7855" s="30" t="s">
        <v>727</v>
      </c>
      <c r="N7855" s="30" t="s">
        <v>398</v>
      </c>
      <c r="P7855" s="30" t="s">
        <v>14736</v>
      </c>
      <c r="Q7855" t="s">
        <v>621</v>
      </c>
      <c r="R7855" t="s">
        <v>920</v>
      </c>
      <c r="S7855">
        <v>39</v>
      </c>
      <c r="T7855" s="29" t="str">
        <f t="shared" si="337"/>
        <v>2023.027P.Betaflexiviridae_rename.zip</v>
      </c>
      <c r="U7855" s="29" t="str">
        <f>HYPERLINK("https://ictv.global/taxonomy/taxondetails?taxnode_id=202306493","ictv.global=202306493")</f>
        <v>ictv.global=202306493</v>
      </c>
    </row>
    <row r="7856" spans="1:21">
      <c r="A7856">
        <v>7855</v>
      </c>
      <c r="B7856" s="30" t="s">
        <v>1226</v>
      </c>
      <c r="D7856" s="30" t="s">
        <v>2024</v>
      </c>
      <c r="F7856" s="30" t="s">
        <v>2032</v>
      </c>
      <c r="H7856" s="30" t="s">
        <v>2033</v>
      </c>
      <c r="J7856" s="30" t="s">
        <v>314</v>
      </c>
      <c r="L7856" s="30" t="s">
        <v>315</v>
      </c>
      <c r="M7856" s="30" t="s">
        <v>727</v>
      </c>
      <c r="N7856" s="30" t="s">
        <v>398</v>
      </c>
      <c r="P7856" s="30" t="s">
        <v>14737</v>
      </c>
      <c r="Q7856" t="s">
        <v>621</v>
      </c>
      <c r="R7856" t="s">
        <v>920</v>
      </c>
      <c r="S7856">
        <v>39</v>
      </c>
      <c r="T7856" s="29" t="str">
        <f t="shared" si="337"/>
        <v>2023.027P.Betaflexiviridae_rename.zip</v>
      </c>
      <c r="U7856" s="29" t="str">
        <f>HYPERLINK("https://ictv.global/taxonomy/taxondetails?taxnode_id=202313861","ictv.global=202313861")</f>
        <v>ictv.global=202313861</v>
      </c>
    </row>
    <row r="7857" spans="1:21">
      <c r="A7857">
        <v>7856</v>
      </c>
      <c r="B7857" s="30" t="s">
        <v>1226</v>
      </c>
      <c r="D7857" s="30" t="s">
        <v>2024</v>
      </c>
      <c r="F7857" s="30" t="s">
        <v>2032</v>
      </c>
      <c r="H7857" s="30" t="s">
        <v>2033</v>
      </c>
      <c r="J7857" s="30" t="s">
        <v>314</v>
      </c>
      <c r="L7857" s="30" t="s">
        <v>315</v>
      </c>
      <c r="M7857" s="30" t="s">
        <v>727</v>
      </c>
      <c r="N7857" s="30" t="s">
        <v>398</v>
      </c>
      <c r="P7857" s="30" t="s">
        <v>14738</v>
      </c>
      <c r="Q7857" t="s">
        <v>621</v>
      </c>
      <c r="R7857" t="s">
        <v>920</v>
      </c>
      <c r="S7857">
        <v>39</v>
      </c>
      <c r="T7857" s="29" t="str">
        <f t="shared" si="337"/>
        <v>2023.027P.Betaflexiviridae_rename.zip</v>
      </c>
      <c r="U7857" s="29" t="str">
        <f>HYPERLINK("https://ictv.global/taxonomy/taxondetails?taxnode_id=202302334","ictv.global=202302334")</f>
        <v>ictv.global=202302334</v>
      </c>
    </row>
    <row r="7858" spans="1:21">
      <c r="A7858">
        <v>7857</v>
      </c>
      <c r="B7858" s="30" t="s">
        <v>1226</v>
      </c>
      <c r="D7858" s="30" t="s">
        <v>2024</v>
      </c>
      <c r="F7858" s="30" t="s">
        <v>2032</v>
      </c>
      <c r="H7858" s="30" t="s">
        <v>2033</v>
      </c>
      <c r="J7858" s="30" t="s">
        <v>314</v>
      </c>
      <c r="L7858" s="30" t="s">
        <v>315</v>
      </c>
      <c r="M7858" s="30" t="s">
        <v>727</v>
      </c>
      <c r="N7858" s="30" t="s">
        <v>398</v>
      </c>
      <c r="P7858" s="30" t="s">
        <v>14739</v>
      </c>
      <c r="Q7858" t="s">
        <v>621</v>
      </c>
      <c r="R7858" t="s">
        <v>917</v>
      </c>
      <c r="S7858">
        <v>39</v>
      </c>
      <c r="T7858" s="29" t="str">
        <f>HYPERLINK("https://ictv.global/ictv/proposals/2023.028P.Betaflexiviridae_13nsp.zip","2023.028P.Betaflexiviridae_13nsp.zip")</f>
        <v>2023.028P.Betaflexiviridae_13nsp.zip</v>
      </c>
      <c r="U7858" s="29" t="str">
        <f>HYPERLINK("https://ictv.global/taxonomy/taxondetails?taxnode_id=202319028","ictv.global=202319028")</f>
        <v>ictv.global=202319028</v>
      </c>
    </row>
    <row r="7859" spans="1:21">
      <c r="A7859">
        <v>7858</v>
      </c>
      <c r="B7859" s="30" t="s">
        <v>1226</v>
      </c>
      <c r="D7859" s="30" t="s">
        <v>2024</v>
      </c>
      <c r="F7859" s="30" t="s">
        <v>2032</v>
      </c>
      <c r="H7859" s="30" t="s">
        <v>2033</v>
      </c>
      <c r="J7859" s="30" t="s">
        <v>314</v>
      </c>
      <c r="L7859" s="30" t="s">
        <v>315</v>
      </c>
      <c r="M7859" s="30" t="s">
        <v>727</v>
      </c>
      <c r="N7859" s="30" t="s">
        <v>398</v>
      </c>
      <c r="P7859" s="30" t="s">
        <v>14740</v>
      </c>
      <c r="Q7859" t="s">
        <v>621</v>
      </c>
      <c r="R7859" t="s">
        <v>920</v>
      </c>
      <c r="S7859">
        <v>39</v>
      </c>
      <c r="T7859" s="29" t="str">
        <f>HYPERLINK("https://ictv.global/ictv/proposals/2023.027P.Betaflexiviridae_rename.zip","2023.027P.Betaflexiviridae_rename.zip")</f>
        <v>2023.027P.Betaflexiviridae_rename.zip</v>
      </c>
      <c r="U7859" s="29" t="str">
        <f>HYPERLINK("https://ictv.global/taxonomy/taxondetails?taxnode_id=202302333","ictv.global=202302333")</f>
        <v>ictv.global=202302333</v>
      </c>
    </row>
    <row r="7860" spans="1:21">
      <c r="A7860">
        <v>7859</v>
      </c>
      <c r="B7860" s="30" t="s">
        <v>1226</v>
      </c>
      <c r="D7860" s="30" t="s">
        <v>2024</v>
      </c>
      <c r="F7860" s="30" t="s">
        <v>2032</v>
      </c>
      <c r="H7860" s="30" t="s">
        <v>2033</v>
      </c>
      <c r="J7860" s="30" t="s">
        <v>314</v>
      </c>
      <c r="L7860" s="30" t="s">
        <v>315</v>
      </c>
      <c r="M7860" s="30" t="s">
        <v>727</v>
      </c>
      <c r="N7860" s="30" t="s">
        <v>398</v>
      </c>
      <c r="P7860" s="30" t="s">
        <v>14741</v>
      </c>
      <c r="Q7860" t="s">
        <v>621</v>
      </c>
      <c r="R7860" t="s">
        <v>920</v>
      </c>
      <c r="S7860">
        <v>39</v>
      </c>
      <c r="T7860" s="29" t="str">
        <f>HYPERLINK("https://ictv.global/ictv/proposals/2023.027P.Betaflexiviridae_rename.zip","2023.027P.Betaflexiviridae_rename.zip")</f>
        <v>2023.027P.Betaflexiviridae_rename.zip</v>
      </c>
      <c r="U7860" s="29" t="str">
        <f>HYPERLINK("https://ictv.global/taxonomy/taxondetails?taxnode_id=202313860","ictv.global=202313860")</f>
        <v>ictv.global=202313860</v>
      </c>
    </row>
    <row r="7861" spans="1:21">
      <c r="A7861">
        <v>7860</v>
      </c>
      <c r="B7861" s="30" t="s">
        <v>1226</v>
      </c>
      <c r="D7861" s="30" t="s">
        <v>2024</v>
      </c>
      <c r="F7861" s="30" t="s">
        <v>2032</v>
      </c>
      <c r="H7861" s="30" t="s">
        <v>2033</v>
      </c>
      <c r="J7861" s="30" t="s">
        <v>314</v>
      </c>
      <c r="L7861" s="30" t="s">
        <v>315</v>
      </c>
      <c r="M7861" s="30" t="s">
        <v>727</v>
      </c>
      <c r="N7861" s="30" t="s">
        <v>398</v>
      </c>
      <c r="P7861" s="30" t="s">
        <v>14742</v>
      </c>
      <c r="Q7861" t="s">
        <v>621</v>
      </c>
      <c r="R7861" t="s">
        <v>920</v>
      </c>
      <c r="S7861">
        <v>39</v>
      </c>
      <c r="T7861" s="29" t="str">
        <f>HYPERLINK("https://ictv.global/ictv/proposals/2023.027P.Betaflexiviridae_rename.zip","2023.027P.Betaflexiviridae_rename.zip")</f>
        <v>2023.027P.Betaflexiviridae_rename.zip</v>
      </c>
      <c r="U7861" s="29" t="str">
        <f>HYPERLINK("https://ictv.global/taxonomy/taxondetails?taxnode_id=202305644","ictv.global=202305644")</f>
        <v>ictv.global=202305644</v>
      </c>
    </row>
    <row r="7862" spans="1:21">
      <c r="A7862">
        <v>7861</v>
      </c>
      <c r="B7862" s="30" t="s">
        <v>1226</v>
      </c>
      <c r="D7862" s="30" t="s">
        <v>2024</v>
      </c>
      <c r="F7862" s="30" t="s">
        <v>2032</v>
      </c>
      <c r="H7862" s="30" t="s">
        <v>2033</v>
      </c>
      <c r="J7862" s="30" t="s">
        <v>314</v>
      </c>
      <c r="L7862" s="30" t="s">
        <v>315</v>
      </c>
      <c r="M7862" s="30" t="s">
        <v>727</v>
      </c>
      <c r="N7862" s="30" t="s">
        <v>1288</v>
      </c>
      <c r="P7862" s="30" t="s">
        <v>14743</v>
      </c>
      <c r="Q7862" t="s">
        <v>621</v>
      </c>
      <c r="R7862" t="s">
        <v>920</v>
      </c>
      <c r="S7862">
        <v>39</v>
      </c>
      <c r="T7862" s="29" t="str">
        <f>HYPERLINK("https://ictv.global/ictv/proposals/2023.027P.Betaflexiviridae_rename.zip","2023.027P.Betaflexiviridae_rename.zip")</f>
        <v>2023.027P.Betaflexiviridae_rename.zip</v>
      </c>
      <c r="U7862" s="29" t="str">
        <f>HYPERLINK("https://ictv.global/taxonomy/taxondetails?taxnode_id=202306419","ictv.global=202306419")</f>
        <v>ictv.global=202306419</v>
      </c>
    </row>
    <row r="7863" spans="1:21">
      <c r="A7863">
        <v>7862</v>
      </c>
      <c r="B7863" s="30" t="s">
        <v>1226</v>
      </c>
      <c r="D7863" s="30" t="s">
        <v>2024</v>
      </c>
      <c r="F7863" s="30" t="s">
        <v>2032</v>
      </c>
      <c r="H7863" s="30" t="s">
        <v>2033</v>
      </c>
      <c r="J7863" s="30" t="s">
        <v>314</v>
      </c>
      <c r="L7863" s="30" t="s">
        <v>967</v>
      </c>
      <c r="N7863" s="30" t="s">
        <v>968</v>
      </c>
      <c r="P7863" s="30" t="s">
        <v>14744</v>
      </c>
      <c r="Q7863" t="s">
        <v>621</v>
      </c>
      <c r="R7863" t="s">
        <v>920</v>
      </c>
      <c r="S7863">
        <v>39</v>
      </c>
      <c r="T7863" s="29" t="str">
        <f>HYPERLINK("https://ictv.global/ictv/proposals/2023.013F.Deltaflexiviridae_1nsp_spren.zip","2023.013F.Deltaflexiviridae_1nsp_spren.zip")</f>
        <v>2023.013F.Deltaflexiviridae_1nsp_spren.zip</v>
      </c>
      <c r="U7863" s="29" t="str">
        <f>HYPERLINK("https://ictv.global/taxonomy/taxondetails?taxnode_id=202305645","ictv.global=202305645")</f>
        <v>ictv.global=202305645</v>
      </c>
    </row>
    <row r="7864" spans="1:21">
      <c r="A7864">
        <v>7863</v>
      </c>
      <c r="B7864" s="30" t="s">
        <v>1226</v>
      </c>
      <c r="D7864" s="30" t="s">
        <v>2024</v>
      </c>
      <c r="F7864" s="30" t="s">
        <v>2032</v>
      </c>
      <c r="H7864" s="30" t="s">
        <v>2033</v>
      </c>
      <c r="J7864" s="30" t="s">
        <v>314</v>
      </c>
      <c r="L7864" s="30" t="s">
        <v>967</v>
      </c>
      <c r="N7864" s="30" t="s">
        <v>968</v>
      </c>
      <c r="P7864" s="30" t="s">
        <v>14745</v>
      </c>
      <c r="Q7864" t="s">
        <v>621</v>
      </c>
      <c r="R7864" t="s">
        <v>920</v>
      </c>
      <c r="S7864">
        <v>39</v>
      </c>
      <c r="T7864" s="29" t="str">
        <f>HYPERLINK("https://ictv.global/ictv/proposals/2023.013F.Deltaflexiviridae_1nsp_spren.zip","2023.013F.Deltaflexiviridae_1nsp_spren.zip")</f>
        <v>2023.013F.Deltaflexiviridae_1nsp_spren.zip</v>
      </c>
      <c r="U7864" s="29" t="str">
        <f>HYPERLINK("https://ictv.global/taxonomy/taxondetails?taxnode_id=202305647","ictv.global=202305647")</f>
        <v>ictv.global=202305647</v>
      </c>
    </row>
    <row r="7865" spans="1:21">
      <c r="A7865">
        <v>7864</v>
      </c>
      <c r="B7865" s="30" t="s">
        <v>1226</v>
      </c>
      <c r="D7865" s="30" t="s">
        <v>2024</v>
      </c>
      <c r="F7865" s="30" t="s">
        <v>2032</v>
      </c>
      <c r="H7865" s="30" t="s">
        <v>2033</v>
      </c>
      <c r="J7865" s="30" t="s">
        <v>314</v>
      </c>
      <c r="L7865" s="30" t="s">
        <v>967</v>
      </c>
      <c r="N7865" s="30" t="s">
        <v>968</v>
      </c>
      <c r="P7865" s="30" t="s">
        <v>14746</v>
      </c>
      <c r="Q7865" t="s">
        <v>621</v>
      </c>
      <c r="R7865" t="s">
        <v>917</v>
      </c>
      <c r="S7865">
        <v>39</v>
      </c>
      <c r="T7865" s="29" t="str">
        <f>HYPERLINK("https://ictv.global/ictv/proposals/2023.013F.Deltaflexiviridae_1nsp_spren.zip","2023.013F.Deltaflexiviridae_1nsp_spren.zip")</f>
        <v>2023.013F.Deltaflexiviridae_1nsp_spren.zip</v>
      </c>
      <c r="U7865" s="29" t="str">
        <f>HYPERLINK("https://ictv.global/taxonomy/taxondetails?taxnode_id=202318067","ictv.global=202318067")</f>
        <v>ictv.global=202318067</v>
      </c>
    </row>
    <row r="7866" spans="1:21">
      <c r="A7866">
        <v>7865</v>
      </c>
      <c r="B7866" s="30" t="s">
        <v>1226</v>
      </c>
      <c r="D7866" s="30" t="s">
        <v>2024</v>
      </c>
      <c r="F7866" s="30" t="s">
        <v>2032</v>
      </c>
      <c r="H7866" s="30" t="s">
        <v>2033</v>
      </c>
      <c r="J7866" s="30" t="s">
        <v>314</v>
      </c>
      <c r="L7866" s="30" t="s">
        <v>967</v>
      </c>
      <c r="N7866" s="30" t="s">
        <v>968</v>
      </c>
      <c r="P7866" s="30" t="s">
        <v>14747</v>
      </c>
      <c r="Q7866" t="s">
        <v>621</v>
      </c>
      <c r="R7866" t="s">
        <v>920</v>
      </c>
      <c r="S7866">
        <v>39</v>
      </c>
      <c r="T7866" s="29" t="str">
        <f>HYPERLINK("https://ictv.global/ictv/proposals/2023.013F.Deltaflexiviridae_1nsp_spren.zip","2023.013F.Deltaflexiviridae_1nsp_spren.zip")</f>
        <v>2023.013F.Deltaflexiviridae_1nsp_spren.zip</v>
      </c>
      <c r="U7866" s="29" t="str">
        <f>HYPERLINK("https://ictv.global/taxonomy/taxondetails?taxnode_id=202305646","ictv.global=202305646")</f>
        <v>ictv.global=202305646</v>
      </c>
    </row>
    <row r="7867" spans="1:21">
      <c r="A7867">
        <v>7866</v>
      </c>
      <c r="B7867" s="30" t="s">
        <v>1226</v>
      </c>
      <c r="D7867" s="30" t="s">
        <v>2024</v>
      </c>
      <c r="F7867" s="30" t="s">
        <v>2032</v>
      </c>
      <c r="H7867" s="30" t="s">
        <v>2033</v>
      </c>
      <c r="J7867" s="30" t="s">
        <v>314</v>
      </c>
      <c r="L7867" s="30" t="s">
        <v>406</v>
      </c>
      <c r="N7867" s="30" t="s">
        <v>9200</v>
      </c>
      <c r="P7867" s="30" t="s">
        <v>14748</v>
      </c>
      <c r="Q7867" t="s">
        <v>621</v>
      </c>
      <c r="R7867" t="s">
        <v>920</v>
      </c>
      <c r="S7867">
        <v>39</v>
      </c>
      <c r="T7867" s="29" t="str">
        <f>HYPERLINK("https://ictv.global/ictv/proposals/2023.014F.Gammaflexiviridae_spren.zip","2023.014F.Gammaflexiviridae_spren.zip")</f>
        <v>2023.014F.Gammaflexiviridae_spren.zip</v>
      </c>
      <c r="U7867" s="29" t="str">
        <f>HYPERLINK("https://ictv.global/taxonomy/taxondetails?taxnode_id=202312524","ictv.global=202312524")</f>
        <v>ictv.global=202312524</v>
      </c>
    </row>
    <row r="7868" spans="1:21">
      <c r="A7868">
        <v>7867</v>
      </c>
      <c r="B7868" s="30" t="s">
        <v>1226</v>
      </c>
      <c r="D7868" s="30" t="s">
        <v>2024</v>
      </c>
      <c r="F7868" s="30" t="s">
        <v>2032</v>
      </c>
      <c r="H7868" s="30" t="s">
        <v>2033</v>
      </c>
      <c r="J7868" s="30" t="s">
        <v>314</v>
      </c>
      <c r="L7868" s="30" t="s">
        <v>406</v>
      </c>
      <c r="N7868" s="30" t="s">
        <v>9200</v>
      </c>
      <c r="P7868" s="30" t="s">
        <v>14749</v>
      </c>
      <c r="Q7868" t="s">
        <v>621</v>
      </c>
      <c r="R7868" t="s">
        <v>920</v>
      </c>
      <c r="S7868">
        <v>39</v>
      </c>
      <c r="T7868" s="29" t="str">
        <f>HYPERLINK("https://ictv.global/ictv/proposals/2023.014F.Gammaflexiviridae_spren.zip","2023.014F.Gammaflexiviridae_spren.zip")</f>
        <v>2023.014F.Gammaflexiviridae_spren.zip</v>
      </c>
      <c r="U7868" s="29" t="str">
        <f>HYPERLINK("https://ictv.global/taxonomy/taxondetails?taxnode_id=202312525","ictv.global=202312525")</f>
        <v>ictv.global=202312525</v>
      </c>
    </row>
    <row r="7869" spans="1:21">
      <c r="A7869">
        <v>7868</v>
      </c>
      <c r="B7869" s="30" t="s">
        <v>1226</v>
      </c>
      <c r="D7869" s="30" t="s">
        <v>2024</v>
      </c>
      <c r="F7869" s="30" t="s">
        <v>2032</v>
      </c>
      <c r="H7869" s="30" t="s">
        <v>2033</v>
      </c>
      <c r="J7869" s="30" t="s">
        <v>314</v>
      </c>
      <c r="L7869" s="30" t="s">
        <v>406</v>
      </c>
      <c r="N7869" s="30" t="s">
        <v>132</v>
      </c>
      <c r="P7869" s="30" t="s">
        <v>14750</v>
      </c>
      <c r="Q7869" t="s">
        <v>621</v>
      </c>
      <c r="R7869" t="s">
        <v>920</v>
      </c>
      <c r="S7869">
        <v>39</v>
      </c>
      <c r="T7869" s="29" t="str">
        <f>HYPERLINK("https://ictv.global/ictv/proposals/2023.014F.Gammaflexiviridae_spren.zip","2023.014F.Gammaflexiviridae_spren.zip")</f>
        <v>2023.014F.Gammaflexiviridae_spren.zip</v>
      </c>
      <c r="U7869" s="29" t="str">
        <f>HYPERLINK("https://ictv.global/taxonomy/taxondetails?taxnode_id=202302340","ictv.global=202302340")</f>
        <v>ictv.global=202302340</v>
      </c>
    </row>
    <row r="7870" spans="1:21">
      <c r="A7870">
        <v>7869</v>
      </c>
      <c r="B7870" s="30" t="s">
        <v>1226</v>
      </c>
      <c r="D7870" s="30" t="s">
        <v>2024</v>
      </c>
      <c r="F7870" s="30" t="s">
        <v>2032</v>
      </c>
      <c r="H7870" s="30" t="s">
        <v>2033</v>
      </c>
      <c r="J7870" s="30" t="s">
        <v>314</v>
      </c>
      <c r="L7870" s="30" t="s">
        <v>406</v>
      </c>
      <c r="N7870" s="30" t="s">
        <v>9201</v>
      </c>
      <c r="P7870" s="30" t="s">
        <v>14751</v>
      </c>
      <c r="Q7870" t="s">
        <v>621</v>
      </c>
      <c r="R7870" t="s">
        <v>920</v>
      </c>
      <c r="S7870">
        <v>39</v>
      </c>
      <c r="T7870" s="29" t="str">
        <f>HYPERLINK("https://ictv.global/ictv/proposals/2023.014F.Gammaflexiviridae_spren.zip","2023.014F.Gammaflexiviridae_spren.zip")</f>
        <v>2023.014F.Gammaflexiviridae_spren.zip</v>
      </c>
      <c r="U7870" s="29" t="str">
        <f>HYPERLINK("https://ictv.global/taxonomy/taxondetails?taxnode_id=202312527","ictv.global=202312527")</f>
        <v>ictv.global=202312527</v>
      </c>
    </row>
    <row r="7871" spans="1:21">
      <c r="A7871">
        <v>7870</v>
      </c>
      <c r="B7871" s="30" t="s">
        <v>1226</v>
      </c>
      <c r="D7871" s="30" t="s">
        <v>2024</v>
      </c>
      <c r="F7871" s="30" t="s">
        <v>2032</v>
      </c>
      <c r="H7871" s="30" t="s">
        <v>2033</v>
      </c>
      <c r="J7871" s="30" t="s">
        <v>314</v>
      </c>
      <c r="L7871" s="30" t="s">
        <v>347</v>
      </c>
      <c r="N7871" s="30" t="s">
        <v>348</v>
      </c>
      <c r="P7871" s="30" t="s">
        <v>9202</v>
      </c>
      <c r="Q7871" t="s">
        <v>621</v>
      </c>
      <c r="R7871" t="s">
        <v>920</v>
      </c>
      <c r="S7871">
        <v>38</v>
      </c>
      <c r="T7871" s="29" t="str">
        <f t="shared" ref="T7871:T7881" si="338">HYPERLINK("https://ictv.global/ictv/proposals/2022.013P.Tymoviridae_rename.zip","2022.013P.Tymoviridae_rename.zip")</f>
        <v>2022.013P.Tymoviridae_rename.zip</v>
      </c>
      <c r="U7871" s="29" t="str">
        <f>HYPERLINK("https://ictv.global/taxonomy/taxondetails?taxnode_id=202302344","ictv.global=202302344")</f>
        <v>ictv.global=202302344</v>
      </c>
    </row>
    <row r="7872" spans="1:21">
      <c r="A7872">
        <v>7871</v>
      </c>
      <c r="B7872" s="30" t="s">
        <v>1226</v>
      </c>
      <c r="D7872" s="30" t="s">
        <v>2024</v>
      </c>
      <c r="F7872" s="30" t="s">
        <v>2032</v>
      </c>
      <c r="H7872" s="30" t="s">
        <v>2033</v>
      </c>
      <c r="J7872" s="30" t="s">
        <v>314</v>
      </c>
      <c r="L7872" s="30" t="s">
        <v>347</v>
      </c>
      <c r="N7872" s="30" t="s">
        <v>349</v>
      </c>
      <c r="P7872" s="30" t="s">
        <v>9203</v>
      </c>
      <c r="Q7872" t="s">
        <v>621</v>
      </c>
      <c r="R7872" t="s">
        <v>920</v>
      </c>
      <c r="S7872">
        <v>38</v>
      </c>
      <c r="T7872" s="29" t="str">
        <f t="shared" si="338"/>
        <v>2022.013P.Tymoviridae_rename.zip</v>
      </c>
      <c r="U7872" s="29" t="str">
        <f>HYPERLINK("https://ictv.global/taxonomy/taxondetails?taxnode_id=202305650","ictv.global=202305650")</f>
        <v>ictv.global=202305650</v>
      </c>
    </row>
    <row r="7873" spans="1:21">
      <c r="A7873">
        <v>7872</v>
      </c>
      <c r="B7873" s="30" t="s">
        <v>1226</v>
      </c>
      <c r="D7873" s="30" t="s">
        <v>2024</v>
      </c>
      <c r="F7873" s="30" t="s">
        <v>2032</v>
      </c>
      <c r="H7873" s="30" t="s">
        <v>2033</v>
      </c>
      <c r="J7873" s="30" t="s">
        <v>314</v>
      </c>
      <c r="L7873" s="30" t="s">
        <v>347</v>
      </c>
      <c r="N7873" s="30" t="s">
        <v>349</v>
      </c>
      <c r="P7873" s="30" t="s">
        <v>9204</v>
      </c>
      <c r="Q7873" t="s">
        <v>621</v>
      </c>
      <c r="R7873" t="s">
        <v>920</v>
      </c>
      <c r="S7873">
        <v>38</v>
      </c>
      <c r="T7873" s="29" t="str">
        <f t="shared" si="338"/>
        <v>2022.013P.Tymoviridae_rename.zip</v>
      </c>
      <c r="U7873" s="29" t="str">
        <f>HYPERLINK("https://ictv.global/taxonomy/taxondetails?taxnode_id=202302352","ictv.global=202302352")</f>
        <v>ictv.global=202302352</v>
      </c>
    </row>
    <row r="7874" spans="1:21">
      <c r="A7874">
        <v>7873</v>
      </c>
      <c r="B7874" s="30" t="s">
        <v>1226</v>
      </c>
      <c r="D7874" s="30" t="s">
        <v>2024</v>
      </c>
      <c r="F7874" s="30" t="s">
        <v>2032</v>
      </c>
      <c r="H7874" s="30" t="s">
        <v>2033</v>
      </c>
      <c r="J7874" s="30" t="s">
        <v>314</v>
      </c>
      <c r="L7874" s="30" t="s">
        <v>347</v>
      </c>
      <c r="N7874" s="30" t="s">
        <v>349</v>
      </c>
      <c r="P7874" s="30" t="s">
        <v>9205</v>
      </c>
      <c r="Q7874" t="s">
        <v>621</v>
      </c>
      <c r="R7874" t="s">
        <v>920</v>
      </c>
      <c r="S7874">
        <v>38</v>
      </c>
      <c r="T7874" s="29" t="str">
        <f t="shared" si="338"/>
        <v>2022.013P.Tymoviridae_rename.zip</v>
      </c>
      <c r="U7874" s="29" t="str">
        <f>HYPERLINK("https://ictv.global/taxonomy/taxondetails?taxnode_id=202302348","ictv.global=202302348")</f>
        <v>ictv.global=202302348</v>
      </c>
    </row>
    <row r="7875" spans="1:21">
      <c r="A7875">
        <v>7874</v>
      </c>
      <c r="B7875" s="30" t="s">
        <v>1226</v>
      </c>
      <c r="D7875" s="30" t="s">
        <v>2024</v>
      </c>
      <c r="F7875" s="30" t="s">
        <v>2032</v>
      </c>
      <c r="H7875" s="30" t="s">
        <v>2033</v>
      </c>
      <c r="J7875" s="30" t="s">
        <v>314</v>
      </c>
      <c r="L7875" s="30" t="s">
        <v>347</v>
      </c>
      <c r="N7875" s="30" t="s">
        <v>349</v>
      </c>
      <c r="P7875" s="30" t="s">
        <v>9206</v>
      </c>
      <c r="Q7875" t="s">
        <v>621</v>
      </c>
      <c r="R7875" t="s">
        <v>920</v>
      </c>
      <c r="S7875">
        <v>38</v>
      </c>
      <c r="T7875" s="29" t="str">
        <f t="shared" si="338"/>
        <v>2022.013P.Tymoviridae_rename.zip</v>
      </c>
      <c r="U7875" s="29" t="str">
        <f>HYPERLINK("https://ictv.global/taxonomy/taxondetails?taxnode_id=202302346","ictv.global=202302346")</f>
        <v>ictv.global=202302346</v>
      </c>
    </row>
    <row r="7876" spans="1:21">
      <c r="A7876">
        <v>7875</v>
      </c>
      <c r="B7876" s="30" t="s">
        <v>1226</v>
      </c>
      <c r="D7876" s="30" t="s">
        <v>2024</v>
      </c>
      <c r="F7876" s="30" t="s">
        <v>2032</v>
      </c>
      <c r="H7876" s="30" t="s">
        <v>2033</v>
      </c>
      <c r="J7876" s="30" t="s">
        <v>314</v>
      </c>
      <c r="L7876" s="30" t="s">
        <v>347</v>
      </c>
      <c r="N7876" s="30" t="s">
        <v>349</v>
      </c>
      <c r="P7876" s="30" t="s">
        <v>9207</v>
      </c>
      <c r="Q7876" t="s">
        <v>621</v>
      </c>
      <c r="R7876" t="s">
        <v>920</v>
      </c>
      <c r="S7876">
        <v>38</v>
      </c>
      <c r="T7876" s="29" t="str">
        <f t="shared" si="338"/>
        <v>2022.013P.Tymoviridae_rename.zip</v>
      </c>
      <c r="U7876" s="29" t="str">
        <f>HYPERLINK("https://ictv.global/taxonomy/taxondetails?taxnode_id=202302350","ictv.global=202302350")</f>
        <v>ictv.global=202302350</v>
      </c>
    </row>
    <row r="7877" spans="1:21">
      <c r="A7877">
        <v>7876</v>
      </c>
      <c r="B7877" s="30" t="s">
        <v>1226</v>
      </c>
      <c r="D7877" s="30" t="s">
        <v>2024</v>
      </c>
      <c r="F7877" s="30" t="s">
        <v>2032</v>
      </c>
      <c r="H7877" s="30" t="s">
        <v>2033</v>
      </c>
      <c r="J7877" s="30" t="s">
        <v>314</v>
      </c>
      <c r="L7877" s="30" t="s">
        <v>347</v>
      </c>
      <c r="N7877" s="30" t="s">
        <v>349</v>
      </c>
      <c r="P7877" s="30" t="s">
        <v>9208</v>
      </c>
      <c r="Q7877" t="s">
        <v>621</v>
      </c>
      <c r="R7877" t="s">
        <v>920</v>
      </c>
      <c r="S7877">
        <v>38</v>
      </c>
      <c r="T7877" s="29" t="str">
        <f t="shared" si="338"/>
        <v>2022.013P.Tymoviridae_rename.zip</v>
      </c>
      <c r="U7877" s="29" t="str">
        <f>HYPERLINK("https://ictv.global/taxonomy/taxondetails?taxnode_id=202309793","ictv.global=202309793")</f>
        <v>ictv.global=202309793</v>
      </c>
    </row>
    <row r="7878" spans="1:21">
      <c r="A7878">
        <v>7877</v>
      </c>
      <c r="B7878" s="30" t="s">
        <v>1226</v>
      </c>
      <c r="D7878" s="30" t="s">
        <v>2024</v>
      </c>
      <c r="F7878" s="30" t="s">
        <v>2032</v>
      </c>
      <c r="H7878" s="30" t="s">
        <v>2033</v>
      </c>
      <c r="J7878" s="30" t="s">
        <v>314</v>
      </c>
      <c r="L7878" s="30" t="s">
        <v>347</v>
      </c>
      <c r="N7878" s="30" t="s">
        <v>349</v>
      </c>
      <c r="P7878" s="30" t="s">
        <v>9209</v>
      </c>
      <c r="Q7878" t="s">
        <v>621</v>
      </c>
      <c r="R7878" t="s">
        <v>920</v>
      </c>
      <c r="S7878">
        <v>38</v>
      </c>
      <c r="T7878" s="29" t="str">
        <f t="shared" si="338"/>
        <v>2022.013P.Tymoviridae_rename.zip</v>
      </c>
      <c r="U7878" s="29" t="str">
        <f>HYPERLINK("https://ictv.global/taxonomy/taxondetails?taxnode_id=202302351","ictv.global=202302351")</f>
        <v>ictv.global=202302351</v>
      </c>
    </row>
    <row r="7879" spans="1:21">
      <c r="A7879">
        <v>7878</v>
      </c>
      <c r="B7879" s="30" t="s">
        <v>1226</v>
      </c>
      <c r="D7879" s="30" t="s">
        <v>2024</v>
      </c>
      <c r="F7879" s="30" t="s">
        <v>2032</v>
      </c>
      <c r="H7879" s="30" t="s">
        <v>2033</v>
      </c>
      <c r="J7879" s="30" t="s">
        <v>314</v>
      </c>
      <c r="L7879" s="30" t="s">
        <v>347</v>
      </c>
      <c r="N7879" s="30" t="s">
        <v>349</v>
      </c>
      <c r="P7879" s="30" t="s">
        <v>9210</v>
      </c>
      <c r="Q7879" t="s">
        <v>621</v>
      </c>
      <c r="R7879" t="s">
        <v>920</v>
      </c>
      <c r="S7879">
        <v>38</v>
      </c>
      <c r="T7879" s="29" t="str">
        <f t="shared" si="338"/>
        <v>2022.013P.Tymoviridae_rename.zip</v>
      </c>
      <c r="U7879" s="29" t="str">
        <f>HYPERLINK("https://ictv.global/taxonomy/taxondetails?taxnode_id=202302353","ictv.global=202302353")</f>
        <v>ictv.global=202302353</v>
      </c>
    </row>
    <row r="7880" spans="1:21">
      <c r="A7880">
        <v>7879</v>
      </c>
      <c r="B7880" s="30" t="s">
        <v>1226</v>
      </c>
      <c r="D7880" s="30" t="s">
        <v>2024</v>
      </c>
      <c r="F7880" s="30" t="s">
        <v>2032</v>
      </c>
      <c r="H7880" s="30" t="s">
        <v>2033</v>
      </c>
      <c r="J7880" s="30" t="s">
        <v>314</v>
      </c>
      <c r="L7880" s="30" t="s">
        <v>347</v>
      </c>
      <c r="N7880" s="30" t="s">
        <v>349</v>
      </c>
      <c r="P7880" s="30" t="s">
        <v>9211</v>
      </c>
      <c r="Q7880" t="s">
        <v>621</v>
      </c>
      <c r="R7880" t="s">
        <v>920</v>
      </c>
      <c r="S7880">
        <v>38</v>
      </c>
      <c r="T7880" s="29" t="str">
        <f t="shared" si="338"/>
        <v>2022.013P.Tymoviridae_rename.zip</v>
      </c>
      <c r="U7880" s="29" t="str">
        <f>HYPERLINK("https://ictv.global/taxonomy/taxondetails?taxnode_id=202305651","ictv.global=202305651")</f>
        <v>ictv.global=202305651</v>
      </c>
    </row>
    <row r="7881" spans="1:21">
      <c r="A7881">
        <v>7880</v>
      </c>
      <c r="B7881" s="30" t="s">
        <v>1226</v>
      </c>
      <c r="D7881" s="30" t="s">
        <v>2024</v>
      </c>
      <c r="F7881" s="30" t="s">
        <v>2032</v>
      </c>
      <c r="H7881" s="30" t="s">
        <v>2033</v>
      </c>
      <c r="J7881" s="30" t="s">
        <v>314</v>
      </c>
      <c r="L7881" s="30" t="s">
        <v>347</v>
      </c>
      <c r="N7881" s="30" t="s">
        <v>349</v>
      </c>
      <c r="P7881" s="30" t="s">
        <v>9212</v>
      </c>
      <c r="Q7881" t="s">
        <v>621</v>
      </c>
      <c r="R7881" t="s">
        <v>920</v>
      </c>
      <c r="S7881">
        <v>38</v>
      </c>
      <c r="T7881" s="29" t="str">
        <f t="shared" si="338"/>
        <v>2022.013P.Tymoviridae_rename.zip</v>
      </c>
      <c r="U7881" s="29" t="str">
        <f>HYPERLINK("https://ictv.global/taxonomy/taxondetails?taxnode_id=202302347","ictv.global=202302347")</f>
        <v>ictv.global=202302347</v>
      </c>
    </row>
    <row r="7882" spans="1:21">
      <c r="A7882">
        <v>7881</v>
      </c>
      <c r="B7882" s="30" t="s">
        <v>1226</v>
      </c>
      <c r="D7882" s="30" t="s">
        <v>2024</v>
      </c>
      <c r="F7882" s="30" t="s">
        <v>2032</v>
      </c>
      <c r="H7882" s="30" t="s">
        <v>2033</v>
      </c>
      <c r="J7882" s="30" t="s">
        <v>314</v>
      </c>
      <c r="L7882" s="30" t="s">
        <v>347</v>
      </c>
      <c r="N7882" s="30" t="s">
        <v>349</v>
      </c>
      <c r="P7882" s="30" t="s">
        <v>9213</v>
      </c>
      <c r="Q7882" t="s">
        <v>621</v>
      </c>
      <c r="R7882" t="s">
        <v>917</v>
      </c>
      <c r="S7882">
        <v>38</v>
      </c>
      <c r="T7882" s="29" t="str">
        <f>HYPERLINK("https://ictv.global/ictv/proposals/2022.012P.Tymoviridae_3nsp.zip","2022.012P.Tymoviridae_3nsp.zip")</f>
        <v>2022.012P.Tymoviridae_3nsp.zip</v>
      </c>
      <c r="U7882" s="29" t="str">
        <f>HYPERLINK("https://ictv.global/taxonomy/taxondetails?taxnode_id=202315115","ictv.global=202315115")</f>
        <v>ictv.global=202315115</v>
      </c>
    </row>
    <row r="7883" spans="1:21">
      <c r="A7883">
        <v>7882</v>
      </c>
      <c r="B7883" s="30" t="s">
        <v>1226</v>
      </c>
      <c r="D7883" s="30" t="s">
        <v>2024</v>
      </c>
      <c r="F7883" s="30" t="s">
        <v>2032</v>
      </c>
      <c r="H7883" s="30" t="s">
        <v>2033</v>
      </c>
      <c r="J7883" s="30" t="s">
        <v>314</v>
      </c>
      <c r="L7883" s="30" t="s">
        <v>347</v>
      </c>
      <c r="N7883" s="30" t="s">
        <v>349</v>
      </c>
      <c r="P7883" s="30" t="s">
        <v>9214</v>
      </c>
      <c r="Q7883" t="s">
        <v>621</v>
      </c>
      <c r="R7883" t="s">
        <v>920</v>
      </c>
      <c r="S7883">
        <v>38</v>
      </c>
      <c r="T7883" s="29" t="str">
        <f t="shared" ref="T7883:T7902" si="339">HYPERLINK("https://ictv.global/ictv/proposals/2022.013P.Tymoviridae_rename.zip","2022.013P.Tymoviridae_rename.zip")</f>
        <v>2022.013P.Tymoviridae_rename.zip</v>
      </c>
      <c r="U7883" s="29" t="str">
        <f>HYPERLINK("https://ictv.global/taxonomy/taxondetails?taxnode_id=202302349","ictv.global=202302349")</f>
        <v>ictv.global=202302349</v>
      </c>
    </row>
    <row r="7884" spans="1:21">
      <c r="A7884">
        <v>7883</v>
      </c>
      <c r="B7884" s="30" t="s">
        <v>1226</v>
      </c>
      <c r="D7884" s="30" t="s">
        <v>2024</v>
      </c>
      <c r="F7884" s="30" t="s">
        <v>2032</v>
      </c>
      <c r="H7884" s="30" t="s">
        <v>2033</v>
      </c>
      <c r="J7884" s="30" t="s">
        <v>314</v>
      </c>
      <c r="L7884" s="30" t="s">
        <v>347</v>
      </c>
      <c r="N7884" s="30" t="s">
        <v>381</v>
      </c>
      <c r="P7884" s="30" t="s">
        <v>9215</v>
      </c>
      <c r="Q7884" t="s">
        <v>621</v>
      </c>
      <c r="R7884" t="s">
        <v>920</v>
      </c>
      <c r="S7884">
        <v>38</v>
      </c>
      <c r="T7884" s="29" t="str">
        <f t="shared" si="339"/>
        <v>2022.013P.Tymoviridae_rename.zip</v>
      </c>
      <c r="U7884" s="29" t="str">
        <f>HYPERLINK("https://ictv.global/taxonomy/taxondetails?taxnode_id=202302371","ictv.global=202302371")</f>
        <v>ictv.global=202302371</v>
      </c>
    </row>
    <row r="7885" spans="1:21">
      <c r="A7885">
        <v>7884</v>
      </c>
      <c r="B7885" s="30" t="s">
        <v>1226</v>
      </c>
      <c r="D7885" s="30" t="s">
        <v>2024</v>
      </c>
      <c r="F7885" s="30" t="s">
        <v>2032</v>
      </c>
      <c r="H7885" s="30" t="s">
        <v>2033</v>
      </c>
      <c r="J7885" s="30" t="s">
        <v>314</v>
      </c>
      <c r="L7885" s="30" t="s">
        <v>347</v>
      </c>
      <c r="N7885" s="30" t="s">
        <v>381</v>
      </c>
      <c r="P7885" s="30" t="s">
        <v>9216</v>
      </c>
      <c r="Q7885" t="s">
        <v>621</v>
      </c>
      <c r="R7885" t="s">
        <v>920</v>
      </c>
      <c r="S7885">
        <v>38</v>
      </c>
      <c r="T7885" s="29" t="str">
        <f t="shared" si="339"/>
        <v>2022.013P.Tymoviridae_rename.zip</v>
      </c>
      <c r="U7885" s="29" t="str">
        <f>HYPERLINK("https://ictv.global/taxonomy/taxondetails?taxnode_id=202302355","ictv.global=202302355")</f>
        <v>ictv.global=202302355</v>
      </c>
    </row>
    <row r="7886" spans="1:21">
      <c r="A7886">
        <v>7885</v>
      </c>
      <c r="B7886" s="30" t="s">
        <v>1226</v>
      </c>
      <c r="D7886" s="30" t="s">
        <v>2024</v>
      </c>
      <c r="F7886" s="30" t="s">
        <v>2032</v>
      </c>
      <c r="H7886" s="30" t="s">
        <v>2033</v>
      </c>
      <c r="J7886" s="30" t="s">
        <v>314</v>
      </c>
      <c r="L7886" s="30" t="s">
        <v>347</v>
      </c>
      <c r="N7886" s="30" t="s">
        <v>381</v>
      </c>
      <c r="P7886" s="30" t="s">
        <v>9217</v>
      </c>
      <c r="Q7886" t="s">
        <v>621</v>
      </c>
      <c r="R7886" t="s">
        <v>920</v>
      </c>
      <c r="S7886">
        <v>38</v>
      </c>
      <c r="T7886" s="29" t="str">
        <f t="shared" si="339"/>
        <v>2022.013P.Tymoviridae_rename.zip</v>
      </c>
      <c r="U7886" s="29" t="str">
        <f>HYPERLINK("https://ictv.global/taxonomy/taxondetails?taxnode_id=202302374","ictv.global=202302374")</f>
        <v>ictv.global=202302374</v>
      </c>
    </row>
    <row r="7887" spans="1:21">
      <c r="A7887">
        <v>7886</v>
      </c>
      <c r="B7887" s="30" t="s">
        <v>1226</v>
      </c>
      <c r="D7887" s="30" t="s">
        <v>2024</v>
      </c>
      <c r="F7887" s="30" t="s">
        <v>2032</v>
      </c>
      <c r="H7887" s="30" t="s">
        <v>2033</v>
      </c>
      <c r="J7887" s="30" t="s">
        <v>314</v>
      </c>
      <c r="L7887" s="30" t="s">
        <v>347</v>
      </c>
      <c r="N7887" s="30" t="s">
        <v>381</v>
      </c>
      <c r="P7887" s="30" t="s">
        <v>9218</v>
      </c>
      <c r="Q7887" t="s">
        <v>621</v>
      </c>
      <c r="R7887" t="s">
        <v>920</v>
      </c>
      <c r="S7887">
        <v>38</v>
      </c>
      <c r="T7887" s="29" t="str">
        <f t="shared" si="339"/>
        <v>2022.013P.Tymoviridae_rename.zip</v>
      </c>
      <c r="U7887" s="29" t="str">
        <f>HYPERLINK("https://ictv.global/taxonomy/taxondetails?taxnode_id=202302358","ictv.global=202302358")</f>
        <v>ictv.global=202302358</v>
      </c>
    </row>
    <row r="7888" spans="1:21">
      <c r="A7888">
        <v>7887</v>
      </c>
      <c r="B7888" s="30" t="s">
        <v>1226</v>
      </c>
      <c r="D7888" s="30" t="s">
        <v>2024</v>
      </c>
      <c r="F7888" s="30" t="s">
        <v>2032</v>
      </c>
      <c r="H7888" s="30" t="s">
        <v>2033</v>
      </c>
      <c r="J7888" s="30" t="s">
        <v>314</v>
      </c>
      <c r="L7888" s="30" t="s">
        <v>347</v>
      </c>
      <c r="N7888" s="30" t="s">
        <v>381</v>
      </c>
      <c r="P7888" s="30" t="s">
        <v>9219</v>
      </c>
      <c r="Q7888" t="s">
        <v>621</v>
      </c>
      <c r="R7888" t="s">
        <v>920</v>
      </c>
      <c r="S7888">
        <v>38</v>
      </c>
      <c r="T7888" s="29" t="str">
        <f t="shared" si="339"/>
        <v>2022.013P.Tymoviridae_rename.zip</v>
      </c>
      <c r="U7888" s="29" t="str">
        <f>HYPERLINK("https://ictv.global/taxonomy/taxondetails?taxnode_id=202302380","ictv.global=202302380")</f>
        <v>ictv.global=202302380</v>
      </c>
    </row>
    <row r="7889" spans="1:21">
      <c r="A7889">
        <v>7888</v>
      </c>
      <c r="B7889" s="30" t="s">
        <v>1226</v>
      </c>
      <c r="D7889" s="30" t="s">
        <v>2024</v>
      </c>
      <c r="F7889" s="30" t="s">
        <v>2032</v>
      </c>
      <c r="H7889" s="30" t="s">
        <v>2033</v>
      </c>
      <c r="J7889" s="30" t="s">
        <v>314</v>
      </c>
      <c r="L7889" s="30" t="s">
        <v>347</v>
      </c>
      <c r="N7889" s="30" t="s">
        <v>381</v>
      </c>
      <c r="P7889" s="30" t="s">
        <v>9220</v>
      </c>
      <c r="Q7889" t="s">
        <v>621</v>
      </c>
      <c r="R7889" t="s">
        <v>920</v>
      </c>
      <c r="S7889">
        <v>38</v>
      </c>
      <c r="T7889" s="29" t="str">
        <f t="shared" si="339"/>
        <v>2022.013P.Tymoviridae_rename.zip</v>
      </c>
      <c r="U7889" s="29" t="str">
        <f>HYPERLINK("https://ictv.global/taxonomy/taxondetails?taxnode_id=202302360","ictv.global=202302360")</f>
        <v>ictv.global=202302360</v>
      </c>
    </row>
    <row r="7890" spans="1:21">
      <c r="A7890">
        <v>7889</v>
      </c>
      <c r="B7890" s="30" t="s">
        <v>1226</v>
      </c>
      <c r="D7890" s="30" t="s">
        <v>2024</v>
      </c>
      <c r="F7890" s="30" t="s">
        <v>2032</v>
      </c>
      <c r="H7890" s="30" t="s">
        <v>2033</v>
      </c>
      <c r="J7890" s="30" t="s">
        <v>314</v>
      </c>
      <c r="L7890" s="30" t="s">
        <v>347</v>
      </c>
      <c r="N7890" s="30" t="s">
        <v>381</v>
      </c>
      <c r="P7890" s="30" t="s">
        <v>9221</v>
      </c>
      <c r="Q7890" t="s">
        <v>621</v>
      </c>
      <c r="R7890" t="s">
        <v>920</v>
      </c>
      <c r="S7890">
        <v>38</v>
      </c>
      <c r="T7890" s="29" t="str">
        <f t="shared" si="339"/>
        <v>2022.013P.Tymoviridae_rename.zip</v>
      </c>
      <c r="U7890" s="29" t="str">
        <f>HYPERLINK("https://ictv.global/taxonomy/taxondetails?taxnode_id=202302361","ictv.global=202302361")</f>
        <v>ictv.global=202302361</v>
      </c>
    </row>
    <row r="7891" spans="1:21">
      <c r="A7891">
        <v>7890</v>
      </c>
      <c r="B7891" s="30" t="s">
        <v>1226</v>
      </c>
      <c r="D7891" s="30" t="s">
        <v>2024</v>
      </c>
      <c r="F7891" s="30" t="s">
        <v>2032</v>
      </c>
      <c r="H7891" s="30" t="s">
        <v>2033</v>
      </c>
      <c r="J7891" s="30" t="s">
        <v>314</v>
      </c>
      <c r="L7891" s="30" t="s">
        <v>347</v>
      </c>
      <c r="N7891" s="30" t="s">
        <v>381</v>
      </c>
      <c r="P7891" s="30" t="s">
        <v>9222</v>
      </c>
      <c r="Q7891" t="s">
        <v>621</v>
      </c>
      <c r="R7891" t="s">
        <v>920</v>
      </c>
      <c r="S7891">
        <v>38</v>
      </c>
      <c r="T7891" s="29" t="str">
        <f t="shared" si="339"/>
        <v>2022.013P.Tymoviridae_rename.zip</v>
      </c>
      <c r="U7891" s="29" t="str">
        <f>HYPERLINK("https://ictv.global/taxonomy/taxondetails?taxnode_id=202302362","ictv.global=202302362")</f>
        <v>ictv.global=202302362</v>
      </c>
    </row>
    <row r="7892" spans="1:21">
      <c r="A7892">
        <v>7891</v>
      </c>
      <c r="B7892" s="30" t="s">
        <v>1226</v>
      </c>
      <c r="D7892" s="30" t="s">
        <v>2024</v>
      </c>
      <c r="F7892" s="30" t="s">
        <v>2032</v>
      </c>
      <c r="H7892" s="30" t="s">
        <v>2033</v>
      </c>
      <c r="J7892" s="30" t="s">
        <v>314</v>
      </c>
      <c r="L7892" s="30" t="s">
        <v>347</v>
      </c>
      <c r="N7892" s="30" t="s">
        <v>381</v>
      </c>
      <c r="P7892" s="30" t="s">
        <v>9223</v>
      </c>
      <c r="Q7892" t="s">
        <v>621</v>
      </c>
      <c r="R7892" t="s">
        <v>920</v>
      </c>
      <c r="S7892">
        <v>38</v>
      </c>
      <c r="T7892" s="29" t="str">
        <f t="shared" si="339"/>
        <v>2022.013P.Tymoviridae_rename.zip</v>
      </c>
      <c r="U7892" s="29" t="str">
        <f>HYPERLINK("https://ictv.global/taxonomy/taxondetails?taxnode_id=202302363","ictv.global=202302363")</f>
        <v>ictv.global=202302363</v>
      </c>
    </row>
    <row r="7893" spans="1:21">
      <c r="A7893">
        <v>7892</v>
      </c>
      <c r="B7893" s="30" t="s">
        <v>1226</v>
      </c>
      <c r="D7893" s="30" t="s">
        <v>2024</v>
      </c>
      <c r="F7893" s="30" t="s">
        <v>2032</v>
      </c>
      <c r="H7893" s="30" t="s">
        <v>2033</v>
      </c>
      <c r="J7893" s="30" t="s">
        <v>314</v>
      </c>
      <c r="L7893" s="30" t="s">
        <v>347</v>
      </c>
      <c r="N7893" s="30" t="s">
        <v>381</v>
      </c>
      <c r="P7893" s="30" t="s">
        <v>9224</v>
      </c>
      <c r="Q7893" t="s">
        <v>621</v>
      </c>
      <c r="R7893" t="s">
        <v>920</v>
      </c>
      <c r="S7893">
        <v>38</v>
      </c>
      <c r="T7893" s="29" t="str">
        <f t="shared" si="339"/>
        <v>2022.013P.Tymoviridae_rename.zip</v>
      </c>
      <c r="U7893" s="29" t="str">
        <f>HYPERLINK("https://ictv.global/taxonomy/taxondetails?taxnode_id=202302382","ictv.global=202302382")</f>
        <v>ictv.global=202302382</v>
      </c>
    </row>
    <row r="7894" spans="1:21">
      <c r="A7894">
        <v>7893</v>
      </c>
      <c r="B7894" s="30" t="s">
        <v>1226</v>
      </c>
      <c r="D7894" s="30" t="s">
        <v>2024</v>
      </c>
      <c r="F7894" s="30" t="s">
        <v>2032</v>
      </c>
      <c r="H7894" s="30" t="s">
        <v>2033</v>
      </c>
      <c r="J7894" s="30" t="s">
        <v>314</v>
      </c>
      <c r="L7894" s="30" t="s">
        <v>347</v>
      </c>
      <c r="N7894" s="30" t="s">
        <v>381</v>
      </c>
      <c r="P7894" s="30" t="s">
        <v>9225</v>
      </c>
      <c r="Q7894" t="s">
        <v>621</v>
      </c>
      <c r="R7894" t="s">
        <v>920</v>
      </c>
      <c r="S7894">
        <v>38</v>
      </c>
      <c r="T7894" s="29" t="str">
        <f t="shared" si="339"/>
        <v>2022.013P.Tymoviridae_rename.zip</v>
      </c>
      <c r="U7894" s="29" t="str">
        <f>HYPERLINK("https://ictv.global/taxonomy/taxondetails?taxnode_id=202302364","ictv.global=202302364")</f>
        <v>ictv.global=202302364</v>
      </c>
    </row>
    <row r="7895" spans="1:21">
      <c r="A7895">
        <v>7894</v>
      </c>
      <c r="B7895" s="30" t="s">
        <v>1226</v>
      </c>
      <c r="D7895" s="30" t="s">
        <v>2024</v>
      </c>
      <c r="F7895" s="30" t="s">
        <v>2032</v>
      </c>
      <c r="H7895" s="30" t="s">
        <v>2033</v>
      </c>
      <c r="J7895" s="30" t="s">
        <v>314</v>
      </c>
      <c r="L7895" s="30" t="s">
        <v>347</v>
      </c>
      <c r="N7895" s="30" t="s">
        <v>381</v>
      </c>
      <c r="P7895" s="30" t="s">
        <v>9226</v>
      </c>
      <c r="Q7895" t="s">
        <v>621</v>
      </c>
      <c r="R7895" t="s">
        <v>920</v>
      </c>
      <c r="S7895">
        <v>38</v>
      </c>
      <c r="T7895" s="29" t="str">
        <f t="shared" si="339"/>
        <v>2022.013P.Tymoviridae_rename.zip</v>
      </c>
      <c r="U7895" s="29" t="str">
        <f>HYPERLINK("https://ictv.global/taxonomy/taxondetails?taxnode_id=202302365","ictv.global=202302365")</f>
        <v>ictv.global=202302365</v>
      </c>
    </row>
    <row r="7896" spans="1:21">
      <c r="A7896">
        <v>7895</v>
      </c>
      <c r="B7896" s="30" t="s">
        <v>1226</v>
      </c>
      <c r="D7896" s="30" t="s">
        <v>2024</v>
      </c>
      <c r="F7896" s="30" t="s">
        <v>2032</v>
      </c>
      <c r="H7896" s="30" t="s">
        <v>2033</v>
      </c>
      <c r="J7896" s="30" t="s">
        <v>314</v>
      </c>
      <c r="L7896" s="30" t="s">
        <v>347</v>
      </c>
      <c r="N7896" s="30" t="s">
        <v>381</v>
      </c>
      <c r="P7896" s="30" t="s">
        <v>9227</v>
      </c>
      <c r="Q7896" t="s">
        <v>621</v>
      </c>
      <c r="R7896" t="s">
        <v>920</v>
      </c>
      <c r="S7896">
        <v>38</v>
      </c>
      <c r="T7896" s="29" t="str">
        <f t="shared" si="339"/>
        <v>2022.013P.Tymoviridae_rename.zip</v>
      </c>
      <c r="U7896" s="29" t="str">
        <f>HYPERLINK("https://ictv.global/taxonomy/taxondetails?taxnode_id=202302367","ictv.global=202302367")</f>
        <v>ictv.global=202302367</v>
      </c>
    </row>
    <row r="7897" spans="1:21">
      <c r="A7897">
        <v>7896</v>
      </c>
      <c r="B7897" s="30" t="s">
        <v>1226</v>
      </c>
      <c r="D7897" s="30" t="s">
        <v>2024</v>
      </c>
      <c r="F7897" s="30" t="s">
        <v>2032</v>
      </c>
      <c r="H7897" s="30" t="s">
        <v>2033</v>
      </c>
      <c r="J7897" s="30" t="s">
        <v>314</v>
      </c>
      <c r="L7897" s="30" t="s">
        <v>347</v>
      </c>
      <c r="N7897" s="30" t="s">
        <v>381</v>
      </c>
      <c r="P7897" s="30" t="s">
        <v>9228</v>
      </c>
      <c r="Q7897" t="s">
        <v>621</v>
      </c>
      <c r="R7897" t="s">
        <v>920</v>
      </c>
      <c r="S7897">
        <v>38</v>
      </c>
      <c r="T7897" s="29" t="str">
        <f t="shared" si="339"/>
        <v>2022.013P.Tymoviridae_rename.zip</v>
      </c>
      <c r="U7897" s="29" t="str">
        <f>HYPERLINK("https://ictv.global/taxonomy/taxondetails?taxnode_id=202302368","ictv.global=202302368")</f>
        <v>ictv.global=202302368</v>
      </c>
    </row>
    <row r="7898" spans="1:21">
      <c r="A7898">
        <v>7897</v>
      </c>
      <c r="B7898" s="30" t="s">
        <v>1226</v>
      </c>
      <c r="D7898" s="30" t="s">
        <v>2024</v>
      </c>
      <c r="F7898" s="30" t="s">
        <v>2032</v>
      </c>
      <c r="H7898" s="30" t="s">
        <v>2033</v>
      </c>
      <c r="J7898" s="30" t="s">
        <v>314</v>
      </c>
      <c r="L7898" s="30" t="s">
        <v>347</v>
      </c>
      <c r="N7898" s="30" t="s">
        <v>381</v>
      </c>
      <c r="P7898" s="30" t="s">
        <v>9229</v>
      </c>
      <c r="Q7898" t="s">
        <v>621</v>
      </c>
      <c r="R7898" t="s">
        <v>920</v>
      </c>
      <c r="S7898">
        <v>38</v>
      </c>
      <c r="T7898" s="29" t="str">
        <f t="shared" si="339"/>
        <v>2022.013P.Tymoviridae_rename.zip</v>
      </c>
      <c r="U7898" s="29" t="str">
        <f>HYPERLINK("https://ictv.global/taxonomy/taxondetails?taxnode_id=202302356","ictv.global=202302356")</f>
        <v>ictv.global=202302356</v>
      </c>
    </row>
    <row r="7899" spans="1:21">
      <c r="A7899">
        <v>7898</v>
      </c>
      <c r="B7899" s="30" t="s">
        <v>1226</v>
      </c>
      <c r="D7899" s="30" t="s">
        <v>2024</v>
      </c>
      <c r="F7899" s="30" t="s">
        <v>2032</v>
      </c>
      <c r="H7899" s="30" t="s">
        <v>2033</v>
      </c>
      <c r="J7899" s="30" t="s">
        <v>314</v>
      </c>
      <c r="L7899" s="30" t="s">
        <v>347</v>
      </c>
      <c r="N7899" s="30" t="s">
        <v>381</v>
      </c>
      <c r="P7899" s="30" t="s">
        <v>9230</v>
      </c>
      <c r="Q7899" t="s">
        <v>621</v>
      </c>
      <c r="R7899" t="s">
        <v>920</v>
      </c>
      <c r="S7899">
        <v>38</v>
      </c>
      <c r="T7899" s="29" t="str">
        <f t="shared" si="339"/>
        <v>2022.013P.Tymoviridae_rename.zip</v>
      </c>
      <c r="U7899" s="29" t="str">
        <f>HYPERLINK("https://ictv.global/taxonomy/taxondetails?taxnode_id=202302379","ictv.global=202302379")</f>
        <v>ictv.global=202302379</v>
      </c>
    </row>
    <row r="7900" spans="1:21">
      <c r="A7900">
        <v>7899</v>
      </c>
      <c r="B7900" s="30" t="s">
        <v>1226</v>
      </c>
      <c r="D7900" s="30" t="s">
        <v>2024</v>
      </c>
      <c r="F7900" s="30" t="s">
        <v>2032</v>
      </c>
      <c r="H7900" s="30" t="s">
        <v>2033</v>
      </c>
      <c r="J7900" s="30" t="s">
        <v>314</v>
      </c>
      <c r="L7900" s="30" t="s">
        <v>347</v>
      </c>
      <c r="N7900" s="30" t="s">
        <v>381</v>
      </c>
      <c r="P7900" s="30" t="s">
        <v>9231</v>
      </c>
      <c r="Q7900" t="s">
        <v>621</v>
      </c>
      <c r="R7900" t="s">
        <v>920</v>
      </c>
      <c r="S7900">
        <v>38</v>
      </c>
      <c r="T7900" s="29" t="str">
        <f t="shared" si="339"/>
        <v>2022.013P.Tymoviridae_rename.zip</v>
      </c>
      <c r="U7900" s="29" t="str">
        <f>HYPERLINK("https://ictv.global/taxonomy/taxondetails?taxnode_id=202302366","ictv.global=202302366")</f>
        <v>ictv.global=202302366</v>
      </c>
    </row>
    <row r="7901" spans="1:21">
      <c r="A7901">
        <v>7900</v>
      </c>
      <c r="B7901" s="30" t="s">
        <v>1226</v>
      </c>
      <c r="D7901" s="30" t="s">
        <v>2024</v>
      </c>
      <c r="F7901" s="30" t="s">
        <v>2032</v>
      </c>
      <c r="H7901" s="30" t="s">
        <v>2033</v>
      </c>
      <c r="J7901" s="30" t="s">
        <v>314</v>
      </c>
      <c r="L7901" s="30" t="s">
        <v>347</v>
      </c>
      <c r="N7901" s="30" t="s">
        <v>381</v>
      </c>
      <c r="P7901" s="30" t="s">
        <v>9232</v>
      </c>
      <c r="Q7901" t="s">
        <v>621</v>
      </c>
      <c r="R7901" t="s">
        <v>920</v>
      </c>
      <c r="S7901">
        <v>38</v>
      </c>
      <c r="T7901" s="29" t="str">
        <f t="shared" si="339"/>
        <v>2022.013P.Tymoviridae_rename.zip</v>
      </c>
      <c r="U7901" s="29" t="str">
        <f>HYPERLINK("https://ictv.global/taxonomy/taxondetails?taxnode_id=202302369","ictv.global=202302369")</f>
        <v>ictv.global=202302369</v>
      </c>
    </row>
    <row r="7902" spans="1:21">
      <c r="A7902">
        <v>7901</v>
      </c>
      <c r="B7902" s="30" t="s">
        <v>1226</v>
      </c>
      <c r="D7902" s="30" t="s">
        <v>2024</v>
      </c>
      <c r="F7902" s="30" t="s">
        <v>2032</v>
      </c>
      <c r="H7902" s="30" t="s">
        <v>2033</v>
      </c>
      <c r="J7902" s="30" t="s">
        <v>314</v>
      </c>
      <c r="L7902" s="30" t="s">
        <v>347</v>
      </c>
      <c r="N7902" s="30" t="s">
        <v>381</v>
      </c>
      <c r="P7902" s="30" t="s">
        <v>9233</v>
      </c>
      <c r="Q7902" t="s">
        <v>621</v>
      </c>
      <c r="R7902" t="s">
        <v>920</v>
      </c>
      <c r="S7902">
        <v>38</v>
      </c>
      <c r="T7902" s="29" t="str">
        <f t="shared" si="339"/>
        <v>2022.013P.Tymoviridae_rename.zip</v>
      </c>
      <c r="U7902" s="29" t="str">
        <f>HYPERLINK("https://ictv.global/taxonomy/taxondetails?taxnode_id=202302357","ictv.global=202302357")</f>
        <v>ictv.global=202302357</v>
      </c>
    </row>
    <row r="7903" spans="1:21">
      <c r="A7903">
        <v>7902</v>
      </c>
      <c r="B7903" s="30" t="s">
        <v>1226</v>
      </c>
      <c r="D7903" s="30" t="s">
        <v>2024</v>
      </c>
      <c r="F7903" s="30" t="s">
        <v>2032</v>
      </c>
      <c r="H7903" s="30" t="s">
        <v>2033</v>
      </c>
      <c r="J7903" s="30" t="s">
        <v>314</v>
      </c>
      <c r="L7903" s="30" t="s">
        <v>347</v>
      </c>
      <c r="N7903" s="30" t="s">
        <v>381</v>
      </c>
      <c r="P7903" s="30" t="s">
        <v>9234</v>
      </c>
      <c r="Q7903" t="s">
        <v>621</v>
      </c>
      <c r="R7903" t="s">
        <v>917</v>
      </c>
      <c r="S7903">
        <v>38</v>
      </c>
      <c r="T7903" s="29" t="str">
        <f>HYPERLINK("https://ictv.global/ictv/proposals/2022.012P.Tymoviridae_3nsp.zip","2022.012P.Tymoviridae_3nsp.zip")</f>
        <v>2022.012P.Tymoviridae_3nsp.zip</v>
      </c>
      <c r="U7903" s="29" t="str">
        <f>HYPERLINK("https://ictv.global/taxonomy/taxondetails?taxnode_id=202315116","ictv.global=202315116")</f>
        <v>ictv.global=202315116</v>
      </c>
    </row>
    <row r="7904" spans="1:21">
      <c r="A7904">
        <v>7903</v>
      </c>
      <c r="B7904" s="30" t="s">
        <v>1226</v>
      </c>
      <c r="D7904" s="30" t="s">
        <v>2024</v>
      </c>
      <c r="F7904" s="30" t="s">
        <v>2032</v>
      </c>
      <c r="H7904" s="30" t="s">
        <v>2033</v>
      </c>
      <c r="J7904" s="30" t="s">
        <v>314</v>
      </c>
      <c r="L7904" s="30" t="s">
        <v>347</v>
      </c>
      <c r="N7904" s="30" t="s">
        <v>381</v>
      </c>
      <c r="P7904" s="30" t="s">
        <v>9235</v>
      </c>
      <c r="Q7904" t="s">
        <v>621</v>
      </c>
      <c r="R7904" t="s">
        <v>920</v>
      </c>
      <c r="S7904">
        <v>38</v>
      </c>
      <c r="T7904" s="29" t="str">
        <f t="shared" ref="T7904:T7909" si="340">HYPERLINK("https://ictv.global/ictv/proposals/2022.013P.Tymoviridae_rename.zip","2022.013P.Tymoviridae_rename.zip")</f>
        <v>2022.013P.Tymoviridae_rename.zip</v>
      </c>
      <c r="U7904" s="29" t="str">
        <f>HYPERLINK("https://ictv.global/taxonomy/taxondetails?taxnode_id=202302370","ictv.global=202302370")</f>
        <v>ictv.global=202302370</v>
      </c>
    </row>
    <row r="7905" spans="1:21">
      <c r="A7905">
        <v>7904</v>
      </c>
      <c r="B7905" s="30" t="s">
        <v>1226</v>
      </c>
      <c r="D7905" s="30" t="s">
        <v>2024</v>
      </c>
      <c r="F7905" s="30" t="s">
        <v>2032</v>
      </c>
      <c r="H7905" s="30" t="s">
        <v>2033</v>
      </c>
      <c r="J7905" s="30" t="s">
        <v>314</v>
      </c>
      <c r="L7905" s="30" t="s">
        <v>347</v>
      </c>
      <c r="N7905" s="30" t="s">
        <v>381</v>
      </c>
      <c r="P7905" s="30" t="s">
        <v>9236</v>
      </c>
      <c r="Q7905" t="s">
        <v>621</v>
      </c>
      <c r="R7905" t="s">
        <v>920</v>
      </c>
      <c r="S7905">
        <v>38</v>
      </c>
      <c r="T7905" s="29" t="str">
        <f t="shared" si="340"/>
        <v>2022.013P.Tymoviridae_rename.zip</v>
      </c>
      <c r="U7905" s="29" t="str">
        <f>HYPERLINK("https://ictv.global/taxonomy/taxondetails?taxnode_id=202302372","ictv.global=202302372")</f>
        <v>ictv.global=202302372</v>
      </c>
    </row>
    <row r="7906" spans="1:21">
      <c r="A7906">
        <v>7905</v>
      </c>
      <c r="B7906" s="30" t="s">
        <v>1226</v>
      </c>
      <c r="D7906" s="30" t="s">
        <v>2024</v>
      </c>
      <c r="F7906" s="30" t="s">
        <v>2032</v>
      </c>
      <c r="H7906" s="30" t="s">
        <v>2033</v>
      </c>
      <c r="J7906" s="30" t="s">
        <v>314</v>
      </c>
      <c r="L7906" s="30" t="s">
        <v>347</v>
      </c>
      <c r="N7906" s="30" t="s">
        <v>381</v>
      </c>
      <c r="P7906" s="30" t="s">
        <v>9237</v>
      </c>
      <c r="Q7906" t="s">
        <v>621</v>
      </c>
      <c r="R7906" t="s">
        <v>920</v>
      </c>
      <c r="S7906">
        <v>38</v>
      </c>
      <c r="T7906" s="29" t="str">
        <f t="shared" si="340"/>
        <v>2022.013P.Tymoviridae_rename.zip</v>
      </c>
      <c r="U7906" s="29" t="str">
        <f>HYPERLINK("https://ictv.global/taxonomy/taxondetails?taxnode_id=202302373","ictv.global=202302373")</f>
        <v>ictv.global=202302373</v>
      </c>
    </row>
    <row r="7907" spans="1:21">
      <c r="A7907">
        <v>7906</v>
      </c>
      <c r="B7907" s="30" t="s">
        <v>1226</v>
      </c>
      <c r="D7907" s="30" t="s">
        <v>2024</v>
      </c>
      <c r="F7907" s="30" t="s">
        <v>2032</v>
      </c>
      <c r="H7907" s="30" t="s">
        <v>2033</v>
      </c>
      <c r="J7907" s="30" t="s">
        <v>314</v>
      </c>
      <c r="L7907" s="30" t="s">
        <v>347</v>
      </c>
      <c r="N7907" s="30" t="s">
        <v>381</v>
      </c>
      <c r="P7907" s="30" t="s">
        <v>9238</v>
      </c>
      <c r="Q7907" t="s">
        <v>621</v>
      </c>
      <c r="R7907" t="s">
        <v>920</v>
      </c>
      <c r="S7907">
        <v>38</v>
      </c>
      <c r="T7907" s="29" t="str">
        <f t="shared" si="340"/>
        <v>2022.013P.Tymoviridae_rename.zip</v>
      </c>
      <c r="U7907" s="29" t="str">
        <f>HYPERLINK("https://ictv.global/taxonomy/taxondetails?taxnode_id=202302375","ictv.global=202302375")</f>
        <v>ictv.global=202302375</v>
      </c>
    </row>
    <row r="7908" spans="1:21">
      <c r="A7908">
        <v>7907</v>
      </c>
      <c r="B7908" s="30" t="s">
        <v>1226</v>
      </c>
      <c r="D7908" s="30" t="s">
        <v>2024</v>
      </c>
      <c r="F7908" s="30" t="s">
        <v>2032</v>
      </c>
      <c r="H7908" s="30" t="s">
        <v>2033</v>
      </c>
      <c r="J7908" s="30" t="s">
        <v>314</v>
      </c>
      <c r="L7908" s="30" t="s">
        <v>347</v>
      </c>
      <c r="N7908" s="30" t="s">
        <v>381</v>
      </c>
      <c r="P7908" s="30" t="s">
        <v>9239</v>
      </c>
      <c r="Q7908" t="s">
        <v>621</v>
      </c>
      <c r="R7908" t="s">
        <v>920</v>
      </c>
      <c r="S7908">
        <v>38</v>
      </c>
      <c r="T7908" s="29" t="str">
        <f t="shared" si="340"/>
        <v>2022.013P.Tymoviridae_rename.zip</v>
      </c>
      <c r="U7908" s="29" t="str">
        <f>HYPERLINK("https://ictv.global/taxonomy/taxondetails?taxnode_id=202302376","ictv.global=202302376")</f>
        <v>ictv.global=202302376</v>
      </c>
    </row>
    <row r="7909" spans="1:21">
      <c r="A7909">
        <v>7908</v>
      </c>
      <c r="B7909" s="30" t="s">
        <v>1226</v>
      </c>
      <c r="D7909" s="30" t="s">
        <v>2024</v>
      </c>
      <c r="F7909" s="30" t="s">
        <v>2032</v>
      </c>
      <c r="H7909" s="30" t="s">
        <v>2033</v>
      </c>
      <c r="J7909" s="30" t="s">
        <v>314</v>
      </c>
      <c r="L7909" s="30" t="s">
        <v>347</v>
      </c>
      <c r="N7909" s="30" t="s">
        <v>381</v>
      </c>
      <c r="P7909" s="30" t="s">
        <v>9240</v>
      </c>
      <c r="Q7909" t="s">
        <v>621</v>
      </c>
      <c r="R7909" t="s">
        <v>920</v>
      </c>
      <c r="S7909">
        <v>38</v>
      </c>
      <c r="T7909" s="29" t="str">
        <f t="shared" si="340"/>
        <v>2022.013P.Tymoviridae_rename.zip</v>
      </c>
      <c r="U7909" s="29" t="str">
        <f>HYPERLINK("https://ictv.global/taxonomy/taxondetails?taxnode_id=202302377","ictv.global=202302377")</f>
        <v>ictv.global=202302377</v>
      </c>
    </row>
    <row r="7910" spans="1:21">
      <c r="A7910">
        <v>7909</v>
      </c>
      <c r="B7910" s="30" t="s">
        <v>1226</v>
      </c>
      <c r="D7910" s="30" t="s">
        <v>2024</v>
      </c>
      <c r="F7910" s="30" t="s">
        <v>2032</v>
      </c>
      <c r="H7910" s="30" t="s">
        <v>2033</v>
      </c>
      <c r="J7910" s="30" t="s">
        <v>314</v>
      </c>
      <c r="L7910" s="30" t="s">
        <v>347</v>
      </c>
      <c r="N7910" s="30" t="s">
        <v>381</v>
      </c>
      <c r="P7910" s="30" t="s">
        <v>9241</v>
      </c>
      <c r="Q7910" t="s">
        <v>621</v>
      </c>
      <c r="R7910" t="s">
        <v>917</v>
      </c>
      <c r="S7910">
        <v>38</v>
      </c>
      <c r="T7910" s="29" t="str">
        <f>HYPERLINK("https://ictv.global/ictv/proposals/2022.012P.Tymoviridae_3nsp.zip","2022.012P.Tymoviridae_3nsp.zip")</f>
        <v>2022.012P.Tymoviridae_3nsp.zip</v>
      </c>
      <c r="U7910" s="29" t="str">
        <f>HYPERLINK("https://ictv.global/taxonomy/taxondetails?taxnode_id=202315117","ictv.global=202315117")</f>
        <v>ictv.global=202315117</v>
      </c>
    </row>
    <row r="7911" spans="1:21">
      <c r="A7911">
        <v>7910</v>
      </c>
      <c r="B7911" s="30" t="s">
        <v>1226</v>
      </c>
      <c r="D7911" s="30" t="s">
        <v>2024</v>
      </c>
      <c r="F7911" s="30" t="s">
        <v>2032</v>
      </c>
      <c r="H7911" s="30" t="s">
        <v>2033</v>
      </c>
      <c r="J7911" s="30" t="s">
        <v>314</v>
      </c>
      <c r="L7911" s="30" t="s">
        <v>347</v>
      </c>
      <c r="N7911" s="30" t="s">
        <v>381</v>
      </c>
      <c r="P7911" s="30" t="s">
        <v>9242</v>
      </c>
      <c r="Q7911" t="s">
        <v>621</v>
      </c>
      <c r="R7911" t="s">
        <v>920</v>
      </c>
      <c r="S7911">
        <v>38</v>
      </c>
      <c r="T7911" s="29" t="str">
        <f>HYPERLINK("https://ictv.global/ictv/proposals/2022.013P.Tymoviridae_rename.zip","2022.013P.Tymoviridae_rename.zip")</f>
        <v>2022.013P.Tymoviridae_rename.zip</v>
      </c>
      <c r="U7911" s="29" t="str">
        <f>HYPERLINK("https://ictv.global/taxonomy/taxondetails?taxnode_id=202302378","ictv.global=202302378")</f>
        <v>ictv.global=202302378</v>
      </c>
    </row>
    <row r="7912" spans="1:21">
      <c r="A7912">
        <v>7911</v>
      </c>
      <c r="B7912" s="30" t="s">
        <v>1226</v>
      </c>
      <c r="D7912" s="30" t="s">
        <v>2024</v>
      </c>
      <c r="F7912" s="30" t="s">
        <v>2032</v>
      </c>
      <c r="H7912" s="30" t="s">
        <v>2033</v>
      </c>
      <c r="J7912" s="30" t="s">
        <v>314</v>
      </c>
      <c r="L7912" s="30" t="s">
        <v>347</v>
      </c>
      <c r="N7912" s="30" t="s">
        <v>381</v>
      </c>
      <c r="P7912" s="30" t="s">
        <v>9243</v>
      </c>
      <c r="Q7912" t="s">
        <v>621</v>
      </c>
      <c r="R7912" t="s">
        <v>920</v>
      </c>
      <c r="S7912">
        <v>38</v>
      </c>
      <c r="T7912" s="29" t="str">
        <f>HYPERLINK("https://ictv.global/ictv/proposals/2022.013P.Tymoviridae_rename.zip","2022.013P.Tymoviridae_rename.zip")</f>
        <v>2022.013P.Tymoviridae_rename.zip</v>
      </c>
      <c r="U7912" s="29" t="str">
        <f>HYPERLINK("https://ictv.global/taxonomy/taxondetails?taxnode_id=202302359","ictv.global=202302359")</f>
        <v>ictv.global=202302359</v>
      </c>
    </row>
    <row r="7913" spans="1:21">
      <c r="A7913">
        <v>7912</v>
      </c>
      <c r="B7913" s="30" t="s">
        <v>1226</v>
      </c>
      <c r="D7913" s="30" t="s">
        <v>2024</v>
      </c>
      <c r="F7913" s="30" t="s">
        <v>2032</v>
      </c>
      <c r="H7913" s="30" t="s">
        <v>2033</v>
      </c>
      <c r="J7913" s="30" t="s">
        <v>314</v>
      </c>
      <c r="L7913" s="30" t="s">
        <v>347</v>
      </c>
      <c r="N7913" s="30" t="s">
        <v>381</v>
      </c>
      <c r="P7913" s="30" t="s">
        <v>9244</v>
      </c>
      <c r="Q7913" t="s">
        <v>621</v>
      </c>
      <c r="R7913" t="s">
        <v>920</v>
      </c>
      <c r="S7913">
        <v>38</v>
      </c>
      <c r="T7913" s="29" t="str">
        <f>HYPERLINK("https://ictv.global/ictv/proposals/2022.013P.Tymoviridae_rename.zip","2022.013P.Tymoviridae_rename.zip")</f>
        <v>2022.013P.Tymoviridae_rename.zip</v>
      </c>
      <c r="U7913" s="29" t="str">
        <f>HYPERLINK("https://ictv.global/taxonomy/taxondetails?taxnode_id=202302381","ictv.global=202302381")</f>
        <v>ictv.global=202302381</v>
      </c>
    </row>
    <row r="7914" spans="1:21">
      <c r="A7914">
        <v>7913</v>
      </c>
      <c r="B7914" s="30" t="s">
        <v>1226</v>
      </c>
      <c r="D7914" s="30" t="s">
        <v>2024</v>
      </c>
      <c r="F7914" s="30" t="s">
        <v>2032</v>
      </c>
      <c r="H7914" s="30" t="s">
        <v>2033</v>
      </c>
      <c r="J7914" s="30" t="s">
        <v>314</v>
      </c>
      <c r="L7914" s="30" t="s">
        <v>347</v>
      </c>
      <c r="P7914" s="30" t="s">
        <v>7</v>
      </c>
      <c r="Q7914" t="s">
        <v>621</v>
      </c>
      <c r="R7914" t="s">
        <v>919</v>
      </c>
      <c r="S7914">
        <v>35</v>
      </c>
      <c r="T7914" s="29" t="str">
        <f>HYPERLINK("https://ictv.global/ictv/proposals/2019.006G.zip","2019.006G.zip")</f>
        <v>2019.006G.zip</v>
      </c>
      <c r="U7914" s="29" t="str">
        <f>HYPERLINK("https://ictv.global/taxonomy/taxondetails?taxnode_id=202302384","ictv.global=202302384")</f>
        <v>ictv.global=202302384</v>
      </c>
    </row>
    <row r="7915" spans="1:21">
      <c r="A7915">
        <v>7914</v>
      </c>
      <c r="B7915" s="30" t="s">
        <v>1226</v>
      </c>
      <c r="D7915" s="30" t="s">
        <v>2024</v>
      </c>
      <c r="F7915" s="30" t="s">
        <v>2032</v>
      </c>
      <c r="H7915" s="30" t="s">
        <v>2033</v>
      </c>
      <c r="J7915" s="30" t="s">
        <v>314</v>
      </c>
      <c r="L7915" s="30" t="s">
        <v>347</v>
      </c>
      <c r="P7915" s="30" t="s">
        <v>8</v>
      </c>
      <c r="Q7915" t="s">
        <v>621</v>
      </c>
      <c r="R7915" t="s">
        <v>919</v>
      </c>
      <c r="S7915">
        <v>35</v>
      </c>
      <c r="T7915" s="29" t="str">
        <f>HYPERLINK("https://ictv.global/ictv/proposals/2019.006G.zip","2019.006G.zip")</f>
        <v>2019.006G.zip</v>
      </c>
      <c r="U7915" s="29" t="str">
        <f>HYPERLINK("https://ictv.global/taxonomy/taxondetails?taxnode_id=202302385","ictv.global=202302385")</f>
        <v>ictv.global=202302385</v>
      </c>
    </row>
    <row r="7916" spans="1:21">
      <c r="A7916">
        <v>7915</v>
      </c>
      <c r="B7916" s="30" t="s">
        <v>1226</v>
      </c>
      <c r="D7916" s="30" t="s">
        <v>2024</v>
      </c>
      <c r="F7916" s="30" t="s">
        <v>2032</v>
      </c>
      <c r="H7916" s="30" t="s">
        <v>2039</v>
      </c>
      <c r="J7916" s="30" t="s">
        <v>2040</v>
      </c>
      <c r="L7916" s="30" t="s">
        <v>302</v>
      </c>
      <c r="N7916" s="30" t="s">
        <v>316</v>
      </c>
      <c r="P7916" s="30" t="s">
        <v>9245</v>
      </c>
      <c r="Q7916" t="s">
        <v>621</v>
      </c>
      <c r="R7916" t="s">
        <v>920</v>
      </c>
      <c r="S7916">
        <v>38</v>
      </c>
      <c r="T7916" s="29" t="str">
        <f t="shared" ref="T7916:T7947" si="341">HYPERLINK("https://ictv.global/ictv/proposals/2022.007S.Flaviviridae_1genren_sprenamed.zip","2022.007S.Flaviviridae_1genren_sprenamed.zip")</f>
        <v>2022.007S.Flaviviridae_1genren_sprenamed.zip</v>
      </c>
      <c r="U7916" s="29" t="str">
        <f>HYPERLINK("https://ictv.global/taxonomy/taxondetails?taxnode_id=202303138","ictv.global=202303138")</f>
        <v>ictv.global=202303138</v>
      </c>
    </row>
    <row r="7917" spans="1:21">
      <c r="A7917">
        <v>7916</v>
      </c>
      <c r="B7917" s="30" t="s">
        <v>1226</v>
      </c>
      <c r="D7917" s="30" t="s">
        <v>2024</v>
      </c>
      <c r="F7917" s="30" t="s">
        <v>2032</v>
      </c>
      <c r="H7917" s="30" t="s">
        <v>2039</v>
      </c>
      <c r="J7917" s="30" t="s">
        <v>2040</v>
      </c>
      <c r="L7917" s="30" t="s">
        <v>302</v>
      </c>
      <c r="N7917" s="30" t="s">
        <v>316</v>
      </c>
      <c r="P7917" s="30" t="s">
        <v>9246</v>
      </c>
      <c r="Q7917" t="s">
        <v>621</v>
      </c>
      <c r="R7917" t="s">
        <v>920</v>
      </c>
      <c r="S7917">
        <v>38</v>
      </c>
      <c r="T7917" s="29" t="str">
        <f t="shared" si="341"/>
        <v>2022.007S.Flaviviridae_1genren_sprenamed.zip</v>
      </c>
      <c r="U7917" s="29" t="str">
        <f>HYPERLINK("https://ictv.global/taxonomy/taxondetails?taxnode_id=202303128","ictv.global=202303128")</f>
        <v>ictv.global=202303128</v>
      </c>
    </row>
    <row r="7918" spans="1:21">
      <c r="A7918">
        <v>7917</v>
      </c>
      <c r="B7918" s="30" t="s">
        <v>1226</v>
      </c>
      <c r="D7918" s="30" t="s">
        <v>2024</v>
      </c>
      <c r="F7918" s="30" t="s">
        <v>2032</v>
      </c>
      <c r="H7918" s="30" t="s">
        <v>2039</v>
      </c>
      <c r="J7918" s="30" t="s">
        <v>2040</v>
      </c>
      <c r="L7918" s="30" t="s">
        <v>302</v>
      </c>
      <c r="N7918" s="30" t="s">
        <v>316</v>
      </c>
      <c r="P7918" s="30" t="s">
        <v>9247</v>
      </c>
      <c r="Q7918" t="s">
        <v>621</v>
      </c>
      <c r="R7918" t="s">
        <v>920</v>
      </c>
      <c r="S7918">
        <v>38</v>
      </c>
      <c r="T7918" s="29" t="str">
        <f t="shared" si="341"/>
        <v>2022.007S.Flaviviridae_1genren_sprenamed.zip</v>
      </c>
      <c r="U7918" s="29" t="str">
        <f>HYPERLINK("https://ictv.global/taxonomy/taxondetails?taxnode_id=202303125","ictv.global=202303125")</f>
        <v>ictv.global=202303125</v>
      </c>
    </row>
    <row r="7919" spans="1:21">
      <c r="A7919">
        <v>7918</v>
      </c>
      <c r="B7919" s="30" t="s">
        <v>1226</v>
      </c>
      <c r="D7919" s="30" t="s">
        <v>2024</v>
      </c>
      <c r="F7919" s="30" t="s">
        <v>2032</v>
      </c>
      <c r="H7919" s="30" t="s">
        <v>2039</v>
      </c>
      <c r="J7919" s="30" t="s">
        <v>2040</v>
      </c>
      <c r="L7919" s="30" t="s">
        <v>302</v>
      </c>
      <c r="N7919" s="30" t="s">
        <v>316</v>
      </c>
      <c r="P7919" s="30" t="s">
        <v>9248</v>
      </c>
      <c r="Q7919" t="s">
        <v>621</v>
      </c>
      <c r="R7919" t="s">
        <v>920</v>
      </c>
      <c r="S7919">
        <v>38</v>
      </c>
      <c r="T7919" s="29" t="str">
        <f t="shared" si="341"/>
        <v>2022.007S.Flaviviridae_1genren_sprenamed.zip</v>
      </c>
      <c r="U7919" s="29" t="str">
        <f>HYPERLINK("https://ictv.global/taxonomy/taxondetails?taxnode_id=202303134","ictv.global=202303134")</f>
        <v>ictv.global=202303134</v>
      </c>
    </row>
    <row r="7920" spans="1:21">
      <c r="A7920">
        <v>7919</v>
      </c>
      <c r="B7920" s="30" t="s">
        <v>1226</v>
      </c>
      <c r="D7920" s="30" t="s">
        <v>2024</v>
      </c>
      <c r="F7920" s="30" t="s">
        <v>2032</v>
      </c>
      <c r="H7920" s="30" t="s">
        <v>2039</v>
      </c>
      <c r="J7920" s="30" t="s">
        <v>2040</v>
      </c>
      <c r="L7920" s="30" t="s">
        <v>302</v>
      </c>
      <c r="N7920" s="30" t="s">
        <v>316</v>
      </c>
      <c r="P7920" s="30" t="s">
        <v>9249</v>
      </c>
      <c r="Q7920" t="s">
        <v>621</v>
      </c>
      <c r="R7920" t="s">
        <v>920</v>
      </c>
      <c r="S7920">
        <v>38</v>
      </c>
      <c r="T7920" s="29" t="str">
        <f t="shared" si="341"/>
        <v>2022.007S.Flaviviridae_1genren_sprenamed.zip</v>
      </c>
      <c r="U7920" s="29" t="str">
        <f>HYPERLINK("https://ictv.global/taxonomy/taxondetails?taxnode_id=202303127","ictv.global=202303127")</f>
        <v>ictv.global=202303127</v>
      </c>
    </row>
    <row r="7921" spans="1:21">
      <c r="A7921">
        <v>7920</v>
      </c>
      <c r="B7921" s="30" t="s">
        <v>1226</v>
      </c>
      <c r="D7921" s="30" t="s">
        <v>2024</v>
      </c>
      <c r="F7921" s="30" t="s">
        <v>2032</v>
      </c>
      <c r="H7921" s="30" t="s">
        <v>2039</v>
      </c>
      <c r="J7921" s="30" t="s">
        <v>2040</v>
      </c>
      <c r="L7921" s="30" t="s">
        <v>302</v>
      </c>
      <c r="N7921" s="30" t="s">
        <v>316</v>
      </c>
      <c r="P7921" s="30" t="s">
        <v>9250</v>
      </c>
      <c r="Q7921" t="s">
        <v>621</v>
      </c>
      <c r="R7921" t="s">
        <v>920</v>
      </c>
      <c r="S7921">
        <v>38</v>
      </c>
      <c r="T7921" s="29" t="str">
        <f t="shared" si="341"/>
        <v>2022.007S.Flaviviridae_1genren_sprenamed.zip</v>
      </c>
      <c r="U7921" s="29" t="str">
        <f>HYPERLINK("https://ictv.global/taxonomy/taxondetails?taxnode_id=202303135","ictv.global=202303135")</f>
        <v>ictv.global=202303135</v>
      </c>
    </row>
    <row r="7922" spans="1:21">
      <c r="A7922">
        <v>7921</v>
      </c>
      <c r="B7922" s="30" t="s">
        <v>1226</v>
      </c>
      <c r="D7922" s="30" t="s">
        <v>2024</v>
      </c>
      <c r="F7922" s="30" t="s">
        <v>2032</v>
      </c>
      <c r="H7922" s="30" t="s">
        <v>2039</v>
      </c>
      <c r="J7922" s="30" t="s">
        <v>2040</v>
      </c>
      <c r="L7922" s="30" t="s">
        <v>302</v>
      </c>
      <c r="N7922" s="30" t="s">
        <v>316</v>
      </c>
      <c r="P7922" s="30" t="s">
        <v>9251</v>
      </c>
      <c r="Q7922" t="s">
        <v>621</v>
      </c>
      <c r="R7922" t="s">
        <v>920</v>
      </c>
      <c r="S7922">
        <v>38</v>
      </c>
      <c r="T7922" s="29" t="str">
        <f t="shared" si="341"/>
        <v>2022.007S.Flaviviridae_1genren_sprenamed.zip</v>
      </c>
      <c r="U7922" s="29" t="str">
        <f>HYPERLINK("https://ictv.global/taxonomy/taxondetails?taxnode_id=202303130","ictv.global=202303130")</f>
        <v>ictv.global=202303130</v>
      </c>
    </row>
    <row r="7923" spans="1:21">
      <c r="A7923">
        <v>7922</v>
      </c>
      <c r="B7923" s="30" t="s">
        <v>1226</v>
      </c>
      <c r="D7923" s="30" t="s">
        <v>2024</v>
      </c>
      <c r="F7923" s="30" t="s">
        <v>2032</v>
      </c>
      <c r="H7923" s="30" t="s">
        <v>2039</v>
      </c>
      <c r="J7923" s="30" t="s">
        <v>2040</v>
      </c>
      <c r="L7923" s="30" t="s">
        <v>302</v>
      </c>
      <c r="N7923" s="30" t="s">
        <v>316</v>
      </c>
      <c r="P7923" s="30" t="s">
        <v>9252</v>
      </c>
      <c r="Q7923" t="s">
        <v>621</v>
      </c>
      <c r="R7923" t="s">
        <v>920</v>
      </c>
      <c r="S7923">
        <v>38</v>
      </c>
      <c r="T7923" s="29" t="str">
        <f t="shared" si="341"/>
        <v>2022.007S.Flaviviridae_1genren_sprenamed.zip</v>
      </c>
      <c r="U7923" s="29" t="str">
        <f>HYPERLINK("https://ictv.global/taxonomy/taxondetails?taxnode_id=202303132","ictv.global=202303132")</f>
        <v>ictv.global=202303132</v>
      </c>
    </row>
    <row r="7924" spans="1:21">
      <c r="A7924">
        <v>7923</v>
      </c>
      <c r="B7924" s="30" t="s">
        <v>1226</v>
      </c>
      <c r="D7924" s="30" t="s">
        <v>2024</v>
      </c>
      <c r="F7924" s="30" t="s">
        <v>2032</v>
      </c>
      <c r="H7924" s="30" t="s">
        <v>2039</v>
      </c>
      <c r="J7924" s="30" t="s">
        <v>2040</v>
      </c>
      <c r="L7924" s="30" t="s">
        <v>302</v>
      </c>
      <c r="N7924" s="30" t="s">
        <v>316</v>
      </c>
      <c r="P7924" s="30" t="s">
        <v>9253</v>
      </c>
      <c r="Q7924" t="s">
        <v>621</v>
      </c>
      <c r="R7924" t="s">
        <v>920</v>
      </c>
      <c r="S7924">
        <v>38</v>
      </c>
      <c r="T7924" s="29" t="str">
        <f t="shared" si="341"/>
        <v>2022.007S.Flaviviridae_1genren_sprenamed.zip</v>
      </c>
      <c r="U7924" s="29" t="str">
        <f>HYPERLINK("https://ictv.global/taxonomy/taxondetails?taxnode_id=202303137","ictv.global=202303137")</f>
        <v>ictv.global=202303137</v>
      </c>
    </row>
    <row r="7925" spans="1:21">
      <c r="A7925">
        <v>7924</v>
      </c>
      <c r="B7925" s="30" t="s">
        <v>1226</v>
      </c>
      <c r="D7925" s="30" t="s">
        <v>2024</v>
      </c>
      <c r="F7925" s="30" t="s">
        <v>2032</v>
      </c>
      <c r="H7925" s="30" t="s">
        <v>2039</v>
      </c>
      <c r="J7925" s="30" t="s">
        <v>2040</v>
      </c>
      <c r="L7925" s="30" t="s">
        <v>302</v>
      </c>
      <c r="N7925" s="30" t="s">
        <v>316</v>
      </c>
      <c r="P7925" s="30" t="s">
        <v>9254</v>
      </c>
      <c r="Q7925" t="s">
        <v>621</v>
      </c>
      <c r="R7925" t="s">
        <v>920</v>
      </c>
      <c r="S7925">
        <v>38</v>
      </c>
      <c r="T7925" s="29" t="str">
        <f t="shared" si="341"/>
        <v>2022.007S.Flaviviridae_1genren_sprenamed.zip</v>
      </c>
      <c r="U7925" s="29" t="str">
        <f>HYPERLINK("https://ictv.global/taxonomy/taxondetails?taxnode_id=202303129","ictv.global=202303129")</f>
        <v>ictv.global=202303129</v>
      </c>
    </row>
    <row r="7926" spans="1:21">
      <c r="A7926">
        <v>7925</v>
      </c>
      <c r="B7926" s="30" t="s">
        <v>1226</v>
      </c>
      <c r="D7926" s="30" t="s">
        <v>2024</v>
      </c>
      <c r="F7926" s="30" t="s">
        <v>2032</v>
      </c>
      <c r="H7926" s="30" t="s">
        <v>2039</v>
      </c>
      <c r="J7926" s="30" t="s">
        <v>2040</v>
      </c>
      <c r="L7926" s="30" t="s">
        <v>302</v>
      </c>
      <c r="N7926" s="30" t="s">
        <v>316</v>
      </c>
      <c r="P7926" s="30" t="s">
        <v>9255</v>
      </c>
      <c r="Q7926" t="s">
        <v>621</v>
      </c>
      <c r="R7926" t="s">
        <v>920</v>
      </c>
      <c r="S7926">
        <v>38</v>
      </c>
      <c r="T7926" s="29" t="str">
        <f t="shared" si="341"/>
        <v>2022.007S.Flaviviridae_1genren_sprenamed.zip</v>
      </c>
      <c r="U7926" s="29" t="str">
        <f>HYPERLINK("https://ictv.global/taxonomy/taxondetails?taxnode_id=202303126","ictv.global=202303126")</f>
        <v>ictv.global=202303126</v>
      </c>
    </row>
    <row r="7927" spans="1:21">
      <c r="A7927">
        <v>7926</v>
      </c>
      <c r="B7927" s="30" t="s">
        <v>1226</v>
      </c>
      <c r="D7927" s="30" t="s">
        <v>2024</v>
      </c>
      <c r="F7927" s="30" t="s">
        <v>2032</v>
      </c>
      <c r="H7927" s="30" t="s">
        <v>2039</v>
      </c>
      <c r="J7927" s="30" t="s">
        <v>2040</v>
      </c>
      <c r="L7927" s="30" t="s">
        <v>302</v>
      </c>
      <c r="N7927" s="30" t="s">
        <v>316</v>
      </c>
      <c r="P7927" s="30" t="s">
        <v>9256</v>
      </c>
      <c r="Q7927" t="s">
        <v>621</v>
      </c>
      <c r="R7927" t="s">
        <v>920</v>
      </c>
      <c r="S7927">
        <v>38</v>
      </c>
      <c r="T7927" s="29" t="str">
        <f t="shared" si="341"/>
        <v>2022.007S.Flaviviridae_1genren_sprenamed.zip</v>
      </c>
      <c r="U7927" s="29" t="str">
        <f>HYPERLINK("https://ictv.global/taxonomy/taxondetails?taxnode_id=202303131","ictv.global=202303131")</f>
        <v>ictv.global=202303131</v>
      </c>
    </row>
    <row r="7928" spans="1:21">
      <c r="A7928">
        <v>7927</v>
      </c>
      <c r="B7928" s="30" t="s">
        <v>1226</v>
      </c>
      <c r="D7928" s="30" t="s">
        <v>2024</v>
      </c>
      <c r="F7928" s="30" t="s">
        <v>2032</v>
      </c>
      <c r="H7928" s="30" t="s">
        <v>2039</v>
      </c>
      <c r="J7928" s="30" t="s">
        <v>2040</v>
      </c>
      <c r="L7928" s="30" t="s">
        <v>302</v>
      </c>
      <c r="N7928" s="30" t="s">
        <v>316</v>
      </c>
      <c r="P7928" s="30" t="s">
        <v>9257</v>
      </c>
      <c r="Q7928" t="s">
        <v>621</v>
      </c>
      <c r="R7928" t="s">
        <v>920</v>
      </c>
      <c r="S7928">
        <v>38</v>
      </c>
      <c r="T7928" s="29" t="str">
        <f t="shared" si="341"/>
        <v>2022.007S.Flaviviridae_1genren_sprenamed.zip</v>
      </c>
      <c r="U7928" s="29" t="str">
        <f>HYPERLINK("https://ictv.global/taxonomy/taxondetails?taxnode_id=202303133","ictv.global=202303133")</f>
        <v>ictv.global=202303133</v>
      </c>
    </row>
    <row r="7929" spans="1:21">
      <c r="A7929">
        <v>7928</v>
      </c>
      <c r="B7929" s="30" t="s">
        <v>1226</v>
      </c>
      <c r="D7929" s="30" t="s">
        <v>2024</v>
      </c>
      <c r="F7929" s="30" t="s">
        <v>2032</v>
      </c>
      <c r="H7929" s="30" t="s">
        <v>2039</v>
      </c>
      <c r="J7929" s="30" t="s">
        <v>2040</v>
      </c>
      <c r="L7929" s="30" t="s">
        <v>302</v>
      </c>
      <c r="N7929" s="30" t="s">
        <v>316</v>
      </c>
      <c r="P7929" s="30" t="s">
        <v>9258</v>
      </c>
      <c r="Q7929" t="s">
        <v>621</v>
      </c>
      <c r="R7929" t="s">
        <v>920</v>
      </c>
      <c r="S7929">
        <v>38</v>
      </c>
      <c r="T7929" s="29" t="str">
        <f t="shared" si="341"/>
        <v>2022.007S.Flaviviridae_1genren_sprenamed.zip</v>
      </c>
      <c r="U7929" s="29" t="str">
        <f>HYPERLINK("https://ictv.global/taxonomy/taxondetails?taxnode_id=202303136","ictv.global=202303136")</f>
        <v>ictv.global=202303136</v>
      </c>
    </row>
    <row r="7930" spans="1:21">
      <c r="A7930">
        <v>7929</v>
      </c>
      <c r="B7930" s="30" t="s">
        <v>1226</v>
      </c>
      <c r="D7930" s="30" t="s">
        <v>2024</v>
      </c>
      <c r="F7930" s="30" t="s">
        <v>2032</v>
      </c>
      <c r="H7930" s="30" t="s">
        <v>2039</v>
      </c>
      <c r="J7930" s="30" t="s">
        <v>2040</v>
      </c>
      <c r="L7930" s="30" t="s">
        <v>302</v>
      </c>
      <c r="N7930" s="30" t="s">
        <v>9259</v>
      </c>
      <c r="P7930" s="30" t="s">
        <v>9260</v>
      </c>
      <c r="Q7930" t="s">
        <v>621</v>
      </c>
      <c r="R7930" t="s">
        <v>920</v>
      </c>
      <c r="S7930">
        <v>38</v>
      </c>
      <c r="T7930" s="29" t="str">
        <f t="shared" si="341"/>
        <v>2022.007S.Flaviviridae_1genren_sprenamed.zip</v>
      </c>
      <c r="U7930" s="29" t="str">
        <f>HYPERLINK("https://ictv.global/taxonomy/taxondetails?taxnode_id=202303071","ictv.global=202303071")</f>
        <v>ictv.global=202303071</v>
      </c>
    </row>
    <row r="7931" spans="1:21">
      <c r="A7931">
        <v>7930</v>
      </c>
      <c r="B7931" s="30" t="s">
        <v>1226</v>
      </c>
      <c r="D7931" s="30" t="s">
        <v>2024</v>
      </c>
      <c r="F7931" s="30" t="s">
        <v>2032</v>
      </c>
      <c r="H7931" s="30" t="s">
        <v>2039</v>
      </c>
      <c r="J7931" s="30" t="s">
        <v>2040</v>
      </c>
      <c r="L7931" s="30" t="s">
        <v>302</v>
      </c>
      <c r="N7931" s="30" t="s">
        <v>9259</v>
      </c>
      <c r="P7931" s="30" t="s">
        <v>9261</v>
      </c>
      <c r="Q7931" t="s">
        <v>621</v>
      </c>
      <c r="R7931" t="s">
        <v>920</v>
      </c>
      <c r="S7931">
        <v>38</v>
      </c>
      <c r="T7931" s="29" t="str">
        <f t="shared" si="341"/>
        <v>2022.007S.Flaviviridae_1genren_sprenamed.zip</v>
      </c>
      <c r="U7931" s="29" t="str">
        <f>HYPERLINK("https://ictv.global/taxonomy/taxondetails?taxnode_id=202303072","ictv.global=202303072")</f>
        <v>ictv.global=202303072</v>
      </c>
    </row>
    <row r="7932" spans="1:21">
      <c r="A7932">
        <v>7931</v>
      </c>
      <c r="B7932" s="30" t="s">
        <v>1226</v>
      </c>
      <c r="D7932" s="30" t="s">
        <v>2024</v>
      </c>
      <c r="F7932" s="30" t="s">
        <v>2032</v>
      </c>
      <c r="H7932" s="30" t="s">
        <v>2039</v>
      </c>
      <c r="J7932" s="30" t="s">
        <v>2040</v>
      </c>
      <c r="L7932" s="30" t="s">
        <v>302</v>
      </c>
      <c r="N7932" s="30" t="s">
        <v>9259</v>
      </c>
      <c r="P7932" s="30" t="s">
        <v>9262</v>
      </c>
      <c r="Q7932" t="s">
        <v>621</v>
      </c>
      <c r="R7932" t="s">
        <v>920</v>
      </c>
      <c r="S7932">
        <v>38</v>
      </c>
      <c r="T7932" s="29" t="str">
        <f t="shared" si="341"/>
        <v>2022.007S.Flaviviridae_1genren_sprenamed.zip</v>
      </c>
      <c r="U7932" s="29" t="str">
        <f>HYPERLINK("https://ictv.global/taxonomy/taxondetails?taxnode_id=202303073","ictv.global=202303073")</f>
        <v>ictv.global=202303073</v>
      </c>
    </row>
    <row r="7933" spans="1:21">
      <c r="A7933">
        <v>7932</v>
      </c>
      <c r="B7933" s="30" t="s">
        <v>1226</v>
      </c>
      <c r="D7933" s="30" t="s">
        <v>2024</v>
      </c>
      <c r="F7933" s="30" t="s">
        <v>2032</v>
      </c>
      <c r="H7933" s="30" t="s">
        <v>2039</v>
      </c>
      <c r="J7933" s="30" t="s">
        <v>2040</v>
      </c>
      <c r="L7933" s="30" t="s">
        <v>302</v>
      </c>
      <c r="N7933" s="30" t="s">
        <v>9259</v>
      </c>
      <c r="P7933" s="30" t="s">
        <v>9263</v>
      </c>
      <c r="Q7933" t="s">
        <v>621</v>
      </c>
      <c r="R7933" t="s">
        <v>920</v>
      </c>
      <c r="S7933">
        <v>38</v>
      </c>
      <c r="T7933" s="29" t="str">
        <f t="shared" si="341"/>
        <v>2022.007S.Flaviviridae_1genren_sprenamed.zip</v>
      </c>
      <c r="U7933" s="29" t="str">
        <f>HYPERLINK("https://ictv.global/taxonomy/taxondetails?taxnode_id=202303074","ictv.global=202303074")</f>
        <v>ictv.global=202303074</v>
      </c>
    </row>
    <row r="7934" spans="1:21">
      <c r="A7934">
        <v>7933</v>
      </c>
      <c r="B7934" s="30" t="s">
        <v>1226</v>
      </c>
      <c r="D7934" s="30" t="s">
        <v>2024</v>
      </c>
      <c r="F7934" s="30" t="s">
        <v>2032</v>
      </c>
      <c r="H7934" s="30" t="s">
        <v>2039</v>
      </c>
      <c r="J7934" s="30" t="s">
        <v>2040</v>
      </c>
      <c r="L7934" s="30" t="s">
        <v>302</v>
      </c>
      <c r="N7934" s="30" t="s">
        <v>9259</v>
      </c>
      <c r="P7934" s="30" t="s">
        <v>9264</v>
      </c>
      <c r="Q7934" t="s">
        <v>621</v>
      </c>
      <c r="R7934" t="s">
        <v>920</v>
      </c>
      <c r="S7934">
        <v>38</v>
      </c>
      <c r="T7934" s="29" t="str">
        <f t="shared" si="341"/>
        <v>2022.007S.Flaviviridae_1genren_sprenamed.zip</v>
      </c>
      <c r="U7934" s="29" t="str">
        <f>HYPERLINK("https://ictv.global/taxonomy/taxondetails?taxnode_id=202303075","ictv.global=202303075")</f>
        <v>ictv.global=202303075</v>
      </c>
    </row>
    <row r="7935" spans="1:21">
      <c r="A7935">
        <v>7934</v>
      </c>
      <c r="B7935" s="30" t="s">
        <v>1226</v>
      </c>
      <c r="D7935" s="30" t="s">
        <v>2024</v>
      </c>
      <c r="F7935" s="30" t="s">
        <v>2032</v>
      </c>
      <c r="H7935" s="30" t="s">
        <v>2039</v>
      </c>
      <c r="J7935" s="30" t="s">
        <v>2040</v>
      </c>
      <c r="L7935" s="30" t="s">
        <v>302</v>
      </c>
      <c r="N7935" s="30" t="s">
        <v>9259</v>
      </c>
      <c r="P7935" s="30" t="s">
        <v>9265</v>
      </c>
      <c r="Q7935" t="s">
        <v>621</v>
      </c>
      <c r="R7935" t="s">
        <v>920</v>
      </c>
      <c r="S7935">
        <v>38</v>
      </c>
      <c r="T7935" s="29" t="str">
        <f t="shared" si="341"/>
        <v>2022.007S.Flaviviridae_1genren_sprenamed.zip</v>
      </c>
      <c r="U7935" s="29" t="str">
        <f>HYPERLINK("https://ictv.global/taxonomy/taxondetails?taxnode_id=202303105","ictv.global=202303105")</f>
        <v>ictv.global=202303105</v>
      </c>
    </row>
    <row r="7936" spans="1:21">
      <c r="A7936">
        <v>7935</v>
      </c>
      <c r="B7936" s="30" t="s">
        <v>1226</v>
      </c>
      <c r="D7936" s="30" t="s">
        <v>2024</v>
      </c>
      <c r="F7936" s="30" t="s">
        <v>2032</v>
      </c>
      <c r="H7936" s="30" t="s">
        <v>2039</v>
      </c>
      <c r="J7936" s="30" t="s">
        <v>2040</v>
      </c>
      <c r="L7936" s="30" t="s">
        <v>302</v>
      </c>
      <c r="N7936" s="30" t="s">
        <v>9259</v>
      </c>
      <c r="P7936" s="30" t="s">
        <v>9266</v>
      </c>
      <c r="Q7936" t="s">
        <v>621</v>
      </c>
      <c r="R7936" t="s">
        <v>920</v>
      </c>
      <c r="S7936">
        <v>38</v>
      </c>
      <c r="T7936" s="29" t="str">
        <f t="shared" si="341"/>
        <v>2022.007S.Flaviviridae_1genren_sprenamed.zip</v>
      </c>
      <c r="U7936" s="29" t="str">
        <f>HYPERLINK("https://ictv.global/taxonomy/taxondetails?taxnode_id=202303076","ictv.global=202303076")</f>
        <v>ictv.global=202303076</v>
      </c>
    </row>
    <row r="7937" spans="1:21">
      <c r="A7937">
        <v>7936</v>
      </c>
      <c r="B7937" s="30" t="s">
        <v>1226</v>
      </c>
      <c r="D7937" s="30" t="s">
        <v>2024</v>
      </c>
      <c r="F7937" s="30" t="s">
        <v>2032</v>
      </c>
      <c r="H7937" s="30" t="s">
        <v>2039</v>
      </c>
      <c r="J7937" s="30" t="s">
        <v>2040</v>
      </c>
      <c r="L7937" s="30" t="s">
        <v>302</v>
      </c>
      <c r="N7937" s="30" t="s">
        <v>9259</v>
      </c>
      <c r="P7937" s="30" t="s">
        <v>9267</v>
      </c>
      <c r="Q7937" t="s">
        <v>621</v>
      </c>
      <c r="R7937" t="s">
        <v>920</v>
      </c>
      <c r="S7937">
        <v>38</v>
      </c>
      <c r="T7937" s="29" t="str">
        <f t="shared" si="341"/>
        <v>2022.007S.Flaviviridae_1genren_sprenamed.zip</v>
      </c>
      <c r="U7937" s="29" t="str">
        <f>HYPERLINK("https://ictv.global/taxonomy/taxondetails?taxnode_id=202303077","ictv.global=202303077")</f>
        <v>ictv.global=202303077</v>
      </c>
    </row>
    <row r="7938" spans="1:21">
      <c r="A7938">
        <v>7937</v>
      </c>
      <c r="B7938" s="30" t="s">
        <v>1226</v>
      </c>
      <c r="D7938" s="30" t="s">
        <v>2024</v>
      </c>
      <c r="F7938" s="30" t="s">
        <v>2032</v>
      </c>
      <c r="H7938" s="30" t="s">
        <v>2039</v>
      </c>
      <c r="J7938" s="30" t="s">
        <v>2040</v>
      </c>
      <c r="L7938" s="30" t="s">
        <v>302</v>
      </c>
      <c r="N7938" s="30" t="s">
        <v>9259</v>
      </c>
      <c r="P7938" s="30" t="s">
        <v>9268</v>
      </c>
      <c r="Q7938" t="s">
        <v>621</v>
      </c>
      <c r="R7938" t="s">
        <v>920</v>
      </c>
      <c r="S7938">
        <v>38</v>
      </c>
      <c r="T7938" s="29" t="str">
        <f t="shared" si="341"/>
        <v>2022.007S.Flaviviridae_1genren_sprenamed.zip</v>
      </c>
      <c r="U7938" s="29" t="str">
        <f>HYPERLINK("https://ictv.global/taxonomy/taxondetails?taxnode_id=202303078","ictv.global=202303078")</f>
        <v>ictv.global=202303078</v>
      </c>
    </row>
    <row r="7939" spans="1:21">
      <c r="A7939">
        <v>7938</v>
      </c>
      <c r="B7939" s="30" t="s">
        <v>1226</v>
      </c>
      <c r="D7939" s="30" t="s">
        <v>2024</v>
      </c>
      <c r="F7939" s="30" t="s">
        <v>2032</v>
      </c>
      <c r="H7939" s="30" t="s">
        <v>2039</v>
      </c>
      <c r="J7939" s="30" t="s">
        <v>2040</v>
      </c>
      <c r="L7939" s="30" t="s">
        <v>302</v>
      </c>
      <c r="N7939" s="30" t="s">
        <v>9259</v>
      </c>
      <c r="P7939" s="30" t="s">
        <v>9269</v>
      </c>
      <c r="Q7939" t="s">
        <v>621</v>
      </c>
      <c r="R7939" t="s">
        <v>920</v>
      </c>
      <c r="S7939">
        <v>38</v>
      </c>
      <c r="T7939" s="29" t="str">
        <f t="shared" si="341"/>
        <v>2022.007S.Flaviviridae_1genren_sprenamed.zip</v>
      </c>
      <c r="U7939" s="29" t="str">
        <f>HYPERLINK("https://ictv.global/taxonomy/taxondetails?taxnode_id=202303079","ictv.global=202303079")</f>
        <v>ictv.global=202303079</v>
      </c>
    </row>
    <row r="7940" spans="1:21">
      <c r="A7940">
        <v>7939</v>
      </c>
      <c r="B7940" s="30" t="s">
        <v>1226</v>
      </c>
      <c r="D7940" s="30" t="s">
        <v>2024</v>
      </c>
      <c r="F7940" s="30" t="s">
        <v>2032</v>
      </c>
      <c r="H7940" s="30" t="s">
        <v>2039</v>
      </c>
      <c r="J7940" s="30" t="s">
        <v>2040</v>
      </c>
      <c r="L7940" s="30" t="s">
        <v>302</v>
      </c>
      <c r="N7940" s="30" t="s">
        <v>9259</v>
      </c>
      <c r="P7940" s="30" t="s">
        <v>9270</v>
      </c>
      <c r="Q7940" t="s">
        <v>621</v>
      </c>
      <c r="R7940" t="s">
        <v>920</v>
      </c>
      <c r="S7940">
        <v>38</v>
      </c>
      <c r="T7940" s="29" t="str">
        <f t="shared" si="341"/>
        <v>2022.007S.Flaviviridae_1genren_sprenamed.zip</v>
      </c>
      <c r="U7940" s="29" t="str">
        <f>HYPERLINK("https://ictv.global/taxonomy/taxondetails?taxnode_id=202303080","ictv.global=202303080")</f>
        <v>ictv.global=202303080</v>
      </c>
    </row>
    <row r="7941" spans="1:21">
      <c r="A7941">
        <v>7940</v>
      </c>
      <c r="B7941" s="30" t="s">
        <v>1226</v>
      </c>
      <c r="D7941" s="30" t="s">
        <v>2024</v>
      </c>
      <c r="F7941" s="30" t="s">
        <v>2032</v>
      </c>
      <c r="H7941" s="30" t="s">
        <v>2039</v>
      </c>
      <c r="J7941" s="30" t="s">
        <v>2040</v>
      </c>
      <c r="L7941" s="30" t="s">
        <v>302</v>
      </c>
      <c r="N7941" s="30" t="s">
        <v>9259</v>
      </c>
      <c r="P7941" s="30" t="s">
        <v>9271</v>
      </c>
      <c r="Q7941" t="s">
        <v>621</v>
      </c>
      <c r="R7941" t="s">
        <v>920</v>
      </c>
      <c r="S7941">
        <v>38</v>
      </c>
      <c r="T7941" s="29" t="str">
        <f t="shared" si="341"/>
        <v>2022.007S.Flaviviridae_1genren_sprenamed.zip</v>
      </c>
      <c r="U7941" s="29" t="str">
        <f>HYPERLINK("https://ictv.global/taxonomy/taxondetails?taxnode_id=202303081","ictv.global=202303081")</f>
        <v>ictv.global=202303081</v>
      </c>
    </row>
    <row r="7942" spans="1:21">
      <c r="A7942">
        <v>7941</v>
      </c>
      <c r="B7942" s="30" t="s">
        <v>1226</v>
      </c>
      <c r="D7942" s="30" t="s">
        <v>2024</v>
      </c>
      <c r="F7942" s="30" t="s">
        <v>2032</v>
      </c>
      <c r="H7942" s="30" t="s">
        <v>2039</v>
      </c>
      <c r="J7942" s="30" t="s">
        <v>2040</v>
      </c>
      <c r="L7942" s="30" t="s">
        <v>302</v>
      </c>
      <c r="N7942" s="30" t="s">
        <v>9259</v>
      </c>
      <c r="P7942" s="30" t="s">
        <v>9272</v>
      </c>
      <c r="Q7942" t="s">
        <v>621</v>
      </c>
      <c r="R7942" t="s">
        <v>920</v>
      </c>
      <c r="S7942">
        <v>38</v>
      </c>
      <c r="T7942" s="29" t="str">
        <f t="shared" si="341"/>
        <v>2022.007S.Flaviviridae_1genren_sprenamed.zip</v>
      </c>
      <c r="U7942" s="29" t="str">
        <f>HYPERLINK("https://ictv.global/taxonomy/taxondetails?taxnode_id=202303082","ictv.global=202303082")</f>
        <v>ictv.global=202303082</v>
      </c>
    </row>
    <row r="7943" spans="1:21">
      <c r="A7943">
        <v>7942</v>
      </c>
      <c r="B7943" s="30" t="s">
        <v>1226</v>
      </c>
      <c r="D7943" s="30" t="s">
        <v>2024</v>
      </c>
      <c r="F7943" s="30" t="s">
        <v>2032</v>
      </c>
      <c r="H7943" s="30" t="s">
        <v>2039</v>
      </c>
      <c r="J7943" s="30" t="s">
        <v>2040</v>
      </c>
      <c r="L7943" s="30" t="s">
        <v>302</v>
      </c>
      <c r="N7943" s="30" t="s">
        <v>9259</v>
      </c>
      <c r="P7943" s="30" t="s">
        <v>9273</v>
      </c>
      <c r="Q7943" t="s">
        <v>621</v>
      </c>
      <c r="R7943" t="s">
        <v>920</v>
      </c>
      <c r="S7943">
        <v>38</v>
      </c>
      <c r="T7943" s="29" t="str">
        <f t="shared" si="341"/>
        <v>2022.007S.Flaviviridae_1genren_sprenamed.zip</v>
      </c>
      <c r="U7943" s="29" t="str">
        <f>HYPERLINK("https://ictv.global/taxonomy/taxondetails?taxnode_id=202303114","ictv.global=202303114")</f>
        <v>ictv.global=202303114</v>
      </c>
    </row>
    <row r="7944" spans="1:21">
      <c r="A7944">
        <v>7943</v>
      </c>
      <c r="B7944" s="30" t="s">
        <v>1226</v>
      </c>
      <c r="D7944" s="30" t="s">
        <v>2024</v>
      </c>
      <c r="F7944" s="30" t="s">
        <v>2032</v>
      </c>
      <c r="H7944" s="30" t="s">
        <v>2039</v>
      </c>
      <c r="J7944" s="30" t="s">
        <v>2040</v>
      </c>
      <c r="L7944" s="30" t="s">
        <v>302</v>
      </c>
      <c r="N7944" s="30" t="s">
        <v>9259</v>
      </c>
      <c r="P7944" s="30" t="s">
        <v>9274</v>
      </c>
      <c r="Q7944" t="s">
        <v>621</v>
      </c>
      <c r="R7944" t="s">
        <v>920</v>
      </c>
      <c r="S7944">
        <v>38</v>
      </c>
      <c r="T7944" s="29" t="str">
        <f t="shared" si="341"/>
        <v>2022.007S.Flaviviridae_1genren_sprenamed.zip</v>
      </c>
      <c r="U7944" s="29" t="str">
        <f>HYPERLINK("https://ictv.global/taxonomy/taxondetails?taxnode_id=202303083","ictv.global=202303083")</f>
        <v>ictv.global=202303083</v>
      </c>
    </row>
    <row r="7945" spans="1:21">
      <c r="A7945">
        <v>7944</v>
      </c>
      <c r="B7945" s="30" t="s">
        <v>1226</v>
      </c>
      <c r="D7945" s="30" t="s">
        <v>2024</v>
      </c>
      <c r="F7945" s="30" t="s">
        <v>2032</v>
      </c>
      <c r="H7945" s="30" t="s">
        <v>2039</v>
      </c>
      <c r="J7945" s="30" t="s">
        <v>2040</v>
      </c>
      <c r="L7945" s="30" t="s">
        <v>302</v>
      </c>
      <c r="N7945" s="30" t="s">
        <v>9259</v>
      </c>
      <c r="P7945" s="30" t="s">
        <v>9275</v>
      </c>
      <c r="Q7945" t="s">
        <v>621</v>
      </c>
      <c r="R7945" t="s">
        <v>920</v>
      </c>
      <c r="S7945">
        <v>38</v>
      </c>
      <c r="T7945" s="29" t="str">
        <f t="shared" si="341"/>
        <v>2022.007S.Flaviviridae_1genren_sprenamed.zip</v>
      </c>
      <c r="U7945" s="29" t="str">
        <f>HYPERLINK("https://ictv.global/taxonomy/taxondetails?taxnode_id=202303121","ictv.global=202303121")</f>
        <v>ictv.global=202303121</v>
      </c>
    </row>
    <row r="7946" spans="1:21">
      <c r="A7946">
        <v>7945</v>
      </c>
      <c r="B7946" s="30" t="s">
        <v>1226</v>
      </c>
      <c r="D7946" s="30" t="s">
        <v>2024</v>
      </c>
      <c r="F7946" s="30" t="s">
        <v>2032</v>
      </c>
      <c r="H7946" s="30" t="s">
        <v>2039</v>
      </c>
      <c r="J7946" s="30" t="s">
        <v>2040</v>
      </c>
      <c r="L7946" s="30" t="s">
        <v>302</v>
      </c>
      <c r="N7946" s="30" t="s">
        <v>9259</v>
      </c>
      <c r="P7946" s="30" t="s">
        <v>9276</v>
      </c>
      <c r="Q7946" t="s">
        <v>621</v>
      </c>
      <c r="R7946" t="s">
        <v>920</v>
      </c>
      <c r="S7946">
        <v>38</v>
      </c>
      <c r="T7946" s="29" t="str">
        <f t="shared" si="341"/>
        <v>2022.007S.Flaviviridae_1genren_sprenamed.zip</v>
      </c>
      <c r="U7946" s="29" t="str">
        <f>HYPERLINK("https://ictv.global/taxonomy/taxondetails?taxnode_id=202303084","ictv.global=202303084")</f>
        <v>ictv.global=202303084</v>
      </c>
    </row>
    <row r="7947" spans="1:21">
      <c r="A7947">
        <v>7946</v>
      </c>
      <c r="B7947" s="30" t="s">
        <v>1226</v>
      </c>
      <c r="D7947" s="30" t="s">
        <v>2024</v>
      </c>
      <c r="F7947" s="30" t="s">
        <v>2032</v>
      </c>
      <c r="H7947" s="30" t="s">
        <v>2039</v>
      </c>
      <c r="J7947" s="30" t="s">
        <v>2040</v>
      </c>
      <c r="L7947" s="30" t="s">
        <v>302</v>
      </c>
      <c r="N7947" s="30" t="s">
        <v>9259</v>
      </c>
      <c r="P7947" s="30" t="s">
        <v>9277</v>
      </c>
      <c r="Q7947" t="s">
        <v>621</v>
      </c>
      <c r="R7947" t="s">
        <v>920</v>
      </c>
      <c r="S7947">
        <v>38</v>
      </c>
      <c r="T7947" s="29" t="str">
        <f t="shared" si="341"/>
        <v>2022.007S.Flaviviridae_1genren_sprenamed.zip</v>
      </c>
      <c r="U7947" s="29" t="str">
        <f>HYPERLINK("https://ictv.global/taxonomy/taxondetails?taxnode_id=202303085","ictv.global=202303085")</f>
        <v>ictv.global=202303085</v>
      </c>
    </row>
    <row r="7948" spans="1:21">
      <c r="A7948">
        <v>7947</v>
      </c>
      <c r="B7948" s="30" t="s">
        <v>1226</v>
      </c>
      <c r="D7948" s="30" t="s">
        <v>2024</v>
      </c>
      <c r="F7948" s="30" t="s">
        <v>2032</v>
      </c>
      <c r="H7948" s="30" t="s">
        <v>2039</v>
      </c>
      <c r="J7948" s="30" t="s">
        <v>2040</v>
      </c>
      <c r="L7948" s="30" t="s">
        <v>302</v>
      </c>
      <c r="N7948" s="30" t="s">
        <v>9259</v>
      </c>
      <c r="P7948" s="30" t="s">
        <v>9278</v>
      </c>
      <c r="Q7948" t="s">
        <v>621</v>
      </c>
      <c r="R7948" t="s">
        <v>920</v>
      </c>
      <c r="S7948">
        <v>38</v>
      </c>
      <c r="T7948" s="29" t="str">
        <f t="shared" ref="T7948:T7979" si="342">HYPERLINK("https://ictv.global/ictv/proposals/2022.007S.Flaviviridae_1genren_sprenamed.zip","2022.007S.Flaviviridae_1genren_sprenamed.zip")</f>
        <v>2022.007S.Flaviviridae_1genren_sprenamed.zip</v>
      </c>
      <c r="U7948" s="29" t="str">
        <f>HYPERLINK("https://ictv.global/taxonomy/taxondetails?taxnode_id=202303086","ictv.global=202303086")</f>
        <v>ictv.global=202303086</v>
      </c>
    </row>
    <row r="7949" spans="1:21">
      <c r="A7949">
        <v>7948</v>
      </c>
      <c r="B7949" s="30" t="s">
        <v>1226</v>
      </c>
      <c r="D7949" s="30" t="s">
        <v>2024</v>
      </c>
      <c r="F7949" s="30" t="s">
        <v>2032</v>
      </c>
      <c r="H7949" s="30" t="s">
        <v>2039</v>
      </c>
      <c r="J7949" s="30" t="s">
        <v>2040</v>
      </c>
      <c r="L7949" s="30" t="s">
        <v>302</v>
      </c>
      <c r="N7949" s="30" t="s">
        <v>9259</v>
      </c>
      <c r="P7949" s="30" t="s">
        <v>9279</v>
      </c>
      <c r="Q7949" t="s">
        <v>621</v>
      </c>
      <c r="R7949" t="s">
        <v>920</v>
      </c>
      <c r="S7949">
        <v>38</v>
      </c>
      <c r="T7949" s="29" t="str">
        <f t="shared" si="342"/>
        <v>2022.007S.Flaviviridae_1genren_sprenamed.zip</v>
      </c>
      <c r="U7949" s="29" t="str">
        <f>HYPERLINK("https://ictv.global/taxonomy/taxondetails?taxnode_id=202303087","ictv.global=202303087")</f>
        <v>ictv.global=202303087</v>
      </c>
    </row>
    <row r="7950" spans="1:21">
      <c r="A7950">
        <v>7949</v>
      </c>
      <c r="B7950" s="30" t="s">
        <v>1226</v>
      </c>
      <c r="D7950" s="30" t="s">
        <v>2024</v>
      </c>
      <c r="F7950" s="30" t="s">
        <v>2032</v>
      </c>
      <c r="H7950" s="30" t="s">
        <v>2039</v>
      </c>
      <c r="J7950" s="30" t="s">
        <v>2040</v>
      </c>
      <c r="L7950" s="30" t="s">
        <v>302</v>
      </c>
      <c r="N7950" s="30" t="s">
        <v>9259</v>
      </c>
      <c r="P7950" s="30" t="s">
        <v>9280</v>
      </c>
      <c r="Q7950" t="s">
        <v>621</v>
      </c>
      <c r="R7950" t="s">
        <v>920</v>
      </c>
      <c r="S7950">
        <v>38</v>
      </c>
      <c r="T7950" s="29" t="str">
        <f t="shared" si="342"/>
        <v>2022.007S.Flaviviridae_1genren_sprenamed.zip</v>
      </c>
      <c r="U7950" s="29" t="str">
        <f>HYPERLINK("https://ictv.global/taxonomy/taxondetails?taxnode_id=202303088","ictv.global=202303088")</f>
        <v>ictv.global=202303088</v>
      </c>
    </row>
    <row r="7951" spans="1:21">
      <c r="A7951">
        <v>7950</v>
      </c>
      <c r="B7951" s="30" t="s">
        <v>1226</v>
      </c>
      <c r="D7951" s="30" t="s">
        <v>2024</v>
      </c>
      <c r="F7951" s="30" t="s">
        <v>2032</v>
      </c>
      <c r="H7951" s="30" t="s">
        <v>2039</v>
      </c>
      <c r="J7951" s="30" t="s">
        <v>2040</v>
      </c>
      <c r="L7951" s="30" t="s">
        <v>302</v>
      </c>
      <c r="N7951" s="30" t="s">
        <v>9259</v>
      </c>
      <c r="P7951" s="30" t="s">
        <v>9281</v>
      </c>
      <c r="Q7951" t="s">
        <v>621</v>
      </c>
      <c r="R7951" t="s">
        <v>920</v>
      </c>
      <c r="S7951">
        <v>38</v>
      </c>
      <c r="T7951" s="29" t="str">
        <f t="shared" si="342"/>
        <v>2022.007S.Flaviviridae_1genren_sprenamed.zip</v>
      </c>
      <c r="U7951" s="29" t="str">
        <f>HYPERLINK("https://ictv.global/taxonomy/taxondetails?taxnode_id=202303089","ictv.global=202303089")</f>
        <v>ictv.global=202303089</v>
      </c>
    </row>
    <row r="7952" spans="1:21">
      <c r="A7952">
        <v>7951</v>
      </c>
      <c r="B7952" s="30" t="s">
        <v>1226</v>
      </c>
      <c r="D7952" s="30" t="s">
        <v>2024</v>
      </c>
      <c r="F7952" s="30" t="s">
        <v>2032</v>
      </c>
      <c r="H7952" s="30" t="s">
        <v>2039</v>
      </c>
      <c r="J7952" s="30" t="s">
        <v>2040</v>
      </c>
      <c r="L7952" s="30" t="s">
        <v>302</v>
      </c>
      <c r="N7952" s="30" t="s">
        <v>9259</v>
      </c>
      <c r="P7952" s="30" t="s">
        <v>9282</v>
      </c>
      <c r="Q7952" t="s">
        <v>621</v>
      </c>
      <c r="R7952" t="s">
        <v>920</v>
      </c>
      <c r="S7952">
        <v>38</v>
      </c>
      <c r="T7952" s="29" t="str">
        <f t="shared" si="342"/>
        <v>2022.007S.Flaviviridae_1genren_sprenamed.zip</v>
      </c>
      <c r="U7952" s="29" t="str">
        <f>HYPERLINK("https://ictv.global/taxonomy/taxondetails?taxnode_id=202303090","ictv.global=202303090")</f>
        <v>ictv.global=202303090</v>
      </c>
    </row>
    <row r="7953" spans="1:21">
      <c r="A7953">
        <v>7952</v>
      </c>
      <c r="B7953" s="30" t="s">
        <v>1226</v>
      </c>
      <c r="D7953" s="30" t="s">
        <v>2024</v>
      </c>
      <c r="F7953" s="30" t="s">
        <v>2032</v>
      </c>
      <c r="H7953" s="30" t="s">
        <v>2039</v>
      </c>
      <c r="J7953" s="30" t="s">
        <v>2040</v>
      </c>
      <c r="L7953" s="30" t="s">
        <v>302</v>
      </c>
      <c r="N7953" s="30" t="s">
        <v>9259</v>
      </c>
      <c r="P7953" s="30" t="s">
        <v>9283</v>
      </c>
      <c r="Q7953" t="s">
        <v>621</v>
      </c>
      <c r="R7953" t="s">
        <v>920</v>
      </c>
      <c r="S7953">
        <v>38</v>
      </c>
      <c r="T7953" s="29" t="str">
        <f t="shared" si="342"/>
        <v>2022.007S.Flaviviridae_1genren_sprenamed.zip</v>
      </c>
      <c r="U7953" s="29" t="str">
        <f>HYPERLINK("https://ictv.global/taxonomy/taxondetails?taxnode_id=202303091","ictv.global=202303091")</f>
        <v>ictv.global=202303091</v>
      </c>
    </row>
    <row r="7954" spans="1:21">
      <c r="A7954">
        <v>7953</v>
      </c>
      <c r="B7954" s="30" t="s">
        <v>1226</v>
      </c>
      <c r="D7954" s="30" t="s">
        <v>2024</v>
      </c>
      <c r="F7954" s="30" t="s">
        <v>2032</v>
      </c>
      <c r="H7954" s="30" t="s">
        <v>2039</v>
      </c>
      <c r="J7954" s="30" t="s">
        <v>2040</v>
      </c>
      <c r="L7954" s="30" t="s">
        <v>302</v>
      </c>
      <c r="N7954" s="30" t="s">
        <v>9259</v>
      </c>
      <c r="P7954" s="30" t="s">
        <v>9284</v>
      </c>
      <c r="Q7954" t="s">
        <v>621</v>
      </c>
      <c r="R7954" t="s">
        <v>920</v>
      </c>
      <c r="S7954">
        <v>38</v>
      </c>
      <c r="T7954" s="29" t="str">
        <f t="shared" si="342"/>
        <v>2022.007S.Flaviviridae_1genren_sprenamed.zip</v>
      </c>
      <c r="U7954" s="29" t="str">
        <f>HYPERLINK("https://ictv.global/taxonomy/taxondetails?taxnode_id=202303092","ictv.global=202303092")</f>
        <v>ictv.global=202303092</v>
      </c>
    </row>
    <row r="7955" spans="1:21">
      <c r="A7955">
        <v>7954</v>
      </c>
      <c r="B7955" s="30" t="s">
        <v>1226</v>
      </c>
      <c r="D7955" s="30" t="s">
        <v>2024</v>
      </c>
      <c r="F7955" s="30" t="s">
        <v>2032</v>
      </c>
      <c r="H7955" s="30" t="s">
        <v>2039</v>
      </c>
      <c r="J7955" s="30" t="s">
        <v>2040</v>
      </c>
      <c r="L7955" s="30" t="s">
        <v>302</v>
      </c>
      <c r="N7955" s="30" t="s">
        <v>9259</v>
      </c>
      <c r="P7955" s="30" t="s">
        <v>9285</v>
      </c>
      <c r="Q7955" t="s">
        <v>621</v>
      </c>
      <c r="R7955" t="s">
        <v>920</v>
      </c>
      <c r="S7955">
        <v>38</v>
      </c>
      <c r="T7955" s="29" t="str">
        <f t="shared" si="342"/>
        <v>2022.007S.Flaviviridae_1genren_sprenamed.zip</v>
      </c>
      <c r="U7955" s="29" t="str">
        <f>HYPERLINK("https://ictv.global/taxonomy/taxondetails?taxnode_id=202303093","ictv.global=202303093")</f>
        <v>ictv.global=202303093</v>
      </c>
    </row>
    <row r="7956" spans="1:21">
      <c r="A7956">
        <v>7955</v>
      </c>
      <c r="B7956" s="30" t="s">
        <v>1226</v>
      </c>
      <c r="D7956" s="30" t="s">
        <v>2024</v>
      </c>
      <c r="F7956" s="30" t="s">
        <v>2032</v>
      </c>
      <c r="H7956" s="30" t="s">
        <v>2039</v>
      </c>
      <c r="J7956" s="30" t="s">
        <v>2040</v>
      </c>
      <c r="L7956" s="30" t="s">
        <v>302</v>
      </c>
      <c r="N7956" s="30" t="s">
        <v>9259</v>
      </c>
      <c r="P7956" s="30" t="s">
        <v>9286</v>
      </c>
      <c r="Q7956" t="s">
        <v>621</v>
      </c>
      <c r="R7956" t="s">
        <v>920</v>
      </c>
      <c r="S7956">
        <v>38</v>
      </c>
      <c r="T7956" s="29" t="str">
        <f t="shared" si="342"/>
        <v>2022.007S.Flaviviridae_1genren_sprenamed.zip</v>
      </c>
      <c r="U7956" s="29" t="str">
        <f>HYPERLINK("https://ictv.global/taxonomy/taxondetails?taxnode_id=202303094","ictv.global=202303094")</f>
        <v>ictv.global=202303094</v>
      </c>
    </row>
    <row r="7957" spans="1:21">
      <c r="A7957">
        <v>7956</v>
      </c>
      <c r="B7957" s="30" t="s">
        <v>1226</v>
      </c>
      <c r="D7957" s="30" t="s">
        <v>2024</v>
      </c>
      <c r="F7957" s="30" t="s">
        <v>2032</v>
      </c>
      <c r="H7957" s="30" t="s">
        <v>2039</v>
      </c>
      <c r="J7957" s="30" t="s">
        <v>2040</v>
      </c>
      <c r="L7957" s="30" t="s">
        <v>302</v>
      </c>
      <c r="N7957" s="30" t="s">
        <v>9259</v>
      </c>
      <c r="P7957" s="30" t="s">
        <v>9287</v>
      </c>
      <c r="Q7957" t="s">
        <v>621</v>
      </c>
      <c r="R7957" t="s">
        <v>920</v>
      </c>
      <c r="S7957">
        <v>38</v>
      </c>
      <c r="T7957" s="29" t="str">
        <f t="shared" si="342"/>
        <v>2022.007S.Flaviviridae_1genren_sprenamed.zip</v>
      </c>
      <c r="U7957" s="29" t="str">
        <f>HYPERLINK("https://ictv.global/taxonomy/taxondetails?taxnode_id=202303095","ictv.global=202303095")</f>
        <v>ictv.global=202303095</v>
      </c>
    </row>
    <row r="7958" spans="1:21">
      <c r="A7958">
        <v>7957</v>
      </c>
      <c r="B7958" s="30" t="s">
        <v>1226</v>
      </c>
      <c r="D7958" s="30" t="s">
        <v>2024</v>
      </c>
      <c r="F7958" s="30" t="s">
        <v>2032</v>
      </c>
      <c r="H7958" s="30" t="s">
        <v>2039</v>
      </c>
      <c r="J7958" s="30" t="s">
        <v>2040</v>
      </c>
      <c r="L7958" s="30" t="s">
        <v>302</v>
      </c>
      <c r="N7958" s="30" t="s">
        <v>9259</v>
      </c>
      <c r="P7958" s="30" t="s">
        <v>9288</v>
      </c>
      <c r="Q7958" t="s">
        <v>621</v>
      </c>
      <c r="R7958" t="s">
        <v>920</v>
      </c>
      <c r="S7958">
        <v>38</v>
      </c>
      <c r="T7958" s="29" t="str">
        <f t="shared" si="342"/>
        <v>2022.007S.Flaviviridae_1genren_sprenamed.zip</v>
      </c>
      <c r="U7958" s="29" t="str">
        <f>HYPERLINK("https://ictv.global/taxonomy/taxondetails?taxnode_id=202303112","ictv.global=202303112")</f>
        <v>ictv.global=202303112</v>
      </c>
    </row>
    <row r="7959" spans="1:21">
      <c r="A7959">
        <v>7958</v>
      </c>
      <c r="B7959" s="30" t="s">
        <v>1226</v>
      </c>
      <c r="D7959" s="30" t="s">
        <v>2024</v>
      </c>
      <c r="F7959" s="30" t="s">
        <v>2032</v>
      </c>
      <c r="H7959" s="30" t="s">
        <v>2039</v>
      </c>
      <c r="J7959" s="30" t="s">
        <v>2040</v>
      </c>
      <c r="L7959" s="30" t="s">
        <v>302</v>
      </c>
      <c r="N7959" s="30" t="s">
        <v>9259</v>
      </c>
      <c r="P7959" s="30" t="s">
        <v>9289</v>
      </c>
      <c r="Q7959" t="s">
        <v>621</v>
      </c>
      <c r="R7959" t="s">
        <v>920</v>
      </c>
      <c r="S7959">
        <v>38</v>
      </c>
      <c r="T7959" s="29" t="str">
        <f t="shared" si="342"/>
        <v>2022.007S.Flaviviridae_1genren_sprenamed.zip</v>
      </c>
      <c r="U7959" s="29" t="str">
        <f>HYPERLINK("https://ictv.global/taxonomy/taxondetails?taxnode_id=202303096","ictv.global=202303096")</f>
        <v>ictv.global=202303096</v>
      </c>
    </row>
    <row r="7960" spans="1:21">
      <c r="A7960">
        <v>7959</v>
      </c>
      <c r="B7960" s="30" t="s">
        <v>1226</v>
      </c>
      <c r="D7960" s="30" t="s">
        <v>2024</v>
      </c>
      <c r="F7960" s="30" t="s">
        <v>2032</v>
      </c>
      <c r="H7960" s="30" t="s">
        <v>2039</v>
      </c>
      <c r="J7960" s="30" t="s">
        <v>2040</v>
      </c>
      <c r="L7960" s="30" t="s">
        <v>302</v>
      </c>
      <c r="N7960" s="30" t="s">
        <v>9259</v>
      </c>
      <c r="P7960" s="30" t="s">
        <v>9290</v>
      </c>
      <c r="Q7960" t="s">
        <v>621</v>
      </c>
      <c r="R7960" t="s">
        <v>920</v>
      </c>
      <c r="S7960">
        <v>38</v>
      </c>
      <c r="T7960" s="29" t="str">
        <f t="shared" si="342"/>
        <v>2022.007S.Flaviviridae_1genren_sprenamed.zip</v>
      </c>
      <c r="U7960" s="29" t="str">
        <f>HYPERLINK("https://ictv.global/taxonomy/taxondetails?taxnode_id=202303097","ictv.global=202303097")</f>
        <v>ictv.global=202303097</v>
      </c>
    </row>
    <row r="7961" spans="1:21">
      <c r="A7961">
        <v>7960</v>
      </c>
      <c r="B7961" s="30" t="s">
        <v>1226</v>
      </c>
      <c r="D7961" s="30" t="s">
        <v>2024</v>
      </c>
      <c r="F7961" s="30" t="s">
        <v>2032</v>
      </c>
      <c r="H7961" s="30" t="s">
        <v>2039</v>
      </c>
      <c r="J7961" s="30" t="s">
        <v>2040</v>
      </c>
      <c r="L7961" s="30" t="s">
        <v>302</v>
      </c>
      <c r="N7961" s="30" t="s">
        <v>9259</v>
      </c>
      <c r="P7961" s="30" t="s">
        <v>9291</v>
      </c>
      <c r="Q7961" t="s">
        <v>621</v>
      </c>
      <c r="R7961" t="s">
        <v>920</v>
      </c>
      <c r="S7961">
        <v>38</v>
      </c>
      <c r="T7961" s="29" t="str">
        <f t="shared" si="342"/>
        <v>2022.007S.Flaviviridae_1genren_sprenamed.zip</v>
      </c>
      <c r="U7961" s="29" t="str">
        <f>HYPERLINK("https://ictv.global/taxonomy/taxondetails?taxnode_id=202303098","ictv.global=202303098")</f>
        <v>ictv.global=202303098</v>
      </c>
    </row>
    <row r="7962" spans="1:21">
      <c r="A7962">
        <v>7961</v>
      </c>
      <c r="B7962" s="30" t="s">
        <v>1226</v>
      </c>
      <c r="D7962" s="30" t="s">
        <v>2024</v>
      </c>
      <c r="F7962" s="30" t="s">
        <v>2032</v>
      </c>
      <c r="H7962" s="30" t="s">
        <v>2039</v>
      </c>
      <c r="J7962" s="30" t="s">
        <v>2040</v>
      </c>
      <c r="L7962" s="30" t="s">
        <v>302</v>
      </c>
      <c r="N7962" s="30" t="s">
        <v>9259</v>
      </c>
      <c r="P7962" s="30" t="s">
        <v>9292</v>
      </c>
      <c r="Q7962" t="s">
        <v>621</v>
      </c>
      <c r="R7962" t="s">
        <v>920</v>
      </c>
      <c r="S7962">
        <v>38</v>
      </c>
      <c r="T7962" s="29" t="str">
        <f t="shared" si="342"/>
        <v>2022.007S.Flaviviridae_1genren_sprenamed.zip</v>
      </c>
      <c r="U7962" s="29" t="str">
        <f>HYPERLINK("https://ictv.global/taxonomy/taxondetails?taxnode_id=202303099","ictv.global=202303099")</f>
        <v>ictv.global=202303099</v>
      </c>
    </row>
    <row r="7963" spans="1:21">
      <c r="A7963">
        <v>7962</v>
      </c>
      <c r="B7963" s="30" t="s">
        <v>1226</v>
      </c>
      <c r="D7963" s="30" t="s">
        <v>2024</v>
      </c>
      <c r="F7963" s="30" t="s">
        <v>2032</v>
      </c>
      <c r="H7963" s="30" t="s">
        <v>2039</v>
      </c>
      <c r="J7963" s="30" t="s">
        <v>2040</v>
      </c>
      <c r="L7963" s="30" t="s">
        <v>302</v>
      </c>
      <c r="N7963" s="30" t="s">
        <v>9259</v>
      </c>
      <c r="P7963" s="30" t="s">
        <v>9293</v>
      </c>
      <c r="Q7963" t="s">
        <v>621</v>
      </c>
      <c r="R7963" t="s">
        <v>920</v>
      </c>
      <c r="S7963">
        <v>38</v>
      </c>
      <c r="T7963" s="29" t="str">
        <f t="shared" si="342"/>
        <v>2022.007S.Flaviviridae_1genren_sprenamed.zip</v>
      </c>
      <c r="U7963" s="29" t="str">
        <f>HYPERLINK("https://ictv.global/taxonomy/taxondetails?taxnode_id=202303100","ictv.global=202303100")</f>
        <v>ictv.global=202303100</v>
      </c>
    </row>
    <row r="7964" spans="1:21">
      <c r="A7964">
        <v>7963</v>
      </c>
      <c r="B7964" s="30" t="s">
        <v>1226</v>
      </c>
      <c r="D7964" s="30" t="s">
        <v>2024</v>
      </c>
      <c r="F7964" s="30" t="s">
        <v>2032</v>
      </c>
      <c r="H7964" s="30" t="s">
        <v>2039</v>
      </c>
      <c r="J7964" s="30" t="s">
        <v>2040</v>
      </c>
      <c r="L7964" s="30" t="s">
        <v>302</v>
      </c>
      <c r="N7964" s="30" t="s">
        <v>9259</v>
      </c>
      <c r="P7964" s="30" t="s">
        <v>9294</v>
      </c>
      <c r="Q7964" t="s">
        <v>621</v>
      </c>
      <c r="R7964" t="s">
        <v>920</v>
      </c>
      <c r="S7964">
        <v>38</v>
      </c>
      <c r="T7964" s="29" t="str">
        <f t="shared" si="342"/>
        <v>2022.007S.Flaviviridae_1genren_sprenamed.zip</v>
      </c>
      <c r="U7964" s="29" t="str">
        <f>HYPERLINK("https://ictv.global/taxonomy/taxondetails?taxnode_id=202303119","ictv.global=202303119")</f>
        <v>ictv.global=202303119</v>
      </c>
    </row>
    <row r="7965" spans="1:21">
      <c r="A7965">
        <v>7964</v>
      </c>
      <c r="B7965" s="30" t="s">
        <v>1226</v>
      </c>
      <c r="D7965" s="30" t="s">
        <v>2024</v>
      </c>
      <c r="F7965" s="30" t="s">
        <v>2032</v>
      </c>
      <c r="H7965" s="30" t="s">
        <v>2039</v>
      </c>
      <c r="J7965" s="30" t="s">
        <v>2040</v>
      </c>
      <c r="L7965" s="30" t="s">
        <v>302</v>
      </c>
      <c r="N7965" s="30" t="s">
        <v>9259</v>
      </c>
      <c r="P7965" s="30" t="s">
        <v>9295</v>
      </c>
      <c r="Q7965" t="s">
        <v>621</v>
      </c>
      <c r="R7965" t="s">
        <v>920</v>
      </c>
      <c r="S7965">
        <v>38</v>
      </c>
      <c r="T7965" s="29" t="str">
        <f t="shared" si="342"/>
        <v>2022.007S.Flaviviridae_1genren_sprenamed.zip</v>
      </c>
      <c r="U7965" s="29" t="str">
        <f>HYPERLINK("https://ictv.global/taxonomy/taxondetails?taxnode_id=202303101","ictv.global=202303101")</f>
        <v>ictv.global=202303101</v>
      </c>
    </row>
    <row r="7966" spans="1:21">
      <c r="A7966">
        <v>7965</v>
      </c>
      <c r="B7966" s="30" t="s">
        <v>1226</v>
      </c>
      <c r="D7966" s="30" t="s">
        <v>2024</v>
      </c>
      <c r="F7966" s="30" t="s">
        <v>2032</v>
      </c>
      <c r="H7966" s="30" t="s">
        <v>2039</v>
      </c>
      <c r="J7966" s="30" t="s">
        <v>2040</v>
      </c>
      <c r="L7966" s="30" t="s">
        <v>302</v>
      </c>
      <c r="N7966" s="30" t="s">
        <v>9259</v>
      </c>
      <c r="P7966" s="30" t="s">
        <v>9296</v>
      </c>
      <c r="Q7966" t="s">
        <v>621</v>
      </c>
      <c r="R7966" t="s">
        <v>920</v>
      </c>
      <c r="S7966">
        <v>38</v>
      </c>
      <c r="T7966" s="29" t="str">
        <f t="shared" si="342"/>
        <v>2022.007S.Flaviviridae_1genren_sprenamed.zip</v>
      </c>
      <c r="U7966" s="29" t="str">
        <f>HYPERLINK("https://ictv.global/taxonomy/taxondetails?taxnode_id=202303102","ictv.global=202303102")</f>
        <v>ictv.global=202303102</v>
      </c>
    </row>
    <row r="7967" spans="1:21">
      <c r="A7967">
        <v>7966</v>
      </c>
      <c r="B7967" s="30" t="s">
        <v>1226</v>
      </c>
      <c r="D7967" s="30" t="s">
        <v>2024</v>
      </c>
      <c r="F7967" s="30" t="s">
        <v>2032</v>
      </c>
      <c r="H7967" s="30" t="s">
        <v>2039</v>
      </c>
      <c r="J7967" s="30" t="s">
        <v>2040</v>
      </c>
      <c r="L7967" s="30" t="s">
        <v>302</v>
      </c>
      <c r="N7967" s="30" t="s">
        <v>9259</v>
      </c>
      <c r="P7967" s="30" t="s">
        <v>9297</v>
      </c>
      <c r="Q7967" t="s">
        <v>621</v>
      </c>
      <c r="R7967" t="s">
        <v>920</v>
      </c>
      <c r="S7967">
        <v>38</v>
      </c>
      <c r="T7967" s="29" t="str">
        <f t="shared" si="342"/>
        <v>2022.007S.Flaviviridae_1genren_sprenamed.zip</v>
      </c>
      <c r="U7967" s="29" t="str">
        <f>HYPERLINK("https://ictv.global/taxonomy/taxondetails?taxnode_id=202303109","ictv.global=202303109")</f>
        <v>ictv.global=202303109</v>
      </c>
    </row>
    <row r="7968" spans="1:21">
      <c r="A7968">
        <v>7967</v>
      </c>
      <c r="B7968" s="30" t="s">
        <v>1226</v>
      </c>
      <c r="D7968" s="30" t="s">
        <v>2024</v>
      </c>
      <c r="F7968" s="30" t="s">
        <v>2032</v>
      </c>
      <c r="H7968" s="30" t="s">
        <v>2039</v>
      </c>
      <c r="J7968" s="30" t="s">
        <v>2040</v>
      </c>
      <c r="L7968" s="30" t="s">
        <v>302</v>
      </c>
      <c r="N7968" s="30" t="s">
        <v>9259</v>
      </c>
      <c r="P7968" s="30" t="s">
        <v>9298</v>
      </c>
      <c r="Q7968" t="s">
        <v>621</v>
      </c>
      <c r="R7968" t="s">
        <v>920</v>
      </c>
      <c r="S7968">
        <v>38</v>
      </c>
      <c r="T7968" s="29" t="str">
        <f t="shared" si="342"/>
        <v>2022.007S.Flaviviridae_1genren_sprenamed.zip</v>
      </c>
      <c r="U7968" s="29" t="str">
        <f>HYPERLINK("https://ictv.global/taxonomy/taxondetails?taxnode_id=202303103","ictv.global=202303103")</f>
        <v>ictv.global=202303103</v>
      </c>
    </row>
    <row r="7969" spans="1:21">
      <c r="A7969">
        <v>7968</v>
      </c>
      <c r="B7969" s="30" t="s">
        <v>1226</v>
      </c>
      <c r="D7969" s="30" t="s">
        <v>2024</v>
      </c>
      <c r="F7969" s="30" t="s">
        <v>2032</v>
      </c>
      <c r="H7969" s="30" t="s">
        <v>2039</v>
      </c>
      <c r="J7969" s="30" t="s">
        <v>2040</v>
      </c>
      <c r="L7969" s="30" t="s">
        <v>302</v>
      </c>
      <c r="N7969" s="30" t="s">
        <v>9259</v>
      </c>
      <c r="P7969" s="30" t="s">
        <v>9299</v>
      </c>
      <c r="Q7969" t="s">
        <v>621</v>
      </c>
      <c r="R7969" t="s">
        <v>920</v>
      </c>
      <c r="S7969">
        <v>38</v>
      </c>
      <c r="T7969" s="29" t="str">
        <f t="shared" si="342"/>
        <v>2022.007S.Flaviviridae_1genren_sprenamed.zip</v>
      </c>
      <c r="U7969" s="29" t="str">
        <f>HYPERLINK("https://ictv.global/taxonomy/taxondetails?taxnode_id=202303104","ictv.global=202303104")</f>
        <v>ictv.global=202303104</v>
      </c>
    </row>
    <row r="7970" spans="1:21">
      <c r="A7970">
        <v>7969</v>
      </c>
      <c r="B7970" s="30" t="s">
        <v>1226</v>
      </c>
      <c r="D7970" s="30" t="s">
        <v>2024</v>
      </c>
      <c r="F7970" s="30" t="s">
        <v>2032</v>
      </c>
      <c r="H7970" s="30" t="s">
        <v>2039</v>
      </c>
      <c r="J7970" s="30" t="s">
        <v>2040</v>
      </c>
      <c r="L7970" s="30" t="s">
        <v>302</v>
      </c>
      <c r="N7970" s="30" t="s">
        <v>9259</v>
      </c>
      <c r="P7970" s="30" t="s">
        <v>9300</v>
      </c>
      <c r="Q7970" t="s">
        <v>621</v>
      </c>
      <c r="R7970" t="s">
        <v>920</v>
      </c>
      <c r="S7970">
        <v>38</v>
      </c>
      <c r="T7970" s="29" t="str">
        <f t="shared" si="342"/>
        <v>2022.007S.Flaviviridae_1genren_sprenamed.zip</v>
      </c>
      <c r="U7970" s="29" t="str">
        <f>HYPERLINK("https://ictv.global/taxonomy/taxondetails?taxnode_id=202303106","ictv.global=202303106")</f>
        <v>ictv.global=202303106</v>
      </c>
    </row>
    <row r="7971" spans="1:21">
      <c r="A7971">
        <v>7970</v>
      </c>
      <c r="B7971" s="30" t="s">
        <v>1226</v>
      </c>
      <c r="D7971" s="30" t="s">
        <v>2024</v>
      </c>
      <c r="F7971" s="30" t="s">
        <v>2032</v>
      </c>
      <c r="H7971" s="30" t="s">
        <v>2039</v>
      </c>
      <c r="J7971" s="30" t="s">
        <v>2040</v>
      </c>
      <c r="L7971" s="30" t="s">
        <v>302</v>
      </c>
      <c r="N7971" s="30" t="s">
        <v>9259</v>
      </c>
      <c r="P7971" s="30" t="s">
        <v>9301</v>
      </c>
      <c r="Q7971" t="s">
        <v>621</v>
      </c>
      <c r="R7971" t="s">
        <v>920</v>
      </c>
      <c r="S7971">
        <v>38</v>
      </c>
      <c r="T7971" s="29" t="str">
        <f t="shared" si="342"/>
        <v>2022.007S.Flaviviridae_1genren_sprenamed.zip</v>
      </c>
      <c r="U7971" s="29" t="str">
        <f>HYPERLINK("https://ictv.global/taxonomy/taxondetails?taxnode_id=202303107","ictv.global=202303107")</f>
        <v>ictv.global=202303107</v>
      </c>
    </row>
    <row r="7972" spans="1:21">
      <c r="A7972">
        <v>7971</v>
      </c>
      <c r="B7972" s="30" t="s">
        <v>1226</v>
      </c>
      <c r="D7972" s="30" t="s">
        <v>2024</v>
      </c>
      <c r="F7972" s="30" t="s">
        <v>2032</v>
      </c>
      <c r="H7972" s="30" t="s">
        <v>2039</v>
      </c>
      <c r="J7972" s="30" t="s">
        <v>2040</v>
      </c>
      <c r="L7972" s="30" t="s">
        <v>302</v>
      </c>
      <c r="N7972" s="30" t="s">
        <v>9259</v>
      </c>
      <c r="P7972" s="30" t="s">
        <v>9302</v>
      </c>
      <c r="Q7972" t="s">
        <v>621</v>
      </c>
      <c r="R7972" t="s">
        <v>920</v>
      </c>
      <c r="S7972">
        <v>38</v>
      </c>
      <c r="T7972" s="29" t="str">
        <f t="shared" si="342"/>
        <v>2022.007S.Flaviviridae_1genren_sprenamed.zip</v>
      </c>
      <c r="U7972" s="29" t="str">
        <f>HYPERLINK("https://ictv.global/taxonomy/taxondetails?taxnode_id=202303110","ictv.global=202303110")</f>
        <v>ictv.global=202303110</v>
      </c>
    </row>
    <row r="7973" spans="1:21">
      <c r="A7973">
        <v>7972</v>
      </c>
      <c r="B7973" s="30" t="s">
        <v>1226</v>
      </c>
      <c r="D7973" s="30" t="s">
        <v>2024</v>
      </c>
      <c r="F7973" s="30" t="s">
        <v>2032</v>
      </c>
      <c r="H7973" s="30" t="s">
        <v>2039</v>
      </c>
      <c r="J7973" s="30" t="s">
        <v>2040</v>
      </c>
      <c r="L7973" s="30" t="s">
        <v>302</v>
      </c>
      <c r="N7973" s="30" t="s">
        <v>9259</v>
      </c>
      <c r="P7973" s="30" t="s">
        <v>9303</v>
      </c>
      <c r="Q7973" t="s">
        <v>621</v>
      </c>
      <c r="R7973" t="s">
        <v>920</v>
      </c>
      <c r="S7973">
        <v>38</v>
      </c>
      <c r="T7973" s="29" t="str">
        <f t="shared" si="342"/>
        <v>2022.007S.Flaviviridae_1genren_sprenamed.zip</v>
      </c>
      <c r="U7973" s="29" t="str">
        <f>HYPERLINK("https://ictv.global/taxonomy/taxondetails?taxnode_id=202303111","ictv.global=202303111")</f>
        <v>ictv.global=202303111</v>
      </c>
    </row>
    <row r="7974" spans="1:21">
      <c r="A7974">
        <v>7973</v>
      </c>
      <c r="B7974" s="30" t="s">
        <v>1226</v>
      </c>
      <c r="D7974" s="30" t="s">
        <v>2024</v>
      </c>
      <c r="F7974" s="30" t="s">
        <v>2032</v>
      </c>
      <c r="H7974" s="30" t="s">
        <v>2039</v>
      </c>
      <c r="J7974" s="30" t="s">
        <v>2040</v>
      </c>
      <c r="L7974" s="30" t="s">
        <v>302</v>
      </c>
      <c r="N7974" s="30" t="s">
        <v>9259</v>
      </c>
      <c r="P7974" s="30" t="s">
        <v>9304</v>
      </c>
      <c r="Q7974" t="s">
        <v>621</v>
      </c>
      <c r="R7974" t="s">
        <v>920</v>
      </c>
      <c r="S7974">
        <v>38</v>
      </c>
      <c r="T7974" s="29" t="str">
        <f t="shared" si="342"/>
        <v>2022.007S.Flaviviridae_1genren_sprenamed.zip</v>
      </c>
      <c r="U7974" s="29" t="str">
        <f>HYPERLINK("https://ictv.global/taxonomy/taxondetails?taxnode_id=202303113","ictv.global=202303113")</f>
        <v>ictv.global=202303113</v>
      </c>
    </row>
    <row r="7975" spans="1:21">
      <c r="A7975">
        <v>7974</v>
      </c>
      <c r="B7975" s="30" t="s">
        <v>1226</v>
      </c>
      <c r="D7975" s="30" t="s">
        <v>2024</v>
      </c>
      <c r="F7975" s="30" t="s">
        <v>2032</v>
      </c>
      <c r="H7975" s="30" t="s">
        <v>2039</v>
      </c>
      <c r="J7975" s="30" t="s">
        <v>2040</v>
      </c>
      <c r="L7975" s="30" t="s">
        <v>302</v>
      </c>
      <c r="N7975" s="30" t="s">
        <v>9259</v>
      </c>
      <c r="P7975" s="30" t="s">
        <v>9305</v>
      </c>
      <c r="Q7975" t="s">
        <v>621</v>
      </c>
      <c r="R7975" t="s">
        <v>920</v>
      </c>
      <c r="S7975">
        <v>38</v>
      </c>
      <c r="T7975" s="29" t="str">
        <f t="shared" si="342"/>
        <v>2022.007S.Flaviviridae_1genren_sprenamed.zip</v>
      </c>
      <c r="U7975" s="29" t="str">
        <f>HYPERLINK("https://ictv.global/taxonomy/taxondetails?taxnode_id=202303115","ictv.global=202303115")</f>
        <v>ictv.global=202303115</v>
      </c>
    </row>
    <row r="7976" spans="1:21">
      <c r="A7976">
        <v>7975</v>
      </c>
      <c r="B7976" s="30" t="s">
        <v>1226</v>
      </c>
      <c r="D7976" s="30" t="s">
        <v>2024</v>
      </c>
      <c r="F7976" s="30" t="s">
        <v>2032</v>
      </c>
      <c r="H7976" s="30" t="s">
        <v>2039</v>
      </c>
      <c r="J7976" s="30" t="s">
        <v>2040</v>
      </c>
      <c r="L7976" s="30" t="s">
        <v>302</v>
      </c>
      <c r="N7976" s="30" t="s">
        <v>9259</v>
      </c>
      <c r="P7976" s="30" t="s">
        <v>9306</v>
      </c>
      <c r="Q7976" t="s">
        <v>621</v>
      </c>
      <c r="R7976" t="s">
        <v>920</v>
      </c>
      <c r="S7976">
        <v>38</v>
      </c>
      <c r="T7976" s="29" t="str">
        <f t="shared" si="342"/>
        <v>2022.007S.Flaviviridae_1genren_sprenamed.zip</v>
      </c>
      <c r="U7976" s="29" t="str">
        <f>HYPERLINK("https://ictv.global/taxonomy/taxondetails?taxnode_id=202303116","ictv.global=202303116")</f>
        <v>ictv.global=202303116</v>
      </c>
    </row>
    <row r="7977" spans="1:21">
      <c r="A7977">
        <v>7976</v>
      </c>
      <c r="B7977" s="30" t="s">
        <v>1226</v>
      </c>
      <c r="D7977" s="30" t="s">
        <v>2024</v>
      </c>
      <c r="F7977" s="30" t="s">
        <v>2032</v>
      </c>
      <c r="H7977" s="30" t="s">
        <v>2039</v>
      </c>
      <c r="J7977" s="30" t="s">
        <v>2040</v>
      </c>
      <c r="L7977" s="30" t="s">
        <v>302</v>
      </c>
      <c r="N7977" s="30" t="s">
        <v>9259</v>
      </c>
      <c r="P7977" s="30" t="s">
        <v>9307</v>
      </c>
      <c r="Q7977" t="s">
        <v>621</v>
      </c>
      <c r="R7977" t="s">
        <v>920</v>
      </c>
      <c r="S7977">
        <v>38</v>
      </c>
      <c r="T7977" s="29" t="str">
        <f t="shared" si="342"/>
        <v>2022.007S.Flaviviridae_1genren_sprenamed.zip</v>
      </c>
      <c r="U7977" s="29" t="str">
        <f>HYPERLINK("https://ictv.global/taxonomy/taxondetails?taxnode_id=202303117","ictv.global=202303117")</f>
        <v>ictv.global=202303117</v>
      </c>
    </row>
    <row r="7978" spans="1:21">
      <c r="A7978">
        <v>7977</v>
      </c>
      <c r="B7978" s="30" t="s">
        <v>1226</v>
      </c>
      <c r="D7978" s="30" t="s">
        <v>2024</v>
      </c>
      <c r="F7978" s="30" t="s">
        <v>2032</v>
      </c>
      <c r="H7978" s="30" t="s">
        <v>2039</v>
      </c>
      <c r="J7978" s="30" t="s">
        <v>2040</v>
      </c>
      <c r="L7978" s="30" t="s">
        <v>302</v>
      </c>
      <c r="N7978" s="30" t="s">
        <v>9259</v>
      </c>
      <c r="P7978" s="30" t="s">
        <v>9308</v>
      </c>
      <c r="Q7978" t="s">
        <v>621</v>
      </c>
      <c r="R7978" t="s">
        <v>920</v>
      </c>
      <c r="S7978">
        <v>38</v>
      </c>
      <c r="T7978" s="29" t="str">
        <f t="shared" si="342"/>
        <v>2022.007S.Flaviviridae_1genren_sprenamed.zip</v>
      </c>
      <c r="U7978" s="29" t="str">
        <f>HYPERLINK("https://ictv.global/taxonomy/taxondetails?taxnode_id=202303108","ictv.global=202303108")</f>
        <v>ictv.global=202303108</v>
      </c>
    </row>
    <row r="7979" spans="1:21">
      <c r="A7979">
        <v>7978</v>
      </c>
      <c r="B7979" s="30" t="s">
        <v>1226</v>
      </c>
      <c r="D7979" s="30" t="s">
        <v>2024</v>
      </c>
      <c r="F7979" s="30" t="s">
        <v>2032</v>
      </c>
      <c r="H7979" s="30" t="s">
        <v>2039</v>
      </c>
      <c r="J7979" s="30" t="s">
        <v>2040</v>
      </c>
      <c r="L7979" s="30" t="s">
        <v>302</v>
      </c>
      <c r="N7979" s="30" t="s">
        <v>9259</v>
      </c>
      <c r="P7979" s="30" t="s">
        <v>9309</v>
      </c>
      <c r="Q7979" t="s">
        <v>621</v>
      </c>
      <c r="R7979" t="s">
        <v>920</v>
      </c>
      <c r="S7979">
        <v>38</v>
      </c>
      <c r="T7979" s="29" t="str">
        <f t="shared" si="342"/>
        <v>2022.007S.Flaviviridae_1genren_sprenamed.zip</v>
      </c>
      <c r="U7979" s="29" t="str">
        <f>HYPERLINK("https://ictv.global/taxonomy/taxondetails?taxnode_id=202303118","ictv.global=202303118")</f>
        <v>ictv.global=202303118</v>
      </c>
    </row>
    <row r="7980" spans="1:21">
      <c r="A7980">
        <v>7979</v>
      </c>
      <c r="B7980" s="30" t="s">
        <v>1226</v>
      </c>
      <c r="D7980" s="30" t="s">
        <v>2024</v>
      </c>
      <c r="F7980" s="30" t="s">
        <v>2032</v>
      </c>
      <c r="H7980" s="30" t="s">
        <v>2039</v>
      </c>
      <c r="J7980" s="30" t="s">
        <v>2040</v>
      </c>
      <c r="L7980" s="30" t="s">
        <v>302</v>
      </c>
      <c r="N7980" s="30" t="s">
        <v>9259</v>
      </c>
      <c r="P7980" s="30" t="s">
        <v>9310</v>
      </c>
      <c r="Q7980" t="s">
        <v>621</v>
      </c>
      <c r="R7980" t="s">
        <v>920</v>
      </c>
      <c r="S7980">
        <v>38</v>
      </c>
      <c r="T7980" s="29" t="str">
        <f t="shared" ref="T7980:T7999" si="343">HYPERLINK("https://ictv.global/ictv/proposals/2022.007S.Flaviviridae_1genren_sprenamed.zip","2022.007S.Flaviviridae_1genren_sprenamed.zip")</f>
        <v>2022.007S.Flaviviridae_1genren_sprenamed.zip</v>
      </c>
      <c r="U7980" s="29" t="str">
        <f>HYPERLINK("https://ictv.global/taxonomy/taxondetails?taxnode_id=202303120","ictv.global=202303120")</f>
        <v>ictv.global=202303120</v>
      </c>
    </row>
    <row r="7981" spans="1:21">
      <c r="A7981">
        <v>7980</v>
      </c>
      <c r="B7981" s="30" t="s">
        <v>1226</v>
      </c>
      <c r="D7981" s="30" t="s">
        <v>2024</v>
      </c>
      <c r="F7981" s="30" t="s">
        <v>2032</v>
      </c>
      <c r="H7981" s="30" t="s">
        <v>2039</v>
      </c>
      <c r="J7981" s="30" t="s">
        <v>2040</v>
      </c>
      <c r="L7981" s="30" t="s">
        <v>302</v>
      </c>
      <c r="N7981" s="30" t="s">
        <v>9259</v>
      </c>
      <c r="P7981" s="30" t="s">
        <v>9311</v>
      </c>
      <c r="Q7981" t="s">
        <v>621</v>
      </c>
      <c r="R7981" t="s">
        <v>920</v>
      </c>
      <c r="S7981">
        <v>38</v>
      </c>
      <c r="T7981" s="29" t="str">
        <f t="shared" si="343"/>
        <v>2022.007S.Flaviviridae_1genren_sprenamed.zip</v>
      </c>
      <c r="U7981" s="29" t="str">
        <f>HYPERLINK("https://ictv.global/taxonomy/taxondetails?taxnode_id=202303122","ictv.global=202303122")</f>
        <v>ictv.global=202303122</v>
      </c>
    </row>
    <row r="7982" spans="1:21">
      <c r="A7982">
        <v>7981</v>
      </c>
      <c r="B7982" s="30" t="s">
        <v>1226</v>
      </c>
      <c r="D7982" s="30" t="s">
        <v>2024</v>
      </c>
      <c r="F7982" s="30" t="s">
        <v>2032</v>
      </c>
      <c r="H7982" s="30" t="s">
        <v>2039</v>
      </c>
      <c r="J7982" s="30" t="s">
        <v>2040</v>
      </c>
      <c r="L7982" s="30" t="s">
        <v>302</v>
      </c>
      <c r="N7982" s="30" t="s">
        <v>9259</v>
      </c>
      <c r="P7982" s="30" t="s">
        <v>9312</v>
      </c>
      <c r="Q7982" t="s">
        <v>621</v>
      </c>
      <c r="R7982" t="s">
        <v>920</v>
      </c>
      <c r="S7982">
        <v>38</v>
      </c>
      <c r="T7982" s="29" t="str">
        <f t="shared" si="343"/>
        <v>2022.007S.Flaviviridae_1genren_sprenamed.zip</v>
      </c>
      <c r="U7982" s="29" t="str">
        <f>HYPERLINK("https://ictv.global/taxonomy/taxondetails?taxnode_id=202303123","ictv.global=202303123")</f>
        <v>ictv.global=202303123</v>
      </c>
    </row>
    <row r="7983" spans="1:21">
      <c r="A7983">
        <v>7982</v>
      </c>
      <c r="B7983" s="30" t="s">
        <v>1226</v>
      </c>
      <c r="D7983" s="30" t="s">
        <v>2024</v>
      </c>
      <c r="F7983" s="30" t="s">
        <v>2032</v>
      </c>
      <c r="H7983" s="30" t="s">
        <v>2039</v>
      </c>
      <c r="J7983" s="30" t="s">
        <v>2040</v>
      </c>
      <c r="L7983" s="30" t="s">
        <v>302</v>
      </c>
      <c r="N7983" s="30" t="s">
        <v>518</v>
      </c>
      <c r="P7983" s="30" t="s">
        <v>9313</v>
      </c>
      <c r="Q7983" t="s">
        <v>621</v>
      </c>
      <c r="R7983" t="s">
        <v>920</v>
      </c>
      <c r="S7983">
        <v>38</v>
      </c>
      <c r="T7983" s="29" t="str">
        <f t="shared" si="343"/>
        <v>2022.007S.Flaviviridae_1genren_sprenamed.zip</v>
      </c>
      <c r="U7983" s="29" t="str">
        <f>HYPERLINK("https://ictv.global/taxonomy/taxondetails?taxnode_id=202303144","ictv.global=202303144")</f>
        <v>ictv.global=202303144</v>
      </c>
    </row>
    <row r="7984" spans="1:21">
      <c r="A7984">
        <v>7983</v>
      </c>
      <c r="B7984" s="30" t="s">
        <v>1226</v>
      </c>
      <c r="D7984" s="30" t="s">
        <v>2024</v>
      </c>
      <c r="F7984" s="30" t="s">
        <v>2032</v>
      </c>
      <c r="H7984" s="30" t="s">
        <v>2039</v>
      </c>
      <c r="J7984" s="30" t="s">
        <v>2040</v>
      </c>
      <c r="L7984" s="30" t="s">
        <v>302</v>
      </c>
      <c r="N7984" s="30" t="s">
        <v>518</v>
      </c>
      <c r="P7984" s="30" t="s">
        <v>9314</v>
      </c>
      <c r="Q7984" t="s">
        <v>621</v>
      </c>
      <c r="R7984" t="s">
        <v>920</v>
      </c>
      <c r="S7984">
        <v>38</v>
      </c>
      <c r="T7984" s="29" t="str">
        <f t="shared" si="343"/>
        <v>2022.007S.Flaviviridae_1genren_sprenamed.zip</v>
      </c>
      <c r="U7984" s="29" t="str">
        <f>HYPERLINK("https://ictv.global/taxonomy/taxondetails?taxnode_id=202303145","ictv.global=202303145")</f>
        <v>ictv.global=202303145</v>
      </c>
    </row>
    <row r="7985" spans="1:21">
      <c r="A7985">
        <v>7984</v>
      </c>
      <c r="B7985" s="30" t="s">
        <v>1226</v>
      </c>
      <c r="D7985" s="30" t="s">
        <v>2024</v>
      </c>
      <c r="F7985" s="30" t="s">
        <v>2032</v>
      </c>
      <c r="H7985" s="30" t="s">
        <v>2039</v>
      </c>
      <c r="J7985" s="30" t="s">
        <v>2040</v>
      </c>
      <c r="L7985" s="30" t="s">
        <v>302</v>
      </c>
      <c r="N7985" s="30" t="s">
        <v>518</v>
      </c>
      <c r="P7985" s="30" t="s">
        <v>9315</v>
      </c>
      <c r="Q7985" t="s">
        <v>621</v>
      </c>
      <c r="R7985" t="s">
        <v>920</v>
      </c>
      <c r="S7985">
        <v>38</v>
      </c>
      <c r="T7985" s="29" t="str">
        <f t="shared" si="343"/>
        <v>2022.007S.Flaviviridae_1genren_sprenamed.zip</v>
      </c>
      <c r="U7985" s="29" t="str">
        <f>HYPERLINK("https://ictv.global/taxonomy/taxondetails?taxnode_id=202303147","ictv.global=202303147")</f>
        <v>ictv.global=202303147</v>
      </c>
    </row>
    <row r="7986" spans="1:21">
      <c r="A7986">
        <v>7985</v>
      </c>
      <c r="B7986" s="30" t="s">
        <v>1226</v>
      </c>
      <c r="D7986" s="30" t="s">
        <v>2024</v>
      </c>
      <c r="F7986" s="30" t="s">
        <v>2032</v>
      </c>
      <c r="H7986" s="30" t="s">
        <v>2039</v>
      </c>
      <c r="J7986" s="30" t="s">
        <v>2040</v>
      </c>
      <c r="L7986" s="30" t="s">
        <v>302</v>
      </c>
      <c r="N7986" s="30" t="s">
        <v>518</v>
      </c>
      <c r="P7986" s="30" t="s">
        <v>9316</v>
      </c>
      <c r="Q7986" t="s">
        <v>621</v>
      </c>
      <c r="R7986" t="s">
        <v>920</v>
      </c>
      <c r="S7986">
        <v>38</v>
      </c>
      <c r="T7986" s="29" t="str">
        <f t="shared" si="343"/>
        <v>2022.007S.Flaviviridae_1genren_sprenamed.zip</v>
      </c>
      <c r="U7986" s="29" t="str">
        <f>HYPERLINK("https://ictv.global/taxonomy/taxondetails?taxnode_id=202303143","ictv.global=202303143")</f>
        <v>ictv.global=202303143</v>
      </c>
    </row>
    <row r="7987" spans="1:21">
      <c r="A7987">
        <v>7986</v>
      </c>
      <c r="B7987" s="30" t="s">
        <v>1226</v>
      </c>
      <c r="D7987" s="30" t="s">
        <v>2024</v>
      </c>
      <c r="F7987" s="30" t="s">
        <v>2032</v>
      </c>
      <c r="H7987" s="30" t="s">
        <v>2039</v>
      </c>
      <c r="J7987" s="30" t="s">
        <v>2040</v>
      </c>
      <c r="L7987" s="30" t="s">
        <v>302</v>
      </c>
      <c r="N7987" s="30" t="s">
        <v>518</v>
      </c>
      <c r="P7987" s="30" t="s">
        <v>9317</v>
      </c>
      <c r="Q7987" t="s">
        <v>621</v>
      </c>
      <c r="R7987" t="s">
        <v>920</v>
      </c>
      <c r="S7987">
        <v>38</v>
      </c>
      <c r="T7987" s="29" t="str">
        <f t="shared" si="343"/>
        <v>2022.007S.Flaviviridae_1genren_sprenamed.zip</v>
      </c>
      <c r="U7987" s="29" t="str">
        <f>HYPERLINK("https://ictv.global/taxonomy/taxondetails?taxnode_id=202303142","ictv.global=202303142")</f>
        <v>ictv.global=202303142</v>
      </c>
    </row>
    <row r="7988" spans="1:21">
      <c r="A7988">
        <v>7987</v>
      </c>
      <c r="B7988" s="30" t="s">
        <v>1226</v>
      </c>
      <c r="D7988" s="30" t="s">
        <v>2024</v>
      </c>
      <c r="F7988" s="30" t="s">
        <v>2032</v>
      </c>
      <c r="H7988" s="30" t="s">
        <v>2039</v>
      </c>
      <c r="J7988" s="30" t="s">
        <v>2040</v>
      </c>
      <c r="L7988" s="30" t="s">
        <v>302</v>
      </c>
      <c r="N7988" s="30" t="s">
        <v>518</v>
      </c>
      <c r="P7988" s="30" t="s">
        <v>9318</v>
      </c>
      <c r="Q7988" t="s">
        <v>621</v>
      </c>
      <c r="R7988" t="s">
        <v>920</v>
      </c>
      <c r="S7988">
        <v>38</v>
      </c>
      <c r="T7988" s="29" t="str">
        <f t="shared" si="343"/>
        <v>2022.007S.Flaviviridae_1genren_sprenamed.zip</v>
      </c>
      <c r="U7988" s="29" t="str">
        <f>HYPERLINK("https://ictv.global/taxonomy/taxondetails?taxnode_id=202303149","ictv.global=202303149")</f>
        <v>ictv.global=202303149</v>
      </c>
    </row>
    <row r="7989" spans="1:21">
      <c r="A7989">
        <v>7988</v>
      </c>
      <c r="B7989" s="30" t="s">
        <v>1226</v>
      </c>
      <c r="D7989" s="30" t="s">
        <v>2024</v>
      </c>
      <c r="F7989" s="30" t="s">
        <v>2032</v>
      </c>
      <c r="H7989" s="30" t="s">
        <v>2039</v>
      </c>
      <c r="J7989" s="30" t="s">
        <v>2040</v>
      </c>
      <c r="L7989" s="30" t="s">
        <v>302</v>
      </c>
      <c r="N7989" s="30" t="s">
        <v>518</v>
      </c>
      <c r="P7989" s="30" t="s">
        <v>9319</v>
      </c>
      <c r="Q7989" t="s">
        <v>621</v>
      </c>
      <c r="R7989" t="s">
        <v>920</v>
      </c>
      <c r="S7989">
        <v>38</v>
      </c>
      <c r="T7989" s="29" t="str">
        <f t="shared" si="343"/>
        <v>2022.007S.Flaviviridae_1genren_sprenamed.zip</v>
      </c>
      <c r="U7989" s="29" t="str">
        <f>HYPERLINK("https://ictv.global/taxonomy/taxondetails?taxnode_id=202303140","ictv.global=202303140")</f>
        <v>ictv.global=202303140</v>
      </c>
    </row>
    <row r="7990" spans="1:21">
      <c r="A7990">
        <v>7989</v>
      </c>
      <c r="B7990" s="30" t="s">
        <v>1226</v>
      </c>
      <c r="D7990" s="30" t="s">
        <v>2024</v>
      </c>
      <c r="F7990" s="30" t="s">
        <v>2032</v>
      </c>
      <c r="H7990" s="30" t="s">
        <v>2039</v>
      </c>
      <c r="J7990" s="30" t="s">
        <v>2040</v>
      </c>
      <c r="L7990" s="30" t="s">
        <v>302</v>
      </c>
      <c r="N7990" s="30" t="s">
        <v>518</v>
      </c>
      <c r="P7990" s="30" t="s">
        <v>9320</v>
      </c>
      <c r="Q7990" t="s">
        <v>621</v>
      </c>
      <c r="R7990" t="s">
        <v>920</v>
      </c>
      <c r="S7990">
        <v>38</v>
      </c>
      <c r="T7990" s="29" t="str">
        <f t="shared" si="343"/>
        <v>2022.007S.Flaviviridae_1genren_sprenamed.zip</v>
      </c>
      <c r="U7990" s="29" t="str">
        <f>HYPERLINK("https://ictv.global/taxonomy/taxondetails?taxnode_id=202303141","ictv.global=202303141")</f>
        <v>ictv.global=202303141</v>
      </c>
    </row>
    <row r="7991" spans="1:21">
      <c r="A7991">
        <v>7990</v>
      </c>
      <c r="B7991" s="30" t="s">
        <v>1226</v>
      </c>
      <c r="D7991" s="30" t="s">
        <v>2024</v>
      </c>
      <c r="F7991" s="30" t="s">
        <v>2032</v>
      </c>
      <c r="H7991" s="30" t="s">
        <v>2039</v>
      </c>
      <c r="J7991" s="30" t="s">
        <v>2040</v>
      </c>
      <c r="L7991" s="30" t="s">
        <v>302</v>
      </c>
      <c r="N7991" s="30" t="s">
        <v>518</v>
      </c>
      <c r="P7991" s="30" t="s">
        <v>9321</v>
      </c>
      <c r="Q7991" t="s">
        <v>621</v>
      </c>
      <c r="R7991" t="s">
        <v>920</v>
      </c>
      <c r="S7991">
        <v>38</v>
      </c>
      <c r="T7991" s="29" t="str">
        <f t="shared" si="343"/>
        <v>2022.007S.Flaviviridae_1genren_sprenamed.zip</v>
      </c>
      <c r="U7991" s="29" t="str">
        <f>HYPERLINK("https://ictv.global/taxonomy/taxondetails?taxnode_id=202303146","ictv.global=202303146")</f>
        <v>ictv.global=202303146</v>
      </c>
    </row>
    <row r="7992" spans="1:21">
      <c r="A7992">
        <v>7991</v>
      </c>
      <c r="B7992" s="30" t="s">
        <v>1226</v>
      </c>
      <c r="D7992" s="30" t="s">
        <v>2024</v>
      </c>
      <c r="F7992" s="30" t="s">
        <v>2032</v>
      </c>
      <c r="H7992" s="30" t="s">
        <v>2039</v>
      </c>
      <c r="J7992" s="30" t="s">
        <v>2040</v>
      </c>
      <c r="L7992" s="30" t="s">
        <v>302</v>
      </c>
      <c r="N7992" s="30" t="s">
        <v>518</v>
      </c>
      <c r="P7992" s="30" t="s">
        <v>9322</v>
      </c>
      <c r="Q7992" t="s">
        <v>621</v>
      </c>
      <c r="R7992" t="s">
        <v>920</v>
      </c>
      <c r="S7992">
        <v>38</v>
      </c>
      <c r="T7992" s="29" t="str">
        <f t="shared" si="343"/>
        <v>2022.007S.Flaviviridae_1genren_sprenamed.zip</v>
      </c>
      <c r="U7992" s="29" t="str">
        <f>HYPERLINK("https://ictv.global/taxonomy/taxondetails?taxnode_id=202303148","ictv.global=202303148")</f>
        <v>ictv.global=202303148</v>
      </c>
    </row>
    <row r="7993" spans="1:21">
      <c r="A7993">
        <v>7992</v>
      </c>
      <c r="B7993" s="30" t="s">
        <v>1226</v>
      </c>
      <c r="D7993" s="30" t="s">
        <v>2024</v>
      </c>
      <c r="F7993" s="30" t="s">
        <v>2032</v>
      </c>
      <c r="H7993" s="30" t="s">
        <v>2039</v>
      </c>
      <c r="J7993" s="30" t="s">
        <v>2040</v>
      </c>
      <c r="L7993" s="30" t="s">
        <v>302</v>
      </c>
      <c r="N7993" s="30" t="s">
        <v>518</v>
      </c>
      <c r="P7993" s="30" t="s">
        <v>9323</v>
      </c>
      <c r="Q7993" t="s">
        <v>621</v>
      </c>
      <c r="R7993" t="s">
        <v>920</v>
      </c>
      <c r="S7993">
        <v>38</v>
      </c>
      <c r="T7993" s="29" t="str">
        <f t="shared" si="343"/>
        <v>2022.007S.Flaviviridae_1genren_sprenamed.zip</v>
      </c>
      <c r="U7993" s="29" t="str">
        <f>HYPERLINK("https://ictv.global/taxonomy/taxondetails?taxnode_id=202303150","ictv.global=202303150")</f>
        <v>ictv.global=202303150</v>
      </c>
    </row>
    <row r="7994" spans="1:21">
      <c r="A7994">
        <v>7993</v>
      </c>
      <c r="B7994" s="30" t="s">
        <v>1226</v>
      </c>
      <c r="D7994" s="30" t="s">
        <v>2024</v>
      </c>
      <c r="F7994" s="30" t="s">
        <v>2032</v>
      </c>
      <c r="H7994" s="30" t="s">
        <v>2039</v>
      </c>
      <c r="J7994" s="30" t="s">
        <v>2040</v>
      </c>
      <c r="L7994" s="30" t="s">
        <v>302</v>
      </c>
      <c r="N7994" s="30" t="s">
        <v>317</v>
      </c>
      <c r="P7994" s="30" t="s">
        <v>9324</v>
      </c>
      <c r="Q7994" t="s">
        <v>621</v>
      </c>
      <c r="R7994" t="s">
        <v>920</v>
      </c>
      <c r="S7994">
        <v>38</v>
      </c>
      <c r="T7994" s="29" t="str">
        <f t="shared" si="343"/>
        <v>2022.007S.Flaviviridae_1genren_sprenamed.zip</v>
      </c>
      <c r="U7994" s="29" t="str">
        <f>HYPERLINK("https://ictv.global/taxonomy/taxondetails?taxnode_id=202305780","ictv.global=202305780")</f>
        <v>ictv.global=202305780</v>
      </c>
    </row>
    <row r="7995" spans="1:21">
      <c r="A7995">
        <v>7994</v>
      </c>
      <c r="B7995" s="30" t="s">
        <v>1226</v>
      </c>
      <c r="D7995" s="30" t="s">
        <v>2024</v>
      </c>
      <c r="F7995" s="30" t="s">
        <v>2032</v>
      </c>
      <c r="H7995" s="30" t="s">
        <v>2039</v>
      </c>
      <c r="J7995" s="30" t="s">
        <v>2040</v>
      </c>
      <c r="L7995" s="30" t="s">
        <v>302</v>
      </c>
      <c r="N7995" s="30" t="s">
        <v>317</v>
      </c>
      <c r="P7995" s="30" t="s">
        <v>9325</v>
      </c>
      <c r="Q7995" t="s">
        <v>621</v>
      </c>
      <c r="R7995" t="s">
        <v>920</v>
      </c>
      <c r="S7995">
        <v>38</v>
      </c>
      <c r="T7995" s="29" t="str">
        <f t="shared" si="343"/>
        <v>2022.007S.Flaviviridae_1genren_sprenamed.zip</v>
      </c>
      <c r="U7995" s="29" t="str">
        <f>HYPERLINK("https://ictv.global/taxonomy/taxondetails?taxnode_id=202305781","ictv.global=202305781")</f>
        <v>ictv.global=202305781</v>
      </c>
    </row>
    <row r="7996" spans="1:21">
      <c r="A7996">
        <v>7995</v>
      </c>
      <c r="B7996" s="30" t="s">
        <v>1226</v>
      </c>
      <c r="D7996" s="30" t="s">
        <v>2024</v>
      </c>
      <c r="F7996" s="30" t="s">
        <v>2032</v>
      </c>
      <c r="H7996" s="30" t="s">
        <v>2039</v>
      </c>
      <c r="J7996" s="30" t="s">
        <v>2040</v>
      </c>
      <c r="L7996" s="30" t="s">
        <v>302</v>
      </c>
      <c r="N7996" s="30" t="s">
        <v>317</v>
      </c>
      <c r="P7996" s="30" t="s">
        <v>9326</v>
      </c>
      <c r="Q7996" t="s">
        <v>621</v>
      </c>
      <c r="R7996" t="s">
        <v>920</v>
      </c>
      <c r="S7996">
        <v>38</v>
      </c>
      <c r="T7996" s="29" t="str">
        <f t="shared" si="343"/>
        <v>2022.007S.Flaviviridae_1genren_sprenamed.zip</v>
      </c>
      <c r="U7996" s="29" t="str">
        <f>HYPERLINK("https://ictv.global/taxonomy/taxondetails?taxnode_id=202305784","ictv.global=202305784")</f>
        <v>ictv.global=202305784</v>
      </c>
    </row>
    <row r="7997" spans="1:21">
      <c r="A7997">
        <v>7996</v>
      </c>
      <c r="B7997" s="30" t="s">
        <v>1226</v>
      </c>
      <c r="D7997" s="30" t="s">
        <v>2024</v>
      </c>
      <c r="F7997" s="30" t="s">
        <v>2032</v>
      </c>
      <c r="H7997" s="30" t="s">
        <v>2039</v>
      </c>
      <c r="J7997" s="30" t="s">
        <v>2040</v>
      </c>
      <c r="L7997" s="30" t="s">
        <v>302</v>
      </c>
      <c r="N7997" s="30" t="s">
        <v>317</v>
      </c>
      <c r="P7997" s="30" t="s">
        <v>9327</v>
      </c>
      <c r="Q7997" t="s">
        <v>621</v>
      </c>
      <c r="R7997" t="s">
        <v>920</v>
      </c>
      <c r="S7997">
        <v>38</v>
      </c>
      <c r="T7997" s="29" t="str">
        <f t="shared" si="343"/>
        <v>2022.007S.Flaviviridae_1genren_sprenamed.zip</v>
      </c>
      <c r="U7997" s="29" t="str">
        <f>HYPERLINK("https://ictv.global/taxonomy/taxondetails?taxnode_id=202303153","ictv.global=202303153")</f>
        <v>ictv.global=202303153</v>
      </c>
    </row>
    <row r="7998" spans="1:21">
      <c r="A7998">
        <v>7997</v>
      </c>
      <c r="B7998" s="30" t="s">
        <v>1226</v>
      </c>
      <c r="D7998" s="30" t="s">
        <v>2024</v>
      </c>
      <c r="F7998" s="30" t="s">
        <v>2032</v>
      </c>
      <c r="H7998" s="30" t="s">
        <v>2039</v>
      </c>
      <c r="J7998" s="30" t="s">
        <v>2040</v>
      </c>
      <c r="L7998" s="30" t="s">
        <v>302</v>
      </c>
      <c r="N7998" s="30" t="s">
        <v>317</v>
      </c>
      <c r="P7998" s="30" t="s">
        <v>9328</v>
      </c>
      <c r="Q7998" t="s">
        <v>621</v>
      </c>
      <c r="R7998" t="s">
        <v>920</v>
      </c>
      <c r="S7998">
        <v>38</v>
      </c>
      <c r="T7998" s="29" t="str">
        <f t="shared" si="343"/>
        <v>2022.007S.Flaviviridae_1genren_sprenamed.zip</v>
      </c>
      <c r="U7998" s="29" t="str">
        <f>HYPERLINK("https://ictv.global/taxonomy/taxondetails?taxnode_id=202305783","ictv.global=202305783")</f>
        <v>ictv.global=202305783</v>
      </c>
    </row>
    <row r="7999" spans="1:21">
      <c r="A7999">
        <v>7998</v>
      </c>
      <c r="B7999" s="30" t="s">
        <v>1226</v>
      </c>
      <c r="D7999" s="30" t="s">
        <v>2024</v>
      </c>
      <c r="F7999" s="30" t="s">
        <v>2032</v>
      </c>
      <c r="H7999" s="30" t="s">
        <v>2039</v>
      </c>
      <c r="J7999" s="30" t="s">
        <v>2040</v>
      </c>
      <c r="L7999" s="30" t="s">
        <v>302</v>
      </c>
      <c r="N7999" s="30" t="s">
        <v>317</v>
      </c>
      <c r="P7999" s="30" t="s">
        <v>9329</v>
      </c>
      <c r="Q7999" t="s">
        <v>621</v>
      </c>
      <c r="R7999" t="s">
        <v>920</v>
      </c>
      <c r="S7999">
        <v>38</v>
      </c>
      <c r="T7999" s="29" t="str">
        <f t="shared" si="343"/>
        <v>2022.007S.Flaviviridae_1genren_sprenamed.zip</v>
      </c>
      <c r="U7999" s="29" t="str">
        <f>HYPERLINK("https://ictv.global/taxonomy/taxondetails?taxnode_id=202305782","ictv.global=202305782")</f>
        <v>ictv.global=202305782</v>
      </c>
    </row>
    <row r="8000" spans="1:21">
      <c r="A8000">
        <v>7999</v>
      </c>
      <c r="B8000" s="30" t="s">
        <v>1226</v>
      </c>
      <c r="D8000" s="30" t="s">
        <v>2024</v>
      </c>
      <c r="F8000" s="30" t="s">
        <v>2032</v>
      </c>
      <c r="H8000" s="30" t="s">
        <v>2039</v>
      </c>
      <c r="J8000" s="30" t="s">
        <v>2040</v>
      </c>
      <c r="L8000" s="30" t="s">
        <v>302</v>
      </c>
      <c r="N8000" s="30" t="s">
        <v>317</v>
      </c>
      <c r="P8000" s="30" t="s">
        <v>9330</v>
      </c>
      <c r="Q8000" t="s">
        <v>621</v>
      </c>
      <c r="R8000" t="s">
        <v>917</v>
      </c>
      <c r="S8000">
        <v>38</v>
      </c>
      <c r="T8000" s="29" t="str">
        <f>HYPERLINK("https://ictv.global/ictv/proposals/2022.002S.Pestivirus_8nsp.zip","2022.002S.Pestivirus_8nsp.zip")</f>
        <v>2022.002S.Pestivirus_8nsp.zip</v>
      </c>
      <c r="U8000" s="29" t="str">
        <f>HYPERLINK("https://ictv.global/taxonomy/taxondetails?taxnode_id=202314004","ictv.global=202314004")</f>
        <v>ictv.global=202314004</v>
      </c>
    </row>
    <row r="8001" spans="1:21">
      <c r="A8001">
        <v>8000</v>
      </c>
      <c r="B8001" s="30" t="s">
        <v>1226</v>
      </c>
      <c r="D8001" s="30" t="s">
        <v>2024</v>
      </c>
      <c r="F8001" s="30" t="s">
        <v>2032</v>
      </c>
      <c r="H8001" s="30" t="s">
        <v>2039</v>
      </c>
      <c r="J8001" s="30" t="s">
        <v>2040</v>
      </c>
      <c r="L8001" s="30" t="s">
        <v>302</v>
      </c>
      <c r="N8001" s="30" t="s">
        <v>317</v>
      </c>
      <c r="P8001" s="30" t="s">
        <v>9331</v>
      </c>
      <c r="Q8001" t="s">
        <v>621</v>
      </c>
      <c r="R8001" t="s">
        <v>917</v>
      </c>
      <c r="S8001">
        <v>38</v>
      </c>
      <c r="T8001" s="29" t="str">
        <f>HYPERLINK("https://ictv.global/ictv/proposals/2022.002S.Pestivirus_8nsp.zip","2022.002S.Pestivirus_8nsp.zip")</f>
        <v>2022.002S.Pestivirus_8nsp.zip</v>
      </c>
      <c r="U8001" s="29" t="str">
        <f>HYPERLINK("https://ictv.global/taxonomy/taxondetails?taxnode_id=202314005","ictv.global=202314005")</f>
        <v>ictv.global=202314005</v>
      </c>
    </row>
    <row r="8002" spans="1:21">
      <c r="A8002">
        <v>8001</v>
      </c>
      <c r="B8002" s="30" t="s">
        <v>1226</v>
      </c>
      <c r="D8002" s="30" t="s">
        <v>2024</v>
      </c>
      <c r="F8002" s="30" t="s">
        <v>2032</v>
      </c>
      <c r="H8002" s="30" t="s">
        <v>2039</v>
      </c>
      <c r="J8002" s="30" t="s">
        <v>2040</v>
      </c>
      <c r="L8002" s="30" t="s">
        <v>302</v>
      </c>
      <c r="N8002" s="30" t="s">
        <v>317</v>
      </c>
      <c r="P8002" s="30" t="s">
        <v>9332</v>
      </c>
      <c r="Q8002" t="s">
        <v>621</v>
      </c>
      <c r="R8002" t="s">
        <v>917</v>
      </c>
      <c r="S8002">
        <v>38</v>
      </c>
      <c r="T8002" s="29" t="str">
        <f>HYPERLINK("https://ictv.global/ictv/proposals/2022.002S.Pestivirus_8nsp.zip","2022.002S.Pestivirus_8nsp.zip")</f>
        <v>2022.002S.Pestivirus_8nsp.zip</v>
      </c>
      <c r="U8002" s="29" t="str">
        <f>HYPERLINK("https://ictv.global/taxonomy/taxondetails?taxnode_id=202314006","ictv.global=202314006")</f>
        <v>ictv.global=202314006</v>
      </c>
    </row>
    <row r="8003" spans="1:21">
      <c r="A8003">
        <v>8002</v>
      </c>
      <c r="B8003" s="30" t="s">
        <v>1226</v>
      </c>
      <c r="D8003" s="30" t="s">
        <v>2024</v>
      </c>
      <c r="F8003" s="30" t="s">
        <v>2032</v>
      </c>
      <c r="H8003" s="30" t="s">
        <v>2039</v>
      </c>
      <c r="J8003" s="30" t="s">
        <v>2040</v>
      </c>
      <c r="L8003" s="30" t="s">
        <v>302</v>
      </c>
      <c r="N8003" s="30" t="s">
        <v>317</v>
      </c>
      <c r="P8003" s="30" t="s">
        <v>9333</v>
      </c>
      <c r="Q8003" t="s">
        <v>621</v>
      </c>
      <c r="R8003" t="s">
        <v>917</v>
      </c>
      <c r="S8003">
        <v>38</v>
      </c>
      <c r="T8003" s="29" t="str">
        <f>HYPERLINK("https://ictv.global/ictv/proposals/2022.002S.Pestivirus_8nsp.zip","2022.002S.Pestivirus_8nsp.zip")</f>
        <v>2022.002S.Pestivirus_8nsp.zip</v>
      </c>
      <c r="U8003" s="29" t="str">
        <f>HYPERLINK("https://ictv.global/taxonomy/taxondetails?taxnode_id=202314007","ictv.global=202314007")</f>
        <v>ictv.global=202314007</v>
      </c>
    </row>
    <row r="8004" spans="1:21">
      <c r="A8004">
        <v>8003</v>
      </c>
      <c r="B8004" s="30" t="s">
        <v>1226</v>
      </c>
      <c r="D8004" s="30" t="s">
        <v>2024</v>
      </c>
      <c r="F8004" s="30" t="s">
        <v>2032</v>
      </c>
      <c r="H8004" s="30" t="s">
        <v>2039</v>
      </c>
      <c r="J8004" s="30" t="s">
        <v>2040</v>
      </c>
      <c r="L8004" s="30" t="s">
        <v>302</v>
      </c>
      <c r="N8004" s="30" t="s">
        <v>317</v>
      </c>
      <c r="P8004" s="30" t="s">
        <v>9334</v>
      </c>
      <c r="Q8004" t="s">
        <v>621</v>
      </c>
      <c r="R8004" t="s">
        <v>920</v>
      </c>
      <c r="S8004">
        <v>38</v>
      </c>
      <c r="T8004" s="29" t="str">
        <f>HYPERLINK("https://ictv.global/ictv/proposals/2022.007S.Flaviviridae_1genren_sprenamed.zip","2022.007S.Flaviviridae_1genren_sprenamed.zip")</f>
        <v>2022.007S.Flaviviridae_1genren_sprenamed.zip</v>
      </c>
      <c r="U8004" s="29" t="str">
        <f>HYPERLINK("https://ictv.global/taxonomy/taxondetails?taxnode_id=202303152","ictv.global=202303152")</f>
        <v>ictv.global=202303152</v>
      </c>
    </row>
    <row r="8005" spans="1:21">
      <c r="A8005">
        <v>8004</v>
      </c>
      <c r="B8005" s="30" t="s">
        <v>1226</v>
      </c>
      <c r="D8005" s="30" t="s">
        <v>2024</v>
      </c>
      <c r="F8005" s="30" t="s">
        <v>2032</v>
      </c>
      <c r="H8005" s="30" t="s">
        <v>2039</v>
      </c>
      <c r="J8005" s="30" t="s">
        <v>2040</v>
      </c>
      <c r="L8005" s="30" t="s">
        <v>302</v>
      </c>
      <c r="N8005" s="30" t="s">
        <v>317</v>
      </c>
      <c r="P8005" s="30" t="s">
        <v>9335</v>
      </c>
      <c r="Q8005" t="s">
        <v>621</v>
      </c>
      <c r="R8005" t="s">
        <v>917</v>
      </c>
      <c r="S8005">
        <v>38</v>
      </c>
      <c r="T8005" s="29" t="str">
        <f>HYPERLINK("https://ictv.global/ictv/proposals/2022.002S.Pestivirus_8nsp.zip","2022.002S.Pestivirus_8nsp.zip")</f>
        <v>2022.002S.Pestivirus_8nsp.zip</v>
      </c>
      <c r="U8005" s="29" t="str">
        <f>HYPERLINK("https://ictv.global/taxonomy/taxondetails?taxnode_id=202314008","ictv.global=202314008")</f>
        <v>ictv.global=202314008</v>
      </c>
    </row>
    <row r="8006" spans="1:21">
      <c r="A8006">
        <v>8005</v>
      </c>
      <c r="B8006" s="30" t="s">
        <v>1226</v>
      </c>
      <c r="D8006" s="30" t="s">
        <v>2024</v>
      </c>
      <c r="F8006" s="30" t="s">
        <v>2032</v>
      </c>
      <c r="H8006" s="30" t="s">
        <v>2039</v>
      </c>
      <c r="J8006" s="30" t="s">
        <v>2040</v>
      </c>
      <c r="L8006" s="30" t="s">
        <v>302</v>
      </c>
      <c r="N8006" s="30" t="s">
        <v>317</v>
      </c>
      <c r="P8006" s="30" t="s">
        <v>9336</v>
      </c>
      <c r="Q8006" t="s">
        <v>621</v>
      </c>
      <c r="R8006" t="s">
        <v>917</v>
      </c>
      <c r="S8006">
        <v>38</v>
      </c>
      <c r="T8006" s="29" t="str">
        <f>HYPERLINK("https://ictv.global/ictv/proposals/2022.002S.Pestivirus_8nsp.zip","2022.002S.Pestivirus_8nsp.zip")</f>
        <v>2022.002S.Pestivirus_8nsp.zip</v>
      </c>
      <c r="U8006" s="29" t="str">
        <f>HYPERLINK("https://ictv.global/taxonomy/taxondetails?taxnode_id=202314009","ictv.global=202314009")</f>
        <v>ictv.global=202314009</v>
      </c>
    </row>
    <row r="8007" spans="1:21">
      <c r="A8007">
        <v>8006</v>
      </c>
      <c r="B8007" s="30" t="s">
        <v>1226</v>
      </c>
      <c r="D8007" s="30" t="s">
        <v>2024</v>
      </c>
      <c r="F8007" s="30" t="s">
        <v>2032</v>
      </c>
      <c r="H8007" s="30" t="s">
        <v>2039</v>
      </c>
      <c r="J8007" s="30" t="s">
        <v>2040</v>
      </c>
      <c r="L8007" s="30" t="s">
        <v>302</v>
      </c>
      <c r="N8007" s="30" t="s">
        <v>317</v>
      </c>
      <c r="P8007" s="30" t="s">
        <v>9337</v>
      </c>
      <c r="Q8007" t="s">
        <v>621</v>
      </c>
      <c r="R8007" t="s">
        <v>917</v>
      </c>
      <c r="S8007">
        <v>38</v>
      </c>
      <c r="T8007" s="29" t="str">
        <f>HYPERLINK("https://ictv.global/ictv/proposals/2022.002S.Pestivirus_8nsp.zip","2022.002S.Pestivirus_8nsp.zip")</f>
        <v>2022.002S.Pestivirus_8nsp.zip</v>
      </c>
      <c r="U8007" s="29" t="str">
        <f>HYPERLINK("https://ictv.global/taxonomy/taxondetails?taxnode_id=202314010","ictv.global=202314010")</f>
        <v>ictv.global=202314010</v>
      </c>
    </row>
    <row r="8008" spans="1:21">
      <c r="A8008">
        <v>8007</v>
      </c>
      <c r="B8008" s="30" t="s">
        <v>1226</v>
      </c>
      <c r="D8008" s="30" t="s">
        <v>2024</v>
      </c>
      <c r="F8008" s="30" t="s">
        <v>2032</v>
      </c>
      <c r="H8008" s="30" t="s">
        <v>2039</v>
      </c>
      <c r="J8008" s="30" t="s">
        <v>2040</v>
      </c>
      <c r="L8008" s="30" t="s">
        <v>302</v>
      </c>
      <c r="N8008" s="30" t="s">
        <v>317</v>
      </c>
      <c r="P8008" s="30" t="s">
        <v>9338</v>
      </c>
      <c r="Q8008" t="s">
        <v>621</v>
      </c>
      <c r="R8008" t="s">
        <v>920</v>
      </c>
      <c r="S8008">
        <v>38</v>
      </c>
      <c r="T8008" s="29" t="str">
        <f>HYPERLINK("https://ictv.global/ictv/proposals/2022.007S.Flaviviridae_1genren_sprenamed.zip","2022.007S.Flaviviridae_1genren_sprenamed.zip")</f>
        <v>2022.007S.Flaviviridae_1genren_sprenamed.zip</v>
      </c>
      <c r="U8008" s="29" t="str">
        <f>HYPERLINK("https://ictv.global/taxonomy/taxondetails?taxnode_id=202305785","ictv.global=202305785")</f>
        <v>ictv.global=202305785</v>
      </c>
    </row>
    <row r="8009" spans="1:21">
      <c r="A8009">
        <v>8008</v>
      </c>
      <c r="B8009" s="30" t="s">
        <v>1226</v>
      </c>
      <c r="D8009" s="30" t="s">
        <v>2024</v>
      </c>
      <c r="F8009" s="30" t="s">
        <v>2032</v>
      </c>
      <c r="H8009" s="30" t="s">
        <v>2039</v>
      </c>
      <c r="J8009" s="30" t="s">
        <v>2040</v>
      </c>
      <c r="L8009" s="30" t="s">
        <v>302</v>
      </c>
      <c r="N8009" s="30" t="s">
        <v>317</v>
      </c>
      <c r="P8009" s="30" t="s">
        <v>9339</v>
      </c>
      <c r="Q8009" t="s">
        <v>621</v>
      </c>
      <c r="R8009" t="s">
        <v>917</v>
      </c>
      <c r="S8009">
        <v>38</v>
      </c>
      <c r="T8009" s="29" t="str">
        <f>HYPERLINK("https://ictv.global/ictv/proposals/2022.002S.Pestivirus_8nsp.zip","2022.002S.Pestivirus_8nsp.zip")</f>
        <v>2022.002S.Pestivirus_8nsp.zip</v>
      </c>
      <c r="U8009" s="29" t="str">
        <f>HYPERLINK("https://ictv.global/taxonomy/taxondetails?taxnode_id=202314011","ictv.global=202314011")</f>
        <v>ictv.global=202314011</v>
      </c>
    </row>
    <row r="8010" spans="1:21">
      <c r="A8010">
        <v>8009</v>
      </c>
      <c r="B8010" s="30" t="s">
        <v>1226</v>
      </c>
      <c r="D8010" s="30" t="s">
        <v>2024</v>
      </c>
      <c r="F8010" s="30" t="s">
        <v>2032</v>
      </c>
      <c r="H8010" s="30" t="s">
        <v>2039</v>
      </c>
      <c r="J8010" s="30" t="s">
        <v>2040</v>
      </c>
      <c r="L8010" s="30" t="s">
        <v>302</v>
      </c>
      <c r="N8010" s="30" t="s">
        <v>317</v>
      </c>
      <c r="P8010" s="30" t="s">
        <v>9340</v>
      </c>
      <c r="Q8010" t="s">
        <v>621</v>
      </c>
      <c r="R8010" t="s">
        <v>920</v>
      </c>
      <c r="S8010">
        <v>38</v>
      </c>
      <c r="T8010" s="29" t="str">
        <f>HYPERLINK("https://ictv.global/ictv/proposals/2022.007S.Flaviviridae_1genren_sprenamed.zip","2022.007S.Flaviviridae_1genren_sprenamed.zip")</f>
        <v>2022.007S.Flaviviridae_1genren_sprenamed.zip</v>
      </c>
      <c r="U8010" s="29" t="str">
        <f>HYPERLINK("https://ictv.global/taxonomy/taxondetails?taxnode_id=202305786","ictv.global=202305786")</f>
        <v>ictv.global=202305786</v>
      </c>
    </row>
    <row r="8011" spans="1:21">
      <c r="A8011">
        <v>8010</v>
      </c>
      <c r="B8011" s="30" t="s">
        <v>1226</v>
      </c>
      <c r="D8011" s="30" t="s">
        <v>2024</v>
      </c>
      <c r="F8011" s="30" t="s">
        <v>2032</v>
      </c>
      <c r="H8011" s="30" t="s">
        <v>2039</v>
      </c>
      <c r="J8011" s="30" t="s">
        <v>2040</v>
      </c>
      <c r="L8011" s="30" t="s">
        <v>302</v>
      </c>
      <c r="N8011" s="30" t="s">
        <v>317</v>
      </c>
      <c r="P8011" s="30" t="s">
        <v>9341</v>
      </c>
      <c r="Q8011" t="s">
        <v>621</v>
      </c>
      <c r="R8011" t="s">
        <v>920</v>
      </c>
      <c r="S8011">
        <v>38</v>
      </c>
      <c r="T8011" s="29" t="str">
        <f>HYPERLINK("https://ictv.global/ictv/proposals/2022.007S.Flaviviridae_1genren_sprenamed.zip","2022.007S.Flaviviridae_1genren_sprenamed.zip")</f>
        <v>2022.007S.Flaviviridae_1genren_sprenamed.zip</v>
      </c>
      <c r="U8011" s="29" t="str">
        <f>HYPERLINK("https://ictv.global/taxonomy/taxondetails?taxnode_id=202303155","ictv.global=202303155")</f>
        <v>ictv.global=202303155</v>
      </c>
    </row>
    <row r="8012" spans="1:21">
      <c r="A8012">
        <v>8011</v>
      </c>
      <c r="B8012" s="30" t="s">
        <v>1226</v>
      </c>
      <c r="D8012" s="30" t="s">
        <v>2024</v>
      </c>
      <c r="F8012" s="30" t="s">
        <v>2032</v>
      </c>
      <c r="H8012" s="30" t="s">
        <v>2039</v>
      </c>
      <c r="J8012" s="30" t="s">
        <v>2040</v>
      </c>
      <c r="L8012" s="30" t="s">
        <v>302</v>
      </c>
      <c r="N8012" s="30" t="s">
        <v>317</v>
      </c>
      <c r="P8012" s="30" t="s">
        <v>9342</v>
      </c>
      <c r="Q8012" t="s">
        <v>621</v>
      </c>
      <c r="R8012" t="s">
        <v>920</v>
      </c>
      <c r="S8012">
        <v>38</v>
      </c>
      <c r="T8012" s="29" t="str">
        <f>HYPERLINK("https://ictv.global/ictv/proposals/2022.007S.Flaviviridae_1genren_sprenamed.zip","2022.007S.Flaviviridae_1genren_sprenamed.zip")</f>
        <v>2022.007S.Flaviviridae_1genren_sprenamed.zip</v>
      </c>
      <c r="U8012" s="29" t="str">
        <f>HYPERLINK("https://ictv.global/taxonomy/taxondetails?taxnode_id=202303154","ictv.global=202303154")</f>
        <v>ictv.global=202303154</v>
      </c>
    </row>
    <row r="8013" spans="1:21">
      <c r="A8013">
        <v>8012</v>
      </c>
      <c r="B8013" s="30" t="s">
        <v>1226</v>
      </c>
      <c r="D8013" s="30" t="s">
        <v>2024</v>
      </c>
      <c r="F8013" s="30" t="s">
        <v>2032</v>
      </c>
      <c r="H8013" s="30" t="s">
        <v>2041</v>
      </c>
      <c r="J8013" s="30" t="s">
        <v>2042</v>
      </c>
      <c r="L8013" s="30" t="s">
        <v>288</v>
      </c>
      <c r="N8013" s="30" t="s">
        <v>289</v>
      </c>
      <c r="P8013" s="30" t="s">
        <v>14752</v>
      </c>
      <c r="Q8013" t="s">
        <v>621</v>
      </c>
      <c r="R8013" t="s">
        <v>920</v>
      </c>
      <c r="S8013">
        <v>39</v>
      </c>
      <c r="T8013" s="29" t="str">
        <f t="shared" ref="T8013:T8021" si="344">HYPERLINK("https://ictv.global/ictv/proposals/2023.010S.Nodaviridae_9sprenamed.zip","2023.010S.Nodaviridae_9sprenamed.zip")</f>
        <v>2023.010S.Nodaviridae_9sprenamed.zip</v>
      </c>
      <c r="U8013" s="29" t="str">
        <f>HYPERLINK("https://ictv.global/taxonomy/taxondetails?taxnode_id=202303927","ictv.global=202303927")</f>
        <v>ictv.global=202303927</v>
      </c>
    </row>
    <row r="8014" spans="1:21">
      <c r="A8014">
        <v>8013</v>
      </c>
      <c r="B8014" s="30" t="s">
        <v>1226</v>
      </c>
      <c r="D8014" s="30" t="s">
        <v>2024</v>
      </c>
      <c r="F8014" s="30" t="s">
        <v>2032</v>
      </c>
      <c r="H8014" s="30" t="s">
        <v>2041</v>
      </c>
      <c r="J8014" s="30" t="s">
        <v>2042</v>
      </c>
      <c r="L8014" s="30" t="s">
        <v>288</v>
      </c>
      <c r="N8014" s="30" t="s">
        <v>289</v>
      </c>
      <c r="P8014" s="30" t="s">
        <v>14753</v>
      </c>
      <c r="Q8014" t="s">
        <v>621</v>
      </c>
      <c r="R8014" t="s">
        <v>920</v>
      </c>
      <c r="S8014">
        <v>39</v>
      </c>
      <c r="T8014" s="29" t="str">
        <f t="shared" si="344"/>
        <v>2023.010S.Nodaviridae_9sprenamed.zip</v>
      </c>
      <c r="U8014" s="29" t="str">
        <f>HYPERLINK("https://ictv.global/taxonomy/taxondetails?taxnode_id=202303928","ictv.global=202303928")</f>
        <v>ictv.global=202303928</v>
      </c>
    </row>
    <row r="8015" spans="1:21">
      <c r="A8015">
        <v>8014</v>
      </c>
      <c r="B8015" s="30" t="s">
        <v>1226</v>
      </c>
      <c r="D8015" s="30" t="s">
        <v>2024</v>
      </c>
      <c r="F8015" s="30" t="s">
        <v>2032</v>
      </c>
      <c r="H8015" s="30" t="s">
        <v>2041</v>
      </c>
      <c r="J8015" s="30" t="s">
        <v>2042</v>
      </c>
      <c r="L8015" s="30" t="s">
        <v>288</v>
      </c>
      <c r="N8015" s="30" t="s">
        <v>289</v>
      </c>
      <c r="P8015" s="30" t="s">
        <v>14754</v>
      </c>
      <c r="Q8015" t="s">
        <v>621</v>
      </c>
      <c r="R8015" t="s">
        <v>920</v>
      </c>
      <c r="S8015">
        <v>39</v>
      </c>
      <c r="T8015" s="29" t="str">
        <f t="shared" si="344"/>
        <v>2023.010S.Nodaviridae_9sprenamed.zip</v>
      </c>
      <c r="U8015" s="29" t="str">
        <f>HYPERLINK("https://ictv.global/taxonomy/taxondetails?taxnode_id=202303926","ictv.global=202303926")</f>
        <v>ictv.global=202303926</v>
      </c>
    </row>
    <row r="8016" spans="1:21">
      <c r="A8016">
        <v>8015</v>
      </c>
      <c r="B8016" s="30" t="s">
        <v>1226</v>
      </c>
      <c r="D8016" s="30" t="s">
        <v>2024</v>
      </c>
      <c r="F8016" s="30" t="s">
        <v>2032</v>
      </c>
      <c r="H8016" s="30" t="s">
        <v>2041</v>
      </c>
      <c r="J8016" s="30" t="s">
        <v>2042</v>
      </c>
      <c r="L8016" s="30" t="s">
        <v>288</v>
      </c>
      <c r="N8016" s="30" t="s">
        <v>289</v>
      </c>
      <c r="P8016" s="30" t="s">
        <v>14755</v>
      </c>
      <c r="Q8016" t="s">
        <v>621</v>
      </c>
      <c r="R8016" t="s">
        <v>920</v>
      </c>
      <c r="S8016">
        <v>39</v>
      </c>
      <c r="T8016" s="29" t="str">
        <f t="shared" si="344"/>
        <v>2023.010S.Nodaviridae_9sprenamed.zip</v>
      </c>
      <c r="U8016" s="29" t="str">
        <f>HYPERLINK("https://ictv.global/taxonomy/taxondetails?taxnode_id=202303929","ictv.global=202303929")</f>
        <v>ictv.global=202303929</v>
      </c>
    </row>
    <row r="8017" spans="1:21">
      <c r="A8017">
        <v>8016</v>
      </c>
      <c r="B8017" s="30" t="s">
        <v>1226</v>
      </c>
      <c r="D8017" s="30" t="s">
        <v>2024</v>
      </c>
      <c r="F8017" s="30" t="s">
        <v>2032</v>
      </c>
      <c r="H8017" s="30" t="s">
        <v>2041</v>
      </c>
      <c r="J8017" s="30" t="s">
        <v>2042</v>
      </c>
      <c r="L8017" s="30" t="s">
        <v>288</v>
      </c>
      <c r="N8017" s="30" t="s">
        <v>289</v>
      </c>
      <c r="P8017" s="30" t="s">
        <v>14756</v>
      </c>
      <c r="Q8017" t="s">
        <v>621</v>
      </c>
      <c r="R8017" t="s">
        <v>920</v>
      </c>
      <c r="S8017">
        <v>39</v>
      </c>
      <c r="T8017" s="29" t="str">
        <f t="shared" si="344"/>
        <v>2023.010S.Nodaviridae_9sprenamed.zip</v>
      </c>
      <c r="U8017" s="29" t="str">
        <f>HYPERLINK("https://ictv.global/taxonomy/taxondetails?taxnode_id=202303930","ictv.global=202303930")</f>
        <v>ictv.global=202303930</v>
      </c>
    </row>
    <row r="8018" spans="1:21">
      <c r="A8018">
        <v>8017</v>
      </c>
      <c r="B8018" s="30" t="s">
        <v>1226</v>
      </c>
      <c r="D8018" s="30" t="s">
        <v>2024</v>
      </c>
      <c r="F8018" s="30" t="s">
        <v>2032</v>
      </c>
      <c r="H8018" s="30" t="s">
        <v>2041</v>
      </c>
      <c r="J8018" s="30" t="s">
        <v>2042</v>
      </c>
      <c r="L8018" s="30" t="s">
        <v>288</v>
      </c>
      <c r="N8018" s="30" t="s">
        <v>290</v>
      </c>
      <c r="P8018" s="30" t="s">
        <v>14757</v>
      </c>
      <c r="Q8018" t="s">
        <v>621</v>
      </c>
      <c r="R8018" t="s">
        <v>920</v>
      </c>
      <c r="S8018">
        <v>39</v>
      </c>
      <c r="T8018" s="29" t="str">
        <f t="shared" si="344"/>
        <v>2023.010S.Nodaviridae_9sprenamed.zip</v>
      </c>
      <c r="U8018" s="29" t="str">
        <f>HYPERLINK("https://ictv.global/taxonomy/taxondetails?taxnode_id=202303933","ictv.global=202303933")</f>
        <v>ictv.global=202303933</v>
      </c>
    </row>
    <row r="8019" spans="1:21">
      <c r="A8019">
        <v>8018</v>
      </c>
      <c r="B8019" s="30" t="s">
        <v>1226</v>
      </c>
      <c r="D8019" s="30" t="s">
        <v>2024</v>
      </c>
      <c r="F8019" s="30" t="s">
        <v>2032</v>
      </c>
      <c r="H8019" s="30" t="s">
        <v>2041</v>
      </c>
      <c r="J8019" s="30" t="s">
        <v>2042</v>
      </c>
      <c r="L8019" s="30" t="s">
        <v>288</v>
      </c>
      <c r="N8019" s="30" t="s">
        <v>290</v>
      </c>
      <c r="P8019" s="30" t="s">
        <v>14758</v>
      </c>
      <c r="Q8019" t="s">
        <v>621</v>
      </c>
      <c r="R8019" t="s">
        <v>920</v>
      </c>
      <c r="S8019">
        <v>39</v>
      </c>
      <c r="T8019" s="29" t="str">
        <f t="shared" si="344"/>
        <v>2023.010S.Nodaviridae_9sprenamed.zip</v>
      </c>
      <c r="U8019" s="29" t="str">
        <f>HYPERLINK("https://ictv.global/taxonomy/taxondetails?taxnode_id=202303934","ictv.global=202303934")</f>
        <v>ictv.global=202303934</v>
      </c>
    </row>
    <row r="8020" spans="1:21">
      <c r="A8020">
        <v>8019</v>
      </c>
      <c r="B8020" s="30" t="s">
        <v>1226</v>
      </c>
      <c r="D8020" s="30" t="s">
        <v>2024</v>
      </c>
      <c r="F8020" s="30" t="s">
        <v>2032</v>
      </c>
      <c r="H8020" s="30" t="s">
        <v>2041</v>
      </c>
      <c r="J8020" s="30" t="s">
        <v>2042</v>
      </c>
      <c r="L8020" s="30" t="s">
        <v>288</v>
      </c>
      <c r="N8020" s="30" t="s">
        <v>290</v>
      </c>
      <c r="P8020" s="30" t="s">
        <v>14759</v>
      </c>
      <c r="Q8020" t="s">
        <v>621</v>
      </c>
      <c r="R8020" t="s">
        <v>920</v>
      </c>
      <c r="S8020">
        <v>39</v>
      </c>
      <c r="T8020" s="29" t="str">
        <f t="shared" si="344"/>
        <v>2023.010S.Nodaviridae_9sprenamed.zip</v>
      </c>
      <c r="U8020" s="29" t="str">
        <f>HYPERLINK("https://ictv.global/taxonomy/taxondetails?taxnode_id=202303935","ictv.global=202303935")</f>
        <v>ictv.global=202303935</v>
      </c>
    </row>
    <row r="8021" spans="1:21">
      <c r="A8021">
        <v>8020</v>
      </c>
      <c r="B8021" s="30" t="s">
        <v>1226</v>
      </c>
      <c r="D8021" s="30" t="s">
        <v>2024</v>
      </c>
      <c r="F8021" s="30" t="s">
        <v>2032</v>
      </c>
      <c r="H8021" s="30" t="s">
        <v>2041</v>
      </c>
      <c r="J8021" s="30" t="s">
        <v>2042</v>
      </c>
      <c r="L8021" s="30" t="s">
        <v>288</v>
      </c>
      <c r="N8021" s="30" t="s">
        <v>290</v>
      </c>
      <c r="P8021" s="30" t="s">
        <v>14760</v>
      </c>
      <c r="Q8021" t="s">
        <v>621</v>
      </c>
      <c r="R8021" t="s">
        <v>920</v>
      </c>
      <c r="S8021">
        <v>39</v>
      </c>
      <c r="T8021" s="29" t="str">
        <f t="shared" si="344"/>
        <v>2023.010S.Nodaviridae_9sprenamed.zip</v>
      </c>
      <c r="U8021" s="29" t="str">
        <f>HYPERLINK("https://ictv.global/taxonomy/taxondetails?taxnode_id=202303932","ictv.global=202303932")</f>
        <v>ictv.global=202303932</v>
      </c>
    </row>
    <row r="8022" spans="1:21">
      <c r="A8022">
        <v>8021</v>
      </c>
      <c r="B8022" s="30" t="s">
        <v>1226</v>
      </c>
      <c r="D8022" s="30" t="s">
        <v>2024</v>
      </c>
      <c r="F8022" s="30" t="s">
        <v>2032</v>
      </c>
      <c r="H8022" s="30" t="s">
        <v>2041</v>
      </c>
      <c r="J8022" s="30" t="s">
        <v>2042</v>
      </c>
      <c r="L8022" s="30" t="s">
        <v>2043</v>
      </c>
      <c r="N8022" s="30" t="s">
        <v>797</v>
      </c>
      <c r="P8022" s="30" t="s">
        <v>798</v>
      </c>
      <c r="Q8022" t="s">
        <v>621</v>
      </c>
      <c r="R8022" t="s">
        <v>919</v>
      </c>
      <c r="S8022">
        <v>35</v>
      </c>
      <c r="T8022" s="29" t="str">
        <f>HYPERLINK("https://ictv.global/ictv/proposals/2019.006G.zip","2019.006G.zip")</f>
        <v>2019.006G.zip</v>
      </c>
      <c r="U8022" s="29" t="str">
        <f>HYPERLINK("https://ictv.global/taxonomy/taxondetails?taxnode_id=202305368","ictv.global=202305368")</f>
        <v>ictv.global=202305368</v>
      </c>
    </row>
    <row r="8023" spans="1:21">
      <c r="A8023">
        <v>8022</v>
      </c>
      <c r="B8023" s="30" t="s">
        <v>1226</v>
      </c>
      <c r="D8023" s="30" t="s">
        <v>2024</v>
      </c>
      <c r="F8023" s="30" t="s">
        <v>2032</v>
      </c>
      <c r="H8023" s="30" t="s">
        <v>2041</v>
      </c>
      <c r="J8023" s="30" t="s">
        <v>2042</v>
      </c>
      <c r="L8023" s="30" t="s">
        <v>2043</v>
      </c>
      <c r="N8023" s="30" t="s">
        <v>797</v>
      </c>
      <c r="P8023" s="30" t="s">
        <v>799</v>
      </c>
      <c r="Q8023" t="s">
        <v>621</v>
      </c>
      <c r="R8023" t="s">
        <v>3894</v>
      </c>
      <c r="S8023">
        <v>36</v>
      </c>
      <c r="T8023" s="29" t="str">
        <f>HYPERLINK("https://ictv.global/ictv/proposals/2020.001G.R.Abolish_type_species.pdf","2020.001G.R.Abolish_type_species.pdf")</f>
        <v>2020.001G.R.Abolish_type_species.pdf</v>
      </c>
      <c r="U8023" s="29" t="str">
        <f>HYPERLINK("https://ictv.global/taxonomy/taxondetails?taxnode_id=202305369","ictv.global=202305369")</f>
        <v>ictv.global=202305369</v>
      </c>
    </row>
    <row r="8024" spans="1:21">
      <c r="A8024">
        <v>8023</v>
      </c>
      <c r="B8024" s="30" t="s">
        <v>1226</v>
      </c>
      <c r="D8024" s="30" t="s">
        <v>2024</v>
      </c>
      <c r="F8024" s="30" t="s">
        <v>2032</v>
      </c>
      <c r="H8024" s="30" t="s">
        <v>2044</v>
      </c>
      <c r="J8024" s="30" t="s">
        <v>2045</v>
      </c>
      <c r="L8024" s="30" t="s">
        <v>18</v>
      </c>
      <c r="N8024" s="30" t="s">
        <v>19</v>
      </c>
      <c r="P8024" s="30" t="s">
        <v>14761</v>
      </c>
      <c r="Q8024" t="s">
        <v>621</v>
      </c>
      <c r="R8024" t="s">
        <v>920</v>
      </c>
      <c r="S8024">
        <v>39</v>
      </c>
      <c r="T8024" s="29" t="str">
        <f>HYPERLINK("https://ictv.global/ictv/proposals/2023.005S.Tetraviridae_13sprenamed.zip","2023.005S.Tetraviridae_13sprenamed.zip")</f>
        <v>2023.005S.Tetraviridae_13sprenamed.zip</v>
      </c>
      <c r="U8024" s="29" t="str">
        <f>HYPERLINK("https://ictv.global/taxonomy/taxondetails?taxnode_id=202302815","ictv.global=202302815")</f>
        <v>ictv.global=202302815</v>
      </c>
    </row>
    <row r="8025" spans="1:21">
      <c r="A8025">
        <v>8024</v>
      </c>
      <c r="B8025" s="30" t="s">
        <v>1226</v>
      </c>
      <c r="D8025" s="30" t="s">
        <v>2024</v>
      </c>
      <c r="F8025" s="30" t="s">
        <v>2032</v>
      </c>
      <c r="H8025" s="30" t="s">
        <v>2044</v>
      </c>
      <c r="J8025" s="30" t="s">
        <v>2045</v>
      </c>
      <c r="L8025" s="30" t="s">
        <v>215</v>
      </c>
      <c r="M8025" s="30" t="s">
        <v>1311</v>
      </c>
      <c r="N8025" s="30" t="s">
        <v>414</v>
      </c>
      <c r="P8025" s="30" t="s">
        <v>9343</v>
      </c>
      <c r="Q8025" t="s">
        <v>621</v>
      </c>
      <c r="R8025" t="s">
        <v>920</v>
      </c>
      <c r="S8025">
        <v>38</v>
      </c>
      <c r="T8025" s="29" t="str">
        <f t="shared" ref="T8025:T8034" si="345">HYPERLINK("https://ictv.global/ictv/proposals/2022.015P.Tombusviridae_rename.zip","2022.015P.Tombusviridae_rename.zip")</f>
        <v>2022.015P.Tombusviridae_rename.zip</v>
      </c>
      <c r="U8025" s="29" t="str">
        <f>HYPERLINK("https://ictv.global/taxonomy/taxondetails?taxnode_id=202305270","ictv.global=202305270")</f>
        <v>ictv.global=202305270</v>
      </c>
    </row>
    <row r="8026" spans="1:21">
      <c r="A8026">
        <v>8025</v>
      </c>
      <c r="B8026" s="30" t="s">
        <v>1226</v>
      </c>
      <c r="D8026" s="30" t="s">
        <v>2024</v>
      </c>
      <c r="F8026" s="30" t="s">
        <v>2032</v>
      </c>
      <c r="H8026" s="30" t="s">
        <v>2044</v>
      </c>
      <c r="J8026" s="30" t="s">
        <v>2045</v>
      </c>
      <c r="L8026" s="30" t="s">
        <v>215</v>
      </c>
      <c r="M8026" s="30" t="s">
        <v>1311</v>
      </c>
      <c r="N8026" s="30" t="s">
        <v>414</v>
      </c>
      <c r="P8026" s="30" t="s">
        <v>9344</v>
      </c>
      <c r="Q8026" t="s">
        <v>621</v>
      </c>
      <c r="R8026" t="s">
        <v>920</v>
      </c>
      <c r="S8026">
        <v>38</v>
      </c>
      <c r="T8026" s="29" t="str">
        <f t="shared" si="345"/>
        <v>2022.015P.Tombusviridae_rename.zip</v>
      </c>
      <c r="U8026" s="29" t="str">
        <f>HYPERLINK("https://ictv.global/taxonomy/taxondetails?taxnode_id=202305267","ictv.global=202305267")</f>
        <v>ictv.global=202305267</v>
      </c>
    </row>
    <row r="8027" spans="1:21">
      <c r="A8027">
        <v>8026</v>
      </c>
      <c r="B8027" s="30" t="s">
        <v>1226</v>
      </c>
      <c r="D8027" s="30" t="s">
        <v>2024</v>
      </c>
      <c r="F8027" s="30" t="s">
        <v>2032</v>
      </c>
      <c r="H8027" s="30" t="s">
        <v>2044</v>
      </c>
      <c r="J8027" s="30" t="s">
        <v>2045</v>
      </c>
      <c r="L8027" s="30" t="s">
        <v>215</v>
      </c>
      <c r="M8027" s="30" t="s">
        <v>1311</v>
      </c>
      <c r="N8027" s="30" t="s">
        <v>414</v>
      </c>
      <c r="P8027" s="30" t="s">
        <v>9345</v>
      </c>
      <c r="Q8027" t="s">
        <v>621</v>
      </c>
      <c r="R8027" t="s">
        <v>920</v>
      </c>
      <c r="S8027">
        <v>38</v>
      </c>
      <c r="T8027" s="29" t="str">
        <f t="shared" si="345"/>
        <v>2022.015P.Tombusviridae_rename.zip</v>
      </c>
      <c r="U8027" s="29" t="str">
        <f>HYPERLINK("https://ictv.global/taxonomy/taxondetails?taxnode_id=202305269","ictv.global=202305269")</f>
        <v>ictv.global=202305269</v>
      </c>
    </row>
    <row r="8028" spans="1:21">
      <c r="A8028">
        <v>8027</v>
      </c>
      <c r="B8028" s="30" t="s">
        <v>1226</v>
      </c>
      <c r="D8028" s="30" t="s">
        <v>2024</v>
      </c>
      <c r="F8028" s="30" t="s">
        <v>2032</v>
      </c>
      <c r="H8028" s="30" t="s">
        <v>2044</v>
      </c>
      <c r="J8028" s="30" t="s">
        <v>2045</v>
      </c>
      <c r="L8028" s="30" t="s">
        <v>215</v>
      </c>
      <c r="M8028" s="30" t="s">
        <v>1311</v>
      </c>
      <c r="N8028" s="30" t="s">
        <v>414</v>
      </c>
      <c r="P8028" s="30" t="s">
        <v>9346</v>
      </c>
      <c r="Q8028" t="s">
        <v>621</v>
      </c>
      <c r="R8028" t="s">
        <v>920</v>
      </c>
      <c r="S8028">
        <v>38</v>
      </c>
      <c r="T8028" s="29" t="str">
        <f t="shared" si="345"/>
        <v>2022.015P.Tombusviridae_rename.zip</v>
      </c>
      <c r="U8028" s="29" t="str">
        <f>HYPERLINK("https://ictv.global/taxonomy/taxondetails?taxnode_id=202309878","ictv.global=202309878")</f>
        <v>ictv.global=202309878</v>
      </c>
    </row>
    <row r="8029" spans="1:21">
      <c r="A8029">
        <v>8028</v>
      </c>
      <c r="B8029" s="30" t="s">
        <v>1226</v>
      </c>
      <c r="D8029" s="30" t="s">
        <v>2024</v>
      </c>
      <c r="F8029" s="30" t="s">
        <v>2032</v>
      </c>
      <c r="H8029" s="30" t="s">
        <v>2044</v>
      </c>
      <c r="J8029" s="30" t="s">
        <v>2045</v>
      </c>
      <c r="L8029" s="30" t="s">
        <v>215</v>
      </c>
      <c r="M8029" s="30" t="s">
        <v>1311</v>
      </c>
      <c r="N8029" s="30" t="s">
        <v>414</v>
      </c>
      <c r="P8029" s="30" t="s">
        <v>9347</v>
      </c>
      <c r="Q8029" t="s">
        <v>621</v>
      </c>
      <c r="R8029" t="s">
        <v>920</v>
      </c>
      <c r="S8029">
        <v>38</v>
      </c>
      <c r="T8029" s="29" t="str">
        <f t="shared" si="345"/>
        <v>2022.015P.Tombusviridae_rename.zip</v>
      </c>
      <c r="U8029" s="29" t="str">
        <f>HYPERLINK("https://ictv.global/taxonomy/taxondetails?taxnode_id=202305271","ictv.global=202305271")</f>
        <v>ictv.global=202305271</v>
      </c>
    </row>
    <row r="8030" spans="1:21">
      <c r="A8030">
        <v>8029</v>
      </c>
      <c r="B8030" s="30" t="s">
        <v>1226</v>
      </c>
      <c r="D8030" s="30" t="s">
        <v>2024</v>
      </c>
      <c r="F8030" s="30" t="s">
        <v>2032</v>
      </c>
      <c r="H8030" s="30" t="s">
        <v>2044</v>
      </c>
      <c r="J8030" s="30" t="s">
        <v>2045</v>
      </c>
      <c r="L8030" s="30" t="s">
        <v>215</v>
      </c>
      <c r="M8030" s="30" t="s">
        <v>1311</v>
      </c>
      <c r="N8030" s="30" t="s">
        <v>414</v>
      </c>
      <c r="P8030" s="30" t="s">
        <v>9348</v>
      </c>
      <c r="Q8030" t="s">
        <v>621</v>
      </c>
      <c r="R8030" t="s">
        <v>920</v>
      </c>
      <c r="S8030">
        <v>38</v>
      </c>
      <c r="T8030" s="29" t="str">
        <f t="shared" si="345"/>
        <v>2022.015P.Tombusviridae_rename.zip</v>
      </c>
      <c r="U8030" s="29" t="str">
        <f>HYPERLINK("https://ictv.global/taxonomy/taxondetails?taxnode_id=202305268","ictv.global=202305268")</f>
        <v>ictv.global=202305268</v>
      </c>
    </row>
    <row r="8031" spans="1:21">
      <c r="A8031">
        <v>8030</v>
      </c>
      <c r="B8031" s="30" t="s">
        <v>1226</v>
      </c>
      <c r="D8031" s="30" t="s">
        <v>2024</v>
      </c>
      <c r="F8031" s="30" t="s">
        <v>2032</v>
      </c>
      <c r="H8031" s="30" t="s">
        <v>2044</v>
      </c>
      <c r="J8031" s="30" t="s">
        <v>2045</v>
      </c>
      <c r="L8031" s="30" t="s">
        <v>215</v>
      </c>
      <c r="M8031" s="30" t="s">
        <v>1311</v>
      </c>
      <c r="N8031" s="30" t="s">
        <v>414</v>
      </c>
      <c r="P8031" s="30" t="s">
        <v>9349</v>
      </c>
      <c r="Q8031" t="s">
        <v>621</v>
      </c>
      <c r="R8031" t="s">
        <v>920</v>
      </c>
      <c r="S8031">
        <v>38</v>
      </c>
      <c r="T8031" s="29" t="str">
        <f t="shared" si="345"/>
        <v>2022.015P.Tombusviridae_rename.zip</v>
      </c>
      <c r="U8031" s="29" t="str">
        <f>HYPERLINK("https://ictv.global/taxonomy/taxondetails?taxnode_id=202305275","ictv.global=202305275")</f>
        <v>ictv.global=202305275</v>
      </c>
    </row>
    <row r="8032" spans="1:21">
      <c r="A8032">
        <v>8031</v>
      </c>
      <c r="B8032" s="30" t="s">
        <v>1226</v>
      </c>
      <c r="D8032" s="30" t="s">
        <v>2024</v>
      </c>
      <c r="F8032" s="30" t="s">
        <v>2032</v>
      </c>
      <c r="H8032" s="30" t="s">
        <v>2044</v>
      </c>
      <c r="J8032" s="30" t="s">
        <v>2045</v>
      </c>
      <c r="L8032" s="30" t="s">
        <v>215</v>
      </c>
      <c r="M8032" s="30" t="s">
        <v>1311</v>
      </c>
      <c r="N8032" s="30" t="s">
        <v>414</v>
      </c>
      <c r="P8032" s="30" t="s">
        <v>9350</v>
      </c>
      <c r="Q8032" t="s">
        <v>621</v>
      </c>
      <c r="R8032" t="s">
        <v>920</v>
      </c>
      <c r="S8032">
        <v>38</v>
      </c>
      <c r="T8032" s="29" t="str">
        <f t="shared" si="345"/>
        <v>2022.015P.Tombusviridae_rename.zip</v>
      </c>
      <c r="U8032" s="29" t="str">
        <f>HYPERLINK("https://ictv.global/taxonomy/taxondetails?taxnode_id=202305274","ictv.global=202305274")</f>
        <v>ictv.global=202305274</v>
      </c>
    </row>
    <row r="8033" spans="1:21">
      <c r="A8033">
        <v>8032</v>
      </c>
      <c r="B8033" s="30" t="s">
        <v>1226</v>
      </c>
      <c r="D8033" s="30" t="s">
        <v>2024</v>
      </c>
      <c r="F8033" s="30" t="s">
        <v>2032</v>
      </c>
      <c r="H8033" s="30" t="s">
        <v>2044</v>
      </c>
      <c r="J8033" s="30" t="s">
        <v>2045</v>
      </c>
      <c r="L8033" s="30" t="s">
        <v>215</v>
      </c>
      <c r="M8033" s="30" t="s">
        <v>1311</v>
      </c>
      <c r="N8033" s="30" t="s">
        <v>414</v>
      </c>
      <c r="P8033" s="30" t="s">
        <v>9351</v>
      </c>
      <c r="Q8033" t="s">
        <v>621</v>
      </c>
      <c r="R8033" t="s">
        <v>920</v>
      </c>
      <c r="S8033">
        <v>38</v>
      </c>
      <c r="T8033" s="29" t="str">
        <f t="shared" si="345"/>
        <v>2022.015P.Tombusviridae_rename.zip</v>
      </c>
      <c r="U8033" s="29" t="str">
        <f>HYPERLINK("https://ictv.global/taxonomy/taxondetails?taxnode_id=202305272","ictv.global=202305272")</f>
        <v>ictv.global=202305272</v>
      </c>
    </row>
    <row r="8034" spans="1:21">
      <c r="A8034">
        <v>8033</v>
      </c>
      <c r="B8034" s="30" t="s">
        <v>1226</v>
      </c>
      <c r="D8034" s="30" t="s">
        <v>2024</v>
      </c>
      <c r="F8034" s="30" t="s">
        <v>2032</v>
      </c>
      <c r="H8034" s="30" t="s">
        <v>2044</v>
      </c>
      <c r="J8034" s="30" t="s">
        <v>2045</v>
      </c>
      <c r="L8034" s="30" t="s">
        <v>215</v>
      </c>
      <c r="M8034" s="30" t="s">
        <v>1311</v>
      </c>
      <c r="N8034" s="30" t="s">
        <v>414</v>
      </c>
      <c r="P8034" s="30" t="s">
        <v>9352</v>
      </c>
      <c r="Q8034" t="s">
        <v>621</v>
      </c>
      <c r="R8034" t="s">
        <v>920</v>
      </c>
      <c r="S8034">
        <v>38</v>
      </c>
      <c r="T8034" s="29" t="str">
        <f t="shared" si="345"/>
        <v>2022.015P.Tombusviridae_rename.zip</v>
      </c>
      <c r="U8034" s="29" t="str">
        <f>HYPERLINK("https://ictv.global/taxonomy/taxondetails?taxnode_id=202309879","ictv.global=202309879")</f>
        <v>ictv.global=202309879</v>
      </c>
    </row>
    <row r="8035" spans="1:21">
      <c r="A8035">
        <v>8034</v>
      </c>
      <c r="B8035" s="30" t="s">
        <v>1226</v>
      </c>
      <c r="D8035" s="30" t="s">
        <v>2024</v>
      </c>
      <c r="F8035" s="30" t="s">
        <v>2032</v>
      </c>
      <c r="H8035" s="30" t="s">
        <v>2044</v>
      </c>
      <c r="J8035" s="30" t="s">
        <v>2045</v>
      </c>
      <c r="L8035" s="30" t="s">
        <v>215</v>
      </c>
      <c r="M8035" s="30" t="s">
        <v>1311</v>
      </c>
      <c r="N8035" s="30" t="s">
        <v>414</v>
      </c>
      <c r="P8035" s="30" t="s">
        <v>9353</v>
      </c>
      <c r="Q8035" t="s">
        <v>621</v>
      </c>
      <c r="R8035" t="s">
        <v>920</v>
      </c>
      <c r="S8035">
        <v>39</v>
      </c>
      <c r="T8035" s="29" t="str">
        <f>HYPERLINK("https://ictv.global/ictv/proposals/2023.019P.Solemoviridae_rename_sp.zip","2023.019P.Solemoviridae_rename_sp.zip")</f>
        <v>2023.019P.Solemoviridae_rename_sp.zip</v>
      </c>
      <c r="U8035" s="29" t="str">
        <f>HYPERLINK("https://ictv.global/taxonomy/taxondetails?taxnode_id=202305273","ictv.global=202305273")</f>
        <v>ictv.global=202305273</v>
      </c>
    </row>
    <row r="8036" spans="1:21">
      <c r="A8036">
        <v>8035</v>
      </c>
      <c r="B8036" s="30" t="s">
        <v>1226</v>
      </c>
      <c r="D8036" s="30" t="s">
        <v>2024</v>
      </c>
      <c r="F8036" s="30" t="s">
        <v>2032</v>
      </c>
      <c r="H8036" s="30" t="s">
        <v>2044</v>
      </c>
      <c r="J8036" s="30" t="s">
        <v>2045</v>
      </c>
      <c r="L8036" s="30" t="s">
        <v>215</v>
      </c>
      <c r="M8036" s="30" t="s">
        <v>1312</v>
      </c>
      <c r="N8036" s="30" t="s">
        <v>784</v>
      </c>
      <c r="P8036" s="30" t="s">
        <v>9354</v>
      </c>
      <c r="Q8036" t="s">
        <v>621</v>
      </c>
      <c r="R8036" t="s">
        <v>920</v>
      </c>
      <c r="S8036">
        <v>38</v>
      </c>
      <c r="T8036" s="29" t="str">
        <f t="shared" ref="T8036:T8067" si="346">HYPERLINK("https://ictv.global/ictv/proposals/2022.015P.Tombusviridae_rename.zip","2022.015P.Tombusviridae_rename.zip")</f>
        <v>2022.015P.Tombusviridae_rename.zip</v>
      </c>
      <c r="U8036" s="29" t="str">
        <f>HYPERLINK("https://ictv.global/taxonomy/taxondetails?taxnode_id=202309897","ictv.global=202309897")</f>
        <v>ictv.global=202309897</v>
      </c>
    </row>
    <row r="8037" spans="1:21">
      <c r="A8037">
        <v>8036</v>
      </c>
      <c r="B8037" s="30" t="s">
        <v>1226</v>
      </c>
      <c r="D8037" s="30" t="s">
        <v>2024</v>
      </c>
      <c r="F8037" s="30" t="s">
        <v>2032</v>
      </c>
      <c r="H8037" s="30" t="s">
        <v>2044</v>
      </c>
      <c r="J8037" s="30" t="s">
        <v>2045</v>
      </c>
      <c r="L8037" s="30" t="s">
        <v>215</v>
      </c>
      <c r="M8037" s="30" t="s">
        <v>1312</v>
      </c>
      <c r="N8037" s="30" t="s">
        <v>784</v>
      </c>
      <c r="P8037" s="30" t="s">
        <v>9355</v>
      </c>
      <c r="Q8037" t="s">
        <v>621</v>
      </c>
      <c r="R8037" t="s">
        <v>920</v>
      </c>
      <c r="S8037">
        <v>38</v>
      </c>
      <c r="T8037" s="29" t="str">
        <f t="shared" si="346"/>
        <v>2022.015P.Tombusviridae_rename.zip</v>
      </c>
      <c r="U8037" s="29" t="str">
        <f>HYPERLINK("https://ictv.global/taxonomy/taxondetails?taxnode_id=202305195","ictv.global=202305195")</f>
        <v>ictv.global=202305195</v>
      </c>
    </row>
    <row r="8038" spans="1:21">
      <c r="A8038">
        <v>8037</v>
      </c>
      <c r="B8038" s="30" t="s">
        <v>1226</v>
      </c>
      <c r="D8038" s="30" t="s">
        <v>2024</v>
      </c>
      <c r="F8038" s="30" t="s">
        <v>2032</v>
      </c>
      <c r="H8038" s="30" t="s">
        <v>2044</v>
      </c>
      <c r="J8038" s="30" t="s">
        <v>2045</v>
      </c>
      <c r="L8038" s="30" t="s">
        <v>215</v>
      </c>
      <c r="M8038" s="30" t="s">
        <v>1312</v>
      </c>
      <c r="N8038" s="30" t="s">
        <v>784</v>
      </c>
      <c r="P8038" s="30" t="s">
        <v>9356</v>
      </c>
      <c r="Q8038" t="s">
        <v>621</v>
      </c>
      <c r="R8038" t="s">
        <v>920</v>
      </c>
      <c r="S8038">
        <v>38</v>
      </c>
      <c r="T8038" s="29" t="str">
        <f t="shared" si="346"/>
        <v>2022.015P.Tombusviridae_rename.zip</v>
      </c>
      <c r="U8038" s="29" t="str">
        <f>HYPERLINK("https://ictv.global/taxonomy/taxondetails?taxnode_id=202305201","ictv.global=202305201")</f>
        <v>ictv.global=202305201</v>
      </c>
    </row>
    <row r="8039" spans="1:21">
      <c r="A8039">
        <v>8038</v>
      </c>
      <c r="B8039" s="30" t="s">
        <v>1226</v>
      </c>
      <c r="D8039" s="30" t="s">
        <v>2024</v>
      </c>
      <c r="F8039" s="30" t="s">
        <v>2032</v>
      </c>
      <c r="H8039" s="30" t="s">
        <v>2044</v>
      </c>
      <c r="J8039" s="30" t="s">
        <v>2045</v>
      </c>
      <c r="L8039" s="30" t="s">
        <v>215</v>
      </c>
      <c r="M8039" s="30" t="s">
        <v>1312</v>
      </c>
      <c r="N8039" s="30" t="s">
        <v>784</v>
      </c>
      <c r="P8039" s="30" t="s">
        <v>9357</v>
      </c>
      <c r="Q8039" t="s">
        <v>621</v>
      </c>
      <c r="R8039" t="s">
        <v>920</v>
      </c>
      <c r="S8039">
        <v>38</v>
      </c>
      <c r="T8039" s="29" t="str">
        <f t="shared" si="346"/>
        <v>2022.015P.Tombusviridae_rename.zip</v>
      </c>
      <c r="U8039" s="29" t="str">
        <f>HYPERLINK("https://ictv.global/taxonomy/taxondetails?taxnode_id=202305196","ictv.global=202305196")</f>
        <v>ictv.global=202305196</v>
      </c>
    </row>
    <row r="8040" spans="1:21">
      <c r="A8040">
        <v>8039</v>
      </c>
      <c r="B8040" s="30" t="s">
        <v>1226</v>
      </c>
      <c r="D8040" s="30" t="s">
        <v>2024</v>
      </c>
      <c r="F8040" s="30" t="s">
        <v>2032</v>
      </c>
      <c r="H8040" s="30" t="s">
        <v>2044</v>
      </c>
      <c r="J8040" s="30" t="s">
        <v>2045</v>
      </c>
      <c r="L8040" s="30" t="s">
        <v>215</v>
      </c>
      <c r="M8040" s="30" t="s">
        <v>1312</v>
      </c>
      <c r="N8040" s="30" t="s">
        <v>784</v>
      </c>
      <c r="P8040" s="30" t="s">
        <v>9358</v>
      </c>
      <c r="Q8040" t="s">
        <v>621</v>
      </c>
      <c r="R8040" t="s">
        <v>920</v>
      </c>
      <c r="S8040">
        <v>38</v>
      </c>
      <c r="T8040" s="29" t="str">
        <f t="shared" si="346"/>
        <v>2022.015P.Tombusviridae_rename.zip</v>
      </c>
      <c r="U8040" s="29" t="str">
        <f>HYPERLINK("https://ictv.global/taxonomy/taxondetails?taxnode_id=202305197","ictv.global=202305197")</f>
        <v>ictv.global=202305197</v>
      </c>
    </row>
    <row r="8041" spans="1:21">
      <c r="A8041">
        <v>8040</v>
      </c>
      <c r="B8041" s="30" t="s">
        <v>1226</v>
      </c>
      <c r="D8041" s="30" t="s">
        <v>2024</v>
      </c>
      <c r="F8041" s="30" t="s">
        <v>2032</v>
      </c>
      <c r="H8041" s="30" t="s">
        <v>2044</v>
      </c>
      <c r="J8041" s="30" t="s">
        <v>2045</v>
      </c>
      <c r="L8041" s="30" t="s">
        <v>215</v>
      </c>
      <c r="M8041" s="30" t="s">
        <v>1312</v>
      </c>
      <c r="N8041" s="30" t="s">
        <v>784</v>
      </c>
      <c r="P8041" s="30" t="s">
        <v>9359</v>
      </c>
      <c r="Q8041" t="s">
        <v>621</v>
      </c>
      <c r="R8041" t="s">
        <v>920</v>
      </c>
      <c r="S8041">
        <v>38</v>
      </c>
      <c r="T8041" s="29" t="str">
        <f t="shared" si="346"/>
        <v>2022.015P.Tombusviridae_rename.zip</v>
      </c>
      <c r="U8041" s="29" t="str">
        <f>HYPERLINK("https://ictv.global/taxonomy/taxondetails?taxnode_id=202305198","ictv.global=202305198")</f>
        <v>ictv.global=202305198</v>
      </c>
    </row>
    <row r="8042" spans="1:21">
      <c r="A8042">
        <v>8041</v>
      </c>
      <c r="B8042" s="30" t="s">
        <v>1226</v>
      </c>
      <c r="D8042" s="30" t="s">
        <v>2024</v>
      </c>
      <c r="F8042" s="30" t="s">
        <v>2032</v>
      </c>
      <c r="H8042" s="30" t="s">
        <v>2044</v>
      </c>
      <c r="J8042" s="30" t="s">
        <v>2045</v>
      </c>
      <c r="L8042" s="30" t="s">
        <v>215</v>
      </c>
      <c r="M8042" s="30" t="s">
        <v>1312</v>
      </c>
      <c r="N8042" s="30" t="s">
        <v>784</v>
      </c>
      <c r="P8042" s="30" t="s">
        <v>9360</v>
      </c>
      <c r="Q8042" t="s">
        <v>621</v>
      </c>
      <c r="R8042" t="s">
        <v>920</v>
      </c>
      <c r="S8042">
        <v>38</v>
      </c>
      <c r="T8042" s="29" t="str">
        <f t="shared" si="346"/>
        <v>2022.015P.Tombusviridae_rename.zip</v>
      </c>
      <c r="U8042" s="29" t="str">
        <f>HYPERLINK("https://ictv.global/taxonomy/taxondetails?taxnode_id=202305199","ictv.global=202305199")</f>
        <v>ictv.global=202305199</v>
      </c>
    </row>
    <row r="8043" spans="1:21">
      <c r="A8043">
        <v>8042</v>
      </c>
      <c r="B8043" s="30" t="s">
        <v>1226</v>
      </c>
      <c r="D8043" s="30" t="s">
        <v>2024</v>
      </c>
      <c r="F8043" s="30" t="s">
        <v>2032</v>
      </c>
      <c r="H8043" s="30" t="s">
        <v>2044</v>
      </c>
      <c r="J8043" s="30" t="s">
        <v>2045</v>
      </c>
      <c r="L8043" s="30" t="s">
        <v>215</v>
      </c>
      <c r="M8043" s="30" t="s">
        <v>1312</v>
      </c>
      <c r="N8043" s="30" t="s">
        <v>784</v>
      </c>
      <c r="P8043" s="30" t="s">
        <v>9361</v>
      </c>
      <c r="Q8043" t="s">
        <v>621</v>
      </c>
      <c r="R8043" t="s">
        <v>920</v>
      </c>
      <c r="S8043">
        <v>38</v>
      </c>
      <c r="T8043" s="29" t="str">
        <f t="shared" si="346"/>
        <v>2022.015P.Tombusviridae_rename.zip</v>
      </c>
      <c r="U8043" s="29" t="str">
        <f>HYPERLINK("https://ictv.global/taxonomy/taxondetails?taxnode_id=202305200","ictv.global=202305200")</f>
        <v>ictv.global=202305200</v>
      </c>
    </row>
    <row r="8044" spans="1:21">
      <c r="A8044">
        <v>8043</v>
      </c>
      <c r="B8044" s="30" t="s">
        <v>1226</v>
      </c>
      <c r="D8044" s="30" t="s">
        <v>2024</v>
      </c>
      <c r="F8044" s="30" t="s">
        <v>2032</v>
      </c>
      <c r="H8044" s="30" t="s">
        <v>2044</v>
      </c>
      <c r="J8044" s="30" t="s">
        <v>2045</v>
      </c>
      <c r="L8044" s="30" t="s">
        <v>215</v>
      </c>
      <c r="M8044" s="30" t="s">
        <v>1312</v>
      </c>
      <c r="N8044" s="30" t="s">
        <v>528</v>
      </c>
      <c r="P8044" s="30" t="s">
        <v>9362</v>
      </c>
      <c r="Q8044" t="s">
        <v>621</v>
      </c>
      <c r="R8044" t="s">
        <v>920</v>
      </c>
      <c r="S8044">
        <v>38</v>
      </c>
      <c r="T8044" s="29" t="str">
        <f t="shared" si="346"/>
        <v>2022.015P.Tombusviridae_rename.zip</v>
      </c>
      <c r="U8044" s="29" t="str">
        <f>HYPERLINK("https://ictv.global/taxonomy/taxondetails?taxnode_id=202305205","ictv.global=202305205")</f>
        <v>ictv.global=202305205</v>
      </c>
    </row>
    <row r="8045" spans="1:21">
      <c r="A8045">
        <v>8044</v>
      </c>
      <c r="B8045" s="30" t="s">
        <v>1226</v>
      </c>
      <c r="D8045" s="30" t="s">
        <v>2024</v>
      </c>
      <c r="F8045" s="30" t="s">
        <v>2032</v>
      </c>
      <c r="H8045" s="30" t="s">
        <v>2044</v>
      </c>
      <c r="J8045" s="30" t="s">
        <v>2045</v>
      </c>
      <c r="L8045" s="30" t="s">
        <v>215</v>
      </c>
      <c r="M8045" s="30" t="s">
        <v>1312</v>
      </c>
      <c r="N8045" s="30" t="s">
        <v>528</v>
      </c>
      <c r="P8045" s="30" t="s">
        <v>9363</v>
      </c>
      <c r="Q8045" t="s">
        <v>621</v>
      </c>
      <c r="R8045" t="s">
        <v>920</v>
      </c>
      <c r="S8045">
        <v>38</v>
      </c>
      <c r="T8045" s="29" t="str">
        <f t="shared" si="346"/>
        <v>2022.015P.Tombusviridae_rename.zip</v>
      </c>
      <c r="U8045" s="29" t="str">
        <f>HYPERLINK("https://ictv.global/taxonomy/taxondetails?taxnode_id=202305203","ictv.global=202305203")</f>
        <v>ictv.global=202305203</v>
      </c>
    </row>
    <row r="8046" spans="1:21">
      <c r="A8046">
        <v>8045</v>
      </c>
      <c r="B8046" s="30" t="s">
        <v>1226</v>
      </c>
      <c r="D8046" s="30" t="s">
        <v>2024</v>
      </c>
      <c r="F8046" s="30" t="s">
        <v>2032</v>
      </c>
      <c r="H8046" s="30" t="s">
        <v>2044</v>
      </c>
      <c r="J8046" s="30" t="s">
        <v>2045</v>
      </c>
      <c r="L8046" s="30" t="s">
        <v>215</v>
      </c>
      <c r="M8046" s="30" t="s">
        <v>1312</v>
      </c>
      <c r="N8046" s="30" t="s">
        <v>528</v>
      </c>
      <c r="P8046" s="30" t="s">
        <v>9364</v>
      </c>
      <c r="Q8046" t="s">
        <v>621</v>
      </c>
      <c r="R8046" t="s">
        <v>920</v>
      </c>
      <c r="S8046">
        <v>38</v>
      </c>
      <c r="T8046" s="29" t="str">
        <f t="shared" si="346"/>
        <v>2022.015P.Tombusviridae_rename.zip</v>
      </c>
      <c r="U8046" s="29" t="str">
        <f>HYPERLINK("https://ictv.global/taxonomy/taxondetails?taxnode_id=202306636","ictv.global=202306636")</f>
        <v>ictv.global=202306636</v>
      </c>
    </row>
    <row r="8047" spans="1:21">
      <c r="A8047">
        <v>8046</v>
      </c>
      <c r="B8047" s="30" t="s">
        <v>1226</v>
      </c>
      <c r="D8047" s="30" t="s">
        <v>2024</v>
      </c>
      <c r="F8047" s="30" t="s">
        <v>2032</v>
      </c>
      <c r="H8047" s="30" t="s">
        <v>2044</v>
      </c>
      <c r="J8047" s="30" t="s">
        <v>2045</v>
      </c>
      <c r="L8047" s="30" t="s">
        <v>215</v>
      </c>
      <c r="M8047" s="30" t="s">
        <v>1312</v>
      </c>
      <c r="N8047" s="30" t="s">
        <v>528</v>
      </c>
      <c r="P8047" s="30" t="s">
        <v>9365</v>
      </c>
      <c r="Q8047" t="s">
        <v>621</v>
      </c>
      <c r="R8047" t="s">
        <v>920</v>
      </c>
      <c r="S8047">
        <v>38</v>
      </c>
      <c r="T8047" s="29" t="str">
        <f t="shared" si="346"/>
        <v>2022.015P.Tombusviridae_rename.zip</v>
      </c>
      <c r="U8047" s="29" t="str">
        <f>HYPERLINK("https://ictv.global/taxonomy/taxondetails?taxnode_id=202305204","ictv.global=202305204")</f>
        <v>ictv.global=202305204</v>
      </c>
    </row>
    <row r="8048" spans="1:21">
      <c r="A8048">
        <v>8047</v>
      </c>
      <c r="B8048" s="30" t="s">
        <v>1226</v>
      </c>
      <c r="D8048" s="30" t="s">
        <v>2024</v>
      </c>
      <c r="F8048" s="30" t="s">
        <v>2032</v>
      </c>
      <c r="H8048" s="30" t="s">
        <v>2044</v>
      </c>
      <c r="J8048" s="30" t="s">
        <v>2045</v>
      </c>
      <c r="L8048" s="30" t="s">
        <v>215</v>
      </c>
      <c r="M8048" s="30" t="s">
        <v>1312</v>
      </c>
      <c r="N8048" s="30" t="s">
        <v>216</v>
      </c>
      <c r="P8048" s="30" t="s">
        <v>9366</v>
      </c>
      <c r="Q8048" t="s">
        <v>621</v>
      </c>
      <c r="R8048" t="s">
        <v>920</v>
      </c>
      <c r="S8048">
        <v>38</v>
      </c>
      <c r="T8048" s="29" t="str">
        <f t="shared" si="346"/>
        <v>2022.015P.Tombusviridae_rename.zip</v>
      </c>
      <c r="U8048" s="29" t="str">
        <f>HYPERLINK("https://ictv.global/taxonomy/taxondetails?taxnode_id=202305210","ictv.global=202305210")</f>
        <v>ictv.global=202305210</v>
      </c>
    </row>
    <row r="8049" spans="1:21">
      <c r="A8049">
        <v>8048</v>
      </c>
      <c r="B8049" s="30" t="s">
        <v>1226</v>
      </c>
      <c r="D8049" s="30" t="s">
        <v>2024</v>
      </c>
      <c r="F8049" s="30" t="s">
        <v>2032</v>
      </c>
      <c r="H8049" s="30" t="s">
        <v>2044</v>
      </c>
      <c r="J8049" s="30" t="s">
        <v>2045</v>
      </c>
      <c r="L8049" s="30" t="s">
        <v>215</v>
      </c>
      <c r="M8049" s="30" t="s">
        <v>1312</v>
      </c>
      <c r="N8049" s="30" t="s">
        <v>216</v>
      </c>
      <c r="P8049" s="30" t="s">
        <v>9367</v>
      </c>
      <c r="Q8049" t="s">
        <v>621</v>
      </c>
      <c r="R8049" t="s">
        <v>920</v>
      </c>
      <c r="S8049">
        <v>38</v>
      </c>
      <c r="T8049" s="29" t="str">
        <f t="shared" si="346"/>
        <v>2022.015P.Tombusviridae_rename.zip</v>
      </c>
      <c r="U8049" s="29" t="str">
        <f>HYPERLINK("https://ictv.global/taxonomy/taxondetails?taxnode_id=202305207","ictv.global=202305207")</f>
        <v>ictv.global=202305207</v>
      </c>
    </row>
    <row r="8050" spans="1:21">
      <c r="A8050">
        <v>8049</v>
      </c>
      <c r="B8050" s="30" t="s">
        <v>1226</v>
      </c>
      <c r="D8050" s="30" t="s">
        <v>2024</v>
      </c>
      <c r="F8050" s="30" t="s">
        <v>2032</v>
      </c>
      <c r="H8050" s="30" t="s">
        <v>2044</v>
      </c>
      <c r="J8050" s="30" t="s">
        <v>2045</v>
      </c>
      <c r="L8050" s="30" t="s">
        <v>215</v>
      </c>
      <c r="M8050" s="30" t="s">
        <v>1312</v>
      </c>
      <c r="N8050" s="30" t="s">
        <v>216</v>
      </c>
      <c r="P8050" s="30" t="s">
        <v>9368</v>
      </c>
      <c r="Q8050" t="s">
        <v>621</v>
      </c>
      <c r="R8050" t="s">
        <v>920</v>
      </c>
      <c r="S8050">
        <v>38</v>
      </c>
      <c r="T8050" s="29" t="str">
        <f t="shared" si="346"/>
        <v>2022.015P.Tombusviridae_rename.zip</v>
      </c>
      <c r="U8050" s="29" t="str">
        <f>HYPERLINK("https://ictv.global/taxonomy/taxondetails?taxnode_id=202305211","ictv.global=202305211")</f>
        <v>ictv.global=202305211</v>
      </c>
    </row>
    <row r="8051" spans="1:21">
      <c r="A8051">
        <v>8050</v>
      </c>
      <c r="B8051" s="30" t="s">
        <v>1226</v>
      </c>
      <c r="D8051" s="30" t="s">
        <v>2024</v>
      </c>
      <c r="F8051" s="30" t="s">
        <v>2032</v>
      </c>
      <c r="H8051" s="30" t="s">
        <v>2044</v>
      </c>
      <c r="J8051" s="30" t="s">
        <v>2045</v>
      </c>
      <c r="L8051" s="30" t="s">
        <v>215</v>
      </c>
      <c r="M8051" s="30" t="s">
        <v>1312</v>
      </c>
      <c r="N8051" s="30" t="s">
        <v>216</v>
      </c>
      <c r="P8051" s="30" t="s">
        <v>9369</v>
      </c>
      <c r="Q8051" t="s">
        <v>621</v>
      </c>
      <c r="R8051" t="s">
        <v>920</v>
      </c>
      <c r="S8051">
        <v>38</v>
      </c>
      <c r="T8051" s="29" t="str">
        <f t="shared" si="346"/>
        <v>2022.015P.Tombusviridae_rename.zip</v>
      </c>
      <c r="U8051" s="29" t="str">
        <f>HYPERLINK("https://ictv.global/taxonomy/taxondetails?taxnode_id=202309900","ictv.global=202309900")</f>
        <v>ictv.global=202309900</v>
      </c>
    </row>
    <row r="8052" spans="1:21">
      <c r="A8052">
        <v>8051</v>
      </c>
      <c r="B8052" s="30" t="s">
        <v>1226</v>
      </c>
      <c r="D8052" s="30" t="s">
        <v>2024</v>
      </c>
      <c r="F8052" s="30" t="s">
        <v>2032</v>
      </c>
      <c r="H8052" s="30" t="s">
        <v>2044</v>
      </c>
      <c r="J8052" s="30" t="s">
        <v>2045</v>
      </c>
      <c r="L8052" s="30" t="s">
        <v>215</v>
      </c>
      <c r="M8052" s="30" t="s">
        <v>1312</v>
      </c>
      <c r="N8052" s="30" t="s">
        <v>216</v>
      </c>
      <c r="P8052" s="30" t="s">
        <v>9370</v>
      </c>
      <c r="Q8052" t="s">
        <v>621</v>
      </c>
      <c r="R8052" t="s">
        <v>920</v>
      </c>
      <c r="S8052">
        <v>38</v>
      </c>
      <c r="T8052" s="29" t="str">
        <f t="shared" si="346"/>
        <v>2022.015P.Tombusviridae_rename.zip</v>
      </c>
      <c r="U8052" s="29" t="str">
        <f>HYPERLINK("https://ictv.global/taxonomy/taxondetails?taxnode_id=202305208","ictv.global=202305208")</f>
        <v>ictv.global=202305208</v>
      </c>
    </row>
    <row r="8053" spans="1:21">
      <c r="A8053">
        <v>8052</v>
      </c>
      <c r="B8053" s="30" t="s">
        <v>1226</v>
      </c>
      <c r="D8053" s="30" t="s">
        <v>2024</v>
      </c>
      <c r="F8053" s="30" t="s">
        <v>2032</v>
      </c>
      <c r="H8053" s="30" t="s">
        <v>2044</v>
      </c>
      <c r="J8053" s="30" t="s">
        <v>2045</v>
      </c>
      <c r="L8053" s="30" t="s">
        <v>215</v>
      </c>
      <c r="M8053" s="30" t="s">
        <v>1312</v>
      </c>
      <c r="N8053" s="30" t="s">
        <v>216</v>
      </c>
      <c r="P8053" s="30" t="s">
        <v>9371</v>
      </c>
      <c r="Q8053" t="s">
        <v>621</v>
      </c>
      <c r="R8053" t="s">
        <v>920</v>
      </c>
      <c r="S8053">
        <v>38</v>
      </c>
      <c r="T8053" s="29" t="str">
        <f t="shared" si="346"/>
        <v>2022.015P.Tombusviridae_rename.zip</v>
      </c>
      <c r="U8053" s="29" t="str">
        <f>HYPERLINK("https://ictv.global/taxonomy/taxondetails?taxnode_id=202305209","ictv.global=202305209")</f>
        <v>ictv.global=202305209</v>
      </c>
    </row>
    <row r="8054" spans="1:21">
      <c r="A8054">
        <v>8053</v>
      </c>
      <c r="B8054" s="30" t="s">
        <v>1226</v>
      </c>
      <c r="D8054" s="30" t="s">
        <v>2024</v>
      </c>
      <c r="F8054" s="30" t="s">
        <v>2032</v>
      </c>
      <c r="H8054" s="30" t="s">
        <v>2044</v>
      </c>
      <c r="J8054" s="30" t="s">
        <v>2045</v>
      </c>
      <c r="L8054" s="30" t="s">
        <v>215</v>
      </c>
      <c r="M8054" s="30" t="s">
        <v>1312</v>
      </c>
      <c r="N8054" s="30" t="s">
        <v>217</v>
      </c>
      <c r="P8054" s="30" t="s">
        <v>9372</v>
      </c>
      <c r="Q8054" t="s">
        <v>1208</v>
      </c>
      <c r="R8054" t="s">
        <v>920</v>
      </c>
      <c r="S8054">
        <v>38</v>
      </c>
      <c r="T8054" s="29" t="str">
        <f t="shared" si="346"/>
        <v>2022.015P.Tombusviridae_rename.zip</v>
      </c>
      <c r="U8054" s="29" t="str">
        <f>HYPERLINK("https://ictv.global/taxonomy/taxondetails?taxnode_id=202305213","ictv.global=202305213")</f>
        <v>ictv.global=202305213</v>
      </c>
    </row>
    <row r="8055" spans="1:21">
      <c r="A8055">
        <v>8054</v>
      </c>
      <c r="B8055" s="30" t="s">
        <v>1226</v>
      </c>
      <c r="D8055" s="30" t="s">
        <v>2024</v>
      </c>
      <c r="F8055" s="30" t="s">
        <v>2032</v>
      </c>
      <c r="H8055" s="30" t="s">
        <v>2044</v>
      </c>
      <c r="J8055" s="30" t="s">
        <v>2045</v>
      </c>
      <c r="L8055" s="30" t="s">
        <v>215</v>
      </c>
      <c r="M8055" s="30" t="s">
        <v>1312</v>
      </c>
      <c r="N8055" s="30" t="s">
        <v>785</v>
      </c>
      <c r="P8055" s="30" t="s">
        <v>9373</v>
      </c>
      <c r="Q8055" t="s">
        <v>621</v>
      </c>
      <c r="R8055" t="s">
        <v>920</v>
      </c>
      <c r="S8055">
        <v>38</v>
      </c>
      <c r="T8055" s="29" t="str">
        <f t="shared" si="346"/>
        <v>2022.015P.Tombusviridae_rename.zip</v>
      </c>
      <c r="U8055" s="29" t="str">
        <f>HYPERLINK("https://ictv.global/taxonomy/taxondetails?taxnode_id=202305218","ictv.global=202305218")</f>
        <v>ictv.global=202305218</v>
      </c>
    </row>
    <row r="8056" spans="1:21">
      <c r="A8056">
        <v>8055</v>
      </c>
      <c r="B8056" s="30" t="s">
        <v>1226</v>
      </c>
      <c r="D8056" s="30" t="s">
        <v>2024</v>
      </c>
      <c r="F8056" s="30" t="s">
        <v>2032</v>
      </c>
      <c r="H8056" s="30" t="s">
        <v>2044</v>
      </c>
      <c r="J8056" s="30" t="s">
        <v>2045</v>
      </c>
      <c r="L8056" s="30" t="s">
        <v>215</v>
      </c>
      <c r="M8056" s="30" t="s">
        <v>1312</v>
      </c>
      <c r="N8056" s="30" t="s">
        <v>785</v>
      </c>
      <c r="P8056" s="30" t="s">
        <v>9374</v>
      </c>
      <c r="Q8056" t="s">
        <v>621</v>
      </c>
      <c r="R8056" t="s">
        <v>920</v>
      </c>
      <c r="S8056">
        <v>38</v>
      </c>
      <c r="T8056" s="29" t="str">
        <f t="shared" si="346"/>
        <v>2022.015P.Tombusviridae_rename.zip</v>
      </c>
      <c r="U8056" s="29" t="str">
        <f>HYPERLINK("https://ictv.global/taxonomy/taxondetails?taxnode_id=202305215","ictv.global=202305215")</f>
        <v>ictv.global=202305215</v>
      </c>
    </row>
    <row r="8057" spans="1:21">
      <c r="A8057">
        <v>8056</v>
      </c>
      <c r="B8057" s="30" t="s">
        <v>1226</v>
      </c>
      <c r="D8057" s="30" t="s">
        <v>2024</v>
      </c>
      <c r="F8057" s="30" t="s">
        <v>2032</v>
      </c>
      <c r="H8057" s="30" t="s">
        <v>2044</v>
      </c>
      <c r="J8057" s="30" t="s">
        <v>2045</v>
      </c>
      <c r="L8057" s="30" t="s">
        <v>215</v>
      </c>
      <c r="M8057" s="30" t="s">
        <v>1312</v>
      </c>
      <c r="N8057" s="30" t="s">
        <v>785</v>
      </c>
      <c r="P8057" s="30" t="s">
        <v>9375</v>
      </c>
      <c r="Q8057" t="s">
        <v>621</v>
      </c>
      <c r="R8057" t="s">
        <v>920</v>
      </c>
      <c r="S8057">
        <v>38</v>
      </c>
      <c r="T8057" s="29" t="str">
        <f t="shared" si="346"/>
        <v>2022.015P.Tombusviridae_rename.zip</v>
      </c>
      <c r="U8057" s="29" t="str">
        <f>HYPERLINK("https://ictv.global/taxonomy/taxondetails?taxnode_id=202305216","ictv.global=202305216")</f>
        <v>ictv.global=202305216</v>
      </c>
    </row>
    <row r="8058" spans="1:21">
      <c r="A8058">
        <v>8057</v>
      </c>
      <c r="B8058" s="30" t="s">
        <v>1226</v>
      </c>
      <c r="D8058" s="30" t="s">
        <v>2024</v>
      </c>
      <c r="F8058" s="30" t="s">
        <v>2032</v>
      </c>
      <c r="H8058" s="30" t="s">
        <v>2044</v>
      </c>
      <c r="J8058" s="30" t="s">
        <v>2045</v>
      </c>
      <c r="L8058" s="30" t="s">
        <v>215</v>
      </c>
      <c r="M8058" s="30" t="s">
        <v>1312</v>
      </c>
      <c r="N8058" s="30" t="s">
        <v>785</v>
      </c>
      <c r="P8058" s="30" t="s">
        <v>9376</v>
      </c>
      <c r="Q8058" t="s">
        <v>621</v>
      </c>
      <c r="R8058" t="s">
        <v>920</v>
      </c>
      <c r="S8058">
        <v>38</v>
      </c>
      <c r="T8058" s="29" t="str">
        <f t="shared" si="346"/>
        <v>2022.015P.Tombusviridae_rename.zip</v>
      </c>
      <c r="U8058" s="29" t="str">
        <f>HYPERLINK("https://ictv.global/taxonomy/taxondetails?taxnode_id=202305217","ictv.global=202305217")</f>
        <v>ictv.global=202305217</v>
      </c>
    </row>
    <row r="8059" spans="1:21">
      <c r="A8059">
        <v>8058</v>
      </c>
      <c r="B8059" s="30" t="s">
        <v>1226</v>
      </c>
      <c r="D8059" s="30" t="s">
        <v>2024</v>
      </c>
      <c r="F8059" s="30" t="s">
        <v>2032</v>
      </c>
      <c r="H8059" s="30" t="s">
        <v>2044</v>
      </c>
      <c r="J8059" s="30" t="s">
        <v>2045</v>
      </c>
      <c r="L8059" s="30" t="s">
        <v>215</v>
      </c>
      <c r="M8059" s="30" t="s">
        <v>1312</v>
      </c>
      <c r="N8059" s="30" t="s">
        <v>529</v>
      </c>
      <c r="P8059" s="30" t="s">
        <v>9377</v>
      </c>
      <c r="Q8059" t="s">
        <v>621</v>
      </c>
      <c r="R8059" t="s">
        <v>920</v>
      </c>
      <c r="S8059">
        <v>38</v>
      </c>
      <c r="T8059" s="29" t="str">
        <f t="shared" si="346"/>
        <v>2022.015P.Tombusviridae_rename.zip</v>
      </c>
      <c r="U8059" s="29" t="str">
        <f>HYPERLINK("https://ictv.global/taxonomy/taxondetails?taxnode_id=202305220","ictv.global=202305220")</f>
        <v>ictv.global=202305220</v>
      </c>
    </row>
    <row r="8060" spans="1:21">
      <c r="A8060">
        <v>8059</v>
      </c>
      <c r="B8060" s="30" t="s">
        <v>1226</v>
      </c>
      <c r="D8060" s="30" t="s">
        <v>2024</v>
      </c>
      <c r="F8060" s="30" t="s">
        <v>2032</v>
      </c>
      <c r="H8060" s="30" t="s">
        <v>2044</v>
      </c>
      <c r="J8060" s="30" t="s">
        <v>2045</v>
      </c>
      <c r="L8060" s="30" t="s">
        <v>215</v>
      </c>
      <c r="M8060" s="30" t="s">
        <v>1312</v>
      </c>
      <c r="N8060" s="30" t="s">
        <v>529</v>
      </c>
      <c r="P8060" s="30" t="s">
        <v>9378</v>
      </c>
      <c r="Q8060" t="s">
        <v>621</v>
      </c>
      <c r="R8060" t="s">
        <v>920</v>
      </c>
      <c r="S8060">
        <v>38</v>
      </c>
      <c r="T8060" s="29" t="str">
        <f t="shared" si="346"/>
        <v>2022.015P.Tombusviridae_rename.zip</v>
      </c>
      <c r="U8060" s="29" t="str">
        <f>HYPERLINK("https://ictv.global/taxonomy/taxondetails?taxnode_id=202305222","ictv.global=202305222")</f>
        <v>ictv.global=202305222</v>
      </c>
    </row>
    <row r="8061" spans="1:21">
      <c r="A8061">
        <v>8060</v>
      </c>
      <c r="B8061" s="30" t="s">
        <v>1226</v>
      </c>
      <c r="D8061" s="30" t="s">
        <v>2024</v>
      </c>
      <c r="F8061" s="30" t="s">
        <v>2032</v>
      </c>
      <c r="H8061" s="30" t="s">
        <v>2044</v>
      </c>
      <c r="J8061" s="30" t="s">
        <v>2045</v>
      </c>
      <c r="L8061" s="30" t="s">
        <v>215</v>
      </c>
      <c r="M8061" s="30" t="s">
        <v>1312</v>
      </c>
      <c r="N8061" s="30" t="s">
        <v>529</v>
      </c>
      <c r="P8061" s="30" t="s">
        <v>9379</v>
      </c>
      <c r="Q8061" t="s">
        <v>621</v>
      </c>
      <c r="R8061" t="s">
        <v>920</v>
      </c>
      <c r="S8061">
        <v>38</v>
      </c>
      <c r="T8061" s="29" t="str">
        <f t="shared" si="346"/>
        <v>2022.015P.Tombusviridae_rename.zip</v>
      </c>
      <c r="U8061" s="29" t="str">
        <f>HYPERLINK("https://ictv.global/taxonomy/taxondetails?taxnode_id=202305221","ictv.global=202305221")</f>
        <v>ictv.global=202305221</v>
      </c>
    </row>
    <row r="8062" spans="1:21">
      <c r="A8062">
        <v>8061</v>
      </c>
      <c r="B8062" s="30" t="s">
        <v>1226</v>
      </c>
      <c r="D8062" s="30" t="s">
        <v>2024</v>
      </c>
      <c r="F8062" s="30" t="s">
        <v>2032</v>
      </c>
      <c r="H8062" s="30" t="s">
        <v>2044</v>
      </c>
      <c r="J8062" s="30" t="s">
        <v>2045</v>
      </c>
      <c r="L8062" s="30" t="s">
        <v>215</v>
      </c>
      <c r="M8062" s="30" t="s">
        <v>1312</v>
      </c>
      <c r="N8062" s="30" t="s">
        <v>530</v>
      </c>
      <c r="P8062" s="30" t="s">
        <v>9380</v>
      </c>
      <c r="Q8062" t="s">
        <v>621</v>
      </c>
      <c r="R8062" t="s">
        <v>920</v>
      </c>
      <c r="S8062">
        <v>38</v>
      </c>
      <c r="T8062" s="29" t="str">
        <f t="shared" si="346"/>
        <v>2022.015P.Tombusviridae_rename.zip</v>
      </c>
      <c r="U8062" s="29" t="str">
        <f>HYPERLINK("https://ictv.global/taxonomy/taxondetails?taxnode_id=202305228","ictv.global=202305228")</f>
        <v>ictv.global=202305228</v>
      </c>
    </row>
    <row r="8063" spans="1:21">
      <c r="A8063">
        <v>8062</v>
      </c>
      <c r="B8063" s="30" t="s">
        <v>1226</v>
      </c>
      <c r="D8063" s="30" t="s">
        <v>2024</v>
      </c>
      <c r="F8063" s="30" t="s">
        <v>2032</v>
      </c>
      <c r="H8063" s="30" t="s">
        <v>2044</v>
      </c>
      <c r="J8063" s="30" t="s">
        <v>2045</v>
      </c>
      <c r="L8063" s="30" t="s">
        <v>215</v>
      </c>
      <c r="M8063" s="30" t="s">
        <v>1312</v>
      </c>
      <c r="N8063" s="30" t="s">
        <v>786</v>
      </c>
      <c r="P8063" s="30" t="s">
        <v>9381</v>
      </c>
      <c r="Q8063" t="s">
        <v>621</v>
      </c>
      <c r="R8063" t="s">
        <v>920</v>
      </c>
      <c r="S8063">
        <v>38</v>
      </c>
      <c r="T8063" s="29" t="str">
        <f t="shared" si="346"/>
        <v>2022.015P.Tombusviridae_rename.zip</v>
      </c>
      <c r="U8063" s="29" t="str">
        <f>HYPERLINK("https://ictv.global/taxonomy/taxondetails?taxnode_id=202305233","ictv.global=202305233")</f>
        <v>ictv.global=202305233</v>
      </c>
    </row>
    <row r="8064" spans="1:21">
      <c r="A8064">
        <v>8063</v>
      </c>
      <c r="B8064" s="30" t="s">
        <v>1226</v>
      </c>
      <c r="D8064" s="30" t="s">
        <v>2024</v>
      </c>
      <c r="F8064" s="30" t="s">
        <v>2032</v>
      </c>
      <c r="H8064" s="30" t="s">
        <v>2044</v>
      </c>
      <c r="J8064" s="30" t="s">
        <v>2045</v>
      </c>
      <c r="L8064" s="30" t="s">
        <v>215</v>
      </c>
      <c r="M8064" s="30" t="s">
        <v>1312</v>
      </c>
      <c r="N8064" s="30" t="s">
        <v>786</v>
      </c>
      <c r="P8064" s="30" t="s">
        <v>9382</v>
      </c>
      <c r="Q8064" t="s">
        <v>621</v>
      </c>
      <c r="R8064" t="s">
        <v>920</v>
      </c>
      <c r="S8064">
        <v>38</v>
      </c>
      <c r="T8064" s="29" t="str">
        <f t="shared" si="346"/>
        <v>2022.015P.Tombusviridae_rename.zip</v>
      </c>
      <c r="U8064" s="29" t="str">
        <f>HYPERLINK("https://ictv.global/taxonomy/taxondetails?taxnode_id=202305231","ictv.global=202305231")</f>
        <v>ictv.global=202305231</v>
      </c>
    </row>
    <row r="8065" spans="1:21">
      <c r="A8065">
        <v>8064</v>
      </c>
      <c r="B8065" s="30" t="s">
        <v>1226</v>
      </c>
      <c r="D8065" s="30" t="s">
        <v>2024</v>
      </c>
      <c r="F8065" s="30" t="s">
        <v>2032</v>
      </c>
      <c r="H8065" s="30" t="s">
        <v>2044</v>
      </c>
      <c r="J8065" s="30" t="s">
        <v>2045</v>
      </c>
      <c r="L8065" s="30" t="s">
        <v>215</v>
      </c>
      <c r="M8065" s="30" t="s">
        <v>1312</v>
      </c>
      <c r="N8065" s="30" t="s">
        <v>786</v>
      </c>
      <c r="P8065" s="30" t="s">
        <v>9383</v>
      </c>
      <c r="Q8065" t="s">
        <v>621</v>
      </c>
      <c r="R8065" t="s">
        <v>920</v>
      </c>
      <c r="S8065">
        <v>38</v>
      </c>
      <c r="T8065" s="29" t="str">
        <f t="shared" si="346"/>
        <v>2022.015P.Tombusviridae_rename.zip</v>
      </c>
      <c r="U8065" s="29" t="str">
        <f>HYPERLINK("https://ictv.global/taxonomy/taxondetails?taxnode_id=202305232","ictv.global=202305232")</f>
        <v>ictv.global=202305232</v>
      </c>
    </row>
    <row r="8066" spans="1:21">
      <c r="A8066">
        <v>8065</v>
      </c>
      <c r="B8066" s="30" t="s">
        <v>1226</v>
      </c>
      <c r="D8066" s="30" t="s">
        <v>2024</v>
      </c>
      <c r="F8066" s="30" t="s">
        <v>2032</v>
      </c>
      <c r="H8066" s="30" t="s">
        <v>2044</v>
      </c>
      <c r="J8066" s="30" t="s">
        <v>2045</v>
      </c>
      <c r="L8066" s="30" t="s">
        <v>215</v>
      </c>
      <c r="M8066" s="30" t="s">
        <v>1312</v>
      </c>
      <c r="N8066" s="30" t="s">
        <v>786</v>
      </c>
      <c r="P8066" s="30" t="s">
        <v>9384</v>
      </c>
      <c r="Q8066" t="s">
        <v>621</v>
      </c>
      <c r="R8066" t="s">
        <v>920</v>
      </c>
      <c r="S8066">
        <v>38</v>
      </c>
      <c r="T8066" s="29" t="str">
        <f t="shared" si="346"/>
        <v>2022.015P.Tombusviridae_rename.zip</v>
      </c>
      <c r="U8066" s="29" t="str">
        <f>HYPERLINK("https://ictv.global/taxonomy/taxondetails?taxnode_id=202305230","ictv.global=202305230")</f>
        <v>ictv.global=202305230</v>
      </c>
    </row>
    <row r="8067" spans="1:21">
      <c r="A8067">
        <v>8066</v>
      </c>
      <c r="B8067" s="30" t="s">
        <v>1226</v>
      </c>
      <c r="D8067" s="30" t="s">
        <v>2024</v>
      </c>
      <c r="F8067" s="30" t="s">
        <v>2032</v>
      </c>
      <c r="H8067" s="30" t="s">
        <v>2044</v>
      </c>
      <c r="J8067" s="30" t="s">
        <v>2045</v>
      </c>
      <c r="L8067" s="30" t="s">
        <v>215</v>
      </c>
      <c r="M8067" s="30" t="s">
        <v>1312</v>
      </c>
      <c r="N8067" s="30" t="s">
        <v>531</v>
      </c>
      <c r="P8067" s="30" t="s">
        <v>9385</v>
      </c>
      <c r="Q8067" t="s">
        <v>621</v>
      </c>
      <c r="R8067" t="s">
        <v>920</v>
      </c>
      <c r="S8067">
        <v>38</v>
      </c>
      <c r="T8067" s="29" t="str">
        <f t="shared" si="346"/>
        <v>2022.015P.Tombusviridae_rename.zip</v>
      </c>
      <c r="U8067" s="29" t="str">
        <f>HYPERLINK("https://ictv.global/taxonomy/taxondetails?taxnode_id=202305235","ictv.global=202305235")</f>
        <v>ictv.global=202305235</v>
      </c>
    </row>
    <row r="8068" spans="1:21">
      <c r="A8068">
        <v>8067</v>
      </c>
      <c r="B8068" s="30" t="s">
        <v>1226</v>
      </c>
      <c r="D8068" s="30" t="s">
        <v>2024</v>
      </c>
      <c r="F8068" s="30" t="s">
        <v>2032</v>
      </c>
      <c r="H8068" s="30" t="s">
        <v>2044</v>
      </c>
      <c r="J8068" s="30" t="s">
        <v>2045</v>
      </c>
      <c r="L8068" s="30" t="s">
        <v>215</v>
      </c>
      <c r="M8068" s="30" t="s">
        <v>1312</v>
      </c>
      <c r="N8068" s="30" t="s">
        <v>333</v>
      </c>
      <c r="P8068" s="30" t="s">
        <v>9386</v>
      </c>
      <c r="Q8068" t="s">
        <v>621</v>
      </c>
      <c r="R8068" t="s">
        <v>920</v>
      </c>
      <c r="S8068">
        <v>38</v>
      </c>
      <c r="T8068" s="29" t="str">
        <f t="shared" ref="T8068:T8096" si="347">HYPERLINK("https://ictv.global/ictv/proposals/2022.015P.Tombusviridae_rename.zip","2022.015P.Tombusviridae_rename.zip")</f>
        <v>2022.015P.Tombusviridae_rename.zip</v>
      </c>
      <c r="U8068" s="29" t="str">
        <f>HYPERLINK("https://ictv.global/taxonomy/taxondetails?taxnode_id=202305237","ictv.global=202305237")</f>
        <v>ictv.global=202305237</v>
      </c>
    </row>
    <row r="8069" spans="1:21">
      <c r="A8069">
        <v>8068</v>
      </c>
      <c r="B8069" s="30" t="s">
        <v>1226</v>
      </c>
      <c r="D8069" s="30" t="s">
        <v>2024</v>
      </c>
      <c r="F8069" s="30" t="s">
        <v>2032</v>
      </c>
      <c r="H8069" s="30" t="s">
        <v>2044</v>
      </c>
      <c r="J8069" s="30" t="s">
        <v>2045</v>
      </c>
      <c r="L8069" s="30" t="s">
        <v>215</v>
      </c>
      <c r="M8069" s="30" t="s">
        <v>1312</v>
      </c>
      <c r="N8069" s="30" t="s">
        <v>450</v>
      </c>
      <c r="P8069" s="30" t="s">
        <v>9387</v>
      </c>
      <c r="Q8069" t="s">
        <v>621</v>
      </c>
      <c r="R8069" t="s">
        <v>920</v>
      </c>
      <c r="S8069">
        <v>38</v>
      </c>
      <c r="T8069" s="29" t="str">
        <f t="shared" si="347"/>
        <v>2022.015P.Tombusviridae_rename.zip</v>
      </c>
      <c r="U8069" s="29" t="str">
        <f>HYPERLINK("https://ictv.global/taxonomy/taxondetails?taxnode_id=202305239","ictv.global=202305239")</f>
        <v>ictv.global=202305239</v>
      </c>
    </row>
    <row r="8070" spans="1:21">
      <c r="A8070">
        <v>8069</v>
      </c>
      <c r="B8070" s="30" t="s">
        <v>1226</v>
      </c>
      <c r="D8070" s="30" t="s">
        <v>2024</v>
      </c>
      <c r="F8070" s="30" t="s">
        <v>2032</v>
      </c>
      <c r="H8070" s="30" t="s">
        <v>2044</v>
      </c>
      <c r="J8070" s="30" t="s">
        <v>2045</v>
      </c>
      <c r="L8070" s="30" t="s">
        <v>215</v>
      </c>
      <c r="M8070" s="30" t="s">
        <v>1312</v>
      </c>
      <c r="N8070" s="30" t="s">
        <v>450</v>
      </c>
      <c r="P8070" s="30" t="s">
        <v>9388</v>
      </c>
      <c r="Q8070" t="s">
        <v>621</v>
      </c>
      <c r="R8070" t="s">
        <v>920</v>
      </c>
      <c r="S8070">
        <v>38</v>
      </c>
      <c r="T8070" s="29" t="str">
        <f t="shared" si="347"/>
        <v>2022.015P.Tombusviridae_rename.zip</v>
      </c>
      <c r="U8070" s="29" t="str">
        <f>HYPERLINK("https://ictv.global/taxonomy/taxondetails?taxnode_id=202305240","ictv.global=202305240")</f>
        <v>ictv.global=202305240</v>
      </c>
    </row>
    <row r="8071" spans="1:21">
      <c r="A8071">
        <v>8070</v>
      </c>
      <c r="B8071" s="30" t="s">
        <v>1226</v>
      </c>
      <c r="D8071" s="30" t="s">
        <v>2024</v>
      </c>
      <c r="F8071" s="30" t="s">
        <v>2032</v>
      </c>
      <c r="H8071" s="30" t="s">
        <v>2044</v>
      </c>
      <c r="J8071" s="30" t="s">
        <v>2045</v>
      </c>
      <c r="L8071" s="30" t="s">
        <v>215</v>
      </c>
      <c r="M8071" s="30" t="s">
        <v>1312</v>
      </c>
      <c r="N8071" s="30" t="s">
        <v>450</v>
      </c>
      <c r="P8071" s="30" t="s">
        <v>9389</v>
      </c>
      <c r="Q8071" t="s">
        <v>621</v>
      </c>
      <c r="R8071" t="s">
        <v>920</v>
      </c>
      <c r="S8071">
        <v>38</v>
      </c>
      <c r="T8071" s="29" t="str">
        <f t="shared" si="347"/>
        <v>2022.015P.Tombusviridae_rename.zip</v>
      </c>
      <c r="U8071" s="29" t="str">
        <f>HYPERLINK("https://ictv.global/taxonomy/taxondetails?taxnode_id=202305241","ictv.global=202305241")</f>
        <v>ictv.global=202305241</v>
      </c>
    </row>
    <row r="8072" spans="1:21">
      <c r="A8072">
        <v>8071</v>
      </c>
      <c r="B8072" s="30" t="s">
        <v>1226</v>
      </c>
      <c r="D8072" s="30" t="s">
        <v>2024</v>
      </c>
      <c r="F8072" s="30" t="s">
        <v>2032</v>
      </c>
      <c r="H8072" s="30" t="s">
        <v>2044</v>
      </c>
      <c r="J8072" s="30" t="s">
        <v>2045</v>
      </c>
      <c r="L8072" s="30" t="s">
        <v>215</v>
      </c>
      <c r="M8072" s="30" t="s">
        <v>1312</v>
      </c>
      <c r="N8072" s="30" t="s">
        <v>787</v>
      </c>
      <c r="P8072" s="30" t="s">
        <v>9390</v>
      </c>
      <c r="Q8072" t="s">
        <v>621</v>
      </c>
      <c r="R8072" t="s">
        <v>920</v>
      </c>
      <c r="S8072">
        <v>38</v>
      </c>
      <c r="T8072" s="29" t="str">
        <f t="shared" si="347"/>
        <v>2022.015P.Tombusviridae_rename.zip</v>
      </c>
      <c r="U8072" s="29" t="str">
        <f>HYPERLINK("https://ictv.global/taxonomy/taxondetails?taxnode_id=202305246","ictv.global=202305246")</f>
        <v>ictv.global=202305246</v>
      </c>
    </row>
    <row r="8073" spans="1:21">
      <c r="A8073">
        <v>8072</v>
      </c>
      <c r="B8073" s="30" t="s">
        <v>1226</v>
      </c>
      <c r="D8073" s="30" t="s">
        <v>2024</v>
      </c>
      <c r="F8073" s="30" t="s">
        <v>2032</v>
      </c>
      <c r="H8073" s="30" t="s">
        <v>2044</v>
      </c>
      <c r="J8073" s="30" t="s">
        <v>2045</v>
      </c>
      <c r="L8073" s="30" t="s">
        <v>215</v>
      </c>
      <c r="M8073" s="30" t="s">
        <v>1312</v>
      </c>
      <c r="N8073" s="30" t="s">
        <v>787</v>
      </c>
      <c r="P8073" s="30" t="s">
        <v>9391</v>
      </c>
      <c r="Q8073" t="s">
        <v>621</v>
      </c>
      <c r="R8073" t="s">
        <v>920</v>
      </c>
      <c r="S8073">
        <v>38</v>
      </c>
      <c r="T8073" s="29" t="str">
        <f t="shared" si="347"/>
        <v>2022.015P.Tombusviridae_rename.zip</v>
      </c>
      <c r="U8073" s="29" t="str">
        <f>HYPERLINK("https://ictv.global/taxonomy/taxondetails?taxnode_id=202305244","ictv.global=202305244")</f>
        <v>ictv.global=202305244</v>
      </c>
    </row>
    <row r="8074" spans="1:21">
      <c r="A8074">
        <v>8073</v>
      </c>
      <c r="B8074" s="30" t="s">
        <v>1226</v>
      </c>
      <c r="D8074" s="30" t="s">
        <v>2024</v>
      </c>
      <c r="F8074" s="30" t="s">
        <v>2032</v>
      </c>
      <c r="H8074" s="30" t="s">
        <v>2044</v>
      </c>
      <c r="J8074" s="30" t="s">
        <v>2045</v>
      </c>
      <c r="L8074" s="30" t="s">
        <v>215</v>
      </c>
      <c r="M8074" s="30" t="s">
        <v>1312</v>
      </c>
      <c r="N8074" s="30" t="s">
        <v>787</v>
      </c>
      <c r="P8074" s="30" t="s">
        <v>9392</v>
      </c>
      <c r="Q8074" t="s">
        <v>621</v>
      </c>
      <c r="R8074" t="s">
        <v>920</v>
      </c>
      <c r="S8074">
        <v>38</v>
      </c>
      <c r="T8074" s="29" t="str">
        <f t="shared" si="347"/>
        <v>2022.015P.Tombusviridae_rename.zip</v>
      </c>
      <c r="U8074" s="29" t="str">
        <f>HYPERLINK("https://ictv.global/taxonomy/taxondetails?taxnode_id=202306290","ictv.global=202306290")</f>
        <v>ictv.global=202306290</v>
      </c>
    </row>
    <row r="8075" spans="1:21">
      <c r="A8075">
        <v>8074</v>
      </c>
      <c r="B8075" s="30" t="s">
        <v>1226</v>
      </c>
      <c r="D8075" s="30" t="s">
        <v>2024</v>
      </c>
      <c r="F8075" s="30" t="s">
        <v>2032</v>
      </c>
      <c r="H8075" s="30" t="s">
        <v>2044</v>
      </c>
      <c r="J8075" s="30" t="s">
        <v>2045</v>
      </c>
      <c r="L8075" s="30" t="s">
        <v>215</v>
      </c>
      <c r="M8075" s="30" t="s">
        <v>1312</v>
      </c>
      <c r="N8075" s="30" t="s">
        <v>787</v>
      </c>
      <c r="P8075" s="30" t="s">
        <v>9393</v>
      </c>
      <c r="Q8075" t="s">
        <v>621</v>
      </c>
      <c r="R8075" t="s">
        <v>920</v>
      </c>
      <c r="S8075">
        <v>38</v>
      </c>
      <c r="T8075" s="29" t="str">
        <f t="shared" si="347"/>
        <v>2022.015P.Tombusviridae_rename.zip</v>
      </c>
      <c r="U8075" s="29" t="str">
        <f>HYPERLINK("https://ictv.global/taxonomy/taxondetails?taxnode_id=202309875","ictv.global=202309875")</f>
        <v>ictv.global=202309875</v>
      </c>
    </row>
    <row r="8076" spans="1:21">
      <c r="A8076">
        <v>8075</v>
      </c>
      <c r="B8076" s="30" t="s">
        <v>1226</v>
      </c>
      <c r="D8076" s="30" t="s">
        <v>2024</v>
      </c>
      <c r="F8076" s="30" t="s">
        <v>2032</v>
      </c>
      <c r="H8076" s="30" t="s">
        <v>2044</v>
      </c>
      <c r="J8076" s="30" t="s">
        <v>2045</v>
      </c>
      <c r="L8076" s="30" t="s">
        <v>215</v>
      </c>
      <c r="M8076" s="30" t="s">
        <v>1312</v>
      </c>
      <c r="N8076" s="30" t="s">
        <v>787</v>
      </c>
      <c r="P8076" s="30" t="s">
        <v>9394</v>
      </c>
      <c r="Q8076" t="s">
        <v>621</v>
      </c>
      <c r="R8076" t="s">
        <v>920</v>
      </c>
      <c r="S8076">
        <v>38</v>
      </c>
      <c r="T8076" s="29" t="str">
        <f t="shared" si="347"/>
        <v>2022.015P.Tombusviridae_rename.zip</v>
      </c>
      <c r="U8076" s="29" t="str">
        <f>HYPERLINK("https://ictv.global/taxonomy/taxondetails?taxnode_id=202305245","ictv.global=202305245")</f>
        <v>ictv.global=202305245</v>
      </c>
    </row>
    <row r="8077" spans="1:21">
      <c r="A8077">
        <v>8076</v>
      </c>
      <c r="B8077" s="30" t="s">
        <v>1226</v>
      </c>
      <c r="D8077" s="30" t="s">
        <v>2024</v>
      </c>
      <c r="F8077" s="30" t="s">
        <v>2032</v>
      </c>
      <c r="H8077" s="30" t="s">
        <v>2044</v>
      </c>
      <c r="J8077" s="30" t="s">
        <v>2045</v>
      </c>
      <c r="L8077" s="30" t="s">
        <v>215</v>
      </c>
      <c r="M8077" s="30" t="s">
        <v>1312</v>
      </c>
      <c r="N8077" s="30" t="s">
        <v>787</v>
      </c>
      <c r="P8077" s="30" t="s">
        <v>9395</v>
      </c>
      <c r="Q8077" t="s">
        <v>621</v>
      </c>
      <c r="R8077" t="s">
        <v>920</v>
      </c>
      <c r="S8077">
        <v>38</v>
      </c>
      <c r="T8077" s="29" t="str">
        <f t="shared" si="347"/>
        <v>2022.015P.Tombusviridae_rename.zip</v>
      </c>
      <c r="U8077" s="29" t="str">
        <f>HYPERLINK("https://ictv.global/taxonomy/taxondetails?taxnode_id=202305247","ictv.global=202305247")</f>
        <v>ictv.global=202305247</v>
      </c>
    </row>
    <row r="8078" spans="1:21">
      <c r="A8078">
        <v>8077</v>
      </c>
      <c r="B8078" s="30" t="s">
        <v>1226</v>
      </c>
      <c r="D8078" s="30" t="s">
        <v>2024</v>
      </c>
      <c r="F8078" s="30" t="s">
        <v>2032</v>
      </c>
      <c r="H8078" s="30" t="s">
        <v>2044</v>
      </c>
      <c r="J8078" s="30" t="s">
        <v>2045</v>
      </c>
      <c r="L8078" s="30" t="s">
        <v>215</v>
      </c>
      <c r="M8078" s="30" t="s">
        <v>1312</v>
      </c>
      <c r="N8078" s="30" t="s">
        <v>787</v>
      </c>
      <c r="P8078" s="30" t="s">
        <v>9396</v>
      </c>
      <c r="Q8078" t="s">
        <v>621</v>
      </c>
      <c r="R8078" t="s">
        <v>920</v>
      </c>
      <c r="S8078">
        <v>38</v>
      </c>
      <c r="T8078" s="29" t="str">
        <f t="shared" si="347"/>
        <v>2022.015P.Tombusviridae_rename.zip</v>
      </c>
      <c r="U8078" s="29" t="str">
        <f>HYPERLINK("https://ictv.global/taxonomy/taxondetails?taxnode_id=202305243","ictv.global=202305243")</f>
        <v>ictv.global=202305243</v>
      </c>
    </row>
    <row r="8079" spans="1:21">
      <c r="A8079">
        <v>8078</v>
      </c>
      <c r="B8079" s="30" t="s">
        <v>1226</v>
      </c>
      <c r="D8079" s="30" t="s">
        <v>2024</v>
      </c>
      <c r="F8079" s="30" t="s">
        <v>2032</v>
      </c>
      <c r="H8079" s="30" t="s">
        <v>2044</v>
      </c>
      <c r="J8079" s="30" t="s">
        <v>2045</v>
      </c>
      <c r="L8079" s="30" t="s">
        <v>215</v>
      </c>
      <c r="M8079" s="30" t="s">
        <v>1312</v>
      </c>
      <c r="N8079" s="30" t="s">
        <v>787</v>
      </c>
      <c r="P8079" s="30" t="s">
        <v>9397</v>
      </c>
      <c r="Q8079" t="s">
        <v>621</v>
      </c>
      <c r="R8079" t="s">
        <v>920</v>
      </c>
      <c r="S8079">
        <v>38</v>
      </c>
      <c r="T8079" s="29" t="str">
        <f t="shared" si="347"/>
        <v>2022.015P.Tombusviridae_rename.zip</v>
      </c>
      <c r="U8079" s="29" t="str">
        <f>HYPERLINK("https://ictv.global/taxonomy/taxondetails?taxnode_id=202309876","ictv.global=202309876")</f>
        <v>ictv.global=202309876</v>
      </c>
    </row>
    <row r="8080" spans="1:21">
      <c r="A8080">
        <v>8079</v>
      </c>
      <c r="B8080" s="30" t="s">
        <v>1226</v>
      </c>
      <c r="D8080" s="30" t="s">
        <v>2024</v>
      </c>
      <c r="F8080" s="30" t="s">
        <v>2032</v>
      </c>
      <c r="H8080" s="30" t="s">
        <v>2044</v>
      </c>
      <c r="J8080" s="30" t="s">
        <v>2045</v>
      </c>
      <c r="L8080" s="30" t="s">
        <v>215</v>
      </c>
      <c r="M8080" s="30" t="s">
        <v>1312</v>
      </c>
      <c r="N8080" s="30" t="s">
        <v>451</v>
      </c>
      <c r="P8080" s="30" t="s">
        <v>9398</v>
      </c>
      <c r="Q8080" t="s">
        <v>621</v>
      </c>
      <c r="R8080" t="s">
        <v>920</v>
      </c>
      <c r="S8080">
        <v>38</v>
      </c>
      <c r="T8080" s="29" t="str">
        <f t="shared" si="347"/>
        <v>2022.015P.Tombusviridae_rename.zip</v>
      </c>
      <c r="U8080" s="29" t="str">
        <f>HYPERLINK("https://ictv.global/taxonomy/taxondetails?taxnode_id=202305255","ictv.global=202305255")</f>
        <v>ictv.global=202305255</v>
      </c>
    </row>
    <row r="8081" spans="1:21">
      <c r="A8081">
        <v>8080</v>
      </c>
      <c r="B8081" s="30" t="s">
        <v>1226</v>
      </c>
      <c r="D8081" s="30" t="s">
        <v>2024</v>
      </c>
      <c r="F8081" s="30" t="s">
        <v>2032</v>
      </c>
      <c r="H8081" s="30" t="s">
        <v>2044</v>
      </c>
      <c r="J8081" s="30" t="s">
        <v>2045</v>
      </c>
      <c r="L8081" s="30" t="s">
        <v>215</v>
      </c>
      <c r="M8081" s="30" t="s">
        <v>1312</v>
      </c>
      <c r="N8081" s="30" t="s">
        <v>451</v>
      </c>
      <c r="P8081" s="30" t="s">
        <v>9399</v>
      </c>
      <c r="Q8081" t="s">
        <v>621</v>
      </c>
      <c r="R8081" t="s">
        <v>920</v>
      </c>
      <c r="S8081">
        <v>38</v>
      </c>
      <c r="T8081" s="29" t="str">
        <f t="shared" si="347"/>
        <v>2022.015P.Tombusviridae_rename.zip</v>
      </c>
      <c r="U8081" s="29" t="str">
        <f>HYPERLINK("https://ictv.global/taxonomy/taxondetails?taxnode_id=202305251","ictv.global=202305251")</f>
        <v>ictv.global=202305251</v>
      </c>
    </row>
    <row r="8082" spans="1:21">
      <c r="A8082">
        <v>8081</v>
      </c>
      <c r="B8082" s="30" t="s">
        <v>1226</v>
      </c>
      <c r="D8082" s="30" t="s">
        <v>2024</v>
      </c>
      <c r="F8082" s="30" t="s">
        <v>2032</v>
      </c>
      <c r="H8082" s="30" t="s">
        <v>2044</v>
      </c>
      <c r="J8082" s="30" t="s">
        <v>2045</v>
      </c>
      <c r="L8082" s="30" t="s">
        <v>215</v>
      </c>
      <c r="M8082" s="30" t="s">
        <v>1312</v>
      </c>
      <c r="N8082" s="30" t="s">
        <v>451</v>
      </c>
      <c r="P8082" s="30" t="s">
        <v>9400</v>
      </c>
      <c r="Q8082" t="s">
        <v>621</v>
      </c>
      <c r="R8082" t="s">
        <v>920</v>
      </c>
      <c r="S8082">
        <v>38</v>
      </c>
      <c r="T8082" s="29" t="str">
        <f t="shared" si="347"/>
        <v>2022.015P.Tombusviridae_rename.zip</v>
      </c>
      <c r="U8082" s="29" t="str">
        <f>HYPERLINK("https://ictv.global/taxonomy/taxondetails?taxnode_id=202305252","ictv.global=202305252")</f>
        <v>ictv.global=202305252</v>
      </c>
    </row>
    <row r="8083" spans="1:21">
      <c r="A8083">
        <v>8082</v>
      </c>
      <c r="B8083" s="30" t="s">
        <v>1226</v>
      </c>
      <c r="D8083" s="30" t="s">
        <v>2024</v>
      </c>
      <c r="F8083" s="30" t="s">
        <v>2032</v>
      </c>
      <c r="H8083" s="30" t="s">
        <v>2044</v>
      </c>
      <c r="J8083" s="30" t="s">
        <v>2045</v>
      </c>
      <c r="L8083" s="30" t="s">
        <v>215</v>
      </c>
      <c r="M8083" s="30" t="s">
        <v>1312</v>
      </c>
      <c r="N8083" s="30" t="s">
        <v>451</v>
      </c>
      <c r="P8083" s="30" t="s">
        <v>9401</v>
      </c>
      <c r="Q8083" t="s">
        <v>621</v>
      </c>
      <c r="R8083" t="s">
        <v>920</v>
      </c>
      <c r="S8083">
        <v>38</v>
      </c>
      <c r="T8083" s="29" t="str">
        <f t="shared" si="347"/>
        <v>2022.015P.Tombusviridae_rename.zip</v>
      </c>
      <c r="U8083" s="29" t="str">
        <f>HYPERLINK("https://ictv.global/taxonomy/taxondetails?taxnode_id=202305253","ictv.global=202305253")</f>
        <v>ictv.global=202305253</v>
      </c>
    </row>
    <row r="8084" spans="1:21">
      <c r="A8084">
        <v>8083</v>
      </c>
      <c r="B8084" s="30" t="s">
        <v>1226</v>
      </c>
      <c r="D8084" s="30" t="s">
        <v>2024</v>
      </c>
      <c r="F8084" s="30" t="s">
        <v>2032</v>
      </c>
      <c r="H8084" s="30" t="s">
        <v>2044</v>
      </c>
      <c r="J8084" s="30" t="s">
        <v>2045</v>
      </c>
      <c r="L8084" s="30" t="s">
        <v>215</v>
      </c>
      <c r="M8084" s="30" t="s">
        <v>1312</v>
      </c>
      <c r="N8084" s="30" t="s">
        <v>451</v>
      </c>
      <c r="P8084" s="30" t="s">
        <v>9402</v>
      </c>
      <c r="Q8084" t="s">
        <v>621</v>
      </c>
      <c r="R8084" t="s">
        <v>920</v>
      </c>
      <c r="S8084">
        <v>38</v>
      </c>
      <c r="T8084" s="29" t="str">
        <f t="shared" si="347"/>
        <v>2022.015P.Tombusviridae_rename.zip</v>
      </c>
      <c r="U8084" s="29" t="str">
        <f>HYPERLINK("https://ictv.global/taxonomy/taxondetails?taxnode_id=202305249","ictv.global=202305249")</f>
        <v>ictv.global=202305249</v>
      </c>
    </row>
    <row r="8085" spans="1:21">
      <c r="A8085">
        <v>8084</v>
      </c>
      <c r="B8085" s="30" t="s">
        <v>1226</v>
      </c>
      <c r="D8085" s="30" t="s">
        <v>2024</v>
      </c>
      <c r="F8085" s="30" t="s">
        <v>2032</v>
      </c>
      <c r="H8085" s="30" t="s">
        <v>2044</v>
      </c>
      <c r="J8085" s="30" t="s">
        <v>2045</v>
      </c>
      <c r="L8085" s="30" t="s">
        <v>215</v>
      </c>
      <c r="M8085" s="30" t="s">
        <v>1312</v>
      </c>
      <c r="N8085" s="30" t="s">
        <v>451</v>
      </c>
      <c r="P8085" s="30" t="s">
        <v>9403</v>
      </c>
      <c r="Q8085" t="s">
        <v>621</v>
      </c>
      <c r="R8085" t="s">
        <v>920</v>
      </c>
      <c r="S8085">
        <v>38</v>
      </c>
      <c r="T8085" s="29" t="str">
        <f t="shared" si="347"/>
        <v>2022.015P.Tombusviridae_rename.zip</v>
      </c>
      <c r="U8085" s="29" t="str">
        <f>HYPERLINK("https://ictv.global/taxonomy/taxondetails?taxnode_id=202305250","ictv.global=202305250")</f>
        <v>ictv.global=202305250</v>
      </c>
    </row>
    <row r="8086" spans="1:21">
      <c r="A8086">
        <v>8085</v>
      </c>
      <c r="B8086" s="30" t="s">
        <v>1226</v>
      </c>
      <c r="D8086" s="30" t="s">
        <v>2024</v>
      </c>
      <c r="F8086" s="30" t="s">
        <v>2032</v>
      </c>
      <c r="H8086" s="30" t="s">
        <v>2044</v>
      </c>
      <c r="J8086" s="30" t="s">
        <v>2045</v>
      </c>
      <c r="L8086" s="30" t="s">
        <v>215</v>
      </c>
      <c r="M8086" s="30" t="s">
        <v>1312</v>
      </c>
      <c r="N8086" s="30" t="s">
        <v>451</v>
      </c>
      <c r="P8086" s="30" t="s">
        <v>9404</v>
      </c>
      <c r="Q8086" t="s">
        <v>621</v>
      </c>
      <c r="R8086" t="s">
        <v>920</v>
      </c>
      <c r="S8086">
        <v>38</v>
      </c>
      <c r="T8086" s="29" t="str">
        <f t="shared" si="347"/>
        <v>2022.015P.Tombusviridae_rename.zip</v>
      </c>
      <c r="U8086" s="29" t="str">
        <f>HYPERLINK("https://ictv.global/taxonomy/taxondetails?taxnode_id=202305256","ictv.global=202305256")</f>
        <v>ictv.global=202305256</v>
      </c>
    </row>
    <row r="8087" spans="1:21">
      <c r="A8087">
        <v>8086</v>
      </c>
      <c r="B8087" s="30" t="s">
        <v>1226</v>
      </c>
      <c r="D8087" s="30" t="s">
        <v>2024</v>
      </c>
      <c r="F8087" s="30" t="s">
        <v>2032</v>
      </c>
      <c r="H8087" s="30" t="s">
        <v>2044</v>
      </c>
      <c r="J8087" s="30" t="s">
        <v>2045</v>
      </c>
      <c r="L8087" s="30" t="s">
        <v>215</v>
      </c>
      <c r="M8087" s="30" t="s">
        <v>1312</v>
      </c>
      <c r="N8087" s="30" t="s">
        <v>451</v>
      </c>
      <c r="P8087" s="30" t="s">
        <v>9405</v>
      </c>
      <c r="Q8087" t="s">
        <v>621</v>
      </c>
      <c r="R8087" t="s">
        <v>920</v>
      </c>
      <c r="S8087">
        <v>38</v>
      </c>
      <c r="T8087" s="29" t="str">
        <f t="shared" si="347"/>
        <v>2022.015P.Tombusviridae_rename.zip</v>
      </c>
      <c r="U8087" s="29" t="str">
        <f>HYPERLINK("https://ictv.global/taxonomy/taxondetails?taxnode_id=202305257","ictv.global=202305257")</f>
        <v>ictv.global=202305257</v>
      </c>
    </row>
    <row r="8088" spans="1:21">
      <c r="A8088">
        <v>8087</v>
      </c>
      <c r="B8088" s="30" t="s">
        <v>1226</v>
      </c>
      <c r="D8088" s="30" t="s">
        <v>2024</v>
      </c>
      <c r="F8088" s="30" t="s">
        <v>2032</v>
      </c>
      <c r="H8088" s="30" t="s">
        <v>2044</v>
      </c>
      <c r="J8088" s="30" t="s">
        <v>2045</v>
      </c>
      <c r="L8088" s="30" t="s">
        <v>215</v>
      </c>
      <c r="M8088" s="30" t="s">
        <v>1312</v>
      </c>
      <c r="N8088" s="30" t="s">
        <v>451</v>
      </c>
      <c r="P8088" s="30" t="s">
        <v>9406</v>
      </c>
      <c r="Q8088" t="s">
        <v>621</v>
      </c>
      <c r="R8088" t="s">
        <v>920</v>
      </c>
      <c r="S8088">
        <v>38</v>
      </c>
      <c r="T8088" s="29" t="str">
        <f t="shared" si="347"/>
        <v>2022.015P.Tombusviridae_rename.zip</v>
      </c>
      <c r="U8088" s="29" t="str">
        <f>HYPERLINK("https://ictv.global/taxonomy/taxondetails?taxnode_id=202305258","ictv.global=202305258")</f>
        <v>ictv.global=202305258</v>
      </c>
    </row>
    <row r="8089" spans="1:21">
      <c r="A8089">
        <v>8088</v>
      </c>
      <c r="B8089" s="30" t="s">
        <v>1226</v>
      </c>
      <c r="D8089" s="30" t="s">
        <v>2024</v>
      </c>
      <c r="F8089" s="30" t="s">
        <v>2032</v>
      </c>
      <c r="H8089" s="30" t="s">
        <v>2044</v>
      </c>
      <c r="J8089" s="30" t="s">
        <v>2045</v>
      </c>
      <c r="L8089" s="30" t="s">
        <v>215</v>
      </c>
      <c r="M8089" s="30" t="s">
        <v>1312</v>
      </c>
      <c r="N8089" s="30" t="s">
        <v>451</v>
      </c>
      <c r="P8089" s="30" t="s">
        <v>9407</v>
      </c>
      <c r="Q8089" t="s">
        <v>621</v>
      </c>
      <c r="R8089" t="s">
        <v>920</v>
      </c>
      <c r="S8089">
        <v>38</v>
      </c>
      <c r="T8089" s="29" t="str">
        <f t="shared" si="347"/>
        <v>2022.015P.Tombusviridae_rename.zip</v>
      </c>
      <c r="U8089" s="29" t="str">
        <f>HYPERLINK("https://ictv.global/taxonomy/taxondetails?taxnode_id=202305265","ictv.global=202305265")</f>
        <v>ictv.global=202305265</v>
      </c>
    </row>
    <row r="8090" spans="1:21">
      <c r="A8090">
        <v>8089</v>
      </c>
      <c r="B8090" s="30" t="s">
        <v>1226</v>
      </c>
      <c r="D8090" s="30" t="s">
        <v>2024</v>
      </c>
      <c r="F8090" s="30" t="s">
        <v>2032</v>
      </c>
      <c r="H8090" s="30" t="s">
        <v>2044</v>
      </c>
      <c r="J8090" s="30" t="s">
        <v>2045</v>
      </c>
      <c r="L8090" s="30" t="s">
        <v>215</v>
      </c>
      <c r="M8090" s="30" t="s">
        <v>1312</v>
      </c>
      <c r="N8090" s="30" t="s">
        <v>451</v>
      </c>
      <c r="P8090" s="30" t="s">
        <v>9408</v>
      </c>
      <c r="Q8090" t="s">
        <v>621</v>
      </c>
      <c r="R8090" t="s">
        <v>920</v>
      </c>
      <c r="S8090">
        <v>38</v>
      </c>
      <c r="T8090" s="29" t="str">
        <f t="shared" si="347"/>
        <v>2022.015P.Tombusviridae_rename.zip</v>
      </c>
      <c r="U8090" s="29" t="str">
        <f>HYPERLINK("https://ictv.global/taxonomy/taxondetails?taxnode_id=202305254","ictv.global=202305254")</f>
        <v>ictv.global=202305254</v>
      </c>
    </row>
    <row r="8091" spans="1:21">
      <c r="A8091">
        <v>8090</v>
      </c>
      <c r="B8091" s="30" t="s">
        <v>1226</v>
      </c>
      <c r="D8091" s="30" t="s">
        <v>2024</v>
      </c>
      <c r="F8091" s="30" t="s">
        <v>2032</v>
      </c>
      <c r="H8091" s="30" t="s">
        <v>2044</v>
      </c>
      <c r="J8091" s="30" t="s">
        <v>2045</v>
      </c>
      <c r="L8091" s="30" t="s">
        <v>215</v>
      </c>
      <c r="M8091" s="30" t="s">
        <v>1312</v>
      </c>
      <c r="N8091" s="30" t="s">
        <v>451</v>
      </c>
      <c r="P8091" s="30" t="s">
        <v>9409</v>
      </c>
      <c r="Q8091" t="s">
        <v>621</v>
      </c>
      <c r="R8091" t="s">
        <v>920</v>
      </c>
      <c r="S8091">
        <v>38</v>
      </c>
      <c r="T8091" s="29" t="str">
        <f t="shared" si="347"/>
        <v>2022.015P.Tombusviridae_rename.zip</v>
      </c>
      <c r="U8091" s="29" t="str">
        <f>HYPERLINK("https://ictv.global/taxonomy/taxondetails?taxnode_id=202305259","ictv.global=202305259")</f>
        <v>ictv.global=202305259</v>
      </c>
    </row>
    <row r="8092" spans="1:21">
      <c r="A8092">
        <v>8091</v>
      </c>
      <c r="B8092" s="30" t="s">
        <v>1226</v>
      </c>
      <c r="D8092" s="30" t="s">
        <v>2024</v>
      </c>
      <c r="F8092" s="30" t="s">
        <v>2032</v>
      </c>
      <c r="H8092" s="30" t="s">
        <v>2044</v>
      </c>
      <c r="J8092" s="30" t="s">
        <v>2045</v>
      </c>
      <c r="L8092" s="30" t="s">
        <v>215</v>
      </c>
      <c r="M8092" s="30" t="s">
        <v>1312</v>
      </c>
      <c r="N8092" s="30" t="s">
        <v>451</v>
      </c>
      <c r="P8092" s="30" t="s">
        <v>9410</v>
      </c>
      <c r="Q8092" t="s">
        <v>621</v>
      </c>
      <c r="R8092" t="s">
        <v>920</v>
      </c>
      <c r="S8092">
        <v>38</v>
      </c>
      <c r="T8092" s="29" t="str">
        <f t="shared" si="347"/>
        <v>2022.015P.Tombusviridae_rename.zip</v>
      </c>
      <c r="U8092" s="29" t="str">
        <f>HYPERLINK("https://ictv.global/taxonomy/taxondetails?taxnode_id=202305260","ictv.global=202305260")</f>
        <v>ictv.global=202305260</v>
      </c>
    </row>
    <row r="8093" spans="1:21">
      <c r="A8093">
        <v>8092</v>
      </c>
      <c r="B8093" s="30" t="s">
        <v>1226</v>
      </c>
      <c r="D8093" s="30" t="s">
        <v>2024</v>
      </c>
      <c r="F8093" s="30" t="s">
        <v>2032</v>
      </c>
      <c r="H8093" s="30" t="s">
        <v>2044</v>
      </c>
      <c r="J8093" s="30" t="s">
        <v>2045</v>
      </c>
      <c r="L8093" s="30" t="s">
        <v>215</v>
      </c>
      <c r="M8093" s="30" t="s">
        <v>1312</v>
      </c>
      <c r="N8093" s="30" t="s">
        <v>451</v>
      </c>
      <c r="P8093" s="30" t="s">
        <v>9411</v>
      </c>
      <c r="Q8093" t="s">
        <v>621</v>
      </c>
      <c r="R8093" t="s">
        <v>920</v>
      </c>
      <c r="S8093">
        <v>38</v>
      </c>
      <c r="T8093" s="29" t="str">
        <f t="shared" si="347"/>
        <v>2022.015P.Tombusviridae_rename.zip</v>
      </c>
      <c r="U8093" s="29" t="str">
        <f>HYPERLINK("https://ictv.global/taxonomy/taxondetails?taxnode_id=202305262","ictv.global=202305262")</f>
        <v>ictv.global=202305262</v>
      </c>
    </row>
    <row r="8094" spans="1:21">
      <c r="A8094">
        <v>8093</v>
      </c>
      <c r="B8094" s="30" t="s">
        <v>1226</v>
      </c>
      <c r="D8094" s="30" t="s">
        <v>2024</v>
      </c>
      <c r="F8094" s="30" t="s">
        <v>2032</v>
      </c>
      <c r="H8094" s="30" t="s">
        <v>2044</v>
      </c>
      <c r="J8094" s="30" t="s">
        <v>2045</v>
      </c>
      <c r="L8094" s="30" t="s">
        <v>215</v>
      </c>
      <c r="M8094" s="30" t="s">
        <v>1312</v>
      </c>
      <c r="N8094" s="30" t="s">
        <v>451</v>
      </c>
      <c r="P8094" s="30" t="s">
        <v>9412</v>
      </c>
      <c r="Q8094" t="s">
        <v>621</v>
      </c>
      <c r="R8094" t="s">
        <v>920</v>
      </c>
      <c r="S8094">
        <v>38</v>
      </c>
      <c r="T8094" s="29" t="str">
        <f t="shared" si="347"/>
        <v>2022.015P.Tombusviridae_rename.zip</v>
      </c>
      <c r="U8094" s="29" t="str">
        <f>HYPERLINK("https://ictv.global/taxonomy/taxondetails?taxnode_id=202305261","ictv.global=202305261")</f>
        <v>ictv.global=202305261</v>
      </c>
    </row>
    <row r="8095" spans="1:21">
      <c r="A8095">
        <v>8094</v>
      </c>
      <c r="B8095" s="30" t="s">
        <v>1226</v>
      </c>
      <c r="D8095" s="30" t="s">
        <v>2024</v>
      </c>
      <c r="F8095" s="30" t="s">
        <v>2032</v>
      </c>
      <c r="H8095" s="30" t="s">
        <v>2044</v>
      </c>
      <c r="J8095" s="30" t="s">
        <v>2045</v>
      </c>
      <c r="L8095" s="30" t="s">
        <v>215</v>
      </c>
      <c r="M8095" s="30" t="s">
        <v>1312</v>
      </c>
      <c r="N8095" s="30" t="s">
        <v>451</v>
      </c>
      <c r="P8095" s="30" t="s">
        <v>9413</v>
      </c>
      <c r="Q8095" t="s">
        <v>621</v>
      </c>
      <c r="R8095" t="s">
        <v>920</v>
      </c>
      <c r="S8095">
        <v>38</v>
      </c>
      <c r="T8095" s="29" t="str">
        <f t="shared" si="347"/>
        <v>2022.015P.Tombusviridae_rename.zip</v>
      </c>
      <c r="U8095" s="29" t="str">
        <f>HYPERLINK("https://ictv.global/taxonomy/taxondetails?taxnode_id=202305263","ictv.global=202305263")</f>
        <v>ictv.global=202305263</v>
      </c>
    </row>
    <row r="8096" spans="1:21">
      <c r="A8096">
        <v>8095</v>
      </c>
      <c r="B8096" s="30" t="s">
        <v>1226</v>
      </c>
      <c r="D8096" s="30" t="s">
        <v>2024</v>
      </c>
      <c r="F8096" s="30" t="s">
        <v>2032</v>
      </c>
      <c r="H8096" s="30" t="s">
        <v>2044</v>
      </c>
      <c r="J8096" s="30" t="s">
        <v>2045</v>
      </c>
      <c r="L8096" s="30" t="s">
        <v>215</v>
      </c>
      <c r="M8096" s="30" t="s">
        <v>1312</v>
      </c>
      <c r="N8096" s="30" t="s">
        <v>451</v>
      </c>
      <c r="P8096" s="30" t="s">
        <v>9414</v>
      </c>
      <c r="Q8096" t="s">
        <v>621</v>
      </c>
      <c r="R8096" t="s">
        <v>920</v>
      </c>
      <c r="S8096">
        <v>38</v>
      </c>
      <c r="T8096" s="29" t="str">
        <f t="shared" si="347"/>
        <v>2022.015P.Tombusviridae_rename.zip</v>
      </c>
      <c r="U8096" s="29" t="str">
        <f>HYPERLINK("https://ictv.global/taxonomy/taxondetails?taxnode_id=202305264","ictv.global=202305264")</f>
        <v>ictv.global=202305264</v>
      </c>
    </row>
    <row r="8097" spans="1:21">
      <c r="A8097">
        <v>8096</v>
      </c>
      <c r="B8097" s="30" t="s">
        <v>1226</v>
      </c>
      <c r="D8097" s="30" t="s">
        <v>2024</v>
      </c>
      <c r="F8097" s="30" t="s">
        <v>2032</v>
      </c>
      <c r="H8097" s="30" t="s">
        <v>2044</v>
      </c>
      <c r="J8097" s="30" t="s">
        <v>2045</v>
      </c>
      <c r="L8097" s="30" t="s">
        <v>215</v>
      </c>
      <c r="M8097" s="30" t="s">
        <v>1312</v>
      </c>
      <c r="N8097" s="30" t="s">
        <v>9415</v>
      </c>
      <c r="P8097" s="30" t="s">
        <v>9416</v>
      </c>
      <c r="Q8097" t="s">
        <v>621</v>
      </c>
      <c r="R8097" t="s">
        <v>917</v>
      </c>
      <c r="S8097">
        <v>37</v>
      </c>
      <c r="T8097" s="29" t="str">
        <f>HYPERLINK("https://ictv.global/ictv/proposals/2021.018P.R.Tombusviridae_1ng_2ns.zip","2021.018P.R.Tombusviridae_1ng_2ns.zip")</f>
        <v>2021.018P.R.Tombusviridae_1ng_2ns.zip</v>
      </c>
      <c r="U8097" s="29" t="str">
        <f>HYPERLINK("https://ictv.global/taxonomy/taxondetails?taxnode_id=202313879","ictv.global=202313879")</f>
        <v>ictv.global=202313879</v>
      </c>
    </row>
    <row r="8098" spans="1:21">
      <c r="A8098">
        <v>8097</v>
      </c>
      <c r="B8098" s="30" t="s">
        <v>1226</v>
      </c>
      <c r="D8098" s="30" t="s">
        <v>2024</v>
      </c>
      <c r="F8098" s="30" t="s">
        <v>2032</v>
      </c>
      <c r="H8098" s="30" t="s">
        <v>2044</v>
      </c>
      <c r="J8098" s="30" t="s">
        <v>2045</v>
      </c>
      <c r="L8098" s="30" t="s">
        <v>215</v>
      </c>
      <c r="M8098" s="30" t="s">
        <v>1312</v>
      </c>
      <c r="N8098" s="30" t="s">
        <v>9415</v>
      </c>
      <c r="P8098" s="30" t="s">
        <v>9417</v>
      </c>
      <c r="Q8098" t="s">
        <v>621</v>
      </c>
      <c r="R8098" t="s">
        <v>918</v>
      </c>
      <c r="S8098">
        <v>37</v>
      </c>
      <c r="T8098" s="29" t="str">
        <f>HYPERLINK("https://ictv.global/ictv/proposals/2021.018P.R.Tombusviridae_1ng_2ns.zip","2021.018P.R.Tombusviridae_1ng_2ns.zip")</f>
        <v>2021.018P.R.Tombusviridae_1ng_2ns.zip</v>
      </c>
      <c r="U8098" s="29" t="str">
        <f>HYPERLINK("https://ictv.global/taxonomy/taxondetails?taxnode_id=202305281","ictv.global=202305281")</f>
        <v>ictv.global=202305281</v>
      </c>
    </row>
    <row r="8099" spans="1:21">
      <c r="A8099">
        <v>8098</v>
      </c>
      <c r="B8099" s="30" t="s">
        <v>1226</v>
      </c>
      <c r="D8099" s="30" t="s">
        <v>2024</v>
      </c>
      <c r="F8099" s="30" t="s">
        <v>2032</v>
      </c>
      <c r="H8099" s="30" t="s">
        <v>2044</v>
      </c>
      <c r="J8099" s="30" t="s">
        <v>2045</v>
      </c>
      <c r="L8099" s="30" t="s">
        <v>215</v>
      </c>
      <c r="M8099" s="30" t="s">
        <v>1312</v>
      </c>
      <c r="N8099" s="30" t="s">
        <v>532</v>
      </c>
      <c r="P8099" s="30" t="s">
        <v>9418</v>
      </c>
      <c r="Q8099" t="s">
        <v>621</v>
      </c>
      <c r="R8099" t="s">
        <v>920</v>
      </c>
      <c r="S8099">
        <v>38</v>
      </c>
      <c r="T8099" s="29" t="str">
        <f>HYPERLINK("https://ictv.global/ictv/proposals/2022.015P.Tombusviridae_rename.zip","2022.015P.Tombusviridae_rename.zip")</f>
        <v>2022.015P.Tombusviridae_rename.zip</v>
      </c>
      <c r="U8099" s="29" t="str">
        <f>HYPERLINK("https://ictv.global/taxonomy/taxondetails?taxnode_id=202305284","ictv.global=202305284")</f>
        <v>ictv.global=202305284</v>
      </c>
    </row>
    <row r="8100" spans="1:21">
      <c r="A8100">
        <v>8099</v>
      </c>
      <c r="B8100" s="30" t="s">
        <v>1226</v>
      </c>
      <c r="D8100" s="30" t="s">
        <v>2024</v>
      </c>
      <c r="F8100" s="30" t="s">
        <v>2032</v>
      </c>
      <c r="H8100" s="30" t="s">
        <v>2044</v>
      </c>
      <c r="J8100" s="30" t="s">
        <v>2045</v>
      </c>
      <c r="L8100" s="30" t="s">
        <v>215</v>
      </c>
      <c r="M8100" s="30" t="s">
        <v>1312</v>
      </c>
      <c r="P8100" s="30" t="s">
        <v>218</v>
      </c>
      <c r="Q8100" t="s">
        <v>621</v>
      </c>
      <c r="R8100" t="s">
        <v>919</v>
      </c>
      <c r="S8100">
        <v>35</v>
      </c>
      <c r="T8100" s="29" t="str">
        <f>HYPERLINK("https://ictv.global/ictv/proposals/2019.006G.zip","2019.006G.zip")</f>
        <v>2019.006G.zip</v>
      </c>
      <c r="U8100" s="29" t="str">
        <f>HYPERLINK("https://ictv.global/taxonomy/taxondetails?taxnode_id=202305277","ictv.global=202305277")</f>
        <v>ictv.global=202305277</v>
      </c>
    </row>
    <row r="8101" spans="1:21">
      <c r="A8101">
        <v>8100</v>
      </c>
      <c r="B8101" s="30" t="s">
        <v>1226</v>
      </c>
      <c r="D8101" s="30" t="s">
        <v>2024</v>
      </c>
      <c r="F8101" s="30" t="s">
        <v>2032</v>
      </c>
      <c r="H8101" s="30" t="s">
        <v>2044</v>
      </c>
      <c r="J8101" s="30" t="s">
        <v>2045</v>
      </c>
      <c r="L8101" s="30" t="s">
        <v>215</v>
      </c>
      <c r="M8101" s="30" t="s">
        <v>1312</v>
      </c>
      <c r="P8101" s="30" t="s">
        <v>219</v>
      </c>
      <c r="Q8101" t="s">
        <v>621</v>
      </c>
      <c r="R8101" t="s">
        <v>919</v>
      </c>
      <c r="S8101">
        <v>35</v>
      </c>
      <c r="T8101" s="29" t="str">
        <f>HYPERLINK("https://ictv.global/ictv/proposals/2019.006G.zip","2019.006G.zip")</f>
        <v>2019.006G.zip</v>
      </c>
      <c r="U8101" s="29" t="str">
        <f>HYPERLINK("https://ictv.global/taxonomy/taxondetails?taxnode_id=202305278","ictv.global=202305278")</f>
        <v>ictv.global=202305278</v>
      </c>
    </row>
    <row r="8102" spans="1:21">
      <c r="A8102">
        <v>8101</v>
      </c>
      <c r="B8102" s="30" t="s">
        <v>1226</v>
      </c>
      <c r="D8102" s="30" t="s">
        <v>2024</v>
      </c>
      <c r="F8102" s="30" t="s">
        <v>2032</v>
      </c>
      <c r="H8102" s="30" t="s">
        <v>2044</v>
      </c>
      <c r="J8102" s="30" t="s">
        <v>2045</v>
      </c>
      <c r="L8102" s="30" t="s">
        <v>215</v>
      </c>
      <c r="M8102" s="30" t="s">
        <v>1312</v>
      </c>
      <c r="P8102" s="30" t="s">
        <v>235</v>
      </c>
      <c r="Q8102" t="s">
        <v>621</v>
      </c>
      <c r="R8102" t="s">
        <v>919</v>
      </c>
      <c r="S8102">
        <v>35</v>
      </c>
      <c r="T8102" s="29" t="str">
        <f>HYPERLINK("https://ictv.global/ictv/proposals/2019.006G.zip","2019.006G.zip")</f>
        <v>2019.006G.zip</v>
      </c>
      <c r="U8102" s="29" t="str">
        <f>HYPERLINK("https://ictv.global/taxonomy/taxondetails?taxnode_id=202305279","ictv.global=202305279")</f>
        <v>ictv.global=202305279</v>
      </c>
    </row>
    <row r="8103" spans="1:21">
      <c r="A8103">
        <v>8102</v>
      </c>
      <c r="B8103" s="30" t="s">
        <v>1226</v>
      </c>
      <c r="D8103" s="30" t="s">
        <v>2024</v>
      </c>
      <c r="F8103" s="30" t="s">
        <v>2032</v>
      </c>
      <c r="H8103" s="30" t="s">
        <v>2044</v>
      </c>
      <c r="J8103" s="30" t="s">
        <v>2045</v>
      </c>
      <c r="L8103" s="30" t="s">
        <v>215</v>
      </c>
      <c r="M8103" s="30" t="s">
        <v>1312</v>
      </c>
      <c r="P8103" s="30" t="s">
        <v>363</v>
      </c>
      <c r="Q8103" t="s">
        <v>621</v>
      </c>
      <c r="R8103" t="s">
        <v>919</v>
      </c>
      <c r="S8103">
        <v>35</v>
      </c>
      <c r="T8103" s="29" t="str">
        <f>HYPERLINK("https://ictv.global/ictv/proposals/2019.006G.zip","2019.006G.zip")</f>
        <v>2019.006G.zip</v>
      </c>
      <c r="U8103" s="29" t="str">
        <f>HYPERLINK("https://ictv.global/taxonomy/taxondetails?taxnode_id=202305280","ictv.global=202305280")</f>
        <v>ictv.global=202305280</v>
      </c>
    </row>
    <row r="8104" spans="1:21">
      <c r="A8104">
        <v>8103</v>
      </c>
      <c r="B8104" s="30" t="s">
        <v>1226</v>
      </c>
      <c r="D8104" s="30" t="s">
        <v>2024</v>
      </c>
      <c r="F8104" s="30" t="s">
        <v>2032</v>
      </c>
      <c r="H8104" s="30" t="s">
        <v>2044</v>
      </c>
      <c r="J8104" s="30" t="s">
        <v>2045</v>
      </c>
      <c r="L8104" s="30" t="s">
        <v>215</v>
      </c>
      <c r="M8104" s="30" t="s">
        <v>1312</v>
      </c>
      <c r="P8104" s="30" t="s">
        <v>331</v>
      </c>
      <c r="Q8104" t="s">
        <v>621</v>
      </c>
      <c r="R8104" t="s">
        <v>919</v>
      </c>
      <c r="S8104">
        <v>35</v>
      </c>
      <c r="T8104" s="29" t="str">
        <f>HYPERLINK("https://ictv.global/ictv/proposals/2019.006G.zip","2019.006G.zip")</f>
        <v>2019.006G.zip</v>
      </c>
      <c r="U8104" s="29" t="str">
        <f>HYPERLINK("https://ictv.global/taxonomy/taxondetails?taxnode_id=202305282","ictv.global=202305282")</f>
        <v>ictv.global=202305282</v>
      </c>
    </row>
    <row r="8105" spans="1:21">
      <c r="A8105">
        <v>8104</v>
      </c>
      <c r="B8105" s="30" t="s">
        <v>1226</v>
      </c>
      <c r="D8105" s="30" t="s">
        <v>2024</v>
      </c>
      <c r="F8105" s="30" t="s">
        <v>2032</v>
      </c>
      <c r="H8105" s="30" t="s">
        <v>2044</v>
      </c>
      <c r="J8105" s="30" t="s">
        <v>2045</v>
      </c>
      <c r="L8105" s="30" t="s">
        <v>215</v>
      </c>
      <c r="M8105" s="30" t="s">
        <v>1313</v>
      </c>
      <c r="N8105" s="30" t="s">
        <v>332</v>
      </c>
      <c r="P8105" s="30" t="s">
        <v>9419</v>
      </c>
      <c r="Q8105" t="s">
        <v>621</v>
      </c>
      <c r="R8105" t="s">
        <v>920</v>
      </c>
      <c r="S8105">
        <v>38</v>
      </c>
      <c r="T8105" s="29" t="str">
        <f t="shared" ref="T8105:T8112" si="348">HYPERLINK("https://ictv.global/ictv/proposals/2022.015P.Tombusviridae_rename.zip","2022.015P.Tombusviridae_rename.zip")</f>
        <v>2022.015P.Tombusviridae_rename.zip</v>
      </c>
      <c r="U8105" s="29" t="str">
        <f>HYPERLINK("https://ictv.global/taxonomy/taxondetails?taxnode_id=202305224","ictv.global=202305224")</f>
        <v>ictv.global=202305224</v>
      </c>
    </row>
    <row r="8106" spans="1:21">
      <c r="A8106">
        <v>8105</v>
      </c>
      <c r="B8106" s="30" t="s">
        <v>1226</v>
      </c>
      <c r="D8106" s="30" t="s">
        <v>2024</v>
      </c>
      <c r="F8106" s="30" t="s">
        <v>2032</v>
      </c>
      <c r="H8106" s="30" t="s">
        <v>2044</v>
      </c>
      <c r="J8106" s="30" t="s">
        <v>2045</v>
      </c>
      <c r="L8106" s="30" t="s">
        <v>215</v>
      </c>
      <c r="M8106" s="30" t="s">
        <v>1313</v>
      </c>
      <c r="N8106" s="30" t="s">
        <v>332</v>
      </c>
      <c r="P8106" s="30" t="s">
        <v>9420</v>
      </c>
      <c r="Q8106" t="s">
        <v>621</v>
      </c>
      <c r="R8106" t="s">
        <v>920</v>
      </c>
      <c r="S8106">
        <v>38</v>
      </c>
      <c r="T8106" s="29" t="str">
        <f t="shared" si="348"/>
        <v>2022.015P.Tombusviridae_rename.zip</v>
      </c>
      <c r="U8106" s="29" t="str">
        <f>HYPERLINK("https://ictv.global/taxonomy/taxondetails?taxnode_id=202305226","ictv.global=202305226")</f>
        <v>ictv.global=202305226</v>
      </c>
    </row>
    <row r="8107" spans="1:21">
      <c r="A8107">
        <v>8106</v>
      </c>
      <c r="B8107" s="30" t="s">
        <v>1226</v>
      </c>
      <c r="D8107" s="30" t="s">
        <v>2024</v>
      </c>
      <c r="F8107" s="30" t="s">
        <v>2032</v>
      </c>
      <c r="H8107" s="30" t="s">
        <v>2044</v>
      </c>
      <c r="J8107" s="30" t="s">
        <v>2045</v>
      </c>
      <c r="L8107" s="30" t="s">
        <v>215</v>
      </c>
      <c r="M8107" s="30" t="s">
        <v>1313</v>
      </c>
      <c r="N8107" s="30" t="s">
        <v>332</v>
      </c>
      <c r="P8107" s="30" t="s">
        <v>9421</v>
      </c>
      <c r="Q8107" t="s">
        <v>621</v>
      </c>
      <c r="R8107" t="s">
        <v>920</v>
      </c>
      <c r="S8107">
        <v>38</v>
      </c>
      <c r="T8107" s="29" t="str">
        <f t="shared" si="348"/>
        <v>2022.015P.Tombusviridae_rename.zip</v>
      </c>
      <c r="U8107" s="29" t="str">
        <f>HYPERLINK("https://ictv.global/taxonomy/taxondetails?taxnode_id=202305225","ictv.global=202305225")</f>
        <v>ictv.global=202305225</v>
      </c>
    </row>
    <row r="8108" spans="1:21">
      <c r="A8108">
        <v>8107</v>
      </c>
      <c r="B8108" s="30" t="s">
        <v>1226</v>
      </c>
      <c r="D8108" s="30" t="s">
        <v>2024</v>
      </c>
      <c r="F8108" s="30" t="s">
        <v>2032</v>
      </c>
      <c r="H8108" s="30" t="s">
        <v>2044</v>
      </c>
      <c r="J8108" s="30" t="s">
        <v>2045</v>
      </c>
      <c r="L8108" s="30" t="s">
        <v>215</v>
      </c>
      <c r="M8108" s="30" t="s">
        <v>1313</v>
      </c>
      <c r="N8108" s="30" t="s">
        <v>300</v>
      </c>
      <c r="P8108" s="30" t="s">
        <v>9422</v>
      </c>
      <c r="Q8108" t="s">
        <v>621</v>
      </c>
      <c r="R8108" t="s">
        <v>920</v>
      </c>
      <c r="S8108">
        <v>38</v>
      </c>
      <c r="T8108" s="29" t="str">
        <f t="shared" si="348"/>
        <v>2022.015P.Tombusviridae_rename.zip</v>
      </c>
      <c r="U8108" s="29" t="str">
        <f>HYPERLINK("https://ictv.global/taxonomy/taxondetails?taxnode_id=202306618","ictv.global=202306618")</f>
        <v>ictv.global=202306618</v>
      </c>
    </row>
    <row r="8109" spans="1:21">
      <c r="A8109">
        <v>8108</v>
      </c>
      <c r="B8109" s="30" t="s">
        <v>1226</v>
      </c>
      <c r="D8109" s="30" t="s">
        <v>2024</v>
      </c>
      <c r="F8109" s="30" t="s">
        <v>2032</v>
      </c>
      <c r="H8109" s="30" t="s">
        <v>2044</v>
      </c>
      <c r="J8109" s="30" t="s">
        <v>2045</v>
      </c>
      <c r="L8109" s="30" t="s">
        <v>215</v>
      </c>
      <c r="M8109" s="30" t="s">
        <v>1313</v>
      </c>
      <c r="N8109" s="30" t="s">
        <v>300</v>
      </c>
      <c r="P8109" s="30" t="s">
        <v>9423</v>
      </c>
      <c r="Q8109" t="s">
        <v>621</v>
      </c>
      <c r="R8109" t="s">
        <v>920</v>
      </c>
      <c r="S8109">
        <v>38</v>
      </c>
      <c r="T8109" s="29" t="str">
        <f t="shared" si="348"/>
        <v>2022.015P.Tombusviridae_rename.zip</v>
      </c>
      <c r="U8109" s="29" t="str">
        <f>HYPERLINK("https://ictv.global/taxonomy/taxondetails?taxnode_id=202303772","ictv.global=202303772")</f>
        <v>ictv.global=202303772</v>
      </c>
    </row>
    <row r="8110" spans="1:21">
      <c r="A8110">
        <v>8109</v>
      </c>
      <c r="B8110" s="30" t="s">
        <v>1226</v>
      </c>
      <c r="D8110" s="30" t="s">
        <v>2024</v>
      </c>
      <c r="F8110" s="30" t="s">
        <v>2032</v>
      </c>
      <c r="H8110" s="30" t="s">
        <v>2044</v>
      </c>
      <c r="J8110" s="30" t="s">
        <v>2045</v>
      </c>
      <c r="L8110" s="30" t="s">
        <v>215</v>
      </c>
      <c r="M8110" s="30" t="s">
        <v>1313</v>
      </c>
      <c r="N8110" s="30" t="s">
        <v>300</v>
      </c>
      <c r="P8110" s="30" t="s">
        <v>9424</v>
      </c>
      <c r="Q8110" t="s">
        <v>621</v>
      </c>
      <c r="R8110" t="s">
        <v>920</v>
      </c>
      <c r="S8110">
        <v>38</v>
      </c>
      <c r="T8110" s="29" t="str">
        <f t="shared" si="348"/>
        <v>2022.015P.Tombusviridae_rename.zip</v>
      </c>
      <c r="U8110" s="29" t="str">
        <f>HYPERLINK("https://ictv.global/taxonomy/taxondetails?taxnode_id=202303765","ictv.global=202303765")</f>
        <v>ictv.global=202303765</v>
      </c>
    </row>
    <row r="8111" spans="1:21">
      <c r="A8111">
        <v>8110</v>
      </c>
      <c r="B8111" s="30" t="s">
        <v>1226</v>
      </c>
      <c r="D8111" s="30" t="s">
        <v>2024</v>
      </c>
      <c r="F8111" s="30" t="s">
        <v>2032</v>
      </c>
      <c r="H8111" s="30" t="s">
        <v>2044</v>
      </c>
      <c r="J8111" s="30" t="s">
        <v>2045</v>
      </c>
      <c r="L8111" s="30" t="s">
        <v>215</v>
      </c>
      <c r="M8111" s="30" t="s">
        <v>1313</v>
      </c>
      <c r="N8111" s="30" t="s">
        <v>300</v>
      </c>
      <c r="P8111" s="30" t="s">
        <v>9425</v>
      </c>
      <c r="Q8111" t="s">
        <v>621</v>
      </c>
      <c r="R8111" t="s">
        <v>920</v>
      </c>
      <c r="S8111">
        <v>38</v>
      </c>
      <c r="T8111" s="29" t="str">
        <f t="shared" si="348"/>
        <v>2022.015P.Tombusviridae_rename.zip</v>
      </c>
      <c r="U8111" s="29" t="str">
        <f>HYPERLINK("https://ictv.global/taxonomy/taxondetails?taxnode_id=202303766","ictv.global=202303766")</f>
        <v>ictv.global=202303766</v>
      </c>
    </row>
    <row r="8112" spans="1:21">
      <c r="A8112">
        <v>8111</v>
      </c>
      <c r="B8112" s="30" t="s">
        <v>1226</v>
      </c>
      <c r="D8112" s="30" t="s">
        <v>2024</v>
      </c>
      <c r="F8112" s="30" t="s">
        <v>2032</v>
      </c>
      <c r="H8112" s="30" t="s">
        <v>2044</v>
      </c>
      <c r="J8112" s="30" t="s">
        <v>2045</v>
      </c>
      <c r="L8112" s="30" t="s">
        <v>215</v>
      </c>
      <c r="M8112" s="30" t="s">
        <v>1313</v>
      </c>
      <c r="N8112" s="30" t="s">
        <v>300</v>
      </c>
      <c r="P8112" s="30" t="s">
        <v>9426</v>
      </c>
      <c r="Q8112" t="s">
        <v>621</v>
      </c>
      <c r="R8112" t="s">
        <v>920</v>
      </c>
      <c r="S8112">
        <v>38</v>
      </c>
      <c r="T8112" s="29" t="str">
        <f t="shared" si="348"/>
        <v>2022.015P.Tombusviridae_rename.zip</v>
      </c>
      <c r="U8112" s="29" t="str">
        <f>HYPERLINK("https://ictv.global/taxonomy/taxondetails?taxnode_id=202307551","ictv.global=202307551")</f>
        <v>ictv.global=202307551</v>
      </c>
    </row>
    <row r="8113" spans="1:21">
      <c r="A8113">
        <v>8112</v>
      </c>
      <c r="B8113" s="30" t="s">
        <v>1226</v>
      </c>
      <c r="D8113" s="30" t="s">
        <v>2024</v>
      </c>
      <c r="F8113" s="30" t="s">
        <v>2032</v>
      </c>
      <c r="H8113" s="30" t="s">
        <v>2044</v>
      </c>
      <c r="J8113" s="30" t="s">
        <v>2045</v>
      </c>
      <c r="L8113" s="30" t="s">
        <v>215</v>
      </c>
      <c r="M8113" s="30" t="s">
        <v>1313</v>
      </c>
      <c r="N8113" s="30" t="s">
        <v>300</v>
      </c>
      <c r="P8113" s="30" t="s">
        <v>9427</v>
      </c>
      <c r="Q8113" t="s">
        <v>621</v>
      </c>
      <c r="R8113" t="s">
        <v>918</v>
      </c>
      <c r="S8113">
        <v>39</v>
      </c>
      <c r="T8113" s="29" t="str">
        <f>HYPERLINK("https://ictv.global/ictv/proposals/2023.019P.Solemoviridae_rename_sp.zip","2023.019P.Solemoviridae_rename_sp.zip")</f>
        <v>2023.019P.Solemoviridae_rename_sp.zip</v>
      </c>
      <c r="U8113" s="29" t="str">
        <f>HYPERLINK("https://ictv.global/taxonomy/taxondetails?taxnode_id=202303767","ictv.global=202303767")</f>
        <v>ictv.global=202303767</v>
      </c>
    </row>
    <row r="8114" spans="1:21">
      <c r="A8114">
        <v>8113</v>
      </c>
      <c r="B8114" s="30" t="s">
        <v>1226</v>
      </c>
      <c r="D8114" s="30" t="s">
        <v>2024</v>
      </c>
      <c r="F8114" s="30" t="s">
        <v>2032</v>
      </c>
      <c r="H8114" s="30" t="s">
        <v>2044</v>
      </c>
      <c r="J8114" s="30" t="s">
        <v>2045</v>
      </c>
      <c r="L8114" s="30" t="s">
        <v>215</v>
      </c>
      <c r="M8114" s="30" t="s">
        <v>1313</v>
      </c>
      <c r="N8114" s="30" t="s">
        <v>300</v>
      </c>
      <c r="P8114" s="30" t="s">
        <v>9428</v>
      </c>
      <c r="Q8114" t="s">
        <v>621</v>
      </c>
      <c r="R8114" t="s">
        <v>920</v>
      </c>
      <c r="S8114">
        <v>38</v>
      </c>
      <c r="T8114" s="29" t="str">
        <f>HYPERLINK("https://ictv.global/ictv/proposals/2022.015P.Tombusviridae_rename.zip","2022.015P.Tombusviridae_rename.zip")</f>
        <v>2022.015P.Tombusviridae_rename.zip</v>
      </c>
      <c r="U8114" s="29" t="str">
        <f>HYPERLINK("https://ictv.global/taxonomy/taxondetails?taxnode_id=202306615","ictv.global=202306615")</f>
        <v>ictv.global=202306615</v>
      </c>
    </row>
    <row r="8115" spans="1:21">
      <c r="A8115">
        <v>8114</v>
      </c>
      <c r="B8115" s="30" t="s">
        <v>1226</v>
      </c>
      <c r="D8115" s="30" t="s">
        <v>2024</v>
      </c>
      <c r="F8115" s="30" t="s">
        <v>2032</v>
      </c>
      <c r="H8115" s="30" t="s">
        <v>2044</v>
      </c>
      <c r="J8115" s="30" t="s">
        <v>2045</v>
      </c>
      <c r="L8115" s="30" t="s">
        <v>215</v>
      </c>
      <c r="M8115" s="30" t="s">
        <v>1313</v>
      </c>
      <c r="N8115" s="30" t="s">
        <v>300</v>
      </c>
      <c r="P8115" s="30" t="s">
        <v>9429</v>
      </c>
      <c r="Q8115" t="s">
        <v>621</v>
      </c>
      <c r="R8115" t="s">
        <v>920</v>
      </c>
      <c r="S8115">
        <v>38</v>
      </c>
      <c r="T8115" s="29" t="str">
        <f>HYPERLINK("https://ictv.global/ictv/proposals/2022.015P.Tombusviridae_rename.zip","2022.015P.Tombusviridae_rename.zip")</f>
        <v>2022.015P.Tombusviridae_rename.zip</v>
      </c>
      <c r="U8115" s="29" t="str">
        <f>HYPERLINK("https://ictv.global/taxonomy/taxondetails?taxnode_id=202303768","ictv.global=202303768")</f>
        <v>ictv.global=202303768</v>
      </c>
    </row>
    <row r="8116" spans="1:21">
      <c r="A8116">
        <v>8115</v>
      </c>
      <c r="B8116" s="30" t="s">
        <v>1226</v>
      </c>
      <c r="D8116" s="30" t="s">
        <v>2024</v>
      </c>
      <c r="F8116" s="30" t="s">
        <v>2032</v>
      </c>
      <c r="H8116" s="30" t="s">
        <v>2044</v>
      </c>
      <c r="J8116" s="30" t="s">
        <v>2045</v>
      </c>
      <c r="L8116" s="30" t="s">
        <v>215</v>
      </c>
      <c r="M8116" s="30" t="s">
        <v>1313</v>
      </c>
      <c r="N8116" s="30" t="s">
        <v>300</v>
      </c>
      <c r="P8116" s="30" t="s">
        <v>9430</v>
      </c>
      <c r="Q8116" t="s">
        <v>621</v>
      </c>
      <c r="R8116" t="s">
        <v>918</v>
      </c>
      <c r="S8116">
        <v>39</v>
      </c>
      <c r="T8116" s="29" t="str">
        <f>HYPERLINK("https://ictv.global/ictv/proposals/2023.019P.Solemoviridae_rename_sp.zip","2023.019P.Solemoviridae_rename_sp.zip")</f>
        <v>2023.019P.Solemoviridae_rename_sp.zip</v>
      </c>
      <c r="U8116" s="29" t="str">
        <f>HYPERLINK("https://ictv.global/taxonomy/taxondetails?taxnode_id=202303769","ictv.global=202303769")</f>
        <v>ictv.global=202303769</v>
      </c>
    </row>
    <row r="8117" spans="1:21">
      <c r="A8117">
        <v>8116</v>
      </c>
      <c r="B8117" s="30" t="s">
        <v>1226</v>
      </c>
      <c r="D8117" s="30" t="s">
        <v>2024</v>
      </c>
      <c r="F8117" s="30" t="s">
        <v>2032</v>
      </c>
      <c r="H8117" s="30" t="s">
        <v>2044</v>
      </c>
      <c r="J8117" s="30" t="s">
        <v>2045</v>
      </c>
      <c r="L8117" s="30" t="s">
        <v>215</v>
      </c>
      <c r="M8117" s="30" t="s">
        <v>1313</v>
      </c>
      <c r="N8117" s="30" t="s">
        <v>300</v>
      </c>
      <c r="P8117" s="30" t="s">
        <v>9431</v>
      </c>
      <c r="Q8117" t="s">
        <v>621</v>
      </c>
      <c r="R8117" t="s">
        <v>920</v>
      </c>
      <c r="S8117">
        <v>38</v>
      </c>
      <c r="T8117" s="29" t="str">
        <f>HYPERLINK("https://ictv.global/ictv/proposals/2022.015P.Tombusviridae_rename.zip","2022.015P.Tombusviridae_rename.zip")</f>
        <v>2022.015P.Tombusviridae_rename.zip</v>
      </c>
      <c r="U8117" s="29" t="str">
        <f>HYPERLINK("https://ictv.global/taxonomy/taxondetails?taxnode_id=202303770","ictv.global=202303770")</f>
        <v>ictv.global=202303770</v>
      </c>
    </row>
    <row r="8118" spans="1:21">
      <c r="A8118">
        <v>8117</v>
      </c>
      <c r="B8118" s="30" t="s">
        <v>1226</v>
      </c>
      <c r="D8118" s="30" t="s">
        <v>2024</v>
      </c>
      <c r="F8118" s="30" t="s">
        <v>2032</v>
      </c>
      <c r="H8118" s="30" t="s">
        <v>2044</v>
      </c>
      <c r="J8118" s="30" t="s">
        <v>2045</v>
      </c>
      <c r="L8118" s="30" t="s">
        <v>215</v>
      </c>
      <c r="M8118" s="30" t="s">
        <v>1313</v>
      </c>
      <c r="N8118" s="30" t="s">
        <v>300</v>
      </c>
      <c r="P8118" s="30" t="s">
        <v>9432</v>
      </c>
      <c r="Q8118" t="s">
        <v>621</v>
      </c>
      <c r="R8118" t="s">
        <v>920</v>
      </c>
      <c r="S8118">
        <v>38</v>
      </c>
      <c r="T8118" s="29" t="str">
        <f>HYPERLINK("https://ictv.global/ictv/proposals/2022.015P.Tombusviridae_rename.zip","2022.015P.Tombusviridae_rename.zip")</f>
        <v>2022.015P.Tombusviridae_rename.zip</v>
      </c>
      <c r="U8118" s="29" t="str">
        <f>HYPERLINK("https://ictv.global/taxonomy/taxondetails?taxnode_id=202303771","ictv.global=202303771")</f>
        <v>ictv.global=202303771</v>
      </c>
    </row>
    <row r="8119" spans="1:21">
      <c r="A8119">
        <v>8118</v>
      </c>
      <c r="B8119" s="30" t="s">
        <v>1226</v>
      </c>
      <c r="D8119" s="30" t="s">
        <v>2024</v>
      </c>
      <c r="F8119" s="30" t="s">
        <v>2032</v>
      </c>
      <c r="H8119" s="30" t="s">
        <v>2044</v>
      </c>
      <c r="J8119" s="30" t="s">
        <v>2045</v>
      </c>
      <c r="L8119" s="30" t="s">
        <v>215</v>
      </c>
      <c r="M8119" s="30" t="s">
        <v>1313</v>
      </c>
      <c r="N8119" s="30" t="s">
        <v>300</v>
      </c>
      <c r="P8119" s="30" t="s">
        <v>14762</v>
      </c>
      <c r="Q8119" t="s">
        <v>621</v>
      </c>
      <c r="R8119" t="s">
        <v>918</v>
      </c>
      <c r="S8119">
        <v>39</v>
      </c>
      <c r="T8119" s="29" t="str">
        <f>HYPERLINK("https://ictv.global/ictv/proposals/2023.019P.Solemoviridae_rename_sp.zip","2023.019P.Solemoviridae_rename_sp.zip")</f>
        <v>2023.019P.Solemoviridae_rename_sp.zip</v>
      </c>
      <c r="U8119" s="29" t="str">
        <f>HYPERLINK("https://ictv.global/taxonomy/taxondetails?taxnode_id=202303793","ictv.global=202303793")</f>
        <v>ictv.global=202303793</v>
      </c>
    </row>
    <row r="8120" spans="1:21">
      <c r="A8120">
        <v>8119</v>
      </c>
      <c r="B8120" s="30" t="s">
        <v>1226</v>
      </c>
      <c r="D8120" s="30" t="s">
        <v>2024</v>
      </c>
      <c r="F8120" s="30" t="s">
        <v>2032</v>
      </c>
      <c r="H8120" s="30" t="s">
        <v>2044</v>
      </c>
      <c r="J8120" s="30" t="s">
        <v>2045</v>
      </c>
      <c r="L8120" s="30" t="s">
        <v>215</v>
      </c>
      <c r="M8120" s="30" t="s">
        <v>1313</v>
      </c>
      <c r="N8120" s="30" t="s">
        <v>300</v>
      </c>
      <c r="P8120" s="30" t="s">
        <v>9433</v>
      </c>
      <c r="Q8120" t="s">
        <v>621</v>
      </c>
      <c r="R8120" t="s">
        <v>920</v>
      </c>
      <c r="S8120">
        <v>38</v>
      </c>
      <c r="T8120" s="29" t="str">
        <f>HYPERLINK("https://ictv.global/ictv/proposals/2022.015P.Tombusviridae_rename.zip","2022.015P.Tombusviridae_rename.zip")</f>
        <v>2022.015P.Tombusviridae_rename.zip</v>
      </c>
      <c r="U8120" s="29" t="str">
        <f>HYPERLINK("https://ictv.global/taxonomy/taxondetails?taxnode_id=202307550","ictv.global=202307550")</f>
        <v>ictv.global=202307550</v>
      </c>
    </row>
    <row r="8121" spans="1:21">
      <c r="A8121">
        <v>8120</v>
      </c>
      <c r="B8121" s="30" t="s">
        <v>1226</v>
      </c>
      <c r="D8121" s="30" t="s">
        <v>2024</v>
      </c>
      <c r="F8121" s="30" t="s">
        <v>2032</v>
      </c>
      <c r="H8121" s="30" t="s">
        <v>2044</v>
      </c>
      <c r="J8121" s="30" t="s">
        <v>2045</v>
      </c>
      <c r="L8121" s="30" t="s">
        <v>215</v>
      </c>
      <c r="M8121" s="30" t="s">
        <v>1313</v>
      </c>
      <c r="N8121" s="30" t="s">
        <v>300</v>
      </c>
      <c r="P8121" s="30" t="s">
        <v>9434</v>
      </c>
      <c r="Q8121" t="s">
        <v>621</v>
      </c>
      <c r="R8121" t="s">
        <v>920</v>
      </c>
      <c r="S8121">
        <v>38</v>
      </c>
      <c r="T8121" s="29" t="str">
        <f>HYPERLINK("https://ictv.global/ictv/proposals/2022.015P.Tombusviridae_rename.zip","2022.015P.Tombusviridae_rename.zip")</f>
        <v>2022.015P.Tombusviridae_rename.zip</v>
      </c>
      <c r="U8121" s="29" t="str">
        <f>HYPERLINK("https://ictv.global/taxonomy/taxondetails?taxnode_id=202307552","ictv.global=202307552")</f>
        <v>ictv.global=202307552</v>
      </c>
    </row>
    <row r="8122" spans="1:21">
      <c r="A8122">
        <v>8121</v>
      </c>
      <c r="B8122" s="30" t="s">
        <v>1226</v>
      </c>
      <c r="D8122" s="30" t="s">
        <v>2024</v>
      </c>
      <c r="F8122" s="30" t="s">
        <v>2046</v>
      </c>
      <c r="H8122" s="30" t="s">
        <v>2047</v>
      </c>
      <c r="J8122" s="30" t="s">
        <v>2048</v>
      </c>
      <c r="L8122" s="30" t="s">
        <v>284</v>
      </c>
      <c r="N8122" s="30" t="s">
        <v>261</v>
      </c>
      <c r="P8122" s="30" t="s">
        <v>14763</v>
      </c>
      <c r="Q8122" t="s">
        <v>621</v>
      </c>
      <c r="R8122" t="s">
        <v>920</v>
      </c>
      <c r="S8122">
        <v>39</v>
      </c>
      <c r="T8122" s="29" t="str">
        <f>HYPERLINK("https://ictv.global/ictv/proposals/2023.003F.Narnaviridae_spren.zip","2023.003F.Narnaviridae_spren.zip")</f>
        <v>2023.003F.Narnaviridae_spren.zip</v>
      </c>
      <c r="U8122" s="29" t="str">
        <f>HYPERLINK("https://ictv.global/taxonomy/taxondetails?taxnode_id=202303918","ictv.global=202303918")</f>
        <v>ictv.global=202303918</v>
      </c>
    </row>
    <row r="8123" spans="1:21">
      <c r="A8123">
        <v>8122</v>
      </c>
      <c r="B8123" s="30" t="s">
        <v>1226</v>
      </c>
      <c r="D8123" s="30" t="s">
        <v>2024</v>
      </c>
      <c r="F8123" s="30" t="s">
        <v>2046</v>
      </c>
      <c r="H8123" s="30" t="s">
        <v>2047</v>
      </c>
      <c r="J8123" s="30" t="s">
        <v>2048</v>
      </c>
      <c r="L8123" s="30" t="s">
        <v>284</v>
      </c>
      <c r="N8123" s="30" t="s">
        <v>261</v>
      </c>
      <c r="P8123" s="30" t="s">
        <v>14764</v>
      </c>
      <c r="Q8123" t="s">
        <v>621</v>
      </c>
      <c r="R8123" t="s">
        <v>920</v>
      </c>
      <c r="S8123">
        <v>39</v>
      </c>
      <c r="T8123" s="29" t="str">
        <f>HYPERLINK("https://ictv.global/ictv/proposals/2023.003F.Narnaviridae_spren.zip","2023.003F.Narnaviridae_spren.zip")</f>
        <v>2023.003F.Narnaviridae_spren.zip</v>
      </c>
      <c r="U8123" s="29" t="str">
        <f>HYPERLINK("https://ictv.global/taxonomy/taxondetails?taxnode_id=202303917","ictv.global=202303917")</f>
        <v>ictv.global=202303917</v>
      </c>
    </row>
    <row r="8124" spans="1:21">
      <c r="A8124">
        <v>8123</v>
      </c>
      <c r="B8124" s="30" t="s">
        <v>1226</v>
      </c>
      <c r="D8124" s="30" t="s">
        <v>2024</v>
      </c>
      <c r="F8124" s="30" t="s">
        <v>2046</v>
      </c>
      <c r="H8124" s="30" t="s">
        <v>2049</v>
      </c>
      <c r="J8124" s="30" t="s">
        <v>2050</v>
      </c>
      <c r="L8124" s="30" t="s">
        <v>2051</v>
      </c>
      <c r="N8124" s="30" t="s">
        <v>9435</v>
      </c>
      <c r="P8124" s="30" t="s">
        <v>9436</v>
      </c>
      <c r="Q8124" t="s">
        <v>621</v>
      </c>
      <c r="R8124" t="s">
        <v>917</v>
      </c>
      <c r="S8124">
        <v>37</v>
      </c>
      <c r="T8124" s="29" t="str">
        <f t="shared" ref="T8124:T8155" si="349">HYPERLINK("https://ictv.global/ictv/proposals/2021.003F.R.Mitoviridae_100nsp_4ngen.zip","2021.003F.R.Mitoviridae_100nsp_4ngen.zip")</f>
        <v>2021.003F.R.Mitoviridae_100nsp_4ngen.zip</v>
      </c>
      <c r="U8124" s="29" t="str">
        <f>HYPERLINK("https://ictv.global/taxonomy/taxondetails?taxnode_id=202313794","ictv.global=202313794")</f>
        <v>ictv.global=202313794</v>
      </c>
    </row>
    <row r="8125" spans="1:21">
      <c r="A8125">
        <v>8124</v>
      </c>
      <c r="B8125" s="30" t="s">
        <v>1226</v>
      </c>
      <c r="D8125" s="30" t="s">
        <v>2024</v>
      </c>
      <c r="F8125" s="30" t="s">
        <v>2046</v>
      </c>
      <c r="H8125" s="30" t="s">
        <v>2049</v>
      </c>
      <c r="J8125" s="30" t="s">
        <v>2050</v>
      </c>
      <c r="L8125" s="30" t="s">
        <v>2051</v>
      </c>
      <c r="N8125" s="30" t="s">
        <v>9435</v>
      </c>
      <c r="P8125" s="30" t="s">
        <v>9437</v>
      </c>
      <c r="Q8125" t="s">
        <v>621</v>
      </c>
      <c r="R8125" t="s">
        <v>917</v>
      </c>
      <c r="S8125">
        <v>37</v>
      </c>
      <c r="T8125" s="29" t="str">
        <f t="shared" si="349"/>
        <v>2021.003F.R.Mitoviridae_100nsp_4ngen.zip</v>
      </c>
      <c r="U8125" s="29" t="str">
        <f>HYPERLINK("https://ictv.global/taxonomy/taxondetails?taxnode_id=202313795","ictv.global=202313795")</f>
        <v>ictv.global=202313795</v>
      </c>
    </row>
    <row r="8126" spans="1:21">
      <c r="A8126">
        <v>8125</v>
      </c>
      <c r="B8126" s="30" t="s">
        <v>1226</v>
      </c>
      <c r="D8126" s="30" t="s">
        <v>2024</v>
      </c>
      <c r="F8126" s="30" t="s">
        <v>2046</v>
      </c>
      <c r="H8126" s="30" t="s">
        <v>2049</v>
      </c>
      <c r="J8126" s="30" t="s">
        <v>2050</v>
      </c>
      <c r="L8126" s="30" t="s">
        <v>2051</v>
      </c>
      <c r="N8126" s="30" t="s">
        <v>9435</v>
      </c>
      <c r="P8126" s="30" t="s">
        <v>9438</v>
      </c>
      <c r="Q8126" t="s">
        <v>621</v>
      </c>
      <c r="R8126" t="s">
        <v>917</v>
      </c>
      <c r="S8126">
        <v>37</v>
      </c>
      <c r="T8126" s="29" t="str">
        <f t="shared" si="349"/>
        <v>2021.003F.R.Mitoviridae_100nsp_4ngen.zip</v>
      </c>
      <c r="U8126" s="29" t="str">
        <f>HYPERLINK("https://ictv.global/taxonomy/taxondetails?taxnode_id=202313796","ictv.global=202313796")</f>
        <v>ictv.global=202313796</v>
      </c>
    </row>
    <row r="8127" spans="1:21">
      <c r="A8127">
        <v>8126</v>
      </c>
      <c r="B8127" s="30" t="s">
        <v>1226</v>
      </c>
      <c r="D8127" s="30" t="s">
        <v>2024</v>
      </c>
      <c r="F8127" s="30" t="s">
        <v>2046</v>
      </c>
      <c r="H8127" s="30" t="s">
        <v>2049</v>
      </c>
      <c r="J8127" s="30" t="s">
        <v>2050</v>
      </c>
      <c r="L8127" s="30" t="s">
        <v>2051</v>
      </c>
      <c r="N8127" s="30" t="s">
        <v>9435</v>
      </c>
      <c r="P8127" s="30" t="s">
        <v>9439</v>
      </c>
      <c r="Q8127" t="s">
        <v>621</v>
      </c>
      <c r="R8127" t="s">
        <v>917</v>
      </c>
      <c r="S8127">
        <v>37</v>
      </c>
      <c r="T8127" s="29" t="str">
        <f t="shared" si="349"/>
        <v>2021.003F.R.Mitoviridae_100nsp_4ngen.zip</v>
      </c>
      <c r="U8127" s="29" t="str">
        <f>HYPERLINK("https://ictv.global/taxonomy/taxondetails?taxnode_id=202313798","ictv.global=202313798")</f>
        <v>ictv.global=202313798</v>
      </c>
    </row>
    <row r="8128" spans="1:21">
      <c r="A8128">
        <v>8127</v>
      </c>
      <c r="B8128" s="30" t="s">
        <v>1226</v>
      </c>
      <c r="D8128" s="30" t="s">
        <v>2024</v>
      </c>
      <c r="F8128" s="30" t="s">
        <v>2046</v>
      </c>
      <c r="H8128" s="30" t="s">
        <v>2049</v>
      </c>
      <c r="J8128" s="30" t="s">
        <v>2050</v>
      </c>
      <c r="L8128" s="30" t="s">
        <v>2051</v>
      </c>
      <c r="N8128" s="30" t="s">
        <v>9435</v>
      </c>
      <c r="P8128" s="30" t="s">
        <v>9440</v>
      </c>
      <c r="Q8128" t="s">
        <v>621</v>
      </c>
      <c r="R8128" t="s">
        <v>917</v>
      </c>
      <c r="S8128">
        <v>37</v>
      </c>
      <c r="T8128" s="29" t="str">
        <f t="shared" si="349"/>
        <v>2021.003F.R.Mitoviridae_100nsp_4ngen.zip</v>
      </c>
      <c r="U8128" s="29" t="str">
        <f>HYPERLINK("https://ictv.global/taxonomy/taxondetails?taxnode_id=202313799","ictv.global=202313799")</f>
        <v>ictv.global=202313799</v>
      </c>
    </row>
    <row r="8129" spans="1:21">
      <c r="A8129">
        <v>8128</v>
      </c>
      <c r="B8129" s="30" t="s">
        <v>1226</v>
      </c>
      <c r="D8129" s="30" t="s">
        <v>2024</v>
      </c>
      <c r="F8129" s="30" t="s">
        <v>2046</v>
      </c>
      <c r="H8129" s="30" t="s">
        <v>2049</v>
      </c>
      <c r="J8129" s="30" t="s">
        <v>2050</v>
      </c>
      <c r="L8129" s="30" t="s">
        <v>2051</v>
      </c>
      <c r="N8129" s="30" t="s">
        <v>9435</v>
      </c>
      <c r="P8129" s="30" t="s">
        <v>9441</v>
      </c>
      <c r="Q8129" t="s">
        <v>621</v>
      </c>
      <c r="R8129" t="s">
        <v>917</v>
      </c>
      <c r="S8129">
        <v>37</v>
      </c>
      <c r="T8129" s="29" t="str">
        <f t="shared" si="349"/>
        <v>2021.003F.R.Mitoviridae_100nsp_4ngen.zip</v>
      </c>
      <c r="U8129" s="29" t="str">
        <f>HYPERLINK("https://ictv.global/taxonomy/taxondetails?taxnode_id=202313797","ictv.global=202313797")</f>
        <v>ictv.global=202313797</v>
      </c>
    </row>
    <row r="8130" spans="1:21">
      <c r="A8130">
        <v>8129</v>
      </c>
      <c r="B8130" s="30" t="s">
        <v>1226</v>
      </c>
      <c r="D8130" s="30" t="s">
        <v>2024</v>
      </c>
      <c r="F8130" s="30" t="s">
        <v>2046</v>
      </c>
      <c r="H8130" s="30" t="s">
        <v>2049</v>
      </c>
      <c r="J8130" s="30" t="s">
        <v>2050</v>
      </c>
      <c r="L8130" s="30" t="s">
        <v>2051</v>
      </c>
      <c r="N8130" s="30" t="s">
        <v>9435</v>
      </c>
      <c r="P8130" s="30" t="s">
        <v>9442</v>
      </c>
      <c r="Q8130" t="s">
        <v>621</v>
      </c>
      <c r="R8130" t="s">
        <v>917</v>
      </c>
      <c r="S8130">
        <v>37</v>
      </c>
      <c r="T8130" s="29" t="str">
        <f t="shared" si="349"/>
        <v>2021.003F.R.Mitoviridae_100nsp_4ngen.zip</v>
      </c>
      <c r="U8130" s="29" t="str">
        <f>HYPERLINK("https://ictv.global/taxonomy/taxondetails?taxnode_id=202313800","ictv.global=202313800")</f>
        <v>ictv.global=202313800</v>
      </c>
    </row>
    <row r="8131" spans="1:21">
      <c r="A8131">
        <v>8130</v>
      </c>
      <c r="B8131" s="30" t="s">
        <v>1226</v>
      </c>
      <c r="D8131" s="30" t="s">
        <v>2024</v>
      </c>
      <c r="F8131" s="30" t="s">
        <v>2046</v>
      </c>
      <c r="H8131" s="30" t="s">
        <v>2049</v>
      </c>
      <c r="J8131" s="30" t="s">
        <v>2050</v>
      </c>
      <c r="L8131" s="30" t="s">
        <v>2051</v>
      </c>
      <c r="N8131" s="30" t="s">
        <v>9435</v>
      </c>
      <c r="P8131" s="30" t="s">
        <v>9443</v>
      </c>
      <c r="Q8131" t="s">
        <v>621</v>
      </c>
      <c r="R8131" t="s">
        <v>917</v>
      </c>
      <c r="S8131">
        <v>37</v>
      </c>
      <c r="T8131" s="29" t="str">
        <f t="shared" si="349"/>
        <v>2021.003F.R.Mitoviridae_100nsp_4ngen.zip</v>
      </c>
      <c r="U8131" s="29" t="str">
        <f>HYPERLINK("https://ictv.global/taxonomy/taxondetails?taxnode_id=202313801","ictv.global=202313801")</f>
        <v>ictv.global=202313801</v>
      </c>
    </row>
    <row r="8132" spans="1:21">
      <c r="A8132">
        <v>8131</v>
      </c>
      <c r="B8132" s="30" t="s">
        <v>1226</v>
      </c>
      <c r="D8132" s="30" t="s">
        <v>2024</v>
      </c>
      <c r="F8132" s="30" t="s">
        <v>2046</v>
      </c>
      <c r="H8132" s="30" t="s">
        <v>2049</v>
      </c>
      <c r="J8132" s="30" t="s">
        <v>2050</v>
      </c>
      <c r="L8132" s="30" t="s">
        <v>2051</v>
      </c>
      <c r="N8132" s="30" t="s">
        <v>9435</v>
      </c>
      <c r="P8132" s="30" t="s">
        <v>9444</v>
      </c>
      <c r="Q8132" t="s">
        <v>621</v>
      </c>
      <c r="R8132" t="s">
        <v>917</v>
      </c>
      <c r="S8132">
        <v>37</v>
      </c>
      <c r="T8132" s="29" t="str">
        <f t="shared" si="349"/>
        <v>2021.003F.R.Mitoviridae_100nsp_4ngen.zip</v>
      </c>
      <c r="U8132" s="29" t="str">
        <f>HYPERLINK("https://ictv.global/taxonomy/taxondetails?taxnode_id=202313802","ictv.global=202313802")</f>
        <v>ictv.global=202313802</v>
      </c>
    </row>
    <row r="8133" spans="1:21">
      <c r="A8133">
        <v>8132</v>
      </c>
      <c r="B8133" s="30" t="s">
        <v>1226</v>
      </c>
      <c r="D8133" s="30" t="s">
        <v>2024</v>
      </c>
      <c r="F8133" s="30" t="s">
        <v>2046</v>
      </c>
      <c r="H8133" s="30" t="s">
        <v>2049</v>
      </c>
      <c r="J8133" s="30" t="s">
        <v>2050</v>
      </c>
      <c r="L8133" s="30" t="s">
        <v>2051</v>
      </c>
      <c r="N8133" s="30" t="s">
        <v>9435</v>
      </c>
      <c r="P8133" s="30" t="s">
        <v>9445</v>
      </c>
      <c r="Q8133" t="s">
        <v>621</v>
      </c>
      <c r="R8133" t="s">
        <v>917</v>
      </c>
      <c r="S8133">
        <v>37</v>
      </c>
      <c r="T8133" s="29" t="str">
        <f t="shared" si="349"/>
        <v>2021.003F.R.Mitoviridae_100nsp_4ngen.zip</v>
      </c>
      <c r="U8133" s="29" t="str">
        <f>HYPERLINK("https://ictv.global/taxonomy/taxondetails?taxnode_id=202313803","ictv.global=202313803")</f>
        <v>ictv.global=202313803</v>
      </c>
    </row>
    <row r="8134" spans="1:21">
      <c r="A8134">
        <v>8133</v>
      </c>
      <c r="B8134" s="30" t="s">
        <v>1226</v>
      </c>
      <c r="D8134" s="30" t="s">
        <v>2024</v>
      </c>
      <c r="F8134" s="30" t="s">
        <v>2046</v>
      </c>
      <c r="H8134" s="30" t="s">
        <v>2049</v>
      </c>
      <c r="J8134" s="30" t="s">
        <v>2050</v>
      </c>
      <c r="L8134" s="30" t="s">
        <v>2051</v>
      </c>
      <c r="N8134" s="30" t="s">
        <v>9435</v>
      </c>
      <c r="P8134" s="30" t="s">
        <v>9446</v>
      </c>
      <c r="Q8134" t="s">
        <v>621</v>
      </c>
      <c r="R8134" t="s">
        <v>917</v>
      </c>
      <c r="S8134">
        <v>37</v>
      </c>
      <c r="T8134" s="29" t="str">
        <f t="shared" si="349"/>
        <v>2021.003F.R.Mitoviridae_100nsp_4ngen.zip</v>
      </c>
      <c r="U8134" s="29" t="str">
        <f>HYPERLINK("https://ictv.global/taxonomy/taxondetails?taxnode_id=202313804","ictv.global=202313804")</f>
        <v>ictv.global=202313804</v>
      </c>
    </row>
    <row r="8135" spans="1:21">
      <c r="A8135">
        <v>8134</v>
      </c>
      <c r="B8135" s="30" t="s">
        <v>1226</v>
      </c>
      <c r="D8135" s="30" t="s">
        <v>2024</v>
      </c>
      <c r="F8135" s="30" t="s">
        <v>2046</v>
      </c>
      <c r="H8135" s="30" t="s">
        <v>2049</v>
      </c>
      <c r="J8135" s="30" t="s">
        <v>2050</v>
      </c>
      <c r="L8135" s="30" t="s">
        <v>2051</v>
      </c>
      <c r="N8135" s="30" t="s">
        <v>9435</v>
      </c>
      <c r="P8135" s="30" t="s">
        <v>9447</v>
      </c>
      <c r="Q8135" t="s">
        <v>621</v>
      </c>
      <c r="R8135" t="s">
        <v>918</v>
      </c>
      <c r="S8135">
        <v>37</v>
      </c>
      <c r="T8135" s="29" t="str">
        <f t="shared" si="349"/>
        <v>2021.003F.R.Mitoviridae_100nsp_4ngen.zip</v>
      </c>
      <c r="U8135" s="29" t="str">
        <f>HYPERLINK("https://ictv.global/taxonomy/taxondetails?taxnode_id=202303911","ictv.global=202303911")</f>
        <v>ictv.global=202303911</v>
      </c>
    </row>
    <row r="8136" spans="1:21">
      <c r="A8136">
        <v>8135</v>
      </c>
      <c r="B8136" s="30" t="s">
        <v>1226</v>
      </c>
      <c r="D8136" s="30" t="s">
        <v>2024</v>
      </c>
      <c r="F8136" s="30" t="s">
        <v>2046</v>
      </c>
      <c r="H8136" s="30" t="s">
        <v>2049</v>
      </c>
      <c r="J8136" s="30" t="s">
        <v>2050</v>
      </c>
      <c r="L8136" s="30" t="s">
        <v>2051</v>
      </c>
      <c r="N8136" s="30" t="s">
        <v>9435</v>
      </c>
      <c r="P8136" s="30" t="s">
        <v>9448</v>
      </c>
      <c r="Q8136" t="s">
        <v>621</v>
      </c>
      <c r="R8136" t="s">
        <v>917</v>
      </c>
      <c r="S8136">
        <v>37</v>
      </c>
      <c r="T8136" s="29" t="str">
        <f t="shared" si="349"/>
        <v>2021.003F.R.Mitoviridae_100nsp_4ngen.zip</v>
      </c>
      <c r="U8136" s="29" t="str">
        <f>HYPERLINK("https://ictv.global/taxonomy/taxondetails?taxnode_id=202313805","ictv.global=202313805")</f>
        <v>ictv.global=202313805</v>
      </c>
    </row>
    <row r="8137" spans="1:21">
      <c r="A8137">
        <v>8136</v>
      </c>
      <c r="B8137" s="30" t="s">
        <v>1226</v>
      </c>
      <c r="D8137" s="30" t="s">
        <v>2024</v>
      </c>
      <c r="F8137" s="30" t="s">
        <v>2046</v>
      </c>
      <c r="H8137" s="30" t="s">
        <v>2049</v>
      </c>
      <c r="J8137" s="30" t="s">
        <v>2050</v>
      </c>
      <c r="L8137" s="30" t="s">
        <v>2051</v>
      </c>
      <c r="N8137" s="30" t="s">
        <v>9435</v>
      </c>
      <c r="P8137" s="30" t="s">
        <v>9449</v>
      </c>
      <c r="Q8137" t="s">
        <v>621</v>
      </c>
      <c r="R8137" t="s">
        <v>917</v>
      </c>
      <c r="S8137">
        <v>37</v>
      </c>
      <c r="T8137" s="29" t="str">
        <f t="shared" si="349"/>
        <v>2021.003F.R.Mitoviridae_100nsp_4ngen.zip</v>
      </c>
      <c r="U8137" s="29" t="str">
        <f>HYPERLINK("https://ictv.global/taxonomy/taxondetails?taxnode_id=202313806","ictv.global=202313806")</f>
        <v>ictv.global=202313806</v>
      </c>
    </row>
    <row r="8138" spans="1:21">
      <c r="A8138">
        <v>8137</v>
      </c>
      <c r="B8138" s="30" t="s">
        <v>1226</v>
      </c>
      <c r="D8138" s="30" t="s">
        <v>2024</v>
      </c>
      <c r="F8138" s="30" t="s">
        <v>2046</v>
      </c>
      <c r="H8138" s="30" t="s">
        <v>2049</v>
      </c>
      <c r="J8138" s="30" t="s">
        <v>2050</v>
      </c>
      <c r="L8138" s="30" t="s">
        <v>2051</v>
      </c>
      <c r="N8138" s="30" t="s">
        <v>9435</v>
      </c>
      <c r="P8138" s="30" t="s">
        <v>9450</v>
      </c>
      <c r="Q8138" t="s">
        <v>621</v>
      </c>
      <c r="R8138" t="s">
        <v>917</v>
      </c>
      <c r="S8138">
        <v>37</v>
      </c>
      <c r="T8138" s="29" t="str">
        <f t="shared" si="349"/>
        <v>2021.003F.R.Mitoviridae_100nsp_4ngen.zip</v>
      </c>
      <c r="U8138" s="29" t="str">
        <f>HYPERLINK("https://ictv.global/taxonomy/taxondetails?taxnode_id=202313807","ictv.global=202313807")</f>
        <v>ictv.global=202313807</v>
      </c>
    </row>
    <row r="8139" spans="1:21">
      <c r="A8139">
        <v>8138</v>
      </c>
      <c r="B8139" s="30" t="s">
        <v>1226</v>
      </c>
      <c r="D8139" s="30" t="s">
        <v>2024</v>
      </c>
      <c r="F8139" s="30" t="s">
        <v>2046</v>
      </c>
      <c r="H8139" s="30" t="s">
        <v>2049</v>
      </c>
      <c r="J8139" s="30" t="s">
        <v>2050</v>
      </c>
      <c r="L8139" s="30" t="s">
        <v>2051</v>
      </c>
      <c r="N8139" s="30" t="s">
        <v>9435</v>
      </c>
      <c r="P8139" s="30" t="s">
        <v>9451</v>
      </c>
      <c r="Q8139" t="s">
        <v>621</v>
      </c>
      <c r="R8139" t="s">
        <v>917</v>
      </c>
      <c r="S8139">
        <v>37</v>
      </c>
      <c r="T8139" s="29" t="str">
        <f t="shared" si="349"/>
        <v>2021.003F.R.Mitoviridae_100nsp_4ngen.zip</v>
      </c>
      <c r="U8139" s="29" t="str">
        <f>HYPERLINK("https://ictv.global/taxonomy/taxondetails?taxnode_id=202313808","ictv.global=202313808")</f>
        <v>ictv.global=202313808</v>
      </c>
    </row>
    <row r="8140" spans="1:21">
      <c r="A8140">
        <v>8139</v>
      </c>
      <c r="B8140" s="30" t="s">
        <v>1226</v>
      </c>
      <c r="D8140" s="30" t="s">
        <v>2024</v>
      </c>
      <c r="F8140" s="30" t="s">
        <v>2046</v>
      </c>
      <c r="H8140" s="30" t="s">
        <v>2049</v>
      </c>
      <c r="J8140" s="30" t="s">
        <v>2050</v>
      </c>
      <c r="L8140" s="30" t="s">
        <v>2051</v>
      </c>
      <c r="N8140" s="30" t="s">
        <v>9435</v>
      </c>
      <c r="P8140" s="30" t="s">
        <v>9452</v>
      </c>
      <c r="Q8140" t="s">
        <v>621</v>
      </c>
      <c r="R8140" t="s">
        <v>917</v>
      </c>
      <c r="S8140">
        <v>37</v>
      </c>
      <c r="T8140" s="29" t="str">
        <f t="shared" si="349"/>
        <v>2021.003F.R.Mitoviridae_100nsp_4ngen.zip</v>
      </c>
      <c r="U8140" s="29" t="str">
        <f>HYPERLINK("https://ictv.global/taxonomy/taxondetails?taxnode_id=202313809","ictv.global=202313809")</f>
        <v>ictv.global=202313809</v>
      </c>
    </row>
    <row r="8141" spans="1:21">
      <c r="A8141">
        <v>8140</v>
      </c>
      <c r="B8141" s="30" t="s">
        <v>1226</v>
      </c>
      <c r="D8141" s="30" t="s">
        <v>2024</v>
      </c>
      <c r="F8141" s="30" t="s">
        <v>2046</v>
      </c>
      <c r="H8141" s="30" t="s">
        <v>2049</v>
      </c>
      <c r="J8141" s="30" t="s">
        <v>2050</v>
      </c>
      <c r="L8141" s="30" t="s">
        <v>2051</v>
      </c>
      <c r="N8141" s="30" t="s">
        <v>9435</v>
      </c>
      <c r="P8141" s="30" t="s">
        <v>9453</v>
      </c>
      <c r="Q8141" t="s">
        <v>621</v>
      </c>
      <c r="R8141" t="s">
        <v>917</v>
      </c>
      <c r="S8141">
        <v>37</v>
      </c>
      <c r="T8141" s="29" t="str">
        <f t="shared" si="349"/>
        <v>2021.003F.R.Mitoviridae_100nsp_4ngen.zip</v>
      </c>
      <c r="U8141" s="29" t="str">
        <f>HYPERLINK("https://ictv.global/taxonomy/taxondetails?taxnode_id=202313810","ictv.global=202313810")</f>
        <v>ictv.global=202313810</v>
      </c>
    </row>
    <row r="8142" spans="1:21">
      <c r="A8142">
        <v>8141</v>
      </c>
      <c r="B8142" s="30" t="s">
        <v>1226</v>
      </c>
      <c r="D8142" s="30" t="s">
        <v>2024</v>
      </c>
      <c r="F8142" s="30" t="s">
        <v>2046</v>
      </c>
      <c r="H8142" s="30" t="s">
        <v>2049</v>
      </c>
      <c r="J8142" s="30" t="s">
        <v>2050</v>
      </c>
      <c r="L8142" s="30" t="s">
        <v>2051</v>
      </c>
      <c r="N8142" s="30" t="s">
        <v>9435</v>
      </c>
      <c r="P8142" s="30" t="s">
        <v>9454</v>
      </c>
      <c r="Q8142" t="s">
        <v>621</v>
      </c>
      <c r="R8142" t="s">
        <v>917</v>
      </c>
      <c r="S8142">
        <v>37</v>
      </c>
      <c r="T8142" s="29" t="str">
        <f t="shared" si="349"/>
        <v>2021.003F.R.Mitoviridae_100nsp_4ngen.zip</v>
      </c>
      <c r="U8142" s="29" t="str">
        <f>HYPERLINK("https://ictv.global/taxonomy/taxondetails?taxnode_id=202313811","ictv.global=202313811")</f>
        <v>ictv.global=202313811</v>
      </c>
    </row>
    <row r="8143" spans="1:21">
      <c r="A8143">
        <v>8142</v>
      </c>
      <c r="B8143" s="30" t="s">
        <v>1226</v>
      </c>
      <c r="D8143" s="30" t="s">
        <v>2024</v>
      </c>
      <c r="F8143" s="30" t="s">
        <v>2046</v>
      </c>
      <c r="H8143" s="30" t="s">
        <v>2049</v>
      </c>
      <c r="J8143" s="30" t="s">
        <v>2050</v>
      </c>
      <c r="L8143" s="30" t="s">
        <v>2051</v>
      </c>
      <c r="N8143" s="30" t="s">
        <v>9435</v>
      </c>
      <c r="P8143" s="30" t="s">
        <v>9455</v>
      </c>
      <c r="Q8143" t="s">
        <v>621</v>
      </c>
      <c r="R8143" t="s">
        <v>917</v>
      </c>
      <c r="S8143">
        <v>37</v>
      </c>
      <c r="T8143" s="29" t="str">
        <f t="shared" si="349"/>
        <v>2021.003F.R.Mitoviridae_100nsp_4ngen.zip</v>
      </c>
      <c r="U8143" s="29" t="str">
        <f>HYPERLINK("https://ictv.global/taxonomy/taxondetails?taxnode_id=202313812","ictv.global=202313812")</f>
        <v>ictv.global=202313812</v>
      </c>
    </row>
    <row r="8144" spans="1:21">
      <c r="A8144">
        <v>8143</v>
      </c>
      <c r="B8144" s="30" t="s">
        <v>1226</v>
      </c>
      <c r="D8144" s="30" t="s">
        <v>2024</v>
      </c>
      <c r="F8144" s="30" t="s">
        <v>2046</v>
      </c>
      <c r="H8144" s="30" t="s">
        <v>2049</v>
      </c>
      <c r="J8144" s="30" t="s">
        <v>2050</v>
      </c>
      <c r="L8144" s="30" t="s">
        <v>2051</v>
      </c>
      <c r="N8144" s="30" t="s">
        <v>9435</v>
      </c>
      <c r="P8144" s="30" t="s">
        <v>9456</v>
      </c>
      <c r="Q8144" t="s">
        <v>621</v>
      </c>
      <c r="R8144" t="s">
        <v>917</v>
      </c>
      <c r="S8144">
        <v>37</v>
      </c>
      <c r="T8144" s="29" t="str">
        <f t="shared" si="349"/>
        <v>2021.003F.R.Mitoviridae_100nsp_4ngen.zip</v>
      </c>
      <c r="U8144" s="29" t="str">
        <f>HYPERLINK("https://ictv.global/taxonomy/taxondetails?taxnode_id=202313813","ictv.global=202313813")</f>
        <v>ictv.global=202313813</v>
      </c>
    </row>
    <row r="8145" spans="1:21">
      <c r="A8145">
        <v>8144</v>
      </c>
      <c r="B8145" s="30" t="s">
        <v>1226</v>
      </c>
      <c r="D8145" s="30" t="s">
        <v>2024</v>
      </c>
      <c r="F8145" s="30" t="s">
        <v>2046</v>
      </c>
      <c r="H8145" s="30" t="s">
        <v>2049</v>
      </c>
      <c r="J8145" s="30" t="s">
        <v>2050</v>
      </c>
      <c r="L8145" s="30" t="s">
        <v>2051</v>
      </c>
      <c r="N8145" s="30" t="s">
        <v>9435</v>
      </c>
      <c r="P8145" s="30" t="s">
        <v>9457</v>
      </c>
      <c r="Q8145" t="s">
        <v>621</v>
      </c>
      <c r="R8145" t="s">
        <v>917</v>
      </c>
      <c r="S8145">
        <v>37</v>
      </c>
      <c r="T8145" s="29" t="str">
        <f t="shared" si="349"/>
        <v>2021.003F.R.Mitoviridae_100nsp_4ngen.zip</v>
      </c>
      <c r="U8145" s="29" t="str">
        <f>HYPERLINK("https://ictv.global/taxonomy/taxondetails?taxnode_id=202313814","ictv.global=202313814")</f>
        <v>ictv.global=202313814</v>
      </c>
    </row>
    <row r="8146" spans="1:21">
      <c r="A8146">
        <v>8145</v>
      </c>
      <c r="B8146" s="30" t="s">
        <v>1226</v>
      </c>
      <c r="D8146" s="30" t="s">
        <v>2024</v>
      </c>
      <c r="F8146" s="30" t="s">
        <v>2046</v>
      </c>
      <c r="H8146" s="30" t="s">
        <v>2049</v>
      </c>
      <c r="J8146" s="30" t="s">
        <v>2050</v>
      </c>
      <c r="L8146" s="30" t="s">
        <v>2051</v>
      </c>
      <c r="N8146" s="30" t="s">
        <v>9435</v>
      </c>
      <c r="P8146" s="30" t="s">
        <v>9458</v>
      </c>
      <c r="Q8146" t="s">
        <v>621</v>
      </c>
      <c r="R8146" t="s">
        <v>917</v>
      </c>
      <c r="S8146">
        <v>37</v>
      </c>
      <c r="T8146" s="29" t="str">
        <f t="shared" si="349"/>
        <v>2021.003F.R.Mitoviridae_100nsp_4ngen.zip</v>
      </c>
      <c r="U8146" s="29" t="str">
        <f>HYPERLINK("https://ictv.global/taxonomy/taxondetails?taxnode_id=202313815","ictv.global=202313815")</f>
        <v>ictv.global=202313815</v>
      </c>
    </row>
    <row r="8147" spans="1:21">
      <c r="A8147">
        <v>8146</v>
      </c>
      <c r="B8147" s="30" t="s">
        <v>1226</v>
      </c>
      <c r="D8147" s="30" t="s">
        <v>2024</v>
      </c>
      <c r="F8147" s="30" t="s">
        <v>2046</v>
      </c>
      <c r="H8147" s="30" t="s">
        <v>2049</v>
      </c>
      <c r="J8147" s="30" t="s">
        <v>2050</v>
      </c>
      <c r="L8147" s="30" t="s">
        <v>2051</v>
      </c>
      <c r="N8147" s="30" t="s">
        <v>9435</v>
      </c>
      <c r="P8147" s="30" t="s">
        <v>9459</v>
      </c>
      <c r="Q8147" t="s">
        <v>621</v>
      </c>
      <c r="R8147" t="s">
        <v>917</v>
      </c>
      <c r="S8147">
        <v>37</v>
      </c>
      <c r="T8147" s="29" t="str">
        <f t="shared" si="349"/>
        <v>2021.003F.R.Mitoviridae_100nsp_4ngen.zip</v>
      </c>
      <c r="U8147" s="29" t="str">
        <f>HYPERLINK("https://ictv.global/taxonomy/taxondetails?taxnode_id=202312426","ictv.global=202312426")</f>
        <v>ictv.global=202312426</v>
      </c>
    </row>
    <row r="8148" spans="1:21">
      <c r="A8148">
        <v>8147</v>
      </c>
      <c r="B8148" s="30" t="s">
        <v>1226</v>
      </c>
      <c r="D8148" s="30" t="s">
        <v>2024</v>
      </c>
      <c r="F8148" s="30" t="s">
        <v>2046</v>
      </c>
      <c r="H8148" s="30" t="s">
        <v>2049</v>
      </c>
      <c r="J8148" s="30" t="s">
        <v>2050</v>
      </c>
      <c r="L8148" s="30" t="s">
        <v>2051</v>
      </c>
      <c r="N8148" s="30" t="s">
        <v>9435</v>
      </c>
      <c r="P8148" s="30" t="s">
        <v>9460</v>
      </c>
      <c r="Q8148" t="s">
        <v>621</v>
      </c>
      <c r="R8148" t="s">
        <v>917</v>
      </c>
      <c r="S8148">
        <v>37</v>
      </c>
      <c r="T8148" s="29" t="str">
        <f t="shared" si="349"/>
        <v>2021.003F.R.Mitoviridae_100nsp_4ngen.zip</v>
      </c>
      <c r="U8148" s="29" t="str">
        <f>HYPERLINK("https://ictv.global/taxonomy/taxondetails?taxnode_id=202312427","ictv.global=202312427")</f>
        <v>ictv.global=202312427</v>
      </c>
    </row>
    <row r="8149" spans="1:21">
      <c r="A8149">
        <v>8148</v>
      </c>
      <c r="B8149" s="30" t="s">
        <v>1226</v>
      </c>
      <c r="D8149" s="30" t="s">
        <v>2024</v>
      </c>
      <c r="F8149" s="30" t="s">
        <v>2046</v>
      </c>
      <c r="H8149" s="30" t="s">
        <v>2049</v>
      </c>
      <c r="J8149" s="30" t="s">
        <v>2050</v>
      </c>
      <c r="L8149" s="30" t="s">
        <v>2051</v>
      </c>
      <c r="N8149" s="30" t="s">
        <v>9435</v>
      </c>
      <c r="P8149" s="30" t="s">
        <v>9461</v>
      </c>
      <c r="Q8149" t="s">
        <v>621</v>
      </c>
      <c r="R8149" t="s">
        <v>917</v>
      </c>
      <c r="S8149">
        <v>37</v>
      </c>
      <c r="T8149" s="29" t="str">
        <f t="shared" si="349"/>
        <v>2021.003F.R.Mitoviridae_100nsp_4ngen.zip</v>
      </c>
      <c r="U8149" s="29" t="str">
        <f>HYPERLINK("https://ictv.global/taxonomy/taxondetails?taxnode_id=202312428","ictv.global=202312428")</f>
        <v>ictv.global=202312428</v>
      </c>
    </row>
    <row r="8150" spans="1:21">
      <c r="A8150">
        <v>8149</v>
      </c>
      <c r="B8150" s="30" t="s">
        <v>1226</v>
      </c>
      <c r="D8150" s="30" t="s">
        <v>2024</v>
      </c>
      <c r="F8150" s="30" t="s">
        <v>2046</v>
      </c>
      <c r="H8150" s="30" t="s">
        <v>2049</v>
      </c>
      <c r="J8150" s="30" t="s">
        <v>2050</v>
      </c>
      <c r="L8150" s="30" t="s">
        <v>2051</v>
      </c>
      <c r="N8150" s="30" t="s">
        <v>9435</v>
      </c>
      <c r="P8150" s="30" t="s">
        <v>9462</v>
      </c>
      <c r="Q8150" t="s">
        <v>621</v>
      </c>
      <c r="R8150" t="s">
        <v>917</v>
      </c>
      <c r="S8150">
        <v>37</v>
      </c>
      <c r="T8150" s="29" t="str">
        <f t="shared" si="349"/>
        <v>2021.003F.R.Mitoviridae_100nsp_4ngen.zip</v>
      </c>
      <c r="U8150" s="29" t="str">
        <f>HYPERLINK("https://ictv.global/taxonomy/taxondetails?taxnode_id=202312429","ictv.global=202312429")</f>
        <v>ictv.global=202312429</v>
      </c>
    </row>
    <row r="8151" spans="1:21">
      <c r="A8151">
        <v>8150</v>
      </c>
      <c r="B8151" s="30" t="s">
        <v>1226</v>
      </c>
      <c r="D8151" s="30" t="s">
        <v>2024</v>
      </c>
      <c r="F8151" s="30" t="s">
        <v>2046</v>
      </c>
      <c r="H8151" s="30" t="s">
        <v>2049</v>
      </c>
      <c r="J8151" s="30" t="s">
        <v>2050</v>
      </c>
      <c r="L8151" s="30" t="s">
        <v>2051</v>
      </c>
      <c r="N8151" s="30" t="s">
        <v>9435</v>
      </c>
      <c r="P8151" s="30" t="s">
        <v>9463</v>
      </c>
      <c r="Q8151" t="s">
        <v>621</v>
      </c>
      <c r="R8151" t="s">
        <v>917</v>
      </c>
      <c r="S8151">
        <v>37</v>
      </c>
      <c r="T8151" s="29" t="str">
        <f t="shared" si="349"/>
        <v>2021.003F.R.Mitoviridae_100nsp_4ngen.zip</v>
      </c>
      <c r="U8151" s="29" t="str">
        <f>HYPERLINK("https://ictv.global/taxonomy/taxondetails?taxnode_id=202312430","ictv.global=202312430")</f>
        <v>ictv.global=202312430</v>
      </c>
    </row>
    <row r="8152" spans="1:21">
      <c r="A8152">
        <v>8151</v>
      </c>
      <c r="B8152" s="30" t="s">
        <v>1226</v>
      </c>
      <c r="D8152" s="30" t="s">
        <v>2024</v>
      </c>
      <c r="F8152" s="30" t="s">
        <v>2046</v>
      </c>
      <c r="H8152" s="30" t="s">
        <v>2049</v>
      </c>
      <c r="J8152" s="30" t="s">
        <v>2050</v>
      </c>
      <c r="L8152" s="30" t="s">
        <v>2051</v>
      </c>
      <c r="N8152" s="30" t="s">
        <v>9435</v>
      </c>
      <c r="P8152" s="30" t="s">
        <v>9464</v>
      </c>
      <c r="Q8152" t="s">
        <v>621</v>
      </c>
      <c r="R8152" t="s">
        <v>917</v>
      </c>
      <c r="S8152">
        <v>37</v>
      </c>
      <c r="T8152" s="29" t="str">
        <f t="shared" si="349"/>
        <v>2021.003F.R.Mitoviridae_100nsp_4ngen.zip</v>
      </c>
      <c r="U8152" s="29" t="str">
        <f>HYPERLINK("https://ictv.global/taxonomy/taxondetails?taxnode_id=202312431","ictv.global=202312431")</f>
        <v>ictv.global=202312431</v>
      </c>
    </row>
    <row r="8153" spans="1:21">
      <c r="A8153">
        <v>8152</v>
      </c>
      <c r="B8153" s="30" t="s">
        <v>1226</v>
      </c>
      <c r="D8153" s="30" t="s">
        <v>2024</v>
      </c>
      <c r="F8153" s="30" t="s">
        <v>2046</v>
      </c>
      <c r="H8153" s="30" t="s">
        <v>2049</v>
      </c>
      <c r="J8153" s="30" t="s">
        <v>2050</v>
      </c>
      <c r="L8153" s="30" t="s">
        <v>2051</v>
      </c>
      <c r="N8153" s="30" t="s">
        <v>9435</v>
      </c>
      <c r="P8153" s="30" t="s">
        <v>9465</v>
      </c>
      <c r="Q8153" t="s">
        <v>621</v>
      </c>
      <c r="R8153" t="s">
        <v>917</v>
      </c>
      <c r="S8153">
        <v>37</v>
      </c>
      <c r="T8153" s="29" t="str">
        <f t="shared" si="349"/>
        <v>2021.003F.R.Mitoviridae_100nsp_4ngen.zip</v>
      </c>
      <c r="U8153" s="29" t="str">
        <f>HYPERLINK("https://ictv.global/taxonomy/taxondetails?taxnode_id=202312432","ictv.global=202312432")</f>
        <v>ictv.global=202312432</v>
      </c>
    </row>
    <row r="8154" spans="1:21">
      <c r="A8154">
        <v>8153</v>
      </c>
      <c r="B8154" s="30" t="s">
        <v>1226</v>
      </c>
      <c r="D8154" s="30" t="s">
        <v>2024</v>
      </c>
      <c r="F8154" s="30" t="s">
        <v>2046</v>
      </c>
      <c r="H8154" s="30" t="s">
        <v>2049</v>
      </c>
      <c r="J8154" s="30" t="s">
        <v>2050</v>
      </c>
      <c r="L8154" s="30" t="s">
        <v>2051</v>
      </c>
      <c r="N8154" s="30" t="s">
        <v>9435</v>
      </c>
      <c r="P8154" s="30" t="s">
        <v>9466</v>
      </c>
      <c r="Q8154" t="s">
        <v>621</v>
      </c>
      <c r="R8154" t="s">
        <v>918</v>
      </c>
      <c r="S8154">
        <v>37</v>
      </c>
      <c r="T8154" s="29" t="str">
        <f t="shared" si="349"/>
        <v>2021.003F.R.Mitoviridae_100nsp_4ngen.zip</v>
      </c>
      <c r="U8154" s="29" t="str">
        <f>HYPERLINK("https://ictv.global/taxonomy/taxondetails?taxnode_id=202303915","ictv.global=202303915")</f>
        <v>ictv.global=202303915</v>
      </c>
    </row>
    <row r="8155" spans="1:21">
      <c r="A8155">
        <v>8154</v>
      </c>
      <c r="B8155" s="30" t="s">
        <v>1226</v>
      </c>
      <c r="D8155" s="30" t="s">
        <v>2024</v>
      </c>
      <c r="F8155" s="30" t="s">
        <v>2046</v>
      </c>
      <c r="H8155" s="30" t="s">
        <v>2049</v>
      </c>
      <c r="J8155" s="30" t="s">
        <v>2050</v>
      </c>
      <c r="L8155" s="30" t="s">
        <v>2051</v>
      </c>
      <c r="N8155" s="30" t="s">
        <v>9435</v>
      </c>
      <c r="P8155" s="30" t="s">
        <v>9467</v>
      </c>
      <c r="Q8155" t="s">
        <v>621</v>
      </c>
      <c r="R8155" t="s">
        <v>917</v>
      </c>
      <c r="S8155">
        <v>37</v>
      </c>
      <c r="T8155" s="29" t="str">
        <f t="shared" si="349"/>
        <v>2021.003F.R.Mitoviridae_100nsp_4ngen.zip</v>
      </c>
      <c r="U8155" s="29" t="str">
        <f>HYPERLINK("https://ictv.global/taxonomy/taxondetails?taxnode_id=202312433","ictv.global=202312433")</f>
        <v>ictv.global=202312433</v>
      </c>
    </row>
    <row r="8156" spans="1:21">
      <c r="A8156">
        <v>8155</v>
      </c>
      <c r="B8156" s="30" t="s">
        <v>1226</v>
      </c>
      <c r="D8156" s="30" t="s">
        <v>2024</v>
      </c>
      <c r="F8156" s="30" t="s">
        <v>2046</v>
      </c>
      <c r="H8156" s="30" t="s">
        <v>2049</v>
      </c>
      <c r="J8156" s="30" t="s">
        <v>2050</v>
      </c>
      <c r="L8156" s="30" t="s">
        <v>2051</v>
      </c>
      <c r="N8156" s="30" t="s">
        <v>9435</v>
      </c>
      <c r="P8156" s="30" t="s">
        <v>9468</v>
      </c>
      <c r="Q8156" t="s">
        <v>621</v>
      </c>
      <c r="R8156" t="s">
        <v>917</v>
      </c>
      <c r="S8156">
        <v>37</v>
      </c>
      <c r="T8156" s="29" t="str">
        <f t="shared" ref="T8156:T8187" si="350">HYPERLINK("https://ictv.global/ictv/proposals/2021.003F.R.Mitoviridae_100nsp_4ngen.zip","2021.003F.R.Mitoviridae_100nsp_4ngen.zip")</f>
        <v>2021.003F.R.Mitoviridae_100nsp_4ngen.zip</v>
      </c>
      <c r="U8156" s="29" t="str">
        <f>HYPERLINK("https://ictv.global/taxonomy/taxondetails?taxnode_id=202312434","ictv.global=202312434")</f>
        <v>ictv.global=202312434</v>
      </c>
    </row>
    <row r="8157" spans="1:21">
      <c r="A8157">
        <v>8156</v>
      </c>
      <c r="B8157" s="30" t="s">
        <v>1226</v>
      </c>
      <c r="D8157" s="30" t="s">
        <v>2024</v>
      </c>
      <c r="F8157" s="30" t="s">
        <v>2046</v>
      </c>
      <c r="H8157" s="30" t="s">
        <v>2049</v>
      </c>
      <c r="J8157" s="30" t="s">
        <v>2050</v>
      </c>
      <c r="L8157" s="30" t="s">
        <v>2051</v>
      </c>
      <c r="N8157" s="30" t="s">
        <v>9435</v>
      </c>
      <c r="P8157" s="30" t="s">
        <v>9469</v>
      </c>
      <c r="Q8157" t="s">
        <v>621</v>
      </c>
      <c r="R8157" t="s">
        <v>917</v>
      </c>
      <c r="S8157">
        <v>37</v>
      </c>
      <c r="T8157" s="29" t="str">
        <f t="shared" si="350"/>
        <v>2021.003F.R.Mitoviridae_100nsp_4ngen.zip</v>
      </c>
      <c r="U8157" s="29" t="str">
        <f>HYPERLINK("https://ictv.global/taxonomy/taxondetails?taxnode_id=202312435","ictv.global=202312435")</f>
        <v>ictv.global=202312435</v>
      </c>
    </row>
    <row r="8158" spans="1:21">
      <c r="A8158">
        <v>8157</v>
      </c>
      <c r="B8158" s="30" t="s">
        <v>1226</v>
      </c>
      <c r="D8158" s="30" t="s">
        <v>2024</v>
      </c>
      <c r="F8158" s="30" t="s">
        <v>2046</v>
      </c>
      <c r="H8158" s="30" t="s">
        <v>2049</v>
      </c>
      <c r="J8158" s="30" t="s">
        <v>2050</v>
      </c>
      <c r="L8158" s="30" t="s">
        <v>2051</v>
      </c>
      <c r="N8158" s="30" t="s">
        <v>9435</v>
      </c>
      <c r="P8158" s="30" t="s">
        <v>9470</v>
      </c>
      <c r="Q8158" t="s">
        <v>621</v>
      </c>
      <c r="R8158" t="s">
        <v>917</v>
      </c>
      <c r="S8158">
        <v>37</v>
      </c>
      <c r="T8158" s="29" t="str">
        <f t="shared" si="350"/>
        <v>2021.003F.R.Mitoviridae_100nsp_4ngen.zip</v>
      </c>
      <c r="U8158" s="29" t="str">
        <f>HYPERLINK("https://ictv.global/taxonomy/taxondetails?taxnode_id=202312436","ictv.global=202312436")</f>
        <v>ictv.global=202312436</v>
      </c>
    </row>
    <row r="8159" spans="1:21">
      <c r="A8159">
        <v>8158</v>
      </c>
      <c r="B8159" s="30" t="s">
        <v>1226</v>
      </c>
      <c r="D8159" s="30" t="s">
        <v>2024</v>
      </c>
      <c r="F8159" s="30" t="s">
        <v>2046</v>
      </c>
      <c r="H8159" s="30" t="s">
        <v>2049</v>
      </c>
      <c r="J8159" s="30" t="s">
        <v>2050</v>
      </c>
      <c r="L8159" s="30" t="s">
        <v>2051</v>
      </c>
      <c r="N8159" s="30" t="s">
        <v>9435</v>
      </c>
      <c r="P8159" s="30" t="s">
        <v>9471</v>
      </c>
      <c r="Q8159" t="s">
        <v>621</v>
      </c>
      <c r="R8159" t="s">
        <v>917</v>
      </c>
      <c r="S8159">
        <v>37</v>
      </c>
      <c r="T8159" s="29" t="str">
        <f t="shared" si="350"/>
        <v>2021.003F.R.Mitoviridae_100nsp_4ngen.zip</v>
      </c>
      <c r="U8159" s="29" t="str">
        <f>HYPERLINK("https://ictv.global/taxonomy/taxondetails?taxnode_id=202312444","ictv.global=202312444")</f>
        <v>ictv.global=202312444</v>
      </c>
    </row>
    <row r="8160" spans="1:21">
      <c r="A8160">
        <v>8159</v>
      </c>
      <c r="B8160" s="30" t="s">
        <v>1226</v>
      </c>
      <c r="D8160" s="30" t="s">
        <v>2024</v>
      </c>
      <c r="F8160" s="30" t="s">
        <v>2046</v>
      </c>
      <c r="H8160" s="30" t="s">
        <v>2049</v>
      </c>
      <c r="J8160" s="30" t="s">
        <v>2050</v>
      </c>
      <c r="L8160" s="30" t="s">
        <v>2051</v>
      </c>
      <c r="N8160" s="30" t="s">
        <v>9435</v>
      </c>
      <c r="P8160" s="30" t="s">
        <v>9472</v>
      </c>
      <c r="Q8160" t="s">
        <v>621</v>
      </c>
      <c r="R8160" t="s">
        <v>917</v>
      </c>
      <c r="S8160">
        <v>37</v>
      </c>
      <c r="T8160" s="29" t="str">
        <f t="shared" si="350"/>
        <v>2021.003F.R.Mitoviridae_100nsp_4ngen.zip</v>
      </c>
      <c r="U8160" s="29" t="str">
        <f>HYPERLINK("https://ictv.global/taxonomy/taxondetails?taxnode_id=202312437","ictv.global=202312437")</f>
        <v>ictv.global=202312437</v>
      </c>
    </row>
    <row r="8161" spans="1:21">
      <c r="A8161">
        <v>8160</v>
      </c>
      <c r="B8161" s="30" t="s">
        <v>1226</v>
      </c>
      <c r="D8161" s="30" t="s">
        <v>2024</v>
      </c>
      <c r="F8161" s="30" t="s">
        <v>2046</v>
      </c>
      <c r="H8161" s="30" t="s">
        <v>2049</v>
      </c>
      <c r="J8161" s="30" t="s">
        <v>2050</v>
      </c>
      <c r="L8161" s="30" t="s">
        <v>2051</v>
      </c>
      <c r="N8161" s="30" t="s">
        <v>9435</v>
      </c>
      <c r="P8161" s="30" t="s">
        <v>9473</v>
      </c>
      <c r="Q8161" t="s">
        <v>621</v>
      </c>
      <c r="R8161" t="s">
        <v>917</v>
      </c>
      <c r="S8161">
        <v>37</v>
      </c>
      <c r="T8161" s="29" t="str">
        <f t="shared" si="350"/>
        <v>2021.003F.R.Mitoviridae_100nsp_4ngen.zip</v>
      </c>
      <c r="U8161" s="29" t="str">
        <f>HYPERLINK("https://ictv.global/taxonomy/taxondetails?taxnode_id=202312438","ictv.global=202312438")</f>
        <v>ictv.global=202312438</v>
      </c>
    </row>
    <row r="8162" spans="1:21">
      <c r="A8162">
        <v>8161</v>
      </c>
      <c r="B8162" s="30" t="s">
        <v>1226</v>
      </c>
      <c r="D8162" s="30" t="s">
        <v>2024</v>
      </c>
      <c r="F8162" s="30" t="s">
        <v>2046</v>
      </c>
      <c r="H8162" s="30" t="s">
        <v>2049</v>
      </c>
      <c r="J8162" s="30" t="s">
        <v>2050</v>
      </c>
      <c r="L8162" s="30" t="s">
        <v>2051</v>
      </c>
      <c r="N8162" s="30" t="s">
        <v>9435</v>
      </c>
      <c r="P8162" s="30" t="s">
        <v>9474</v>
      </c>
      <c r="Q8162" t="s">
        <v>621</v>
      </c>
      <c r="R8162" t="s">
        <v>917</v>
      </c>
      <c r="S8162">
        <v>37</v>
      </c>
      <c r="T8162" s="29" t="str">
        <f t="shared" si="350"/>
        <v>2021.003F.R.Mitoviridae_100nsp_4ngen.zip</v>
      </c>
      <c r="U8162" s="29" t="str">
        <f>HYPERLINK("https://ictv.global/taxonomy/taxondetails?taxnode_id=202312439","ictv.global=202312439")</f>
        <v>ictv.global=202312439</v>
      </c>
    </row>
    <row r="8163" spans="1:21">
      <c r="A8163">
        <v>8162</v>
      </c>
      <c r="B8163" s="30" t="s">
        <v>1226</v>
      </c>
      <c r="D8163" s="30" t="s">
        <v>2024</v>
      </c>
      <c r="F8163" s="30" t="s">
        <v>2046</v>
      </c>
      <c r="H8163" s="30" t="s">
        <v>2049</v>
      </c>
      <c r="J8163" s="30" t="s">
        <v>2050</v>
      </c>
      <c r="L8163" s="30" t="s">
        <v>2051</v>
      </c>
      <c r="N8163" s="30" t="s">
        <v>9435</v>
      </c>
      <c r="P8163" s="30" t="s">
        <v>9475</v>
      </c>
      <c r="Q8163" t="s">
        <v>621</v>
      </c>
      <c r="R8163" t="s">
        <v>917</v>
      </c>
      <c r="S8163">
        <v>37</v>
      </c>
      <c r="T8163" s="29" t="str">
        <f t="shared" si="350"/>
        <v>2021.003F.R.Mitoviridae_100nsp_4ngen.zip</v>
      </c>
      <c r="U8163" s="29" t="str">
        <f>HYPERLINK("https://ictv.global/taxonomy/taxondetails?taxnode_id=202312440","ictv.global=202312440")</f>
        <v>ictv.global=202312440</v>
      </c>
    </row>
    <row r="8164" spans="1:21">
      <c r="A8164">
        <v>8163</v>
      </c>
      <c r="B8164" s="30" t="s">
        <v>1226</v>
      </c>
      <c r="D8164" s="30" t="s">
        <v>2024</v>
      </c>
      <c r="F8164" s="30" t="s">
        <v>2046</v>
      </c>
      <c r="H8164" s="30" t="s">
        <v>2049</v>
      </c>
      <c r="J8164" s="30" t="s">
        <v>2050</v>
      </c>
      <c r="L8164" s="30" t="s">
        <v>2051</v>
      </c>
      <c r="N8164" s="30" t="s">
        <v>9435</v>
      </c>
      <c r="P8164" s="30" t="s">
        <v>9476</v>
      </c>
      <c r="Q8164" t="s">
        <v>621</v>
      </c>
      <c r="R8164" t="s">
        <v>917</v>
      </c>
      <c r="S8164">
        <v>37</v>
      </c>
      <c r="T8164" s="29" t="str">
        <f t="shared" si="350"/>
        <v>2021.003F.R.Mitoviridae_100nsp_4ngen.zip</v>
      </c>
      <c r="U8164" s="29" t="str">
        <f>HYPERLINK("https://ictv.global/taxonomy/taxondetails?taxnode_id=202312441","ictv.global=202312441")</f>
        <v>ictv.global=202312441</v>
      </c>
    </row>
    <row r="8165" spans="1:21">
      <c r="A8165">
        <v>8164</v>
      </c>
      <c r="B8165" s="30" t="s">
        <v>1226</v>
      </c>
      <c r="D8165" s="30" t="s">
        <v>2024</v>
      </c>
      <c r="F8165" s="30" t="s">
        <v>2046</v>
      </c>
      <c r="H8165" s="30" t="s">
        <v>2049</v>
      </c>
      <c r="J8165" s="30" t="s">
        <v>2050</v>
      </c>
      <c r="L8165" s="30" t="s">
        <v>2051</v>
      </c>
      <c r="N8165" s="30" t="s">
        <v>9435</v>
      </c>
      <c r="P8165" s="30" t="s">
        <v>9477</v>
      </c>
      <c r="Q8165" t="s">
        <v>621</v>
      </c>
      <c r="R8165" t="s">
        <v>917</v>
      </c>
      <c r="S8165">
        <v>37</v>
      </c>
      <c r="T8165" s="29" t="str">
        <f t="shared" si="350"/>
        <v>2021.003F.R.Mitoviridae_100nsp_4ngen.zip</v>
      </c>
      <c r="U8165" s="29" t="str">
        <f>HYPERLINK("https://ictv.global/taxonomy/taxondetails?taxnode_id=202312442","ictv.global=202312442")</f>
        <v>ictv.global=202312442</v>
      </c>
    </row>
    <row r="8166" spans="1:21">
      <c r="A8166">
        <v>8165</v>
      </c>
      <c r="B8166" s="30" t="s">
        <v>1226</v>
      </c>
      <c r="D8166" s="30" t="s">
        <v>2024</v>
      </c>
      <c r="F8166" s="30" t="s">
        <v>2046</v>
      </c>
      <c r="H8166" s="30" t="s">
        <v>2049</v>
      </c>
      <c r="J8166" s="30" t="s">
        <v>2050</v>
      </c>
      <c r="L8166" s="30" t="s">
        <v>2051</v>
      </c>
      <c r="N8166" s="30" t="s">
        <v>9435</v>
      </c>
      <c r="P8166" s="30" t="s">
        <v>9478</v>
      </c>
      <c r="Q8166" t="s">
        <v>621</v>
      </c>
      <c r="R8166" t="s">
        <v>917</v>
      </c>
      <c r="S8166">
        <v>37</v>
      </c>
      <c r="T8166" s="29" t="str">
        <f t="shared" si="350"/>
        <v>2021.003F.R.Mitoviridae_100nsp_4ngen.zip</v>
      </c>
      <c r="U8166" s="29" t="str">
        <f>HYPERLINK("https://ictv.global/taxonomy/taxondetails?taxnode_id=202312443","ictv.global=202312443")</f>
        <v>ictv.global=202312443</v>
      </c>
    </row>
    <row r="8167" spans="1:21">
      <c r="A8167">
        <v>8166</v>
      </c>
      <c r="B8167" s="30" t="s">
        <v>1226</v>
      </c>
      <c r="D8167" s="30" t="s">
        <v>2024</v>
      </c>
      <c r="F8167" s="30" t="s">
        <v>2046</v>
      </c>
      <c r="H8167" s="30" t="s">
        <v>2049</v>
      </c>
      <c r="J8167" s="30" t="s">
        <v>2050</v>
      </c>
      <c r="L8167" s="30" t="s">
        <v>2051</v>
      </c>
      <c r="N8167" s="30" t="s">
        <v>9435</v>
      </c>
      <c r="P8167" s="30" t="s">
        <v>9479</v>
      </c>
      <c r="Q8167" t="s">
        <v>621</v>
      </c>
      <c r="R8167" t="s">
        <v>917</v>
      </c>
      <c r="S8167">
        <v>37</v>
      </c>
      <c r="T8167" s="29" t="str">
        <f t="shared" si="350"/>
        <v>2021.003F.R.Mitoviridae_100nsp_4ngen.zip</v>
      </c>
      <c r="U8167" s="29" t="str">
        <f>HYPERLINK("https://ictv.global/taxonomy/taxondetails?taxnode_id=202312445","ictv.global=202312445")</f>
        <v>ictv.global=202312445</v>
      </c>
    </row>
    <row r="8168" spans="1:21">
      <c r="A8168">
        <v>8167</v>
      </c>
      <c r="B8168" s="30" t="s">
        <v>1226</v>
      </c>
      <c r="D8168" s="30" t="s">
        <v>2024</v>
      </c>
      <c r="F8168" s="30" t="s">
        <v>2046</v>
      </c>
      <c r="H8168" s="30" t="s">
        <v>2049</v>
      </c>
      <c r="J8168" s="30" t="s">
        <v>2050</v>
      </c>
      <c r="L8168" s="30" t="s">
        <v>2051</v>
      </c>
      <c r="N8168" s="30" t="s">
        <v>9435</v>
      </c>
      <c r="P8168" s="30" t="s">
        <v>9480</v>
      </c>
      <c r="Q8168" t="s">
        <v>621</v>
      </c>
      <c r="R8168" t="s">
        <v>917</v>
      </c>
      <c r="S8168">
        <v>37</v>
      </c>
      <c r="T8168" s="29" t="str">
        <f t="shared" si="350"/>
        <v>2021.003F.R.Mitoviridae_100nsp_4ngen.zip</v>
      </c>
      <c r="U8168" s="29" t="str">
        <f>HYPERLINK("https://ictv.global/taxonomy/taxondetails?taxnode_id=202312446","ictv.global=202312446")</f>
        <v>ictv.global=202312446</v>
      </c>
    </row>
    <row r="8169" spans="1:21">
      <c r="A8169">
        <v>8168</v>
      </c>
      <c r="B8169" s="30" t="s">
        <v>1226</v>
      </c>
      <c r="D8169" s="30" t="s">
        <v>2024</v>
      </c>
      <c r="F8169" s="30" t="s">
        <v>2046</v>
      </c>
      <c r="H8169" s="30" t="s">
        <v>2049</v>
      </c>
      <c r="J8169" s="30" t="s">
        <v>2050</v>
      </c>
      <c r="L8169" s="30" t="s">
        <v>2051</v>
      </c>
      <c r="N8169" s="30" t="s">
        <v>9435</v>
      </c>
      <c r="P8169" s="30" t="s">
        <v>9481</v>
      </c>
      <c r="Q8169" t="s">
        <v>621</v>
      </c>
      <c r="R8169" t="s">
        <v>917</v>
      </c>
      <c r="S8169">
        <v>37</v>
      </c>
      <c r="T8169" s="29" t="str">
        <f t="shared" si="350"/>
        <v>2021.003F.R.Mitoviridae_100nsp_4ngen.zip</v>
      </c>
      <c r="U8169" s="29" t="str">
        <f>HYPERLINK("https://ictv.global/taxonomy/taxondetails?taxnode_id=202312447","ictv.global=202312447")</f>
        <v>ictv.global=202312447</v>
      </c>
    </row>
    <row r="8170" spans="1:21">
      <c r="A8170">
        <v>8169</v>
      </c>
      <c r="B8170" s="30" t="s">
        <v>1226</v>
      </c>
      <c r="D8170" s="30" t="s">
        <v>2024</v>
      </c>
      <c r="F8170" s="30" t="s">
        <v>2046</v>
      </c>
      <c r="H8170" s="30" t="s">
        <v>2049</v>
      </c>
      <c r="J8170" s="30" t="s">
        <v>2050</v>
      </c>
      <c r="L8170" s="30" t="s">
        <v>2051</v>
      </c>
      <c r="N8170" s="30" t="s">
        <v>9435</v>
      </c>
      <c r="P8170" s="30" t="s">
        <v>9482</v>
      </c>
      <c r="Q8170" t="s">
        <v>621</v>
      </c>
      <c r="R8170" t="s">
        <v>917</v>
      </c>
      <c r="S8170">
        <v>37</v>
      </c>
      <c r="T8170" s="29" t="str">
        <f t="shared" si="350"/>
        <v>2021.003F.R.Mitoviridae_100nsp_4ngen.zip</v>
      </c>
      <c r="U8170" s="29" t="str">
        <f>HYPERLINK("https://ictv.global/taxonomy/taxondetails?taxnode_id=202312448","ictv.global=202312448")</f>
        <v>ictv.global=202312448</v>
      </c>
    </row>
    <row r="8171" spans="1:21">
      <c r="A8171">
        <v>8170</v>
      </c>
      <c r="B8171" s="30" t="s">
        <v>1226</v>
      </c>
      <c r="D8171" s="30" t="s">
        <v>2024</v>
      </c>
      <c r="F8171" s="30" t="s">
        <v>2046</v>
      </c>
      <c r="H8171" s="30" t="s">
        <v>2049</v>
      </c>
      <c r="J8171" s="30" t="s">
        <v>2050</v>
      </c>
      <c r="L8171" s="30" t="s">
        <v>2051</v>
      </c>
      <c r="N8171" s="30" t="s">
        <v>9435</v>
      </c>
      <c r="P8171" s="30" t="s">
        <v>9483</v>
      </c>
      <c r="Q8171" t="s">
        <v>621</v>
      </c>
      <c r="R8171" t="s">
        <v>917</v>
      </c>
      <c r="S8171">
        <v>37</v>
      </c>
      <c r="T8171" s="29" t="str">
        <f t="shared" si="350"/>
        <v>2021.003F.R.Mitoviridae_100nsp_4ngen.zip</v>
      </c>
      <c r="U8171" s="29" t="str">
        <f>HYPERLINK("https://ictv.global/taxonomy/taxondetails?taxnode_id=202312449","ictv.global=202312449")</f>
        <v>ictv.global=202312449</v>
      </c>
    </row>
    <row r="8172" spans="1:21">
      <c r="A8172">
        <v>8171</v>
      </c>
      <c r="B8172" s="30" t="s">
        <v>1226</v>
      </c>
      <c r="D8172" s="30" t="s">
        <v>2024</v>
      </c>
      <c r="F8172" s="30" t="s">
        <v>2046</v>
      </c>
      <c r="H8172" s="30" t="s">
        <v>2049</v>
      </c>
      <c r="J8172" s="30" t="s">
        <v>2050</v>
      </c>
      <c r="L8172" s="30" t="s">
        <v>2051</v>
      </c>
      <c r="N8172" s="30" t="s">
        <v>9435</v>
      </c>
      <c r="P8172" s="30" t="s">
        <v>9484</v>
      </c>
      <c r="Q8172" t="s">
        <v>621</v>
      </c>
      <c r="R8172" t="s">
        <v>917</v>
      </c>
      <c r="S8172">
        <v>37</v>
      </c>
      <c r="T8172" s="29" t="str">
        <f t="shared" si="350"/>
        <v>2021.003F.R.Mitoviridae_100nsp_4ngen.zip</v>
      </c>
      <c r="U8172" s="29" t="str">
        <f>HYPERLINK("https://ictv.global/taxonomy/taxondetails?taxnode_id=202312450","ictv.global=202312450")</f>
        <v>ictv.global=202312450</v>
      </c>
    </row>
    <row r="8173" spans="1:21">
      <c r="A8173">
        <v>8172</v>
      </c>
      <c r="B8173" s="30" t="s">
        <v>1226</v>
      </c>
      <c r="D8173" s="30" t="s">
        <v>2024</v>
      </c>
      <c r="F8173" s="30" t="s">
        <v>2046</v>
      </c>
      <c r="H8173" s="30" t="s">
        <v>2049</v>
      </c>
      <c r="J8173" s="30" t="s">
        <v>2050</v>
      </c>
      <c r="L8173" s="30" t="s">
        <v>2051</v>
      </c>
      <c r="N8173" s="30" t="s">
        <v>9485</v>
      </c>
      <c r="P8173" s="30" t="s">
        <v>9486</v>
      </c>
      <c r="Q8173" t="s">
        <v>621</v>
      </c>
      <c r="R8173" t="s">
        <v>917</v>
      </c>
      <c r="S8173">
        <v>37</v>
      </c>
      <c r="T8173" s="29" t="str">
        <f t="shared" si="350"/>
        <v>2021.003F.R.Mitoviridae_100nsp_4ngen.zip</v>
      </c>
      <c r="U8173" s="29" t="str">
        <f>HYPERLINK("https://ictv.global/taxonomy/taxondetails?taxnode_id=202312462","ictv.global=202312462")</f>
        <v>ictv.global=202312462</v>
      </c>
    </row>
    <row r="8174" spans="1:21">
      <c r="A8174">
        <v>8173</v>
      </c>
      <c r="B8174" s="30" t="s">
        <v>1226</v>
      </c>
      <c r="D8174" s="30" t="s">
        <v>2024</v>
      </c>
      <c r="F8174" s="30" t="s">
        <v>2046</v>
      </c>
      <c r="H8174" s="30" t="s">
        <v>2049</v>
      </c>
      <c r="J8174" s="30" t="s">
        <v>2050</v>
      </c>
      <c r="L8174" s="30" t="s">
        <v>2051</v>
      </c>
      <c r="N8174" s="30" t="s">
        <v>9487</v>
      </c>
      <c r="P8174" s="30" t="s">
        <v>9488</v>
      </c>
      <c r="Q8174" t="s">
        <v>621</v>
      </c>
      <c r="R8174" t="s">
        <v>917</v>
      </c>
      <c r="S8174">
        <v>37</v>
      </c>
      <c r="T8174" s="29" t="str">
        <f t="shared" si="350"/>
        <v>2021.003F.R.Mitoviridae_100nsp_4ngen.zip</v>
      </c>
      <c r="U8174" s="29" t="str">
        <f>HYPERLINK("https://ictv.global/taxonomy/taxondetails?taxnode_id=202312452","ictv.global=202312452")</f>
        <v>ictv.global=202312452</v>
      </c>
    </row>
    <row r="8175" spans="1:21">
      <c r="A8175">
        <v>8174</v>
      </c>
      <c r="B8175" s="30" t="s">
        <v>1226</v>
      </c>
      <c r="D8175" s="30" t="s">
        <v>2024</v>
      </c>
      <c r="F8175" s="30" t="s">
        <v>2046</v>
      </c>
      <c r="H8175" s="30" t="s">
        <v>2049</v>
      </c>
      <c r="J8175" s="30" t="s">
        <v>2050</v>
      </c>
      <c r="L8175" s="30" t="s">
        <v>2051</v>
      </c>
      <c r="N8175" s="30" t="s">
        <v>9487</v>
      </c>
      <c r="P8175" s="30" t="s">
        <v>9489</v>
      </c>
      <c r="Q8175" t="s">
        <v>621</v>
      </c>
      <c r="R8175" t="s">
        <v>917</v>
      </c>
      <c r="S8175">
        <v>37</v>
      </c>
      <c r="T8175" s="29" t="str">
        <f t="shared" si="350"/>
        <v>2021.003F.R.Mitoviridae_100nsp_4ngen.zip</v>
      </c>
      <c r="U8175" s="29" t="str">
        <f>HYPERLINK("https://ictv.global/taxonomy/taxondetails?taxnode_id=202312453","ictv.global=202312453")</f>
        <v>ictv.global=202312453</v>
      </c>
    </row>
    <row r="8176" spans="1:21">
      <c r="A8176">
        <v>8175</v>
      </c>
      <c r="B8176" s="30" t="s">
        <v>1226</v>
      </c>
      <c r="D8176" s="30" t="s">
        <v>2024</v>
      </c>
      <c r="F8176" s="30" t="s">
        <v>2046</v>
      </c>
      <c r="H8176" s="30" t="s">
        <v>2049</v>
      </c>
      <c r="J8176" s="30" t="s">
        <v>2050</v>
      </c>
      <c r="L8176" s="30" t="s">
        <v>2051</v>
      </c>
      <c r="N8176" s="30" t="s">
        <v>9487</v>
      </c>
      <c r="P8176" s="30" t="s">
        <v>9490</v>
      </c>
      <c r="Q8176" t="s">
        <v>621</v>
      </c>
      <c r="R8176" t="s">
        <v>917</v>
      </c>
      <c r="S8176">
        <v>37</v>
      </c>
      <c r="T8176" s="29" t="str">
        <f t="shared" si="350"/>
        <v>2021.003F.R.Mitoviridae_100nsp_4ngen.zip</v>
      </c>
      <c r="U8176" s="29" t="str">
        <f>HYPERLINK("https://ictv.global/taxonomy/taxondetails?taxnode_id=202312459","ictv.global=202312459")</f>
        <v>ictv.global=202312459</v>
      </c>
    </row>
    <row r="8177" spans="1:21">
      <c r="A8177">
        <v>8176</v>
      </c>
      <c r="B8177" s="30" t="s">
        <v>1226</v>
      </c>
      <c r="D8177" s="30" t="s">
        <v>2024</v>
      </c>
      <c r="F8177" s="30" t="s">
        <v>2046</v>
      </c>
      <c r="H8177" s="30" t="s">
        <v>2049</v>
      </c>
      <c r="J8177" s="30" t="s">
        <v>2050</v>
      </c>
      <c r="L8177" s="30" t="s">
        <v>2051</v>
      </c>
      <c r="N8177" s="30" t="s">
        <v>9487</v>
      </c>
      <c r="P8177" s="30" t="s">
        <v>9491</v>
      </c>
      <c r="Q8177" t="s">
        <v>621</v>
      </c>
      <c r="R8177" t="s">
        <v>917</v>
      </c>
      <c r="S8177">
        <v>37</v>
      </c>
      <c r="T8177" s="29" t="str">
        <f t="shared" si="350"/>
        <v>2021.003F.R.Mitoviridae_100nsp_4ngen.zip</v>
      </c>
      <c r="U8177" s="29" t="str">
        <f>HYPERLINK("https://ictv.global/taxonomy/taxondetails?taxnode_id=202312454","ictv.global=202312454")</f>
        <v>ictv.global=202312454</v>
      </c>
    </row>
    <row r="8178" spans="1:21">
      <c r="A8178">
        <v>8177</v>
      </c>
      <c r="B8178" s="30" t="s">
        <v>1226</v>
      </c>
      <c r="D8178" s="30" t="s">
        <v>2024</v>
      </c>
      <c r="F8178" s="30" t="s">
        <v>2046</v>
      </c>
      <c r="H8178" s="30" t="s">
        <v>2049</v>
      </c>
      <c r="J8178" s="30" t="s">
        <v>2050</v>
      </c>
      <c r="L8178" s="30" t="s">
        <v>2051</v>
      </c>
      <c r="N8178" s="30" t="s">
        <v>9487</v>
      </c>
      <c r="P8178" s="30" t="s">
        <v>9492</v>
      </c>
      <c r="Q8178" t="s">
        <v>621</v>
      </c>
      <c r="R8178" t="s">
        <v>917</v>
      </c>
      <c r="S8178">
        <v>37</v>
      </c>
      <c r="T8178" s="29" t="str">
        <f t="shared" si="350"/>
        <v>2021.003F.R.Mitoviridae_100nsp_4ngen.zip</v>
      </c>
      <c r="U8178" s="29" t="str">
        <f>HYPERLINK("https://ictv.global/taxonomy/taxondetails?taxnode_id=202312455","ictv.global=202312455")</f>
        <v>ictv.global=202312455</v>
      </c>
    </row>
    <row r="8179" spans="1:21">
      <c r="A8179">
        <v>8178</v>
      </c>
      <c r="B8179" s="30" t="s">
        <v>1226</v>
      </c>
      <c r="D8179" s="30" t="s">
        <v>2024</v>
      </c>
      <c r="F8179" s="30" t="s">
        <v>2046</v>
      </c>
      <c r="H8179" s="30" t="s">
        <v>2049</v>
      </c>
      <c r="J8179" s="30" t="s">
        <v>2050</v>
      </c>
      <c r="L8179" s="30" t="s">
        <v>2051</v>
      </c>
      <c r="N8179" s="30" t="s">
        <v>9487</v>
      </c>
      <c r="P8179" s="30" t="s">
        <v>9493</v>
      </c>
      <c r="Q8179" t="s">
        <v>621</v>
      </c>
      <c r="R8179" t="s">
        <v>917</v>
      </c>
      <c r="S8179">
        <v>37</v>
      </c>
      <c r="T8179" s="29" t="str">
        <f t="shared" si="350"/>
        <v>2021.003F.R.Mitoviridae_100nsp_4ngen.zip</v>
      </c>
      <c r="U8179" s="29" t="str">
        <f>HYPERLINK("https://ictv.global/taxonomy/taxondetails?taxnode_id=202312456","ictv.global=202312456")</f>
        <v>ictv.global=202312456</v>
      </c>
    </row>
    <row r="8180" spans="1:21">
      <c r="A8180">
        <v>8179</v>
      </c>
      <c r="B8180" s="30" t="s">
        <v>1226</v>
      </c>
      <c r="D8180" s="30" t="s">
        <v>2024</v>
      </c>
      <c r="F8180" s="30" t="s">
        <v>2046</v>
      </c>
      <c r="H8180" s="30" t="s">
        <v>2049</v>
      </c>
      <c r="J8180" s="30" t="s">
        <v>2050</v>
      </c>
      <c r="L8180" s="30" t="s">
        <v>2051</v>
      </c>
      <c r="N8180" s="30" t="s">
        <v>9487</v>
      </c>
      <c r="P8180" s="30" t="s">
        <v>9494</v>
      </c>
      <c r="Q8180" t="s">
        <v>621</v>
      </c>
      <c r="R8180" t="s">
        <v>917</v>
      </c>
      <c r="S8180">
        <v>37</v>
      </c>
      <c r="T8180" s="29" t="str">
        <f t="shared" si="350"/>
        <v>2021.003F.R.Mitoviridae_100nsp_4ngen.zip</v>
      </c>
      <c r="U8180" s="29" t="str">
        <f>HYPERLINK("https://ictv.global/taxonomy/taxondetails?taxnode_id=202312457","ictv.global=202312457")</f>
        <v>ictv.global=202312457</v>
      </c>
    </row>
    <row r="8181" spans="1:21">
      <c r="A8181">
        <v>8180</v>
      </c>
      <c r="B8181" s="30" t="s">
        <v>1226</v>
      </c>
      <c r="D8181" s="30" t="s">
        <v>2024</v>
      </c>
      <c r="F8181" s="30" t="s">
        <v>2046</v>
      </c>
      <c r="H8181" s="30" t="s">
        <v>2049</v>
      </c>
      <c r="J8181" s="30" t="s">
        <v>2050</v>
      </c>
      <c r="L8181" s="30" t="s">
        <v>2051</v>
      </c>
      <c r="N8181" s="30" t="s">
        <v>9487</v>
      </c>
      <c r="P8181" s="30" t="s">
        <v>9495</v>
      </c>
      <c r="Q8181" t="s">
        <v>621</v>
      </c>
      <c r="R8181" t="s">
        <v>917</v>
      </c>
      <c r="S8181">
        <v>37</v>
      </c>
      <c r="T8181" s="29" t="str">
        <f t="shared" si="350"/>
        <v>2021.003F.R.Mitoviridae_100nsp_4ngen.zip</v>
      </c>
      <c r="U8181" s="29" t="str">
        <f>HYPERLINK("https://ictv.global/taxonomy/taxondetails?taxnode_id=202312458","ictv.global=202312458")</f>
        <v>ictv.global=202312458</v>
      </c>
    </row>
    <row r="8182" spans="1:21">
      <c r="A8182">
        <v>8181</v>
      </c>
      <c r="B8182" s="30" t="s">
        <v>1226</v>
      </c>
      <c r="D8182" s="30" t="s">
        <v>2024</v>
      </c>
      <c r="F8182" s="30" t="s">
        <v>2046</v>
      </c>
      <c r="H8182" s="30" t="s">
        <v>2049</v>
      </c>
      <c r="J8182" s="30" t="s">
        <v>2050</v>
      </c>
      <c r="L8182" s="30" t="s">
        <v>2051</v>
      </c>
      <c r="N8182" s="30" t="s">
        <v>9487</v>
      </c>
      <c r="P8182" s="30" t="s">
        <v>9496</v>
      </c>
      <c r="Q8182" t="s">
        <v>621</v>
      </c>
      <c r="R8182" t="s">
        <v>917</v>
      </c>
      <c r="S8182">
        <v>37</v>
      </c>
      <c r="T8182" s="29" t="str">
        <f t="shared" si="350"/>
        <v>2021.003F.R.Mitoviridae_100nsp_4ngen.zip</v>
      </c>
      <c r="U8182" s="29" t="str">
        <f>HYPERLINK("https://ictv.global/taxonomy/taxondetails?taxnode_id=202312460","ictv.global=202312460")</f>
        <v>ictv.global=202312460</v>
      </c>
    </row>
    <row r="8183" spans="1:21">
      <c r="A8183">
        <v>8182</v>
      </c>
      <c r="B8183" s="30" t="s">
        <v>1226</v>
      </c>
      <c r="D8183" s="30" t="s">
        <v>2024</v>
      </c>
      <c r="F8183" s="30" t="s">
        <v>2046</v>
      </c>
      <c r="H8183" s="30" t="s">
        <v>2049</v>
      </c>
      <c r="J8183" s="30" t="s">
        <v>2050</v>
      </c>
      <c r="L8183" s="30" t="s">
        <v>2051</v>
      </c>
      <c r="N8183" s="30" t="s">
        <v>9497</v>
      </c>
      <c r="P8183" s="30" t="s">
        <v>9498</v>
      </c>
      <c r="Q8183" t="s">
        <v>621</v>
      </c>
      <c r="R8183" t="s">
        <v>917</v>
      </c>
      <c r="S8183">
        <v>37</v>
      </c>
      <c r="T8183" s="29" t="str">
        <f t="shared" si="350"/>
        <v>2021.003F.R.Mitoviridae_100nsp_4ngen.zip</v>
      </c>
      <c r="U8183" s="29" t="str">
        <f>HYPERLINK("https://ictv.global/taxonomy/taxondetails?taxnode_id=202313750","ictv.global=202313750")</f>
        <v>ictv.global=202313750</v>
      </c>
    </row>
    <row r="8184" spans="1:21">
      <c r="A8184">
        <v>8183</v>
      </c>
      <c r="B8184" s="30" t="s">
        <v>1226</v>
      </c>
      <c r="D8184" s="30" t="s">
        <v>2024</v>
      </c>
      <c r="F8184" s="30" t="s">
        <v>2046</v>
      </c>
      <c r="H8184" s="30" t="s">
        <v>2049</v>
      </c>
      <c r="J8184" s="30" t="s">
        <v>2050</v>
      </c>
      <c r="L8184" s="30" t="s">
        <v>2051</v>
      </c>
      <c r="N8184" s="30" t="s">
        <v>9497</v>
      </c>
      <c r="P8184" s="30" t="s">
        <v>9499</v>
      </c>
      <c r="Q8184" t="s">
        <v>621</v>
      </c>
      <c r="R8184" t="s">
        <v>917</v>
      </c>
      <c r="S8184">
        <v>37</v>
      </c>
      <c r="T8184" s="29" t="str">
        <f t="shared" si="350"/>
        <v>2021.003F.R.Mitoviridae_100nsp_4ngen.zip</v>
      </c>
      <c r="U8184" s="29" t="str">
        <f>HYPERLINK("https://ictv.global/taxonomy/taxondetails?taxnode_id=202313751","ictv.global=202313751")</f>
        <v>ictv.global=202313751</v>
      </c>
    </row>
    <row r="8185" spans="1:21">
      <c r="A8185">
        <v>8184</v>
      </c>
      <c r="B8185" s="30" t="s">
        <v>1226</v>
      </c>
      <c r="D8185" s="30" t="s">
        <v>2024</v>
      </c>
      <c r="F8185" s="30" t="s">
        <v>2046</v>
      </c>
      <c r="H8185" s="30" t="s">
        <v>2049</v>
      </c>
      <c r="J8185" s="30" t="s">
        <v>2050</v>
      </c>
      <c r="L8185" s="30" t="s">
        <v>2051</v>
      </c>
      <c r="N8185" s="30" t="s">
        <v>9497</v>
      </c>
      <c r="P8185" s="30" t="s">
        <v>9500</v>
      </c>
      <c r="Q8185" t="s">
        <v>621</v>
      </c>
      <c r="R8185" t="s">
        <v>917</v>
      </c>
      <c r="S8185">
        <v>37</v>
      </c>
      <c r="T8185" s="29" t="str">
        <f t="shared" si="350"/>
        <v>2021.003F.R.Mitoviridae_100nsp_4ngen.zip</v>
      </c>
      <c r="U8185" s="29" t="str">
        <f>HYPERLINK("https://ictv.global/taxonomy/taxondetails?taxnode_id=202313752","ictv.global=202313752")</f>
        <v>ictv.global=202313752</v>
      </c>
    </row>
    <row r="8186" spans="1:21">
      <c r="A8186">
        <v>8185</v>
      </c>
      <c r="B8186" s="30" t="s">
        <v>1226</v>
      </c>
      <c r="D8186" s="30" t="s">
        <v>2024</v>
      </c>
      <c r="F8186" s="30" t="s">
        <v>2046</v>
      </c>
      <c r="H8186" s="30" t="s">
        <v>2049</v>
      </c>
      <c r="J8186" s="30" t="s">
        <v>2050</v>
      </c>
      <c r="L8186" s="30" t="s">
        <v>2051</v>
      </c>
      <c r="N8186" s="30" t="s">
        <v>9497</v>
      </c>
      <c r="P8186" s="30" t="s">
        <v>9501</v>
      </c>
      <c r="Q8186" t="s">
        <v>621</v>
      </c>
      <c r="R8186" t="s">
        <v>917</v>
      </c>
      <c r="S8186">
        <v>37</v>
      </c>
      <c r="T8186" s="29" t="str">
        <f t="shared" si="350"/>
        <v>2021.003F.R.Mitoviridae_100nsp_4ngen.zip</v>
      </c>
      <c r="U8186" s="29" t="str">
        <f>HYPERLINK("https://ictv.global/taxonomy/taxondetails?taxnode_id=202313753","ictv.global=202313753")</f>
        <v>ictv.global=202313753</v>
      </c>
    </row>
    <row r="8187" spans="1:21">
      <c r="A8187">
        <v>8186</v>
      </c>
      <c r="B8187" s="30" t="s">
        <v>1226</v>
      </c>
      <c r="D8187" s="30" t="s">
        <v>2024</v>
      </c>
      <c r="F8187" s="30" t="s">
        <v>2046</v>
      </c>
      <c r="H8187" s="30" t="s">
        <v>2049</v>
      </c>
      <c r="J8187" s="30" t="s">
        <v>2050</v>
      </c>
      <c r="L8187" s="30" t="s">
        <v>2051</v>
      </c>
      <c r="N8187" s="30" t="s">
        <v>9497</v>
      </c>
      <c r="P8187" s="30" t="s">
        <v>9502</v>
      </c>
      <c r="Q8187" t="s">
        <v>621</v>
      </c>
      <c r="R8187" t="s">
        <v>917</v>
      </c>
      <c r="S8187">
        <v>37</v>
      </c>
      <c r="T8187" s="29" t="str">
        <f t="shared" si="350"/>
        <v>2021.003F.R.Mitoviridae_100nsp_4ngen.zip</v>
      </c>
      <c r="U8187" s="29" t="str">
        <f>HYPERLINK("https://ictv.global/taxonomy/taxondetails?taxnode_id=202313754","ictv.global=202313754")</f>
        <v>ictv.global=202313754</v>
      </c>
    </row>
    <row r="8188" spans="1:21">
      <c r="A8188">
        <v>8187</v>
      </c>
      <c r="B8188" s="30" t="s">
        <v>1226</v>
      </c>
      <c r="D8188" s="30" t="s">
        <v>2024</v>
      </c>
      <c r="F8188" s="30" t="s">
        <v>2046</v>
      </c>
      <c r="H8188" s="30" t="s">
        <v>2049</v>
      </c>
      <c r="J8188" s="30" t="s">
        <v>2050</v>
      </c>
      <c r="L8188" s="30" t="s">
        <v>2051</v>
      </c>
      <c r="N8188" s="30" t="s">
        <v>9497</v>
      </c>
      <c r="P8188" s="30" t="s">
        <v>9503</v>
      </c>
      <c r="Q8188" t="s">
        <v>621</v>
      </c>
      <c r="R8188" t="s">
        <v>917</v>
      </c>
      <c r="S8188">
        <v>37</v>
      </c>
      <c r="T8188" s="29" t="str">
        <f t="shared" ref="T8188:T8219" si="351">HYPERLINK("https://ictv.global/ictv/proposals/2021.003F.R.Mitoviridae_100nsp_4ngen.zip","2021.003F.R.Mitoviridae_100nsp_4ngen.zip")</f>
        <v>2021.003F.R.Mitoviridae_100nsp_4ngen.zip</v>
      </c>
      <c r="U8188" s="29" t="str">
        <f>HYPERLINK("https://ictv.global/taxonomy/taxondetails?taxnode_id=202313755","ictv.global=202313755")</f>
        <v>ictv.global=202313755</v>
      </c>
    </row>
    <row r="8189" spans="1:21">
      <c r="A8189">
        <v>8188</v>
      </c>
      <c r="B8189" s="30" t="s">
        <v>1226</v>
      </c>
      <c r="D8189" s="30" t="s">
        <v>2024</v>
      </c>
      <c r="F8189" s="30" t="s">
        <v>2046</v>
      </c>
      <c r="H8189" s="30" t="s">
        <v>2049</v>
      </c>
      <c r="J8189" s="30" t="s">
        <v>2050</v>
      </c>
      <c r="L8189" s="30" t="s">
        <v>2051</v>
      </c>
      <c r="N8189" s="30" t="s">
        <v>9497</v>
      </c>
      <c r="P8189" s="30" t="s">
        <v>9504</v>
      </c>
      <c r="Q8189" t="s">
        <v>621</v>
      </c>
      <c r="R8189" t="s">
        <v>917</v>
      </c>
      <c r="S8189">
        <v>37</v>
      </c>
      <c r="T8189" s="29" t="str">
        <f t="shared" si="351"/>
        <v>2021.003F.R.Mitoviridae_100nsp_4ngen.zip</v>
      </c>
      <c r="U8189" s="29" t="str">
        <f>HYPERLINK("https://ictv.global/taxonomy/taxondetails?taxnode_id=202313756","ictv.global=202313756")</f>
        <v>ictv.global=202313756</v>
      </c>
    </row>
    <row r="8190" spans="1:21">
      <c r="A8190">
        <v>8189</v>
      </c>
      <c r="B8190" s="30" t="s">
        <v>1226</v>
      </c>
      <c r="D8190" s="30" t="s">
        <v>2024</v>
      </c>
      <c r="F8190" s="30" t="s">
        <v>2046</v>
      </c>
      <c r="H8190" s="30" t="s">
        <v>2049</v>
      </c>
      <c r="J8190" s="30" t="s">
        <v>2050</v>
      </c>
      <c r="L8190" s="30" t="s">
        <v>2051</v>
      </c>
      <c r="N8190" s="30" t="s">
        <v>9497</v>
      </c>
      <c r="P8190" s="30" t="s">
        <v>9505</v>
      </c>
      <c r="Q8190" t="s">
        <v>621</v>
      </c>
      <c r="R8190" t="s">
        <v>917</v>
      </c>
      <c r="S8190">
        <v>37</v>
      </c>
      <c r="T8190" s="29" t="str">
        <f t="shared" si="351"/>
        <v>2021.003F.R.Mitoviridae_100nsp_4ngen.zip</v>
      </c>
      <c r="U8190" s="29" t="str">
        <f>HYPERLINK("https://ictv.global/taxonomy/taxondetails?taxnode_id=202313757","ictv.global=202313757")</f>
        <v>ictv.global=202313757</v>
      </c>
    </row>
    <row r="8191" spans="1:21">
      <c r="A8191">
        <v>8190</v>
      </c>
      <c r="B8191" s="30" t="s">
        <v>1226</v>
      </c>
      <c r="D8191" s="30" t="s">
        <v>2024</v>
      </c>
      <c r="F8191" s="30" t="s">
        <v>2046</v>
      </c>
      <c r="H8191" s="30" t="s">
        <v>2049</v>
      </c>
      <c r="J8191" s="30" t="s">
        <v>2050</v>
      </c>
      <c r="L8191" s="30" t="s">
        <v>2051</v>
      </c>
      <c r="N8191" s="30" t="s">
        <v>9497</v>
      </c>
      <c r="P8191" s="30" t="s">
        <v>9506</v>
      </c>
      <c r="Q8191" t="s">
        <v>621</v>
      </c>
      <c r="R8191" t="s">
        <v>917</v>
      </c>
      <c r="S8191">
        <v>37</v>
      </c>
      <c r="T8191" s="29" t="str">
        <f t="shared" si="351"/>
        <v>2021.003F.R.Mitoviridae_100nsp_4ngen.zip</v>
      </c>
      <c r="U8191" s="29" t="str">
        <f>HYPERLINK("https://ictv.global/taxonomy/taxondetails?taxnode_id=202313758","ictv.global=202313758")</f>
        <v>ictv.global=202313758</v>
      </c>
    </row>
    <row r="8192" spans="1:21">
      <c r="A8192">
        <v>8191</v>
      </c>
      <c r="B8192" s="30" t="s">
        <v>1226</v>
      </c>
      <c r="D8192" s="30" t="s">
        <v>2024</v>
      </c>
      <c r="F8192" s="30" t="s">
        <v>2046</v>
      </c>
      <c r="H8192" s="30" t="s">
        <v>2049</v>
      </c>
      <c r="J8192" s="30" t="s">
        <v>2050</v>
      </c>
      <c r="L8192" s="30" t="s">
        <v>2051</v>
      </c>
      <c r="N8192" s="30" t="s">
        <v>9497</v>
      </c>
      <c r="P8192" s="30" t="s">
        <v>9507</v>
      </c>
      <c r="Q8192" t="s">
        <v>621</v>
      </c>
      <c r="R8192" t="s">
        <v>917</v>
      </c>
      <c r="S8192">
        <v>37</v>
      </c>
      <c r="T8192" s="29" t="str">
        <f t="shared" si="351"/>
        <v>2021.003F.R.Mitoviridae_100nsp_4ngen.zip</v>
      </c>
      <c r="U8192" s="29" t="str">
        <f>HYPERLINK("https://ictv.global/taxonomy/taxondetails?taxnode_id=202313759","ictv.global=202313759")</f>
        <v>ictv.global=202313759</v>
      </c>
    </row>
    <row r="8193" spans="1:21">
      <c r="A8193">
        <v>8192</v>
      </c>
      <c r="B8193" s="30" t="s">
        <v>1226</v>
      </c>
      <c r="D8193" s="30" t="s">
        <v>2024</v>
      </c>
      <c r="F8193" s="30" t="s">
        <v>2046</v>
      </c>
      <c r="H8193" s="30" t="s">
        <v>2049</v>
      </c>
      <c r="J8193" s="30" t="s">
        <v>2050</v>
      </c>
      <c r="L8193" s="30" t="s">
        <v>2051</v>
      </c>
      <c r="N8193" s="30" t="s">
        <v>9497</v>
      </c>
      <c r="P8193" s="30" t="s">
        <v>9508</v>
      </c>
      <c r="Q8193" t="s">
        <v>621</v>
      </c>
      <c r="R8193" t="s">
        <v>917</v>
      </c>
      <c r="S8193">
        <v>37</v>
      </c>
      <c r="T8193" s="29" t="str">
        <f t="shared" si="351"/>
        <v>2021.003F.R.Mitoviridae_100nsp_4ngen.zip</v>
      </c>
      <c r="U8193" s="29" t="str">
        <f>HYPERLINK("https://ictv.global/taxonomy/taxondetails?taxnode_id=202313760","ictv.global=202313760")</f>
        <v>ictv.global=202313760</v>
      </c>
    </row>
    <row r="8194" spans="1:21">
      <c r="A8194">
        <v>8193</v>
      </c>
      <c r="B8194" s="30" t="s">
        <v>1226</v>
      </c>
      <c r="D8194" s="30" t="s">
        <v>2024</v>
      </c>
      <c r="F8194" s="30" t="s">
        <v>2046</v>
      </c>
      <c r="H8194" s="30" t="s">
        <v>2049</v>
      </c>
      <c r="J8194" s="30" t="s">
        <v>2050</v>
      </c>
      <c r="L8194" s="30" t="s">
        <v>2051</v>
      </c>
      <c r="N8194" s="30" t="s">
        <v>9497</v>
      </c>
      <c r="P8194" s="30" t="s">
        <v>9509</v>
      </c>
      <c r="Q8194" t="s">
        <v>621</v>
      </c>
      <c r="R8194" t="s">
        <v>917</v>
      </c>
      <c r="S8194">
        <v>37</v>
      </c>
      <c r="T8194" s="29" t="str">
        <f t="shared" si="351"/>
        <v>2021.003F.R.Mitoviridae_100nsp_4ngen.zip</v>
      </c>
      <c r="U8194" s="29" t="str">
        <f>HYPERLINK("https://ictv.global/taxonomy/taxondetails?taxnode_id=202313761","ictv.global=202313761")</f>
        <v>ictv.global=202313761</v>
      </c>
    </row>
    <row r="8195" spans="1:21">
      <c r="A8195">
        <v>8194</v>
      </c>
      <c r="B8195" s="30" t="s">
        <v>1226</v>
      </c>
      <c r="D8195" s="30" t="s">
        <v>2024</v>
      </c>
      <c r="F8195" s="30" t="s">
        <v>2046</v>
      </c>
      <c r="H8195" s="30" t="s">
        <v>2049</v>
      </c>
      <c r="J8195" s="30" t="s">
        <v>2050</v>
      </c>
      <c r="L8195" s="30" t="s">
        <v>2051</v>
      </c>
      <c r="N8195" s="30" t="s">
        <v>9497</v>
      </c>
      <c r="P8195" s="30" t="s">
        <v>9510</v>
      </c>
      <c r="Q8195" t="s">
        <v>621</v>
      </c>
      <c r="R8195" t="s">
        <v>917</v>
      </c>
      <c r="S8195">
        <v>37</v>
      </c>
      <c r="T8195" s="29" t="str">
        <f t="shared" si="351"/>
        <v>2021.003F.R.Mitoviridae_100nsp_4ngen.zip</v>
      </c>
      <c r="U8195" s="29" t="str">
        <f>HYPERLINK("https://ictv.global/taxonomy/taxondetails?taxnode_id=202313762","ictv.global=202313762")</f>
        <v>ictv.global=202313762</v>
      </c>
    </row>
    <row r="8196" spans="1:21">
      <c r="A8196">
        <v>8195</v>
      </c>
      <c r="B8196" s="30" t="s">
        <v>1226</v>
      </c>
      <c r="D8196" s="30" t="s">
        <v>2024</v>
      </c>
      <c r="F8196" s="30" t="s">
        <v>2046</v>
      </c>
      <c r="H8196" s="30" t="s">
        <v>2049</v>
      </c>
      <c r="J8196" s="30" t="s">
        <v>2050</v>
      </c>
      <c r="L8196" s="30" t="s">
        <v>2051</v>
      </c>
      <c r="N8196" s="30" t="s">
        <v>9497</v>
      </c>
      <c r="P8196" s="30" t="s">
        <v>9511</v>
      </c>
      <c r="Q8196" t="s">
        <v>621</v>
      </c>
      <c r="R8196" t="s">
        <v>917</v>
      </c>
      <c r="S8196">
        <v>37</v>
      </c>
      <c r="T8196" s="29" t="str">
        <f t="shared" si="351"/>
        <v>2021.003F.R.Mitoviridae_100nsp_4ngen.zip</v>
      </c>
      <c r="U8196" s="29" t="str">
        <f>HYPERLINK("https://ictv.global/taxonomy/taxondetails?taxnode_id=202313763","ictv.global=202313763")</f>
        <v>ictv.global=202313763</v>
      </c>
    </row>
    <row r="8197" spans="1:21">
      <c r="A8197">
        <v>8196</v>
      </c>
      <c r="B8197" s="30" t="s">
        <v>1226</v>
      </c>
      <c r="D8197" s="30" t="s">
        <v>2024</v>
      </c>
      <c r="F8197" s="30" t="s">
        <v>2046</v>
      </c>
      <c r="H8197" s="30" t="s">
        <v>2049</v>
      </c>
      <c r="J8197" s="30" t="s">
        <v>2050</v>
      </c>
      <c r="L8197" s="30" t="s">
        <v>2051</v>
      </c>
      <c r="N8197" s="30" t="s">
        <v>9497</v>
      </c>
      <c r="P8197" s="30" t="s">
        <v>9512</v>
      </c>
      <c r="Q8197" t="s">
        <v>621</v>
      </c>
      <c r="R8197" t="s">
        <v>917</v>
      </c>
      <c r="S8197">
        <v>37</v>
      </c>
      <c r="T8197" s="29" t="str">
        <f t="shared" si="351"/>
        <v>2021.003F.R.Mitoviridae_100nsp_4ngen.zip</v>
      </c>
      <c r="U8197" s="29" t="str">
        <f>HYPERLINK("https://ictv.global/taxonomy/taxondetails?taxnode_id=202313764","ictv.global=202313764")</f>
        <v>ictv.global=202313764</v>
      </c>
    </row>
    <row r="8198" spans="1:21">
      <c r="A8198">
        <v>8197</v>
      </c>
      <c r="B8198" s="30" t="s">
        <v>1226</v>
      </c>
      <c r="D8198" s="30" t="s">
        <v>2024</v>
      </c>
      <c r="F8198" s="30" t="s">
        <v>2046</v>
      </c>
      <c r="H8198" s="30" t="s">
        <v>2049</v>
      </c>
      <c r="J8198" s="30" t="s">
        <v>2050</v>
      </c>
      <c r="L8198" s="30" t="s">
        <v>2051</v>
      </c>
      <c r="N8198" s="30" t="s">
        <v>9497</v>
      </c>
      <c r="P8198" s="30" t="s">
        <v>9513</v>
      </c>
      <c r="Q8198" t="s">
        <v>621</v>
      </c>
      <c r="R8198" t="s">
        <v>917</v>
      </c>
      <c r="S8198">
        <v>37</v>
      </c>
      <c r="T8198" s="29" t="str">
        <f t="shared" si="351"/>
        <v>2021.003F.R.Mitoviridae_100nsp_4ngen.zip</v>
      </c>
      <c r="U8198" s="29" t="str">
        <f>HYPERLINK("https://ictv.global/taxonomy/taxondetails?taxnode_id=202313765","ictv.global=202313765")</f>
        <v>ictv.global=202313765</v>
      </c>
    </row>
    <row r="8199" spans="1:21">
      <c r="A8199">
        <v>8198</v>
      </c>
      <c r="B8199" s="30" t="s">
        <v>1226</v>
      </c>
      <c r="D8199" s="30" t="s">
        <v>2024</v>
      </c>
      <c r="F8199" s="30" t="s">
        <v>2046</v>
      </c>
      <c r="H8199" s="30" t="s">
        <v>2049</v>
      </c>
      <c r="J8199" s="30" t="s">
        <v>2050</v>
      </c>
      <c r="L8199" s="30" t="s">
        <v>2051</v>
      </c>
      <c r="N8199" s="30" t="s">
        <v>9497</v>
      </c>
      <c r="P8199" s="30" t="s">
        <v>9514</v>
      </c>
      <c r="Q8199" t="s">
        <v>621</v>
      </c>
      <c r="R8199" t="s">
        <v>917</v>
      </c>
      <c r="S8199">
        <v>37</v>
      </c>
      <c r="T8199" s="29" t="str">
        <f t="shared" si="351"/>
        <v>2021.003F.R.Mitoviridae_100nsp_4ngen.zip</v>
      </c>
      <c r="U8199" s="29" t="str">
        <f>HYPERLINK("https://ictv.global/taxonomy/taxondetails?taxnode_id=202313766","ictv.global=202313766")</f>
        <v>ictv.global=202313766</v>
      </c>
    </row>
    <row r="8200" spans="1:21">
      <c r="A8200">
        <v>8199</v>
      </c>
      <c r="B8200" s="30" t="s">
        <v>1226</v>
      </c>
      <c r="D8200" s="30" t="s">
        <v>2024</v>
      </c>
      <c r="F8200" s="30" t="s">
        <v>2046</v>
      </c>
      <c r="H8200" s="30" t="s">
        <v>2049</v>
      </c>
      <c r="J8200" s="30" t="s">
        <v>2050</v>
      </c>
      <c r="L8200" s="30" t="s">
        <v>2051</v>
      </c>
      <c r="N8200" s="30" t="s">
        <v>9497</v>
      </c>
      <c r="P8200" s="30" t="s">
        <v>9515</v>
      </c>
      <c r="Q8200" t="s">
        <v>621</v>
      </c>
      <c r="R8200" t="s">
        <v>917</v>
      </c>
      <c r="S8200">
        <v>37</v>
      </c>
      <c r="T8200" s="29" t="str">
        <f t="shared" si="351"/>
        <v>2021.003F.R.Mitoviridae_100nsp_4ngen.zip</v>
      </c>
      <c r="U8200" s="29" t="str">
        <f>HYPERLINK("https://ictv.global/taxonomy/taxondetails?taxnode_id=202313767","ictv.global=202313767")</f>
        <v>ictv.global=202313767</v>
      </c>
    </row>
    <row r="8201" spans="1:21">
      <c r="A8201">
        <v>8200</v>
      </c>
      <c r="B8201" s="30" t="s">
        <v>1226</v>
      </c>
      <c r="D8201" s="30" t="s">
        <v>2024</v>
      </c>
      <c r="F8201" s="30" t="s">
        <v>2046</v>
      </c>
      <c r="H8201" s="30" t="s">
        <v>2049</v>
      </c>
      <c r="J8201" s="30" t="s">
        <v>2050</v>
      </c>
      <c r="L8201" s="30" t="s">
        <v>2051</v>
      </c>
      <c r="N8201" s="30" t="s">
        <v>9497</v>
      </c>
      <c r="P8201" s="30" t="s">
        <v>9516</v>
      </c>
      <c r="Q8201" t="s">
        <v>621</v>
      </c>
      <c r="R8201" t="s">
        <v>917</v>
      </c>
      <c r="S8201">
        <v>37</v>
      </c>
      <c r="T8201" s="29" t="str">
        <f t="shared" si="351"/>
        <v>2021.003F.R.Mitoviridae_100nsp_4ngen.zip</v>
      </c>
      <c r="U8201" s="29" t="str">
        <f>HYPERLINK("https://ictv.global/taxonomy/taxondetails?taxnode_id=202313768","ictv.global=202313768")</f>
        <v>ictv.global=202313768</v>
      </c>
    </row>
    <row r="8202" spans="1:21">
      <c r="A8202">
        <v>8201</v>
      </c>
      <c r="B8202" s="30" t="s">
        <v>1226</v>
      </c>
      <c r="D8202" s="30" t="s">
        <v>2024</v>
      </c>
      <c r="F8202" s="30" t="s">
        <v>2046</v>
      </c>
      <c r="H8202" s="30" t="s">
        <v>2049</v>
      </c>
      <c r="J8202" s="30" t="s">
        <v>2050</v>
      </c>
      <c r="L8202" s="30" t="s">
        <v>2051</v>
      </c>
      <c r="N8202" s="30" t="s">
        <v>9497</v>
      </c>
      <c r="P8202" s="30" t="s">
        <v>9517</v>
      </c>
      <c r="Q8202" t="s">
        <v>621</v>
      </c>
      <c r="R8202" t="s">
        <v>917</v>
      </c>
      <c r="S8202">
        <v>37</v>
      </c>
      <c r="T8202" s="29" t="str">
        <f t="shared" si="351"/>
        <v>2021.003F.R.Mitoviridae_100nsp_4ngen.zip</v>
      </c>
      <c r="U8202" s="29" t="str">
        <f>HYPERLINK("https://ictv.global/taxonomy/taxondetails?taxnode_id=202313769","ictv.global=202313769")</f>
        <v>ictv.global=202313769</v>
      </c>
    </row>
    <row r="8203" spans="1:21">
      <c r="A8203">
        <v>8202</v>
      </c>
      <c r="B8203" s="30" t="s">
        <v>1226</v>
      </c>
      <c r="D8203" s="30" t="s">
        <v>2024</v>
      </c>
      <c r="F8203" s="30" t="s">
        <v>2046</v>
      </c>
      <c r="H8203" s="30" t="s">
        <v>2049</v>
      </c>
      <c r="J8203" s="30" t="s">
        <v>2050</v>
      </c>
      <c r="L8203" s="30" t="s">
        <v>2051</v>
      </c>
      <c r="N8203" s="30" t="s">
        <v>9497</v>
      </c>
      <c r="P8203" s="30" t="s">
        <v>9518</v>
      </c>
      <c r="Q8203" t="s">
        <v>621</v>
      </c>
      <c r="R8203" t="s">
        <v>917</v>
      </c>
      <c r="S8203">
        <v>37</v>
      </c>
      <c r="T8203" s="29" t="str">
        <f t="shared" si="351"/>
        <v>2021.003F.R.Mitoviridae_100nsp_4ngen.zip</v>
      </c>
      <c r="U8203" s="29" t="str">
        <f>HYPERLINK("https://ictv.global/taxonomy/taxondetails?taxnode_id=202313770","ictv.global=202313770")</f>
        <v>ictv.global=202313770</v>
      </c>
    </row>
    <row r="8204" spans="1:21">
      <c r="A8204">
        <v>8203</v>
      </c>
      <c r="B8204" s="30" t="s">
        <v>1226</v>
      </c>
      <c r="D8204" s="30" t="s">
        <v>2024</v>
      </c>
      <c r="F8204" s="30" t="s">
        <v>2046</v>
      </c>
      <c r="H8204" s="30" t="s">
        <v>2049</v>
      </c>
      <c r="J8204" s="30" t="s">
        <v>2050</v>
      </c>
      <c r="L8204" s="30" t="s">
        <v>2051</v>
      </c>
      <c r="N8204" s="30" t="s">
        <v>9497</v>
      </c>
      <c r="P8204" s="30" t="s">
        <v>9519</v>
      </c>
      <c r="Q8204" t="s">
        <v>621</v>
      </c>
      <c r="R8204" t="s">
        <v>917</v>
      </c>
      <c r="S8204">
        <v>37</v>
      </c>
      <c r="T8204" s="29" t="str">
        <f t="shared" si="351"/>
        <v>2021.003F.R.Mitoviridae_100nsp_4ngen.zip</v>
      </c>
      <c r="U8204" s="29" t="str">
        <f>HYPERLINK("https://ictv.global/taxonomy/taxondetails?taxnode_id=202313771","ictv.global=202313771")</f>
        <v>ictv.global=202313771</v>
      </c>
    </row>
    <row r="8205" spans="1:21">
      <c r="A8205">
        <v>8204</v>
      </c>
      <c r="B8205" s="30" t="s">
        <v>1226</v>
      </c>
      <c r="D8205" s="30" t="s">
        <v>2024</v>
      </c>
      <c r="F8205" s="30" t="s">
        <v>2046</v>
      </c>
      <c r="H8205" s="30" t="s">
        <v>2049</v>
      </c>
      <c r="J8205" s="30" t="s">
        <v>2050</v>
      </c>
      <c r="L8205" s="30" t="s">
        <v>2051</v>
      </c>
      <c r="N8205" s="30" t="s">
        <v>9497</v>
      </c>
      <c r="P8205" s="30" t="s">
        <v>9520</v>
      </c>
      <c r="Q8205" t="s">
        <v>621</v>
      </c>
      <c r="R8205" t="s">
        <v>917</v>
      </c>
      <c r="S8205">
        <v>37</v>
      </c>
      <c r="T8205" s="29" t="str">
        <f t="shared" si="351"/>
        <v>2021.003F.R.Mitoviridae_100nsp_4ngen.zip</v>
      </c>
      <c r="U8205" s="29" t="str">
        <f>HYPERLINK("https://ictv.global/taxonomy/taxondetails?taxnode_id=202313772","ictv.global=202313772")</f>
        <v>ictv.global=202313772</v>
      </c>
    </row>
    <row r="8206" spans="1:21">
      <c r="A8206">
        <v>8205</v>
      </c>
      <c r="B8206" s="30" t="s">
        <v>1226</v>
      </c>
      <c r="D8206" s="30" t="s">
        <v>2024</v>
      </c>
      <c r="F8206" s="30" t="s">
        <v>2046</v>
      </c>
      <c r="H8206" s="30" t="s">
        <v>2049</v>
      </c>
      <c r="J8206" s="30" t="s">
        <v>2050</v>
      </c>
      <c r="L8206" s="30" t="s">
        <v>2051</v>
      </c>
      <c r="N8206" s="30" t="s">
        <v>9497</v>
      </c>
      <c r="P8206" s="30" t="s">
        <v>9521</v>
      </c>
      <c r="Q8206" t="s">
        <v>621</v>
      </c>
      <c r="R8206" t="s">
        <v>917</v>
      </c>
      <c r="S8206">
        <v>37</v>
      </c>
      <c r="T8206" s="29" t="str">
        <f t="shared" si="351"/>
        <v>2021.003F.R.Mitoviridae_100nsp_4ngen.zip</v>
      </c>
      <c r="U8206" s="29" t="str">
        <f>HYPERLINK("https://ictv.global/taxonomy/taxondetails?taxnode_id=202313773","ictv.global=202313773")</f>
        <v>ictv.global=202313773</v>
      </c>
    </row>
    <row r="8207" spans="1:21">
      <c r="A8207">
        <v>8206</v>
      </c>
      <c r="B8207" s="30" t="s">
        <v>1226</v>
      </c>
      <c r="D8207" s="30" t="s">
        <v>2024</v>
      </c>
      <c r="F8207" s="30" t="s">
        <v>2046</v>
      </c>
      <c r="H8207" s="30" t="s">
        <v>2049</v>
      </c>
      <c r="J8207" s="30" t="s">
        <v>2050</v>
      </c>
      <c r="L8207" s="30" t="s">
        <v>2051</v>
      </c>
      <c r="N8207" s="30" t="s">
        <v>9497</v>
      </c>
      <c r="P8207" s="30" t="s">
        <v>9522</v>
      </c>
      <c r="Q8207" t="s">
        <v>621</v>
      </c>
      <c r="R8207" t="s">
        <v>917</v>
      </c>
      <c r="S8207">
        <v>37</v>
      </c>
      <c r="T8207" s="29" t="str">
        <f t="shared" si="351"/>
        <v>2021.003F.R.Mitoviridae_100nsp_4ngen.zip</v>
      </c>
      <c r="U8207" s="29" t="str">
        <f>HYPERLINK("https://ictv.global/taxonomy/taxondetails?taxnode_id=202313774","ictv.global=202313774")</f>
        <v>ictv.global=202313774</v>
      </c>
    </row>
    <row r="8208" spans="1:21">
      <c r="A8208">
        <v>8207</v>
      </c>
      <c r="B8208" s="30" t="s">
        <v>1226</v>
      </c>
      <c r="D8208" s="30" t="s">
        <v>2024</v>
      </c>
      <c r="F8208" s="30" t="s">
        <v>2046</v>
      </c>
      <c r="H8208" s="30" t="s">
        <v>2049</v>
      </c>
      <c r="J8208" s="30" t="s">
        <v>2050</v>
      </c>
      <c r="L8208" s="30" t="s">
        <v>2051</v>
      </c>
      <c r="N8208" s="30" t="s">
        <v>9497</v>
      </c>
      <c r="P8208" s="30" t="s">
        <v>9523</v>
      </c>
      <c r="Q8208" t="s">
        <v>621</v>
      </c>
      <c r="R8208" t="s">
        <v>917</v>
      </c>
      <c r="S8208">
        <v>37</v>
      </c>
      <c r="T8208" s="29" t="str">
        <f t="shared" si="351"/>
        <v>2021.003F.R.Mitoviridae_100nsp_4ngen.zip</v>
      </c>
      <c r="U8208" s="29" t="str">
        <f>HYPERLINK("https://ictv.global/taxonomy/taxondetails?taxnode_id=202313775","ictv.global=202313775")</f>
        <v>ictv.global=202313775</v>
      </c>
    </row>
    <row r="8209" spans="1:21">
      <c r="A8209">
        <v>8208</v>
      </c>
      <c r="B8209" s="30" t="s">
        <v>1226</v>
      </c>
      <c r="D8209" s="30" t="s">
        <v>2024</v>
      </c>
      <c r="F8209" s="30" t="s">
        <v>2046</v>
      </c>
      <c r="H8209" s="30" t="s">
        <v>2049</v>
      </c>
      <c r="J8209" s="30" t="s">
        <v>2050</v>
      </c>
      <c r="L8209" s="30" t="s">
        <v>2051</v>
      </c>
      <c r="N8209" s="30" t="s">
        <v>9497</v>
      </c>
      <c r="P8209" s="30" t="s">
        <v>9524</v>
      </c>
      <c r="Q8209" t="s">
        <v>621</v>
      </c>
      <c r="R8209" t="s">
        <v>917</v>
      </c>
      <c r="S8209">
        <v>37</v>
      </c>
      <c r="T8209" s="29" t="str">
        <f t="shared" si="351"/>
        <v>2021.003F.R.Mitoviridae_100nsp_4ngen.zip</v>
      </c>
      <c r="U8209" s="29" t="str">
        <f>HYPERLINK("https://ictv.global/taxonomy/taxondetails?taxnode_id=202313776","ictv.global=202313776")</f>
        <v>ictv.global=202313776</v>
      </c>
    </row>
    <row r="8210" spans="1:21">
      <c r="A8210">
        <v>8209</v>
      </c>
      <c r="B8210" s="30" t="s">
        <v>1226</v>
      </c>
      <c r="D8210" s="30" t="s">
        <v>2024</v>
      </c>
      <c r="F8210" s="30" t="s">
        <v>2046</v>
      </c>
      <c r="H8210" s="30" t="s">
        <v>2049</v>
      </c>
      <c r="J8210" s="30" t="s">
        <v>2050</v>
      </c>
      <c r="L8210" s="30" t="s">
        <v>2051</v>
      </c>
      <c r="N8210" s="30" t="s">
        <v>9497</v>
      </c>
      <c r="P8210" s="30" t="s">
        <v>9525</v>
      </c>
      <c r="Q8210" t="s">
        <v>621</v>
      </c>
      <c r="R8210" t="s">
        <v>917</v>
      </c>
      <c r="S8210">
        <v>37</v>
      </c>
      <c r="T8210" s="29" t="str">
        <f t="shared" si="351"/>
        <v>2021.003F.R.Mitoviridae_100nsp_4ngen.zip</v>
      </c>
      <c r="U8210" s="29" t="str">
        <f>HYPERLINK("https://ictv.global/taxonomy/taxondetails?taxnode_id=202313777","ictv.global=202313777")</f>
        <v>ictv.global=202313777</v>
      </c>
    </row>
    <row r="8211" spans="1:21">
      <c r="A8211">
        <v>8210</v>
      </c>
      <c r="B8211" s="30" t="s">
        <v>1226</v>
      </c>
      <c r="D8211" s="30" t="s">
        <v>2024</v>
      </c>
      <c r="F8211" s="30" t="s">
        <v>2046</v>
      </c>
      <c r="H8211" s="30" t="s">
        <v>2049</v>
      </c>
      <c r="J8211" s="30" t="s">
        <v>2050</v>
      </c>
      <c r="L8211" s="30" t="s">
        <v>2051</v>
      </c>
      <c r="N8211" s="30" t="s">
        <v>9497</v>
      </c>
      <c r="P8211" s="30" t="s">
        <v>9526</v>
      </c>
      <c r="Q8211" t="s">
        <v>621</v>
      </c>
      <c r="R8211" t="s">
        <v>917</v>
      </c>
      <c r="S8211">
        <v>37</v>
      </c>
      <c r="T8211" s="29" t="str">
        <f t="shared" si="351"/>
        <v>2021.003F.R.Mitoviridae_100nsp_4ngen.zip</v>
      </c>
      <c r="U8211" s="29" t="str">
        <f>HYPERLINK("https://ictv.global/taxonomy/taxondetails?taxnode_id=202313778","ictv.global=202313778")</f>
        <v>ictv.global=202313778</v>
      </c>
    </row>
    <row r="8212" spans="1:21">
      <c r="A8212">
        <v>8211</v>
      </c>
      <c r="B8212" s="30" t="s">
        <v>1226</v>
      </c>
      <c r="D8212" s="30" t="s">
        <v>2024</v>
      </c>
      <c r="F8212" s="30" t="s">
        <v>2046</v>
      </c>
      <c r="H8212" s="30" t="s">
        <v>2049</v>
      </c>
      <c r="J8212" s="30" t="s">
        <v>2050</v>
      </c>
      <c r="L8212" s="30" t="s">
        <v>2051</v>
      </c>
      <c r="N8212" s="30" t="s">
        <v>9497</v>
      </c>
      <c r="P8212" s="30" t="s">
        <v>9527</v>
      </c>
      <c r="Q8212" t="s">
        <v>621</v>
      </c>
      <c r="R8212" t="s">
        <v>917</v>
      </c>
      <c r="S8212">
        <v>37</v>
      </c>
      <c r="T8212" s="29" t="str">
        <f t="shared" si="351"/>
        <v>2021.003F.R.Mitoviridae_100nsp_4ngen.zip</v>
      </c>
      <c r="U8212" s="29" t="str">
        <f>HYPERLINK("https://ictv.global/taxonomy/taxondetails?taxnode_id=202313779","ictv.global=202313779")</f>
        <v>ictv.global=202313779</v>
      </c>
    </row>
    <row r="8213" spans="1:21">
      <c r="A8213">
        <v>8212</v>
      </c>
      <c r="B8213" s="30" t="s">
        <v>1226</v>
      </c>
      <c r="D8213" s="30" t="s">
        <v>2024</v>
      </c>
      <c r="F8213" s="30" t="s">
        <v>2046</v>
      </c>
      <c r="H8213" s="30" t="s">
        <v>2049</v>
      </c>
      <c r="J8213" s="30" t="s">
        <v>2050</v>
      </c>
      <c r="L8213" s="30" t="s">
        <v>2051</v>
      </c>
      <c r="N8213" s="30" t="s">
        <v>9497</v>
      </c>
      <c r="P8213" s="30" t="s">
        <v>9528</v>
      </c>
      <c r="Q8213" t="s">
        <v>621</v>
      </c>
      <c r="R8213" t="s">
        <v>917</v>
      </c>
      <c r="S8213">
        <v>37</v>
      </c>
      <c r="T8213" s="29" t="str">
        <f t="shared" si="351"/>
        <v>2021.003F.R.Mitoviridae_100nsp_4ngen.zip</v>
      </c>
      <c r="U8213" s="29" t="str">
        <f>HYPERLINK("https://ictv.global/taxonomy/taxondetails?taxnode_id=202313781","ictv.global=202313781")</f>
        <v>ictv.global=202313781</v>
      </c>
    </row>
    <row r="8214" spans="1:21">
      <c r="A8214">
        <v>8213</v>
      </c>
      <c r="B8214" s="30" t="s">
        <v>1226</v>
      </c>
      <c r="D8214" s="30" t="s">
        <v>2024</v>
      </c>
      <c r="F8214" s="30" t="s">
        <v>2046</v>
      </c>
      <c r="H8214" s="30" t="s">
        <v>2049</v>
      </c>
      <c r="J8214" s="30" t="s">
        <v>2050</v>
      </c>
      <c r="L8214" s="30" t="s">
        <v>2051</v>
      </c>
      <c r="N8214" s="30" t="s">
        <v>9497</v>
      </c>
      <c r="P8214" s="30" t="s">
        <v>9529</v>
      </c>
      <c r="Q8214" t="s">
        <v>621</v>
      </c>
      <c r="R8214" t="s">
        <v>917</v>
      </c>
      <c r="S8214">
        <v>37</v>
      </c>
      <c r="T8214" s="29" t="str">
        <f t="shared" si="351"/>
        <v>2021.003F.R.Mitoviridae_100nsp_4ngen.zip</v>
      </c>
      <c r="U8214" s="29" t="str">
        <f>HYPERLINK("https://ictv.global/taxonomy/taxondetails?taxnode_id=202313780","ictv.global=202313780")</f>
        <v>ictv.global=202313780</v>
      </c>
    </row>
    <row r="8215" spans="1:21">
      <c r="A8215">
        <v>8214</v>
      </c>
      <c r="B8215" s="30" t="s">
        <v>1226</v>
      </c>
      <c r="D8215" s="30" t="s">
        <v>2024</v>
      </c>
      <c r="F8215" s="30" t="s">
        <v>2046</v>
      </c>
      <c r="H8215" s="30" t="s">
        <v>2049</v>
      </c>
      <c r="J8215" s="30" t="s">
        <v>2050</v>
      </c>
      <c r="L8215" s="30" t="s">
        <v>2051</v>
      </c>
      <c r="N8215" s="30" t="s">
        <v>9497</v>
      </c>
      <c r="P8215" s="30" t="s">
        <v>9530</v>
      </c>
      <c r="Q8215" t="s">
        <v>621</v>
      </c>
      <c r="R8215" t="s">
        <v>917</v>
      </c>
      <c r="S8215">
        <v>37</v>
      </c>
      <c r="T8215" s="29" t="str">
        <f t="shared" si="351"/>
        <v>2021.003F.R.Mitoviridae_100nsp_4ngen.zip</v>
      </c>
      <c r="U8215" s="29" t="str">
        <f>HYPERLINK("https://ictv.global/taxonomy/taxondetails?taxnode_id=202313782","ictv.global=202313782")</f>
        <v>ictv.global=202313782</v>
      </c>
    </row>
    <row r="8216" spans="1:21">
      <c r="A8216">
        <v>8215</v>
      </c>
      <c r="B8216" s="30" t="s">
        <v>1226</v>
      </c>
      <c r="D8216" s="30" t="s">
        <v>2024</v>
      </c>
      <c r="F8216" s="30" t="s">
        <v>2046</v>
      </c>
      <c r="H8216" s="30" t="s">
        <v>2049</v>
      </c>
      <c r="J8216" s="30" t="s">
        <v>2050</v>
      </c>
      <c r="L8216" s="30" t="s">
        <v>2051</v>
      </c>
      <c r="N8216" s="30" t="s">
        <v>9497</v>
      </c>
      <c r="P8216" s="30" t="s">
        <v>9531</v>
      </c>
      <c r="Q8216" t="s">
        <v>621</v>
      </c>
      <c r="R8216" t="s">
        <v>917</v>
      </c>
      <c r="S8216">
        <v>37</v>
      </c>
      <c r="T8216" s="29" t="str">
        <f t="shared" si="351"/>
        <v>2021.003F.R.Mitoviridae_100nsp_4ngen.zip</v>
      </c>
      <c r="U8216" s="29" t="str">
        <f>HYPERLINK("https://ictv.global/taxonomy/taxondetails?taxnode_id=202313783","ictv.global=202313783")</f>
        <v>ictv.global=202313783</v>
      </c>
    </row>
    <row r="8217" spans="1:21">
      <c r="A8217">
        <v>8216</v>
      </c>
      <c r="B8217" s="30" t="s">
        <v>1226</v>
      </c>
      <c r="D8217" s="30" t="s">
        <v>2024</v>
      </c>
      <c r="F8217" s="30" t="s">
        <v>2046</v>
      </c>
      <c r="H8217" s="30" t="s">
        <v>2049</v>
      </c>
      <c r="J8217" s="30" t="s">
        <v>2050</v>
      </c>
      <c r="L8217" s="30" t="s">
        <v>2051</v>
      </c>
      <c r="N8217" s="30" t="s">
        <v>9497</v>
      </c>
      <c r="P8217" s="30" t="s">
        <v>9532</v>
      </c>
      <c r="Q8217" t="s">
        <v>621</v>
      </c>
      <c r="R8217" t="s">
        <v>917</v>
      </c>
      <c r="S8217">
        <v>37</v>
      </c>
      <c r="T8217" s="29" t="str">
        <f t="shared" si="351"/>
        <v>2021.003F.R.Mitoviridae_100nsp_4ngen.zip</v>
      </c>
      <c r="U8217" s="29" t="str">
        <f>HYPERLINK("https://ictv.global/taxonomy/taxondetails?taxnode_id=202313784","ictv.global=202313784")</f>
        <v>ictv.global=202313784</v>
      </c>
    </row>
    <row r="8218" spans="1:21">
      <c r="A8218">
        <v>8217</v>
      </c>
      <c r="B8218" s="30" t="s">
        <v>1226</v>
      </c>
      <c r="D8218" s="30" t="s">
        <v>2024</v>
      </c>
      <c r="F8218" s="30" t="s">
        <v>2046</v>
      </c>
      <c r="H8218" s="30" t="s">
        <v>2049</v>
      </c>
      <c r="J8218" s="30" t="s">
        <v>2050</v>
      </c>
      <c r="L8218" s="30" t="s">
        <v>2051</v>
      </c>
      <c r="N8218" s="30" t="s">
        <v>9497</v>
      </c>
      <c r="P8218" s="30" t="s">
        <v>9533</v>
      </c>
      <c r="Q8218" t="s">
        <v>621</v>
      </c>
      <c r="R8218" t="s">
        <v>917</v>
      </c>
      <c r="S8218">
        <v>37</v>
      </c>
      <c r="T8218" s="29" t="str">
        <f t="shared" si="351"/>
        <v>2021.003F.R.Mitoviridae_100nsp_4ngen.zip</v>
      </c>
      <c r="U8218" s="29" t="str">
        <f>HYPERLINK("https://ictv.global/taxonomy/taxondetails?taxnode_id=202313785","ictv.global=202313785")</f>
        <v>ictv.global=202313785</v>
      </c>
    </row>
    <row r="8219" spans="1:21">
      <c r="A8219">
        <v>8218</v>
      </c>
      <c r="B8219" s="30" t="s">
        <v>1226</v>
      </c>
      <c r="D8219" s="30" t="s">
        <v>2024</v>
      </c>
      <c r="F8219" s="30" t="s">
        <v>2046</v>
      </c>
      <c r="H8219" s="30" t="s">
        <v>2049</v>
      </c>
      <c r="J8219" s="30" t="s">
        <v>2050</v>
      </c>
      <c r="L8219" s="30" t="s">
        <v>2051</v>
      </c>
      <c r="N8219" s="30" t="s">
        <v>9497</v>
      </c>
      <c r="P8219" s="30" t="s">
        <v>9534</v>
      </c>
      <c r="Q8219" t="s">
        <v>621</v>
      </c>
      <c r="R8219" t="s">
        <v>918</v>
      </c>
      <c r="S8219">
        <v>37</v>
      </c>
      <c r="T8219" s="29" t="str">
        <f t="shared" si="351"/>
        <v>2021.003F.R.Mitoviridae_100nsp_4ngen.zip</v>
      </c>
      <c r="U8219" s="29" t="str">
        <f>HYPERLINK("https://ictv.global/taxonomy/taxondetails?taxnode_id=202303912","ictv.global=202303912")</f>
        <v>ictv.global=202303912</v>
      </c>
    </row>
    <row r="8220" spans="1:21">
      <c r="A8220">
        <v>8219</v>
      </c>
      <c r="B8220" s="30" t="s">
        <v>1226</v>
      </c>
      <c r="D8220" s="30" t="s">
        <v>2024</v>
      </c>
      <c r="F8220" s="30" t="s">
        <v>2046</v>
      </c>
      <c r="H8220" s="30" t="s">
        <v>2049</v>
      </c>
      <c r="J8220" s="30" t="s">
        <v>2050</v>
      </c>
      <c r="L8220" s="30" t="s">
        <v>2051</v>
      </c>
      <c r="N8220" s="30" t="s">
        <v>9497</v>
      </c>
      <c r="P8220" s="30" t="s">
        <v>9535</v>
      </c>
      <c r="Q8220" t="s">
        <v>621</v>
      </c>
      <c r="R8220" t="s">
        <v>918</v>
      </c>
      <c r="S8220">
        <v>37</v>
      </c>
      <c r="T8220" s="29" t="str">
        <f t="shared" ref="T8220:T8228" si="352">HYPERLINK("https://ictv.global/ictv/proposals/2021.003F.R.Mitoviridae_100nsp_4ngen.zip","2021.003F.R.Mitoviridae_100nsp_4ngen.zip")</f>
        <v>2021.003F.R.Mitoviridae_100nsp_4ngen.zip</v>
      </c>
      <c r="U8220" s="29" t="str">
        <f>HYPERLINK("https://ictv.global/taxonomy/taxondetails?taxnode_id=202303913","ictv.global=202303913")</f>
        <v>ictv.global=202303913</v>
      </c>
    </row>
    <row r="8221" spans="1:21">
      <c r="A8221">
        <v>8220</v>
      </c>
      <c r="B8221" s="30" t="s">
        <v>1226</v>
      </c>
      <c r="D8221" s="30" t="s">
        <v>2024</v>
      </c>
      <c r="F8221" s="30" t="s">
        <v>2046</v>
      </c>
      <c r="H8221" s="30" t="s">
        <v>2049</v>
      </c>
      <c r="J8221" s="30" t="s">
        <v>2050</v>
      </c>
      <c r="L8221" s="30" t="s">
        <v>2051</v>
      </c>
      <c r="N8221" s="30" t="s">
        <v>9497</v>
      </c>
      <c r="P8221" s="30" t="s">
        <v>9536</v>
      </c>
      <c r="Q8221" t="s">
        <v>621</v>
      </c>
      <c r="R8221" t="s">
        <v>918</v>
      </c>
      <c r="S8221">
        <v>37</v>
      </c>
      <c r="T8221" s="29" t="str">
        <f t="shared" si="352"/>
        <v>2021.003F.R.Mitoviridae_100nsp_4ngen.zip</v>
      </c>
      <c r="U8221" s="29" t="str">
        <f>HYPERLINK("https://ictv.global/taxonomy/taxondetails?taxnode_id=202303914","ictv.global=202303914")</f>
        <v>ictv.global=202303914</v>
      </c>
    </row>
    <row r="8222" spans="1:21">
      <c r="A8222">
        <v>8221</v>
      </c>
      <c r="B8222" s="30" t="s">
        <v>1226</v>
      </c>
      <c r="D8222" s="30" t="s">
        <v>2024</v>
      </c>
      <c r="F8222" s="30" t="s">
        <v>2046</v>
      </c>
      <c r="H8222" s="30" t="s">
        <v>2049</v>
      </c>
      <c r="J8222" s="30" t="s">
        <v>2050</v>
      </c>
      <c r="L8222" s="30" t="s">
        <v>2051</v>
      </c>
      <c r="N8222" s="30" t="s">
        <v>9497</v>
      </c>
      <c r="P8222" s="30" t="s">
        <v>9537</v>
      </c>
      <c r="Q8222" t="s">
        <v>621</v>
      </c>
      <c r="R8222" t="s">
        <v>917</v>
      </c>
      <c r="S8222">
        <v>37</v>
      </c>
      <c r="T8222" s="29" t="str">
        <f t="shared" si="352"/>
        <v>2021.003F.R.Mitoviridae_100nsp_4ngen.zip</v>
      </c>
      <c r="U8222" s="29" t="str">
        <f>HYPERLINK("https://ictv.global/taxonomy/taxondetails?taxnode_id=202313786","ictv.global=202313786")</f>
        <v>ictv.global=202313786</v>
      </c>
    </row>
    <row r="8223" spans="1:21">
      <c r="A8223">
        <v>8222</v>
      </c>
      <c r="B8223" s="30" t="s">
        <v>1226</v>
      </c>
      <c r="D8223" s="30" t="s">
        <v>2024</v>
      </c>
      <c r="F8223" s="30" t="s">
        <v>2046</v>
      </c>
      <c r="H8223" s="30" t="s">
        <v>2049</v>
      </c>
      <c r="J8223" s="30" t="s">
        <v>2050</v>
      </c>
      <c r="L8223" s="30" t="s">
        <v>2051</v>
      </c>
      <c r="N8223" s="30" t="s">
        <v>9497</v>
      </c>
      <c r="P8223" s="30" t="s">
        <v>9538</v>
      </c>
      <c r="Q8223" t="s">
        <v>621</v>
      </c>
      <c r="R8223" t="s">
        <v>917</v>
      </c>
      <c r="S8223">
        <v>37</v>
      </c>
      <c r="T8223" s="29" t="str">
        <f t="shared" si="352"/>
        <v>2021.003F.R.Mitoviridae_100nsp_4ngen.zip</v>
      </c>
      <c r="U8223" s="29" t="str">
        <f>HYPERLINK("https://ictv.global/taxonomy/taxondetails?taxnode_id=202313787","ictv.global=202313787")</f>
        <v>ictv.global=202313787</v>
      </c>
    </row>
    <row r="8224" spans="1:21">
      <c r="A8224">
        <v>8223</v>
      </c>
      <c r="B8224" s="30" t="s">
        <v>1226</v>
      </c>
      <c r="D8224" s="30" t="s">
        <v>2024</v>
      </c>
      <c r="F8224" s="30" t="s">
        <v>2046</v>
      </c>
      <c r="H8224" s="30" t="s">
        <v>2049</v>
      </c>
      <c r="J8224" s="30" t="s">
        <v>2050</v>
      </c>
      <c r="L8224" s="30" t="s">
        <v>2051</v>
      </c>
      <c r="N8224" s="30" t="s">
        <v>9497</v>
      </c>
      <c r="P8224" s="30" t="s">
        <v>9539</v>
      </c>
      <c r="Q8224" t="s">
        <v>621</v>
      </c>
      <c r="R8224" t="s">
        <v>917</v>
      </c>
      <c r="S8224">
        <v>37</v>
      </c>
      <c r="T8224" s="29" t="str">
        <f t="shared" si="352"/>
        <v>2021.003F.R.Mitoviridae_100nsp_4ngen.zip</v>
      </c>
      <c r="U8224" s="29" t="str">
        <f>HYPERLINK("https://ictv.global/taxonomy/taxondetails?taxnode_id=202313788","ictv.global=202313788")</f>
        <v>ictv.global=202313788</v>
      </c>
    </row>
    <row r="8225" spans="1:21">
      <c r="A8225">
        <v>8224</v>
      </c>
      <c r="B8225" s="30" t="s">
        <v>1226</v>
      </c>
      <c r="D8225" s="30" t="s">
        <v>2024</v>
      </c>
      <c r="F8225" s="30" t="s">
        <v>2046</v>
      </c>
      <c r="H8225" s="30" t="s">
        <v>2049</v>
      </c>
      <c r="J8225" s="30" t="s">
        <v>2050</v>
      </c>
      <c r="L8225" s="30" t="s">
        <v>2051</v>
      </c>
      <c r="N8225" s="30" t="s">
        <v>9497</v>
      </c>
      <c r="P8225" s="30" t="s">
        <v>9540</v>
      </c>
      <c r="Q8225" t="s">
        <v>621</v>
      </c>
      <c r="R8225" t="s">
        <v>917</v>
      </c>
      <c r="S8225">
        <v>37</v>
      </c>
      <c r="T8225" s="29" t="str">
        <f t="shared" si="352"/>
        <v>2021.003F.R.Mitoviridae_100nsp_4ngen.zip</v>
      </c>
      <c r="U8225" s="29" t="str">
        <f>HYPERLINK("https://ictv.global/taxonomy/taxondetails?taxnode_id=202313789","ictv.global=202313789")</f>
        <v>ictv.global=202313789</v>
      </c>
    </row>
    <row r="8226" spans="1:21">
      <c r="A8226">
        <v>8225</v>
      </c>
      <c r="B8226" s="30" t="s">
        <v>1226</v>
      </c>
      <c r="D8226" s="30" t="s">
        <v>2024</v>
      </c>
      <c r="F8226" s="30" t="s">
        <v>2046</v>
      </c>
      <c r="H8226" s="30" t="s">
        <v>2049</v>
      </c>
      <c r="J8226" s="30" t="s">
        <v>2050</v>
      </c>
      <c r="L8226" s="30" t="s">
        <v>2051</v>
      </c>
      <c r="N8226" s="30" t="s">
        <v>9497</v>
      </c>
      <c r="P8226" s="30" t="s">
        <v>9541</v>
      </c>
      <c r="Q8226" t="s">
        <v>621</v>
      </c>
      <c r="R8226" t="s">
        <v>917</v>
      </c>
      <c r="S8226">
        <v>37</v>
      </c>
      <c r="T8226" s="29" t="str">
        <f t="shared" si="352"/>
        <v>2021.003F.R.Mitoviridae_100nsp_4ngen.zip</v>
      </c>
      <c r="U8226" s="29" t="str">
        <f>HYPERLINK("https://ictv.global/taxonomy/taxondetails?taxnode_id=202313790","ictv.global=202313790")</f>
        <v>ictv.global=202313790</v>
      </c>
    </row>
    <row r="8227" spans="1:21">
      <c r="A8227">
        <v>8226</v>
      </c>
      <c r="B8227" s="30" t="s">
        <v>1226</v>
      </c>
      <c r="D8227" s="30" t="s">
        <v>2024</v>
      </c>
      <c r="F8227" s="30" t="s">
        <v>2046</v>
      </c>
      <c r="H8227" s="30" t="s">
        <v>2049</v>
      </c>
      <c r="J8227" s="30" t="s">
        <v>2050</v>
      </c>
      <c r="L8227" s="30" t="s">
        <v>2051</v>
      </c>
      <c r="N8227" s="30" t="s">
        <v>9497</v>
      </c>
      <c r="P8227" s="30" t="s">
        <v>9542</v>
      </c>
      <c r="Q8227" t="s">
        <v>621</v>
      </c>
      <c r="R8227" t="s">
        <v>917</v>
      </c>
      <c r="S8227">
        <v>37</v>
      </c>
      <c r="T8227" s="29" t="str">
        <f t="shared" si="352"/>
        <v>2021.003F.R.Mitoviridae_100nsp_4ngen.zip</v>
      </c>
      <c r="U8227" s="29" t="str">
        <f>HYPERLINK("https://ictv.global/taxonomy/taxondetails?taxnode_id=202313791","ictv.global=202313791")</f>
        <v>ictv.global=202313791</v>
      </c>
    </row>
    <row r="8228" spans="1:21">
      <c r="A8228">
        <v>8227</v>
      </c>
      <c r="B8228" s="30" t="s">
        <v>1226</v>
      </c>
      <c r="D8228" s="30" t="s">
        <v>2024</v>
      </c>
      <c r="F8228" s="30" t="s">
        <v>2046</v>
      </c>
      <c r="H8228" s="30" t="s">
        <v>2049</v>
      </c>
      <c r="J8228" s="30" t="s">
        <v>2050</v>
      </c>
      <c r="L8228" s="30" t="s">
        <v>2051</v>
      </c>
      <c r="N8228" s="30" t="s">
        <v>9497</v>
      </c>
      <c r="P8228" s="30" t="s">
        <v>9543</v>
      </c>
      <c r="Q8228" t="s">
        <v>621</v>
      </c>
      <c r="R8228" t="s">
        <v>917</v>
      </c>
      <c r="S8228">
        <v>37</v>
      </c>
      <c r="T8228" s="29" t="str">
        <f t="shared" si="352"/>
        <v>2021.003F.R.Mitoviridae_100nsp_4ngen.zip</v>
      </c>
      <c r="U8228" s="29" t="str">
        <f>HYPERLINK("https://ictv.global/taxonomy/taxondetails?taxnode_id=202313792","ictv.global=202313792")</f>
        <v>ictv.global=202313792</v>
      </c>
    </row>
    <row r="8229" spans="1:21">
      <c r="A8229">
        <v>8228</v>
      </c>
      <c r="B8229" s="30" t="s">
        <v>1226</v>
      </c>
      <c r="D8229" s="30" t="s">
        <v>2024</v>
      </c>
      <c r="F8229" s="30" t="s">
        <v>2046</v>
      </c>
      <c r="H8229" s="30" t="s">
        <v>2859</v>
      </c>
      <c r="J8229" s="30" t="s">
        <v>2860</v>
      </c>
      <c r="L8229" s="30" t="s">
        <v>2861</v>
      </c>
      <c r="N8229" s="30" t="s">
        <v>14765</v>
      </c>
      <c r="P8229" s="30" t="s">
        <v>14766</v>
      </c>
      <c r="Q8229" t="s">
        <v>621</v>
      </c>
      <c r="R8229" t="s">
        <v>917</v>
      </c>
      <c r="S8229">
        <v>39</v>
      </c>
      <c r="T8229" s="29" t="str">
        <f t="shared" ref="T8229:T8248" si="353">HYPERLINK("https://ictv.global/ictv/proposals/2023.001B.Leviviricetes_reorg.zip","2023.001B.Leviviricetes_reorg.zip")</f>
        <v>2023.001B.Leviviricetes_reorg.zip</v>
      </c>
      <c r="U8229" s="29" t="str">
        <f>HYPERLINK("https://ictv.global/taxonomy/taxondetails?taxnode_id=202316036","ictv.global=202316036")</f>
        <v>ictv.global=202316036</v>
      </c>
    </row>
    <row r="8230" spans="1:21">
      <c r="A8230">
        <v>8229</v>
      </c>
      <c r="B8230" s="30" t="s">
        <v>1226</v>
      </c>
      <c r="D8230" s="30" t="s">
        <v>2024</v>
      </c>
      <c r="F8230" s="30" t="s">
        <v>2046</v>
      </c>
      <c r="H8230" s="30" t="s">
        <v>2859</v>
      </c>
      <c r="J8230" s="30" t="s">
        <v>2860</v>
      </c>
      <c r="L8230" s="30" t="s">
        <v>2861</v>
      </c>
      <c r="N8230" s="30" t="s">
        <v>14767</v>
      </c>
      <c r="P8230" s="30" t="s">
        <v>14768</v>
      </c>
      <c r="Q8230" t="s">
        <v>621</v>
      </c>
      <c r="R8230" t="s">
        <v>918</v>
      </c>
      <c r="S8230">
        <v>39</v>
      </c>
      <c r="T8230" s="29" t="str">
        <f t="shared" si="353"/>
        <v>2023.001B.Leviviricetes_reorg.zip</v>
      </c>
      <c r="U8230" s="29" t="str">
        <f>HYPERLINK("https://ictv.global/taxonomy/taxondetails?taxnode_id=202310801","ictv.global=202310801")</f>
        <v>ictv.global=202310801</v>
      </c>
    </row>
    <row r="8231" spans="1:21">
      <c r="A8231">
        <v>8230</v>
      </c>
      <c r="B8231" s="30" t="s">
        <v>1226</v>
      </c>
      <c r="D8231" s="30" t="s">
        <v>2024</v>
      </c>
      <c r="F8231" s="30" t="s">
        <v>2046</v>
      </c>
      <c r="H8231" s="30" t="s">
        <v>2859</v>
      </c>
      <c r="J8231" s="30" t="s">
        <v>2860</v>
      </c>
      <c r="L8231" s="30" t="s">
        <v>2861</v>
      </c>
      <c r="N8231" s="30" t="s">
        <v>14767</v>
      </c>
      <c r="P8231" s="30" t="s">
        <v>14769</v>
      </c>
      <c r="Q8231" t="s">
        <v>621</v>
      </c>
      <c r="R8231" t="s">
        <v>918</v>
      </c>
      <c r="S8231">
        <v>39</v>
      </c>
      <c r="T8231" s="29" t="str">
        <f t="shared" si="353"/>
        <v>2023.001B.Leviviricetes_reorg.zip</v>
      </c>
      <c r="U8231" s="29" t="str">
        <f>HYPERLINK("https://ictv.global/taxonomy/taxondetails?taxnode_id=202310802","ictv.global=202310802")</f>
        <v>ictv.global=202310802</v>
      </c>
    </row>
    <row r="8232" spans="1:21">
      <c r="A8232">
        <v>8231</v>
      </c>
      <c r="B8232" s="30" t="s">
        <v>1226</v>
      </c>
      <c r="D8232" s="30" t="s">
        <v>2024</v>
      </c>
      <c r="F8232" s="30" t="s">
        <v>2046</v>
      </c>
      <c r="H8232" s="30" t="s">
        <v>2859</v>
      </c>
      <c r="J8232" s="30" t="s">
        <v>2860</v>
      </c>
      <c r="L8232" s="30" t="s">
        <v>2861</v>
      </c>
      <c r="N8232" s="30" t="s">
        <v>14767</v>
      </c>
      <c r="P8232" s="30" t="s">
        <v>14770</v>
      </c>
      <c r="Q8232" t="s">
        <v>621</v>
      </c>
      <c r="R8232" t="s">
        <v>918</v>
      </c>
      <c r="S8232">
        <v>39</v>
      </c>
      <c r="T8232" s="29" t="str">
        <f t="shared" si="353"/>
        <v>2023.001B.Leviviricetes_reorg.zip</v>
      </c>
      <c r="U8232" s="29" t="str">
        <f>HYPERLINK("https://ictv.global/taxonomy/taxondetails?taxnode_id=202310803","ictv.global=202310803")</f>
        <v>ictv.global=202310803</v>
      </c>
    </row>
    <row r="8233" spans="1:21">
      <c r="A8233">
        <v>8232</v>
      </c>
      <c r="B8233" s="30" t="s">
        <v>1226</v>
      </c>
      <c r="D8233" s="30" t="s">
        <v>2024</v>
      </c>
      <c r="F8233" s="30" t="s">
        <v>2046</v>
      </c>
      <c r="H8233" s="30" t="s">
        <v>2859</v>
      </c>
      <c r="J8233" s="30" t="s">
        <v>2860</v>
      </c>
      <c r="L8233" s="30" t="s">
        <v>2861</v>
      </c>
      <c r="N8233" s="30" t="s">
        <v>14767</v>
      </c>
      <c r="P8233" s="30" t="s">
        <v>14771</v>
      </c>
      <c r="Q8233" t="s">
        <v>621</v>
      </c>
      <c r="R8233" t="s">
        <v>918</v>
      </c>
      <c r="S8233">
        <v>39</v>
      </c>
      <c r="T8233" s="29" t="str">
        <f t="shared" si="353"/>
        <v>2023.001B.Leviviricetes_reorg.zip</v>
      </c>
      <c r="U8233" s="29" t="str">
        <f>HYPERLINK("https://ictv.global/taxonomy/taxondetails?taxnode_id=202310805","ictv.global=202310805")</f>
        <v>ictv.global=202310805</v>
      </c>
    </row>
    <row r="8234" spans="1:21">
      <c r="A8234">
        <v>8233</v>
      </c>
      <c r="B8234" s="30" t="s">
        <v>1226</v>
      </c>
      <c r="D8234" s="30" t="s">
        <v>2024</v>
      </c>
      <c r="F8234" s="30" t="s">
        <v>2046</v>
      </c>
      <c r="H8234" s="30" t="s">
        <v>2859</v>
      </c>
      <c r="J8234" s="30" t="s">
        <v>2860</v>
      </c>
      <c r="L8234" s="30" t="s">
        <v>2861</v>
      </c>
      <c r="N8234" s="30" t="s">
        <v>14767</v>
      </c>
      <c r="P8234" s="30" t="s">
        <v>14772</v>
      </c>
      <c r="Q8234" t="s">
        <v>621</v>
      </c>
      <c r="R8234" t="s">
        <v>918</v>
      </c>
      <c r="S8234">
        <v>39</v>
      </c>
      <c r="T8234" s="29" t="str">
        <f t="shared" si="353"/>
        <v>2023.001B.Leviviricetes_reorg.zip</v>
      </c>
      <c r="U8234" s="29" t="str">
        <f>HYPERLINK("https://ictv.global/taxonomy/taxondetails?taxnode_id=202310806","ictv.global=202310806")</f>
        <v>ictv.global=202310806</v>
      </c>
    </row>
    <row r="8235" spans="1:21">
      <c r="A8235">
        <v>8234</v>
      </c>
      <c r="B8235" s="30" t="s">
        <v>1226</v>
      </c>
      <c r="D8235" s="30" t="s">
        <v>2024</v>
      </c>
      <c r="F8235" s="30" t="s">
        <v>2046</v>
      </c>
      <c r="H8235" s="30" t="s">
        <v>2859</v>
      </c>
      <c r="J8235" s="30" t="s">
        <v>2860</v>
      </c>
      <c r="L8235" s="30" t="s">
        <v>2861</v>
      </c>
      <c r="N8235" s="30" t="s">
        <v>14767</v>
      </c>
      <c r="P8235" s="30" t="s">
        <v>14773</v>
      </c>
      <c r="Q8235" t="s">
        <v>621</v>
      </c>
      <c r="R8235" t="s">
        <v>918</v>
      </c>
      <c r="S8235">
        <v>39</v>
      </c>
      <c r="T8235" s="29" t="str">
        <f t="shared" si="353"/>
        <v>2023.001B.Leviviricetes_reorg.zip</v>
      </c>
      <c r="U8235" s="29" t="str">
        <f>HYPERLINK("https://ictv.global/taxonomy/taxondetails?taxnode_id=202310748","ictv.global=202310748")</f>
        <v>ictv.global=202310748</v>
      </c>
    </row>
    <row r="8236" spans="1:21">
      <c r="A8236">
        <v>8235</v>
      </c>
      <c r="B8236" s="30" t="s">
        <v>1226</v>
      </c>
      <c r="D8236" s="30" t="s">
        <v>2024</v>
      </c>
      <c r="F8236" s="30" t="s">
        <v>2046</v>
      </c>
      <c r="H8236" s="30" t="s">
        <v>2859</v>
      </c>
      <c r="J8236" s="30" t="s">
        <v>2860</v>
      </c>
      <c r="L8236" s="30" t="s">
        <v>2861</v>
      </c>
      <c r="N8236" s="30" t="s">
        <v>14774</v>
      </c>
      <c r="P8236" s="30" t="s">
        <v>14775</v>
      </c>
      <c r="Q8236" t="s">
        <v>621</v>
      </c>
      <c r="R8236" t="s">
        <v>917</v>
      </c>
      <c r="S8236">
        <v>39</v>
      </c>
      <c r="T8236" s="29" t="str">
        <f t="shared" si="353"/>
        <v>2023.001B.Leviviricetes_reorg.zip</v>
      </c>
      <c r="U8236" s="29" t="str">
        <f>HYPERLINK("https://ictv.global/taxonomy/taxondetails?taxnode_id=202316037","ictv.global=202316037")</f>
        <v>ictv.global=202316037</v>
      </c>
    </row>
    <row r="8237" spans="1:21">
      <c r="A8237">
        <v>8236</v>
      </c>
      <c r="B8237" s="30" t="s">
        <v>1226</v>
      </c>
      <c r="D8237" s="30" t="s">
        <v>2024</v>
      </c>
      <c r="F8237" s="30" t="s">
        <v>2046</v>
      </c>
      <c r="H8237" s="30" t="s">
        <v>2859</v>
      </c>
      <c r="J8237" s="30" t="s">
        <v>2860</v>
      </c>
      <c r="L8237" s="30" t="s">
        <v>2861</v>
      </c>
      <c r="N8237" s="30" t="s">
        <v>14774</v>
      </c>
      <c r="P8237" s="30" t="s">
        <v>14776</v>
      </c>
      <c r="Q8237" t="s">
        <v>621</v>
      </c>
      <c r="R8237" t="s">
        <v>917</v>
      </c>
      <c r="S8237">
        <v>39</v>
      </c>
      <c r="T8237" s="29" t="str">
        <f t="shared" si="353"/>
        <v>2023.001B.Leviviricetes_reorg.zip</v>
      </c>
      <c r="U8237" s="29" t="str">
        <f>HYPERLINK("https://ictv.global/taxonomy/taxondetails?taxnode_id=202316038","ictv.global=202316038")</f>
        <v>ictv.global=202316038</v>
      </c>
    </row>
    <row r="8238" spans="1:21">
      <c r="A8238">
        <v>8237</v>
      </c>
      <c r="B8238" s="30" t="s">
        <v>1226</v>
      </c>
      <c r="D8238" s="30" t="s">
        <v>2024</v>
      </c>
      <c r="F8238" s="30" t="s">
        <v>2046</v>
      </c>
      <c r="H8238" s="30" t="s">
        <v>2859</v>
      </c>
      <c r="J8238" s="30" t="s">
        <v>2860</v>
      </c>
      <c r="L8238" s="30" t="s">
        <v>2861</v>
      </c>
      <c r="N8238" s="30" t="s">
        <v>14774</v>
      </c>
      <c r="P8238" s="30" t="s">
        <v>14777</v>
      </c>
      <c r="Q8238" t="s">
        <v>621</v>
      </c>
      <c r="R8238" t="s">
        <v>917</v>
      </c>
      <c r="S8238">
        <v>39</v>
      </c>
      <c r="T8238" s="29" t="str">
        <f t="shared" si="353"/>
        <v>2023.001B.Leviviricetes_reorg.zip</v>
      </c>
      <c r="U8238" s="29" t="str">
        <f>HYPERLINK("https://ictv.global/taxonomy/taxondetails?taxnode_id=202316039","ictv.global=202316039")</f>
        <v>ictv.global=202316039</v>
      </c>
    </row>
    <row r="8239" spans="1:21">
      <c r="A8239">
        <v>8238</v>
      </c>
      <c r="B8239" s="30" t="s">
        <v>1226</v>
      </c>
      <c r="D8239" s="30" t="s">
        <v>2024</v>
      </c>
      <c r="F8239" s="30" t="s">
        <v>2046</v>
      </c>
      <c r="H8239" s="30" t="s">
        <v>2859</v>
      </c>
      <c r="J8239" s="30" t="s">
        <v>2860</v>
      </c>
      <c r="L8239" s="30" t="s">
        <v>2861</v>
      </c>
      <c r="N8239" s="30" t="s">
        <v>14774</v>
      </c>
      <c r="P8239" s="30" t="s">
        <v>14778</v>
      </c>
      <c r="Q8239" t="s">
        <v>621</v>
      </c>
      <c r="R8239" t="s">
        <v>917</v>
      </c>
      <c r="S8239">
        <v>39</v>
      </c>
      <c r="T8239" s="29" t="str">
        <f t="shared" si="353"/>
        <v>2023.001B.Leviviricetes_reorg.zip</v>
      </c>
      <c r="U8239" s="29" t="str">
        <f>HYPERLINK("https://ictv.global/taxonomy/taxondetails?taxnode_id=202316040","ictv.global=202316040")</f>
        <v>ictv.global=202316040</v>
      </c>
    </row>
    <row r="8240" spans="1:21">
      <c r="A8240">
        <v>8239</v>
      </c>
      <c r="B8240" s="30" t="s">
        <v>1226</v>
      </c>
      <c r="D8240" s="30" t="s">
        <v>2024</v>
      </c>
      <c r="F8240" s="30" t="s">
        <v>2046</v>
      </c>
      <c r="H8240" s="30" t="s">
        <v>2859</v>
      </c>
      <c r="J8240" s="30" t="s">
        <v>2860</v>
      </c>
      <c r="L8240" s="30" t="s">
        <v>2861</v>
      </c>
      <c r="N8240" s="30" t="s">
        <v>14774</v>
      </c>
      <c r="P8240" s="30" t="s">
        <v>14779</v>
      </c>
      <c r="Q8240" t="s">
        <v>621</v>
      </c>
      <c r="R8240" t="s">
        <v>917</v>
      </c>
      <c r="S8240">
        <v>39</v>
      </c>
      <c r="T8240" s="29" t="str">
        <f t="shared" si="353"/>
        <v>2023.001B.Leviviricetes_reorg.zip</v>
      </c>
      <c r="U8240" s="29" t="str">
        <f>HYPERLINK("https://ictv.global/taxonomy/taxondetails?taxnode_id=202316041","ictv.global=202316041")</f>
        <v>ictv.global=202316041</v>
      </c>
    </row>
    <row r="8241" spans="1:21">
      <c r="A8241">
        <v>8240</v>
      </c>
      <c r="B8241" s="30" t="s">
        <v>1226</v>
      </c>
      <c r="D8241" s="30" t="s">
        <v>2024</v>
      </c>
      <c r="F8241" s="30" t="s">
        <v>2046</v>
      </c>
      <c r="H8241" s="30" t="s">
        <v>2859</v>
      </c>
      <c r="J8241" s="30" t="s">
        <v>2860</v>
      </c>
      <c r="L8241" s="30" t="s">
        <v>2861</v>
      </c>
      <c r="N8241" s="30" t="s">
        <v>14774</v>
      </c>
      <c r="P8241" s="30" t="s">
        <v>14780</v>
      </c>
      <c r="Q8241" t="s">
        <v>621</v>
      </c>
      <c r="R8241" t="s">
        <v>918</v>
      </c>
      <c r="S8241">
        <v>39</v>
      </c>
      <c r="T8241" s="29" t="str">
        <f t="shared" si="353"/>
        <v>2023.001B.Leviviricetes_reorg.zip</v>
      </c>
      <c r="U8241" s="29" t="str">
        <f>HYPERLINK("https://ictv.global/taxonomy/taxondetails?taxnode_id=202310808","ictv.global=202310808")</f>
        <v>ictv.global=202310808</v>
      </c>
    </row>
    <row r="8242" spans="1:21">
      <c r="A8242">
        <v>8241</v>
      </c>
      <c r="B8242" s="30" t="s">
        <v>1226</v>
      </c>
      <c r="D8242" s="30" t="s">
        <v>2024</v>
      </c>
      <c r="F8242" s="30" t="s">
        <v>2046</v>
      </c>
      <c r="H8242" s="30" t="s">
        <v>2859</v>
      </c>
      <c r="J8242" s="30" t="s">
        <v>2860</v>
      </c>
      <c r="L8242" s="30" t="s">
        <v>2861</v>
      </c>
      <c r="N8242" s="30" t="s">
        <v>14774</v>
      </c>
      <c r="P8242" s="30" t="s">
        <v>14781</v>
      </c>
      <c r="Q8242" t="s">
        <v>621</v>
      </c>
      <c r="R8242" t="s">
        <v>918</v>
      </c>
      <c r="S8242">
        <v>39</v>
      </c>
      <c r="T8242" s="29" t="str">
        <f t="shared" si="353"/>
        <v>2023.001B.Leviviricetes_reorg.zip</v>
      </c>
      <c r="U8242" s="29" t="str">
        <f>HYPERLINK("https://ictv.global/taxonomy/taxondetails?taxnode_id=202310812","ictv.global=202310812")</f>
        <v>ictv.global=202310812</v>
      </c>
    </row>
    <row r="8243" spans="1:21">
      <c r="A8243">
        <v>8242</v>
      </c>
      <c r="B8243" s="30" t="s">
        <v>1226</v>
      </c>
      <c r="D8243" s="30" t="s">
        <v>2024</v>
      </c>
      <c r="F8243" s="30" t="s">
        <v>2046</v>
      </c>
      <c r="H8243" s="30" t="s">
        <v>2859</v>
      </c>
      <c r="J8243" s="30" t="s">
        <v>2860</v>
      </c>
      <c r="L8243" s="30" t="s">
        <v>2861</v>
      </c>
      <c r="N8243" s="30" t="s">
        <v>14774</v>
      </c>
      <c r="P8243" s="30" t="s">
        <v>14782</v>
      </c>
      <c r="Q8243" t="s">
        <v>621</v>
      </c>
      <c r="R8243" t="s">
        <v>918</v>
      </c>
      <c r="S8243">
        <v>39</v>
      </c>
      <c r="T8243" s="29" t="str">
        <f t="shared" si="353"/>
        <v>2023.001B.Leviviricetes_reorg.zip</v>
      </c>
      <c r="U8243" s="29" t="str">
        <f>HYPERLINK("https://ictv.global/taxonomy/taxondetails?taxnode_id=202310813","ictv.global=202310813")</f>
        <v>ictv.global=202310813</v>
      </c>
    </row>
    <row r="8244" spans="1:21">
      <c r="A8244">
        <v>8243</v>
      </c>
      <c r="B8244" s="30" t="s">
        <v>1226</v>
      </c>
      <c r="D8244" s="30" t="s">
        <v>2024</v>
      </c>
      <c r="F8244" s="30" t="s">
        <v>2046</v>
      </c>
      <c r="H8244" s="30" t="s">
        <v>2859</v>
      </c>
      <c r="J8244" s="30" t="s">
        <v>2860</v>
      </c>
      <c r="L8244" s="30" t="s">
        <v>2861</v>
      </c>
      <c r="N8244" s="30" t="s">
        <v>14774</v>
      </c>
      <c r="P8244" s="30" t="s">
        <v>14783</v>
      </c>
      <c r="Q8244" t="s">
        <v>621</v>
      </c>
      <c r="R8244" t="s">
        <v>918</v>
      </c>
      <c r="S8244">
        <v>39</v>
      </c>
      <c r="T8244" s="29" t="str">
        <f t="shared" si="353"/>
        <v>2023.001B.Leviviricetes_reorg.zip</v>
      </c>
      <c r="U8244" s="29" t="str">
        <f>HYPERLINK("https://ictv.global/taxonomy/taxondetails?taxnode_id=202310809","ictv.global=202310809")</f>
        <v>ictv.global=202310809</v>
      </c>
    </row>
    <row r="8245" spans="1:21">
      <c r="A8245">
        <v>8244</v>
      </c>
      <c r="B8245" s="30" t="s">
        <v>1226</v>
      </c>
      <c r="D8245" s="30" t="s">
        <v>2024</v>
      </c>
      <c r="F8245" s="30" t="s">
        <v>2046</v>
      </c>
      <c r="H8245" s="30" t="s">
        <v>2859</v>
      </c>
      <c r="J8245" s="30" t="s">
        <v>2860</v>
      </c>
      <c r="L8245" s="30" t="s">
        <v>2861</v>
      </c>
      <c r="N8245" s="30" t="s">
        <v>14774</v>
      </c>
      <c r="P8245" s="30" t="s">
        <v>14784</v>
      </c>
      <c r="Q8245" t="s">
        <v>621</v>
      </c>
      <c r="R8245" t="s">
        <v>918</v>
      </c>
      <c r="S8245">
        <v>39</v>
      </c>
      <c r="T8245" s="29" t="str">
        <f t="shared" si="353"/>
        <v>2023.001B.Leviviricetes_reorg.zip</v>
      </c>
      <c r="U8245" s="29" t="str">
        <f>HYPERLINK("https://ictv.global/taxonomy/taxondetails?taxnode_id=202310810","ictv.global=202310810")</f>
        <v>ictv.global=202310810</v>
      </c>
    </row>
    <row r="8246" spans="1:21">
      <c r="A8246">
        <v>8245</v>
      </c>
      <c r="B8246" s="30" t="s">
        <v>1226</v>
      </c>
      <c r="D8246" s="30" t="s">
        <v>2024</v>
      </c>
      <c r="F8246" s="30" t="s">
        <v>2046</v>
      </c>
      <c r="H8246" s="30" t="s">
        <v>2859</v>
      </c>
      <c r="J8246" s="30" t="s">
        <v>2860</v>
      </c>
      <c r="L8246" s="30" t="s">
        <v>2861</v>
      </c>
      <c r="N8246" s="30" t="s">
        <v>14774</v>
      </c>
      <c r="P8246" s="30" t="s">
        <v>14785</v>
      </c>
      <c r="Q8246" t="s">
        <v>621</v>
      </c>
      <c r="R8246" t="s">
        <v>918</v>
      </c>
      <c r="S8246">
        <v>39</v>
      </c>
      <c r="T8246" s="29" t="str">
        <f t="shared" si="353"/>
        <v>2023.001B.Leviviricetes_reorg.zip</v>
      </c>
      <c r="U8246" s="29" t="str">
        <f>HYPERLINK("https://ictv.global/taxonomy/taxondetails?taxnode_id=202310814","ictv.global=202310814")</f>
        <v>ictv.global=202310814</v>
      </c>
    </row>
    <row r="8247" spans="1:21">
      <c r="A8247">
        <v>8246</v>
      </c>
      <c r="B8247" s="30" t="s">
        <v>1226</v>
      </c>
      <c r="D8247" s="30" t="s">
        <v>2024</v>
      </c>
      <c r="F8247" s="30" t="s">
        <v>2046</v>
      </c>
      <c r="H8247" s="30" t="s">
        <v>2859</v>
      </c>
      <c r="J8247" s="30" t="s">
        <v>2860</v>
      </c>
      <c r="L8247" s="30" t="s">
        <v>2861</v>
      </c>
      <c r="N8247" s="30" t="s">
        <v>14774</v>
      </c>
      <c r="P8247" s="30" t="s">
        <v>14786</v>
      </c>
      <c r="Q8247" t="s">
        <v>621</v>
      </c>
      <c r="R8247" t="s">
        <v>918</v>
      </c>
      <c r="S8247">
        <v>39</v>
      </c>
      <c r="T8247" s="29" t="str">
        <f t="shared" si="353"/>
        <v>2023.001B.Leviviricetes_reorg.zip</v>
      </c>
      <c r="U8247" s="29" t="str">
        <f>HYPERLINK("https://ictv.global/taxonomy/taxondetails?taxnode_id=202310815","ictv.global=202310815")</f>
        <v>ictv.global=202310815</v>
      </c>
    </row>
    <row r="8248" spans="1:21">
      <c r="A8248">
        <v>8247</v>
      </c>
      <c r="B8248" s="30" t="s">
        <v>1226</v>
      </c>
      <c r="D8248" s="30" t="s">
        <v>2024</v>
      </c>
      <c r="F8248" s="30" t="s">
        <v>2046</v>
      </c>
      <c r="H8248" s="30" t="s">
        <v>2859</v>
      </c>
      <c r="J8248" s="30" t="s">
        <v>2860</v>
      </c>
      <c r="L8248" s="30" t="s">
        <v>2861</v>
      </c>
      <c r="N8248" s="30" t="s">
        <v>14787</v>
      </c>
      <c r="P8248" s="30" t="s">
        <v>14788</v>
      </c>
      <c r="Q8248" t="s">
        <v>621</v>
      </c>
      <c r="R8248" t="s">
        <v>918</v>
      </c>
      <c r="S8248">
        <v>39</v>
      </c>
      <c r="T8248" s="29" t="str">
        <f t="shared" si="353"/>
        <v>2023.001B.Leviviricetes_reorg.zip</v>
      </c>
      <c r="U8248" s="29" t="str">
        <f>HYPERLINK("https://ictv.global/taxonomy/taxondetails?taxnode_id=202310804","ictv.global=202310804")</f>
        <v>ictv.global=202310804</v>
      </c>
    </row>
    <row r="8249" spans="1:21">
      <c r="A8249">
        <v>8248</v>
      </c>
      <c r="B8249" s="30" t="s">
        <v>1226</v>
      </c>
      <c r="D8249" s="30" t="s">
        <v>2024</v>
      </c>
      <c r="F8249" s="30" t="s">
        <v>2046</v>
      </c>
      <c r="H8249" s="30" t="s">
        <v>2859</v>
      </c>
      <c r="J8249" s="30" t="s">
        <v>2860</v>
      </c>
      <c r="L8249" s="30" t="s">
        <v>2861</v>
      </c>
      <c r="N8249" s="30" t="s">
        <v>2862</v>
      </c>
      <c r="P8249" s="30" t="s">
        <v>2863</v>
      </c>
      <c r="Q8249" t="s">
        <v>621</v>
      </c>
      <c r="R8249" t="s">
        <v>917</v>
      </c>
      <c r="S8249">
        <v>36</v>
      </c>
      <c r="T8249" s="29" t="str">
        <f>HYPERLINK("https://ictv.global/ictv/proposals/2020.095B.R.Leviviricetes.zip","2020.095B.R.Leviviricetes.zip")</f>
        <v>2020.095B.R.Leviviricetes.zip</v>
      </c>
      <c r="U8249" s="29" t="str">
        <f>HYPERLINK("https://ictv.global/taxonomy/taxondetails?taxnode_id=202310696","ictv.global=202310696")</f>
        <v>ictv.global=202310696</v>
      </c>
    </row>
    <row r="8250" spans="1:21">
      <c r="A8250">
        <v>8249</v>
      </c>
      <c r="B8250" s="30" t="s">
        <v>1226</v>
      </c>
      <c r="D8250" s="30" t="s">
        <v>2024</v>
      </c>
      <c r="F8250" s="30" t="s">
        <v>2046</v>
      </c>
      <c r="H8250" s="30" t="s">
        <v>2859</v>
      </c>
      <c r="J8250" s="30" t="s">
        <v>2860</v>
      </c>
      <c r="L8250" s="30" t="s">
        <v>2861</v>
      </c>
      <c r="N8250" s="30" t="s">
        <v>2864</v>
      </c>
      <c r="P8250" s="30" t="s">
        <v>2865</v>
      </c>
      <c r="Q8250" t="s">
        <v>621</v>
      </c>
      <c r="R8250" t="s">
        <v>917</v>
      </c>
      <c r="S8250">
        <v>36</v>
      </c>
      <c r="T8250" s="29" t="str">
        <f>HYPERLINK("https://ictv.global/ictv/proposals/2020.095B.R.Leviviricetes.zip","2020.095B.R.Leviviricetes.zip")</f>
        <v>2020.095B.R.Leviviricetes.zip</v>
      </c>
      <c r="U8250" s="29" t="str">
        <f>HYPERLINK("https://ictv.global/taxonomy/taxondetails?taxnode_id=202310699","ictv.global=202310699")</f>
        <v>ictv.global=202310699</v>
      </c>
    </row>
    <row r="8251" spans="1:21">
      <c r="A8251">
        <v>8250</v>
      </c>
      <c r="B8251" s="30" t="s">
        <v>1226</v>
      </c>
      <c r="D8251" s="30" t="s">
        <v>2024</v>
      </c>
      <c r="F8251" s="30" t="s">
        <v>2046</v>
      </c>
      <c r="H8251" s="30" t="s">
        <v>2859</v>
      </c>
      <c r="J8251" s="30" t="s">
        <v>2860</v>
      </c>
      <c r="L8251" s="30" t="s">
        <v>2861</v>
      </c>
      <c r="N8251" s="30" t="s">
        <v>2864</v>
      </c>
      <c r="P8251" s="30" t="s">
        <v>2866</v>
      </c>
      <c r="Q8251" t="s">
        <v>621</v>
      </c>
      <c r="R8251" t="s">
        <v>917</v>
      </c>
      <c r="S8251">
        <v>36</v>
      </c>
      <c r="T8251" s="29" t="str">
        <f>HYPERLINK("https://ictv.global/ictv/proposals/2020.095B.R.Leviviricetes.zip","2020.095B.R.Leviviricetes.zip")</f>
        <v>2020.095B.R.Leviviricetes.zip</v>
      </c>
      <c r="U8251" s="29" t="str">
        <f>HYPERLINK("https://ictv.global/taxonomy/taxondetails?taxnode_id=202310698","ictv.global=202310698")</f>
        <v>ictv.global=202310698</v>
      </c>
    </row>
    <row r="8252" spans="1:21">
      <c r="A8252">
        <v>8251</v>
      </c>
      <c r="B8252" s="30" t="s">
        <v>1226</v>
      </c>
      <c r="D8252" s="30" t="s">
        <v>2024</v>
      </c>
      <c r="F8252" s="30" t="s">
        <v>2046</v>
      </c>
      <c r="H8252" s="30" t="s">
        <v>2859</v>
      </c>
      <c r="J8252" s="30" t="s">
        <v>2860</v>
      </c>
      <c r="L8252" s="30" t="s">
        <v>2861</v>
      </c>
      <c r="N8252" s="30" t="s">
        <v>2864</v>
      </c>
      <c r="P8252" s="30" t="s">
        <v>14789</v>
      </c>
      <c r="Q8252" t="s">
        <v>621</v>
      </c>
      <c r="R8252" t="s">
        <v>917</v>
      </c>
      <c r="S8252">
        <v>39</v>
      </c>
      <c r="T8252" s="29" t="str">
        <f>HYPERLINK("https://ictv.global/ictv/proposals/2023.001B.Leviviricetes_reorg.zip","2023.001B.Leviviricetes_reorg.zip")</f>
        <v>2023.001B.Leviviricetes_reorg.zip</v>
      </c>
      <c r="U8252" s="29" t="str">
        <f>HYPERLINK("https://ictv.global/taxonomy/taxondetails?taxnode_id=202316042","ictv.global=202316042")</f>
        <v>ictv.global=202316042</v>
      </c>
    </row>
    <row r="8253" spans="1:21">
      <c r="A8253">
        <v>8252</v>
      </c>
      <c r="B8253" s="30" t="s">
        <v>1226</v>
      </c>
      <c r="D8253" s="30" t="s">
        <v>2024</v>
      </c>
      <c r="F8253" s="30" t="s">
        <v>2046</v>
      </c>
      <c r="H8253" s="30" t="s">
        <v>2859</v>
      </c>
      <c r="J8253" s="30" t="s">
        <v>2860</v>
      </c>
      <c r="L8253" s="30" t="s">
        <v>2861</v>
      </c>
      <c r="N8253" s="30" t="s">
        <v>2864</v>
      </c>
      <c r="P8253" s="30" t="s">
        <v>14790</v>
      </c>
      <c r="Q8253" t="s">
        <v>621</v>
      </c>
      <c r="R8253" t="s">
        <v>918</v>
      </c>
      <c r="S8253">
        <v>39</v>
      </c>
      <c r="T8253" s="29" t="str">
        <f>HYPERLINK("https://ictv.global/ictv/proposals/2023.001B.Leviviricetes_reorg.zip","2023.001B.Leviviricetes_reorg.zip")</f>
        <v>2023.001B.Leviviricetes_reorg.zip</v>
      </c>
      <c r="U8253" s="29" t="str">
        <f>HYPERLINK("https://ictv.global/taxonomy/taxondetails?taxnode_id=202310828","ictv.global=202310828")</f>
        <v>ictv.global=202310828</v>
      </c>
    </row>
    <row r="8254" spans="1:21">
      <c r="A8254">
        <v>8253</v>
      </c>
      <c r="B8254" s="30" t="s">
        <v>1226</v>
      </c>
      <c r="D8254" s="30" t="s">
        <v>2024</v>
      </c>
      <c r="F8254" s="30" t="s">
        <v>2046</v>
      </c>
      <c r="H8254" s="30" t="s">
        <v>2859</v>
      </c>
      <c r="J8254" s="30" t="s">
        <v>2860</v>
      </c>
      <c r="L8254" s="30" t="s">
        <v>2861</v>
      </c>
      <c r="N8254" s="30" t="s">
        <v>2867</v>
      </c>
      <c r="P8254" s="30" t="s">
        <v>2868</v>
      </c>
      <c r="Q8254" t="s">
        <v>621</v>
      </c>
      <c r="R8254" t="s">
        <v>917</v>
      </c>
      <c r="S8254">
        <v>36</v>
      </c>
      <c r="T8254" s="29" t="str">
        <f>HYPERLINK("https://ictv.global/ictv/proposals/2020.095B.R.Leviviricetes.zip","2020.095B.R.Leviviricetes.zip")</f>
        <v>2020.095B.R.Leviviricetes.zip</v>
      </c>
      <c r="U8254" s="29" t="str">
        <f>HYPERLINK("https://ictv.global/taxonomy/taxondetails?taxnode_id=202310701","ictv.global=202310701")</f>
        <v>ictv.global=202310701</v>
      </c>
    </row>
    <row r="8255" spans="1:21">
      <c r="A8255">
        <v>8254</v>
      </c>
      <c r="B8255" s="30" t="s">
        <v>1226</v>
      </c>
      <c r="D8255" s="30" t="s">
        <v>2024</v>
      </c>
      <c r="F8255" s="30" t="s">
        <v>2046</v>
      </c>
      <c r="H8255" s="30" t="s">
        <v>2859</v>
      </c>
      <c r="J8255" s="30" t="s">
        <v>2860</v>
      </c>
      <c r="L8255" s="30" t="s">
        <v>2861</v>
      </c>
      <c r="N8255" s="30" t="s">
        <v>14791</v>
      </c>
      <c r="P8255" s="30" t="s">
        <v>14792</v>
      </c>
      <c r="Q8255" t="s">
        <v>621</v>
      </c>
      <c r="R8255" t="s">
        <v>917</v>
      </c>
      <c r="S8255">
        <v>39</v>
      </c>
      <c r="T8255" s="29" t="str">
        <f>HYPERLINK("https://ictv.global/ictv/proposals/2023.001B.Leviviricetes_reorg.zip","2023.001B.Leviviricetes_reorg.zip")</f>
        <v>2023.001B.Leviviricetes_reorg.zip</v>
      </c>
      <c r="U8255" s="29" t="str">
        <f>HYPERLINK("https://ictv.global/taxonomy/taxondetails?taxnode_id=202316043","ictv.global=202316043")</f>
        <v>ictv.global=202316043</v>
      </c>
    </row>
    <row r="8256" spans="1:21">
      <c r="A8256">
        <v>8255</v>
      </c>
      <c r="B8256" s="30" t="s">
        <v>1226</v>
      </c>
      <c r="D8256" s="30" t="s">
        <v>2024</v>
      </c>
      <c r="F8256" s="30" t="s">
        <v>2046</v>
      </c>
      <c r="H8256" s="30" t="s">
        <v>2859</v>
      </c>
      <c r="J8256" s="30" t="s">
        <v>2860</v>
      </c>
      <c r="L8256" s="30" t="s">
        <v>2861</v>
      </c>
      <c r="N8256" s="30" t="s">
        <v>14791</v>
      </c>
      <c r="P8256" s="30" t="s">
        <v>14793</v>
      </c>
      <c r="Q8256" t="s">
        <v>621</v>
      </c>
      <c r="R8256" t="s">
        <v>917</v>
      </c>
      <c r="S8256">
        <v>39</v>
      </c>
      <c r="T8256" s="29" t="str">
        <f>HYPERLINK("https://ictv.global/ictv/proposals/2023.001B.Leviviricetes_reorg.zip","2023.001B.Leviviricetes_reorg.zip")</f>
        <v>2023.001B.Leviviricetes_reorg.zip</v>
      </c>
      <c r="U8256" s="29" t="str">
        <f>HYPERLINK("https://ictv.global/taxonomy/taxondetails?taxnode_id=202316044","ictv.global=202316044")</f>
        <v>ictv.global=202316044</v>
      </c>
    </row>
    <row r="8257" spans="1:21">
      <c r="A8257">
        <v>8256</v>
      </c>
      <c r="B8257" s="30" t="s">
        <v>1226</v>
      </c>
      <c r="D8257" s="30" t="s">
        <v>2024</v>
      </c>
      <c r="F8257" s="30" t="s">
        <v>2046</v>
      </c>
      <c r="H8257" s="30" t="s">
        <v>2859</v>
      </c>
      <c r="J8257" s="30" t="s">
        <v>2860</v>
      </c>
      <c r="L8257" s="30" t="s">
        <v>2861</v>
      </c>
      <c r="N8257" s="30" t="s">
        <v>14794</v>
      </c>
      <c r="P8257" s="30" t="s">
        <v>14795</v>
      </c>
      <c r="Q8257" t="s">
        <v>621</v>
      </c>
      <c r="R8257" t="s">
        <v>917</v>
      </c>
      <c r="S8257">
        <v>39</v>
      </c>
      <c r="T8257" s="29" t="str">
        <f>HYPERLINK("https://ictv.global/ictv/proposals/2023.001B.Leviviricetes_reorg.zip","2023.001B.Leviviricetes_reorg.zip")</f>
        <v>2023.001B.Leviviricetes_reorg.zip</v>
      </c>
      <c r="U8257" s="29" t="str">
        <f>HYPERLINK("https://ictv.global/taxonomy/taxondetails?taxnode_id=202316045","ictv.global=202316045")</f>
        <v>ictv.global=202316045</v>
      </c>
    </row>
    <row r="8258" spans="1:21">
      <c r="A8258">
        <v>8257</v>
      </c>
      <c r="B8258" s="30" t="s">
        <v>1226</v>
      </c>
      <c r="D8258" s="30" t="s">
        <v>2024</v>
      </c>
      <c r="F8258" s="30" t="s">
        <v>2046</v>
      </c>
      <c r="H8258" s="30" t="s">
        <v>2859</v>
      </c>
      <c r="J8258" s="30" t="s">
        <v>2860</v>
      </c>
      <c r="L8258" s="30" t="s">
        <v>2861</v>
      </c>
      <c r="N8258" s="30" t="s">
        <v>14796</v>
      </c>
      <c r="P8258" s="30" t="s">
        <v>14797</v>
      </c>
      <c r="Q8258" t="s">
        <v>621</v>
      </c>
      <c r="R8258" t="s">
        <v>917</v>
      </c>
      <c r="S8258">
        <v>39</v>
      </c>
      <c r="T8258" s="29" t="str">
        <f>HYPERLINK("https://ictv.global/ictv/proposals/2023.001B.Leviviricetes_reorg.zip","2023.001B.Leviviricetes_reorg.zip")</f>
        <v>2023.001B.Leviviricetes_reorg.zip</v>
      </c>
      <c r="U8258" s="29" t="str">
        <f>HYPERLINK("https://ictv.global/taxonomy/taxondetails?taxnode_id=202316046","ictv.global=202316046")</f>
        <v>ictv.global=202316046</v>
      </c>
    </row>
    <row r="8259" spans="1:21">
      <c r="A8259">
        <v>8258</v>
      </c>
      <c r="B8259" s="30" t="s">
        <v>1226</v>
      </c>
      <c r="D8259" s="30" t="s">
        <v>2024</v>
      </c>
      <c r="F8259" s="30" t="s">
        <v>2046</v>
      </c>
      <c r="H8259" s="30" t="s">
        <v>2859</v>
      </c>
      <c r="J8259" s="30" t="s">
        <v>2860</v>
      </c>
      <c r="L8259" s="30" t="s">
        <v>2861</v>
      </c>
      <c r="N8259" s="30" t="s">
        <v>14798</v>
      </c>
      <c r="P8259" s="30" t="s">
        <v>14799</v>
      </c>
      <c r="Q8259" t="s">
        <v>621</v>
      </c>
      <c r="R8259" t="s">
        <v>917</v>
      </c>
      <c r="S8259">
        <v>39</v>
      </c>
      <c r="T8259" s="29" t="str">
        <f>HYPERLINK("https://ictv.global/ictv/proposals/2023.001B.Leviviricetes_reorg.zip","2023.001B.Leviviricetes_reorg.zip")</f>
        <v>2023.001B.Leviviricetes_reorg.zip</v>
      </c>
      <c r="U8259" s="29" t="str">
        <f>HYPERLINK("https://ictv.global/taxonomy/taxondetails?taxnode_id=202316047","ictv.global=202316047")</f>
        <v>ictv.global=202316047</v>
      </c>
    </row>
    <row r="8260" spans="1:21">
      <c r="A8260">
        <v>8259</v>
      </c>
      <c r="B8260" s="30" t="s">
        <v>1226</v>
      </c>
      <c r="D8260" s="30" t="s">
        <v>2024</v>
      </c>
      <c r="F8260" s="30" t="s">
        <v>2046</v>
      </c>
      <c r="H8260" s="30" t="s">
        <v>2859</v>
      </c>
      <c r="J8260" s="30" t="s">
        <v>2860</v>
      </c>
      <c r="L8260" s="30" t="s">
        <v>2861</v>
      </c>
      <c r="N8260" s="30" t="s">
        <v>2869</v>
      </c>
      <c r="P8260" s="30" t="s">
        <v>2870</v>
      </c>
      <c r="Q8260" t="s">
        <v>621</v>
      </c>
      <c r="R8260" t="s">
        <v>917</v>
      </c>
      <c r="S8260">
        <v>36</v>
      </c>
      <c r="T8260" s="29" t="str">
        <f>HYPERLINK("https://ictv.global/ictv/proposals/2020.095B.R.Leviviricetes.zip","2020.095B.R.Leviviricetes.zip")</f>
        <v>2020.095B.R.Leviviricetes.zip</v>
      </c>
      <c r="U8260" s="29" t="str">
        <f>HYPERLINK("https://ictv.global/taxonomy/taxondetails?taxnode_id=202310703","ictv.global=202310703")</f>
        <v>ictv.global=202310703</v>
      </c>
    </row>
    <row r="8261" spans="1:21">
      <c r="A8261">
        <v>8260</v>
      </c>
      <c r="B8261" s="30" t="s">
        <v>1226</v>
      </c>
      <c r="D8261" s="30" t="s">
        <v>2024</v>
      </c>
      <c r="F8261" s="30" t="s">
        <v>2046</v>
      </c>
      <c r="H8261" s="30" t="s">
        <v>2859</v>
      </c>
      <c r="J8261" s="30" t="s">
        <v>2860</v>
      </c>
      <c r="L8261" s="30" t="s">
        <v>2861</v>
      </c>
      <c r="N8261" s="30" t="s">
        <v>2869</v>
      </c>
      <c r="P8261" s="30" t="s">
        <v>2871</v>
      </c>
      <c r="Q8261" t="s">
        <v>621</v>
      </c>
      <c r="R8261" t="s">
        <v>917</v>
      </c>
      <c r="S8261">
        <v>36</v>
      </c>
      <c r="T8261" s="29" t="str">
        <f>HYPERLINK("https://ictv.global/ictv/proposals/2020.095B.R.Leviviricetes.zip","2020.095B.R.Leviviricetes.zip")</f>
        <v>2020.095B.R.Leviviricetes.zip</v>
      </c>
      <c r="U8261" s="29" t="str">
        <f>HYPERLINK("https://ictv.global/taxonomy/taxondetails?taxnode_id=202310704","ictv.global=202310704")</f>
        <v>ictv.global=202310704</v>
      </c>
    </row>
    <row r="8262" spans="1:21">
      <c r="A8262">
        <v>8261</v>
      </c>
      <c r="B8262" s="30" t="s">
        <v>1226</v>
      </c>
      <c r="D8262" s="30" t="s">
        <v>2024</v>
      </c>
      <c r="F8262" s="30" t="s">
        <v>2046</v>
      </c>
      <c r="H8262" s="30" t="s">
        <v>2859</v>
      </c>
      <c r="J8262" s="30" t="s">
        <v>2860</v>
      </c>
      <c r="L8262" s="30" t="s">
        <v>2861</v>
      </c>
      <c r="N8262" s="30" t="s">
        <v>14800</v>
      </c>
      <c r="P8262" s="30" t="s">
        <v>14801</v>
      </c>
      <c r="Q8262" t="s">
        <v>621</v>
      </c>
      <c r="R8262" t="s">
        <v>917</v>
      </c>
      <c r="S8262">
        <v>39</v>
      </c>
      <c r="T8262" s="29" t="str">
        <f t="shared" ref="T8262:T8294" si="354">HYPERLINK("https://ictv.global/ictv/proposals/2023.001B.Leviviricetes_reorg.zip","2023.001B.Leviviricetes_reorg.zip")</f>
        <v>2023.001B.Leviviricetes_reorg.zip</v>
      </c>
      <c r="U8262" s="29" t="str">
        <f>HYPERLINK("https://ictv.global/taxonomy/taxondetails?taxnode_id=202316048","ictv.global=202316048")</f>
        <v>ictv.global=202316048</v>
      </c>
    </row>
    <row r="8263" spans="1:21">
      <c r="A8263">
        <v>8262</v>
      </c>
      <c r="B8263" s="30" t="s">
        <v>1226</v>
      </c>
      <c r="D8263" s="30" t="s">
        <v>2024</v>
      </c>
      <c r="F8263" s="30" t="s">
        <v>2046</v>
      </c>
      <c r="H8263" s="30" t="s">
        <v>2859</v>
      </c>
      <c r="J8263" s="30" t="s">
        <v>2860</v>
      </c>
      <c r="L8263" s="30" t="s">
        <v>2861</v>
      </c>
      <c r="N8263" s="30" t="s">
        <v>14800</v>
      </c>
      <c r="P8263" s="30" t="s">
        <v>14802</v>
      </c>
      <c r="Q8263" t="s">
        <v>621</v>
      </c>
      <c r="R8263" t="s">
        <v>917</v>
      </c>
      <c r="S8263">
        <v>39</v>
      </c>
      <c r="T8263" s="29" t="str">
        <f t="shared" si="354"/>
        <v>2023.001B.Leviviricetes_reorg.zip</v>
      </c>
      <c r="U8263" s="29" t="str">
        <f>HYPERLINK("https://ictv.global/taxonomy/taxondetails?taxnode_id=202316049","ictv.global=202316049")</f>
        <v>ictv.global=202316049</v>
      </c>
    </row>
    <row r="8264" spans="1:21">
      <c r="A8264">
        <v>8263</v>
      </c>
      <c r="B8264" s="30" t="s">
        <v>1226</v>
      </c>
      <c r="D8264" s="30" t="s">
        <v>2024</v>
      </c>
      <c r="F8264" s="30" t="s">
        <v>2046</v>
      </c>
      <c r="H8264" s="30" t="s">
        <v>2859</v>
      </c>
      <c r="J8264" s="30" t="s">
        <v>2860</v>
      </c>
      <c r="L8264" s="30" t="s">
        <v>2861</v>
      </c>
      <c r="N8264" s="30" t="s">
        <v>14803</v>
      </c>
      <c r="P8264" s="30" t="s">
        <v>14804</v>
      </c>
      <c r="Q8264" t="s">
        <v>621</v>
      </c>
      <c r="R8264" t="s">
        <v>917</v>
      </c>
      <c r="S8264">
        <v>39</v>
      </c>
      <c r="T8264" s="29" t="str">
        <f t="shared" si="354"/>
        <v>2023.001B.Leviviricetes_reorg.zip</v>
      </c>
      <c r="U8264" s="29" t="str">
        <f>HYPERLINK("https://ictv.global/taxonomy/taxondetails?taxnode_id=202316050","ictv.global=202316050")</f>
        <v>ictv.global=202316050</v>
      </c>
    </row>
    <row r="8265" spans="1:21">
      <c r="A8265">
        <v>8264</v>
      </c>
      <c r="B8265" s="30" t="s">
        <v>1226</v>
      </c>
      <c r="D8265" s="30" t="s">
        <v>2024</v>
      </c>
      <c r="F8265" s="30" t="s">
        <v>2046</v>
      </c>
      <c r="H8265" s="30" t="s">
        <v>2859</v>
      </c>
      <c r="J8265" s="30" t="s">
        <v>2860</v>
      </c>
      <c r="L8265" s="30" t="s">
        <v>2861</v>
      </c>
      <c r="N8265" s="30" t="s">
        <v>14805</v>
      </c>
      <c r="P8265" s="30" t="s">
        <v>14806</v>
      </c>
      <c r="Q8265" t="s">
        <v>621</v>
      </c>
      <c r="R8265" t="s">
        <v>917</v>
      </c>
      <c r="S8265">
        <v>39</v>
      </c>
      <c r="T8265" s="29" t="str">
        <f t="shared" si="354"/>
        <v>2023.001B.Leviviricetes_reorg.zip</v>
      </c>
      <c r="U8265" s="29" t="str">
        <f>HYPERLINK("https://ictv.global/taxonomy/taxondetails?taxnode_id=202316051","ictv.global=202316051")</f>
        <v>ictv.global=202316051</v>
      </c>
    </row>
    <row r="8266" spans="1:21">
      <c r="A8266">
        <v>8265</v>
      </c>
      <c r="B8266" s="30" t="s">
        <v>1226</v>
      </c>
      <c r="D8266" s="30" t="s">
        <v>2024</v>
      </c>
      <c r="F8266" s="30" t="s">
        <v>2046</v>
      </c>
      <c r="H8266" s="30" t="s">
        <v>2859</v>
      </c>
      <c r="J8266" s="30" t="s">
        <v>2860</v>
      </c>
      <c r="L8266" s="30" t="s">
        <v>2861</v>
      </c>
      <c r="N8266" s="30" t="s">
        <v>14805</v>
      </c>
      <c r="P8266" s="30" t="s">
        <v>14807</v>
      </c>
      <c r="Q8266" t="s">
        <v>621</v>
      </c>
      <c r="R8266" t="s">
        <v>917</v>
      </c>
      <c r="S8266">
        <v>39</v>
      </c>
      <c r="T8266" s="29" t="str">
        <f t="shared" si="354"/>
        <v>2023.001B.Leviviricetes_reorg.zip</v>
      </c>
      <c r="U8266" s="29" t="str">
        <f>HYPERLINK("https://ictv.global/taxonomy/taxondetails?taxnode_id=202316052","ictv.global=202316052")</f>
        <v>ictv.global=202316052</v>
      </c>
    </row>
    <row r="8267" spans="1:21">
      <c r="A8267">
        <v>8266</v>
      </c>
      <c r="B8267" s="30" t="s">
        <v>1226</v>
      </c>
      <c r="D8267" s="30" t="s">
        <v>2024</v>
      </c>
      <c r="F8267" s="30" t="s">
        <v>2046</v>
      </c>
      <c r="H8267" s="30" t="s">
        <v>2859</v>
      </c>
      <c r="J8267" s="30" t="s">
        <v>2860</v>
      </c>
      <c r="L8267" s="30" t="s">
        <v>2861</v>
      </c>
      <c r="N8267" s="30" t="s">
        <v>14808</v>
      </c>
      <c r="P8267" s="30" t="s">
        <v>14809</v>
      </c>
      <c r="Q8267" t="s">
        <v>621</v>
      </c>
      <c r="R8267" t="s">
        <v>917</v>
      </c>
      <c r="S8267">
        <v>39</v>
      </c>
      <c r="T8267" s="29" t="str">
        <f t="shared" si="354"/>
        <v>2023.001B.Leviviricetes_reorg.zip</v>
      </c>
      <c r="U8267" s="29" t="str">
        <f>HYPERLINK("https://ictv.global/taxonomy/taxondetails?taxnode_id=202316053","ictv.global=202316053")</f>
        <v>ictv.global=202316053</v>
      </c>
    </row>
    <row r="8268" spans="1:21">
      <c r="A8268">
        <v>8267</v>
      </c>
      <c r="B8268" s="30" t="s">
        <v>1226</v>
      </c>
      <c r="D8268" s="30" t="s">
        <v>2024</v>
      </c>
      <c r="F8268" s="30" t="s">
        <v>2046</v>
      </c>
      <c r="H8268" s="30" t="s">
        <v>2859</v>
      </c>
      <c r="J8268" s="30" t="s">
        <v>2860</v>
      </c>
      <c r="L8268" s="30" t="s">
        <v>2861</v>
      </c>
      <c r="N8268" s="30" t="s">
        <v>14810</v>
      </c>
      <c r="P8268" s="30" t="s">
        <v>14811</v>
      </c>
      <c r="Q8268" t="s">
        <v>621</v>
      </c>
      <c r="R8268" t="s">
        <v>917</v>
      </c>
      <c r="S8268">
        <v>39</v>
      </c>
      <c r="T8268" s="29" t="str">
        <f t="shared" si="354"/>
        <v>2023.001B.Leviviricetes_reorg.zip</v>
      </c>
      <c r="U8268" s="29" t="str">
        <f>HYPERLINK("https://ictv.global/taxonomy/taxondetails?taxnode_id=202316054","ictv.global=202316054")</f>
        <v>ictv.global=202316054</v>
      </c>
    </row>
    <row r="8269" spans="1:21">
      <c r="A8269">
        <v>8268</v>
      </c>
      <c r="B8269" s="30" t="s">
        <v>1226</v>
      </c>
      <c r="D8269" s="30" t="s">
        <v>2024</v>
      </c>
      <c r="F8269" s="30" t="s">
        <v>2046</v>
      </c>
      <c r="H8269" s="30" t="s">
        <v>2859</v>
      </c>
      <c r="J8269" s="30" t="s">
        <v>2860</v>
      </c>
      <c r="L8269" s="30" t="s">
        <v>2861</v>
      </c>
      <c r="N8269" s="30" t="s">
        <v>14810</v>
      </c>
      <c r="P8269" s="30" t="s">
        <v>14812</v>
      </c>
      <c r="Q8269" t="s">
        <v>621</v>
      </c>
      <c r="R8269" t="s">
        <v>917</v>
      </c>
      <c r="S8269">
        <v>39</v>
      </c>
      <c r="T8269" s="29" t="str">
        <f t="shared" si="354"/>
        <v>2023.001B.Leviviricetes_reorg.zip</v>
      </c>
      <c r="U8269" s="29" t="str">
        <f>HYPERLINK("https://ictv.global/taxonomy/taxondetails?taxnode_id=202316055","ictv.global=202316055")</f>
        <v>ictv.global=202316055</v>
      </c>
    </row>
    <row r="8270" spans="1:21">
      <c r="A8270">
        <v>8269</v>
      </c>
      <c r="B8270" s="30" t="s">
        <v>1226</v>
      </c>
      <c r="D8270" s="30" t="s">
        <v>2024</v>
      </c>
      <c r="F8270" s="30" t="s">
        <v>2046</v>
      </c>
      <c r="H8270" s="30" t="s">
        <v>2859</v>
      </c>
      <c r="J8270" s="30" t="s">
        <v>2860</v>
      </c>
      <c r="L8270" s="30" t="s">
        <v>2861</v>
      </c>
      <c r="N8270" s="30" t="s">
        <v>14810</v>
      </c>
      <c r="P8270" s="30" t="s">
        <v>14813</v>
      </c>
      <c r="Q8270" t="s">
        <v>621</v>
      </c>
      <c r="R8270" t="s">
        <v>917</v>
      </c>
      <c r="S8270">
        <v>39</v>
      </c>
      <c r="T8270" s="29" t="str">
        <f t="shared" si="354"/>
        <v>2023.001B.Leviviricetes_reorg.zip</v>
      </c>
      <c r="U8270" s="29" t="str">
        <f>HYPERLINK("https://ictv.global/taxonomy/taxondetails?taxnode_id=202316056","ictv.global=202316056")</f>
        <v>ictv.global=202316056</v>
      </c>
    </row>
    <row r="8271" spans="1:21">
      <c r="A8271">
        <v>8270</v>
      </c>
      <c r="B8271" s="30" t="s">
        <v>1226</v>
      </c>
      <c r="D8271" s="30" t="s">
        <v>2024</v>
      </c>
      <c r="F8271" s="30" t="s">
        <v>2046</v>
      </c>
      <c r="H8271" s="30" t="s">
        <v>2859</v>
      </c>
      <c r="J8271" s="30" t="s">
        <v>2860</v>
      </c>
      <c r="L8271" s="30" t="s">
        <v>2861</v>
      </c>
      <c r="N8271" s="30" t="s">
        <v>14814</v>
      </c>
      <c r="P8271" s="30" t="s">
        <v>14815</v>
      </c>
      <c r="Q8271" t="s">
        <v>621</v>
      </c>
      <c r="R8271" t="s">
        <v>917</v>
      </c>
      <c r="S8271">
        <v>39</v>
      </c>
      <c r="T8271" s="29" t="str">
        <f t="shared" si="354"/>
        <v>2023.001B.Leviviricetes_reorg.zip</v>
      </c>
      <c r="U8271" s="29" t="str">
        <f>HYPERLINK("https://ictv.global/taxonomy/taxondetails?taxnode_id=202316057","ictv.global=202316057")</f>
        <v>ictv.global=202316057</v>
      </c>
    </row>
    <row r="8272" spans="1:21">
      <c r="A8272">
        <v>8271</v>
      </c>
      <c r="B8272" s="30" t="s">
        <v>1226</v>
      </c>
      <c r="D8272" s="30" t="s">
        <v>2024</v>
      </c>
      <c r="F8272" s="30" t="s">
        <v>2046</v>
      </c>
      <c r="H8272" s="30" t="s">
        <v>2859</v>
      </c>
      <c r="J8272" s="30" t="s">
        <v>2860</v>
      </c>
      <c r="L8272" s="30" t="s">
        <v>2861</v>
      </c>
      <c r="N8272" s="30" t="s">
        <v>14816</v>
      </c>
      <c r="P8272" s="30" t="s">
        <v>14817</v>
      </c>
      <c r="Q8272" t="s">
        <v>621</v>
      </c>
      <c r="R8272" t="s">
        <v>917</v>
      </c>
      <c r="S8272">
        <v>39</v>
      </c>
      <c r="T8272" s="29" t="str">
        <f t="shared" si="354"/>
        <v>2023.001B.Leviviricetes_reorg.zip</v>
      </c>
      <c r="U8272" s="29" t="str">
        <f>HYPERLINK("https://ictv.global/taxonomy/taxondetails?taxnode_id=202316058","ictv.global=202316058")</f>
        <v>ictv.global=202316058</v>
      </c>
    </row>
    <row r="8273" spans="1:21">
      <c r="A8273">
        <v>8272</v>
      </c>
      <c r="B8273" s="30" t="s">
        <v>1226</v>
      </c>
      <c r="D8273" s="30" t="s">
        <v>2024</v>
      </c>
      <c r="F8273" s="30" t="s">
        <v>2046</v>
      </c>
      <c r="H8273" s="30" t="s">
        <v>2859</v>
      </c>
      <c r="J8273" s="30" t="s">
        <v>2860</v>
      </c>
      <c r="L8273" s="30" t="s">
        <v>2861</v>
      </c>
      <c r="N8273" s="30" t="s">
        <v>14818</v>
      </c>
      <c r="P8273" s="30" t="s">
        <v>14819</v>
      </c>
      <c r="Q8273" t="s">
        <v>621</v>
      </c>
      <c r="R8273" t="s">
        <v>917</v>
      </c>
      <c r="S8273">
        <v>39</v>
      </c>
      <c r="T8273" s="29" t="str">
        <f t="shared" si="354"/>
        <v>2023.001B.Leviviricetes_reorg.zip</v>
      </c>
      <c r="U8273" s="29" t="str">
        <f>HYPERLINK("https://ictv.global/taxonomy/taxondetails?taxnode_id=202316059","ictv.global=202316059")</f>
        <v>ictv.global=202316059</v>
      </c>
    </row>
    <row r="8274" spans="1:21">
      <c r="A8274">
        <v>8273</v>
      </c>
      <c r="B8274" s="30" t="s">
        <v>1226</v>
      </c>
      <c r="D8274" s="30" t="s">
        <v>2024</v>
      </c>
      <c r="F8274" s="30" t="s">
        <v>2046</v>
      </c>
      <c r="H8274" s="30" t="s">
        <v>2859</v>
      </c>
      <c r="J8274" s="30" t="s">
        <v>2860</v>
      </c>
      <c r="L8274" s="30" t="s">
        <v>2861</v>
      </c>
      <c r="N8274" s="30" t="s">
        <v>14820</v>
      </c>
      <c r="P8274" s="30" t="s">
        <v>14821</v>
      </c>
      <c r="Q8274" t="s">
        <v>621</v>
      </c>
      <c r="R8274" t="s">
        <v>917</v>
      </c>
      <c r="S8274">
        <v>39</v>
      </c>
      <c r="T8274" s="29" t="str">
        <f t="shared" si="354"/>
        <v>2023.001B.Leviviricetes_reorg.zip</v>
      </c>
      <c r="U8274" s="29" t="str">
        <f>HYPERLINK("https://ictv.global/taxonomy/taxondetails?taxnode_id=202316060","ictv.global=202316060")</f>
        <v>ictv.global=202316060</v>
      </c>
    </row>
    <row r="8275" spans="1:21">
      <c r="A8275">
        <v>8274</v>
      </c>
      <c r="B8275" s="30" t="s">
        <v>1226</v>
      </c>
      <c r="D8275" s="30" t="s">
        <v>2024</v>
      </c>
      <c r="F8275" s="30" t="s">
        <v>2046</v>
      </c>
      <c r="H8275" s="30" t="s">
        <v>2859</v>
      </c>
      <c r="J8275" s="30" t="s">
        <v>2860</v>
      </c>
      <c r="L8275" s="30" t="s">
        <v>2861</v>
      </c>
      <c r="N8275" s="30" t="s">
        <v>14822</v>
      </c>
      <c r="P8275" s="30" t="s">
        <v>14823</v>
      </c>
      <c r="Q8275" t="s">
        <v>621</v>
      </c>
      <c r="R8275" t="s">
        <v>917</v>
      </c>
      <c r="S8275">
        <v>39</v>
      </c>
      <c r="T8275" s="29" t="str">
        <f t="shared" si="354"/>
        <v>2023.001B.Leviviricetes_reorg.zip</v>
      </c>
      <c r="U8275" s="29" t="str">
        <f>HYPERLINK("https://ictv.global/taxonomy/taxondetails?taxnode_id=202316061","ictv.global=202316061")</f>
        <v>ictv.global=202316061</v>
      </c>
    </row>
    <row r="8276" spans="1:21">
      <c r="A8276">
        <v>8275</v>
      </c>
      <c r="B8276" s="30" t="s">
        <v>1226</v>
      </c>
      <c r="D8276" s="30" t="s">
        <v>2024</v>
      </c>
      <c r="F8276" s="30" t="s">
        <v>2046</v>
      </c>
      <c r="H8276" s="30" t="s">
        <v>2859</v>
      </c>
      <c r="J8276" s="30" t="s">
        <v>2860</v>
      </c>
      <c r="L8276" s="30" t="s">
        <v>2861</v>
      </c>
      <c r="N8276" s="30" t="s">
        <v>14824</v>
      </c>
      <c r="P8276" s="30" t="s">
        <v>14825</v>
      </c>
      <c r="Q8276" t="s">
        <v>621</v>
      </c>
      <c r="R8276" t="s">
        <v>917</v>
      </c>
      <c r="S8276">
        <v>39</v>
      </c>
      <c r="T8276" s="29" t="str">
        <f t="shared" si="354"/>
        <v>2023.001B.Leviviricetes_reorg.zip</v>
      </c>
      <c r="U8276" s="29" t="str">
        <f>HYPERLINK("https://ictv.global/taxonomy/taxondetails?taxnode_id=202316062","ictv.global=202316062")</f>
        <v>ictv.global=202316062</v>
      </c>
    </row>
    <row r="8277" spans="1:21">
      <c r="A8277">
        <v>8276</v>
      </c>
      <c r="B8277" s="30" t="s">
        <v>1226</v>
      </c>
      <c r="D8277" s="30" t="s">
        <v>2024</v>
      </c>
      <c r="F8277" s="30" t="s">
        <v>2046</v>
      </c>
      <c r="H8277" s="30" t="s">
        <v>2859</v>
      </c>
      <c r="J8277" s="30" t="s">
        <v>2860</v>
      </c>
      <c r="L8277" s="30" t="s">
        <v>2861</v>
      </c>
      <c r="N8277" s="30" t="s">
        <v>14826</v>
      </c>
      <c r="P8277" s="30" t="s">
        <v>14827</v>
      </c>
      <c r="Q8277" t="s">
        <v>621</v>
      </c>
      <c r="R8277" t="s">
        <v>917</v>
      </c>
      <c r="S8277">
        <v>39</v>
      </c>
      <c r="T8277" s="29" t="str">
        <f t="shared" si="354"/>
        <v>2023.001B.Leviviricetes_reorg.zip</v>
      </c>
      <c r="U8277" s="29" t="str">
        <f>HYPERLINK("https://ictv.global/taxonomy/taxondetails?taxnode_id=202316063","ictv.global=202316063")</f>
        <v>ictv.global=202316063</v>
      </c>
    </row>
    <row r="8278" spans="1:21">
      <c r="A8278">
        <v>8277</v>
      </c>
      <c r="B8278" s="30" t="s">
        <v>1226</v>
      </c>
      <c r="D8278" s="30" t="s">
        <v>2024</v>
      </c>
      <c r="F8278" s="30" t="s">
        <v>2046</v>
      </c>
      <c r="H8278" s="30" t="s">
        <v>2859</v>
      </c>
      <c r="J8278" s="30" t="s">
        <v>2860</v>
      </c>
      <c r="L8278" s="30" t="s">
        <v>2861</v>
      </c>
      <c r="N8278" s="30" t="s">
        <v>14828</v>
      </c>
      <c r="P8278" s="30" t="s">
        <v>14829</v>
      </c>
      <c r="Q8278" t="s">
        <v>621</v>
      </c>
      <c r="R8278" t="s">
        <v>917</v>
      </c>
      <c r="S8278">
        <v>39</v>
      </c>
      <c r="T8278" s="29" t="str">
        <f t="shared" si="354"/>
        <v>2023.001B.Leviviricetes_reorg.zip</v>
      </c>
      <c r="U8278" s="29" t="str">
        <f>HYPERLINK("https://ictv.global/taxonomy/taxondetails?taxnode_id=202316064","ictv.global=202316064")</f>
        <v>ictv.global=202316064</v>
      </c>
    </row>
    <row r="8279" spans="1:21">
      <c r="A8279">
        <v>8278</v>
      </c>
      <c r="B8279" s="30" t="s">
        <v>1226</v>
      </c>
      <c r="D8279" s="30" t="s">
        <v>2024</v>
      </c>
      <c r="F8279" s="30" t="s">
        <v>2046</v>
      </c>
      <c r="H8279" s="30" t="s">
        <v>2859</v>
      </c>
      <c r="J8279" s="30" t="s">
        <v>2860</v>
      </c>
      <c r="L8279" s="30" t="s">
        <v>2861</v>
      </c>
      <c r="N8279" s="30" t="s">
        <v>14830</v>
      </c>
      <c r="P8279" s="30" t="s">
        <v>14831</v>
      </c>
      <c r="Q8279" t="s">
        <v>621</v>
      </c>
      <c r="R8279" t="s">
        <v>917</v>
      </c>
      <c r="S8279">
        <v>39</v>
      </c>
      <c r="T8279" s="29" t="str">
        <f t="shared" si="354"/>
        <v>2023.001B.Leviviricetes_reorg.zip</v>
      </c>
      <c r="U8279" s="29" t="str">
        <f>HYPERLINK("https://ictv.global/taxonomy/taxondetails?taxnode_id=202316065","ictv.global=202316065")</f>
        <v>ictv.global=202316065</v>
      </c>
    </row>
    <row r="8280" spans="1:21">
      <c r="A8280">
        <v>8279</v>
      </c>
      <c r="B8280" s="30" t="s">
        <v>1226</v>
      </c>
      <c r="D8280" s="30" t="s">
        <v>2024</v>
      </c>
      <c r="F8280" s="30" t="s">
        <v>2046</v>
      </c>
      <c r="H8280" s="30" t="s">
        <v>2859</v>
      </c>
      <c r="J8280" s="30" t="s">
        <v>2860</v>
      </c>
      <c r="L8280" s="30" t="s">
        <v>2861</v>
      </c>
      <c r="N8280" s="30" t="s">
        <v>14832</v>
      </c>
      <c r="P8280" s="30" t="s">
        <v>14833</v>
      </c>
      <c r="Q8280" t="s">
        <v>621</v>
      </c>
      <c r="R8280" t="s">
        <v>917</v>
      </c>
      <c r="S8280">
        <v>39</v>
      </c>
      <c r="T8280" s="29" t="str">
        <f t="shared" si="354"/>
        <v>2023.001B.Leviviricetes_reorg.zip</v>
      </c>
      <c r="U8280" s="29" t="str">
        <f>HYPERLINK("https://ictv.global/taxonomy/taxondetails?taxnode_id=202316066","ictv.global=202316066")</f>
        <v>ictv.global=202316066</v>
      </c>
    </row>
    <row r="8281" spans="1:21">
      <c r="A8281">
        <v>8280</v>
      </c>
      <c r="B8281" s="30" t="s">
        <v>1226</v>
      </c>
      <c r="D8281" s="30" t="s">
        <v>2024</v>
      </c>
      <c r="F8281" s="30" t="s">
        <v>2046</v>
      </c>
      <c r="H8281" s="30" t="s">
        <v>2859</v>
      </c>
      <c r="J8281" s="30" t="s">
        <v>2860</v>
      </c>
      <c r="L8281" s="30" t="s">
        <v>2861</v>
      </c>
      <c r="N8281" s="30" t="s">
        <v>14832</v>
      </c>
      <c r="P8281" s="30" t="s">
        <v>14834</v>
      </c>
      <c r="Q8281" t="s">
        <v>621</v>
      </c>
      <c r="R8281" t="s">
        <v>917</v>
      </c>
      <c r="S8281">
        <v>39</v>
      </c>
      <c r="T8281" s="29" t="str">
        <f t="shared" si="354"/>
        <v>2023.001B.Leviviricetes_reorg.zip</v>
      </c>
      <c r="U8281" s="29" t="str">
        <f>HYPERLINK("https://ictv.global/taxonomy/taxondetails?taxnode_id=202316067","ictv.global=202316067")</f>
        <v>ictv.global=202316067</v>
      </c>
    </row>
    <row r="8282" spans="1:21">
      <c r="A8282">
        <v>8281</v>
      </c>
      <c r="B8282" s="30" t="s">
        <v>1226</v>
      </c>
      <c r="D8282" s="30" t="s">
        <v>2024</v>
      </c>
      <c r="F8282" s="30" t="s">
        <v>2046</v>
      </c>
      <c r="H8282" s="30" t="s">
        <v>2859</v>
      </c>
      <c r="J8282" s="30" t="s">
        <v>2860</v>
      </c>
      <c r="L8282" s="30" t="s">
        <v>2861</v>
      </c>
      <c r="N8282" s="30" t="s">
        <v>14832</v>
      </c>
      <c r="P8282" s="30" t="s">
        <v>14835</v>
      </c>
      <c r="Q8282" t="s">
        <v>621</v>
      </c>
      <c r="R8282" t="s">
        <v>917</v>
      </c>
      <c r="S8282">
        <v>39</v>
      </c>
      <c r="T8282" s="29" t="str">
        <f t="shared" si="354"/>
        <v>2023.001B.Leviviricetes_reorg.zip</v>
      </c>
      <c r="U8282" s="29" t="str">
        <f>HYPERLINK("https://ictv.global/taxonomy/taxondetails?taxnode_id=202316068","ictv.global=202316068")</f>
        <v>ictv.global=202316068</v>
      </c>
    </row>
    <row r="8283" spans="1:21">
      <c r="A8283">
        <v>8282</v>
      </c>
      <c r="B8283" s="30" t="s">
        <v>1226</v>
      </c>
      <c r="D8283" s="30" t="s">
        <v>2024</v>
      </c>
      <c r="F8283" s="30" t="s">
        <v>2046</v>
      </c>
      <c r="H8283" s="30" t="s">
        <v>2859</v>
      </c>
      <c r="J8283" s="30" t="s">
        <v>2860</v>
      </c>
      <c r="L8283" s="30" t="s">
        <v>2861</v>
      </c>
      <c r="N8283" s="30" t="s">
        <v>14832</v>
      </c>
      <c r="P8283" s="30" t="s">
        <v>14836</v>
      </c>
      <c r="Q8283" t="s">
        <v>621</v>
      </c>
      <c r="R8283" t="s">
        <v>917</v>
      </c>
      <c r="S8283">
        <v>39</v>
      </c>
      <c r="T8283" s="29" t="str">
        <f t="shared" si="354"/>
        <v>2023.001B.Leviviricetes_reorg.zip</v>
      </c>
      <c r="U8283" s="29" t="str">
        <f>HYPERLINK("https://ictv.global/taxonomy/taxondetails?taxnode_id=202316069","ictv.global=202316069")</f>
        <v>ictv.global=202316069</v>
      </c>
    </row>
    <row r="8284" spans="1:21">
      <c r="A8284">
        <v>8283</v>
      </c>
      <c r="B8284" s="30" t="s">
        <v>1226</v>
      </c>
      <c r="D8284" s="30" t="s">
        <v>2024</v>
      </c>
      <c r="F8284" s="30" t="s">
        <v>2046</v>
      </c>
      <c r="H8284" s="30" t="s">
        <v>2859</v>
      </c>
      <c r="J8284" s="30" t="s">
        <v>2860</v>
      </c>
      <c r="L8284" s="30" t="s">
        <v>2861</v>
      </c>
      <c r="N8284" s="30" t="s">
        <v>14832</v>
      </c>
      <c r="P8284" s="30" t="s">
        <v>14837</v>
      </c>
      <c r="Q8284" t="s">
        <v>621</v>
      </c>
      <c r="R8284" t="s">
        <v>917</v>
      </c>
      <c r="S8284">
        <v>39</v>
      </c>
      <c r="T8284" s="29" t="str">
        <f t="shared" si="354"/>
        <v>2023.001B.Leviviricetes_reorg.zip</v>
      </c>
      <c r="U8284" s="29" t="str">
        <f>HYPERLINK("https://ictv.global/taxonomy/taxondetails?taxnode_id=202316070","ictv.global=202316070")</f>
        <v>ictv.global=202316070</v>
      </c>
    </row>
    <row r="8285" spans="1:21">
      <c r="A8285">
        <v>8284</v>
      </c>
      <c r="B8285" s="30" t="s">
        <v>1226</v>
      </c>
      <c r="D8285" s="30" t="s">
        <v>2024</v>
      </c>
      <c r="F8285" s="30" t="s">
        <v>2046</v>
      </c>
      <c r="H8285" s="30" t="s">
        <v>2859</v>
      </c>
      <c r="J8285" s="30" t="s">
        <v>2860</v>
      </c>
      <c r="L8285" s="30" t="s">
        <v>2861</v>
      </c>
      <c r="N8285" s="30" t="s">
        <v>14832</v>
      </c>
      <c r="P8285" s="30" t="s">
        <v>14838</v>
      </c>
      <c r="Q8285" t="s">
        <v>621</v>
      </c>
      <c r="R8285" t="s">
        <v>917</v>
      </c>
      <c r="S8285">
        <v>39</v>
      </c>
      <c r="T8285" s="29" t="str">
        <f t="shared" si="354"/>
        <v>2023.001B.Leviviricetes_reorg.zip</v>
      </c>
      <c r="U8285" s="29" t="str">
        <f>HYPERLINK("https://ictv.global/taxonomy/taxondetails?taxnode_id=202316071","ictv.global=202316071")</f>
        <v>ictv.global=202316071</v>
      </c>
    </row>
    <row r="8286" spans="1:21">
      <c r="A8286">
        <v>8285</v>
      </c>
      <c r="B8286" s="30" t="s">
        <v>1226</v>
      </c>
      <c r="D8286" s="30" t="s">
        <v>2024</v>
      </c>
      <c r="F8286" s="30" t="s">
        <v>2046</v>
      </c>
      <c r="H8286" s="30" t="s">
        <v>2859</v>
      </c>
      <c r="J8286" s="30" t="s">
        <v>2860</v>
      </c>
      <c r="L8286" s="30" t="s">
        <v>2861</v>
      </c>
      <c r="N8286" s="30" t="s">
        <v>14832</v>
      </c>
      <c r="P8286" s="30" t="s">
        <v>14839</v>
      </c>
      <c r="Q8286" t="s">
        <v>621</v>
      </c>
      <c r="R8286" t="s">
        <v>917</v>
      </c>
      <c r="S8286">
        <v>39</v>
      </c>
      <c r="T8286" s="29" t="str">
        <f t="shared" si="354"/>
        <v>2023.001B.Leviviricetes_reorg.zip</v>
      </c>
      <c r="U8286" s="29" t="str">
        <f>HYPERLINK("https://ictv.global/taxonomy/taxondetails?taxnode_id=202316072","ictv.global=202316072")</f>
        <v>ictv.global=202316072</v>
      </c>
    </row>
    <row r="8287" spans="1:21">
      <c r="A8287">
        <v>8286</v>
      </c>
      <c r="B8287" s="30" t="s">
        <v>1226</v>
      </c>
      <c r="D8287" s="30" t="s">
        <v>2024</v>
      </c>
      <c r="F8287" s="30" t="s">
        <v>2046</v>
      </c>
      <c r="H8287" s="30" t="s">
        <v>2859</v>
      </c>
      <c r="J8287" s="30" t="s">
        <v>2860</v>
      </c>
      <c r="L8287" s="30" t="s">
        <v>2861</v>
      </c>
      <c r="N8287" s="30" t="s">
        <v>14832</v>
      </c>
      <c r="P8287" s="30" t="s">
        <v>14840</v>
      </c>
      <c r="Q8287" t="s">
        <v>621</v>
      </c>
      <c r="R8287" t="s">
        <v>917</v>
      </c>
      <c r="S8287">
        <v>39</v>
      </c>
      <c r="T8287" s="29" t="str">
        <f t="shared" si="354"/>
        <v>2023.001B.Leviviricetes_reorg.zip</v>
      </c>
      <c r="U8287" s="29" t="str">
        <f>HYPERLINK("https://ictv.global/taxonomy/taxondetails?taxnode_id=202316073","ictv.global=202316073")</f>
        <v>ictv.global=202316073</v>
      </c>
    </row>
    <row r="8288" spans="1:21">
      <c r="A8288">
        <v>8287</v>
      </c>
      <c r="B8288" s="30" t="s">
        <v>1226</v>
      </c>
      <c r="D8288" s="30" t="s">
        <v>2024</v>
      </c>
      <c r="F8288" s="30" t="s">
        <v>2046</v>
      </c>
      <c r="H8288" s="30" t="s">
        <v>2859</v>
      </c>
      <c r="J8288" s="30" t="s">
        <v>2860</v>
      </c>
      <c r="L8288" s="30" t="s">
        <v>2861</v>
      </c>
      <c r="N8288" s="30" t="s">
        <v>14832</v>
      </c>
      <c r="P8288" s="30" t="s">
        <v>14841</v>
      </c>
      <c r="Q8288" t="s">
        <v>621</v>
      </c>
      <c r="R8288" t="s">
        <v>917</v>
      </c>
      <c r="S8288">
        <v>39</v>
      </c>
      <c r="T8288" s="29" t="str">
        <f t="shared" si="354"/>
        <v>2023.001B.Leviviricetes_reorg.zip</v>
      </c>
      <c r="U8288" s="29" t="str">
        <f>HYPERLINK("https://ictv.global/taxonomy/taxondetails?taxnode_id=202316074","ictv.global=202316074")</f>
        <v>ictv.global=202316074</v>
      </c>
    </row>
    <row r="8289" spans="1:21">
      <c r="A8289">
        <v>8288</v>
      </c>
      <c r="B8289" s="30" t="s">
        <v>1226</v>
      </c>
      <c r="D8289" s="30" t="s">
        <v>2024</v>
      </c>
      <c r="F8289" s="30" t="s">
        <v>2046</v>
      </c>
      <c r="H8289" s="30" t="s">
        <v>2859</v>
      </c>
      <c r="J8289" s="30" t="s">
        <v>2860</v>
      </c>
      <c r="L8289" s="30" t="s">
        <v>2861</v>
      </c>
      <c r="N8289" s="30" t="s">
        <v>14832</v>
      </c>
      <c r="P8289" s="30" t="s">
        <v>14842</v>
      </c>
      <c r="Q8289" t="s">
        <v>621</v>
      </c>
      <c r="R8289" t="s">
        <v>917</v>
      </c>
      <c r="S8289">
        <v>39</v>
      </c>
      <c r="T8289" s="29" t="str">
        <f t="shared" si="354"/>
        <v>2023.001B.Leviviricetes_reorg.zip</v>
      </c>
      <c r="U8289" s="29" t="str">
        <f>HYPERLINK("https://ictv.global/taxonomy/taxondetails?taxnode_id=202316075","ictv.global=202316075")</f>
        <v>ictv.global=202316075</v>
      </c>
    </row>
    <row r="8290" spans="1:21">
      <c r="A8290">
        <v>8289</v>
      </c>
      <c r="B8290" s="30" t="s">
        <v>1226</v>
      </c>
      <c r="D8290" s="30" t="s">
        <v>2024</v>
      </c>
      <c r="F8290" s="30" t="s">
        <v>2046</v>
      </c>
      <c r="H8290" s="30" t="s">
        <v>2859</v>
      </c>
      <c r="J8290" s="30" t="s">
        <v>2860</v>
      </c>
      <c r="L8290" s="30" t="s">
        <v>2861</v>
      </c>
      <c r="N8290" s="30" t="s">
        <v>14843</v>
      </c>
      <c r="P8290" s="30" t="s">
        <v>14844</v>
      </c>
      <c r="Q8290" t="s">
        <v>621</v>
      </c>
      <c r="R8290" t="s">
        <v>917</v>
      </c>
      <c r="S8290">
        <v>39</v>
      </c>
      <c r="T8290" s="29" t="str">
        <f t="shared" si="354"/>
        <v>2023.001B.Leviviricetes_reorg.zip</v>
      </c>
      <c r="U8290" s="29" t="str">
        <f>HYPERLINK("https://ictv.global/taxonomy/taxondetails?taxnode_id=202316076","ictv.global=202316076")</f>
        <v>ictv.global=202316076</v>
      </c>
    </row>
    <row r="8291" spans="1:21">
      <c r="A8291">
        <v>8290</v>
      </c>
      <c r="B8291" s="30" t="s">
        <v>1226</v>
      </c>
      <c r="D8291" s="30" t="s">
        <v>2024</v>
      </c>
      <c r="F8291" s="30" t="s">
        <v>2046</v>
      </c>
      <c r="H8291" s="30" t="s">
        <v>2859</v>
      </c>
      <c r="J8291" s="30" t="s">
        <v>2860</v>
      </c>
      <c r="L8291" s="30" t="s">
        <v>2861</v>
      </c>
      <c r="N8291" s="30" t="s">
        <v>14845</v>
      </c>
      <c r="P8291" s="30" t="s">
        <v>14846</v>
      </c>
      <c r="Q8291" t="s">
        <v>621</v>
      </c>
      <c r="R8291" t="s">
        <v>917</v>
      </c>
      <c r="S8291">
        <v>39</v>
      </c>
      <c r="T8291" s="29" t="str">
        <f t="shared" si="354"/>
        <v>2023.001B.Leviviricetes_reorg.zip</v>
      </c>
      <c r="U8291" s="29" t="str">
        <f>HYPERLINK("https://ictv.global/taxonomy/taxondetails?taxnode_id=202316077","ictv.global=202316077")</f>
        <v>ictv.global=202316077</v>
      </c>
    </row>
    <row r="8292" spans="1:21">
      <c r="A8292">
        <v>8291</v>
      </c>
      <c r="B8292" s="30" t="s">
        <v>1226</v>
      </c>
      <c r="D8292" s="30" t="s">
        <v>2024</v>
      </c>
      <c r="F8292" s="30" t="s">
        <v>2046</v>
      </c>
      <c r="H8292" s="30" t="s">
        <v>2859</v>
      </c>
      <c r="J8292" s="30" t="s">
        <v>2860</v>
      </c>
      <c r="L8292" s="30" t="s">
        <v>2861</v>
      </c>
      <c r="N8292" s="30" t="s">
        <v>14845</v>
      </c>
      <c r="P8292" s="30" t="s">
        <v>14847</v>
      </c>
      <c r="Q8292" t="s">
        <v>621</v>
      </c>
      <c r="R8292" t="s">
        <v>917</v>
      </c>
      <c r="S8292">
        <v>39</v>
      </c>
      <c r="T8292" s="29" t="str">
        <f t="shared" si="354"/>
        <v>2023.001B.Leviviricetes_reorg.zip</v>
      </c>
      <c r="U8292" s="29" t="str">
        <f>HYPERLINK("https://ictv.global/taxonomy/taxondetails?taxnode_id=202316078","ictv.global=202316078")</f>
        <v>ictv.global=202316078</v>
      </c>
    </row>
    <row r="8293" spans="1:21">
      <c r="A8293">
        <v>8292</v>
      </c>
      <c r="B8293" s="30" t="s">
        <v>1226</v>
      </c>
      <c r="D8293" s="30" t="s">
        <v>2024</v>
      </c>
      <c r="F8293" s="30" t="s">
        <v>2046</v>
      </c>
      <c r="H8293" s="30" t="s">
        <v>2859</v>
      </c>
      <c r="J8293" s="30" t="s">
        <v>2860</v>
      </c>
      <c r="L8293" s="30" t="s">
        <v>2861</v>
      </c>
      <c r="N8293" s="30" t="s">
        <v>14848</v>
      </c>
      <c r="P8293" s="30" t="s">
        <v>14849</v>
      </c>
      <c r="Q8293" t="s">
        <v>621</v>
      </c>
      <c r="R8293" t="s">
        <v>917</v>
      </c>
      <c r="S8293">
        <v>39</v>
      </c>
      <c r="T8293" s="29" t="str">
        <f t="shared" si="354"/>
        <v>2023.001B.Leviviricetes_reorg.zip</v>
      </c>
      <c r="U8293" s="29" t="str">
        <f>HYPERLINK("https://ictv.global/taxonomy/taxondetails?taxnode_id=202316079","ictv.global=202316079")</f>
        <v>ictv.global=202316079</v>
      </c>
    </row>
    <row r="8294" spans="1:21">
      <c r="A8294">
        <v>8293</v>
      </c>
      <c r="B8294" s="30" t="s">
        <v>1226</v>
      </c>
      <c r="D8294" s="30" t="s">
        <v>2024</v>
      </c>
      <c r="F8294" s="30" t="s">
        <v>2046</v>
      </c>
      <c r="H8294" s="30" t="s">
        <v>2859</v>
      </c>
      <c r="J8294" s="30" t="s">
        <v>2860</v>
      </c>
      <c r="L8294" s="30" t="s">
        <v>2861</v>
      </c>
      <c r="N8294" s="30" t="s">
        <v>14848</v>
      </c>
      <c r="P8294" s="30" t="s">
        <v>14850</v>
      </c>
      <c r="Q8294" t="s">
        <v>621</v>
      </c>
      <c r="R8294" t="s">
        <v>917</v>
      </c>
      <c r="S8294">
        <v>39</v>
      </c>
      <c r="T8294" s="29" t="str">
        <f t="shared" si="354"/>
        <v>2023.001B.Leviviricetes_reorg.zip</v>
      </c>
      <c r="U8294" s="29" t="str">
        <f>HYPERLINK("https://ictv.global/taxonomy/taxondetails?taxnode_id=202316080","ictv.global=202316080")</f>
        <v>ictv.global=202316080</v>
      </c>
    </row>
    <row r="8295" spans="1:21">
      <c r="A8295">
        <v>8294</v>
      </c>
      <c r="B8295" s="30" t="s">
        <v>1226</v>
      </c>
      <c r="D8295" s="30" t="s">
        <v>2024</v>
      </c>
      <c r="F8295" s="30" t="s">
        <v>2046</v>
      </c>
      <c r="H8295" s="30" t="s">
        <v>2859</v>
      </c>
      <c r="J8295" s="30" t="s">
        <v>2860</v>
      </c>
      <c r="L8295" s="30" t="s">
        <v>2861</v>
      </c>
      <c r="N8295" s="30" t="s">
        <v>2872</v>
      </c>
      <c r="P8295" s="30" t="s">
        <v>2873</v>
      </c>
      <c r="Q8295" t="s">
        <v>621</v>
      </c>
      <c r="R8295" t="s">
        <v>917</v>
      </c>
      <c r="S8295">
        <v>36</v>
      </c>
      <c r="T8295" s="29" t="str">
        <f>HYPERLINK("https://ictv.global/ictv/proposals/2020.095B.R.Leviviricetes.zip","2020.095B.R.Leviviricetes.zip")</f>
        <v>2020.095B.R.Leviviricetes.zip</v>
      </c>
      <c r="U8295" s="29" t="str">
        <f>HYPERLINK("https://ictv.global/taxonomy/taxondetails?taxnode_id=202310706","ictv.global=202310706")</f>
        <v>ictv.global=202310706</v>
      </c>
    </row>
    <row r="8296" spans="1:21">
      <c r="A8296">
        <v>8295</v>
      </c>
      <c r="B8296" s="30" t="s">
        <v>1226</v>
      </c>
      <c r="D8296" s="30" t="s">
        <v>2024</v>
      </c>
      <c r="F8296" s="30" t="s">
        <v>2046</v>
      </c>
      <c r="H8296" s="30" t="s">
        <v>2859</v>
      </c>
      <c r="J8296" s="30" t="s">
        <v>2860</v>
      </c>
      <c r="L8296" s="30" t="s">
        <v>2861</v>
      </c>
      <c r="N8296" s="30" t="s">
        <v>14851</v>
      </c>
      <c r="P8296" s="30" t="s">
        <v>14852</v>
      </c>
      <c r="Q8296" t="s">
        <v>621</v>
      </c>
      <c r="R8296" t="s">
        <v>917</v>
      </c>
      <c r="S8296">
        <v>39</v>
      </c>
      <c r="T8296" s="29" t="str">
        <f t="shared" ref="T8296:T8301" si="355">HYPERLINK("https://ictv.global/ictv/proposals/2023.001B.Leviviricetes_reorg.zip","2023.001B.Leviviricetes_reorg.zip")</f>
        <v>2023.001B.Leviviricetes_reorg.zip</v>
      </c>
      <c r="U8296" s="29" t="str">
        <f>HYPERLINK("https://ictv.global/taxonomy/taxondetails?taxnode_id=202316081","ictv.global=202316081")</f>
        <v>ictv.global=202316081</v>
      </c>
    </row>
    <row r="8297" spans="1:21">
      <c r="A8297">
        <v>8296</v>
      </c>
      <c r="B8297" s="30" t="s">
        <v>1226</v>
      </c>
      <c r="D8297" s="30" t="s">
        <v>2024</v>
      </c>
      <c r="F8297" s="30" t="s">
        <v>2046</v>
      </c>
      <c r="H8297" s="30" t="s">
        <v>2859</v>
      </c>
      <c r="J8297" s="30" t="s">
        <v>2860</v>
      </c>
      <c r="L8297" s="30" t="s">
        <v>2861</v>
      </c>
      <c r="N8297" s="30" t="s">
        <v>14851</v>
      </c>
      <c r="P8297" s="30" t="s">
        <v>14853</v>
      </c>
      <c r="Q8297" t="s">
        <v>621</v>
      </c>
      <c r="R8297" t="s">
        <v>917</v>
      </c>
      <c r="S8297">
        <v>39</v>
      </c>
      <c r="T8297" s="29" t="str">
        <f t="shared" si="355"/>
        <v>2023.001B.Leviviricetes_reorg.zip</v>
      </c>
      <c r="U8297" s="29" t="str">
        <f>HYPERLINK("https://ictv.global/taxonomy/taxondetails?taxnode_id=202316082","ictv.global=202316082")</f>
        <v>ictv.global=202316082</v>
      </c>
    </row>
    <row r="8298" spans="1:21">
      <c r="A8298">
        <v>8297</v>
      </c>
      <c r="B8298" s="30" t="s">
        <v>1226</v>
      </c>
      <c r="D8298" s="30" t="s">
        <v>2024</v>
      </c>
      <c r="F8298" s="30" t="s">
        <v>2046</v>
      </c>
      <c r="H8298" s="30" t="s">
        <v>2859</v>
      </c>
      <c r="J8298" s="30" t="s">
        <v>2860</v>
      </c>
      <c r="L8298" s="30" t="s">
        <v>2861</v>
      </c>
      <c r="N8298" s="30" t="s">
        <v>14854</v>
      </c>
      <c r="P8298" s="30" t="s">
        <v>14855</v>
      </c>
      <c r="Q8298" t="s">
        <v>621</v>
      </c>
      <c r="R8298" t="s">
        <v>917</v>
      </c>
      <c r="S8298">
        <v>39</v>
      </c>
      <c r="T8298" s="29" t="str">
        <f t="shared" si="355"/>
        <v>2023.001B.Leviviricetes_reorg.zip</v>
      </c>
      <c r="U8298" s="29" t="str">
        <f>HYPERLINK("https://ictv.global/taxonomy/taxondetails?taxnode_id=202316083","ictv.global=202316083")</f>
        <v>ictv.global=202316083</v>
      </c>
    </row>
    <row r="8299" spans="1:21">
      <c r="A8299">
        <v>8298</v>
      </c>
      <c r="B8299" s="30" t="s">
        <v>1226</v>
      </c>
      <c r="D8299" s="30" t="s">
        <v>2024</v>
      </c>
      <c r="F8299" s="30" t="s">
        <v>2046</v>
      </c>
      <c r="H8299" s="30" t="s">
        <v>2859</v>
      </c>
      <c r="J8299" s="30" t="s">
        <v>2860</v>
      </c>
      <c r="L8299" s="30" t="s">
        <v>2861</v>
      </c>
      <c r="N8299" s="30" t="s">
        <v>14856</v>
      </c>
      <c r="P8299" s="30" t="s">
        <v>14857</v>
      </c>
      <c r="Q8299" t="s">
        <v>621</v>
      </c>
      <c r="R8299" t="s">
        <v>917</v>
      </c>
      <c r="S8299">
        <v>39</v>
      </c>
      <c r="T8299" s="29" t="str">
        <f t="shared" si="355"/>
        <v>2023.001B.Leviviricetes_reorg.zip</v>
      </c>
      <c r="U8299" s="29" t="str">
        <f>HYPERLINK("https://ictv.global/taxonomy/taxondetails?taxnode_id=202316084","ictv.global=202316084")</f>
        <v>ictv.global=202316084</v>
      </c>
    </row>
    <row r="8300" spans="1:21">
      <c r="A8300">
        <v>8299</v>
      </c>
      <c r="B8300" s="30" t="s">
        <v>1226</v>
      </c>
      <c r="D8300" s="30" t="s">
        <v>2024</v>
      </c>
      <c r="F8300" s="30" t="s">
        <v>2046</v>
      </c>
      <c r="H8300" s="30" t="s">
        <v>2859</v>
      </c>
      <c r="J8300" s="30" t="s">
        <v>2860</v>
      </c>
      <c r="L8300" s="30" t="s">
        <v>2861</v>
      </c>
      <c r="N8300" s="30" t="s">
        <v>14858</v>
      </c>
      <c r="P8300" s="30" t="s">
        <v>14859</v>
      </c>
      <c r="Q8300" t="s">
        <v>621</v>
      </c>
      <c r="R8300" t="s">
        <v>917</v>
      </c>
      <c r="S8300">
        <v>39</v>
      </c>
      <c r="T8300" s="29" t="str">
        <f t="shared" si="355"/>
        <v>2023.001B.Leviviricetes_reorg.zip</v>
      </c>
      <c r="U8300" s="29" t="str">
        <f>HYPERLINK("https://ictv.global/taxonomy/taxondetails?taxnode_id=202316085","ictv.global=202316085")</f>
        <v>ictv.global=202316085</v>
      </c>
    </row>
    <row r="8301" spans="1:21">
      <c r="A8301">
        <v>8300</v>
      </c>
      <c r="B8301" s="30" t="s">
        <v>1226</v>
      </c>
      <c r="D8301" s="30" t="s">
        <v>2024</v>
      </c>
      <c r="F8301" s="30" t="s">
        <v>2046</v>
      </c>
      <c r="H8301" s="30" t="s">
        <v>2859</v>
      </c>
      <c r="J8301" s="30" t="s">
        <v>2860</v>
      </c>
      <c r="L8301" s="30" t="s">
        <v>2861</v>
      </c>
      <c r="N8301" s="30" t="s">
        <v>14860</v>
      </c>
      <c r="P8301" s="30" t="s">
        <v>14861</v>
      </c>
      <c r="Q8301" t="s">
        <v>621</v>
      </c>
      <c r="R8301" t="s">
        <v>917</v>
      </c>
      <c r="S8301">
        <v>39</v>
      </c>
      <c r="T8301" s="29" t="str">
        <f t="shared" si="355"/>
        <v>2023.001B.Leviviricetes_reorg.zip</v>
      </c>
      <c r="U8301" s="29" t="str">
        <f>HYPERLINK("https://ictv.global/taxonomy/taxondetails?taxnode_id=202316086","ictv.global=202316086")</f>
        <v>ictv.global=202316086</v>
      </c>
    </row>
    <row r="8302" spans="1:21">
      <c r="A8302">
        <v>8301</v>
      </c>
      <c r="B8302" s="30" t="s">
        <v>1226</v>
      </c>
      <c r="D8302" s="30" t="s">
        <v>2024</v>
      </c>
      <c r="F8302" s="30" t="s">
        <v>2046</v>
      </c>
      <c r="H8302" s="30" t="s">
        <v>2859</v>
      </c>
      <c r="J8302" s="30" t="s">
        <v>2860</v>
      </c>
      <c r="L8302" s="30" t="s">
        <v>2861</v>
      </c>
      <c r="N8302" s="30" t="s">
        <v>2874</v>
      </c>
      <c r="P8302" s="30" t="s">
        <v>2875</v>
      </c>
      <c r="Q8302" t="s">
        <v>621</v>
      </c>
      <c r="R8302" t="s">
        <v>917</v>
      </c>
      <c r="S8302">
        <v>36</v>
      </c>
      <c r="T8302" s="29" t="str">
        <f>HYPERLINK("https://ictv.global/ictv/proposals/2020.095B.R.Leviviricetes.zip","2020.095B.R.Leviviricetes.zip")</f>
        <v>2020.095B.R.Leviviricetes.zip</v>
      </c>
      <c r="U8302" s="29" t="str">
        <f>HYPERLINK("https://ictv.global/taxonomy/taxondetails?taxnode_id=202310708","ictv.global=202310708")</f>
        <v>ictv.global=202310708</v>
      </c>
    </row>
    <row r="8303" spans="1:21">
      <c r="A8303">
        <v>8302</v>
      </c>
      <c r="B8303" s="30" t="s">
        <v>1226</v>
      </c>
      <c r="D8303" s="30" t="s">
        <v>2024</v>
      </c>
      <c r="F8303" s="30" t="s">
        <v>2046</v>
      </c>
      <c r="H8303" s="30" t="s">
        <v>2859</v>
      </c>
      <c r="J8303" s="30" t="s">
        <v>2860</v>
      </c>
      <c r="L8303" s="30" t="s">
        <v>2861</v>
      </c>
      <c r="N8303" s="30" t="s">
        <v>2874</v>
      </c>
      <c r="P8303" s="30" t="s">
        <v>14862</v>
      </c>
      <c r="Q8303" t="s">
        <v>621</v>
      </c>
      <c r="R8303" t="s">
        <v>917</v>
      </c>
      <c r="S8303">
        <v>39</v>
      </c>
      <c r="T8303" s="29" t="str">
        <f t="shared" ref="T8303:T8321" si="356">HYPERLINK("https://ictv.global/ictv/proposals/2023.001B.Leviviricetes_reorg.zip","2023.001B.Leviviricetes_reorg.zip")</f>
        <v>2023.001B.Leviviricetes_reorg.zip</v>
      </c>
      <c r="U8303" s="29" t="str">
        <f>HYPERLINK("https://ictv.global/taxonomy/taxondetails?taxnode_id=202316087","ictv.global=202316087")</f>
        <v>ictv.global=202316087</v>
      </c>
    </row>
    <row r="8304" spans="1:21">
      <c r="A8304">
        <v>8303</v>
      </c>
      <c r="B8304" s="30" t="s">
        <v>1226</v>
      </c>
      <c r="D8304" s="30" t="s">
        <v>2024</v>
      </c>
      <c r="F8304" s="30" t="s">
        <v>2046</v>
      </c>
      <c r="H8304" s="30" t="s">
        <v>2859</v>
      </c>
      <c r="J8304" s="30" t="s">
        <v>2860</v>
      </c>
      <c r="L8304" s="30" t="s">
        <v>2861</v>
      </c>
      <c r="N8304" s="30" t="s">
        <v>2874</v>
      </c>
      <c r="P8304" s="30" t="s">
        <v>14863</v>
      </c>
      <c r="Q8304" t="s">
        <v>621</v>
      </c>
      <c r="R8304" t="s">
        <v>917</v>
      </c>
      <c r="S8304">
        <v>39</v>
      </c>
      <c r="T8304" s="29" t="str">
        <f t="shared" si="356"/>
        <v>2023.001B.Leviviricetes_reorg.zip</v>
      </c>
      <c r="U8304" s="29" t="str">
        <f>HYPERLINK("https://ictv.global/taxonomy/taxondetails?taxnode_id=202316088","ictv.global=202316088")</f>
        <v>ictv.global=202316088</v>
      </c>
    </row>
    <row r="8305" spans="1:21">
      <c r="A8305">
        <v>8304</v>
      </c>
      <c r="B8305" s="30" t="s">
        <v>1226</v>
      </c>
      <c r="D8305" s="30" t="s">
        <v>2024</v>
      </c>
      <c r="F8305" s="30" t="s">
        <v>2046</v>
      </c>
      <c r="H8305" s="30" t="s">
        <v>2859</v>
      </c>
      <c r="J8305" s="30" t="s">
        <v>2860</v>
      </c>
      <c r="L8305" s="30" t="s">
        <v>2861</v>
      </c>
      <c r="N8305" s="30" t="s">
        <v>2874</v>
      </c>
      <c r="P8305" s="30" t="s">
        <v>14864</v>
      </c>
      <c r="Q8305" t="s">
        <v>621</v>
      </c>
      <c r="R8305" t="s">
        <v>917</v>
      </c>
      <c r="S8305">
        <v>39</v>
      </c>
      <c r="T8305" s="29" t="str">
        <f t="shared" si="356"/>
        <v>2023.001B.Leviviricetes_reorg.zip</v>
      </c>
      <c r="U8305" s="29" t="str">
        <f>HYPERLINK("https://ictv.global/taxonomy/taxondetails?taxnode_id=202316089","ictv.global=202316089")</f>
        <v>ictv.global=202316089</v>
      </c>
    </row>
    <row r="8306" spans="1:21">
      <c r="A8306">
        <v>8305</v>
      </c>
      <c r="B8306" s="30" t="s">
        <v>1226</v>
      </c>
      <c r="D8306" s="30" t="s">
        <v>2024</v>
      </c>
      <c r="F8306" s="30" t="s">
        <v>2046</v>
      </c>
      <c r="H8306" s="30" t="s">
        <v>2859</v>
      </c>
      <c r="J8306" s="30" t="s">
        <v>2860</v>
      </c>
      <c r="L8306" s="30" t="s">
        <v>2861</v>
      </c>
      <c r="N8306" s="30" t="s">
        <v>2874</v>
      </c>
      <c r="P8306" s="30" t="s">
        <v>14865</v>
      </c>
      <c r="Q8306" t="s">
        <v>621</v>
      </c>
      <c r="R8306" t="s">
        <v>917</v>
      </c>
      <c r="S8306">
        <v>39</v>
      </c>
      <c r="T8306" s="29" t="str">
        <f t="shared" si="356"/>
        <v>2023.001B.Leviviricetes_reorg.zip</v>
      </c>
      <c r="U8306" s="29" t="str">
        <f>HYPERLINK("https://ictv.global/taxonomy/taxondetails?taxnode_id=202316090","ictv.global=202316090")</f>
        <v>ictv.global=202316090</v>
      </c>
    </row>
    <row r="8307" spans="1:21">
      <c r="A8307">
        <v>8306</v>
      </c>
      <c r="B8307" s="30" t="s">
        <v>1226</v>
      </c>
      <c r="D8307" s="30" t="s">
        <v>2024</v>
      </c>
      <c r="F8307" s="30" t="s">
        <v>2046</v>
      </c>
      <c r="H8307" s="30" t="s">
        <v>2859</v>
      </c>
      <c r="J8307" s="30" t="s">
        <v>2860</v>
      </c>
      <c r="L8307" s="30" t="s">
        <v>2861</v>
      </c>
      <c r="N8307" s="30" t="s">
        <v>2874</v>
      </c>
      <c r="P8307" s="30" t="s">
        <v>14866</v>
      </c>
      <c r="Q8307" t="s">
        <v>621</v>
      </c>
      <c r="R8307" t="s">
        <v>917</v>
      </c>
      <c r="S8307">
        <v>39</v>
      </c>
      <c r="T8307" s="29" t="str">
        <f t="shared" si="356"/>
        <v>2023.001B.Leviviricetes_reorg.zip</v>
      </c>
      <c r="U8307" s="29" t="str">
        <f>HYPERLINK("https://ictv.global/taxonomy/taxondetails?taxnode_id=202316091","ictv.global=202316091")</f>
        <v>ictv.global=202316091</v>
      </c>
    </row>
    <row r="8308" spans="1:21">
      <c r="A8308">
        <v>8307</v>
      </c>
      <c r="B8308" s="30" t="s">
        <v>1226</v>
      </c>
      <c r="D8308" s="30" t="s">
        <v>2024</v>
      </c>
      <c r="F8308" s="30" t="s">
        <v>2046</v>
      </c>
      <c r="H8308" s="30" t="s">
        <v>2859</v>
      </c>
      <c r="J8308" s="30" t="s">
        <v>2860</v>
      </c>
      <c r="L8308" s="30" t="s">
        <v>2861</v>
      </c>
      <c r="N8308" s="30" t="s">
        <v>2874</v>
      </c>
      <c r="P8308" s="30" t="s">
        <v>14867</v>
      </c>
      <c r="Q8308" t="s">
        <v>621</v>
      </c>
      <c r="R8308" t="s">
        <v>917</v>
      </c>
      <c r="S8308">
        <v>39</v>
      </c>
      <c r="T8308" s="29" t="str">
        <f t="shared" si="356"/>
        <v>2023.001B.Leviviricetes_reorg.zip</v>
      </c>
      <c r="U8308" s="29" t="str">
        <f>HYPERLINK("https://ictv.global/taxonomy/taxondetails?taxnode_id=202316092","ictv.global=202316092")</f>
        <v>ictv.global=202316092</v>
      </c>
    </row>
    <row r="8309" spans="1:21">
      <c r="A8309">
        <v>8308</v>
      </c>
      <c r="B8309" s="30" t="s">
        <v>1226</v>
      </c>
      <c r="D8309" s="30" t="s">
        <v>2024</v>
      </c>
      <c r="F8309" s="30" t="s">
        <v>2046</v>
      </c>
      <c r="H8309" s="30" t="s">
        <v>2859</v>
      </c>
      <c r="J8309" s="30" t="s">
        <v>2860</v>
      </c>
      <c r="L8309" s="30" t="s">
        <v>2861</v>
      </c>
      <c r="N8309" s="30" t="s">
        <v>2874</v>
      </c>
      <c r="P8309" s="30" t="s">
        <v>14868</v>
      </c>
      <c r="Q8309" t="s">
        <v>621</v>
      </c>
      <c r="R8309" t="s">
        <v>917</v>
      </c>
      <c r="S8309">
        <v>39</v>
      </c>
      <c r="T8309" s="29" t="str">
        <f t="shared" si="356"/>
        <v>2023.001B.Leviviricetes_reorg.zip</v>
      </c>
      <c r="U8309" s="29" t="str">
        <f>HYPERLINK("https://ictv.global/taxonomy/taxondetails?taxnode_id=202316093","ictv.global=202316093")</f>
        <v>ictv.global=202316093</v>
      </c>
    </row>
    <row r="8310" spans="1:21">
      <c r="A8310">
        <v>8309</v>
      </c>
      <c r="B8310" s="30" t="s">
        <v>1226</v>
      </c>
      <c r="D8310" s="30" t="s">
        <v>2024</v>
      </c>
      <c r="F8310" s="30" t="s">
        <v>2046</v>
      </c>
      <c r="H8310" s="30" t="s">
        <v>2859</v>
      </c>
      <c r="J8310" s="30" t="s">
        <v>2860</v>
      </c>
      <c r="L8310" s="30" t="s">
        <v>2861</v>
      </c>
      <c r="N8310" s="30" t="s">
        <v>2874</v>
      </c>
      <c r="P8310" s="30" t="s">
        <v>14869</v>
      </c>
      <c r="Q8310" t="s">
        <v>621</v>
      </c>
      <c r="R8310" t="s">
        <v>917</v>
      </c>
      <c r="S8310">
        <v>39</v>
      </c>
      <c r="T8310" s="29" t="str">
        <f t="shared" si="356"/>
        <v>2023.001B.Leviviricetes_reorg.zip</v>
      </c>
      <c r="U8310" s="29" t="str">
        <f>HYPERLINK("https://ictv.global/taxonomy/taxondetails?taxnode_id=202316094","ictv.global=202316094")</f>
        <v>ictv.global=202316094</v>
      </c>
    </row>
    <row r="8311" spans="1:21">
      <c r="A8311">
        <v>8310</v>
      </c>
      <c r="B8311" s="30" t="s">
        <v>1226</v>
      </c>
      <c r="D8311" s="30" t="s">
        <v>2024</v>
      </c>
      <c r="F8311" s="30" t="s">
        <v>2046</v>
      </c>
      <c r="H8311" s="30" t="s">
        <v>2859</v>
      </c>
      <c r="J8311" s="30" t="s">
        <v>2860</v>
      </c>
      <c r="L8311" s="30" t="s">
        <v>2861</v>
      </c>
      <c r="N8311" s="30" t="s">
        <v>2874</v>
      </c>
      <c r="P8311" s="30" t="s">
        <v>14870</v>
      </c>
      <c r="Q8311" t="s">
        <v>621</v>
      </c>
      <c r="R8311" t="s">
        <v>917</v>
      </c>
      <c r="S8311">
        <v>39</v>
      </c>
      <c r="T8311" s="29" t="str">
        <f t="shared" si="356"/>
        <v>2023.001B.Leviviricetes_reorg.zip</v>
      </c>
      <c r="U8311" s="29" t="str">
        <f>HYPERLINK("https://ictv.global/taxonomy/taxondetails?taxnode_id=202316095","ictv.global=202316095")</f>
        <v>ictv.global=202316095</v>
      </c>
    </row>
    <row r="8312" spans="1:21">
      <c r="A8312">
        <v>8311</v>
      </c>
      <c r="B8312" s="30" t="s">
        <v>1226</v>
      </c>
      <c r="D8312" s="30" t="s">
        <v>2024</v>
      </c>
      <c r="F8312" s="30" t="s">
        <v>2046</v>
      </c>
      <c r="H8312" s="30" t="s">
        <v>2859</v>
      </c>
      <c r="J8312" s="30" t="s">
        <v>2860</v>
      </c>
      <c r="L8312" s="30" t="s">
        <v>2861</v>
      </c>
      <c r="N8312" s="30" t="s">
        <v>2874</v>
      </c>
      <c r="P8312" s="30" t="s">
        <v>14871</v>
      </c>
      <c r="Q8312" t="s">
        <v>621</v>
      </c>
      <c r="R8312" t="s">
        <v>917</v>
      </c>
      <c r="S8312">
        <v>39</v>
      </c>
      <c r="T8312" s="29" t="str">
        <f t="shared" si="356"/>
        <v>2023.001B.Leviviricetes_reorg.zip</v>
      </c>
      <c r="U8312" s="29" t="str">
        <f>HYPERLINK("https://ictv.global/taxonomy/taxondetails?taxnode_id=202316096","ictv.global=202316096")</f>
        <v>ictv.global=202316096</v>
      </c>
    </row>
    <row r="8313" spans="1:21">
      <c r="A8313">
        <v>8312</v>
      </c>
      <c r="B8313" s="30" t="s">
        <v>1226</v>
      </c>
      <c r="D8313" s="30" t="s">
        <v>2024</v>
      </c>
      <c r="F8313" s="30" t="s">
        <v>2046</v>
      </c>
      <c r="H8313" s="30" t="s">
        <v>2859</v>
      </c>
      <c r="J8313" s="30" t="s">
        <v>2860</v>
      </c>
      <c r="L8313" s="30" t="s">
        <v>2861</v>
      </c>
      <c r="N8313" s="30" t="s">
        <v>2874</v>
      </c>
      <c r="P8313" s="30" t="s">
        <v>14872</v>
      </c>
      <c r="Q8313" t="s">
        <v>621</v>
      </c>
      <c r="R8313" t="s">
        <v>917</v>
      </c>
      <c r="S8313">
        <v>39</v>
      </c>
      <c r="T8313" s="29" t="str">
        <f t="shared" si="356"/>
        <v>2023.001B.Leviviricetes_reorg.zip</v>
      </c>
      <c r="U8313" s="29" t="str">
        <f>HYPERLINK("https://ictv.global/taxonomy/taxondetails?taxnode_id=202316097","ictv.global=202316097")</f>
        <v>ictv.global=202316097</v>
      </c>
    </row>
    <row r="8314" spans="1:21">
      <c r="A8314">
        <v>8313</v>
      </c>
      <c r="B8314" s="30" t="s">
        <v>1226</v>
      </c>
      <c r="D8314" s="30" t="s">
        <v>2024</v>
      </c>
      <c r="F8314" s="30" t="s">
        <v>2046</v>
      </c>
      <c r="H8314" s="30" t="s">
        <v>2859</v>
      </c>
      <c r="J8314" s="30" t="s">
        <v>2860</v>
      </c>
      <c r="L8314" s="30" t="s">
        <v>2861</v>
      </c>
      <c r="N8314" s="30" t="s">
        <v>2874</v>
      </c>
      <c r="P8314" s="30" t="s">
        <v>14873</v>
      </c>
      <c r="Q8314" t="s">
        <v>621</v>
      </c>
      <c r="R8314" t="s">
        <v>917</v>
      </c>
      <c r="S8314">
        <v>39</v>
      </c>
      <c r="T8314" s="29" t="str">
        <f t="shared" si="356"/>
        <v>2023.001B.Leviviricetes_reorg.zip</v>
      </c>
      <c r="U8314" s="29" t="str">
        <f>HYPERLINK("https://ictv.global/taxonomy/taxondetails?taxnode_id=202316098","ictv.global=202316098")</f>
        <v>ictv.global=202316098</v>
      </c>
    </row>
    <row r="8315" spans="1:21">
      <c r="A8315">
        <v>8314</v>
      </c>
      <c r="B8315" s="30" t="s">
        <v>1226</v>
      </c>
      <c r="D8315" s="30" t="s">
        <v>2024</v>
      </c>
      <c r="F8315" s="30" t="s">
        <v>2046</v>
      </c>
      <c r="H8315" s="30" t="s">
        <v>2859</v>
      </c>
      <c r="J8315" s="30" t="s">
        <v>2860</v>
      </c>
      <c r="L8315" s="30" t="s">
        <v>2861</v>
      </c>
      <c r="N8315" s="30" t="s">
        <v>2874</v>
      </c>
      <c r="P8315" s="30" t="s">
        <v>14874</v>
      </c>
      <c r="Q8315" t="s">
        <v>621</v>
      </c>
      <c r="R8315" t="s">
        <v>917</v>
      </c>
      <c r="S8315">
        <v>39</v>
      </c>
      <c r="T8315" s="29" t="str">
        <f t="shared" si="356"/>
        <v>2023.001B.Leviviricetes_reorg.zip</v>
      </c>
      <c r="U8315" s="29" t="str">
        <f>HYPERLINK("https://ictv.global/taxonomy/taxondetails?taxnode_id=202316099","ictv.global=202316099")</f>
        <v>ictv.global=202316099</v>
      </c>
    </row>
    <row r="8316" spans="1:21">
      <c r="A8316">
        <v>8315</v>
      </c>
      <c r="B8316" s="30" t="s">
        <v>1226</v>
      </c>
      <c r="D8316" s="30" t="s">
        <v>2024</v>
      </c>
      <c r="F8316" s="30" t="s">
        <v>2046</v>
      </c>
      <c r="H8316" s="30" t="s">
        <v>2859</v>
      </c>
      <c r="J8316" s="30" t="s">
        <v>2860</v>
      </c>
      <c r="L8316" s="30" t="s">
        <v>2861</v>
      </c>
      <c r="N8316" s="30" t="s">
        <v>2874</v>
      </c>
      <c r="P8316" s="30" t="s">
        <v>14875</v>
      </c>
      <c r="Q8316" t="s">
        <v>621</v>
      </c>
      <c r="R8316" t="s">
        <v>917</v>
      </c>
      <c r="S8316">
        <v>39</v>
      </c>
      <c r="T8316" s="29" t="str">
        <f t="shared" si="356"/>
        <v>2023.001B.Leviviricetes_reorg.zip</v>
      </c>
      <c r="U8316" s="29" t="str">
        <f>HYPERLINK("https://ictv.global/taxonomy/taxondetails?taxnode_id=202316100","ictv.global=202316100")</f>
        <v>ictv.global=202316100</v>
      </c>
    </row>
    <row r="8317" spans="1:21">
      <c r="A8317">
        <v>8316</v>
      </c>
      <c r="B8317" s="30" t="s">
        <v>1226</v>
      </c>
      <c r="D8317" s="30" t="s">
        <v>2024</v>
      </c>
      <c r="F8317" s="30" t="s">
        <v>2046</v>
      </c>
      <c r="H8317" s="30" t="s">
        <v>2859</v>
      </c>
      <c r="J8317" s="30" t="s">
        <v>2860</v>
      </c>
      <c r="L8317" s="30" t="s">
        <v>2861</v>
      </c>
      <c r="N8317" s="30" t="s">
        <v>2874</v>
      </c>
      <c r="P8317" s="30" t="s">
        <v>14876</v>
      </c>
      <c r="Q8317" t="s">
        <v>621</v>
      </c>
      <c r="R8317" t="s">
        <v>917</v>
      </c>
      <c r="S8317">
        <v>39</v>
      </c>
      <c r="T8317" s="29" t="str">
        <f t="shared" si="356"/>
        <v>2023.001B.Leviviricetes_reorg.zip</v>
      </c>
      <c r="U8317" s="29" t="str">
        <f>HYPERLINK("https://ictv.global/taxonomy/taxondetails?taxnode_id=202316101","ictv.global=202316101")</f>
        <v>ictv.global=202316101</v>
      </c>
    </row>
    <row r="8318" spans="1:21">
      <c r="A8318">
        <v>8317</v>
      </c>
      <c r="B8318" s="30" t="s">
        <v>1226</v>
      </c>
      <c r="D8318" s="30" t="s">
        <v>2024</v>
      </c>
      <c r="F8318" s="30" t="s">
        <v>2046</v>
      </c>
      <c r="H8318" s="30" t="s">
        <v>2859</v>
      </c>
      <c r="J8318" s="30" t="s">
        <v>2860</v>
      </c>
      <c r="L8318" s="30" t="s">
        <v>2861</v>
      </c>
      <c r="N8318" s="30" t="s">
        <v>2874</v>
      </c>
      <c r="P8318" s="30" t="s">
        <v>14877</v>
      </c>
      <c r="Q8318" t="s">
        <v>621</v>
      </c>
      <c r="R8318" t="s">
        <v>917</v>
      </c>
      <c r="S8318">
        <v>39</v>
      </c>
      <c r="T8318" s="29" t="str">
        <f t="shared" si="356"/>
        <v>2023.001B.Leviviricetes_reorg.zip</v>
      </c>
      <c r="U8318" s="29" t="str">
        <f>HYPERLINK("https://ictv.global/taxonomy/taxondetails?taxnode_id=202316102","ictv.global=202316102")</f>
        <v>ictv.global=202316102</v>
      </c>
    </row>
    <row r="8319" spans="1:21">
      <c r="A8319">
        <v>8318</v>
      </c>
      <c r="B8319" s="30" t="s">
        <v>1226</v>
      </c>
      <c r="D8319" s="30" t="s">
        <v>2024</v>
      </c>
      <c r="F8319" s="30" t="s">
        <v>2046</v>
      </c>
      <c r="H8319" s="30" t="s">
        <v>2859</v>
      </c>
      <c r="J8319" s="30" t="s">
        <v>2860</v>
      </c>
      <c r="L8319" s="30" t="s">
        <v>2861</v>
      </c>
      <c r="N8319" s="30" t="s">
        <v>2874</v>
      </c>
      <c r="P8319" s="30" t="s">
        <v>14878</v>
      </c>
      <c r="Q8319" t="s">
        <v>621</v>
      </c>
      <c r="R8319" t="s">
        <v>917</v>
      </c>
      <c r="S8319">
        <v>39</v>
      </c>
      <c r="T8319" s="29" t="str">
        <f t="shared" si="356"/>
        <v>2023.001B.Leviviricetes_reorg.zip</v>
      </c>
      <c r="U8319" s="29" t="str">
        <f>HYPERLINK("https://ictv.global/taxonomy/taxondetails?taxnode_id=202316103","ictv.global=202316103")</f>
        <v>ictv.global=202316103</v>
      </c>
    </row>
    <row r="8320" spans="1:21">
      <c r="A8320">
        <v>8319</v>
      </c>
      <c r="B8320" s="30" t="s">
        <v>1226</v>
      </c>
      <c r="D8320" s="30" t="s">
        <v>2024</v>
      </c>
      <c r="F8320" s="30" t="s">
        <v>2046</v>
      </c>
      <c r="H8320" s="30" t="s">
        <v>2859</v>
      </c>
      <c r="J8320" s="30" t="s">
        <v>2860</v>
      </c>
      <c r="L8320" s="30" t="s">
        <v>2861</v>
      </c>
      <c r="N8320" s="30" t="s">
        <v>2874</v>
      </c>
      <c r="P8320" s="30" t="s">
        <v>14879</v>
      </c>
      <c r="Q8320" t="s">
        <v>621</v>
      </c>
      <c r="R8320" t="s">
        <v>917</v>
      </c>
      <c r="S8320">
        <v>39</v>
      </c>
      <c r="T8320" s="29" t="str">
        <f t="shared" si="356"/>
        <v>2023.001B.Leviviricetes_reorg.zip</v>
      </c>
      <c r="U8320" s="29" t="str">
        <f>HYPERLINK("https://ictv.global/taxonomy/taxondetails?taxnode_id=202316104","ictv.global=202316104")</f>
        <v>ictv.global=202316104</v>
      </c>
    </row>
    <row r="8321" spans="1:21">
      <c r="A8321">
        <v>8320</v>
      </c>
      <c r="B8321" s="30" t="s">
        <v>1226</v>
      </c>
      <c r="D8321" s="30" t="s">
        <v>2024</v>
      </c>
      <c r="F8321" s="30" t="s">
        <v>2046</v>
      </c>
      <c r="H8321" s="30" t="s">
        <v>2859</v>
      </c>
      <c r="J8321" s="30" t="s">
        <v>2860</v>
      </c>
      <c r="L8321" s="30" t="s">
        <v>2861</v>
      </c>
      <c r="N8321" s="30" t="s">
        <v>2874</v>
      </c>
      <c r="P8321" s="30" t="s">
        <v>14880</v>
      </c>
      <c r="Q8321" t="s">
        <v>621</v>
      </c>
      <c r="R8321" t="s">
        <v>917</v>
      </c>
      <c r="S8321">
        <v>39</v>
      </c>
      <c r="T8321" s="29" t="str">
        <f t="shared" si="356"/>
        <v>2023.001B.Leviviricetes_reorg.zip</v>
      </c>
      <c r="U8321" s="29" t="str">
        <f>HYPERLINK("https://ictv.global/taxonomy/taxondetails?taxnode_id=202316105","ictv.global=202316105")</f>
        <v>ictv.global=202316105</v>
      </c>
    </row>
    <row r="8322" spans="1:21">
      <c r="A8322">
        <v>8321</v>
      </c>
      <c r="B8322" s="30" t="s">
        <v>1226</v>
      </c>
      <c r="D8322" s="30" t="s">
        <v>2024</v>
      </c>
      <c r="F8322" s="30" t="s">
        <v>2046</v>
      </c>
      <c r="H8322" s="30" t="s">
        <v>2859</v>
      </c>
      <c r="J8322" s="30" t="s">
        <v>2860</v>
      </c>
      <c r="L8322" s="30" t="s">
        <v>2861</v>
      </c>
      <c r="N8322" s="30" t="s">
        <v>2874</v>
      </c>
      <c r="P8322" s="30" t="s">
        <v>2876</v>
      </c>
      <c r="Q8322" t="s">
        <v>621</v>
      </c>
      <c r="R8322" t="s">
        <v>917</v>
      </c>
      <c r="S8322">
        <v>36</v>
      </c>
      <c r="T8322" s="29" t="str">
        <f>HYPERLINK("https://ictv.global/ictv/proposals/2020.095B.R.Leviviricetes.zip","2020.095B.R.Leviviricetes.zip")</f>
        <v>2020.095B.R.Leviviricetes.zip</v>
      </c>
      <c r="U8322" s="29" t="str">
        <f>HYPERLINK("https://ictv.global/taxonomy/taxondetails?taxnode_id=202310709","ictv.global=202310709")</f>
        <v>ictv.global=202310709</v>
      </c>
    </row>
    <row r="8323" spans="1:21">
      <c r="A8323">
        <v>8322</v>
      </c>
      <c r="B8323" s="30" t="s">
        <v>1226</v>
      </c>
      <c r="D8323" s="30" t="s">
        <v>2024</v>
      </c>
      <c r="F8323" s="30" t="s">
        <v>2046</v>
      </c>
      <c r="H8323" s="30" t="s">
        <v>2859</v>
      </c>
      <c r="J8323" s="30" t="s">
        <v>2860</v>
      </c>
      <c r="L8323" s="30" t="s">
        <v>2861</v>
      </c>
      <c r="N8323" s="30" t="s">
        <v>14881</v>
      </c>
      <c r="P8323" s="30" t="s">
        <v>14882</v>
      </c>
      <c r="Q8323" t="s">
        <v>621</v>
      </c>
      <c r="R8323" t="s">
        <v>917</v>
      </c>
      <c r="S8323">
        <v>39</v>
      </c>
      <c r="T8323" s="29" t="str">
        <f t="shared" ref="T8323:T8365" si="357">HYPERLINK("https://ictv.global/ictv/proposals/2023.001B.Leviviricetes_reorg.zip","2023.001B.Leviviricetes_reorg.zip")</f>
        <v>2023.001B.Leviviricetes_reorg.zip</v>
      </c>
      <c r="U8323" s="29" t="str">
        <f>HYPERLINK("https://ictv.global/taxonomy/taxondetails?taxnode_id=202316106","ictv.global=202316106")</f>
        <v>ictv.global=202316106</v>
      </c>
    </row>
    <row r="8324" spans="1:21">
      <c r="A8324">
        <v>8323</v>
      </c>
      <c r="B8324" s="30" t="s">
        <v>1226</v>
      </c>
      <c r="D8324" s="30" t="s">
        <v>2024</v>
      </c>
      <c r="F8324" s="30" t="s">
        <v>2046</v>
      </c>
      <c r="H8324" s="30" t="s">
        <v>2859</v>
      </c>
      <c r="J8324" s="30" t="s">
        <v>2860</v>
      </c>
      <c r="L8324" s="30" t="s">
        <v>2861</v>
      </c>
      <c r="N8324" s="30" t="s">
        <v>14881</v>
      </c>
      <c r="P8324" s="30" t="s">
        <v>14883</v>
      </c>
      <c r="Q8324" t="s">
        <v>621</v>
      </c>
      <c r="R8324" t="s">
        <v>917</v>
      </c>
      <c r="S8324">
        <v>39</v>
      </c>
      <c r="T8324" s="29" t="str">
        <f t="shared" si="357"/>
        <v>2023.001B.Leviviricetes_reorg.zip</v>
      </c>
      <c r="U8324" s="29" t="str">
        <f>HYPERLINK("https://ictv.global/taxonomy/taxondetails?taxnode_id=202316107","ictv.global=202316107")</f>
        <v>ictv.global=202316107</v>
      </c>
    </row>
    <row r="8325" spans="1:21">
      <c r="A8325">
        <v>8324</v>
      </c>
      <c r="B8325" s="30" t="s">
        <v>1226</v>
      </c>
      <c r="D8325" s="30" t="s">
        <v>2024</v>
      </c>
      <c r="F8325" s="30" t="s">
        <v>2046</v>
      </c>
      <c r="H8325" s="30" t="s">
        <v>2859</v>
      </c>
      <c r="J8325" s="30" t="s">
        <v>2860</v>
      </c>
      <c r="L8325" s="30" t="s">
        <v>2861</v>
      </c>
      <c r="N8325" s="30" t="s">
        <v>14881</v>
      </c>
      <c r="P8325" s="30" t="s">
        <v>14884</v>
      </c>
      <c r="Q8325" t="s">
        <v>621</v>
      </c>
      <c r="R8325" t="s">
        <v>917</v>
      </c>
      <c r="S8325">
        <v>39</v>
      </c>
      <c r="T8325" s="29" t="str">
        <f t="shared" si="357"/>
        <v>2023.001B.Leviviricetes_reorg.zip</v>
      </c>
      <c r="U8325" s="29" t="str">
        <f>HYPERLINK("https://ictv.global/taxonomy/taxondetails?taxnode_id=202316108","ictv.global=202316108")</f>
        <v>ictv.global=202316108</v>
      </c>
    </row>
    <row r="8326" spans="1:21">
      <c r="A8326">
        <v>8325</v>
      </c>
      <c r="B8326" s="30" t="s">
        <v>1226</v>
      </c>
      <c r="D8326" s="30" t="s">
        <v>2024</v>
      </c>
      <c r="F8326" s="30" t="s">
        <v>2046</v>
      </c>
      <c r="H8326" s="30" t="s">
        <v>2859</v>
      </c>
      <c r="J8326" s="30" t="s">
        <v>2860</v>
      </c>
      <c r="L8326" s="30" t="s">
        <v>2861</v>
      </c>
      <c r="N8326" s="30" t="s">
        <v>14881</v>
      </c>
      <c r="P8326" s="30" t="s">
        <v>14885</v>
      </c>
      <c r="Q8326" t="s">
        <v>621</v>
      </c>
      <c r="R8326" t="s">
        <v>917</v>
      </c>
      <c r="S8326">
        <v>39</v>
      </c>
      <c r="T8326" s="29" t="str">
        <f t="shared" si="357"/>
        <v>2023.001B.Leviviricetes_reorg.zip</v>
      </c>
      <c r="U8326" s="29" t="str">
        <f>HYPERLINK("https://ictv.global/taxonomy/taxondetails?taxnode_id=202316109","ictv.global=202316109")</f>
        <v>ictv.global=202316109</v>
      </c>
    </row>
    <row r="8327" spans="1:21">
      <c r="A8327">
        <v>8326</v>
      </c>
      <c r="B8327" s="30" t="s">
        <v>1226</v>
      </c>
      <c r="D8327" s="30" t="s">
        <v>2024</v>
      </c>
      <c r="F8327" s="30" t="s">
        <v>2046</v>
      </c>
      <c r="H8327" s="30" t="s">
        <v>2859</v>
      </c>
      <c r="J8327" s="30" t="s">
        <v>2860</v>
      </c>
      <c r="L8327" s="30" t="s">
        <v>2861</v>
      </c>
      <c r="N8327" s="30" t="s">
        <v>14886</v>
      </c>
      <c r="P8327" s="30" t="s">
        <v>14887</v>
      </c>
      <c r="Q8327" t="s">
        <v>621</v>
      </c>
      <c r="R8327" t="s">
        <v>917</v>
      </c>
      <c r="S8327">
        <v>39</v>
      </c>
      <c r="T8327" s="29" t="str">
        <f t="shared" si="357"/>
        <v>2023.001B.Leviviricetes_reorg.zip</v>
      </c>
      <c r="U8327" s="29" t="str">
        <f>HYPERLINK("https://ictv.global/taxonomy/taxondetails?taxnode_id=202316110","ictv.global=202316110")</f>
        <v>ictv.global=202316110</v>
      </c>
    </row>
    <row r="8328" spans="1:21">
      <c r="A8328">
        <v>8327</v>
      </c>
      <c r="B8328" s="30" t="s">
        <v>1226</v>
      </c>
      <c r="D8328" s="30" t="s">
        <v>2024</v>
      </c>
      <c r="F8328" s="30" t="s">
        <v>2046</v>
      </c>
      <c r="H8328" s="30" t="s">
        <v>2859</v>
      </c>
      <c r="J8328" s="30" t="s">
        <v>2860</v>
      </c>
      <c r="L8328" s="30" t="s">
        <v>2861</v>
      </c>
      <c r="N8328" s="30" t="s">
        <v>14888</v>
      </c>
      <c r="P8328" s="30" t="s">
        <v>14889</v>
      </c>
      <c r="Q8328" t="s">
        <v>621</v>
      </c>
      <c r="R8328" t="s">
        <v>917</v>
      </c>
      <c r="S8328">
        <v>39</v>
      </c>
      <c r="T8328" s="29" t="str">
        <f t="shared" si="357"/>
        <v>2023.001B.Leviviricetes_reorg.zip</v>
      </c>
      <c r="U8328" s="29" t="str">
        <f>HYPERLINK("https://ictv.global/taxonomy/taxondetails?taxnode_id=202316111","ictv.global=202316111")</f>
        <v>ictv.global=202316111</v>
      </c>
    </row>
    <row r="8329" spans="1:21">
      <c r="A8329">
        <v>8328</v>
      </c>
      <c r="B8329" s="30" t="s">
        <v>1226</v>
      </c>
      <c r="D8329" s="30" t="s">
        <v>2024</v>
      </c>
      <c r="F8329" s="30" t="s">
        <v>2046</v>
      </c>
      <c r="H8329" s="30" t="s">
        <v>2859</v>
      </c>
      <c r="J8329" s="30" t="s">
        <v>2860</v>
      </c>
      <c r="L8329" s="30" t="s">
        <v>2861</v>
      </c>
      <c r="N8329" s="30" t="s">
        <v>14890</v>
      </c>
      <c r="P8329" s="30" t="s">
        <v>14891</v>
      </c>
      <c r="Q8329" t="s">
        <v>621</v>
      </c>
      <c r="R8329" t="s">
        <v>917</v>
      </c>
      <c r="S8329">
        <v>39</v>
      </c>
      <c r="T8329" s="29" t="str">
        <f t="shared" si="357"/>
        <v>2023.001B.Leviviricetes_reorg.zip</v>
      </c>
      <c r="U8329" s="29" t="str">
        <f>HYPERLINK("https://ictv.global/taxonomy/taxondetails?taxnode_id=202316112","ictv.global=202316112")</f>
        <v>ictv.global=202316112</v>
      </c>
    </row>
    <row r="8330" spans="1:21">
      <c r="A8330">
        <v>8329</v>
      </c>
      <c r="B8330" s="30" t="s">
        <v>1226</v>
      </c>
      <c r="D8330" s="30" t="s">
        <v>2024</v>
      </c>
      <c r="F8330" s="30" t="s">
        <v>2046</v>
      </c>
      <c r="H8330" s="30" t="s">
        <v>2859</v>
      </c>
      <c r="J8330" s="30" t="s">
        <v>2860</v>
      </c>
      <c r="L8330" s="30" t="s">
        <v>2861</v>
      </c>
      <c r="N8330" s="30" t="s">
        <v>14892</v>
      </c>
      <c r="P8330" s="30" t="s">
        <v>14893</v>
      </c>
      <c r="Q8330" t="s">
        <v>621</v>
      </c>
      <c r="R8330" t="s">
        <v>917</v>
      </c>
      <c r="S8330">
        <v>39</v>
      </c>
      <c r="T8330" s="29" t="str">
        <f t="shared" si="357"/>
        <v>2023.001B.Leviviricetes_reorg.zip</v>
      </c>
      <c r="U8330" s="29" t="str">
        <f>HYPERLINK("https://ictv.global/taxonomy/taxondetails?taxnode_id=202316113","ictv.global=202316113")</f>
        <v>ictv.global=202316113</v>
      </c>
    </row>
    <row r="8331" spans="1:21">
      <c r="A8331">
        <v>8330</v>
      </c>
      <c r="B8331" s="30" t="s">
        <v>1226</v>
      </c>
      <c r="D8331" s="30" t="s">
        <v>2024</v>
      </c>
      <c r="F8331" s="30" t="s">
        <v>2046</v>
      </c>
      <c r="H8331" s="30" t="s">
        <v>2859</v>
      </c>
      <c r="J8331" s="30" t="s">
        <v>2860</v>
      </c>
      <c r="L8331" s="30" t="s">
        <v>2861</v>
      </c>
      <c r="N8331" s="30" t="s">
        <v>14894</v>
      </c>
      <c r="P8331" s="30" t="s">
        <v>14895</v>
      </c>
      <c r="Q8331" t="s">
        <v>621</v>
      </c>
      <c r="R8331" t="s">
        <v>917</v>
      </c>
      <c r="S8331">
        <v>39</v>
      </c>
      <c r="T8331" s="29" t="str">
        <f t="shared" si="357"/>
        <v>2023.001B.Leviviricetes_reorg.zip</v>
      </c>
      <c r="U8331" s="29" t="str">
        <f>HYPERLINK("https://ictv.global/taxonomy/taxondetails?taxnode_id=202316114","ictv.global=202316114")</f>
        <v>ictv.global=202316114</v>
      </c>
    </row>
    <row r="8332" spans="1:21">
      <c r="A8332">
        <v>8331</v>
      </c>
      <c r="B8332" s="30" t="s">
        <v>1226</v>
      </c>
      <c r="D8332" s="30" t="s">
        <v>2024</v>
      </c>
      <c r="F8332" s="30" t="s">
        <v>2046</v>
      </c>
      <c r="H8332" s="30" t="s">
        <v>2859</v>
      </c>
      <c r="J8332" s="30" t="s">
        <v>2860</v>
      </c>
      <c r="L8332" s="30" t="s">
        <v>2861</v>
      </c>
      <c r="N8332" s="30" t="s">
        <v>14894</v>
      </c>
      <c r="P8332" s="30" t="s">
        <v>14896</v>
      </c>
      <c r="Q8332" t="s">
        <v>621</v>
      </c>
      <c r="R8332" t="s">
        <v>917</v>
      </c>
      <c r="S8332">
        <v>39</v>
      </c>
      <c r="T8332" s="29" t="str">
        <f t="shared" si="357"/>
        <v>2023.001B.Leviviricetes_reorg.zip</v>
      </c>
      <c r="U8332" s="29" t="str">
        <f>HYPERLINK("https://ictv.global/taxonomy/taxondetails?taxnode_id=202316115","ictv.global=202316115")</f>
        <v>ictv.global=202316115</v>
      </c>
    </row>
    <row r="8333" spans="1:21">
      <c r="A8333">
        <v>8332</v>
      </c>
      <c r="B8333" s="30" t="s">
        <v>1226</v>
      </c>
      <c r="D8333" s="30" t="s">
        <v>2024</v>
      </c>
      <c r="F8333" s="30" t="s">
        <v>2046</v>
      </c>
      <c r="H8333" s="30" t="s">
        <v>2859</v>
      </c>
      <c r="J8333" s="30" t="s">
        <v>2860</v>
      </c>
      <c r="L8333" s="30" t="s">
        <v>2861</v>
      </c>
      <c r="N8333" s="30" t="s">
        <v>14897</v>
      </c>
      <c r="P8333" s="30" t="s">
        <v>14898</v>
      </c>
      <c r="Q8333" t="s">
        <v>621</v>
      </c>
      <c r="R8333" t="s">
        <v>917</v>
      </c>
      <c r="S8333">
        <v>39</v>
      </c>
      <c r="T8333" s="29" t="str">
        <f t="shared" si="357"/>
        <v>2023.001B.Leviviricetes_reorg.zip</v>
      </c>
      <c r="U8333" s="29" t="str">
        <f>HYPERLINK("https://ictv.global/taxonomy/taxondetails?taxnode_id=202316116","ictv.global=202316116")</f>
        <v>ictv.global=202316116</v>
      </c>
    </row>
    <row r="8334" spans="1:21">
      <c r="A8334">
        <v>8333</v>
      </c>
      <c r="B8334" s="30" t="s">
        <v>1226</v>
      </c>
      <c r="D8334" s="30" t="s">
        <v>2024</v>
      </c>
      <c r="F8334" s="30" t="s">
        <v>2046</v>
      </c>
      <c r="H8334" s="30" t="s">
        <v>2859</v>
      </c>
      <c r="J8334" s="30" t="s">
        <v>2860</v>
      </c>
      <c r="L8334" s="30" t="s">
        <v>2861</v>
      </c>
      <c r="N8334" s="30" t="s">
        <v>14899</v>
      </c>
      <c r="P8334" s="30" t="s">
        <v>14900</v>
      </c>
      <c r="Q8334" t="s">
        <v>621</v>
      </c>
      <c r="R8334" t="s">
        <v>917</v>
      </c>
      <c r="S8334">
        <v>39</v>
      </c>
      <c r="T8334" s="29" t="str">
        <f t="shared" si="357"/>
        <v>2023.001B.Leviviricetes_reorg.zip</v>
      </c>
      <c r="U8334" s="29" t="str">
        <f>HYPERLINK("https://ictv.global/taxonomy/taxondetails?taxnode_id=202316117","ictv.global=202316117")</f>
        <v>ictv.global=202316117</v>
      </c>
    </row>
    <row r="8335" spans="1:21">
      <c r="A8335">
        <v>8334</v>
      </c>
      <c r="B8335" s="30" t="s">
        <v>1226</v>
      </c>
      <c r="D8335" s="30" t="s">
        <v>2024</v>
      </c>
      <c r="F8335" s="30" t="s">
        <v>2046</v>
      </c>
      <c r="H8335" s="30" t="s">
        <v>2859</v>
      </c>
      <c r="J8335" s="30" t="s">
        <v>2860</v>
      </c>
      <c r="L8335" s="30" t="s">
        <v>2861</v>
      </c>
      <c r="N8335" s="30" t="s">
        <v>14901</v>
      </c>
      <c r="P8335" s="30" t="s">
        <v>14902</v>
      </c>
      <c r="Q8335" t="s">
        <v>621</v>
      </c>
      <c r="R8335" t="s">
        <v>917</v>
      </c>
      <c r="S8335">
        <v>39</v>
      </c>
      <c r="T8335" s="29" t="str">
        <f t="shared" si="357"/>
        <v>2023.001B.Leviviricetes_reorg.zip</v>
      </c>
      <c r="U8335" s="29" t="str">
        <f>HYPERLINK("https://ictv.global/taxonomy/taxondetails?taxnode_id=202316118","ictv.global=202316118")</f>
        <v>ictv.global=202316118</v>
      </c>
    </row>
    <row r="8336" spans="1:21">
      <c r="A8336">
        <v>8335</v>
      </c>
      <c r="B8336" s="30" t="s">
        <v>1226</v>
      </c>
      <c r="D8336" s="30" t="s">
        <v>2024</v>
      </c>
      <c r="F8336" s="30" t="s">
        <v>2046</v>
      </c>
      <c r="H8336" s="30" t="s">
        <v>2859</v>
      </c>
      <c r="J8336" s="30" t="s">
        <v>2860</v>
      </c>
      <c r="L8336" s="30" t="s">
        <v>2861</v>
      </c>
      <c r="N8336" s="30" t="s">
        <v>14903</v>
      </c>
      <c r="P8336" s="30" t="s">
        <v>14904</v>
      </c>
      <c r="Q8336" t="s">
        <v>621</v>
      </c>
      <c r="R8336" t="s">
        <v>917</v>
      </c>
      <c r="S8336">
        <v>39</v>
      </c>
      <c r="T8336" s="29" t="str">
        <f t="shared" si="357"/>
        <v>2023.001B.Leviviricetes_reorg.zip</v>
      </c>
      <c r="U8336" s="29" t="str">
        <f>HYPERLINK("https://ictv.global/taxonomy/taxondetails?taxnode_id=202316119","ictv.global=202316119")</f>
        <v>ictv.global=202316119</v>
      </c>
    </row>
    <row r="8337" spans="1:21">
      <c r="A8337">
        <v>8336</v>
      </c>
      <c r="B8337" s="30" t="s">
        <v>1226</v>
      </c>
      <c r="D8337" s="30" t="s">
        <v>2024</v>
      </c>
      <c r="F8337" s="30" t="s">
        <v>2046</v>
      </c>
      <c r="H8337" s="30" t="s">
        <v>2859</v>
      </c>
      <c r="J8337" s="30" t="s">
        <v>2860</v>
      </c>
      <c r="L8337" s="30" t="s">
        <v>2861</v>
      </c>
      <c r="N8337" s="30" t="s">
        <v>14905</v>
      </c>
      <c r="P8337" s="30" t="s">
        <v>14906</v>
      </c>
      <c r="Q8337" t="s">
        <v>621</v>
      </c>
      <c r="R8337" t="s">
        <v>917</v>
      </c>
      <c r="S8337">
        <v>39</v>
      </c>
      <c r="T8337" s="29" t="str">
        <f t="shared" si="357"/>
        <v>2023.001B.Leviviricetes_reorg.zip</v>
      </c>
      <c r="U8337" s="29" t="str">
        <f>HYPERLINK("https://ictv.global/taxonomy/taxondetails?taxnode_id=202316120","ictv.global=202316120")</f>
        <v>ictv.global=202316120</v>
      </c>
    </row>
    <row r="8338" spans="1:21">
      <c r="A8338">
        <v>8337</v>
      </c>
      <c r="B8338" s="30" t="s">
        <v>1226</v>
      </c>
      <c r="D8338" s="30" t="s">
        <v>2024</v>
      </c>
      <c r="F8338" s="30" t="s">
        <v>2046</v>
      </c>
      <c r="H8338" s="30" t="s">
        <v>2859</v>
      </c>
      <c r="J8338" s="30" t="s">
        <v>2860</v>
      </c>
      <c r="L8338" s="30" t="s">
        <v>2861</v>
      </c>
      <c r="N8338" s="30" t="s">
        <v>14907</v>
      </c>
      <c r="P8338" s="30" t="s">
        <v>14908</v>
      </c>
      <c r="Q8338" t="s">
        <v>621</v>
      </c>
      <c r="R8338" t="s">
        <v>918</v>
      </c>
      <c r="S8338">
        <v>39</v>
      </c>
      <c r="T8338" s="29" t="str">
        <f t="shared" si="357"/>
        <v>2023.001B.Leviviricetes_reorg.zip</v>
      </c>
      <c r="U8338" s="29" t="str">
        <f>HYPERLINK("https://ictv.global/taxonomy/taxondetails?taxnode_id=202310764","ictv.global=202310764")</f>
        <v>ictv.global=202310764</v>
      </c>
    </row>
    <row r="8339" spans="1:21">
      <c r="A8339">
        <v>8338</v>
      </c>
      <c r="B8339" s="30" t="s">
        <v>1226</v>
      </c>
      <c r="D8339" s="30" t="s">
        <v>2024</v>
      </c>
      <c r="F8339" s="30" t="s">
        <v>2046</v>
      </c>
      <c r="H8339" s="30" t="s">
        <v>2859</v>
      </c>
      <c r="J8339" s="30" t="s">
        <v>2860</v>
      </c>
      <c r="L8339" s="30" t="s">
        <v>2861</v>
      </c>
      <c r="N8339" s="30" t="s">
        <v>14907</v>
      </c>
      <c r="P8339" s="30" t="s">
        <v>14909</v>
      </c>
      <c r="Q8339" t="s">
        <v>621</v>
      </c>
      <c r="R8339" t="s">
        <v>917</v>
      </c>
      <c r="S8339">
        <v>39</v>
      </c>
      <c r="T8339" s="29" t="str">
        <f t="shared" si="357"/>
        <v>2023.001B.Leviviricetes_reorg.zip</v>
      </c>
      <c r="U8339" s="29" t="str">
        <f>HYPERLINK("https://ictv.global/taxonomy/taxondetails?taxnode_id=202316121","ictv.global=202316121")</f>
        <v>ictv.global=202316121</v>
      </c>
    </row>
    <row r="8340" spans="1:21">
      <c r="A8340">
        <v>8339</v>
      </c>
      <c r="B8340" s="30" t="s">
        <v>1226</v>
      </c>
      <c r="D8340" s="30" t="s">
        <v>2024</v>
      </c>
      <c r="F8340" s="30" t="s">
        <v>2046</v>
      </c>
      <c r="H8340" s="30" t="s">
        <v>2859</v>
      </c>
      <c r="J8340" s="30" t="s">
        <v>2860</v>
      </c>
      <c r="L8340" s="30" t="s">
        <v>2861</v>
      </c>
      <c r="N8340" s="30" t="s">
        <v>14907</v>
      </c>
      <c r="P8340" s="30" t="s">
        <v>14910</v>
      </c>
      <c r="Q8340" t="s">
        <v>621</v>
      </c>
      <c r="R8340" t="s">
        <v>917</v>
      </c>
      <c r="S8340">
        <v>39</v>
      </c>
      <c r="T8340" s="29" t="str">
        <f t="shared" si="357"/>
        <v>2023.001B.Leviviricetes_reorg.zip</v>
      </c>
      <c r="U8340" s="29" t="str">
        <f>HYPERLINK("https://ictv.global/taxonomy/taxondetails?taxnode_id=202316122","ictv.global=202316122")</f>
        <v>ictv.global=202316122</v>
      </c>
    </row>
    <row r="8341" spans="1:21">
      <c r="A8341">
        <v>8340</v>
      </c>
      <c r="B8341" s="30" t="s">
        <v>1226</v>
      </c>
      <c r="D8341" s="30" t="s">
        <v>2024</v>
      </c>
      <c r="F8341" s="30" t="s">
        <v>2046</v>
      </c>
      <c r="H8341" s="30" t="s">
        <v>2859</v>
      </c>
      <c r="J8341" s="30" t="s">
        <v>2860</v>
      </c>
      <c r="L8341" s="30" t="s">
        <v>2861</v>
      </c>
      <c r="N8341" s="30" t="s">
        <v>14907</v>
      </c>
      <c r="P8341" s="30" t="s">
        <v>14911</v>
      </c>
      <c r="Q8341" t="s">
        <v>621</v>
      </c>
      <c r="R8341" t="s">
        <v>917</v>
      </c>
      <c r="S8341">
        <v>39</v>
      </c>
      <c r="T8341" s="29" t="str">
        <f t="shared" si="357"/>
        <v>2023.001B.Leviviricetes_reorg.zip</v>
      </c>
      <c r="U8341" s="29" t="str">
        <f>HYPERLINK("https://ictv.global/taxonomy/taxondetails?taxnode_id=202316123","ictv.global=202316123")</f>
        <v>ictv.global=202316123</v>
      </c>
    </row>
    <row r="8342" spans="1:21">
      <c r="A8342">
        <v>8341</v>
      </c>
      <c r="B8342" s="30" t="s">
        <v>1226</v>
      </c>
      <c r="D8342" s="30" t="s">
        <v>2024</v>
      </c>
      <c r="F8342" s="30" t="s">
        <v>2046</v>
      </c>
      <c r="H8342" s="30" t="s">
        <v>2859</v>
      </c>
      <c r="J8342" s="30" t="s">
        <v>2860</v>
      </c>
      <c r="L8342" s="30" t="s">
        <v>2861</v>
      </c>
      <c r="N8342" s="30" t="s">
        <v>14907</v>
      </c>
      <c r="P8342" s="30" t="s">
        <v>14912</v>
      </c>
      <c r="Q8342" t="s">
        <v>621</v>
      </c>
      <c r="R8342" t="s">
        <v>917</v>
      </c>
      <c r="S8342">
        <v>39</v>
      </c>
      <c r="T8342" s="29" t="str">
        <f t="shared" si="357"/>
        <v>2023.001B.Leviviricetes_reorg.zip</v>
      </c>
      <c r="U8342" s="29" t="str">
        <f>HYPERLINK("https://ictv.global/taxonomy/taxondetails?taxnode_id=202316124","ictv.global=202316124")</f>
        <v>ictv.global=202316124</v>
      </c>
    </row>
    <row r="8343" spans="1:21">
      <c r="A8343">
        <v>8342</v>
      </c>
      <c r="B8343" s="30" t="s">
        <v>1226</v>
      </c>
      <c r="D8343" s="30" t="s">
        <v>2024</v>
      </c>
      <c r="F8343" s="30" t="s">
        <v>2046</v>
      </c>
      <c r="H8343" s="30" t="s">
        <v>2859</v>
      </c>
      <c r="J8343" s="30" t="s">
        <v>2860</v>
      </c>
      <c r="L8343" s="30" t="s">
        <v>2861</v>
      </c>
      <c r="N8343" s="30" t="s">
        <v>14907</v>
      </c>
      <c r="P8343" s="30" t="s">
        <v>14913</v>
      </c>
      <c r="Q8343" t="s">
        <v>621</v>
      </c>
      <c r="R8343" t="s">
        <v>917</v>
      </c>
      <c r="S8343">
        <v>39</v>
      </c>
      <c r="T8343" s="29" t="str">
        <f t="shared" si="357"/>
        <v>2023.001B.Leviviricetes_reorg.zip</v>
      </c>
      <c r="U8343" s="29" t="str">
        <f>HYPERLINK("https://ictv.global/taxonomy/taxondetails?taxnode_id=202316125","ictv.global=202316125")</f>
        <v>ictv.global=202316125</v>
      </c>
    </row>
    <row r="8344" spans="1:21">
      <c r="A8344">
        <v>8343</v>
      </c>
      <c r="B8344" s="30" t="s">
        <v>1226</v>
      </c>
      <c r="D8344" s="30" t="s">
        <v>2024</v>
      </c>
      <c r="F8344" s="30" t="s">
        <v>2046</v>
      </c>
      <c r="H8344" s="30" t="s">
        <v>2859</v>
      </c>
      <c r="J8344" s="30" t="s">
        <v>2860</v>
      </c>
      <c r="L8344" s="30" t="s">
        <v>2861</v>
      </c>
      <c r="N8344" s="30" t="s">
        <v>14907</v>
      </c>
      <c r="P8344" s="30" t="s">
        <v>14914</v>
      </c>
      <c r="Q8344" t="s">
        <v>621</v>
      </c>
      <c r="R8344" t="s">
        <v>917</v>
      </c>
      <c r="S8344">
        <v>39</v>
      </c>
      <c r="T8344" s="29" t="str">
        <f t="shared" si="357"/>
        <v>2023.001B.Leviviricetes_reorg.zip</v>
      </c>
      <c r="U8344" s="29" t="str">
        <f>HYPERLINK("https://ictv.global/taxonomy/taxondetails?taxnode_id=202316126","ictv.global=202316126")</f>
        <v>ictv.global=202316126</v>
      </c>
    </row>
    <row r="8345" spans="1:21">
      <c r="A8345">
        <v>8344</v>
      </c>
      <c r="B8345" s="30" t="s">
        <v>1226</v>
      </c>
      <c r="D8345" s="30" t="s">
        <v>2024</v>
      </c>
      <c r="F8345" s="30" t="s">
        <v>2046</v>
      </c>
      <c r="H8345" s="30" t="s">
        <v>2859</v>
      </c>
      <c r="J8345" s="30" t="s">
        <v>2860</v>
      </c>
      <c r="L8345" s="30" t="s">
        <v>2861</v>
      </c>
      <c r="N8345" s="30" t="s">
        <v>14907</v>
      </c>
      <c r="P8345" s="30" t="s">
        <v>14915</v>
      </c>
      <c r="Q8345" t="s">
        <v>621</v>
      </c>
      <c r="R8345" t="s">
        <v>917</v>
      </c>
      <c r="S8345">
        <v>39</v>
      </c>
      <c r="T8345" s="29" t="str">
        <f t="shared" si="357"/>
        <v>2023.001B.Leviviricetes_reorg.zip</v>
      </c>
      <c r="U8345" s="29" t="str">
        <f>HYPERLINK("https://ictv.global/taxonomy/taxondetails?taxnode_id=202316127","ictv.global=202316127")</f>
        <v>ictv.global=202316127</v>
      </c>
    </row>
    <row r="8346" spans="1:21">
      <c r="A8346">
        <v>8345</v>
      </c>
      <c r="B8346" s="30" t="s">
        <v>1226</v>
      </c>
      <c r="D8346" s="30" t="s">
        <v>2024</v>
      </c>
      <c r="F8346" s="30" t="s">
        <v>2046</v>
      </c>
      <c r="H8346" s="30" t="s">
        <v>2859</v>
      </c>
      <c r="J8346" s="30" t="s">
        <v>2860</v>
      </c>
      <c r="L8346" s="30" t="s">
        <v>2861</v>
      </c>
      <c r="N8346" s="30" t="s">
        <v>14907</v>
      </c>
      <c r="P8346" s="30" t="s">
        <v>14916</v>
      </c>
      <c r="Q8346" t="s">
        <v>621</v>
      </c>
      <c r="R8346" t="s">
        <v>917</v>
      </c>
      <c r="S8346">
        <v>39</v>
      </c>
      <c r="T8346" s="29" t="str">
        <f t="shared" si="357"/>
        <v>2023.001B.Leviviricetes_reorg.zip</v>
      </c>
      <c r="U8346" s="29" t="str">
        <f>HYPERLINK("https://ictv.global/taxonomy/taxondetails?taxnode_id=202316128","ictv.global=202316128")</f>
        <v>ictv.global=202316128</v>
      </c>
    </row>
    <row r="8347" spans="1:21">
      <c r="A8347">
        <v>8346</v>
      </c>
      <c r="B8347" s="30" t="s">
        <v>1226</v>
      </c>
      <c r="D8347" s="30" t="s">
        <v>2024</v>
      </c>
      <c r="F8347" s="30" t="s">
        <v>2046</v>
      </c>
      <c r="H8347" s="30" t="s">
        <v>2859</v>
      </c>
      <c r="J8347" s="30" t="s">
        <v>2860</v>
      </c>
      <c r="L8347" s="30" t="s">
        <v>2861</v>
      </c>
      <c r="N8347" s="30" t="s">
        <v>14917</v>
      </c>
      <c r="P8347" s="30" t="s">
        <v>14918</v>
      </c>
      <c r="Q8347" t="s">
        <v>621</v>
      </c>
      <c r="R8347" t="s">
        <v>917</v>
      </c>
      <c r="S8347">
        <v>39</v>
      </c>
      <c r="T8347" s="29" t="str">
        <f t="shared" si="357"/>
        <v>2023.001B.Leviviricetes_reorg.zip</v>
      </c>
      <c r="U8347" s="29" t="str">
        <f>HYPERLINK("https://ictv.global/taxonomy/taxondetails?taxnode_id=202316129","ictv.global=202316129")</f>
        <v>ictv.global=202316129</v>
      </c>
    </row>
    <row r="8348" spans="1:21">
      <c r="A8348">
        <v>8347</v>
      </c>
      <c r="B8348" s="30" t="s">
        <v>1226</v>
      </c>
      <c r="D8348" s="30" t="s">
        <v>2024</v>
      </c>
      <c r="F8348" s="30" t="s">
        <v>2046</v>
      </c>
      <c r="H8348" s="30" t="s">
        <v>2859</v>
      </c>
      <c r="J8348" s="30" t="s">
        <v>2860</v>
      </c>
      <c r="L8348" s="30" t="s">
        <v>2861</v>
      </c>
      <c r="N8348" s="30" t="s">
        <v>14917</v>
      </c>
      <c r="P8348" s="30" t="s">
        <v>14919</v>
      </c>
      <c r="Q8348" t="s">
        <v>621</v>
      </c>
      <c r="R8348" t="s">
        <v>917</v>
      </c>
      <c r="S8348">
        <v>39</v>
      </c>
      <c r="T8348" s="29" t="str">
        <f t="shared" si="357"/>
        <v>2023.001B.Leviviricetes_reorg.zip</v>
      </c>
      <c r="U8348" s="29" t="str">
        <f>HYPERLINK("https://ictv.global/taxonomy/taxondetails?taxnode_id=202316130","ictv.global=202316130")</f>
        <v>ictv.global=202316130</v>
      </c>
    </row>
    <row r="8349" spans="1:21">
      <c r="A8349">
        <v>8348</v>
      </c>
      <c r="B8349" s="30" t="s">
        <v>1226</v>
      </c>
      <c r="D8349" s="30" t="s">
        <v>2024</v>
      </c>
      <c r="F8349" s="30" t="s">
        <v>2046</v>
      </c>
      <c r="H8349" s="30" t="s">
        <v>2859</v>
      </c>
      <c r="J8349" s="30" t="s">
        <v>2860</v>
      </c>
      <c r="L8349" s="30" t="s">
        <v>2861</v>
      </c>
      <c r="N8349" s="30" t="s">
        <v>14920</v>
      </c>
      <c r="P8349" s="30" t="s">
        <v>14921</v>
      </c>
      <c r="Q8349" t="s">
        <v>621</v>
      </c>
      <c r="R8349" t="s">
        <v>917</v>
      </c>
      <c r="S8349">
        <v>39</v>
      </c>
      <c r="T8349" s="29" t="str">
        <f t="shared" si="357"/>
        <v>2023.001B.Leviviricetes_reorg.zip</v>
      </c>
      <c r="U8349" s="29" t="str">
        <f>HYPERLINK("https://ictv.global/taxonomy/taxondetails?taxnode_id=202316131","ictv.global=202316131")</f>
        <v>ictv.global=202316131</v>
      </c>
    </row>
    <row r="8350" spans="1:21">
      <c r="A8350">
        <v>8349</v>
      </c>
      <c r="B8350" s="30" t="s">
        <v>1226</v>
      </c>
      <c r="D8350" s="30" t="s">
        <v>2024</v>
      </c>
      <c r="F8350" s="30" t="s">
        <v>2046</v>
      </c>
      <c r="H8350" s="30" t="s">
        <v>2859</v>
      </c>
      <c r="J8350" s="30" t="s">
        <v>2860</v>
      </c>
      <c r="L8350" s="30" t="s">
        <v>2861</v>
      </c>
      <c r="N8350" s="30" t="s">
        <v>14922</v>
      </c>
      <c r="P8350" s="30" t="s">
        <v>14923</v>
      </c>
      <c r="Q8350" t="s">
        <v>621</v>
      </c>
      <c r="R8350" t="s">
        <v>917</v>
      </c>
      <c r="S8350">
        <v>39</v>
      </c>
      <c r="T8350" s="29" t="str">
        <f t="shared" si="357"/>
        <v>2023.001B.Leviviricetes_reorg.zip</v>
      </c>
      <c r="U8350" s="29" t="str">
        <f>HYPERLINK("https://ictv.global/taxonomy/taxondetails?taxnode_id=202316132","ictv.global=202316132")</f>
        <v>ictv.global=202316132</v>
      </c>
    </row>
    <row r="8351" spans="1:21">
      <c r="A8351">
        <v>8350</v>
      </c>
      <c r="B8351" s="30" t="s">
        <v>1226</v>
      </c>
      <c r="D8351" s="30" t="s">
        <v>2024</v>
      </c>
      <c r="F8351" s="30" t="s">
        <v>2046</v>
      </c>
      <c r="H8351" s="30" t="s">
        <v>2859</v>
      </c>
      <c r="J8351" s="30" t="s">
        <v>2860</v>
      </c>
      <c r="L8351" s="30" t="s">
        <v>2861</v>
      </c>
      <c r="N8351" s="30" t="s">
        <v>14924</v>
      </c>
      <c r="P8351" s="30" t="s">
        <v>14925</v>
      </c>
      <c r="Q8351" t="s">
        <v>621</v>
      </c>
      <c r="R8351" t="s">
        <v>917</v>
      </c>
      <c r="S8351">
        <v>39</v>
      </c>
      <c r="T8351" s="29" t="str">
        <f t="shared" si="357"/>
        <v>2023.001B.Leviviricetes_reorg.zip</v>
      </c>
      <c r="U8351" s="29" t="str">
        <f>HYPERLINK("https://ictv.global/taxonomy/taxondetails?taxnode_id=202316133","ictv.global=202316133")</f>
        <v>ictv.global=202316133</v>
      </c>
    </row>
    <row r="8352" spans="1:21">
      <c r="A8352">
        <v>8351</v>
      </c>
      <c r="B8352" s="30" t="s">
        <v>1226</v>
      </c>
      <c r="D8352" s="30" t="s">
        <v>2024</v>
      </c>
      <c r="F8352" s="30" t="s">
        <v>2046</v>
      </c>
      <c r="H8352" s="30" t="s">
        <v>2859</v>
      </c>
      <c r="J8352" s="30" t="s">
        <v>2860</v>
      </c>
      <c r="L8352" s="30" t="s">
        <v>2861</v>
      </c>
      <c r="N8352" s="30" t="s">
        <v>14926</v>
      </c>
      <c r="P8352" s="30" t="s">
        <v>14927</v>
      </c>
      <c r="Q8352" t="s">
        <v>621</v>
      </c>
      <c r="R8352" t="s">
        <v>917</v>
      </c>
      <c r="S8352">
        <v>39</v>
      </c>
      <c r="T8352" s="29" t="str">
        <f t="shared" si="357"/>
        <v>2023.001B.Leviviricetes_reorg.zip</v>
      </c>
      <c r="U8352" s="29" t="str">
        <f>HYPERLINK("https://ictv.global/taxonomy/taxondetails?taxnode_id=202316134","ictv.global=202316134")</f>
        <v>ictv.global=202316134</v>
      </c>
    </row>
    <row r="8353" spans="1:21">
      <c r="A8353">
        <v>8352</v>
      </c>
      <c r="B8353" s="30" t="s">
        <v>1226</v>
      </c>
      <c r="D8353" s="30" t="s">
        <v>2024</v>
      </c>
      <c r="F8353" s="30" t="s">
        <v>2046</v>
      </c>
      <c r="H8353" s="30" t="s">
        <v>2859</v>
      </c>
      <c r="J8353" s="30" t="s">
        <v>2860</v>
      </c>
      <c r="L8353" s="30" t="s">
        <v>2861</v>
      </c>
      <c r="N8353" s="30" t="s">
        <v>14928</v>
      </c>
      <c r="P8353" s="30" t="s">
        <v>14929</v>
      </c>
      <c r="Q8353" t="s">
        <v>621</v>
      </c>
      <c r="R8353" t="s">
        <v>917</v>
      </c>
      <c r="S8353">
        <v>39</v>
      </c>
      <c r="T8353" s="29" t="str">
        <f t="shared" si="357"/>
        <v>2023.001B.Leviviricetes_reorg.zip</v>
      </c>
      <c r="U8353" s="29" t="str">
        <f>HYPERLINK("https://ictv.global/taxonomy/taxondetails?taxnode_id=202316135","ictv.global=202316135")</f>
        <v>ictv.global=202316135</v>
      </c>
    </row>
    <row r="8354" spans="1:21">
      <c r="A8354">
        <v>8353</v>
      </c>
      <c r="B8354" s="30" t="s">
        <v>1226</v>
      </c>
      <c r="D8354" s="30" t="s">
        <v>2024</v>
      </c>
      <c r="F8354" s="30" t="s">
        <v>2046</v>
      </c>
      <c r="H8354" s="30" t="s">
        <v>2859</v>
      </c>
      <c r="J8354" s="30" t="s">
        <v>2860</v>
      </c>
      <c r="L8354" s="30" t="s">
        <v>2861</v>
      </c>
      <c r="N8354" s="30" t="s">
        <v>14930</v>
      </c>
      <c r="P8354" s="30" t="s">
        <v>14931</v>
      </c>
      <c r="Q8354" t="s">
        <v>621</v>
      </c>
      <c r="R8354" t="s">
        <v>917</v>
      </c>
      <c r="S8354">
        <v>39</v>
      </c>
      <c r="T8354" s="29" t="str">
        <f t="shared" si="357"/>
        <v>2023.001B.Leviviricetes_reorg.zip</v>
      </c>
      <c r="U8354" s="29" t="str">
        <f>HYPERLINK("https://ictv.global/taxonomy/taxondetails?taxnode_id=202316136","ictv.global=202316136")</f>
        <v>ictv.global=202316136</v>
      </c>
    </row>
    <row r="8355" spans="1:21">
      <c r="A8355">
        <v>8354</v>
      </c>
      <c r="B8355" s="30" t="s">
        <v>1226</v>
      </c>
      <c r="D8355" s="30" t="s">
        <v>2024</v>
      </c>
      <c r="F8355" s="30" t="s">
        <v>2046</v>
      </c>
      <c r="H8355" s="30" t="s">
        <v>2859</v>
      </c>
      <c r="J8355" s="30" t="s">
        <v>2860</v>
      </c>
      <c r="L8355" s="30" t="s">
        <v>2861</v>
      </c>
      <c r="N8355" s="30" t="s">
        <v>14930</v>
      </c>
      <c r="P8355" s="30" t="s">
        <v>14932</v>
      </c>
      <c r="Q8355" t="s">
        <v>621</v>
      </c>
      <c r="R8355" t="s">
        <v>917</v>
      </c>
      <c r="S8355">
        <v>39</v>
      </c>
      <c r="T8355" s="29" t="str">
        <f t="shared" si="357"/>
        <v>2023.001B.Leviviricetes_reorg.zip</v>
      </c>
      <c r="U8355" s="29" t="str">
        <f>HYPERLINK("https://ictv.global/taxonomy/taxondetails?taxnode_id=202316137","ictv.global=202316137")</f>
        <v>ictv.global=202316137</v>
      </c>
    </row>
    <row r="8356" spans="1:21">
      <c r="A8356">
        <v>8355</v>
      </c>
      <c r="B8356" s="30" t="s">
        <v>1226</v>
      </c>
      <c r="D8356" s="30" t="s">
        <v>2024</v>
      </c>
      <c r="F8356" s="30" t="s">
        <v>2046</v>
      </c>
      <c r="H8356" s="30" t="s">
        <v>2859</v>
      </c>
      <c r="J8356" s="30" t="s">
        <v>2860</v>
      </c>
      <c r="L8356" s="30" t="s">
        <v>2861</v>
      </c>
      <c r="N8356" s="30" t="s">
        <v>14933</v>
      </c>
      <c r="P8356" s="30" t="s">
        <v>14934</v>
      </c>
      <c r="Q8356" t="s">
        <v>621</v>
      </c>
      <c r="R8356" t="s">
        <v>917</v>
      </c>
      <c r="S8356">
        <v>39</v>
      </c>
      <c r="T8356" s="29" t="str">
        <f t="shared" si="357"/>
        <v>2023.001B.Leviviricetes_reorg.zip</v>
      </c>
      <c r="U8356" s="29" t="str">
        <f>HYPERLINK("https://ictv.global/taxonomy/taxondetails?taxnode_id=202316138","ictv.global=202316138")</f>
        <v>ictv.global=202316138</v>
      </c>
    </row>
    <row r="8357" spans="1:21">
      <c r="A8357">
        <v>8356</v>
      </c>
      <c r="B8357" s="30" t="s">
        <v>1226</v>
      </c>
      <c r="D8357" s="30" t="s">
        <v>2024</v>
      </c>
      <c r="F8357" s="30" t="s">
        <v>2046</v>
      </c>
      <c r="H8357" s="30" t="s">
        <v>2859</v>
      </c>
      <c r="J8357" s="30" t="s">
        <v>2860</v>
      </c>
      <c r="L8357" s="30" t="s">
        <v>2861</v>
      </c>
      <c r="N8357" s="30" t="s">
        <v>14935</v>
      </c>
      <c r="P8357" s="30" t="s">
        <v>14936</v>
      </c>
      <c r="Q8357" t="s">
        <v>621</v>
      </c>
      <c r="R8357" t="s">
        <v>917</v>
      </c>
      <c r="S8357">
        <v>39</v>
      </c>
      <c r="T8357" s="29" t="str">
        <f t="shared" si="357"/>
        <v>2023.001B.Leviviricetes_reorg.zip</v>
      </c>
      <c r="U8357" s="29" t="str">
        <f>HYPERLINK("https://ictv.global/taxonomy/taxondetails?taxnode_id=202316139","ictv.global=202316139")</f>
        <v>ictv.global=202316139</v>
      </c>
    </row>
    <row r="8358" spans="1:21">
      <c r="A8358">
        <v>8357</v>
      </c>
      <c r="B8358" s="30" t="s">
        <v>1226</v>
      </c>
      <c r="D8358" s="30" t="s">
        <v>2024</v>
      </c>
      <c r="F8358" s="30" t="s">
        <v>2046</v>
      </c>
      <c r="H8358" s="30" t="s">
        <v>2859</v>
      </c>
      <c r="J8358" s="30" t="s">
        <v>2860</v>
      </c>
      <c r="L8358" s="30" t="s">
        <v>2861</v>
      </c>
      <c r="N8358" s="30" t="s">
        <v>14935</v>
      </c>
      <c r="P8358" s="30" t="s">
        <v>14937</v>
      </c>
      <c r="Q8358" t="s">
        <v>621</v>
      </c>
      <c r="R8358" t="s">
        <v>917</v>
      </c>
      <c r="S8358">
        <v>39</v>
      </c>
      <c r="T8358" s="29" t="str">
        <f t="shared" si="357"/>
        <v>2023.001B.Leviviricetes_reorg.zip</v>
      </c>
      <c r="U8358" s="29" t="str">
        <f>HYPERLINK("https://ictv.global/taxonomy/taxondetails?taxnode_id=202316140","ictv.global=202316140")</f>
        <v>ictv.global=202316140</v>
      </c>
    </row>
    <row r="8359" spans="1:21">
      <c r="A8359">
        <v>8358</v>
      </c>
      <c r="B8359" s="30" t="s">
        <v>1226</v>
      </c>
      <c r="D8359" s="30" t="s">
        <v>2024</v>
      </c>
      <c r="F8359" s="30" t="s">
        <v>2046</v>
      </c>
      <c r="H8359" s="30" t="s">
        <v>2859</v>
      </c>
      <c r="J8359" s="30" t="s">
        <v>2860</v>
      </c>
      <c r="L8359" s="30" t="s">
        <v>2861</v>
      </c>
      <c r="N8359" s="30" t="s">
        <v>14938</v>
      </c>
      <c r="P8359" s="30" t="s">
        <v>14939</v>
      </c>
      <c r="Q8359" t="s">
        <v>621</v>
      </c>
      <c r="R8359" t="s">
        <v>917</v>
      </c>
      <c r="S8359">
        <v>39</v>
      </c>
      <c r="T8359" s="29" t="str">
        <f t="shared" si="357"/>
        <v>2023.001B.Leviviricetes_reorg.zip</v>
      </c>
      <c r="U8359" s="29" t="str">
        <f>HYPERLINK("https://ictv.global/taxonomy/taxondetails?taxnode_id=202316141","ictv.global=202316141")</f>
        <v>ictv.global=202316141</v>
      </c>
    </row>
    <row r="8360" spans="1:21">
      <c r="A8360">
        <v>8359</v>
      </c>
      <c r="B8360" s="30" t="s">
        <v>1226</v>
      </c>
      <c r="D8360" s="30" t="s">
        <v>2024</v>
      </c>
      <c r="F8360" s="30" t="s">
        <v>2046</v>
      </c>
      <c r="H8360" s="30" t="s">
        <v>2859</v>
      </c>
      <c r="J8360" s="30" t="s">
        <v>2860</v>
      </c>
      <c r="L8360" s="30" t="s">
        <v>2861</v>
      </c>
      <c r="N8360" s="30" t="s">
        <v>14940</v>
      </c>
      <c r="P8360" s="30" t="s">
        <v>14941</v>
      </c>
      <c r="Q8360" t="s">
        <v>621</v>
      </c>
      <c r="R8360" t="s">
        <v>917</v>
      </c>
      <c r="S8360">
        <v>39</v>
      </c>
      <c r="T8360" s="29" t="str">
        <f t="shared" si="357"/>
        <v>2023.001B.Leviviricetes_reorg.zip</v>
      </c>
      <c r="U8360" s="29" t="str">
        <f>HYPERLINK("https://ictv.global/taxonomy/taxondetails?taxnode_id=202316142","ictv.global=202316142")</f>
        <v>ictv.global=202316142</v>
      </c>
    </row>
    <row r="8361" spans="1:21">
      <c r="A8361">
        <v>8360</v>
      </c>
      <c r="B8361" s="30" t="s">
        <v>1226</v>
      </c>
      <c r="D8361" s="30" t="s">
        <v>2024</v>
      </c>
      <c r="F8361" s="30" t="s">
        <v>2046</v>
      </c>
      <c r="H8361" s="30" t="s">
        <v>2859</v>
      </c>
      <c r="J8361" s="30" t="s">
        <v>2860</v>
      </c>
      <c r="L8361" s="30" t="s">
        <v>2861</v>
      </c>
      <c r="N8361" s="30" t="s">
        <v>2877</v>
      </c>
      <c r="P8361" s="30" t="s">
        <v>14942</v>
      </c>
      <c r="Q8361" t="s">
        <v>621</v>
      </c>
      <c r="R8361" t="s">
        <v>917</v>
      </c>
      <c r="S8361">
        <v>39</v>
      </c>
      <c r="T8361" s="29" t="str">
        <f t="shared" si="357"/>
        <v>2023.001B.Leviviricetes_reorg.zip</v>
      </c>
      <c r="U8361" s="29" t="str">
        <f>HYPERLINK("https://ictv.global/taxonomy/taxondetails?taxnode_id=202316143","ictv.global=202316143")</f>
        <v>ictv.global=202316143</v>
      </c>
    </row>
    <row r="8362" spans="1:21">
      <c r="A8362">
        <v>8361</v>
      </c>
      <c r="B8362" s="30" t="s">
        <v>1226</v>
      </c>
      <c r="D8362" s="30" t="s">
        <v>2024</v>
      </c>
      <c r="F8362" s="30" t="s">
        <v>2046</v>
      </c>
      <c r="H8362" s="30" t="s">
        <v>2859</v>
      </c>
      <c r="J8362" s="30" t="s">
        <v>2860</v>
      </c>
      <c r="L8362" s="30" t="s">
        <v>2861</v>
      </c>
      <c r="N8362" s="30" t="s">
        <v>2877</v>
      </c>
      <c r="P8362" s="30" t="s">
        <v>14943</v>
      </c>
      <c r="Q8362" t="s">
        <v>621</v>
      </c>
      <c r="R8362" t="s">
        <v>917</v>
      </c>
      <c r="S8362">
        <v>39</v>
      </c>
      <c r="T8362" s="29" t="str">
        <f t="shared" si="357"/>
        <v>2023.001B.Leviviricetes_reorg.zip</v>
      </c>
      <c r="U8362" s="29" t="str">
        <f>HYPERLINK("https://ictv.global/taxonomy/taxondetails?taxnode_id=202316144","ictv.global=202316144")</f>
        <v>ictv.global=202316144</v>
      </c>
    </row>
    <row r="8363" spans="1:21">
      <c r="A8363">
        <v>8362</v>
      </c>
      <c r="B8363" s="30" t="s">
        <v>1226</v>
      </c>
      <c r="D8363" s="30" t="s">
        <v>2024</v>
      </c>
      <c r="F8363" s="30" t="s">
        <v>2046</v>
      </c>
      <c r="H8363" s="30" t="s">
        <v>2859</v>
      </c>
      <c r="J8363" s="30" t="s">
        <v>2860</v>
      </c>
      <c r="L8363" s="30" t="s">
        <v>2861</v>
      </c>
      <c r="N8363" s="30" t="s">
        <v>2877</v>
      </c>
      <c r="P8363" s="30" t="s">
        <v>14944</v>
      </c>
      <c r="Q8363" t="s">
        <v>621</v>
      </c>
      <c r="R8363" t="s">
        <v>917</v>
      </c>
      <c r="S8363">
        <v>39</v>
      </c>
      <c r="T8363" s="29" t="str">
        <f t="shared" si="357"/>
        <v>2023.001B.Leviviricetes_reorg.zip</v>
      </c>
      <c r="U8363" s="29" t="str">
        <f>HYPERLINK("https://ictv.global/taxonomy/taxondetails?taxnode_id=202316145","ictv.global=202316145")</f>
        <v>ictv.global=202316145</v>
      </c>
    </row>
    <row r="8364" spans="1:21">
      <c r="A8364">
        <v>8363</v>
      </c>
      <c r="B8364" s="30" t="s">
        <v>1226</v>
      </c>
      <c r="D8364" s="30" t="s">
        <v>2024</v>
      </c>
      <c r="F8364" s="30" t="s">
        <v>2046</v>
      </c>
      <c r="H8364" s="30" t="s">
        <v>2859</v>
      </c>
      <c r="J8364" s="30" t="s">
        <v>2860</v>
      </c>
      <c r="L8364" s="30" t="s">
        <v>2861</v>
      </c>
      <c r="N8364" s="30" t="s">
        <v>2877</v>
      </c>
      <c r="P8364" s="30" t="s">
        <v>14945</v>
      </c>
      <c r="Q8364" t="s">
        <v>621</v>
      </c>
      <c r="R8364" t="s">
        <v>917</v>
      </c>
      <c r="S8364">
        <v>39</v>
      </c>
      <c r="T8364" s="29" t="str">
        <f t="shared" si="357"/>
        <v>2023.001B.Leviviricetes_reorg.zip</v>
      </c>
      <c r="U8364" s="29" t="str">
        <f>HYPERLINK("https://ictv.global/taxonomy/taxondetails?taxnode_id=202316146","ictv.global=202316146")</f>
        <v>ictv.global=202316146</v>
      </c>
    </row>
    <row r="8365" spans="1:21">
      <c r="A8365">
        <v>8364</v>
      </c>
      <c r="B8365" s="30" t="s">
        <v>1226</v>
      </c>
      <c r="D8365" s="30" t="s">
        <v>2024</v>
      </c>
      <c r="F8365" s="30" t="s">
        <v>2046</v>
      </c>
      <c r="H8365" s="30" t="s">
        <v>2859</v>
      </c>
      <c r="J8365" s="30" t="s">
        <v>2860</v>
      </c>
      <c r="L8365" s="30" t="s">
        <v>2861</v>
      </c>
      <c r="N8365" s="30" t="s">
        <v>2877</v>
      </c>
      <c r="P8365" s="30" t="s">
        <v>14946</v>
      </c>
      <c r="Q8365" t="s">
        <v>621</v>
      </c>
      <c r="R8365" t="s">
        <v>917</v>
      </c>
      <c r="S8365">
        <v>39</v>
      </c>
      <c r="T8365" s="29" t="str">
        <f t="shared" si="357"/>
        <v>2023.001B.Leviviricetes_reorg.zip</v>
      </c>
      <c r="U8365" s="29" t="str">
        <f>HYPERLINK("https://ictv.global/taxonomy/taxondetails?taxnode_id=202316147","ictv.global=202316147")</f>
        <v>ictv.global=202316147</v>
      </c>
    </row>
    <row r="8366" spans="1:21">
      <c r="A8366">
        <v>8365</v>
      </c>
      <c r="B8366" s="30" t="s">
        <v>1226</v>
      </c>
      <c r="D8366" s="30" t="s">
        <v>2024</v>
      </c>
      <c r="F8366" s="30" t="s">
        <v>2046</v>
      </c>
      <c r="H8366" s="30" t="s">
        <v>2859</v>
      </c>
      <c r="J8366" s="30" t="s">
        <v>2860</v>
      </c>
      <c r="L8366" s="30" t="s">
        <v>2861</v>
      </c>
      <c r="N8366" s="30" t="s">
        <v>2877</v>
      </c>
      <c r="P8366" s="30" t="s">
        <v>2878</v>
      </c>
      <c r="Q8366" t="s">
        <v>621</v>
      </c>
      <c r="R8366" t="s">
        <v>917</v>
      </c>
      <c r="S8366">
        <v>36</v>
      </c>
      <c r="T8366" s="29" t="str">
        <f>HYPERLINK("https://ictv.global/ictv/proposals/2020.095B.R.Leviviricetes.zip","2020.095B.R.Leviviricetes.zip")</f>
        <v>2020.095B.R.Leviviricetes.zip</v>
      </c>
      <c r="U8366" s="29" t="str">
        <f>HYPERLINK("https://ictv.global/taxonomy/taxondetails?taxnode_id=202310711","ictv.global=202310711")</f>
        <v>ictv.global=202310711</v>
      </c>
    </row>
    <row r="8367" spans="1:21">
      <c r="A8367">
        <v>8366</v>
      </c>
      <c r="B8367" s="30" t="s">
        <v>1226</v>
      </c>
      <c r="D8367" s="30" t="s">
        <v>2024</v>
      </c>
      <c r="F8367" s="30" t="s">
        <v>2046</v>
      </c>
      <c r="H8367" s="30" t="s">
        <v>2859</v>
      </c>
      <c r="J8367" s="30" t="s">
        <v>2860</v>
      </c>
      <c r="L8367" s="30" t="s">
        <v>2861</v>
      </c>
      <c r="N8367" s="30" t="s">
        <v>2877</v>
      </c>
      <c r="P8367" s="30" t="s">
        <v>14947</v>
      </c>
      <c r="Q8367" t="s">
        <v>621</v>
      </c>
      <c r="R8367" t="s">
        <v>917</v>
      </c>
      <c r="S8367">
        <v>39</v>
      </c>
      <c r="T8367" s="29" t="str">
        <f t="shared" ref="T8367:T8379" si="358">HYPERLINK("https://ictv.global/ictv/proposals/2023.001B.Leviviricetes_reorg.zip","2023.001B.Leviviricetes_reorg.zip")</f>
        <v>2023.001B.Leviviricetes_reorg.zip</v>
      </c>
      <c r="U8367" s="29" t="str">
        <f>HYPERLINK("https://ictv.global/taxonomy/taxondetails?taxnode_id=202316148","ictv.global=202316148")</f>
        <v>ictv.global=202316148</v>
      </c>
    </row>
    <row r="8368" spans="1:21">
      <c r="A8368">
        <v>8367</v>
      </c>
      <c r="B8368" s="30" t="s">
        <v>1226</v>
      </c>
      <c r="D8368" s="30" t="s">
        <v>2024</v>
      </c>
      <c r="F8368" s="30" t="s">
        <v>2046</v>
      </c>
      <c r="H8368" s="30" t="s">
        <v>2859</v>
      </c>
      <c r="J8368" s="30" t="s">
        <v>2860</v>
      </c>
      <c r="L8368" s="30" t="s">
        <v>2861</v>
      </c>
      <c r="N8368" s="30" t="s">
        <v>2877</v>
      </c>
      <c r="P8368" s="30" t="s">
        <v>14948</v>
      </c>
      <c r="Q8368" t="s">
        <v>621</v>
      </c>
      <c r="R8368" t="s">
        <v>917</v>
      </c>
      <c r="S8368">
        <v>39</v>
      </c>
      <c r="T8368" s="29" t="str">
        <f t="shared" si="358"/>
        <v>2023.001B.Leviviricetes_reorg.zip</v>
      </c>
      <c r="U8368" s="29" t="str">
        <f>HYPERLINK("https://ictv.global/taxonomy/taxondetails?taxnode_id=202316149","ictv.global=202316149")</f>
        <v>ictv.global=202316149</v>
      </c>
    </row>
    <row r="8369" spans="1:21">
      <c r="A8369">
        <v>8368</v>
      </c>
      <c r="B8369" s="30" t="s">
        <v>1226</v>
      </c>
      <c r="D8369" s="30" t="s">
        <v>2024</v>
      </c>
      <c r="F8369" s="30" t="s">
        <v>2046</v>
      </c>
      <c r="H8369" s="30" t="s">
        <v>2859</v>
      </c>
      <c r="J8369" s="30" t="s">
        <v>2860</v>
      </c>
      <c r="L8369" s="30" t="s">
        <v>2861</v>
      </c>
      <c r="N8369" s="30" t="s">
        <v>14949</v>
      </c>
      <c r="P8369" s="30" t="s">
        <v>14950</v>
      </c>
      <c r="Q8369" t="s">
        <v>621</v>
      </c>
      <c r="R8369" t="s">
        <v>917</v>
      </c>
      <c r="S8369">
        <v>39</v>
      </c>
      <c r="T8369" s="29" t="str">
        <f t="shared" si="358"/>
        <v>2023.001B.Leviviricetes_reorg.zip</v>
      </c>
      <c r="U8369" s="29" t="str">
        <f>HYPERLINK("https://ictv.global/taxonomy/taxondetails?taxnode_id=202316150","ictv.global=202316150")</f>
        <v>ictv.global=202316150</v>
      </c>
    </row>
    <row r="8370" spans="1:21">
      <c r="A8370">
        <v>8369</v>
      </c>
      <c r="B8370" s="30" t="s">
        <v>1226</v>
      </c>
      <c r="D8370" s="30" t="s">
        <v>2024</v>
      </c>
      <c r="F8370" s="30" t="s">
        <v>2046</v>
      </c>
      <c r="H8370" s="30" t="s">
        <v>2859</v>
      </c>
      <c r="J8370" s="30" t="s">
        <v>2860</v>
      </c>
      <c r="L8370" s="30" t="s">
        <v>2861</v>
      </c>
      <c r="N8370" s="30" t="s">
        <v>14951</v>
      </c>
      <c r="P8370" s="30" t="s">
        <v>14952</v>
      </c>
      <c r="Q8370" t="s">
        <v>621</v>
      </c>
      <c r="R8370" t="s">
        <v>917</v>
      </c>
      <c r="S8370">
        <v>39</v>
      </c>
      <c r="T8370" s="29" t="str">
        <f t="shared" si="358"/>
        <v>2023.001B.Leviviricetes_reorg.zip</v>
      </c>
      <c r="U8370" s="29" t="str">
        <f>HYPERLINK("https://ictv.global/taxonomy/taxondetails?taxnode_id=202316151","ictv.global=202316151")</f>
        <v>ictv.global=202316151</v>
      </c>
    </row>
    <row r="8371" spans="1:21">
      <c r="A8371">
        <v>8370</v>
      </c>
      <c r="B8371" s="30" t="s">
        <v>1226</v>
      </c>
      <c r="D8371" s="30" t="s">
        <v>2024</v>
      </c>
      <c r="F8371" s="30" t="s">
        <v>2046</v>
      </c>
      <c r="H8371" s="30" t="s">
        <v>2859</v>
      </c>
      <c r="J8371" s="30" t="s">
        <v>2860</v>
      </c>
      <c r="L8371" s="30" t="s">
        <v>2861</v>
      </c>
      <c r="N8371" s="30" t="s">
        <v>14953</v>
      </c>
      <c r="P8371" s="30" t="s">
        <v>14954</v>
      </c>
      <c r="Q8371" t="s">
        <v>621</v>
      </c>
      <c r="R8371" t="s">
        <v>917</v>
      </c>
      <c r="S8371">
        <v>39</v>
      </c>
      <c r="T8371" s="29" t="str">
        <f t="shared" si="358"/>
        <v>2023.001B.Leviviricetes_reorg.zip</v>
      </c>
      <c r="U8371" s="29" t="str">
        <f>HYPERLINK("https://ictv.global/taxonomy/taxondetails?taxnode_id=202316152","ictv.global=202316152")</f>
        <v>ictv.global=202316152</v>
      </c>
    </row>
    <row r="8372" spans="1:21">
      <c r="A8372">
        <v>8371</v>
      </c>
      <c r="B8372" s="30" t="s">
        <v>1226</v>
      </c>
      <c r="D8372" s="30" t="s">
        <v>2024</v>
      </c>
      <c r="F8372" s="30" t="s">
        <v>2046</v>
      </c>
      <c r="H8372" s="30" t="s">
        <v>2859</v>
      </c>
      <c r="J8372" s="30" t="s">
        <v>2860</v>
      </c>
      <c r="L8372" s="30" t="s">
        <v>2861</v>
      </c>
      <c r="N8372" s="30" t="s">
        <v>14955</v>
      </c>
      <c r="P8372" s="30" t="s">
        <v>14956</v>
      </c>
      <c r="Q8372" t="s">
        <v>621</v>
      </c>
      <c r="R8372" t="s">
        <v>917</v>
      </c>
      <c r="S8372">
        <v>39</v>
      </c>
      <c r="T8372" s="29" t="str">
        <f t="shared" si="358"/>
        <v>2023.001B.Leviviricetes_reorg.zip</v>
      </c>
      <c r="U8372" s="29" t="str">
        <f>HYPERLINK("https://ictv.global/taxonomy/taxondetails?taxnode_id=202316153","ictv.global=202316153")</f>
        <v>ictv.global=202316153</v>
      </c>
    </row>
    <row r="8373" spans="1:21">
      <c r="A8373">
        <v>8372</v>
      </c>
      <c r="B8373" s="30" t="s">
        <v>1226</v>
      </c>
      <c r="D8373" s="30" t="s">
        <v>2024</v>
      </c>
      <c r="F8373" s="30" t="s">
        <v>2046</v>
      </c>
      <c r="H8373" s="30" t="s">
        <v>2859</v>
      </c>
      <c r="J8373" s="30" t="s">
        <v>2860</v>
      </c>
      <c r="L8373" s="30" t="s">
        <v>2861</v>
      </c>
      <c r="N8373" s="30" t="s">
        <v>14957</v>
      </c>
      <c r="P8373" s="30" t="s">
        <v>14958</v>
      </c>
      <c r="Q8373" t="s">
        <v>621</v>
      </c>
      <c r="R8373" t="s">
        <v>918</v>
      </c>
      <c r="S8373">
        <v>39</v>
      </c>
      <c r="T8373" s="29" t="str">
        <f t="shared" si="358"/>
        <v>2023.001B.Leviviricetes_reorg.zip</v>
      </c>
      <c r="U8373" s="29" t="str">
        <f>HYPERLINK("https://ictv.global/taxonomy/taxondetails?taxnode_id=202310811","ictv.global=202310811")</f>
        <v>ictv.global=202310811</v>
      </c>
    </row>
    <row r="8374" spans="1:21">
      <c r="A8374">
        <v>8373</v>
      </c>
      <c r="B8374" s="30" t="s">
        <v>1226</v>
      </c>
      <c r="D8374" s="30" t="s">
        <v>2024</v>
      </c>
      <c r="F8374" s="30" t="s">
        <v>2046</v>
      </c>
      <c r="H8374" s="30" t="s">
        <v>2859</v>
      </c>
      <c r="J8374" s="30" t="s">
        <v>2860</v>
      </c>
      <c r="L8374" s="30" t="s">
        <v>2861</v>
      </c>
      <c r="N8374" s="30" t="s">
        <v>14959</v>
      </c>
      <c r="P8374" s="30" t="s">
        <v>14960</v>
      </c>
      <c r="Q8374" t="s">
        <v>621</v>
      </c>
      <c r="R8374" t="s">
        <v>917</v>
      </c>
      <c r="S8374">
        <v>39</v>
      </c>
      <c r="T8374" s="29" t="str">
        <f t="shared" si="358"/>
        <v>2023.001B.Leviviricetes_reorg.zip</v>
      </c>
      <c r="U8374" s="29" t="str">
        <f>HYPERLINK("https://ictv.global/taxonomy/taxondetails?taxnode_id=202316154","ictv.global=202316154")</f>
        <v>ictv.global=202316154</v>
      </c>
    </row>
    <row r="8375" spans="1:21">
      <c r="A8375">
        <v>8374</v>
      </c>
      <c r="B8375" s="30" t="s">
        <v>1226</v>
      </c>
      <c r="D8375" s="30" t="s">
        <v>2024</v>
      </c>
      <c r="F8375" s="30" t="s">
        <v>2046</v>
      </c>
      <c r="H8375" s="30" t="s">
        <v>2859</v>
      </c>
      <c r="J8375" s="30" t="s">
        <v>2860</v>
      </c>
      <c r="L8375" s="30" t="s">
        <v>2861</v>
      </c>
      <c r="N8375" s="30" t="s">
        <v>14961</v>
      </c>
      <c r="P8375" s="30" t="s">
        <v>14962</v>
      </c>
      <c r="Q8375" t="s">
        <v>621</v>
      </c>
      <c r="R8375" t="s">
        <v>917</v>
      </c>
      <c r="S8375">
        <v>39</v>
      </c>
      <c r="T8375" s="29" t="str">
        <f t="shared" si="358"/>
        <v>2023.001B.Leviviricetes_reorg.zip</v>
      </c>
      <c r="U8375" s="29" t="str">
        <f>HYPERLINK("https://ictv.global/taxonomy/taxondetails?taxnode_id=202316155","ictv.global=202316155")</f>
        <v>ictv.global=202316155</v>
      </c>
    </row>
    <row r="8376" spans="1:21">
      <c r="A8376">
        <v>8375</v>
      </c>
      <c r="B8376" s="30" t="s">
        <v>1226</v>
      </c>
      <c r="D8376" s="30" t="s">
        <v>2024</v>
      </c>
      <c r="F8376" s="30" t="s">
        <v>2046</v>
      </c>
      <c r="H8376" s="30" t="s">
        <v>2859</v>
      </c>
      <c r="J8376" s="30" t="s">
        <v>2860</v>
      </c>
      <c r="L8376" s="30" t="s">
        <v>2861</v>
      </c>
      <c r="N8376" s="30" t="s">
        <v>14963</v>
      </c>
      <c r="P8376" s="30" t="s">
        <v>14964</v>
      </c>
      <c r="Q8376" t="s">
        <v>621</v>
      </c>
      <c r="R8376" t="s">
        <v>917</v>
      </c>
      <c r="S8376">
        <v>39</v>
      </c>
      <c r="T8376" s="29" t="str">
        <f t="shared" si="358"/>
        <v>2023.001B.Leviviricetes_reorg.zip</v>
      </c>
      <c r="U8376" s="29" t="str">
        <f>HYPERLINK("https://ictv.global/taxonomy/taxondetails?taxnode_id=202316156","ictv.global=202316156")</f>
        <v>ictv.global=202316156</v>
      </c>
    </row>
    <row r="8377" spans="1:21">
      <c r="A8377">
        <v>8376</v>
      </c>
      <c r="B8377" s="30" t="s">
        <v>1226</v>
      </c>
      <c r="D8377" s="30" t="s">
        <v>2024</v>
      </c>
      <c r="F8377" s="30" t="s">
        <v>2046</v>
      </c>
      <c r="H8377" s="30" t="s">
        <v>2859</v>
      </c>
      <c r="J8377" s="30" t="s">
        <v>2860</v>
      </c>
      <c r="L8377" s="30" t="s">
        <v>2861</v>
      </c>
      <c r="N8377" s="30" t="s">
        <v>14965</v>
      </c>
      <c r="P8377" s="30" t="s">
        <v>14966</v>
      </c>
      <c r="Q8377" t="s">
        <v>621</v>
      </c>
      <c r="R8377" t="s">
        <v>917</v>
      </c>
      <c r="S8377">
        <v>39</v>
      </c>
      <c r="T8377" s="29" t="str">
        <f t="shared" si="358"/>
        <v>2023.001B.Leviviricetes_reorg.zip</v>
      </c>
      <c r="U8377" s="29" t="str">
        <f>HYPERLINK("https://ictv.global/taxonomy/taxondetails?taxnode_id=202316157","ictv.global=202316157")</f>
        <v>ictv.global=202316157</v>
      </c>
    </row>
    <row r="8378" spans="1:21">
      <c r="A8378">
        <v>8377</v>
      </c>
      <c r="B8378" s="30" t="s">
        <v>1226</v>
      </c>
      <c r="D8378" s="30" t="s">
        <v>2024</v>
      </c>
      <c r="F8378" s="30" t="s">
        <v>2046</v>
      </c>
      <c r="H8378" s="30" t="s">
        <v>2859</v>
      </c>
      <c r="J8378" s="30" t="s">
        <v>2860</v>
      </c>
      <c r="L8378" s="30" t="s">
        <v>2861</v>
      </c>
      <c r="N8378" s="30" t="s">
        <v>14967</v>
      </c>
      <c r="P8378" s="30" t="s">
        <v>14968</v>
      </c>
      <c r="Q8378" t="s">
        <v>621</v>
      </c>
      <c r="R8378" t="s">
        <v>917</v>
      </c>
      <c r="S8378">
        <v>39</v>
      </c>
      <c r="T8378" s="29" t="str">
        <f t="shared" si="358"/>
        <v>2023.001B.Leviviricetes_reorg.zip</v>
      </c>
      <c r="U8378" s="29" t="str">
        <f>HYPERLINK("https://ictv.global/taxonomy/taxondetails?taxnode_id=202316158","ictv.global=202316158")</f>
        <v>ictv.global=202316158</v>
      </c>
    </row>
    <row r="8379" spans="1:21">
      <c r="A8379">
        <v>8378</v>
      </c>
      <c r="B8379" s="30" t="s">
        <v>1226</v>
      </c>
      <c r="D8379" s="30" t="s">
        <v>2024</v>
      </c>
      <c r="F8379" s="30" t="s">
        <v>2046</v>
      </c>
      <c r="H8379" s="30" t="s">
        <v>2859</v>
      </c>
      <c r="J8379" s="30" t="s">
        <v>2860</v>
      </c>
      <c r="L8379" s="30" t="s">
        <v>2861</v>
      </c>
      <c r="N8379" s="30" t="s">
        <v>14969</v>
      </c>
      <c r="P8379" s="30" t="s">
        <v>14970</v>
      </c>
      <c r="Q8379" t="s">
        <v>621</v>
      </c>
      <c r="R8379" t="s">
        <v>917</v>
      </c>
      <c r="S8379">
        <v>39</v>
      </c>
      <c r="T8379" s="29" t="str">
        <f t="shared" si="358"/>
        <v>2023.001B.Leviviricetes_reorg.zip</v>
      </c>
      <c r="U8379" s="29" t="str">
        <f>HYPERLINK("https://ictv.global/taxonomy/taxondetails?taxnode_id=202316159","ictv.global=202316159")</f>
        <v>ictv.global=202316159</v>
      </c>
    </row>
    <row r="8380" spans="1:21">
      <c r="A8380">
        <v>8379</v>
      </c>
      <c r="B8380" s="30" t="s">
        <v>1226</v>
      </c>
      <c r="D8380" s="30" t="s">
        <v>2024</v>
      </c>
      <c r="F8380" s="30" t="s">
        <v>2046</v>
      </c>
      <c r="H8380" s="30" t="s">
        <v>2859</v>
      </c>
      <c r="J8380" s="30" t="s">
        <v>2860</v>
      </c>
      <c r="L8380" s="30" t="s">
        <v>2861</v>
      </c>
      <c r="N8380" s="30" t="s">
        <v>2879</v>
      </c>
      <c r="P8380" s="30" t="s">
        <v>2880</v>
      </c>
      <c r="Q8380" t="s">
        <v>621</v>
      </c>
      <c r="R8380" t="s">
        <v>917</v>
      </c>
      <c r="S8380">
        <v>36</v>
      </c>
      <c r="T8380" s="29" t="str">
        <f>HYPERLINK("https://ictv.global/ictv/proposals/2020.095B.R.Leviviricetes.zip","2020.095B.R.Leviviricetes.zip")</f>
        <v>2020.095B.R.Leviviricetes.zip</v>
      </c>
      <c r="U8380" s="29" t="str">
        <f>HYPERLINK("https://ictv.global/taxonomy/taxondetails?taxnode_id=202310713","ictv.global=202310713")</f>
        <v>ictv.global=202310713</v>
      </c>
    </row>
    <row r="8381" spans="1:21">
      <c r="A8381">
        <v>8380</v>
      </c>
      <c r="B8381" s="30" t="s">
        <v>1226</v>
      </c>
      <c r="D8381" s="30" t="s">
        <v>2024</v>
      </c>
      <c r="F8381" s="30" t="s">
        <v>2046</v>
      </c>
      <c r="H8381" s="30" t="s">
        <v>2859</v>
      </c>
      <c r="J8381" s="30" t="s">
        <v>2860</v>
      </c>
      <c r="L8381" s="30" t="s">
        <v>2861</v>
      </c>
      <c r="N8381" s="30" t="s">
        <v>14971</v>
      </c>
      <c r="P8381" s="30" t="s">
        <v>14972</v>
      </c>
      <c r="Q8381" t="s">
        <v>621</v>
      </c>
      <c r="R8381" t="s">
        <v>917</v>
      </c>
      <c r="S8381">
        <v>39</v>
      </c>
      <c r="T8381" s="29" t="str">
        <f>HYPERLINK("https://ictv.global/ictv/proposals/2023.001B.Leviviricetes_reorg.zip","2023.001B.Leviviricetes_reorg.zip")</f>
        <v>2023.001B.Leviviricetes_reorg.zip</v>
      </c>
      <c r="U8381" s="29" t="str">
        <f>HYPERLINK("https://ictv.global/taxonomy/taxondetails?taxnode_id=202316160","ictv.global=202316160")</f>
        <v>ictv.global=202316160</v>
      </c>
    </row>
    <row r="8382" spans="1:21">
      <c r="A8382">
        <v>8381</v>
      </c>
      <c r="B8382" s="30" t="s">
        <v>1226</v>
      </c>
      <c r="D8382" s="30" t="s">
        <v>2024</v>
      </c>
      <c r="F8382" s="30" t="s">
        <v>2046</v>
      </c>
      <c r="H8382" s="30" t="s">
        <v>2859</v>
      </c>
      <c r="J8382" s="30" t="s">
        <v>2860</v>
      </c>
      <c r="L8382" s="30" t="s">
        <v>2861</v>
      </c>
      <c r="N8382" s="30" t="s">
        <v>2881</v>
      </c>
      <c r="P8382" s="30" t="s">
        <v>2882</v>
      </c>
      <c r="Q8382" t="s">
        <v>621</v>
      </c>
      <c r="R8382" t="s">
        <v>917</v>
      </c>
      <c r="S8382">
        <v>36</v>
      </c>
      <c r="T8382" s="29" t="str">
        <f>HYPERLINK("https://ictv.global/ictv/proposals/2020.095B.R.Leviviricetes.zip","2020.095B.R.Leviviricetes.zip")</f>
        <v>2020.095B.R.Leviviricetes.zip</v>
      </c>
      <c r="U8382" s="29" t="str">
        <f>HYPERLINK("https://ictv.global/taxonomy/taxondetails?taxnode_id=202310715","ictv.global=202310715")</f>
        <v>ictv.global=202310715</v>
      </c>
    </row>
    <row r="8383" spans="1:21">
      <c r="A8383">
        <v>8382</v>
      </c>
      <c r="B8383" s="30" t="s">
        <v>1226</v>
      </c>
      <c r="D8383" s="30" t="s">
        <v>2024</v>
      </c>
      <c r="F8383" s="30" t="s">
        <v>2046</v>
      </c>
      <c r="H8383" s="30" t="s">
        <v>2859</v>
      </c>
      <c r="J8383" s="30" t="s">
        <v>2860</v>
      </c>
      <c r="L8383" s="30" t="s">
        <v>2861</v>
      </c>
      <c r="N8383" s="30" t="s">
        <v>14973</v>
      </c>
      <c r="P8383" s="30" t="s">
        <v>14974</v>
      </c>
      <c r="Q8383" t="s">
        <v>621</v>
      </c>
      <c r="R8383" t="s">
        <v>917</v>
      </c>
      <c r="S8383">
        <v>39</v>
      </c>
      <c r="T8383" s="29" t="str">
        <f>HYPERLINK("https://ictv.global/ictv/proposals/2023.001B.Leviviricetes_reorg.zip","2023.001B.Leviviricetes_reorg.zip")</f>
        <v>2023.001B.Leviviricetes_reorg.zip</v>
      </c>
      <c r="U8383" s="29" t="str">
        <f>HYPERLINK("https://ictv.global/taxonomy/taxondetails?taxnode_id=202316161","ictv.global=202316161")</f>
        <v>ictv.global=202316161</v>
      </c>
    </row>
    <row r="8384" spans="1:21">
      <c r="A8384">
        <v>8383</v>
      </c>
      <c r="B8384" s="30" t="s">
        <v>1226</v>
      </c>
      <c r="D8384" s="30" t="s">
        <v>2024</v>
      </c>
      <c r="F8384" s="30" t="s">
        <v>2046</v>
      </c>
      <c r="H8384" s="30" t="s">
        <v>2859</v>
      </c>
      <c r="J8384" s="30" t="s">
        <v>2860</v>
      </c>
      <c r="L8384" s="30" t="s">
        <v>2861</v>
      </c>
      <c r="N8384" s="30" t="s">
        <v>14973</v>
      </c>
      <c r="P8384" s="30" t="s">
        <v>14975</v>
      </c>
      <c r="Q8384" t="s">
        <v>621</v>
      </c>
      <c r="R8384" t="s">
        <v>917</v>
      </c>
      <c r="S8384">
        <v>39</v>
      </c>
      <c r="T8384" s="29" t="str">
        <f>HYPERLINK("https://ictv.global/ictv/proposals/2023.001B.Leviviricetes_reorg.zip","2023.001B.Leviviricetes_reorg.zip")</f>
        <v>2023.001B.Leviviricetes_reorg.zip</v>
      </c>
      <c r="U8384" s="29" t="str">
        <f>HYPERLINK("https://ictv.global/taxonomy/taxondetails?taxnode_id=202316162","ictv.global=202316162")</f>
        <v>ictv.global=202316162</v>
      </c>
    </row>
    <row r="8385" spans="1:21">
      <c r="A8385">
        <v>8384</v>
      </c>
      <c r="B8385" s="30" t="s">
        <v>1226</v>
      </c>
      <c r="D8385" s="30" t="s">
        <v>2024</v>
      </c>
      <c r="F8385" s="30" t="s">
        <v>2046</v>
      </c>
      <c r="H8385" s="30" t="s">
        <v>2859</v>
      </c>
      <c r="J8385" s="30" t="s">
        <v>2860</v>
      </c>
      <c r="L8385" s="30" t="s">
        <v>2861</v>
      </c>
      <c r="N8385" s="30" t="s">
        <v>2883</v>
      </c>
      <c r="P8385" s="30" t="s">
        <v>2884</v>
      </c>
      <c r="Q8385" t="s">
        <v>621</v>
      </c>
      <c r="R8385" t="s">
        <v>917</v>
      </c>
      <c r="S8385">
        <v>36</v>
      </c>
      <c r="T8385" s="29" t="str">
        <f>HYPERLINK("https://ictv.global/ictv/proposals/2020.095B.R.Leviviricetes.zip","2020.095B.R.Leviviricetes.zip")</f>
        <v>2020.095B.R.Leviviricetes.zip</v>
      </c>
      <c r="U8385" s="29" t="str">
        <f>HYPERLINK("https://ictv.global/taxonomy/taxondetails?taxnode_id=202310717","ictv.global=202310717")</f>
        <v>ictv.global=202310717</v>
      </c>
    </row>
    <row r="8386" spans="1:21">
      <c r="A8386">
        <v>8385</v>
      </c>
      <c r="B8386" s="30" t="s">
        <v>1226</v>
      </c>
      <c r="D8386" s="30" t="s">
        <v>2024</v>
      </c>
      <c r="F8386" s="30" t="s">
        <v>2046</v>
      </c>
      <c r="H8386" s="30" t="s">
        <v>2859</v>
      </c>
      <c r="J8386" s="30" t="s">
        <v>2860</v>
      </c>
      <c r="L8386" s="30" t="s">
        <v>2861</v>
      </c>
      <c r="N8386" s="30" t="s">
        <v>14976</v>
      </c>
      <c r="P8386" s="30" t="s">
        <v>14977</v>
      </c>
      <c r="Q8386" t="s">
        <v>621</v>
      </c>
      <c r="R8386" t="s">
        <v>917</v>
      </c>
      <c r="S8386">
        <v>39</v>
      </c>
      <c r="T8386" s="29" t="str">
        <f t="shared" ref="T8386:T8396" si="359">HYPERLINK("https://ictv.global/ictv/proposals/2023.001B.Leviviricetes_reorg.zip","2023.001B.Leviviricetes_reorg.zip")</f>
        <v>2023.001B.Leviviricetes_reorg.zip</v>
      </c>
      <c r="U8386" s="29" t="str">
        <f>HYPERLINK("https://ictv.global/taxonomy/taxondetails?taxnode_id=202316163","ictv.global=202316163")</f>
        <v>ictv.global=202316163</v>
      </c>
    </row>
    <row r="8387" spans="1:21">
      <c r="A8387">
        <v>8386</v>
      </c>
      <c r="B8387" s="30" t="s">
        <v>1226</v>
      </c>
      <c r="D8387" s="30" t="s">
        <v>2024</v>
      </c>
      <c r="F8387" s="30" t="s">
        <v>2046</v>
      </c>
      <c r="H8387" s="30" t="s">
        <v>2859</v>
      </c>
      <c r="J8387" s="30" t="s">
        <v>2860</v>
      </c>
      <c r="L8387" s="30" t="s">
        <v>2861</v>
      </c>
      <c r="N8387" s="30" t="s">
        <v>14978</v>
      </c>
      <c r="P8387" s="30" t="s">
        <v>14979</v>
      </c>
      <c r="Q8387" t="s">
        <v>621</v>
      </c>
      <c r="R8387" t="s">
        <v>917</v>
      </c>
      <c r="S8387">
        <v>39</v>
      </c>
      <c r="T8387" s="29" t="str">
        <f t="shared" si="359"/>
        <v>2023.001B.Leviviricetes_reorg.zip</v>
      </c>
      <c r="U8387" s="29" t="str">
        <f>HYPERLINK("https://ictv.global/taxonomy/taxondetails?taxnode_id=202316164","ictv.global=202316164")</f>
        <v>ictv.global=202316164</v>
      </c>
    </row>
    <row r="8388" spans="1:21">
      <c r="A8388">
        <v>8387</v>
      </c>
      <c r="B8388" s="30" t="s">
        <v>1226</v>
      </c>
      <c r="D8388" s="30" t="s">
        <v>2024</v>
      </c>
      <c r="F8388" s="30" t="s">
        <v>2046</v>
      </c>
      <c r="H8388" s="30" t="s">
        <v>2859</v>
      </c>
      <c r="J8388" s="30" t="s">
        <v>2860</v>
      </c>
      <c r="L8388" s="30" t="s">
        <v>2861</v>
      </c>
      <c r="N8388" s="30" t="s">
        <v>14980</v>
      </c>
      <c r="P8388" s="30" t="s">
        <v>14981</v>
      </c>
      <c r="Q8388" t="s">
        <v>621</v>
      </c>
      <c r="R8388" t="s">
        <v>917</v>
      </c>
      <c r="S8388">
        <v>39</v>
      </c>
      <c r="T8388" s="29" t="str">
        <f t="shared" si="359"/>
        <v>2023.001B.Leviviricetes_reorg.zip</v>
      </c>
      <c r="U8388" s="29" t="str">
        <f>HYPERLINK("https://ictv.global/taxonomy/taxondetails?taxnode_id=202316165","ictv.global=202316165")</f>
        <v>ictv.global=202316165</v>
      </c>
    </row>
    <row r="8389" spans="1:21">
      <c r="A8389">
        <v>8388</v>
      </c>
      <c r="B8389" s="30" t="s">
        <v>1226</v>
      </c>
      <c r="D8389" s="30" t="s">
        <v>2024</v>
      </c>
      <c r="F8389" s="30" t="s">
        <v>2046</v>
      </c>
      <c r="H8389" s="30" t="s">
        <v>2859</v>
      </c>
      <c r="J8389" s="30" t="s">
        <v>2860</v>
      </c>
      <c r="L8389" s="30" t="s">
        <v>2861</v>
      </c>
      <c r="N8389" s="30" t="s">
        <v>14982</v>
      </c>
      <c r="P8389" s="30" t="s">
        <v>14983</v>
      </c>
      <c r="Q8389" t="s">
        <v>621</v>
      </c>
      <c r="R8389" t="s">
        <v>917</v>
      </c>
      <c r="S8389">
        <v>39</v>
      </c>
      <c r="T8389" s="29" t="str">
        <f t="shared" si="359"/>
        <v>2023.001B.Leviviricetes_reorg.zip</v>
      </c>
      <c r="U8389" s="29" t="str">
        <f>HYPERLINK("https://ictv.global/taxonomy/taxondetails?taxnode_id=202316166","ictv.global=202316166")</f>
        <v>ictv.global=202316166</v>
      </c>
    </row>
    <row r="8390" spans="1:21">
      <c r="A8390">
        <v>8389</v>
      </c>
      <c r="B8390" s="30" t="s">
        <v>1226</v>
      </c>
      <c r="D8390" s="30" t="s">
        <v>2024</v>
      </c>
      <c r="F8390" s="30" t="s">
        <v>2046</v>
      </c>
      <c r="H8390" s="30" t="s">
        <v>2859</v>
      </c>
      <c r="J8390" s="30" t="s">
        <v>2860</v>
      </c>
      <c r="L8390" s="30" t="s">
        <v>2861</v>
      </c>
      <c r="N8390" s="30" t="s">
        <v>14984</v>
      </c>
      <c r="P8390" s="30" t="s">
        <v>14985</v>
      </c>
      <c r="Q8390" t="s">
        <v>621</v>
      </c>
      <c r="R8390" t="s">
        <v>917</v>
      </c>
      <c r="S8390">
        <v>39</v>
      </c>
      <c r="T8390" s="29" t="str">
        <f t="shared" si="359"/>
        <v>2023.001B.Leviviricetes_reorg.zip</v>
      </c>
      <c r="U8390" s="29" t="str">
        <f>HYPERLINK("https://ictv.global/taxonomy/taxondetails?taxnode_id=202316167","ictv.global=202316167")</f>
        <v>ictv.global=202316167</v>
      </c>
    </row>
    <row r="8391" spans="1:21">
      <c r="A8391">
        <v>8390</v>
      </c>
      <c r="B8391" s="30" t="s">
        <v>1226</v>
      </c>
      <c r="D8391" s="30" t="s">
        <v>2024</v>
      </c>
      <c r="F8391" s="30" t="s">
        <v>2046</v>
      </c>
      <c r="H8391" s="30" t="s">
        <v>2859</v>
      </c>
      <c r="J8391" s="30" t="s">
        <v>2860</v>
      </c>
      <c r="L8391" s="30" t="s">
        <v>2861</v>
      </c>
      <c r="N8391" s="30" t="s">
        <v>14986</v>
      </c>
      <c r="P8391" s="30" t="s">
        <v>14987</v>
      </c>
      <c r="Q8391" t="s">
        <v>621</v>
      </c>
      <c r="R8391" t="s">
        <v>917</v>
      </c>
      <c r="S8391">
        <v>39</v>
      </c>
      <c r="T8391" s="29" t="str">
        <f t="shared" si="359"/>
        <v>2023.001B.Leviviricetes_reorg.zip</v>
      </c>
      <c r="U8391" s="29" t="str">
        <f>HYPERLINK("https://ictv.global/taxonomy/taxondetails?taxnode_id=202316168","ictv.global=202316168")</f>
        <v>ictv.global=202316168</v>
      </c>
    </row>
    <row r="8392" spans="1:21">
      <c r="A8392">
        <v>8391</v>
      </c>
      <c r="B8392" s="30" t="s">
        <v>1226</v>
      </c>
      <c r="D8392" s="30" t="s">
        <v>2024</v>
      </c>
      <c r="F8392" s="30" t="s">
        <v>2046</v>
      </c>
      <c r="H8392" s="30" t="s">
        <v>2859</v>
      </c>
      <c r="J8392" s="30" t="s">
        <v>2860</v>
      </c>
      <c r="L8392" s="30" t="s">
        <v>2861</v>
      </c>
      <c r="N8392" s="30" t="s">
        <v>14988</v>
      </c>
      <c r="P8392" s="30" t="s">
        <v>14989</v>
      </c>
      <c r="Q8392" t="s">
        <v>621</v>
      </c>
      <c r="R8392" t="s">
        <v>917</v>
      </c>
      <c r="S8392">
        <v>39</v>
      </c>
      <c r="T8392" s="29" t="str">
        <f t="shared" si="359"/>
        <v>2023.001B.Leviviricetes_reorg.zip</v>
      </c>
      <c r="U8392" s="29" t="str">
        <f>HYPERLINK("https://ictv.global/taxonomy/taxondetails?taxnode_id=202316169","ictv.global=202316169")</f>
        <v>ictv.global=202316169</v>
      </c>
    </row>
    <row r="8393" spans="1:21">
      <c r="A8393">
        <v>8392</v>
      </c>
      <c r="B8393" s="30" t="s">
        <v>1226</v>
      </c>
      <c r="D8393" s="30" t="s">
        <v>2024</v>
      </c>
      <c r="F8393" s="30" t="s">
        <v>2046</v>
      </c>
      <c r="H8393" s="30" t="s">
        <v>2859</v>
      </c>
      <c r="J8393" s="30" t="s">
        <v>2860</v>
      </c>
      <c r="L8393" s="30" t="s">
        <v>2861</v>
      </c>
      <c r="N8393" s="30" t="s">
        <v>14990</v>
      </c>
      <c r="P8393" s="30" t="s">
        <v>14991</v>
      </c>
      <c r="Q8393" t="s">
        <v>621</v>
      </c>
      <c r="R8393" t="s">
        <v>918</v>
      </c>
      <c r="S8393">
        <v>39</v>
      </c>
      <c r="T8393" s="29" t="str">
        <f t="shared" si="359"/>
        <v>2023.001B.Leviviricetes_reorg.zip</v>
      </c>
      <c r="U8393" s="29" t="str">
        <f>HYPERLINK("https://ictv.global/taxonomy/taxondetails?taxnode_id=202310765","ictv.global=202310765")</f>
        <v>ictv.global=202310765</v>
      </c>
    </row>
    <row r="8394" spans="1:21">
      <c r="A8394">
        <v>8393</v>
      </c>
      <c r="B8394" s="30" t="s">
        <v>1226</v>
      </c>
      <c r="D8394" s="30" t="s">
        <v>2024</v>
      </c>
      <c r="F8394" s="30" t="s">
        <v>2046</v>
      </c>
      <c r="H8394" s="30" t="s">
        <v>2859</v>
      </c>
      <c r="J8394" s="30" t="s">
        <v>2860</v>
      </c>
      <c r="L8394" s="30" t="s">
        <v>2861</v>
      </c>
      <c r="N8394" s="30" t="s">
        <v>14990</v>
      </c>
      <c r="P8394" s="30" t="s">
        <v>14992</v>
      </c>
      <c r="Q8394" t="s">
        <v>621</v>
      </c>
      <c r="R8394" t="s">
        <v>918</v>
      </c>
      <c r="S8394">
        <v>39</v>
      </c>
      <c r="T8394" s="29" t="str">
        <f t="shared" si="359"/>
        <v>2023.001B.Leviviricetes_reorg.zip</v>
      </c>
      <c r="U8394" s="29" t="str">
        <f>HYPERLINK("https://ictv.global/taxonomy/taxondetails?taxnode_id=202310766","ictv.global=202310766")</f>
        <v>ictv.global=202310766</v>
      </c>
    </row>
    <row r="8395" spans="1:21">
      <c r="A8395">
        <v>8394</v>
      </c>
      <c r="B8395" s="30" t="s">
        <v>1226</v>
      </c>
      <c r="D8395" s="30" t="s">
        <v>2024</v>
      </c>
      <c r="F8395" s="30" t="s">
        <v>2046</v>
      </c>
      <c r="H8395" s="30" t="s">
        <v>2859</v>
      </c>
      <c r="J8395" s="30" t="s">
        <v>2860</v>
      </c>
      <c r="L8395" s="30" t="s">
        <v>2861</v>
      </c>
      <c r="N8395" s="30" t="s">
        <v>14990</v>
      </c>
      <c r="P8395" s="30" t="s">
        <v>14993</v>
      </c>
      <c r="Q8395" t="s">
        <v>621</v>
      </c>
      <c r="R8395" t="s">
        <v>918</v>
      </c>
      <c r="S8395">
        <v>39</v>
      </c>
      <c r="T8395" s="29" t="str">
        <f t="shared" si="359"/>
        <v>2023.001B.Leviviricetes_reorg.zip</v>
      </c>
      <c r="U8395" s="29" t="str">
        <f>HYPERLINK("https://ictv.global/taxonomy/taxondetails?taxnode_id=202310767","ictv.global=202310767")</f>
        <v>ictv.global=202310767</v>
      </c>
    </row>
    <row r="8396" spans="1:21">
      <c r="A8396">
        <v>8395</v>
      </c>
      <c r="B8396" s="30" t="s">
        <v>1226</v>
      </c>
      <c r="D8396" s="30" t="s">
        <v>2024</v>
      </c>
      <c r="F8396" s="30" t="s">
        <v>2046</v>
      </c>
      <c r="H8396" s="30" t="s">
        <v>2859</v>
      </c>
      <c r="J8396" s="30" t="s">
        <v>2860</v>
      </c>
      <c r="L8396" s="30" t="s">
        <v>2861</v>
      </c>
      <c r="N8396" s="30" t="s">
        <v>14990</v>
      </c>
      <c r="P8396" s="30" t="s">
        <v>14994</v>
      </c>
      <c r="Q8396" t="s">
        <v>621</v>
      </c>
      <c r="R8396" t="s">
        <v>918</v>
      </c>
      <c r="S8396">
        <v>39</v>
      </c>
      <c r="T8396" s="29" t="str">
        <f t="shared" si="359"/>
        <v>2023.001B.Leviviricetes_reorg.zip</v>
      </c>
      <c r="U8396" s="29" t="str">
        <f>HYPERLINK("https://ictv.global/taxonomy/taxondetails?taxnode_id=202310768","ictv.global=202310768")</f>
        <v>ictv.global=202310768</v>
      </c>
    </row>
    <row r="8397" spans="1:21">
      <c r="A8397">
        <v>8396</v>
      </c>
      <c r="B8397" s="30" t="s">
        <v>1226</v>
      </c>
      <c r="D8397" s="30" t="s">
        <v>2024</v>
      </c>
      <c r="F8397" s="30" t="s">
        <v>2046</v>
      </c>
      <c r="H8397" s="30" t="s">
        <v>2859</v>
      </c>
      <c r="J8397" s="30" t="s">
        <v>2860</v>
      </c>
      <c r="L8397" s="30" t="s">
        <v>2861</v>
      </c>
      <c r="N8397" s="30" t="s">
        <v>2885</v>
      </c>
      <c r="P8397" s="30" t="s">
        <v>2886</v>
      </c>
      <c r="Q8397" t="s">
        <v>621</v>
      </c>
      <c r="R8397" t="s">
        <v>917</v>
      </c>
      <c r="S8397">
        <v>36</v>
      </c>
      <c r="T8397" s="29" t="str">
        <f>HYPERLINK("https://ictv.global/ictv/proposals/2020.095B.R.Leviviricetes.zip","2020.095B.R.Leviviricetes.zip")</f>
        <v>2020.095B.R.Leviviricetes.zip</v>
      </c>
      <c r="U8397" s="29" t="str">
        <f>HYPERLINK("https://ictv.global/taxonomy/taxondetails?taxnode_id=202310719","ictv.global=202310719")</f>
        <v>ictv.global=202310719</v>
      </c>
    </row>
    <row r="8398" spans="1:21">
      <c r="A8398">
        <v>8397</v>
      </c>
      <c r="B8398" s="30" t="s">
        <v>1226</v>
      </c>
      <c r="D8398" s="30" t="s">
        <v>2024</v>
      </c>
      <c r="F8398" s="30" t="s">
        <v>2046</v>
      </c>
      <c r="H8398" s="30" t="s">
        <v>2859</v>
      </c>
      <c r="J8398" s="30" t="s">
        <v>2860</v>
      </c>
      <c r="L8398" s="30" t="s">
        <v>2861</v>
      </c>
      <c r="N8398" s="30" t="s">
        <v>2887</v>
      </c>
      <c r="P8398" s="30" t="s">
        <v>2888</v>
      </c>
      <c r="Q8398" t="s">
        <v>621</v>
      </c>
      <c r="R8398" t="s">
        <v>917</v>
      </c>
      <c r="S8398">
        <v>36</v>
      </c>
      <c r="T8398" s="29" t="str">
        <f>HYPERLINK("https://ictv.global/ictv/proposals/2020.095B.R.Leviviricetes.zip","2020.095B.R.Leviviricetes.zip")</f>
        <v>2020.095B.R.Leviviricetes.zip</v>
      </c>
      <c r="U8398" s="29" t="str">
        <f>HYPERLINK("https://ictv.global/taxonomy/taxondetails?taxnode_id=202310723","ictv.global=202310723")</f>
        <v>ictv.global=202310723</v>
      </c>
    </row>
    <row r="8399" spans="1:21">
      <c r="A8399">
        <v>8398</v>
      </c>
      <c r="B8399" s="30" t="s">
        <v>1226</v>
      </c>
      <c r="D8399" s="30" t="s">
        <v>2024</v>
      </c>
      <c r="F8399" s="30" t="s">
        <v>2046</v>
      </c>
      <c r="H8399" s="30" t="s">
        <v>2859</v>
      </c>
      <c r="J8399" s="30" t="s">
        <v>2860</v>
      </c>
      <c r="L8399" s="30" t="s">
        <v>2861</v>
      </c>
      <c r="N8399" s="30" t="s">
        <v>2887</v>
      </c>
      <c r="P8399" s="30" t="s">
        <v>2889</v>
      </c>
      <c r="Q8399" t="s">
        <v>621</v>
      </c>
      <c r="R8399" t="s">
        <v>917</v>
      </c>
      <c r="S8399">
        <v>36</v>
      </c>
      <c r="T8399" s="29" t="str">
        <f>HYPERLINK("https://ictv.global/ictv/proposals/2020.095B.R.Leviviricetes.zip","2020.095B.R.Leviviricetes.zip")</f>
        <v>2020.095B.R.Leviviricetes.zip</v>
      </c>
      <c r="U8399" s="29" t="str">
        <f>HYPERLINK("https://ictv.global/taxonomy/taxondetails?taxnode_id=202310721","ictv.global=202310721")</f>
        <v>ictv.global=202310721</v>
      </c>
    </row>
    <row r="8400" spans="1:21">
      <c r="A8400">
        <v>8399</v>
      </c>
      <c r="B8400" s="30" t="s">
        <v>1226</v>
      </c>
      <c r="D8400" s="30" t="s">
        <v>2024</v>
      </c>
      <c r="F8400" s="30" t="s">
        <v>2046</v>
      </c>
      <c r="H8400" s="30" t="s">
        <v>2859</v>
      </c>
      <c r="J8400" s="30" t="s">
        <v>2860</v>
      </c>
      <c r="L8400" s="30" t="s">
        <v>2861</v>
      </c>
      <c r="N8400" s="30" t="s">
        <v>2887</v>
      </c>
      <c r="P8400" s="30" t="s">
        <v>2890</v>
      </c>
      <c r="Q8400" t="s">
        <v>621</v>
      </c>
      <c r="R8400" t="s">
        <v>917</v>
      </c>
      <c r="S8400">
        <v>36</v>
      </c>
      <c r="T8400" s="29" t="str">
        <f>HYPERLINK("https://ictv.global/ictv/proposals/2020.095B.R.Leviviricetes.zip","2020.095B.R.Leviviricetes.zip")</f>
        <v>2020.095B.R.Leviviricetes.zip</v>
      </c>
      <c r="U8400" s="29" t="str">
        <f>HYPERLINK("https://ictv.global/taxonomy/taxondetails?taxnode_id=202310722","ictv.global=202310722")</f>
        <v>ictv.global=202310722</v>
      </c>
    </row>
    <row r="8401" spans="1:21">
      <c r="A8401">
        <v>8400</v>
      </c>
      <c r="B8401" s="30" t="s">
        <v>1226</v>
      </c>
      <c r="D8401" s="30" t="s">
        <v>2024</v>
      </c>
      <c r="F8401" s="30" t="s">
        <v>2046</v>
      </c>
      <c r="H8401" s="30" t="s">
        <v>2859</v>
      </c>
      <c r="J8401" s="30" t="s">
        <v>2860</v>
      </c>
      <c r="L8401" s="30" t="s">
        <v>2861</v>
      </c>
      <c r="N8401" s="30" t="s">
        <v>2891</v>
      </c>
      <c r="P8401" s="30" t="s">
        <v>14995</v>
      </c>
      <c r="Q8401" t="s">
        <v>621</v>
      </c>
      <c r="R8401" t="s">
        <v>917</v>
      </c>
      <c r="S8401">
        <v>39</v>
      </c>
      <c r="T8401" s="29" t="str">
        <f>HYPERLINK("https://ictv.global/ictv/proposals/2023.001B.Leviviricetes_reorg.zip","2023.001B.Leviviricetes_reorg.zip")</f>
        <v>2023.001B.Leviviricetes_reorg.zip</v>
      </c>
      <c r="U8401" s="29" t="str">
        <f>HYPERLINK("https://ictv.global/taxonomy/taxondetails?taxnode_id=202316170","ictv.global=202316170")</f>
        <v>ictv.global=202316170</v>
      </c>
    </row>
    <row r="8402" spans="1:21">
      <c r="A8402">
        <v>8401</v>
      </c>
      <c r="B8402" s="30" t="s">
        <v>1226</v>
      </c>
      <c r="D8402" s="30" t="s">
        <v>2024</v>
      </c>
      <c r="F8402" s="30" t="s">
        <v>2046</v>
      </c>
      <c r="H8402" s="30" t="s">
        <v>2859</v>
      </c>
      <c r="J8402" s="30" t="s">
        <v>2860</v>
      </c>
      <c r="L8402" s="30" t="s">
        <v>2861</v>
      </c>
      <c r="N8402" s="30" t="s">
        <v>2891</v>
      </c>
      <c r="P8402" s="30" t="s">
        <v>2892</v>
      </c>
      <c r="Q8402" t="s">
        <v>621</v>
      </c>
      <c r="R8402" t="s">
        <v>917</v>
      </c>
      <c r="S8402">
        <v>36</v>
      </c>
      <c r="T8402" s="29" t="str">
        <f>HYPERLINK("https://ictv.global/ictv/proposals/2020.095B.R.Leviviricetes.zip","2020.095B.R.Leviviricetes.zip")</f>
        <v>2020.095B.R.Leviviricetes.zip</v>
      </c>
      <c r="U8402" s="29" t="str">
        <f>HYPERLINK("https://ictv.global/taxonomy/taxondetails?taxnode_id=202310725","ictv.global=202310725")</f>
        <v>ictv.global=202310725</v>
      </c>
    </row>
    <row r="8403" spans="1:21">
      <c r="A8403">
        <v>8402</v>
      </c>
      <c r="B8403" s="30" t="s">
        <v>1226</v>
      </c>
      <c r="D8403" s="30" t="s">
        <v>2024</v>
      </c>
      <c r="F8403" s="30" t="s">
        <v>2046</v>
      </c>
      <c r="H8403" s="30" t="s">
        <v>2859</v>
      </c>
      <c r="J8403" s="30" t="s">
        <v>2860</v>
      </c>
      <c r="L8403" s="30" t="s">
        <v>2861</v>
      </c>
      <c r="N8403" s="30" t="s">
        <v>2891</v>
      </c>
      <c r="P8403" s="30" t="s">
        <v>14996</v>
      </c>
      <c r="Q8403" t="s">
        <v>621</v>
      </c>
      <c r="R8403" t="s">
        <v>917</v>
      </c>
      <c r="S8403">
        <v>39</v>
      </c>
      <c r="T8403" s="29" t="str">
        <f>HYPERLINK("https://ictv.global/ictv/proposals/2023.001B.Leviviricetes_reorg.zip","2023.001B.Leviviricetes_reorg.zip")</f>
        <v>2023.001B.Leviviricetes_reorg.zip</v>
      </c>
      <c r="U8403" s="29" t="str">
        <f>HYPERLINK("https://ictv.global/taxonomy/taxondetails?taxnode_id=202316171","ictv.global=202316171")</f>
        <v>ictv.global=202316171</v>
      </c>
    </row>
    <row r="8404" spans="1:21">
      <c r="A8404">
        <v>8403</v>
      </c>
      <c r="B8404" s="30" t="s">
        <v>1226</v>
      </c>
      <c r="D8404" s="30" t="s">
        <v>2024</v>
      </c>
      <c r="F8404" s="30" t="s">
        <v>2046</v>
      </c>
      <c r="H8404" s="30" t="s">
        <v>2859</v>
      </c>
      <c r="J8404" s="30" t="s">
        <v>2860</v>
      </c>
      <c r="L8404" s="30" t="s">
        <v>2861</v>
      </c>
      <c r="N8404" s="30" t="s">
        <v>2891</v>
      </c>
      <c r="P8404" s="30" t="s">
        <v>14997</v>
      </c>
      <c r="Q8404" t="s">
        <v>621</v>
      </c>
      <c r="R8404" t="s">
        <v>917</v>
      </c>
      <c r="S8404">
        <v>39</v>
      </c>
      <c r="T8404" s="29" t="str">
        <f>HYPERLINK("https://ictv.global/ictv/proposals/2023.001B.Leviviricetes_reorg.zip","2023.001B.Leviviricetes_reorg.zip")</f>
        <v>2023.001B.Leviviricetes_reorg.zip</v>
      </c>
      <c r="U8404" s="29" t="str">
        <f>HYPERLINK("https://ictv.global/taxonomy/taxondetails?taxnode_id=202316172","ictv.global=202316172")</f>
        <v>ictv.global=202316172</v>
      </c>
    </row>
    <row r="8405" spans="1:21">
      <c r="A8405">
        <v>8404</v>
      </c>
      <c r="B8405" s="30" t="s">
        <v>1226</v>
      </c>
      <c r="D8405" s="30" t="s">
        <v>2024</v>
      </c>
      <c r="F8405" s="30" t="s">
        <v>2046</v>
      </c>
      <c r="H8405" s="30" t="s">
        <v>2859</v>
      </c>
      <c r="J8405" s="30" t="s">
        <v>2860</v>
      </c>
      <c r="L8405" s="30" t="s">
        <v>2861</v>
      </c>
      <c r="N8405" s="30" t="s">
        <v>2891</v>
      </c>
      <c r="P8405" s="30" t="s">
        <v>14998</v>
      </c>
      <c r="Q8405" t="s">
        <v>621</v>
      </c>
      <c r="R8405" t="s">
        <v>917</v>
      </c>
      <c r="S8405">
        <v>39</v>
      </c>
      <c r="T8405" s="29" t="str">
        <f>HYPERLINK("https://ictv.global/ictv/proposals/2023.001B.Leviviricetes_reorg.zip","2023.001B.Leviviricetes_reorg.zip")</f>
        <v>2023.001B.Leviviricetes_reorg.zip</v>
      </c>
      <c r="U8405" s="29" t="str">
        <f>HYPERLINK("https://ictv.global/taxonomy/taxondetails?taxnode_id=202316173","ictv.global=202316173")</f>
        <v>ictv.global=202316173</v>
      </c>
    </row>
    <row r="8406" spans="1:21">
      <c r="A8406">
        <v>8405</v>
      </c>
      <c r="B8406" s="30" t="s">
        <v>1226</v>
      </c>
      <c r="D8406" s="30" t="s">
        <v>2024</v>
      </c>
      <c r="F8406" s="30" t="s">
        <v>2046</v>
      </c>
      <c r="H8406" s="30" t="s">
        <v>2859</v>
      </c>
      <c r="J8406" s="30" t="s">
        <v>2860</v>
      </c>
      <c r="L8406" s="30" t="s">
        <v>2861</v>
      </c>
      <c r="N8406" s="30" t="s">
        <v>2893</v>
      </c>
      <c r="P8406" s="30" t="s">
        <v>2894</v>
      </c>
      <c r="Q8406" t="s">
        <v>621</v>
      </c>
      <c r="R8406" t="s">
        <v>917</v>
      </c>
      <c r="S8406">
        <v>36</v>
      </c>
      <c r="T8406" s="29" t="str">
        <f>HYPERLINK("https://ictv.global/ictv/proposals/2020.095B.R.Leviviricetes.zip","2020.095B.R.Leviviricetes.zip")</f>
        <v>2020.095B.R.Leviviricetes.zip</v>
      </c>
      <c r="U8406" s="29" t="str">
        <f>HYPERLINK("https://ictv.global/taxonomy/taxondetails?taxnode_id=202310727","ictv.global=202310727")</f>
        <v>ictv.global=202310727</v>
      </c>
    </row>
    <row r="8407" spans="1:21">
      <c r="A8407">
        <v>8406</v>
      </c>
      <c r="B8407" s="30" t="s">
        <v>1226</v>
      </c>
      <c r="D8407" s="30" t="s">
        <v>2024</v>
      </c>
      <c r="F8407" s="30" t="s">
        <v>2046</v>
      </c>
      <c r="H8407" s="30" t="s">
        <v>2859</v>
      </c>
      <c r="J8407" s="30" t="s">
        <v>2860</v>
      </c>
      <c r="L8407" s="30" t="s">
        <v>2861</v>
      </c>
      <c r="N8407" s="30" t="s">
        <v>2895</v>
      </c>
      <c r="P8407" s="30" t="s">
        <v>2896</v>
      </c>
      <c r="Q8407" t="s">
        <v>621</v>
      </c>
      <c r="R8407" t="s">
        <v>917</v>
      </c>
      <c r="S8407">
        <v>36</v>
      </c>
      <c r="T8407" s="29" t="str">
        <f>HYPERLINK("https://ictv.global/ictv/proposals/2020.095B.R.Leviviricetes.zip","2020.095B.R.Leviviricetes.zip")</f>
        <v>2020.095B.R.Leviviricetes.zip</v>
      </c>
      <c r="U8407" s="29" t="str">
        <f>HYPERLINK("https://ictv.global/taxonomy/taxondetails?taxnode_id=202310729","ictv.global=202310729")</f>
        <v>ictv.global=202310729</v>
      </c>
    </row>
    <row r="8408" spans="1:21">
      <c r="A8408">
        <v>8407</v>
      </c>
      <c r="B8408" s="30" t="s">
        <v>1226</v>
      </c>
      <c r="D8408" s="30" t="s">
        <v>2024</v>
      </c>
      <c r="F8408" s="30" t="s">
        <v>2046</v>
      </c>
      <c r="H8408" s="30" t="s">
        <v>2859</v>
      </c>
      <c r="J8408" s="30" t="s">
        <v>2860</v>
      </c>
      <c r="L8408" s="30" t="s">
        <v>2861</v>
      </c>
      <c r="N8408" s="30" t="s">
        <v>2895</v>
      </c>
      <c r="P8408" s="30" t="s">
        <v>14999</v>
      </c>
      <c r="Q8408" t="s">
        <v>621</v>
      </c>
      <c r="R8408" t="s">
        <v>917</v>
      </c>
      <c r="S8408">
        <v>39</v>
      </c>
      <c r="T8408" s="29" t="str">
        <f>HYPERLINK("https://ictv.global/ictv/proposals/2023.001B.Leviviricetes_reorg.zip","2023.001B.Leviviricetes_reorg.zip")</f>
        <v>2023.001B.Leviviricetes_reorg.zip</v>
      </c>
      <c r="U8408" s="29" t="str">
        <f>HYPERLINK("https://ictv.global/taxonomy/taxondetails?taxnode_id=202316174","ictv.global=202316174")</f>
        <v>ictv.global=202316174</v>
      </c>
    </row>
    <row r="8409" spans="1:21">
      <c r="A8409">
        <v>8408</v>
      </c>
      <c r="B8409" s="30" t="s">
        <v>1226</v>
      </c>
      <c r="D8409" s="30" t="s">
        <v>2024</v>
      </c>
      <c r="F8409" s="30" t="s">
        <v>2046</v>
      </c>
      <c r="H8409" s="30" t="s">
        <v>2859</v>
      </c>
      <c r="J8409" s="30" t="s">
        <v>2860</v>
      </c>
      <c r="L8409" s="30" t="s">
        <v>2861</v>
      </c>
      <c r="N8409" s="30" t="s">
        <v>2897</v>
      </c>
      <c r="P8409" s="30" t="s">
        <v>2898</v>
      </c>
      <c r="Q8409" t="s">
        <v>621</v>
      </c>
      <c r="R8409" t="s">
        <v>917</v>
      </c>
      <c r="S8409">
        <v>36</v>
      </c>
      <c r="T8409" s="29" t="str">
        <f>HYPERLINK("https://ictv.global/ictv/proposals/2020.095B.R.Leviviricetes.zip","2020.095B.R.Leviviricetes.zip")</f>
        <v>2020.095B.R.Leviviricetes.zip</v>
      </c>
      <c r="U8409" s="29" t="str">
        <f>HYPERLINK("https://ictv.global/taxonomy/taxondetails?taxnode_id=202310731","ictv.global=202310731")</f>
        <v>ictv.global=202310731</v>
      </c>
    </row>
    <row r="8410" spans="1:21">
      <c r="A8410">
        <v>8409</v>
      </c>
      <c r="B8410" s="30" t="s">
        <v>1226</v>
      </c>
      <c r="D8410" s="30" t="s">
        <v>2024</v>
      </c>
      <c r="F8410" s="30" t="s">
        <v>2046</v>
      </c>
      <c r="H8410" s="30" t="s">
        <v>2859</v>
      </c>
      <c r="J8410" s="30" t="s">
        <v>2860</v>
      </c>
      <c r="L8410" s="30" t="s">
        <v>2861</v>
      </c>
      <c r="N8410" s="30" t="s">
        <v>2899</v>
      </c>
      <c r="P8410" s="30" t="s">
        <v>2900</v>
      </c>
      <c r="Q8410" t="s">
        <v>621</v>
      </c>
      <c r="R8410" t="s">
        <v>917</v>
      </c>
      <c r="S8410">
        <v>36</v>
      </c>
      <c r="T8410" s="29" t="str">
        <f>HYPERLINK("https://ictv.global/ictv/proposals/2020.095B.R.Leviviricetes.zip","2020.095B.R.Leviviricetes.zip")</f>
        <v>2020.095B.R.Leviviricetes.zip</v>
      </c>
      <c r="U8410" s="29" t="str">
        <f>HYPERLINK("https://ictv.global/taxonomy/taxondetails?taxnode_id=202310733","ictv.global=202310733")</f>
        <v>ictv.global=202310733</v>
      </c>
    </row>
    <row r="8411" spans="1:21">
      <c r="A8411">
        <v>8410</v>
      </c>
      <c r="B8411" s="30" t="s">
        <v>1226</v>
      </c>
      <c r="D8411" s="30" t="s">
        <v>2024</v>
      </c>
      <c r="F8411" s="30" t="s">
        <v>2046</v>
      </c>
      <c r="H8411" s="30" t="s">
        <v>2859</v>
      </c>
      <c r="J8411" s="30" t="s">
        <v>2860</v>
      </c>
      <c r="L8411" s="30" t="s">
        <v>2861</v>
      </c>
      <c r="N8411" s="30" t="s">
        <v>2901</v>
      </c>
      <c r="P8411" s="30" t="s">
        <v>2902</v>
      </c>
      <c r="Q8411" t="s">
        <v>621</v>
      </c>
      <c r="R8411" t="s">
        <v>917</v>
      </c>
      <c r="S8411">
        <v>36</v>
      </c>
      <c r="T8411" s="29" t="str">
        <f>HYPERLINK("https://ictv.global/ictv/proposals/2020.095B.R.Leviviricetes.zip","2020.095B.R.Leviviricetes.zip")</f>
        <v>2020.095B.R.Leviviricetes.zip</v>
      </c>
      <c r="U8411" s="29" t="str">
        <f>HYPERLINK("https://ictv.global/taxonomy/taxondetails?taxnode_id=202310735","ictv.global=202310735")</f>
        <v>ictv.global=202310735</v>
      </c>
    </row>
    <row r="8412" spans="1:21">
      <c r="A8412">
        <v>8411</v>
      </c>
      <c r="B8412" s="30" t="s">
        <v>1226</v>
      </c>
      <c r="D8412" s="30" t="s">
        <v>2024</v>
      </c>
      <c r="F8412" s="30" t="s">
        <v>2046</v>
      </c>
      <c r="H8412" s="30" t="s">
        <v>2859</v>
      </c>
      <c r="J8412" s="30" t="s">
        <v>2860</v>
      </c>
      <c r="L8412" s="30" t="s">
        <v>2861</v>
      </c>
      <c r="N8412" s="30" t="s">
        <v>2903</v>
      </c>
      <c r="P8412" s="30" t="s">
        <v>15000</v>
      </c>
      <c r="Q8412" t="s">
        <v>621</v>
      </c>
      <c r="R8412" t="s">
        <v>917</v>
      </c>
      <c r="S8412">
        <v>39</v>
      </c>
      <c r="T8412" s="29" t="str">
        <f>HYPERLINK("https://ictv.global/ictv/proposals/2023.001B.Leviviricetes_reorg.zip","2023.001B.Leviviricetes_reorg.zip")</f>
        <v>2023.001B.Leviviricetes_reorg.zip</v>
      </c>
      <c r="U8412" s="29" t="str">
        <f>HYPERLINK("https://ictv.global/taxonomy/taxondetails?taxnode_id=202316175","ictv.global=202316175")</f>
        <v>ictv.global=202316175</v>
      </c>
    </row>
    <row r="8413" spans="1:21">
      <c r="A8413">
        <v>8412</v>
      </c>
      <c r="B8413" s="30" t="s">
        <v>1226</v>
      </c>
      <c r="D8413" s="30" t="s">
        <v>2024</v>
      </c>
      <c r="F8413" s="30" t="s">
        <v>2046</v>
      </c>
      <c r="H8413" s="30" t="s">
        <v>2859</v>
      </c>
      <c r="J8413" s="30" t="s">
        <v>2860</v>
      </c>
      <c r="L8413" s="30" t="s">
        <v>2861</v>
      </c>
      <c r="N8413" s="30" t="s">
        <v>2903</v>
      </c>
      <c r="P8413" s="30" t="s">
        <v>2904</v>
      </c>
      <c r="Q8413" t="s">
        <v>621</v>
      </c>
      <c r="R8413" t="s">
        <v>917</v>
      </c>
      <c r="S8413">
        <v>36</v>
      </c>
      <c r="T8413" s="29" t="str">
        <f>HYPERLINK("https://ictv.global/ictv/proposals/2020.095B.R.Leviviricetes.zip","2020.095B.R.Leviviricetes.zip")</f>
        <v>2020.095B.R.Leviviricetes.zip</v>
      </c>
      <c r="U8413" s="29" t="str">
        <f>HYPERLINK("https://ictv.global/taxonomy/taxondetails?taxnode_id=202310737","ictv.global=202310737")</f>
        <v>ictv.global=202310737</v>
      </c>
    </row>
    <row r="8414" spans="1:21">
      <c r="A8414">
        <v>8413</v>
      </c>
      <c r="B8414" s="30" t="s">
        <v>1226</v>
      </c>
      <c r="D8414" s="30" t="s">
        <v>2024</v>
      </c>
      <c r="F8414" s="30" t="s">
        <v>2046</v>
      </c>
      <c r="H8414" s="30" t="s">
        <v>2859</v>
      </c>
      <c r="J8414" s="30" t="s">
        <v>2860</v>
      </c>
      <c r="L8414" s="30" t="s">
        <v>2861</v>
      </c>
      <c r="N8414" s="30" t="s">
        <v>2903</v>
      </c>
      <c r="P8414" s="30" t="s">
        <v>15001</v>
      </c>
      <c r="Q8414" t="s">
        <v>621</v>
      </c>
      <c r="R8414" t="s">
        <v>917</v>
      </c>
      <c r="S8414">
        <v>39</v>
      </c>
      <c r="T8414" s="29" t="str">
        <f>HYPERLINK("https://ictv.global/ictv/proposals/2023.001B.Leviviricetes_reorg.zip","2023.001B.Leviviricetes_reorg.zip")</f>
        <v>2023.001B.Leviviricetes_reorg.zip</v>
      </c>
      <c r="U8414" s="29" t="str">
        <f>HYPERLINK("https://ictv.global/taxonomy/taxondetails?taxnode_id=202316176","ictv.global=202316176")</f>
        <v>ictv.global=202316176</v>
      </c>
    </row>
    <row r="8415" spans="1:21">
      <c r="A8415">
        <v>8414</v>
      </c>
      <c r="B8415" s="30" t="s">
        <v>1226</v>
      </c>
      <c r="D8415" s="30" t="s">
        <v>2024</v>
      </c>
      <c r="F8415" s="30" t="s">
        <v>2046</v>
      </c>
      <c r="H8415" s="30" t="s">
        <v>2859</v>
      </c>
      <c r="J8415" s="30" t="s">
        <v>2860</v>
      </c>
      <c r="L8415" s="30" t="s">
        <v>2861</v>
      </c>
      <c r="N8415" s="30" t="s">
        <v>2905</v>
      </c>
      <c r="P8415" s="30" t="s">
        <v>15002</v>
      </c>
      <c r="Q8415" t="s">
        <v>621</v>
      </c>
      <c r="R8415" t="s">
        <v>917</v>
      </c>
      <c r="S8415">
        <v>39</v>
      </c>
      <c r="T8415" s="29" t="str">
        <f>HYPERLINK("https://ictv.global/ictv/proposals/2023.001B.Leviviricetes_reorg.zip","2023.001B.Leviviricetes_reorg.zip")</f>
        <v>2023.001B.Leviviricetes_reorg.zip</v>
      </c>
      <c r="U8415" s="29" t="str">
        <f>HYPERLINK("https://ictv.global/taxonomy/taxondetails?taxnode_id=202316177","ictv.global=202316177")</f>
        <v>ictv.global=202316177</v>
      </c>
    </row>
    <row r="8416" spans="1:21">
      <c r="A8416">
        <v>8415</v>
      </c>
      <c r="B8416" s="30" t="s">
        <v>1226</v>
      </c>
      <c r="D8416" s="30" t="s">
        <v>2024</v>
      </c>
      <c r="F8416" s="30" t="s">
        <v>2046</v>
      </c>
      <c r="H8416" s="30" t="s">
        <v>2859</v>
      </c>
      <c r="J8416" s="30" t="s">
        <v>2860</v>
      </c>
      <c r="L8416" s="30" t="s">
        <v>2861</v>
      </c>
      <c r="N8416" s="30" t="s">
        <v>2905</v>
      </c>
      <c r="P8416" s="30" t="s">
        <v>2906</v>
      </c>
      <c r="Q8416" t="s">
        <v>621</v>
      </c>
      <c r="R8416" t="s">
        <v>917</v>
      </c>
      <c r="S8416">
        <v>36</v>
      </c>
      <c r="T8416" s="29" t="str">
        <f>HYPERLINK("https://ictv.global/ictv/proposals/2020.095B.R.Leviviricetes.zip","2020.095B.R.Leviviricetes.zip")</f>
        <v>2020.095B.R.Leviviricetes.zip</v>
      </c>
      <c r="U8416" s="29" t="str">
        <f>HYPERLINK("https://ictv.global/taxonomy/taxondetails?taxnode_id=202310740","ictv.global=202310740")</f>
        <v>ictv.global=202310740</v>
      </c>
    </row>
    <row r="8417" spans="1:21">
      <c r="A8417">
        <v>8416</v>
      </c>
      <c r="B8417" s="30" t="s">
        <v>1226</v>
      </c>
      <c r="D8417" s="30" t="s">
        <v>2024</v>
      </c>
      <c r="F8417" s="30" t="s">
        <v>2046</v>
      </c>
      <c r="H8417" s="30" t="s">
        <v>2859</v>
      </c>
      <c r="J8417" s="30" t="s">
        <v>2860</v>
      </c>
      <c r="L8417" s="30" t="s">
        <v>2861</v>
      </c>
      <c r="N8417" s="30" t="s">
        <v>2905</v>
      </c>
      <c r="P8417" s="30" t="s">
        <v>15003</v>
      </c>
      <c r="Q8417" t="s">
        <v>621</v>
      </c>
      <c r="R8417" t="s">
        <v>918</v>
      </c>
      <c r="S8417">
        <v>39</v>
      </c>
      <c r="T8417" s="29" t="str">
        <f t="shared" ref="T8417:T8424" si="360">HYPERLINK("https://ictv.global/ictv/proposals/2023.001B.Leviviricetes_reorg.zip","2023.001B.Leviviricetes_reorg.zip")</f>
        <v>2023.001B.Leviviricetes_reorg.zip</v>
      </c>
      <c r="U8417" s="29" t="str">
        <f>HYPERLINK("https://ictv.global/taxonomy/taxondetails?taxnode_id=202310819","ictv.global=202310819")</f>
        <v>ictv.global=202310819</v>
      </c>
    </row>
    <row r="8418" spans="1:21">
      <c r="A8418">
        <v>8417</v>
      </c>
      <c r="B8418" s="30" t="s">
        <v>1226</v>
      </c>
      <c r="D8418" s="30" t="s">
        <v>2024</v>
      </c>
      <c r="F8418" s="30" t="s">
        <v>2046</v>
      </c>
      <c r="H8418" s="30" t="s">
        <v>2859</v>
      </c>
      <c r="J8418" s="30" t="s">
        <v>2860</v>
      </c>
      <c r="L8418" s="30" t="s">
        <v>2861</v>
      </c>
      <c r="N8418" s="30" t="s">
        <v>2905</v>
      </c>
      <c r="P8418" s="30" t="s">
        <v>15004</v>
      </c>
      <c r="Q8418" t="s">
        <v>621</v>
      </c>
      <c r="R8418" t="s">
        <v>917</v>
      </c>
      <c r="S8418">
        <v>39</v>
      </c>
      <c r="T8418" s="29" t="str">
        <f t="shared" si="360"/>
        <v>2023.001B.Leviviricetes_reorg.zip</v>
      </c>
      <c r="U8418" s="29" t="str">
        <f>HYPERLINK("https://ictv.global/taxonomy/taxondetails?taxnode_id=202316178","ictv.global=202316178")</f>
        <v>ictv.global=202316178</v>
      </c>
    </row>
    <row r="8419" spans="1:21">
      <c r="A8419">
        <v>8418</v>
      </c>
      <c r="B8419" s="30" t="s">
        <v>1226</v>
      </c>
      <c r="D8419" s="30" t="s">
        <v>2024</v>
      </c>
      <c r="F8419" s="30" t="s">
        <v>2046</v>
      </c>
      <c r="H8419" s="30" t="s">
        <v>2859</v>
      </c>
      <c r="J8419" s="30" t="s">
        <v>2860</v>
      </c>
      <c r="L8419" s="30" t="s">
        <v>2861</v>
      </c>
      <c r="N8419" s="30" t="s">
        <v>2905</v>
      </c>
      <c r="P8419" s="30" t="s">
        <v>15005</v>
      </c>
      <c r="Q8419" t="s">
        <v>621</v>
      </c>
      <c r="R8419" t="s">
        <v>917</v>
      </c>
      <c r="S8419">
        <v>39</v>
      </c>
      <c r="T8419" s="29" t="str">
        <f t="shared" si="360"/>
        <v>2023.001B.Leviviricetes_reorg.zip</v>
      </c>
      <c r="U8419" s="29" t="str">
        <f>HYPERLINK("https://ictv.global/taxonomy/taxondetails?taxnode_id=202316179","ictv.global=202316179")</f>
        <v>ictv.global=202316179</v>
      </c>
    </row>
    <row r="8420" spans="1:21">
      <c r="A8420">
        <v>8419</v>
      </c>
      <c r="B8420" s="30" t="s">
        <v>1226</v>
      </c>
      <c r="D8420" s="30" t="s">
        <v>2024</v>
      </c>
      <c r="F8420" s="30" t="s">
        <v>2046</v>
      </c>
      <c r="H8420" s="30" t="s">
        <v>2859</v>
      </c>
      <c r="J8420" s="30" t="s">
        <v>2860</v>
      </c>
      <c r="L8420" s="30" t="s">
        <v>2861</v>
      </c>
      <c r="N8420" s="30" t="s">
        <v>2905</v>
      </c>
      <c r="P8420" s="30" t="s">
        <v>15006</v>
      </c>
      <c r="Q8420" t="s">
        <v>621</v>
      </c>
      <c r="R8420" t="s">
        <v>917</v>
      </c>
      <c r="S8420">
        <v>39</v>
      </c>
      <c r="T8420" s="29" t="str">
        <f t="shared" si="360"/>
        <v>2023.001B.Leviviricetes_reorg.zip</v>
      </c>
      <c r="U8420" s="29" t="str">
        <f>HYPERLINK("https://ictv.global/taxonomy/taxondetails?taxnode_id=202316180","ictv.global=202316180")</f>
        <v>ictv.global=202316180</v>
      </c>
    </row>
    <row r="8421" spans="1:21">
      <c r="A8421">
        <v>8420</v>
      </c>
      <c r="B8421" s="30" t="s">
        <v>1226</v>
      </c>
      <c r="D8421" s="30" t="s">
        <v>2024</v>
      </c>
      <c r="F8421" s="30" t="s">
        <v>2046</v>
      </c>
      <c r="H8421" s="30" t="s">
        <v>2859</v>
      </c>
      <c r="J8421" s="30" t="s">
        <v>2860</v>
      </c>
      <c r="L8421" s="30" t="s">
        <v>2861</v>
      </c>
      <c r="N8421" s="30" t="s">
        <v>2905</v>
      </c>
      <c r="P8421" s="30" t="s">
        <v>15007</v>
      </c>
      <c r="Q8421" t="s">
        <v>621</v>
      </c>
      <c r="R8421" t="s">
        <v>917</v>
      </c>
      <c r="S8421">
        <v>39</v>
      </c>
      <c r="T8421" s="29" t="str">
        <f t="shared" si="360"/>
        <v>2023.001B.Leviviricetes_reorg.zip</v>
      </c>
      <c r="U8421" s="29" t="str">
        <f>HYPERLINK("https://ictv.global/taxonomy/taxondetails?taxnode_id=202316181","ictv.global=202316181")</f>
        <v>ictv.global=202316181</v>
      </c>
    </row>
    <row r="8422" spans="1:21">
      <c r="A8422">
        <v>8421</v>
      </c>
      <c r="B8422" s="30" t="s">
        <v>1226</v>
      </c>
      <c r="D8422" s="30" t="s">
        <v>2024</v>
      </c>
      <c r="F8422" s="30" t="s">
        <v>2046</v>
      </c>
      <c r="H8422" s="30" t="s">
        <v>2859</v>
      </c>
      <c r="J8422" s="30" t="s">
        <v>2860</v>
      </c>
      <c r="L8422" s="30" t="s">
        <v>2861</v>
      </c>
      <c r="N8422" s="30" t="s">
        <v>2905</v>
      </c>
      <c r="P8422" s="30" t="s">
        <v>15008</v>
      </c>
      <c r="Q8422" t="s">
        <v>621</v>
      </c>
      <c r="R8422" t="s">
        <v>917</v>
      </c>
      <c r="S8422">
        <v>39</v>
      </c>
      <c r="T8422" s="29" t="str">
        <f t="shared" si="360"/>
        <v>2023.001B.Leviviricetes_reorg.zip</v>
      </c>
      <c r="U8422" s="29" t="str">
        <f>HYPERLINK("https://ictv.global/taxonomy/taxondetails?taxnode_id=202316182","ictv.global=202316182")</f>
        <v>ictv.global=202316182</v>
      </c>
    </row>
    <row r="8423" spans="1:21">
      <c r="A8423">
        <v>8422</v>
      </c>
      <c r="B8423" s="30" t="s">
        <v>1226</v>
      </c>
      <c r="D8423" s="30" t="s">
        <v>2024</v>
      </c>
      <c r="F8423" s="30" t="s">
        <v>2046</v>
      </c>
      <c r="H8423" s="30" t="s">
        <v>2859</v>
      </c>
      <c r="J8423" s="30" t="s">
        <v>2860</v>
      </c>
      <c r="L8423" s="30" t="s">
        <v>2861</v>
      </c>
      <c r="N8423" s="30" t="s">
        <v>2905</v>
      </c>
      <c r="P8423" s="30" t="s">
        <v>15009</v>
      </c>
      <c r="Q8423" t="s">
        <v>621</v>
      </c>
      <c r="R8423" t="s">
        <v>917</v>
      </c>
      <c r="S8423">
        <v>39</v>
      </c>
      <c r="T8423" s="29" t="str">
        <f t="shared" si="360"/>
        <v>2023.001B.Leviviricetes_reorg.zip</v>
      </c>
      <c r="U8423" s="29" t="str">
        <f>HYPERLINK("https://ictv.global/taxonomy/taxondetails?taxnode_id=202316183","ictv.global=202316183")</f>
        <v>ictv.global=202316183</v>
      </c>
    </row>
    <row r="8424" spans="1:21">
      <c r="A8424">
        <v>8423</v>
      </c>
      <c r="B8424" s="30" t="s">
        <v>1226</v>
      </c>
      <c r="D8424" s="30" t="s">
        <v>2024</v>
      </c>
      <c r="F8424" s="30" t="s">
        <v>2046</v>
      </c>
      <c r="H8424" s="30" t="s">
        <v>2859</v>
      </c>
      <c r="J8424" s="30" t="s">
        <v>2860</v>
      </c>
      <c r="L8424" s="30" t="s">
        <v>2861</v>
      </c>
      <c r="N8424" s="30" t="s">
        <v>2905</v>
      </c>
      <c r="P8424" s="30" t="s">
        <v>15010</v>
      </c>
      <c r="Q8424" t="s">
        <v>621</v>
      </c>
      <c r="R8424" t="s">
        <v>917</v>
      </c>
      <c r="S8424">
        <v>39</v>
      </c>
      <c r="T8424" s="29" t="str">
        <f t="shared" si="360"/>
        <v>2023.001B.Leviviricetes_reorg.zip</v>
      </c>
      <c r="U8424" s="29" t="str">
        <f>HYPERLINK("https://ictv.global/taxonomy/taxondetails?taxnode_id=202316184","ictv.global=202316184")</f>
        <v>ictv.global=202316184</v>
      </c>
    </row>
    <row r="8425" spans="1:21">
      <c r="A8425">
        <v>8424</v>
      </c>
      <c r="B8425" s="30" t="s">
        <v>1226</v>
      </c>
      <c r="D8425" s="30" t="s">
        <v>2024</v>
      </c>
      <c r="F8425" s="30" t="s">
        <v>2046</v>
      </c>
      <c r="H8425" s="30" t="s">
        <v>2859</v>
      </c>
      <c r="J8425" s="30" t="s">
        <v>2860</v>
      </c>
      <c r="L8425" s="30" t="s">
        <v>2861</v>
      </c>
      <c r="N8425" s="30" t="s">
        <v>2905</v>
      </c>
      <c r="P8425" s="30" t="s">
        <v>2907</v>
      </c>
      <c r="Q8425" t="s">
        <v>621</v>
      </c>
      <c r="R8425" t="s">
        <v>917</v>
      </c>
      <c r="S8425">
        <v>36</v>
      </c>
      <c r="T8425" s="29" t="str">
        <f t="shared" ref="T8425:T8432" si="361">HYPERLINK("https://ictv.global/ictv/proposals/2020.095B.R.Leviviricetes.zip","2020.095B.R.Leviviricetes.zip")</f>
        <v>2020.095B.R.Leviviricetes.zip</v>
      </c>
      <c r="U8425" s="29" t="str">
        <f>HYPERLINK("https://ictv.global/taxonomy/taxondetails?taxnode_id=202310741","ictv.global=202310741")</f>
        <v>ictv.global=202310741</v>
      </c>
    </row>
    <row r="8426" spans="1:21">
      <c r="A8426">
        <v>8425</v>
      </c>
      <c r="B8426" s="30" t="s">
        <v>1226</v>
      </c>
      <c r="D8426" s="30" t="s">
        <v>2024</v>
      </c>
      <c r="F8426" s="30" t="s">
        <v>2046</v>
      </c>
      <c r="H8426" s="30" t="s">
        <v>2859</v>
      </c>
      <c r="J8426" s="30" t="s">
        <v>2860</v>
      </c>
      <c r="L8426" s="30" t="s">
        <v>2861</v>
      </c>
      <c r="N8426" s="30" t="s">
        <v>2905</v>
      </c>
      <c r="P8426" s="30" t="s">
        <v>2908</v>
      </c>
      <c r="Q8426" t="s">
        <v>621</v>
      </c>
      <c r="R8426" t="s">
        <v>917</v>
      </c>
      <c r="S8426">
        <v>36</v>
      </c>
      <c r="T8426" s="29" t="str">
        <f t="shared" si="361"/>
        <v>2020.095B.R.Leviviricetes.zip</v>
      </c>
      <c r="U8426" s="29" t="str">
        <f>HYPERLINK("https://ictv.global/taxonomy/taxondetails?taxnode_id=202310743","ictv.global=202310743")</f>
        <v>ictv.global=202310743</v>
      </c>
    </row>
    <row r="8427" spans="1:21">
      <c r="A8427">
        <v>8426</v>
      </c>
      <c r="B8427" s="30" t="s">
        <v>1226</v>
      </c>
      <c r="D8427" s="30" t="s">
        <v>2024</v>
      </c>
      <c r="F8427" s="30" t="s">
        <v>2046</v>
      </c>
      <c r="H8427" s="30" t="s">
        <v>2859</v>
      </c>
      <c r="J8427" s="30" t="s">
        <v>2860</v>
      </c>
      <c r="L8427" s="30" t="s">
        <v>2861</v>
      </c>
      <c r="N8427" s="30" t="s">
        <v>2905</v>
      </c>
      <c r="P8427" s="30" t="s">
        <v>2909</v>
      </c>
      <c r="Q8427" t="s">
        <v>621</v>
      </c>
      <c r="R8427" t="s">
        <v>917</v>
      </c>
      <c r="S8427">
        <v>36</v>
      </c>
      <c r="T8427" s="29" t="str">
        <f t="shared" si="361"/>
        <v>2020.095B.R.Leviviricetes.zip</v>
      </c>
      <c r="U8427" s="29" t="str">
        <f>HYPERLINK("https://ictv.global/taxonomy/taxondetails?taxnode_id=202310742","ictv.global=202310742")</f>
        <v>ictv.global=202310742</v>
      </c>
    </row>
    <row r="8428" spans="1:21">
      <c r="A8428">
        <v>8427</v>
      </c>
      <c r="B8428" s="30" t="s">
        <v>1226</v>
      </c>
      <c r="D8428" s="30" t="s">
        <v>2024</v>
      </c>
      <c r="F8428" s="30" t="s">
        <v>2046</v>
      </c>
      <c r="H8428" s="30" t="s">
        <v>2859</v>
      </c>
      <c r="J8428" s="30" t="s">
        <v>2860</v>
      </c>
      <c r="L8428" s="30" t="s">
        <v>2861</v>
      </c>
      <c r="N8428" s="30" t="s">
        <v>2905</v>
      </c>
      <c r="P8428" s="30" t="s">
        <v>2910</v>
      </c>
      <c r="Q8428" t="s">
        <v>621</v>
      </c>
      <c r="R8428" t="s">
        <v>917</v>
      </c>
      <c r="S8428">
        <v>36</v>
      </c>
      <c r="T8428" s="29" t="str">
        <f t="shared" si="361"/>
        <v>2020.095B.R.Leviviricetes.zip</v>
      </c>
      <c r="U8428" s="29" t="str">
        <f>HYPERLINK("https://ictv.global/taxonomy/taxondetails?taxnode_id=202310739","ictv.global=202310739")</f>
        <v>ictv.global=202310739</v>
      </c>
    </row>
    <row r="8429" spans="1:21">
      <c r="A8429">
        <v>8428</v>
      </c>
      <c r="B8429" s="30" t="s">
        <v>1226</v>
      </c>
      <c r="D8429" s="30" t="s">
        <v>2024</v>
      </c>
      <c r="F8429" s="30" t="s">
        <v>2046</v>
      </c>
      <c r="H8429" s="30" t="s">
        <v>2859</v>
      </c>
      <c r="J8429" s="30" t="s">
        <v>2860</v>
      </c>
      <c r="L8429" s="30" t="s">
        <v>2861</v>
      </c>
      <c r="N8429" s="30" t="s">
        <v>2905</v>
      </c>
      <c r="P8429" s="30" t="s">
        <v>2911</v>
      </c>
      <c r="Q8429" t="s">
        <v>621</v>
      </c>
      <c r="R8429" t="s">
        <v>917</v>
      </c>
      <c r="S8429">
        <v>36</v>
      </c>
      <c r="T8429" s="29" t="str">
        <f t="shared" si="361"/>
        <v>2020.095B.R.Leviviricetes.zip</v>
      </c>
      <c r="U8429" s="29" t="str">
        <f>HYPERLINK("https://ictv.global/taxonomy/taxondetails?taxnode_id=202310744","ictv.global=202310744")</f>
        <v>ictv.global=202310744</v>
      </c>
    </row>
    <row r="8430" spans="1:21">
      <c r="A8430">
        <v>8429</v>
      </c>
      <c r="B8430" s="30" t="s">
        <v>1226</v>
      </c>
      <c r="D8430" s="30" t="s">
        <v>2024</v>
      </c>
      <c r="F8430" s="30" t="s">
        <v>2046</v>
      </c>
      <c r="H8430" s="30" t="s">
        <v>2859</v>
      </c>
      <c r="J8430" s="30" t="s">
        <v>2860</v>
      </c>
      <c r="L8430" s="30" t="s">
        <v>2861</v>
      </c>
      <c r="N8430" s="30" t="s">
        <v>2912</v>
      </c>
      <c r="P8430" s="30" t="s">
        <v>2913</v>
      </c>
      <c r="Q8430" t="s">
        <v>621</v>
      </c>
      <c r="R8430" t="s">
        <v>917</v>
      </c>
      <c r="S8430">
        <v>36</v>
      </c>
      <c r="T8430" s="29" t="str">
        <f t="shared" si="361"/>
        <v>2020.095B.R.Leviviricetes.zip</v>
      </c>
      <c r="U8430" s="29" t="str">
        <f>HYPERLINK("https://ictv.global/taxonomy/taxondetails?taxnode_id=202310746","ictv.global=202310746")</f>
        <v>ictv.global=202310746</v>
      </c>
    </row>
    <row r="8431" spans="1:21">
      <c r="A8431">
        <v>8430</v>
      </c>
      <c r="B8431" s="30" t="s">
        <v>1226</v>
      </c>
      <c r="D8431" s="30" t="s">
        <v>2024</v>
      </c>
      <c r="F8431" s="30" t="s">
        <v>2046</v>
      </c>
      <c r="H8431" s="30" t="s">
        <v>2859</v>
      </c>
      <c r="J8431" s="30" t="s">
        <v>2860</v>
      </c>
      <c r="L8431" s="30" t="s">
        <v>2861</v>
      </c>
      <c r="N8431" s="30" t="s">
        <v>2914</v>
      </c>
      <c r="P8431" s="30" t="s">
        <v>2915</v>
      </c>
      <c r="Q8431" t="s">
        <v>621</v>
      </c>
      <c r="R8431" t="s">
        <v>917</v>
      </c>
      <c r="S8431">
        <v>36</v>
      </c>
      <c r="T8431" s="29" t="str">
        <f t="shared" si="361"/>
        <v>2020.095B.R.Leviviricetes.zip</v>
      </c>
      <c r="U8431" s="29" t="str">
        <f>HYPERLINK("https://ictv.global/taxonomy/taxondetails?taxnode_id=202310750","ictv.global=202310750")</f>
        <v>ictv.global=202310750</v>
      </c>
    </row>
    <row r="8432" spans="1:21">
      <c r="A8432">
        <v>8431</v>
      </c>
      <c r="B8432" s="30" t="s">
        <v>1226</v>
      </c>
      <c r="D8432" s="30" t="s">
        <v>2024</v>
      </c>
      <c r="F8432" s="30" t="s">
        <v>2046</v>
      </c>
      <c r="H8432" s="30" t="s">
        <v>2859</v>
      </c>
      <c r="J8432" s="30" t="s">
        <v>2860</v>
      </c>
      <c r="L8432" s="30" t="s">
        <v>2861</v>
      </c>
      <c r="N8432" s="30" t="s">
        <v>2916</v>
      </c>
      <c r="P8432" s="30" t="s">
        <v>2917</v>
      </c>
      <c r="Q8432" t="s">
        <v>621</v>
      </c>
      <c r="R8432" t="s">
        <v>917</v>
      </c>
      <c r="S8432">
        <v>36</v>
      </c>
      <c r="T8432" s="29" t="str">
        <f t="shared" si="361"/>
        <v>2020.095B.R.Leviviricetes.zip</v>
      </c>
      <c r="U8432" s="29" t="str">
        <f>HYPERLINK("https://ictv.global/taxonomy/taxondetails?taxnode_id=202310752","ictv.global=202310752")</f>
        <v>ictv.global=202310752</v>
      </c>
    </row>
    <row r="8433" spans="1:21">
      <c r="A8433">
        <v>8432</v>
      </c>
      <c r="B8433" s="30" t="s">
        <v>1226</v>
      </c>
      <c r="D8433" s="30" t="s">
        <v>2024</v>
      </c>
      <c r="F8433" s="30" t="s">
        <v>2046</v>
      </c>
      <c r="H8433" s="30" t="s">
        <v>2859</v>
      </c>
      <c r="J8433" s="30" t="s">
        <v>2860</v>
      </c>
      <c r="L8433" s="30" t="s">
        <v>2861</v>
      </c>
      <c r="N8433" s="30" t="s">
        <v>2916</v>
      </c>
      <c r="P8433" s="30" t="s">
        <v>15011</v>
      </c>
      <c r="Q8433" t="s">
        <v>621</v>
      </c>
      <c r="R8433" t="s">
        <v>917</v>
      </c>
      <c r="S8433">
        <v>39</v>
      </c>
      <c r="T8433" s="29" t="str">
        <f>HYPERLINK("https://ictv.global/ictv/proposals/2023.001B.Leviviricetes_reorg.zip","2023.001B.Leviviricetes_reorg.zip")</f>
        <v>2023.001B.Leviviricetes_reorg.zip</v>
      </c>
      <c r="U8433" s="29" t="str">
        <f>HYPERLINK("https://ictv.global/taxonomy/taxondetails?taxnode_id=202316185","ictv.global=202316185")</f>
        <v>ictv.global=202316185</v>
      </c>
    </row>
    <row r="8434" spans="1:21">
      <c r="A8434">
        <v>8433</v>
      </c>
      <c r="B8434" s="30" t="s">
        <v>1226</v>
      </c>
      <c r="D8434" s="30" t="s">
        <v>2024</v>
      </c>
      <c r="F8434" s="30" t="s">
        <v>2046</v>
      </c>
      <c r="H8434" s="30" t="s">
        <v>2859</v>
      </c>
      <c r="J8434" s="30" t="s">
        <v>2860</v>
      </c>
      <c r="L8434" s="30" t="s">
        <v>2861</v>
      </c>
      <c r="N8434" s="30" t="s">
        <v>2916</v>
      </c>
      <c r="P8434" s="30" t="s">
        <v>15012</v>
      </c>
      <c r="Q8434" t="s">
        <v>621</v>
      </c>
      <c r="R8434" t="s">
        <v>917</v>
      </c>
      <c r="S8434">
        <v>39</v>
      </c>
      <c r="T8434" s="29" t="str">
        <f>HYPERLINK("https://ictv.global/ictv/proposals/2023.001B.Leviviricetes_reorg.zip","2023.001B.Leviviricetes_reorg.zip")</f>
        <v>2023.001B.Leviviricetes_reorg.zip</v>
      </c>
      <c r="U8434" s="29" t="str">
        <f>HYPERLINK("https://ictv.global/taxonomy/taxondetails?taxnode_id=202316186","ictv.global=202316186")</f>
        <v>ictv.global=202316186</v>
      </c>
    </row>
    <row r="8435" spans="1:21">
      <c r="A8435">
        <v>8434</v>
      </c>
      <c r="B8435" s="30" t="s">
        <v>1226</v>
      </c>
      <c r="D8435" s="30" t="s">
        <v>2024</v>
      </c>
      <c r="F8435" s="30" t="s">
        <v>2046</v>
      </c>
      <c r="H8435" s="30" t="s">
        <v>2859</v>
      </c>
      <c r="J8435" s="30" t="s">
        <v>2860</v>
      </c>
      <c r="L8435" s="30" t="s">
        <v>2861</v>
      </c>
      <c r="N8435" s="30" t="s">
        <v>2916</v>
      </c>
      <c r="P8435" s="30" t="s">
        <v>15013</v>
      </c>
      <c r="Q8435" t="s">
        <v>621</v>
      </c>
      <c r="R8435" t="s">
        <v>917</v>
      </c>
      <c r="S8435">
        <v>39</v>
      </c>
      <c r="T8435" s="29" t="str">
        <f>HYPERLINK("https://ictv.global/ictv/proposals/2023.001B.Leviviricetes_reorg.zip","2023.001B.Leviviricetes_reorg.zip")</f>
        <v>2023.001B.Leviviricetes_reorg.zip</v>
      </c>
      <c r="U8435" s="29" t="str">
        <f>HYPERLINK("https://ictv.global/taxonomy/taxondetails?taxnode_id=202316187","ictv.global=202316187")</f>
        <v>ictv.global=202316187</v>
      </c>
    </row>
    <row r="8436" spans="1:21">
      <c r="A8436">
        <v>8435</v>
      </c>
      <c r="B8436" s="30" t="s">
        <v>1226</v>
      </c>
      <c r="D8436" s="30" t="s">
        <v>2024</v>
      </c>
      <c r="F8436" s="30" t="s">
        <v>2046</v>
      </c>
      <c r="H8436" s="30" t="s">
        <v>2859</v>
      </c>
      <c r="J8436" s="30" t="s">
        <v>2860</v>
      </c>
      <c r="L8436" s="30" t="s">
        <v>2861</v>
      </c>
      <c r="N8436" s="30" t="s">
        <v>2918</v>
      </c>
      <c r="P8436" s="30" t="s">
        <v>2919</v>
      </c>
      <c r="Q8436" t="s">
        <v>621</v>
      </c>
      <c r="R8436" t="s">
        <v>917</v>
      </c>
      <c r="S8436">
        <v>36</v>
      </c>
      <c r="T8436" s="29" t="str">
        <f>HYPERLINK("https://ictv.global/ictv/proposals/2020.095B.R.Leviviricetes.zip","2020.095B.R.Leviviricetes.zip")</f>
        <v>2020.095B.R.Leviviricetes.zip</v>
      </c>
      <c r="U8436" s="29" t="str">
        <f>HYPERLINK("https://ictv.global/taxonomy/taxondetails?taxnode_id=202310754","ictv.global=202310754")</f>
        <v>ictv.global=202310754</v>
      </c>
    </row>
    <row r="8437" spans="1:21">
      <c r="A8437">
        <v>8436</v>
      </c>
      <c r="B8437" s="30" t="s">
        <v>1226</v>
      </c>
      <c r="D8437" s="30" t="s">
        <v>2024</v>
      </c>
      <c r="F8437" s="30" t="s">
        <v>2046</v>
      </c>
      <c r="H8437" s="30" t="s">
        <v>2859</v>
      </c>
      <c r="J8437" s="30" t="s">
        <v>2860</v>
      </c>
      <c r="L8437" s="30" t="s">
        <v>2861</v>
      </c>
      <c r="N8437" s="30" t="s">
        <v>2920</v>
      </c>
      <c r="P8437" s="30" t="s">
        <v>2921</v>
      </c>
      <c r="Q8437" t="s">
        <v>621</v>
      </c>
      <c r="R8437" t="s">
        <v>917</v>
      </c>
      <c r="S8437">
        <v>36</v>
      </c>
      <c r="T8437" s="29" t="str">
        <f>HYPERLINK("https://ictv.global/ictv/proposals/2020.095B.R.Leviviricetes.zip","2020.095B.R.Leviviricetes.zip")</f>
        <v>2020.095B.R.Leviviricetes.zip</v>
      </c>
      <c r="U8437" s="29" t="str">
        <f>HYPERLINK("https://ictv.global/taxonomy/taxondetails?taxnode_id=202310756","ictv.global=202310756")</f>
        <v>ictv.global=202310756</v>
      </c>
    </row>
    <row r="8438" spans="1:21">
      <c r="A8438">
        <v>8437</v>
      </c>
      <c r="B8438" s="30" t="s">
        <v>1226</v>
      </c>
      <c r="D8438" s="30" t="s">
        <v>2024</v>
      </c>
      <c r="F8438" s="30" t="s">
        <v>2046</v>
      </c>
      <c r="H8438" s="30" t="s">
        <v>2859</v>
      </c>
      <c r="J8438" s="30" t="s">
        <v>2860</v>
      </c>
      <c r="L8438" s="30" t="s">
        <v>2861</v>
      </c>
      <c r="N8438" s="30" t="s">
        <v>2922</v>
      </c>
      <c r="P8438" s="30" t="s">
        <v>2923</v>
      </c>
      <c r="Q8438" t="s">
        <v>621</v>
      </c>
      <c r="R8438" t="s">
        <v>917</v>
      </c>
      <c r="S8438">
        <v>36</v>
      </c>
      <c r="T8438" s="29" t="str">
        <f>HYPERLINK("https://ictv.global/ictv/proposals/2020.095B.R.Leviviricetes.zip","2020.095B.R.Leviviricetes.zip")</f>
        <v>2020.095B.R.Leviviricetes.zip</v>
      </c>
      <c r="U8438" s="29" t="str">
        <f>HYPERLINK("https://ictv.global/taxonomy/taxondetails?taxnode_id=202310758","ictv.global=202310758")</f>
        <v>ictv.global=202310758</v>
      </c>
    </row>
    <row r="8439" spans="1:21">
      <c r="A8439">
        <v>8438</v>
      </c>
      <c r="B8439" s="30" t="s">
        <v>1226</v>
      </c>
      <c r="D8439" s="30" t="s">
        <v>2024</v>
      </c>
      <c r="F8439" s="30" t="s">
        <v>2046</v>
      </c>
      <c r="H8439" s="30" t="s">
        <v>2859</v>
      </c>
      <c r="J8439" s="30" t="s">
        <v>2860</v>
      </c>
      <c r="L8439" s="30" t="s">
        <v>2861</v>
      </c>
      <c r="N8439" s="30" t="s">
        <v>2924</v>
      </c>
      <c r="P8439" s="30" t="s">
        <v>2925</v>
      </c>
      <c r="Q8439" t="s">
        <v>621</v>
      </c>
      <c r="R8439" t="s">
        <v>917</v>
      </c>
      <c r="S8439">
        <v>36</v>
      </c>
      <c r="T8439" s="29" t="str">
        <f>HYPERLINK("https://ictv.global/ictv/proposals/2020.095B.R.Leviviricetes.zip","2020.095B.R.Leviviricetes.zip")</f>
        <v>2020.095B.R.Leviviricetes.zip</v>
      </c>
      <c r="U8439" s="29" t="str">
        <f>HYPERLINK("https://ictv.global/taxonomy/taxondetails?taxnode_id=202310760","ictv.global=202310760")</f>
        <v>ictv.global=202310760</v>
      </c>
    </row>
    <row r="8440" spans="1:21">
      <c r="A8440">
        <v>8439</v>
      </c>
      <c r="B8440" s="30" t="s">
        <v>1226</v>
      </c>
      <c r="D8440" s="30" t="s">
        <v>2024</v>
      </c>
      <c r="F8440" s="30" t="s">
        <v>2046</v>
      </c>
      <c r="H8440" s="30" t="s">
        <v>2859</v>
      </c>
      <c r="J8440" s="30" t="s">
        <v>2860</v>
      </c>
      <c r="L8440" s="30" t="s">
        <v>2861</v>
      </c>
      <c r="N8440" s="30" t="s">
        <v>2926</v>
      </c>
      <c r="P8440" s="30" t="s">
        <v>2927</v>
      </c>
      <c r="Q8440" t="s">
        <v>621</v>
      </c>
      <c r="R8440" t="s">
        <v>917</v>
      </c>
      <c r="S8440">
        <v>36</v>
      </c>
      <c r="T8440" s="29" t="str">
        <f>HYPERLINK("https://ictv.global/ictv/proposals/2020.095B.R.Leviviricetes.zip","2020.095B.R.Leviviricetes.zip")</f>
        <v>2020.095B.R.Leviviricetes.zip</v>
      </c>
      <c r="U8440" s="29" t="str">
        <f>HYPERLINK("https://ictv.global/taxonomy/taxondetails?taxnode_id=202310762","ictv.global=202310762")</f>
        <v>ictv.global=202310762</v>
      </c>
    </row>
    <row r="8441" spans="1:21">
      <c r="A8441">
        <v>8440</v>
      </c>
      <c r="B8441" s="30" t="s">
        <v>1226</v>
      </c>
      <c r="D8441" s="30" t="s">
        <v>2024</v>
      </c>
      <c r="F8441" s="30" t="s">
        <v>2046</v>
      </c>
      <c r="H8441" s="30" t="s">
        <v>2859</v>
      </c>
      <c r="J8441" s="30" t="s">
        <v>2860</v>
      </c>
      <c r="L8441" s="30" t="s">
        <v>2861</v>
      </c>
      <c r="N8441" s="30" t="s">
        <v>2926</v>
      </c>
      <c r="P8441" s="30" t="s">
        <v>15014</v>
      </c>
      <c r="Q8441" t="s">
        <v>621</v>
      </c>
      <c r="R8441" t="s">
        <v>917</v>
      </c>
      <c r="S8441">
        <v>39</v>
      </c>
      <c r="T8441" s="29" t="str">
        <f>HYPERLINK("https://ictv.global/ictv/proposals/2023.001B.Leviviricetes_reorg.zip","2023.001B.Leviviricetes_reorg.zip")</f>
        <v>2023.001B.Leviviricetes_reorg.zip</v>
      </c>
      <c r="U8441" s="29" t="str">
        <f>HYPERLINK("https://ictv.global/taxonomy/taxondetails?taxnode_id=202316188","ictv.global=202316188")</f>
        <v>ictv.global=202316188</v>
      </c>
    </row>
    <row r="8442" spans="1:21">
      <c r="A8442">
        <v>8441</v>
      </c>
      <c r="B8442" s="30" t="s">
        <v>1226</v>
      </c>
      <c r="D8442" s="30" t="s">
        <v>2024</v>
      </c>
      <c r="F8442" s="30" t="s">
        <v>2046</v>
      </c>
      <c r="H8442" s="30" t="s">
        <v>2859</v>
      </c>
      <c r="J8442" s="30" t="s">
        <v>2860</v>
      </c>
      <c r="L8442" s="30" t="s">
        <v>2861</v>
      </c>
      <c r="N8442" s="30" t="s">
        <v>2926</v>
      </c>
      <c r="P8442" s="30" t="s">
        <v>15015</v>
      </c>
      <c r="Q8442" t="s">
        <v>621</v>
      </c>
      <c r="R8442" t="s">
        <v>917</v>
      </c>
      <c r="S8442">
        <v>39</v>
      </c>
      <c r="T8442" s="29" t="str">
        <f>HYPERLINK("https://ictv.global/ictv/proposals/2023.001B.Leviviricetes_reorg.zip","2023.001B.Leviviricetes_reorg.zip")</f>
        <v>2023.001B.Leviviricetes_reorg.zip</v>
      </c>
      <c r="U8442" s="29" t="str">
        <f>HYPERLINK("https://ictv.global/taxonomy/taxondetails?taxnode_id=202316189","ictv.global=202316189")</f>
        <v>ictv.global=202316189</v>
      </c>
    </row>
    <row r="8443" spans="1:21">
      <c r="A8443">
        <v>8442</v>
      </c>
      <c r="B8443" s="30" t="s">
        <v>1226</v>
      </c>
      <c r="D8443" s="30" t="s">
        <v>2024</v>
      </c>
      <c r="F8443" s="30" t="s">
        <v>2046</v>
      </c>
      <c r="H8443" s="30" t="s">
        <v>2859</v>
      </c>
      <c r="J8443" s="30" t="s">
        <v>2860</v>
      </c>
      <c r="L8443" s="30" t="s">
        <v>2861</v>
      </c>
      <c r="N8443" s="30" t="s">
        <v>2928</v>
      </c>
      <c r="P8443" s="30" t="s">
        <v>15016</v>
      </c>
      <c r="Q8443" t="s">
        <v>621</v>
      </c>
      <c r="R8443" t="s">
        <v>917</v>
      </c>
      <c r="S8443">
        <v>39</v>
      </c>
      <c r="T8443" s="29" t="str">
        <f>HYPERLINK("https://ictv.global/ictv/proposals/2023.001B.Leviviricetes_reorg.zip","2023.001B.Leviviricetes_reorg.zip")</f>
        <v>2023.001B.Leviviricetes_reorg.zip</v>
      </c>
      <c r="U8443" s="29" t="str">
        <f>HYPERLINK("https://ictv.global/taxonomy/taxondetails?taxnode_id=202316190","ictv.global=202316190")</f>
        <v>ictv.global=202316190</v>
      </c>
    </row>
    <row r="8444" spans="1:21">
      <c r="A8444">
        <v>8443</v>
      </c>
      <c r="B8444" s="30" t="s">
        <v>1226</v>
      </c>
      <c r="D8444" s="30" t="s">
        <v>2024</v>
      </c>
      <c r="F8444" s="30" t="s">
        <v>2046</v>
      </c>
      <c r="H8444" s="30" t="s">
        <v>2859</v>
      </c>
      <c r="J8444" s="30" t="s">
        <v>2860</v>
      </c>
      <c r="L8444" s="30" t="s">
        <v>2861</v>
      </c>
      <c r="N8444" s="30" t="s">
        <v>2928</v>
      </c>
      <c r="P8444" s="30" t="s">
        <v>2929</v>
      </c>
      <c r="Q8444" t="s">
        <v>621</v>
      </c>
      <c r="R8444" t="s">
        <v>917</v>
      </c>
      <c r="S8444">
        <v>36</v>
      </c>
      <c r="T8444" s="29" t="str">
        <f>HYPERLINK("https://ictv.global/ictv/proposals/2020.095B.R.Leviviricetes.zip","2020.095B.R.Leviviricetes.zip")</f>
        <v>2020.095B.R.Leviviricetes.zip</v>
      </c>
      <c r="U8444" s="29" t="str">
        <f>HYPERLINK("https://ictv.global/taxonomy/taxondetails?taxnode_id=202310773","ictv.global=202310773")</f>
        <v>ictv.global=202310773</v>
      </c>
    </row>
    <row r="8445" spans="1:21">
      <c r="A8445">
        <v>8444</v>
      </c>
      <c r="B8445" s="30" t="s">
        <v>1226</v>
      </c>
      <c r="D8445" s="30" t="s">
        <v>2024</v>
      </c>
      <c r="F8445" s="30" t="s">
        <v>2046</v>
      </c>
      <c r="H8445" s="30" t="s">
        <v>2859</v>
      </c>
      <c r="J8445" s="30" t="s">
        <v>2860</v>
      </c>
      <c r="L8445" s="30" t="s">
        <v>2861</v>
      </c>
      <c r="N8445" s="30" t="s">
        <v>2928</v>
      </c>
      <c r="P8445" s="30" t="s">
        <v>2930</v>
      </c>
      <c r="Q8445" t="s">
        <v>621</v>
      </c>
      <c r="R8445" t="s">
        <v>917</v>
      </c>
      <c r="S8445">
        <v>36</v>
      </c>
      <c r="T8445" s="29" t="str">
        <f>HYPERLINK("https://ictv.global/ictv/proposals/2020.095B.R.Leviviricetes.zip","2020.095B.R.Leviviricetes.zip")</f>
        <v>2020.095B.R.Leviviricetes.zip</v>
      </c>
      <c r="U8445" s="29" t="str">
        <f>HYPERLINK("https://ictv.global/taxonomy/taxondetails?taxnode_id=202310774","ictv.global=202310774")</f>
        <v>ictv.global=202310774</v>
      </c>
    </row>
    <row r="8446" spans="1:21">
      <c r="A8446">
        <v>8445</v>
      </c>
      <c r="B8446" s="30" t="s">
        <v>1226</v>
      </c>
      <c r="D8446" s="30" t="s">
        <v>2024</v>
      </c>
      <c r="F8446" s="30" t="s">
        <v>2046</v>
      </c>
      <c r="H8446" s="30" t="s">
        <v>2859</v>
      </c>
      <c r="J8446" s="30" t="s">
        <v>2860</v>
      </c>
      <c r="L8446" s="30" t="s">
        <v>2861</v>
      </c>
      <c r="N8446" s="30" t="s">
        <v>2928</v>
      </c>
      <c r="P8446" s="30" t="s">
        <v>2931</v>
      </c>
      <c r="Q8446" t="s">
        <v>621</v>
      </c>
      <c r="R8446" t="s">
        <v>917</v>
      </c>
      <c r="S8446">
        <v>36</v>
      </c>
      <c r="T8446" s="29" t="str">
        <f>HYPERLINK("https://ictv.global/ictv/proposals/2020.095B.R.Leviviricetes.zip","2020.095B.R.Leviviricetes.zip")</f>
        <v>2020.095B.R.Leviviricetes.zip</v>
      </c>
      <c r="U8446" s="29" t="str">
        <f>HYPERLINK("https://ictv.global/taxonomy/taxondetails?taxnode_id=202310770","ictv.global=202310770")</f>
        <v>ictv.global=202310770</v>
      </c>
    </row>
    <row r="8447" spans="1:21">
      <c r="A8447">
        <v>8446</v>
      </c>
      <c r="B8447" s="30" t="s">
        <v>1226</v>
      </c>
      <c r="D8447" s="30" t="s">
        <v>2024</v>
      </c>
      <c r="F8447" s="30" t="s">
        <v>2046</v>
      </c>
      <c r="H8447" s="30" t="s">
        <v>2859</v>
      </c>
      <c r="J8447" s="30" t="s">
        <v>2860</v>
      </c>
      <c r="L8447" s="30" t="s">
        <v>2861</v>
      </c>
      <c r="N8447" s="30" t="s">
        <v>2928</v>
      </c>
      <c r="P8447" s="30" t="s">
        <v>2932</v>
      </c>
      <c r="Q8447" t="s">
        <v>621</v>
      </c>
      <c r="R8447" t="s">
        <v>917</v>
      </c>
      <c r="S8447">
        <v>36</v>
      </c>
      <c r="T8447" s="29" t="str">
        <f>HYPERLINK("https://ictv.global/ictv/proposals/2020.095B.R.Leviviricetes.zip","2020.095B.R.Leviviricetes.zip")</f>
        <v>2020.095B.R.Leviviricetes.zip</v>
      </c>
      <c r="U8447" s="29" t="str">
        <f>HYPERLINK("https://ictv.global/taxonomy/taxondetails?taxnode_id=202310771","ictv.global=202310771")</f>
        <v>ictv.global=202310771</v>
      </c>
    </row>
    <row r="8448" spans="1:21">
      <c r="A8448">
        <v>8447</v>
      </c>
      <c r="B8448" s="30" t="s">
        <v>1226</v>
      </c>
      <c r="D8448" s="30" t="s">
        <v>2024</v>
      </c>
      <c r="F8448" s="30" t="s">
        <v>2046</v>
      </c>
      <c r="H8448" s="30" t="s">
        <v>2859</v>
      </c>
      <c r="J8448" s="30" t="s">
        <v>2860</v>
      </c>
      <c r="L8448" s="30" t="s">
        <v>2861</v>
      </c>
      <c r="N8448" s="30" t="s">
        <v>2928</v>
      </c>
      <c r="P8448" s="30" t="s">
        <v>2933</v>
      </c>
      <c r="Q8448" t="s">
        <v>621</v>
      </c>
      <c r="R8448" t="s">
        <v>917</v>
      </c>
      <c r="S8448">
        <v>36</v>
      </c>
      <c r="T8448" s="29" t="str">
        <f>HYPERLINK("https://ictv.global/ictv/proposals/2020.095B.R.Leviviricetes.zip","2020.095B.R.Leviviricetes.zip")</f>
        <v>2020.095B.R.Leviviricetes.zip</v>
      </c>
      <c r="U8448" s="29" t="str">
        <f>HYPERLINK("https://ictv.global/taxonomy/taxondetails?taxnode_id=202310772","ictv.global=202310772")</f>
        <v>ictv.global=202310772</v>
      </c>
    </row>
    <row r="8449" spans="1:21">
      <c r="A8449">
        <v>8448</v>
      </c>
      <c r="B8449" s="30" t="s">
        <v>1226</v>
      </c>
      <c r="D8449" s="30" t="s">
        <v>2024</v>
      </c>
      <c r="F8449" s="30" t="s">
        <v>2046</v>
      </c>
      <c r="H8449" s="30" t="s">
        <v>2859</v>
      </c>
      <c r="J8449" s="30" t="s">
        <v>2860</v>
      </c>
      <c r="L8449" s="30" t="s">
        <v>2861</v>
      </c>
      <c r="N8449" s="30" t="s">
        <v>2928</v>
      </c>
      <c r="P8449" s="30" t="s">
        <v>15017</v>
      </c>
      <c r="Q8449" t="s">
        <v>621</v>
      </c>
      <c r="R8449" t="s">
        <v>917</v>
      </c>
      <c r="S8449">
        <v>39</v>
      </c>
      <c r="T8449" s="29" t="str">
        <f>HYPERLINK("https://ictv.global/ictv/proposals/2023.001B.Leviviricetes_reorg.zip","2023.001B.Leviviricetes_reorg.zip")</f>
        <v>2023.001B.Leviviricetes_reorg.zip</v>
      </c>
      <c r="U8449" s="29" t="str">
        <f>HYPERLINK("https://ictv.global/taxonomy/taxondetails?taxnode_id=202316191","ictv.global=202316191")</f>
        <v>ictv.global=202316191</v>
      </c>
    </row>
    <row r="8450" spans="1:21">
      <c r="A8450">
        <v>8449</v>
      </c>
      <c r="B8450" s="30" t="s">
        <v>1226</v>
      </c>
      <c r="D8450" s="30" t="s">
        <v>2024</v>
      </c>
      <c r="F8450" s="30" t="s">
        <v>2046</v>
      </c>
      <c r="H8450" s="30" t="s">
        <v>2859</v>
      </c>
      <c r="J8450" s="30" t="s">
        <v>2860</v>
      </c>
      <c r="L8450" s="30" t="s">
        <v>2861</v>
      </c>
      <c r="N8450" s="30" t="s">
        <v>2928</v>
      </c>
      <c r="P8450" s="30" t="s">
        <v>15018</v>
      </c>
      <c r="Q8450" t="s">
        <v>621</v>
      </c>
      <c r="R8450" t="s">
        <v>917</v>
      </c>
      <c r="S8450">
        <v>39</v>
      </c>
      <c r="T8450" s="29" t="str">
        <f>HYPERLINK("https://ictv.global/ictv/proposals/2023.001B.Leviviricetes_reorg.zip","2023.001B.Leviviricetes_reorg.zip")</f>
        <v>2023.001B.Leviviricetes_reorg.zip</v>
      </c>
      <c r="U8450" s="29" t="str">
        <f>HYPERLINK("https://ictv.global/taxonomy/taxondetails?taxnode_id=202316192","ictv.global=202316192")</f>
        <v>ictv.global=202316192</v>
      </c>
    </row>
    <row r="8451" spans="1:21">
      <c r="A8451">
        <v>8450</v>
      </c>
      <c r="B8451" s="30" t="s">
        <v>1226</v>
      </c>
      <c r="D8451" s="30" t="s">
        <v>2024</v>
      </c>
      <c r="F8451" s="30" t="s">
        <v>2046</v>
      </c>
      <c r="H8451" s="30" t="s">
        <v>2859</v>
      </c>
      <c r="J8451" s="30" t="s">
        <v>2860</v>
      </c>
      <c r="L8451" s="30" t="s">
        <v>2861</v>
      </c>
      <c r="N8451" s="30" t="s">
        <v>2928</v>
      </c>
      <c r="P8451" s="30" t="s">
        <v>15019</v>
      </c>
      <c r="Q8451" t="s">
        <v>621</v>
      </c>
      <c r="R8451" t="s">
        <v>917</v>
      </c>
      <c r="S8451">
        <v>39</v>
      </c>
      <c r="T8451" s="29" t="str">
        <f>HYPERLINK("https://ictv.global/ictv/proposals/2023.001B.Leviviricetes_reorg.zip","2023.001B.Leviviricetes_reorg.zip")</f>
        <v>2023.001B.Leviviricetes_reorg.zip</v>
      </c>
      <c r="U8451" s="29" t="str">
        <f>HYPERLINK("https://ictv.global/taxonomy/taxondetails?taxnode_id=202316193","ictv.global=202316193")</f>
        <v>ictv.global=202316193</v>
      </c>
    </row>
    <row r="8452" spans="1:21">
      <c r="A8452">
        <v>8451</v>
      </c>
      <c r="B8452" s="30" t="s">
        <v>1226</v>
      </c>
      <c r="D8452" s="30" t="s">
        <v>2024</v>
      </c>
      <c r="F8452" s="30" t="s">
        <v>2046</v>
      </c>
      <c r="H8452" s="30" t="s">
        <v>2859</v>
      </c>
      <c r="J8452" s="30" t="s">
        <v>2860</v>
      </c>
      <c r="L8452" s="30" t="s">
        <v>2861</v>
      </c>
      <c r="N8452" s="30" t="s">
        <v>2928</v>
      </c>
      <c r="P8452" s="30" t="s">
        <v>15020</v>
      </c>
      <c r="Q8452" t="s">
        <v>621</v>
      </c>
      <c r="R8452" t="s">
        <v>917</v>
      </c>
      <c r="S8452">
        <v>39</v>
      </c>
      <c r="T8452" s="29" t="str">
        <f>HYPERLINK("https://ictv.global/ictv/proposals/2023.001B.Leviviricetes_reorg.zip","2023.001B.Leviviricetes_reorg.zip")</f>
        <v>2023.001B.Leviviricetes_reorg.zip</v>
      </c>
      <c r="U8452" s="29" t="str">
        <f>HYPERLINK("https://ictv.global/taxonomy/taxondetails?taxnode_id=202316194","ictv.global=202316194")</f>
        <v>ictv.global=202316194</v>
      </c>
    </row>
    <row r="8453" spans="1:21">
      <c r="A8453">
        <v>8452</v>
      </c>
      <c r="B8453" s="30" t="s">
        <v>1226</v>
      </c>
      <c r="D8453" s="30" t="s">
        <v>2024</v>
      </c>
      <c r="F8453" s="30" t="s">
        <v>2046</v>
      </c>
      <c r="H8453" s="30" t="s">
        <v>2859</v>
      </c>
      <c r="J8453" s="30" t="s">
        <v>2860</v>
      </c>
      <c r="L8453" s="30" t="s">
        <v>2861</v>
      </c>
      <c r="N8453" s="30" t="s">
        <v>2928</v>
      </c>
      <c r="P8453" s="30" t="s">
        <v>15021</v>
      </c>
      <c r="Q8453" t="s">
        <v>621</v>
      </c>
      <c r="R8453" t="s">
        <v>917</v>
      </c>
      <c r="S8453">
        <v>39</v>
      </c>
      <c r="T8453" s="29" t="str">
        <f>HYPERLINK("https://ictv.global/ictv/proposals/2023.001B.Leviviricetes_reorg.zip","2023.001B.Leviviricetes_reorg.zip")</f>
        <v>2023.001B.Leviviricetes_reorg.zip</v>
      </c>
      <c r="U8453" s="29" t="str">
        <f>HYPERLINK("https://ictv.global/taxonomy/taxondetails?taxnode_id=202316195","ictv.global=202316195")</f>
        <v>ictv.global=202316195</v>
      </c>
    </row>
    <row r="8454" spans="1:21">
      <c r="A8454">
        <v>8453</v>
      </c>
      <c r="B8454" s="30" t="s">
        <v>1226</v>
      </c>
      <c r="D8454" s="30" t="s">
        <v>2024</v>
      </c>
      <c r="F8454" s="30" t="s">
        <v>2046</v>
      </c>
      <c r="H8454" s="30" t="s">
        <v>2859</v>
      </c>
      <c r="J8454" s="30" t="s">
        <v>2860</v>
      </c>
      <c r="L8454" s="30" t="s">
        <v>2861</v>
      </c>
      <c r="N8454" s="30" t="s">
        <v>2934</v>
      </c>
      <c r="P8454" s="30" t="s">
        <v>2935</v>
      </c>
      <c r="Q8454" t="s">
        <v>621</v>
      </c>
      <c r="R8454" t="s">
        <v>917</v>
      </c>
      <c r="S8454">
        <v>36</v>
      </c>
      <c r="T8454" s="29" t="str">
        <f>HYPERLINK("https://ictv.global/ictv/proposals/2020.095B.R.Leviviricetes.zip","2020.095B.R.Leviviricetes.zip")</f>
        <v>2020.095B.R.Leviviricetes.zip</v>
      </c>
      <c r="U8454" s="29" t="str">
        <f>HYPERLINK("https://ictv.global/taxonomy/taxondetails?taxnode_id=202310776","ictv.global=202310776")</f>
        <v>ictv.global=202310776</v>
      </c>
    </row>
    <row r="8455" spans="1:21">
      <c r="A8455">
        <v>8454</v>
      </c>
      <c r="B8455" s="30" t="s">
        <v>1226</v>
      </c>
      <c r="D8455" s="30" t="s">
        <v>2024</v>
      </c>
      <c r="F8455" s="30" t="s">
        <v>2046</v>
      </c>
      <c r="H8455" s="30" t="s">
        <v>2859</v>
      </c>
      <c r="J8455" s="30" t="s">
        <v>2860</v>
      </c>
      <c r="L8455" s="30" t="s">
        <v>2861</v>
      </c>
      <c r="N8455" s="30" t="s">
        <v>2936</v>
      </c>
      <c r="P8455" s="30" t="s">
        <v>15022</v>
      </c>
      <c r="Q8455" t="s">
        <v>621</v>
      </c>
      <c r="R8455" t="s">
        <v>917</v>
      </c>
      <c r="S8455">
        <v>39</v>
      </c>
      <c r="T8455" s="29" t="str">
        <f>HYPERLINK("https://ictv.global/ictv/proposals/2023.001B.Leviviricetes_reorg.zip","2023.001B.Leviviricetes_reorg.zip")</f>
        <v>2023.001B.Leviviricetes_reorg.zip</v>
      </c>
      <c r="U8455" s="29" t="str">
        <f>HYPERLINK("https://ictv.global/taxonomy/taxondetails?taxnode_id=202316196","ictv.global=202316196")</f>
        <v>ictv.global=202316196</v>
      </c>
    </row>
    <row r="8456" spans="1:21">
      <c r="A8456">
        <v>8455</v>
      </c>
      <c r="B8456" s="30" t="s">
        <v>1226</v>
      </c>
      <c r="D8456" s="30" t="s">
        <v>2024</v>
      </c>
      <c r="F8456" s="30" t="s">
        <v>2046</v>
      </c>
      <c r="H8456" s="30" t="s">
        <v>2859</v>
      </c>
      <c r="J8456" s="30" t="s">
        <v>2860</v>
      </c>
      <c r="L8456" s="30" t="s">
        <v>2861</v>
      </c>
      <c r="N8456" s="30" t="s">
        <v>2936</v>
      </c>
      <c r="P8456" s="30" t="s">
        <v>15023</v>
      </c>
      <c r="Q8456" t="s">
        <v>621</v>
      </c>
      <c r="R8456" t="s">
        <v>917</v>
      </c>
      <c r="S8456">
        <v>39</v>
      </c>
      <c r="T8456" s="29" t="str">
        <f>HYPERLINK("https://ictv.global/ictv/proposals/2023.001B.Leviviricetes_reorg.zip","2023.001B.Leviviricetes_reorg.zip")</f>
        <v>2023.001B.Leviviricetes_reorg.zip</v>
      </c>
      <c r="U8456" s="29" t="str">
        <f>HYPERLINK("https://ictv.global/taxonomy/taxondetails?taxnode_id=202316197","ictv.global=202316197")</f>
        <v>ictv.global=202316197</v>
      </c>
    </row>
    <row r="8457" spans="1:21">
      <c r="A8457">
        <v>8456</v>
      </c>
      <c r="B8457" s="30" t="s">
        <v>1226</v>
      </c>
      <c r="D8457" s="30" t="s">
        <v>2024</v>
      </c>
      <c r="F8457" s="30" t="s">
        <v>2046</v>
      </c>
      <c r="H8457" s="30" t="s">
        <v>2859</v>
      </c>
      <c r="J8457" s="30" t="s">
        <v>2860</v>
      </c>
      <c r="L8457" s="30" t="s">
        <v>2861</v>
      </c>
      <c r="N8457" s="30" t="s">
        <v>2936</v>
      </c>
      <c r="P8457" s="30" t="s">
        <v>2937</v>
      </c>
      <c r="Q8457" t="s">
        <v>621</v>
      </c>
      <c r="R8457" t="s">
        <v>917</v>
      </c>
      <c r="S8457">
        <v>36</v>
      </c>
      <c r="T8457" s="29" t="str">
        <f>HYPERLINK("https://ictv.global/ictv/proposals/2020.095B.R.Leviviricetes.zip","2020.095B.R.Leviviricetes.zip")</f>
        <v>2020.095B.R.Leviviricetes.zip</v>
      </c>
      <c r="U8457" s="29" t="str">
        <f>HYPERLINK("https://ictv.global/taxonomy/taxondetails?taxnode_id=202310778","ictv.global=202310778")</f>
        <v>ictv.global=202310778</v>
      </c>
    </row>
    <row r="8458" spans="1:21">
      <c r="A8458">
        <v>8457</v>
      </c>
      <c r="B8458" s="30" t="s">
        <v>1226</v>
      </c>
      <c r="D8458" s="30" t="s">
        <v>2024</v>
      </c>
      <c r="F8458" s="30" t="s">
        <v>2046</v>
      </c>
      <c r="H8458" s="30" t="s">
        <v>2859</v>
      </c>
      <c r="J8458" s="30" t="s">
        <v>2860</v>
      </c>
      <c r="L8458" s="30" t="s">
        <v>2861</v>
      </c>
      <c r="N8458" s="30" t="s">
        <v>2936</v>
      </c>
      <c r="P8458" s="30" t="s">
        <v>15024</v>
      </c>
      <c r="Q8458" t="s">
        <v>621</v>
      </c>
      <c r="R8458" t="s">
        <v>918</v>
      </c>
      <c r="S8458">
        <v>39</v>
      </c>
      <c r="T8458" s="29" t="str">
        <f>HYPERLINK("https://ictv.global/ictv/proposals/2023.001B.Leviviricetes_reorg.zip","2023.001B.Leviviricetes_reorg.zip")</f>
        <v>2023.001B.Leviviricetes_reorg.zip</v>
      </c>
      <c r="U8458" s="29" t="str">
        <f>HYPERLINK("https://ictv.global/taxonomy/taxondetails?taxnode_id=202310784","ictv.global=202310784")</f>
        <v>ictv.global=202310784</v>
      </c>
    </row>
    <row r="8459" spans="1:21">
      <c r="A8459">
        <v>8458</v>
      </c>
      <c r="B8459" s="30" t="s">
        <v>1226</v>
      </c>
      <c r="D8459" s="30" t="s">
        <v>2024</v>
      </c>
      <c r="F8459" s="30" t="s">
        <v>2046</v>
      </c>
      <c r="H8459" s="30" t="s">
        <v>2859</v>
      </c>
      <c r="J8459" s="30" t="s">
        <v>2860</v>
      </c>
      <c r="L8459" s="30" t="s">
        <v>2861</v>
      </c>
      <c r="N8459" s="30" t="s">
        <v>2936</v>
      </c>
      <c r="P8459" s="30" t="s">
        <v>15025</v>
      </c>
      <c r="Q8459" t="s">
        <v>621</v>
      </c>
      <c r="R8459" t="s">
        <v>917</v>
      </c>
      <c r="S8459">
        <v>39</v>
      </c>
      <c r="T8459" s="29" t="str">
        <f>HYPERLINK("https://ictv.global/ictv/proposals/2023.001B.Leviviricetes_reorg.zip","2023.001B.Leviviricetes_reorg.zip")</f>
        <v>2023.001B.Leviviricetes_reorg.zip</v>
      </c>
      <c r="U8459" s="29" t="str">
        <f>HYPERLINK("https://ictv.global/taxonomy/taxondetails?taxnode_id=202316198","ictv.global=202316198")</f>
        <v>ictv.global=202316198</v>
      </c>
    </row>
    <row r="8460" spans="1:21">
      <c r="A8460">
        <v>8459</v>
      </c>
      <c r="B8460" s="30" t="s">
        <v>1226</v>
      </c>
      <c r="D8460" s="30" t="s">
        <v>2024</v>
      </c>
      <c r="F8460" s="30" t="s">
        <v>2046</v>
      </c>
      <c r="H8460" s="30" t="s">
        <v>2859</v>
      </c>
      <c r="J8460" s="30" t="s">
        <v>2860</v>
      </c>
      <c r="L8460" s="30" t="s">
        <v>2861</v>
      </c>
      <c r="N8460" s="30" t="s">
        <v>2936</v>
      </c>
      <c r="P8460" s="30" t="s">
        <v>15026</v>
      </c>
      <c r="Q8460" t="s">
        <v>621</v>
      </c>
      <c r="R8460" t="s">
        <v>917</v>
      </c>
      <c r="S8460">
        <v>39</v>
      </c>
      <c r="T8460" s="29" t="str">
        <f>HYPERLINK("https://ictv.global/ictv/proposals/2023.001B.Leviviricetes_reorg.zip","2023.001B.Leviviricetes_reorg.zip")</f>
        <v>2023.001B.Leviviricetes_reorg.zip</v>
      </c>
      <c r="U8460" s="29" t="str">
        <f>HYPERLINK("https://ictv.global/taxonomy/taxondetails?taxnode_id=202316199","ictv.global=202316199")</f>
        <v>ictv.global=202316199</v>
      </c>
    </row>
    <row r="8461" spans="1:21">
      <c r="A8461">
        <v>8460</v>
      </c>
      <c r="B8461" s="30" t="s">
        <v>1226</v>
      </c>
      <c r="D8461" s="30" t="s">
        <v>2024</v>
      </c>
      <c r="F8461" s="30" t="s">
        <v>2046</v>
      </c>
      <c r="H8461" s="30" t="s">
        <v>2859</v>
      </c>
      <c r="J8461" s="30" t="s">
        <v>2860</v>
      </c>
      <c r="L8461" s="30" t="s">
        <v>2861</v>
      </c>
      <c r="N8461" s="30" t="s">
        <v>2936</v>
      </c>
      <c r="P8461" s="30" t="s">
        <v>15027</v>
      </c>
      <c r="Q8461" t="s">
        <v>621</v>
      </c>
      <c r="R8461" t="s">
        <v>917</v>
      </c>
      <c r="S8461">
        <v>39</v>
      </c>
      <c r="T8461" s="29" t="str">
        <f>HYPERLINK("https://ictv.global/ictv/proposals/2023.001B.Leviviricetes_reorg.zip","2023.001B.Leviviricetes_reorg.zip")</f>
        <v>2023.001B.Leviviricetes_reorg.zip</v>
      </c>
      <c r="U8461" s="29" t="str">
        <f>HYPERLINK("https://ictv.global/taxonomy/taxondetails?taxnode_id=202316200","ictv.global=202316200")</f>
        <v>ictv.global=202316200</v>
      </c>
    </row>
    <row r="8462" spans="1:21">
      <c r="A8462">
        <v>8461</v>
      </c>
      <c r="B8462" s="30" t="s">
        <v>1226</v>
      </c>
      <c r="D8462" s="30" t="s">
        <v>2024</v>
      </c>
      <c r="F8462" s="30" t="s">
        <v>2046</v>
      </c>
      <c r="H8462" s="30" t="s">
        <v>2859</v>
      </c>
      <c r="J8462" s="30" t="s">
        <v>2860</v>
      </c>
      <c r="L8462" s="30" t="s">
        <v>2861</v>
      </c>
      <c r="N8462" s="30" t="s">
        <v>2938</v>
      </c>
      <c r="P8462" s="30" t="s">
        <v>2939</v>
      </c>
      <c r="Q8462" t="s">
        <v>621</v>
      </c>
      <c r="R8462" t="s">
        <v>917</v>
      </c>
      <c r="S8462">
        <v>36</v>
      </c>
      <c r="T8462" s="29" t="str">
        <f t="shared" ref="T8462:T8467" si="362">HYPERLINK("https://ictv.global/ictv/proposals/2020.095B.R.Leviviricetes.zip","2020.095B.R.Leviviricetes.zip")</f>
        <v>2020.095B.R.Leviviricetes.zip</v>
      </c>
      <c r="U8462" s="29" t="str">
        <f>HYPERLINK("https://ictv.global/taxonomy/taxondetails?taxnode_id=202310780","ictv.global=202310780")</f>
        <v>ictv.global=202310780</v>
      </c>
    </row>
    <row r="8463" spans="1:21">
      <c r="A8463">
        <v>8462</v>
      </c>
      <c r="B8463" s="30" t="s">
        <v>1226</v>
      </c>
      <c r="D8463" s="30" t="s">
        <v>2024</v>
      </c>
      <c r="F8463" s="30" t="s">
        <v>2046</v>
      </c>
      <c r="H8463" s="30" t="s">
        <v>2859</v>
      </c>
      <c r="J8463" s="30" t="s">
        <v>2860</v>
      </c>
      <c r="L8463" s="30" t="s">
        <v>2861</v>
      </c>
      <c r="N8463" s="30" t="s">
        <v>2940</v>
      </c>
      <c r="P8463" s="30" t="s">
        <v>2941</v>
      </c>
      <c r="Q8463" t="s">
        <v>621</v>
      </c>
      <c r="R8463" t="s">
        <v>917</v>
      </c>
      <c r="S8463">
        <v>36</v>
      </c>
      <c r="T8463" s="29" t="str">
        <f t="shared" si="362"/>
        <v>2020.095B.R.Leviviricetes.zip</v>
      </c>
      <c r="U8463" s="29" t="str">
        <f>HYPERLINK("https://ictv.global/taxonomy/taxondetails?taxnode_id=202310782","ictv.global=202310782")</f>
        <v>ictv.global=202310782</v>
      </c>
    </row>
    <row r="8464" spans="1:21">
      <c r="A8464">
        <v>8463</v>
      </c>
      <c r="B8464" s="30" t="s">
        <v>1226</v>
      </c>
      <c r="D8464" s="30" t="s">
        <v>2024</v>
      </c>
      <c r="F8464" s="30" t="s">
        <v>2046</v>
      </c>
      <c r="H8464" s="30" t="s">
        <v>2859</v>
      </c>
      <c r="J8464" s="30" t="s">
        <v>2860</v>
      </c>
      <c r="L8464" s="30" t="s">
        <v>2861</v>
      </c>
      <c r="N8464" s="30" t="s">
        <v>2942</v>
      </c>
      <c r="P8464" s="30" t="s">
        <v>2943</v>
      </c>
      <c r="Q8464" t="s">
        <v>621</v>
      </c>
      <c r="R8464" t="s">
        <v>917</v>
      </c>
      <c r="S8464">
        <v>36</v>
      </c>
      <c r="T8464" s="29" t="str">
        <f t="shared" si="362"/>
        <v>2020.095B.R.Leviviricetes.zip</v>
      </c>
      <c r="U8464" s="29" t="str">
        <f>HYPERLINK("https://ictv.global/taxonomy/taxondetails?taxnode_id=202310786","ictv.global=202310786")</f>
        <v>ictv.global=202310786</v>
      </c>
    </row>
    <row r="8465" spans="1:21">
      <c r="A8465">
        <v>8464</v>
      </c>
      <c r="B8465" s="30" t="s">
        <v>1226</v>
      </c>
      <c r="D8465" s="30" t="s">
        <v>2024</v>
      </c>
      <c r="F8465" s="30" t="s">
        <v>2046</v>
      </c>
      <c r="H8465" s="30" t="s">
        <v>2859</v>
      </c>
      <c r="J8465" s="30" t="s">
        <v>2860</v>
      </c>
      <c r="L8465" s="30" t="s">
        <v>2861</v>
      </c>
      <c r="N8465" s="30" t="s">
        <v>2944</v>
      </c>
      <c r="P8465" s="30" t="s">
        <v>2945</v>
      </c>
      <c r="Q8465" t="s">
        <v>621</v>
      </c>
      <c r="R8465" t="s">
        <v>917</v>
      </c>
      <c r="S8465">
        <v>36</v>
      </c>
      <c r="T8465" s="29" t="str">
        <f t="shared" si="362"/>
        <v>2020.095B.R.Leviviricetes.zip</v>
      </c>
      <c r="U8465" s="29" t="str">
        <f>HYPERLINK("https://ictv.global/taxonomy/taxondetails?taxnode_id=202310788","ictv.global=202310788")</f>
        <v>ictv.global=202310788</v>
      </c>
    </row>
    <row r="8466" spans="1:21">
      <c r="A8466">
        <v>8465</v>
      </c>
      <c r="B8466" s="30" t="s">
        <v>1226</v>
      </c>
      <c r="D8466" s="30" t="s">
        <v>2024</v>
      </c>
      <c r="F8466" s="30" t="s">
        <v>2046</v>
      </c>
      <c r="H8466" s="30" t="s">
        <v>2859</v>
      </c>
      <c r="J8466" s="30" t="s">
        <v>2860</v>
      </c>
      <c r="L8466" s="30" t="s">
        <v>2861</v>
      </c>
      <c r="N8466" s="30" t="s">
        <v>2946</v>
      </c>
      <c r="P8466" s="30" t="s">
        <v>2947</v>
      </c>
      <c r="Q8466" t="s">
        <v>621</v>
      </c>
      <c r="R8466" t="s">
        <v>917</v>
      </c>
      <c r="S8466">
        <v>36</v>
      </c>
      <c r="T8466" s="29" t="str">
        <f t="shared" si="362"/>
        <v>2020.095B.R.Leviviricetes.zip</v>
      </c>
      <c r="U8466" s="29" t="str">
        <f>HYPERLINK("https://ictv.global/taxonomy/taxondetails?taxnode_id=202310790","ictv.global=202310790")</f>
        <v>ictv.global=202310790</v>
      </c>
    </row>
    <row r="8467" spans="1:21">
      <c r="A8467">
        <v>8466</v>
      </c>
      <c r="B8467" s="30" t="s">
        <v>1226</v>
      </c>
      <c r="D8467" s="30" t="s">
        <v>2024</v>
      </c>
      <c r="F8467" s="30" t="s">
        <v>2046</v>
      </c>
      <c r="H8467" s="30" t="s">
        <v>2859</v>
      </c>
      <c r="J8467" s="30" t="s">
        <v>2860</v>
      </c>
      <c r="L8467" s="30" t="s">
        <v>2861</v>
      </c>
      <c r="N8467" s="30" t="s">
        <v>2948</v>
      </c>
      <c r="P8467" s="30" t="s">
        <v>2949</v>
      </c>
      <c r="Q8467" t="s">
        <v>621</v>
      </c>
      <c r="R8467" t="s">
        <v>917</v>
      </c>
      <c r="S8467">
        <v>36</v>
      </c>
      <c r="T8467" s="29" t="str">
        <f t="shared" si="362"/>
        <v>2020.095B.R.Leviviricetes.zip</v>
      </c>
      <c r="U8467" s="29" t="str">
        <f>HYPERLINK("https://ictv.global/taxonomy/taxondetails?taxnode_id=202310792","ictv.global=202310792")</f>
        <v>ictv.global=202310792</v>
      </c>
    </row>
    <row r="8468" spans="1:21">
      <c r="A8468">
        <v>8467</v>
      </c>
      <c r="B8468" s="30" t="s">
        <v>1226</v>
      </c>
      <c r="D8468" s="30" t="s">
        <v>2024</v>
      </c>
      <c r="F8468" s="30" t="s">
        <v>2046</v>
      </c>
      <c r="H8468" s="30" t="s">
        <v>2859</v>
      </c>
      <c r="J8468" s="30" t="s">
        <v>2860</v>
      </c>
      <c r="L8468" s="30" t="s">
        <v>2861</v>
      </c>
      <c r="N8468" s="30" t="s">
        <v>2948</v>
      </c>
      <c r="P8468" s="30" t="s">
        <v>15028</v>
      </c>
      <c r="Q8468" t="s">
        <v>621</v>
      </c>
      <c r="R8468" t="s">
        <v>917</v>
      </c>
      <c r="S8468">
        <v>39</v>
      </c>
      <c r="T8468" s="29" t="str">
        <f>HYPERLINK("https://ictv.global/ictv/proposals/2023.001B.Leviviricetes_reorg.zip","2023.001B.Leviviricetes_reorg.zip")</f>
        <v>2023.001B.Leviviricetes_reorg.zip</v>
      </c>
      <c r="U8468" s="29" t="str">
        <f>HYPERLINK("https://ictv.global/taxonomy/taxondetails?taxnode_id=202316201","ictv.global=202316201")</f>
        <v>ictv.global=202316201</v>
      </c>
    </row>
    <row r="8469" spans="1:21">
      <c r="A8469">
        <v>8468</v>
      </c>
      <c r="B8469" s="30" t="s">
        <v>1226</v>
      </c>
      <c r="D8469" s="30" t="s">
        <v>2024</v>
      </c>
      <c r="F8469" s="30" t="s">
        <v>2046</v>
      </c>
      <c r="H8469" s="30" t="s">
        <v>2859</v>
      </c>
      <c r="J8469" s="30" t="s">
        <v>2860</v>
      </c>
      <c r="L8469" s="30" t="s">
        <v>2861</v>
      </c>
      <c r="N8469" s="30" t="s">
        <v>2948</v>
      </c>
      <c r="P8469" s="30" t="s">
        <v>2950</v>
      </c>
      <c r="Q8469" t="s">
        <v>621</v>
      </c>
      <c r="R8469" t="s">
        <v>917</v>
      </c>
      <c r="S8469">
        <v>36</v>
      </c>
      <c r="T8469" s="29" t="str">
        <f>HYPERLINK("https://ictv.global/ictv/proposals/2020.095B.R.Leviviricetes.zip","2020.095B.R.Leviviricetes.zip")</f>
        <v>2020.095B.R.Leviviricetes.zip</v>
      </c>
      <c r="U8469" s="29" t="str">
        <f>HYPERLINK("https://ictv.global/taxonomy/taxondetails?taxnode_id=202310793","ictv.global=202310793")</f>
        <v>ictv.global=202310793</v>
      </c>
    </row>
    <row r="8470" spans="1:21">
      <c r="A8470">
        <v>8469</v>
      </c>
      <c r="B8470" s="30" t="s">
        <v>1226</v>
      </c>
      <c r="D8470" s="30" t="s">
        <v>2024</v>
      </c>
      <c r="F8470" s="30" t="s">
        <v>2046</v>
      </c>
      <c r="H8470" s="30" t="s">
        <v>2859</v>
      </c>
      <c r="J8470" s="30" t="s">
        <v>2860</v>
      </c>
      <c r="L8470" s="30" t="s">
        <v>2861</v>
      </c>
      <c r="N8470" s="30" t="s">
        <v>2948</v>
      </c>
      <c r="P8470" s="30" t="s">
        <v>2951</v>
      </c>
      <c r="Q8470" t="s">
        <v>621</v>
      </c>
      <c r="R8470" t="s">
        <v>917</v>
      </c>
      <c r="S8470">
        <v>36</v>
      </c>
      <c r="T8470" s="29" t="str">
        <f>HYPERLINK("https://ictv.global/ictv/proposals/2020.095B.R.Leviviricetes.zip","2020.095B.R.Leviviricetes.zip")</f>
        <v>2020.095B.R.Leviviricetes.zip</v>
      </c>
      <c r="U8470" s="29" t="str">
        <f>HYPERLINK("https://ictv.global/taxonomy/taxondetails?taxnode_id=202310794","ictv.global=202310794")</f>
        <v>ictv.global=202310794</v>
      </c>
    </row>
    <row r="8471" spans="1:21">
      <c r="A8471">
        <v>8470</v>
      </c>
      <c r="B8471" s="30" t="s">
        <v>1226</v>
      </c>
      <c r="D8471" s="30" t="s">
        <v>2024</v>
      </c>
      <c r="F8471" s="30" t="s">
        <v>2046</v>
      </c>
      <c r="H8471" s="30" t="s">
        <v>2859</v>
      </c>
      <c r="J8471" s="30" t="s">
        <v>2860</v>
      </c>
      <c r="L8471" s="30" t="s">
        <v>2861</v>
      </c>
      <c r="N8471" s="30" t="s">
        <v>2948</v>
      </c>
      <c r="P8471" s="30" t="s">
        <v>15029</v>
      </c>
      <c r="Q8471" t="s">
        <v>621</v>
      </c>
      <c r="R8471" t="s">
        <v>917</v>
      </c>
      <c r="S8471">
        <v>39</v>
      </c>
      <c r="T8471" s="29" t="str">
        <f>HYPERLINK("https://ictv.global/ictv/proposals/2023.001B.Leviviricetes_reorg.zip","2023.001B.Leviviricetes_reorg.zip")</f>
        <v>2023.001B.Leviviricetes_reorg.zip</v>
      </c>
      <c r="U8471" s="29" t="str">
        <f>HYPERLINK("https://ictv.global/taxonomy/taxondetails?taxnode_id=202316202","ictv.global=202316202")</f>
        <v>ictv.global=202316202</v>
      </c>
    </row>
    <row r="8472" spans="1:21">
      <c r="A8472">
        <v>8471</v>
      </c>
      <c r="B8472" s="30" t="s">
        <v>1226</v>
      </c>
      <c r="D8472" s="30" t="s">
        <v>2024</v>
      </c>
      <c r="F8472" s="30" t="s">
        <v>2046</v>
      </c>
      <c r="H8472" s="30" t="s">
        <v>2859</v>
      </c>
      <c r="J8472" s="30" t="s">
        <v>2860</v>
      </c>
      <c r="L8472" s="30" t="s">
        <v>2861</v>
      </c>
      <c r="N8472" s="30" t="s">
        <v>2948</v>
      </c>
      <c r="P8472" s="30" t="s">
        <v>15030</v>
      </c>
      <c r="Q8472" t="s">
        <v>621</v>
      </c>
      <c r="R8472" t="s">
        <v>918</v>
      </c>
      <c r="S8472">
        <v>39</v>
      </c>
      <c r="T8472" s="29" t="str">
        <f>HYPERLINK("https://ictv.global/ictv/proposals/2023.001B.Leviviricetes_reorg.zip","2023.001B.Leviviricetes_reorg.zip")</f>
        <v>2023.001B.Leviviricetes_reorg.zip</v>
      </c>
      <c r="U8472" s="29" t="str">
        <f>HYPERLINK("https://ictv.global/taxonomy/taxondetails?taxnode_id=202310823","ictv.global=202310823")</f>
        <v>ictv.global=202310823</v>
      </c>
    </row>
    <row r="8473" spans="1:21">
      <c r="A8473">
        <v>8472</v>
      </c>
      <c r="B8473" s="30" t="s">
        <v>1226</v>
      </c>
      <c r="D8473" s="30" t="s">
        <v>2024</v>
      </c>
      <c r="F8473" s="30" t="s">
        <v>2046</v>
      </c>
      <c r="H8473" s="30" t="s">
        <v>2859</v>
      </c>
      <c r="J8473" s="30" t="s">
        <v>2860</v>
      </c>
      <c r="L8473" s="30" t="s">
        <v>2861</v>
      </c>
      <c r="N8473" s="30" t="s">
        <v>2948</v>
      </c>
      <c r="P8473" s="30" t="s">
        <v>15031</v>
      </c>
      <c r="Q8473" t="s">
        <v>621</v>
      </c>
      <c r="R8473" t="s">
        <v>917</v>
      </c>
      <c r="S8473">
        <v>39</v>
      </c>
      <c r="T8473" s="29" t="str">
        <f>HYPERLINK("https://ictv.global/ictv/proposals/2023.001B.Leviviricetes_reorg.zip","2023.001B.Leviviricetes_reorg.zip")</f>
        <v>2023.001B.Leviviricetes_reorg.zip</v>
      </c>
      <c r="U8473" s="29" t="str">
        <f>HYPERLINK("https://ictv.global/taxonomy/taxondetails?taxnode_id=202316203","ictv.global=202316203")</f>
        <v>ictv.global=202316203</v>
      </c>
    </row>
    <row r="8474" spans="1:21">
      <c r="A8474">
        <v>8473</v>
      </c>
      <c r="B8474" s="30" t="s">
        <v>1226</v>
      </c>
      <c r="D8474" s="30" t="s">
        <v>2024</v>
      </c>
      <c r="F8474" s="30" t="s">
        <v>2046</v>
      </c>
      <c r="H8474" s="30" t="s">
        <v>2859</v>
      </c>
      <c r="J8474" s="30" t="s">
        <v>2860</v>
      </c>
      <c r="L8474" s="30" t="s">
        <v>2861</v>
      </c>
      <c r="N8474" s="30" t="s">
        <v>2952</v>
      </c>
      <c r="P8474" s="30" t="s">
        <v>2953</v>
      </c>
      <c r="Q8474" t="s">
        <v>621</v>
      </c>
      <c r="R8474" t="s">
        <v>917</v>
      </c>
      <c r="S8474">
        <v>36</v>
      </c>
      <c r="T8474" s="29" t="str">
        <f t="shared" ref="T8474:T8480" si="363">HYPERLINK("https://ictv.global/ictv/proposals/2020.095B.R.Leviviricetes.zip","2020.095B.R.Leviviricetes.zip")</f>
        <v>2020.095B.R.Leviviricetes.zip</v>
      </c>
      <c r="U8474" s="29" t="str">
        <f>HYPERLINK("https://ictv.global/taxonomy/taxondetails?taxnode_id=202310796","ictv.global=202310796")</f>
        <v>ictv.global=202310796</v>
      </c>
    </row>
    <row r="8475" spans="1:21">
      <c r="A8475">
        <v>8474</v>
      </c>
      <c r="B8475" s="30" t="s">
        <v>1226</v>
      </c>
      <c r="D8475" s="30" t="s">
        <v>2024</v>
      </c>
      <c r="F8475" s="30" t="s">
        <v>2046</v>
      </c>
      <c r="H8475" s="30" t="s">
        <v>2859</v>
      </c>
      <c r="J8475" s="30" t="s">
        <v>2860</v>
      </c>
      <c r="L8475" s="30" t="s">
        <v>2861</v>
      </c>
      <c r="N8475" s="30" t="s">
        <v>2952</v>
      </c>
      <c r="P8475" s="30" t="s">
        <v>2954</v>
      </c>
      <c r="Q8475" t="s">
        <v>621</v>
      </c>
      <c r="R8475" t="s">
        <v>917</v>
      </c>
      <c r="S8475">
        <v>36</v>
      </c>
      <c r="T8475" s="29" t="str">
        <f t="shared" si="363"/>
        <v>2020.095B.R.Leviviricetes.zip</v>
      </c>
      <c r="U8475" s="29" t="str">
        <f>HYPERLINK("https://ictv.global/taxonomy/taxondetails?taxnode_id=202310797","ictv.global=202310797")</f>
        <v>ictv.global=202310797</v>
      </c>
    </row>
    <row r="8476" spans="1:21">
      <c r="A8476">
        <v>8475</v>
      </c>
      <c r="B8476" s="30" t="s">
        <v>1226</v>
      </c>
      <c r="D8476" s="30" t="s">
        <v>2024</v>
      </c>
      <c r="F8476" s="30" t="s">
        <v>2046</v>
      </c>
      <c r="H8476" s="30" t="s">
        <v>2859</v>
      </c>
      <c r="J8476" s="30" t="s">
        <v>2860</v>
      </c>
      <c r="L8476" s="30" t="s">
        <v>2861</v>
      </c>
      <c r="N8476" s="30" t="s">
        <v>2955</v>
      </c>
      <c r="P8476" s="30" t="s">
        <v>2956</v>
      </c>
      <c r="Q8476" t="s">
        <v>621</v>
      </c>
      <c r="R8476" t="s">
        <v>917</v>
      </c>
      <c r="S8476">
        <v>36</v>
      </c>
      <c r="T8476" s="29" t="str">
        <f t="shared" si="363"/>
        <v>2020.095B.R.Leviviricetes.zip</v>
      </c>
      <c r="U8476" s="29" t="str">
        <f>HYPERLINK("https://ictv.global/taxonomy/taxondetails?taxnode_id=202310799","ictv.global=202310799")</f>
        <v>ictv.global=202310799</v>
      </c>
    </row>
    <row r="8477" spans="1:21">
      <c r="A8477">
        <v>8476</v>
      </c>
      <c r="B8477" s="30" t="s">
        <v>1226</v>
      </c>
      <c r="D8477" s="30" t="s">
        <v>2024</v>
      </c>
      <c r="F8477" s="30" t="s">
        <v>2046</v>
      </c>
      <c r="H8477" s="30" t="s">
        <v>2859</v>
      </c>
      <c r="J8477" s="30" t="s">
        <v>2860</v>
      </c>
      <c r="L8477" s="30" t="s">
        <v>2861</v>
      </c>
      <c r="N8477" s="30" t="s">
        <v>2957</v>
      </c>
      <c r="P8477" s="30" t="s">
        <v>2958</v>
      </c>
      <c r="Q8477" t="s">
        <v>621</v>
      </c>
      <c r="R8477" t="s">
        <v>917</v>
      </c>
      <c r="S8477">
        <v>36</v>
      </c>
      <c r="T8477" s="29" t="str">
        <f t="shared" si="363"/>
        <v>2020.095B.R.Leviviricetes.zip</v>
      </c>
      <c r="U8477" s="29" t="str">
        <f>HYPERLINK("https://ictv.global/taxonomy/taxondetails?taxnode_id=202310817","ictv.global=202310817")</f>
        <v>ictv.global=202310817</v>
      </c>
    </row>
    <row r="8478" spans="1:21">
      <c r="A8478">
        <v>8477</v>
      </c>
      <c r="B8478" s="30" t="s">
        <v>1226</v>
      </c>
      <c r="D8478" s="30" t="s">
        <v>2024</v>
      </c>
      <c r="F8478" s="30" t="s">
        <v>2046</v>
      </c>
      <c r="H8478" s="30" t="s">
        <v>2859</v>
      </c>
      <c r="J8478" s="30" t="s">
        <v>2860</v>
      </c>
      <c r="L8478" s="30" t="s">
        <v>2861</v>
      </c>
      <c r="N8478" s="30" t="s">
        <v>2959</v>
      </c>
      <c r="P8478" s="30" t="s">
        <v>2960</v>
      </c>
      <c r="Q8478" t="s">
        <v>621</v>
      </c>
      <c r="R8478" t="s">
        <v>917</v>
      </c>
      <c r="S8478">
        <v>36</v>
      </c>
      <c r="T8478" s="29" t="str">
        <f t="shared" si="363"/>
        <v>2020.095B.R.Leviviricetes.zip</v>
      </c>
      <c r="U8478" s="29" t="str">
        <f>HYPERLINK("https://ictv.global/taxonomy/taxondetails?taxnode_id=202310821","ictv.global=202310821")</f>
        <v>ictv.global=202310821</v>
      </c>
    </row>
    <row r="8479" spans="1:21">
      <c r="A8479">
        <v>8478</v>
      </c>
      <c r="B8479" s="30" t="s">
        <v>1226</v>
      </c>
      <c r="D8479" s="30" t="s">
        <v>2024</v>
      </c>
      <c r="F8479" s="30" t="s">
        <v>2046</v>
      </c>
      <c r="H8479" s="30" t="s">
        <v>2859</v>
      </c>
      <c r="J8479" s="30" t="s">
        <v>2860</v>
      </c>
      <c r="L8479" s="30" t="s">
        <v>2861</v>
      </c>
      <c r="N8479" s="30" t="s">
        <v>2961</v>
      </c>
      <c r="P8479" s="30" t="s">
        <v>2962</v>
      </c>
      <c r="Q8479" t="s">
        <v>621</v>
      </c>
      <c r="R8479" t="s">
        <v>917</v>
      </c>
      <c r="S8479">
        <v>36</v>
      </c>
      <c r="T8479" s="29" t="str">
        <f t="shared" si="363"/>
        <v>2020.095B.R.Leviviricetes.zip</v>
      </c>
      <c r="U8479" s="29" t="str">
        <f>HYPERLINK("https://ictv.global/taxonomy/taxondetails?taxnode_id=202310826","ictv.global=202310826")</f>
        <v>ictv.global=202310826</v>
      </c>
    </row>
    <row r="8480" spans="1:21">
      <c r="A8480">
        <v>8479</v>
      </c>
      <c r="B8480" s="30" t="s">
        <v>1226</v>
      </c>
      <c r="D8480" s="30" t="s">
        <v>2024</v>
      </c>
      <c r="F8480" s="30" t="s">
        <v>2046</v>
      </c>
      <c r="H8480" s="30" t="s">
        <v>2859</v>
      </c>
      <c r="J8480" s="30" t="s">
        <v>2860</v>
      </c>
      <c r="L8480" s="30" t="s">
        <v>2861</v>
      </c>
      <c r="N8480" s="30" t="s">
        <v>2961</v>
      </c>
      <c r="P8480" s="30" t="s">
        <v>2963</v>
      </c>
      <c r="Q8480" t="s">
        <v>621</v>
      </c>
      <c r="R8480" t="s">
        <v>917</v>
      </c>
      <c r="S8480">
        <v>36</v>
      </c>
      <c r="T8480" s="29" t="str">
        <f t="shared" si="363"/>
        <v>2020.095B.R.Leviviricetes.zip</v>
      </c>
      <c r="U8480" s="29" t="str">
        <f>HYPERLINK("https://ictv.global/taxonomy/taxondetails?taxnode_id=202310825","ictv.global=202310825")</f>
        <v>ictv.global=202310825</v>
      </c>
    </row>
    <row r="8481" spans="1:21">
      <c r="A8481">
        <v>8480</v>
      </c>
      <c r="B8481" s="30" t="s">
        <v>1226</v>
      </c>
      <c r="D8481" s="30" t="s">
        <v>2024</v>
      </c>
      <c r="F8481" s="30" t="s">
        <v>2046</v>
      </c>
      <c r="H8481" s="30" t="s">
        <v>2859</v>
      </c>
      <c r="J8481" s="30" t="s">
        <v>2860</v>
      </c>
      <c r="L8481" s="30" t="s">
        <v>2861</v>
      </c>
      <c r="N8481" s="30" t="s">
        <v>2964</v>
      </c>
      <c r="P8481" s="30" t="s">
        <v>15032</v>
      </c>
      <c r="Q8481" t="s">
        <v>621</v>
      </c>
      <c r="R8481" t="s">
        <v>917</v>
      </c>
      <c r="S8481">
        <v>39</v>
      </c>
      <c r="T8481" s="29" t="str">
        <f>HYPERLINK("https://ictv.global/ictv/proposals/2023.001B.Leviviricetes_reorg.zip","2023.001B.Leviviricetes_reorg.zip")</f>
        <v>2023.001B.Leviviricetes_reorg.zip</v>
      </c>
      <c r="U8481" s="29" t="str">
        <f>HYPERLINK("https://ictv.global/taxonomy/taxondetails?taxnode_id=202316204","ictv.global=202316204")</f>
        <v>ictv.global=202316204</v>
      </c>
    </row>
    <row r="8482" spans="1:21">
      <c r="A8482">
        <v>8481</v>
      </c>
      <c r="B8482" s="30" t="s">
        <v>1226</v>
      </c>
      <c r="D8482" s="30" t="s">
        <v>2024</v>
      </c>
      <c r="F8482" s="30" t="s">
        <v>2046</v>
      </c>
      <c r="H8482" s="30" t="s">
        <v>2859</v>
      </c>
      <c r="J8482" s="30" t="s">
        <v>2860</v>
      </c>
      <c r="L8482" s="30" t="s">
        <v>2861</v>
      </c>
      <c r="N8482" s="30" t="s">
        <v>2964</v>
      </c>
      <c r="P8482" s="30" t="s">
        <v>2965</v>
      </c>
      <c r="Q8482" t="s">
        <v>621</v>
      </c>
      <c r="R8482" t="s">
        <v>917</v>
      </c>
      <c r="S8482">
        <v>36</v>
      </c>
      <c r="T8482" s="29" t="str">
        <f>HYPERLINK("https://ictv.global/ictv/proposals/2020.095B.R.Leviviricetes.zip","2020.095B.R.Leviviricetes.zip")</f>
        <v>2020.095B.R.Leviviricetes.zip</v>
      </c>
      <c r="U8482" s="29" t="str">
        <f>HYPERLINK("https://ictv.global/taxonomy/taxondetails?taxnode_id=202310830","ictv.global=202310830")</f>
        <v>ictv.global=202310830</v>
      </c>
    </row>
    <row r="8483" spans="1:21">
      <c r="A8483">
        <v>8482</v>
      </c>
      <c r="B8483" s="30" t="s">
        <v>1226</v>
      </c>
      <c r="D8483" s="30" t="s">
        <v>2024</v>
      </c>
      <c r="F8483" s="30" t="s">
        <v>2046</v>
      </c>
      <c r="H8483" s="30" t="s">
        <v>2859</v>
      </c>
      <c r="J8483" s="30" t="s">
        <v>2860</v>
      </c>
      <c r="L8483" s="30" t="s">
        <v>2861</v>
      </c>
      <c r="N8483" s="30" t="s">
        <v>2966</v>
      </c>
      <c r="P8483" s="30" t="s">
        <v>2967</v>
      </c>
      <c r="Q8483" t="s">
        <v>621</v>
      </c>
      <c r="R8483" t="s">
        <v>917</v>
      </c>
      <c r="S8483">
        <v>36</v>
      </c>
      <c r="T8483" s="29" t="str">
        <f>HYPERLINK("https://ictv.global/ictv/proposals/2020.095B.R.Leviviricetes.zip","2020.095B.R.Leviviricetes.zip")</f>
        <v>2020.095B.R.Leviviricetes.zip</v>
      </c>
      <c r="U8483" s="29" t="str">
        <f>HYPERLINK("https://ictv.global/taxonomy/taxondetails?taxnode_id=202310832","ictv.global=202310832")</f>
        <v>ictv.global=202310832</v>
      </c>
    </row>
    <row r="8484" spans="1:21">
      <c r="A8484">
        <v>8483</v>
      </c>
      <c r="B8484" s="30" t="s">
        <v>1226</v>
      </c>
      <c r="D8484" s="30" t="s">
        <v>2024</v>
      </c>
      <c r="F8484" s="30" t="s">
        <v>2046</v>
      </c>
      <c r="H8484" s="30" t="s">
        <v>2859</v>
      </c>
      <c r="J8484" s="30" t="s">
        <v>2860</v>
      </c>
      <c r="L8484" s="30" t="s">
        <v>2861</v>
      </c>
      <c r="N8484" s="30" t="s">
        <v>2968</v>
      </c>
      <c r="P8484" s="30" t="s">
        <v>2969</v>
      </c>
      <c r="Q8484" t="s">
        <v>621</v>
      </c>
      <c r="R8484" t="s">
        <v>917</v>
      </c>
      <c r="S8484">
        <v>36</v>
      </c>
      <c r="T8484" s="29" t="str">
        <f>HYPERLINK("https://ictv.global/ictv/proposals/2020.095B.R.Leviviricetes.zip","2020.095B.R.Leviviricetes.zip")</f>
        <v>2020.095B.R.Leviviricetes.zip</v>
      </c>
      <c r="U8484" s="29" t="str">
        <f>HYPERLINK("https://ictv.global/taxonomy/taxondetails?taxnode_id=202310834","ictv.global=202310834")</f>
        <v>ictv.global=202310834</v>
      </c>
    </row>
    <row r="8485" spans="1:21">
      <c r="A8485">
        <v>8484</v>
      </c>
      <c r="B8485" s="30" t="s">
        <v>1226</v>
      </c>
      <c r="D8485" s="30" t="s">
        <v>2024</v>
      </c>
      <c r="F8485" s="30" t="s">
        <v>2046</v>
      </c>
      <c r="H8485" s="30" t="s">
        <v>2859</v>
      </c>
      <c r="J8485" s="30" t="s">
        <v>2860</v>
      </c>
      <c r="L8485" s="30" t="s">
        <v>2861</v>
      </c>
      <c r="N8485" s="30" t="s">
        <v>2970</v>
      </c>
      <c r="P8485" s="30" t="s">
        <v>2971</v>
      </c>
      <c r="Q8485" t="s">
        <v>621</v>
      </c>
      <c r="R8485" t="s">
        <v>917</v>
      </c>
      <c r="S8485">
        <v>36</v>
      </c>
      <c r="T8485" s="29" t="str">
        <f>HYPERLINK("https://ictv.global/ictv/proposals/2020.095B.R.Leviviricetes.zip","2020.095B.R.Leviviricetes.zip")</f>
        <v>2020.095B.R.Leviviricetes.zip</v>
      </c>
      <c r="U8485" s="29" t="str">
        <f>HYPERLINK("https://ictv.global/taxonomy/taxondetails?taxnode_id=202310836","ictv.global=202310836")</f>
        <v>ictv.global=202310836</v>
      </c>
    </row>
    <row r="8486" spans="1:21">
      <c r="A8486">
        <v>8485</v>
      </c>
      <c r="B8486" s="30" t="s">
        <v>1226</v>
      </c>
      <c r="D8486" s="30" t="s">
        <v>2024</v>
      </c>
      <c r="F8486" s="30" t="s">
        <v>2046</v>
      </c>
      <c r="H8486" s="30" t="s">
        <v>2859</v>
      </c>
      <c r="J8486" s="30" t="s">
        <v>2860</v>
      </c>
      <c r="L8486" s="30" t="s">
        <v>2861</v>
      </c>
      <c r="N8486" s="30" t="s">
        <v>2972</v>
      </c>
      <c r="P8486" s="30" t="s">
        <v>15033</v>
      </c>
      <c r="Q8486" t="s">
        <v>621</v>
      </c>
      <c r="R8486" t="s">
        <v>917</v>
      </c>
      <c r="S8486">
        <v>39</v>
      </c>
      <c r="T8486" s="29" t="str">
        <f>HYPERLINK("https://ictv.global/ictv/proposals/2023.001B.Leviviricetes_reorg.zip","2023.001B.Leviviricetes_reorg.zip")</f>
        <v>2023.001B.Leviviricetes_reorg.zip</v>
      </c>
      <c r="U8486" s="29" t="str">
        <f>HYPERLINK("https://ictv.global/taxonomy/taxondetails?taxnode_id=202316205","ictv.global=202316205")</f>
        <v>ictv.global=202316205</v>
      </c>
    </row>
    <row r="8487" spans="1:21">
      <c r="A8487">
        <v>8486</v>
      </c>
      <c r="B8487" s="30" t="s">
        <v>1226</v>
      </c>
      <c r="D8487" s="30" t="s">
        <v>2024</v>
      </c>
      <c r="F8487" s="30" t="s">
        <v>2046</v>
      </c>
      <c r="H8487" s="30" t="s">
        <v>2859</v>
      </c>
      <c r="J8487" s="30" t="s">
        <v>2860</v>
      </c>
      <c r="L8487" s="30" t="s">
        <v>2861</v>
      </c>
      <c r="N8487" s="30" t="s">
        <v>2972</v>
      </c>
      <c r="P8487" s="30" t="s">
        <v>2973</v>
      </c>
      <c r="Q8487" t="s">
        <v>621</v>
      </c>
      <c r="R8487" t="s">
        <v>917</v>
      </c>
      <c r="S8487">
        <v>36</v>
      </c>
      <c r="T8487" s="29" t="str">
        <f>HYPERLINK("https://ictv.global/ictv/proposals/2020.095B.R.Leviviricetes.zip","2020.095B.R.Leviviricetes.zip")</f>
        <v>2020.095B.R.Leviviricetes.zip</v>
      </c>
      <c r="U8487" s="29" t="str">
        <f>HYPERLINK("https://ictv.global/taxonomy/taxondetails?taxnode_id=202310838","ictv.global=202310838")</f>
        <v>ictv.global=202310838</v>
      </c>
    </row>
    <row r="8488" spans="1:21">
      <c r="A8488">
        <v>8487</v>
      </c>
      <c r="B8488" s="30" t="s">
        <v>1226</v>
      </c>
      <c r="D8488" s="30" t="s">
        <v>2024</v>
      </c>
      <c r="F8488" s="30" t="s">
        <v>2046</v>
      </c>
      <c r="H8488" s="30" t="s">
        <v>2859</v>
      </c>
      <c r="J8488" s="30" t="s">
        <v>2860</v>
      </c>
      <c r="L8488" s="30" t="s">
        <v>2861</v>
      </c>
      <c r="N8488" s="30" t="s">
        <v>2974</v>
      </c>
      <c r="P8488" s="30" t="s">
        <v>15034</v>
      </c>
      <c r="Q8488" t="s">
        <v>621</v>
      </c>
      <c r="R8488" t="s">
        <v>917</v>
      </c>
      <c r="S8488">
        <v>39</v>
      </c>
      <c r="T8488" s="29" t="str">
        <f>HYPERLINK("https://ictv.global/ictv/proposals/2023.001B.Leviviricetes_reorg.zip","2023.001B.Leviviricetes_reorg.zip")</f>
        <v>2023.001B.Leviviricetes_reorg.zip</v>
      </c>
      <c r="U8488" s="29" t="str">
        <f>HYPERLINK("https://ictv.global/taxonomy/taxondetails?taxnode_id=202316206","ictv.global=202316206")</f>
        <v>ictv.global=202316206</v>
      </c>
    </row>
    <row r="8489" spans="1:21">
      <c r="A8489">
        <v>8488</v>
      </c>
      <c r="B8489" s="30" t="s">
        <v>1226</v>
      </c>
      <c r="D8489" s="30" t="s">
        <v>2024</v>
      </c>
      <c r="F8489" s="30" t="s">
        <v>2046</v>
      </c>
      <c r="H8489" s="30" t="s">
        <v>2859</v>
      </c>
      <c r="J8489" s="30" t="s">
        <v>2860</v>
      </c>
      <c r="L8489" s="30" t="s">
        <v>2861</v>
      </c>
      <c r="N8489" s="30" t="s">
        <v>2974</v>
      </c>
      <c r="P8489" s="30" t="s">
        <v>2975</v>
      </c>
      <c r="Q8489" t="s">
        <v>621</v>
      </c>
      <c r="R8489" t="s">
        <v>917</v>
      </c>
      <c r="S8489">
        <v>36</v>
      </c>
      <c r="T8489" s="29" t="str">
        <f>HYPERLINK("https://ictv.global/ictv/proposals/2020.095B.R.Leviviricetes.zip","2020.095B.R.Leviviricetes.zip")</f>
        <v>2020.095B.R.Leviviricetes.zip</v>
      </c>
      <c r="U8489" s="29" t="str">
        <f>HYPERLINK("https://ictv.global/taxonomy/taxondetails?taxnode_id=202310840","ictv.global=202310840")</f>
        <v>ictv.global=202310840</v>
      </c>
    </row>
    <row r="8490" spans="1:21">
      <c r="A8490">
        <v>8489</v>
      </c>
      <c r="B8490" s="30" t="s">
        <v>1226</v>
      </c>
      <c r="D8490" s="30" t="s">
        <v>2024</v>
      </c>
      <c r="F8490" s="30" t="s">
        <v>2046</v>
      </c>
      <c r="H8490" s="30" t="s">
        <v>2859</v>
      </c>
      <c r="J8490" s="30" t="s">
        <v>2860</v>
      </c>
      <c r="L8490" s="30" t="s">
        <v>2861</v>
      </c>
      <c r="N8490" s="30" t="s">
        <v>2974</v>
      </c>
      <c r="P8490" s="30" t="s">
        <v>2976</v>
      </c>
      <c r="Q8490" t="s">
        <v>621</v>
      </c>
      <c r="R8490" t="s">
        <v>917</v>
      </c>
      <c r="S8490">
        <v>36</v>
      </c>
      <c r="T8490" s="29" t="str">
        <f>HYPERLINK("https://ictv.global/ictv/proposals/2020.095B.R.Leviviricetes.zip","2020.095B.R.Leviviricetes.zip")</f>
        <v>2020.095B.R.Leviviricetes.zip</v>
      </c>
      <c r="U8490" s="29" t="str">
        <f>HYPERLINK("https://ictv.global/taxonomy/taxondetails?taxnode_id=202310841","ictv.global=202310841")</f>
        <v>ictv.global=202310841</v>
      </c>
    </row>
    <row r="8491" spans="1:21">
      <c r="A8491">
        <v>8490</v>
      </c>
      <c r="B8491" s="30" t="s">
        <v>1226</v>
      </c>
      <c r="D8491" s="30" t="s">
        <v>2024</v>
      </c>
      <c r="F8491" s="30" t="s">
        <v>2046</v>
      </c>
      <c r="H8491" s="30" t="s">
        <v>2859</v>
      </c>
      <c r="J8491" s="30" t="s">
        <v>2860</v>
      </c>
      <c r="L8491" s="30" t="s">
        <v>2977</v>
      </c>
      <c r="N8491" s="30" t="s">
        <v>2978</v>
      </c>
      <c r="P8491" s="30" t="s">
        <v>15035</v>
      </c>
      <c r="Q8491" t="s">
        <v>621</v>
      </c>
      <c r="R8491" t="s">
        <v>917</v>
      </c>
      <c r="S8491">
        <v>39</v>
      </c>
      <c r="T8491" s="29" t="str">
        <f>HYPERLINK("https://ictv.global/ictv/proposals/2023.001B.Leviviricetes_reorg.zip","2023.001B.Leviviricetes_reorg.zip")</f>
        <v>2023.001B.Leviviricetes_reorg.zip</v>
      </c>
      <c r="U8491" s="29" t="str">
        <f>HYPERLINK("https://ictv.global/taxonomy/taxondetails?taxnode_id=202316207","ictv.global=202316207")</f>
        <v>ictv.global=202316207</v>
      </c>
    </row>
    <row r="8492" spans="1:21">
      <c r="A8492">
        <v>8491</v>
      </c>
      <c r="B8492" s="30" t="s">
        <v>1226</v>
      </c>
      <c r="D8492" s="30" t="s">
        <v>2024</v>
      </c>
      <c r="F8492" s="30" t="s">
        <v>2046</v>
      </c>
      <c r="H8492" s="30" t="s">
        <v>2859</v>
      </c>
      <c r="J8492" s="30" t="s">
        <v>2860</v>
      </c>
      <c r="L8492" s="30" t="s">
        <v>2977</v>
      </c>
      <c r="N8492" s="30" t="s">
        <v>2978</v>
      </c>
      <c r="P8492" s="30" t="s">
        <v>2979</v>
      </c>
      <c r="Q8492" t="s">
        <v>621</v>
      </c>
      <c r="R8492" t="s">
        <v>917</v>
      </c>
      <c r="S8492">
        <v>36</v>
      </c>
      <c r="T8492" s="29" t="str">
        <f>HYPERLINK("https://ictv.global/ictv/proposals/2020.095B.R.Leviviricetes.zip","2020.095B.R.Leviviricetes.zip")</f>
        <v>2020.095B.R.Leviviricetes.zip</v>
      </c>
      <c r="U8492" s="29" t="str">
        <f>HYPERLINK("https://ictv.global/taxonomy/taxondetails?taxnode_id=202310844","ictv.global=202310844")</f>
        <v>ictv.global=202310844</v>
      </c>
    </row>
    <row r="8493" spans="1:21">
      <c r="A8493">
        <v>8492</v>
      </c>
      <c r="B8493" s="30" t="s">
        <v>1226</v>
      </c>
      <c r="D8493" s="30" t="s">
        <v>2024</v>
      </c>
      <c r="F8493" s="30" t="s">
        <v>2046</v>
      </c>
      <c r="H8493" s="30" t="s">
        <v>2859</v>
      </c>
      <c r="J8493" s="30" t="s">
        <v>2860</v>
      </c>
      <c r="L8493" s="30" t="s">
        <v>2977</v>
      </c>
      <c r="N8493" s="30" t="s">
        <v>2980</v>
      </c>
      <c r="P8493" s="30" t="s">
        <v>2981</v>
      </c>
      <c r="Q8493" t="s">
        <v>621</v>
      </c>
      <c r="R8493" t="s">
        <v>917</v>
      </c>
      <c r="S8493">
        <v>36</v>
      </c>
      <c r="T8493" s="29" t="str">
        <f>HYPERLINK("https://ictv.global/ictv/proposals/2020.095B.R.Leviviricetes.zip","2020.095B.R.Leviviricetes.zip")</f>
        <v>2020.095B.R.Leviviricetes.zip</v>
      </c>
      <c r="U8493" s="29" t="str">
        <f>HYPERLINK("https://ictv.global/taxonomy/taxondetails?taxnode_id=202310846","ictv.global=202310846")</f>
        <v>ictv.global=202310846</v>
      </c>
    </row>
    <row r="8494" spans="1:21">
      <c r="A8494">
        <v>8493</v>
      </c>
      <c r="B8494" s="30" t="s">
        <v>1226</v>
      </c>
      <c r="D8494" s="30" t="s">
        <v>2024</v>
      </c>
      <c r="F8494" s="30" t="s">
        <v>2046</v>
      </c>
      <c r="H8494" s="30" t="s">
        <v>2859</v>
      </c>
      <c r="J8494" s="30" t="s">
        <v>2860</v>
      </c>
      <c r="L8494" s="30" t="s">
        <v>2977</v>
      </c>
      <c r="N8494" s="30" t="s">
        <v>15036</v>
      </c>
      <c r="P8494" s="30" t="s">
        <v>15037</v>
      </c>
      <c r="Q8494" t="s">
        <v>621</v>
      </c>
      <c r="R8494" t="s">
        <v>917</v>
      </c>
      <c r="S8494">
        <v>39</v>
      </c>
      <c r="T8494" s="29" t="str">
        <f>HYPERLINK("https://ictv.global/ictv/proposals/2023.001B.Leviviricetes_reorg.zip","2023.001B.Leviviricetes_reorg.zip")</f>
        <v>2023.001B.Leviviricetes_reorg.zip</v>
      </c>
      <c r="U8494" s="29" t="str">
        <f>HYPERLINK("https://ictv.global/taxonomy/taxondetails?taxnode_id=202316208","ictv.global=202316208")</f>
        <v>ictv.global=202316208</v>
      </c>
    </row>
    <row r="8495" spans="1:21">
      <c r="A8495">
        <v>8494</v>
      </c>
      <c r="B8495" s="30" t="s">
        <v>1226</v>
      </c>
      <c r="D8495" s="30" t="s">
        <v>2024</v>
      </c>
      <c r="F8495" s="30" t="s">
        <v>2046</v>
      </c>
      <c r="H8495" s="30" t="s">
        <v>2859</v>
      </c>
      <c r="J8495" s="30" t="s">
        <v>2860</v>
      </c>
      <c r="L8495" s="30" t="s">
        <v>2977</v>
      </c>
      <c r="N8495" s="30" t="s">
        <v>15038</v>
      </c>
      <c r="P8495" s="30" t="s">
        <v>15039</v>
      </c>
      <c r="Q8495" t="s">
        <v>621</v>
      </c>
      <c r="R8495" t="s">
        <v>917</v>
      </c>
      <c r="S8495">
        <v>39</v>
      </c>
      <c r="T8495" s="29" t="str">
        <f>HYPERLINK("https://ictv.global/ictv/proposals/2023.001B.Leviviricetes_reorg.zip","2023.001B.Leviviricetes_reorg.zip")</f>
        <v>2023.001B.Leviviricetes_reorg.zip</v>
      </c>
      <c r="U8495" s="29" t="str">
        <f>HYPERLINK("https://ictv.global/taxonomy/taxondetails?taxnode_id=202316209","ictv.global=202316209")</f>
        <v>ictv.global=202316209</v>
      </c>
    </row>
    <row r="8496" spans="1:21">
      <c r="A8496">
        <v>8495</v>
      </c>
      <c r="B8496" s="30" t="s">
        <v>1226</v>
      </c>
      <c r="D8496" s="30" t="s">
        <v>2024</v>
      </c>
      <c r="F8496" s="30" t="s">
        <v>2046</v>
      </c>
      <c r="H8496" s="30" t="s">
        <v>2859</v>
      </c>
      <c r="J8496" s="30" t="s">
        <v>2860</v>
      </c>
      <c r="L8496" s="30" t="s">
        <v>2977</v>
      </c>
      <c r="N8496" s="30" t="s">
        <v>15038</v>
      </c>
      <c r="P8496" s="30" t="s">
        <v>15040</v>
      </c>
      <c r="Q8496" t="s">
        <v>621</v>
      </c>
      <c r="R8496" t="s">
        <v>917</v>
      </c>
      <c r="S8496">
        <v>39</v>
      </c>
      <c r="T8496" s="29" t="str">
        <f>HYPERLINK("https://ictv.global/ictv/proposals/2023.001B.Leviviricetes_reorg.zip","2023.001B.Leviviricetes_reorg.zip")</f>
        <v>2023.001B.Leviviricetes_reorg.zip</v>
      </c>
      <c r="U8496" s="29" t="str">
        <f>HYPERLINK("https://ictv.global/taxonomy/taxondetails?taxnode_id=202316210","ictv.global=202316210")</f>
        <v>ictv.global=202316210</v>
      </c>
    </row>
    <row r="8497" spans="1:21">
      <c r="A8497">
        <v>8496</v>
      </c>
      <c r="B8497" s="30" t="s">
        <v>1226</v>
      </c>
      <c r="D8497" s="30" t="s">
        <v>2024</v>
      </c>
      <c r="F8497" s="30" t="s">
        <v>2046</v>
      </c>
      <c r="H8497" s="30" t="s">
        <v>2859</v>
      </c>
      <c r="J8497" s="30" t="s">
        <v>2860</v>
      </c>
      <c r="L8497" s="30" t="s">
        <v>2977</v>
      </c>
      <c r="N8497" s="30" t="s">
        <v>15041</v>
      </c>
      <c r="P8497" s="30" t="s">
        <v>15042</v>
      </c>
      <c r="Q8497" t="s">
        <v>621</v>
      </c>
      <c r="R8497" t="s">
        <v>917</v>
      </c>
      <c r="S8497">
        <v>39</v>
      </c>
      <c r="T8497" s="29" t="str">
        <f>HYPERLINK("https://ictv.global/ictv/proposals/2023.001B.Leviviricetes_reorg.zip","2023.001B.Leviviricetes_reorg.zip")</f>
        <v>2023.001B.Leviviricetes_reorg.zip</v>
      </c>
      <c r="U8497" s="29" t="str">
        <f>HYPERLINK("https://ictv.global/taxonomy/taxondetails?taxnode_id=202316211","ictv.global=202316211")</f>
        <v>ictv.global=202316211</v>
      </c>
    </row>
    <row r="8498" spans="1:21">
      <c r="A8498">
        <v>8497</v>
      </c>
      <c r="B8498" s="30" t="s">
        <v>1226</v>
      </c>
      <c r="D8498" s="30" t="s">
        <v>2024</v>
      </c>
      <c r="F8498" s="30" t="s">
        <v>2046</v>
      </c>
      <c r="H8498" s="30" t="s">
        <v>2859</v>
      </c>
      <c r="J8498" s="30" t="s">
        <v>2860</v>
      </c>
      <c r="L8498" s="30" t="s">
        <v>2977</v>
      </c>
      <c r="N8498" s="30" t="s">
        <v>15043</v>
      </c>
      <c r="P8498" s="30" t="s">
        <v>15044</v>
      </c>
      <c r="Q8498" t="s">
        <v>621</v>
      </c>
      <c r="R8498" t="s">
        <v>917</v>
      </c>
      <c r="S8498">
        <v>39</v>
      </c>
      <c r="T8498" s="29" t="str">
        <f>HYPERLINK("https://ictv.global/ictv/proposals/2023.001B.Leviviricetes_reorg.zip","2023.001B.Leviviricetes_reorg.zip")</f>
        <v>2023.001B.Leviviricetes_reorg.zip</v>
      </c>
      <c r="U8498" s="29" t="str">
        <f>HYPERLINK("https://ictv.global/taxonomy/taxondetails?taxnode_id=202316212","ictv.global=202316212")</f>
        <v>ictv.global=202316212</v>
      </c>
    </row>
    <row r="8499" spans="1:21">
      <c r="A8499">
        <v>8498</v>
      </c>
      <c r="B8499" s="30" t="s">
        <v>1226</v>
      </c>
      <c r="D8499" s="30" t="s">
        <v>2024</v>
      </c>
      <c r="F8499" s="30" t="s">
        <v>2046</v>
      </c>
      <c r="H8499" s="30" t="s">
        <v>2859</v>
      </c>
      <c r="J8499" s="30" t="s">
        <v>2860</v>
      </c>
      <c r="L8499" s="30" t="s">
        <v>2977</v>
      </c>
      <c r="N8499" s="30" t="s">
        <v>2982</v>
      </c>
      <c r="P8499" s="30" t="s">
        <v>2983</v>
      </c>
      <c r="Q8499" t="s">
        <v>621</v>
      </c>
      <c r="R8499" t="s">
        <v>917</v>
      </c>
      <c r="S8499">
        <v>36</v>
      </c>
      <c r="T8499" s="29" t="str">
        <f>HYPERLINK("https://ictv.global/ictv/proposals/2020.095B.R.Leviviricetes.zip","2020.095B.R.Leviviricetes.zip")</f>
        <v>2020.095B.R.Leviviricetes.zip</v>
      </c>
      <c r="U8499" s="29" t="str">
        <f>HYPERLINK("https://ictv.global/taxonomy/taxondetails?taxnode_id=202310848","ictv.global=202310848")</f>
        <v>ictv.global=202310848</v>
      </c>
    </row>
    <row r="8500" spans="1:21">
      <c r="A8500">
        <v>8499</v>
      </c>
      <c r="B8500" s="30" t="s">
        <v>1226</v>
      </c>
      <c r="D8500" s="30" t="s">
        <v>2024</v>
      </c>
      <c r="F8500" s="30" t="s">
        <v>2046</v>
      </c>
      <c r="H8500" s="30" t="s">
        <v>2859</v>
      </c>
      <c r="J8500" s="30" t="s">
        <v>2860</v>
      </c>
      <c r="L8500" s="30" t="s">
        <v>2977</v>
      </c>
      <c r="N8500" s="30" t="s">
        <v>2984</v>
      </c>
      <c r="P8500" s="30" t="s">
        <v>2985</v>
      </c>
      <c r="Q8500" t="s">
        <v>621</v>
      </c>
      <c r="R8500" t="s">
        <v>917</v>
      </c>
      <c r="S8500">
        <v>36</v>
      </c>
      <c r="T8500" s="29" t="str">
        <f>HYPERLINK("https://ictv.global/ictv/proposals/2020.095B.R.Leviviricetes.zip","2020.095B.R.Leviviricetes.zip")</f>
        <v>2020.095B.R.Leviviricetes.zip</v>
      </c>
      <c r="U8500" s="29" t="str">
        <f>HYPERLINK("https://ictv.global/taxonomy/taxondetails?taxnode_id=202310850","ictv.global=202310850")</f>
        <v>ictv.global=202310850</v>
      </c>
    </row>
    <row r="8501" spans="1:21">
      <c r="A8501">
        <v>8500</v>
      </c>
      <c r="B8501" s="30" t="s">
        <v>1226</v>
      </c>
      <c r="D8501" s="30" t="s">
        <v>2024</v>
      </c>
      <c r="F8501" s="30" t="s">
        <v>2046</v>
      </c>
      <c r="H8501" s="30" t="s">
        <v>2859</v>
      </c>
      <c r="J8501" s="30" t="s">
        <v>2860</v>
      </c>
      <c r="L8501" s="30" t="s">
        <v>2977</v>
      </c>
      <c r="N8501" s="30" t="s">
        <v>2986</v>
      </c>
      <c r="P8501" s="30" t="s">
        <v>2987</v>
      </c>
      <c r="Q8501" t="s">
        <v>621</v>
      </c>
      <c r="R8501" t="s">
        <v>917</v>
      </c>
      <c r="S8501">
        <v>36</v>
      </c>
      <c r="T8501" s="29" t="str">
        <f>HYPERLINK("https://ictv.global/ictv/proposals/2020.095B.R.Leviviricetes.zip","2020.095B.R.Leviviricetes.zip")</f>
        <v>2020.095B.R.Leviviricetes.zip</v>
      </c>
      <c r="U8501" s="29" t="str">
        <f>HYPERLINK("https://ictv.global/taxonomy/taxondetails?taxnode_id=202310852","ictv.global=202310852")</f>
        <v>ictv.global=202310852</v>
      </c>
    </row>
    <row r="8502" spans="1:21">
      <c r="A8502">
        <v>8501</v>
      </c>
      <c r="B8502" s="30" t="s">
        <v>1226</v>
      </c>
      <c r="D8502" s="30" t="s">
        <v>2024</v>
      </c>
      <c r="F8502" s="30" t="s">
        <v>2046</v>
      </c>
      <c r="H8502" s="30" t="s">
        <v>2859</v>
      </c>
      <c r="J8502" s="30" t="s">
        <v>2860</v>
      </c>
      <c r="L8502" s="30" t="s">
        <v>2977</v>
      </c>
      <c r="N8502" s="30" t="s">
        <v>2988</v>
      </c>
      <c r="P8502" s="30" t="s">
        <v>2989</v>
      </c>
      <c r="Q8502" t="s">
        <v>621</v>
      </c>
      <c r="R8502" t="s">
        <v>917</v>
      </c>
      <c r="S8502">
        <v>36</v>
      </c>
      <c r="T8502" s="29" t="str">
        <f>HYPERLINK("https://ictv.global/ictv/proposals/2020.095B.R.Leviviricetes.zip","2020.095B.R.Leviviricetes.zip")</f>
        <v>2020.095B.R.Leviviricetes.zip</v>
      </c>
      <c r="U8502" s="29" t="str">
        <f>HYPERLINK("https://ictv.global/taxonomy/taxondetails?taxnode_id=202310854","ictv.global=202310854")</f>
        <v>ictv.global=202310854</v>
      </c>
    </row>
    <row r="8503" spans="1:21">
      <c r="A8503">
        <v>8502</v>
      </c>
      <c r="B8503" s="30" t="s">
        <v>1226</v>
      </c>
      <c r="D8503" s="30" t="s">
        <v>2024</v>
      </c>
      <c r="F8503" s="30" t="s">
        <v>2046</v>
      </c>
      <c r="H8503" s="30" t="s">
        <v>2859</v>
      </c>
      <c r="J8503" s="30" t="s">
        <v>2860</v>
      </c>
      <c r="L8503" s="30" t="s">
        <v>2990</v>
      </c>
      <c r="N8503" s="30" t="s">
        <v>2991</v>
      </c>
      <c r="P8503" s="30" t="s">
        <v>2992</v>
      </c>
      <c r="Q8503" t="s">
        <v>621</v>
      </c>
      <c r="R8503" t="s">
        <v>917</v>
      </c>
      <c r="S8503">
        <v>36</v>
      </c>
      <c r="T8503" s="29" t="str">
        <f>HYPERLINK("https://ictv.global/ictv/proposals/2020.095B.R.Leviviricetes.zip","2020.095B.R.Leviviricetes.zip")</f>
        <v>2020.095B.R.Leviviricetes.zip</v>
      </c>
      <c r="U8503" s="29" t="str">
        <f>HYPERLINK("https://ictv.global/taxonomy/taxondetails?taxnode_id=202310223","ictv.global=202310223")</f>
        <v>ictv.global=202310223</v>
      </c>
    </row>
    <row r="8504" spans="1:21">
      <c r="A8504">
        <v>8503</v>
      </c>
      <c r="B8504" s="30" t="s">
        <v>1226</v>
      </c>
      <c r="D8504" s="30" t="s">
        <v>2024</v>
      </c>
      <c r="F8504" s="30" t="s">
        <v>2046</v>
      </c>
      <c r="H8504" s="30" t="s">
        <v>2859</v>
      </c>
      <c r="J8504" s="30" t="s">
        <v>2860</v>
      </c>
      <c r="L8504" s="30" t="s">
        <v>2990</v>
      </c>
      <c r="N8504" s="30" t="s">
        <v>2991</v>
      </c>
      <c r="P8504" s="30" t="s">
        <v>15045</v>
      </c>
      <c r="Q8504" t="s">
        <v>621</v>
      </c>
      <c r="R8504" t="s">
        <v>917</v>
      </c>
      <c r="S8504">
        <v>39</v>
      </c>
      <c r="T8504" s="29" t="str">
        <f>HYPERLINK("https://ictv.global/ictv/proposals/2023.001B.Leviviricetes_reorg.zip","2023.001B.Leviviricetes_reorg.zip")</f>
        <v>2023.001B.Leviviricetes_reorg.zip</v>
      </c>
      <c r="U8504" s="29" t="str">
        <f>HYPERLINK("https://ictv.global/taxonomy/taxondetails?taxnode_id=202316213","ictv.global=202316213")</f>
        <v>ictv.global=202316213</v>
      </c>
    </row>
    <row r="8505" spans="1:21">
      <c r="A8505">
        <v>8504</v>
      </c>
      <c r="B8505" s="30" t="s">
        <v>1226</v>
      </c>
      <c r="D8505" s="30" t="s">
        <v>2024</v>
      </c>
      <c r="F8505" s="30" t="s">
        <v>2046</v>
      </c>
      <c r="H8505" s="30" t="s">
        <v>2859</v>
      </c>
      <c r="J8505" s="30" t="s">
        <v>2860</v>
      </c>
      <c r="L8505" s="30" t="s">
        <v>2990</v>
      </c>
      <c r="N8505" s="30" t="s">
        <v>2991</v>
      </c>
      <c r="P8505" s="30" t="s">
        <v>15046</v>
      </c>
      <c r="Q8505" t="s">
        <v>621</v>
      </c>
      <c r="R8505" t="s">
        <v>917</v>
      </c>
      <c r="S8505">
        <v>39</v>
      </c>
      <c r="T8505" s="29" t="str">
        <f>HYPERLINK("https://ictv.global/ictv/proposals/2023.001B.Leviviricetes_reorg.zip","2023.001B.Leviviricetes_reorg.zip")</f>
        <v>2023.001B.Leviviricetes_reorg.zip</v>
      </c>
      <c r="U8505" s="29" t="str">
        <f>HYPERLINK("https://ictv.global/taxonomy/taxondetails?taxnode_id=202316214","ictv.global=202316214")</f>
        <v>ictv.global=202316214</v>
      </c>
    </row>
    <row r="8506" spans="1:21">
      <c r="A8506">
        <v>8505</v>
      </c>
      <c r="B8506" s="30" t="s">
        <v>1226</v>
      </c>
      <c r="D8506" s="30" t="s">
        <v>2024</v>
      </c>
      <c r="F8506" s="30" t="s">
        <v>2046</v>
      </c>
      <c r="H8506" s="30" t="s">
        <v>2859</v>
      </c>
      <c r="J8506" s="30" t="s">
        <v>2860</v>
      </c>
      <c r="L8506" s="30" t="s">
        <v>2990</v>
      </c>
      <c r="N8506" s="30" t="s">
        <v>2991</v>
      </c>
      <c r="P8506" s="30" t="s">
        <v>15047</v>
      </c>
      <c r="Q8506" t="s">
        <v>621</v>
      </c>
      <c r="R8506" t="s">
        <v>917</v>
      </c>
      <c r="S8506">
        <v>39</v>
      </c>
      <c r="T8506" s="29" t="str">
        <f>HYPERLINK("https://ictv.global/ictv/proposals/2023.001B.Leviviricetes_reorg.zip","2023.001B.Leviviricetes_reorg.zip")</f>
        <v>2023.001B.Leviviricetes_reorg.zip</v>
      </c>
      <c r="U8506" s="29" t="str">
        <f>HYPERLINK("https://ictv.global/taxonomy/taxondetails?taxnode_id=202316215","ictv.global=202316215")</f>
        <v>ictv.global=202316215</v>
      </c>
    </row>
    <row r="8507" spans="1:21">
      <c r="A8507">
        <v>8506</v>
      </c>
      <c r="B8507" s="30" t="s">
        <v>1226</v>
      </c>
      <c r="D8507" s="30" t="s">
        <v>2024</v>
      </c>
      <c r="F8507" s="30" t="s">
        <v>2046</v>
      </c>
      <c r="H8507" s="30" t="s">
        <v>2859</v>
      </c>
      <c r="J8507" s="30" t="s">
        <v>2860</v>
      </c>
      <c r="L8507" s="30" t="s">
        <v>2990</v>
      </c>
      <c r="N8507" s="30" t="s">
        <v>2991</v>
      </c>
      <c r="P8507" s="30" t="s">
        <v>15048</v>
      </c>
      <c r="Q8507" t="s">
        <v>621</v>
      </c>
      <c r="R8507" t="s">
        <v>917</v>
      </c>
      <c r="S8507">
        <v>39</v>
      </c>
      <c r="T8507" s="29" t="str">
        <f>HYPERLINK("https://ictv.global/ictv/proposals/2023.001B.Leviviricetes_reorg.zip","2023.001B.Leviviricetes_reorg.zip")</f>
        <v>2023.001B.Leviviricetes_reorg.zip</v>
      </c>
      <c r="U8507" s="29" t="str">
        <f>HYPERLINK("https://ictv.global/taxonomy/taxondetails?taxnode_id=202316216","ictv.global=202316216")</f>
        <v>ictv.global=202316216</v>
      </c>
    </row>
    <row r="8508" spans="1:21">
      <c r="A8508">
        <v>8507</v>
      </c>
      <c r="B8508" s="30" t="s">
        <v>1226</v>
      </c>
      <c r="D8508" s="30" t="s">
        <v>2024</v>
      </c>
      <c r="F8508" s="30" t="s">
        <v>2046</v>
      </c>
      <c r="H8508" s="30" t="s">
        <v>2859</v>
      </c>
      <c r="J8508" s="30" t="s">
        <v>2860</v>
      </c>
      <c r="L8508" s="30" t="s">
        <v>2990</v>
      </c>
      <c r="N8508" s="30" t="s">
        <v>2991</v>
      </c>
      <c r="P8508" s="30" t="s">
        <v>15049</v>
      </c>
      <c r="Q8508" t="s">
        <v>621</v>
      </c>
      <c r="R8508" t="s">
        <v>917</v>
      </c>
      <c r="S8508">
        <v>39</v>
      </c>
      <c r="T8508" s="29" t="str">
        <f>HYPERLINK("https://ictv.global/ictv/proposals/2023.001B.Leviviricetes_reorg.zip","2023.001B.Leviviricetes_reorg.zip")</f>
        <v>2023.001B.Leviviricetes_reorg.zip</v>
      </c>
      <c r="U8508" s="29" t="str">
        <f>HYPERLINK("https://ictv.global/taxonomy/taxondetails?taxnode_id=202316217","ictv.global=202316217")</f>
        <v>ictv.global=202316217</v>
      </c>
    </row>
    <row r="8509" spans="1:21">
      <c r="A8509">
        <v>8508</v>
      </c>
      <c r="B8509" s="30" t="s">
        <v>1226</v>
      </c>
      <c r="D8509" s="30" t="s">
        <v>2024</v>
      </c>
      <c r="F8509" s="30" t="s">
        <v>2046</v>
      </c>
      <c r="H8509" s="30" t="s">
        <v>2859</v>
      </c>
      <c r="J8509" s="30" t="s">
        <v>2860</v>
      </c>
      <c r="L8509" s="30" t="s">
        <v>2990</v>
      </c>
      <c r="N8509" s="30" t="s">
        <v>2993</v>
      </c>
      <c r="P8509" s="30" t="s">
        <v>2994</v>
      </c>
      <c r="Q8509" t="s">
        <v>621</v>
      </c>
      <c r="R8509" t="s">
        <v>917</v>
      </c>
      <c r="S8509">
        <v>36</v>
      </c>
      <c r="T8509" s="29" t="str">
        <f>HYPERLINK("https://ictv.global/ictv/proposals/2020.095B.R.Leviviricetes.zip","2020.095B.R.Leviviricetes.zip")</f>
        <v>2020.095B.R.Leviviricetes.zip</v>
      </c>
      <c r="U8509" s="29" t="str">
        <f>HYPERLINK("https://ictv.global/taxonomy/taxondetails?taxnode_id=202310225","ictv.global=202310225")</f>
        <v>ictv.global=202310225</v>
      </c>
    </row>
    <row r="8510" spans="1:21">
      <c r="A8510">
        <v>8509</v>
      </c>
      <c r="B8510" s="30" t="s">
        <v>1226</v>
      </c>
      <c r="D8510" s="30" t="s">
        <v>2024</v>
      </c>
      <c r="F8510" s="30" t="s">
        <v>2046</v>
      </c>
      <c r="H8510" s="30" t="s">
        <v>2859</v>
      </c>
      <c r="J8510" s="30" t="s">
        <v>2860</v>
      </c>
      <c r="L8510" s="30" t="s">
        <v>2990</v>
      </c>
      <c r="N8510" s="30" t="s">
        <v>2993</v>
      </c>
      <c r="P8510" s="30" t="s">
        <v>2995</v>
      </c>
      <c r="Q8510" t="s">
        <v>621</v>
      </c>
      <c r="R8510" t="s">
        <v>917</v>
      </c>
      <c r="S8510">
        <v>36</v>
      </c>
      <c r="T8510" s="29" t="str">
        <f>HYPERLINK("https://ictv.global/ictv/proposals/2020.095B.R.Leviviricetes.zip","2020.095B.R.Leviviricetes.zip")</f>
        <v>2020.095B.R.Leviviricetes.zip</v>
      </c>
      <c r="U8510" s="29" t="str">
        <f>HYPERLINK("https://ictv.global/taxonomy/taxondetails?taxnode_id=202310226","ictv.global=202310226")</f>
        <v>ictv.global=202310226</v>
      </c>
    </row>
    <row r="8511" spans="1:21">
      <c r="A8511">
        <v>8510</v>
      </c>
      <c r="B8511" s="30" t="s">
        <v>1226</v>
      </c>
      <c r="D8511" s="30" t="s">
        <v>2024</v>
      </c>
      <c r="F8511" s="30" t="s">
        <v>2046</v>
      </c>
      <c r="H8511" s="30" t="s">
        <v>2859</v>
      </c>
      <c r="J8511" s="30" t="s">
        <v>2860</v>
      </c>
      <c r="L8511" s="30" t="s">
        <v>2990</v>
      </c>
      <c r="N8511" s="30" t="s">
        <v>2993</v>
      </c>
      <c r="P8511" s="30" t="s">
        <v>15050</v>
      </c>
      <c r="Q8511" t="s">
        <v>621</v>
      </c>
      <c r="R8511" t="s">
        <v>917</v>
      </c>
      <c r="S8511">
        <v>39</v>
      </c>
      <c r="T8511" s="29" t="str">
        <f>HYPERLINK("https://ictv.global/ictv/proposals/2023.001B.Leviviricetes_reorg.zip","2023.001B.Leviviricetes_reorg.zip")</f>
        <v>2023.001B.Leviviricetes_reorg.zip</v>
      </c>
      <c r="U8511" s="29" t="str">
        <f>HYPERLINK("https://ictv.global/taxonomy/taxondetails?taxnode_id=202316218","ictv.global=202316218")</f>
        <v>ictv.global=202316218</v>
      </c>
    </row>
    <row r="8512" spans="1:21">
      <c r="A8512">
        <v>8511</v>
      </c>
      <c r="B8512" s="30" t="s">
        <v>1226</v>
      </c>
      <c r="D8512" s="30" t="s">
        <v>2024</v>
      </c>
      <c r="F8512" s="30" t="s">
        <v>2046</v>
      </c>
      <c r="H8512" s="30" t="s">
        <v>2859</v>
      </c>
      <c r="J8512" s="30" t="s">
        <v>2860</v>
      </c>
      <c r="L8512" s="30" t="s">
        <v>2990</v>
      </c>
      <c r="N8512" s="30" t="s">
        <v>2993</v>
      </c>
      <c r="P8512" s="30" t="s">
        <v>15051</v>
      </c>
      <c r="Q8512" t="s">
        <v>621</v>
      </c>
      <c r="R8512" t="s">
        <v>917</v>
      </c>
      <c r="S8512">
        <v>39</v>
      </c>
      <c r="T8512" s="29" t="str">
        <f>HYPERLINK("https://ictv.global/ictv/proposals/2023.001B.Leviviricetes_reorg.zip","2023.001B.Leviviricetes_reorg.zip")</f>
        <v>2023.001B.Leviviricetes_reorg.zip</v>
      </c>
      <c r="U8512" s="29" t="str">
        <f>HYPERLINK("https://ictv.global/taxonomy/taxondetails?taxnode_id=202316219","ictv.global=202316219")</f>
        <v>ictv.global=202316219</v>
      </c>
    </row>
    <row r="8513" spans="1:21">
      <c r="A8513">
        <v>8512</v>
      </c>
      <c r="B8513" s="30" t="s">
        <v>1226</v>
      </c>
      <c r="D8513" s="30" t="s">
        <v>2024</v>
      </c>
      <c r="F8513" s="30" t="s">
        <v>2046</v>
      </c>
      <c r="H8513" s="30" t="s">
        <v>2859</v>
      </c>
      <c r="J8513" s="30" t="s">
        <v>2860</v>
      </c>
      <c r="L8513" s="30" t="s">
        <v>2990</v>
      </c>
      <c r="N8513" s="30" t="s">
        <v>2993</v>
      </c>
      <c r="P8513" s="30" t="s">
        <v>15052</v>
      </c>
      <c r="Q8513" t="s">
        <v>621</v>
      </c>
      <c r="R8513" t="s">
        <v>917</v>
      </c>
      <c r="S8513">
        <v>39</v>
      </c>
      <c r="T8513" s="29" t="str">
        <f>HYPERLINK("https://ictv.global/ictv/proposals/2023.001B.Leviviricetes_reorg.zip","2023.001B.Leviviricetes_reorg.zip")</f>
        <v>2023.001B.Leviviricetes_reorg.zip</v>
      </c>
      <c r="U8513" s="29" t="str">
        <f>HYPERLINK("https://ictv.global/taxonomy/taxondetails?taxnode_id=202316220","ictv.global=202316220")</f>
        <v>ictv.global=202316220</v>
      </c>
    </row>
    <row r="8514" spans="1:21">
      <c r="A8514">
        <v>8513</v>
      </c>
      <c r="B8514" s="30" t="s">
        <v>1226</v>
      </c>
      <c r="D8514" s="30" t="s">
        <v>2024</v>
      </c>
      <c r="F8514" s="30" t="s">
        <v>2046</v>
      </c>
      <c r="H8514" s="30" t="s">
        <v>2859</v>
      </c>
      <c r="J8514" s="30" t="s">
        <v>2860</v>
      </c>
      <c r="L8514" s="30" t="s">
        <v>2990</v>
      </c>
      <c r="N8514" s="30" t="s">
        <v>2996</v>
      </c>
      <c r="P8514" s="30" t="s">
        <v>2997</v>
      </c>
      <c r="Q8514" t="s">
        <v>621</v>
      </c>
      <c r="R8514" t="s">
        <v>917</v>
      </c>
      <c r="S8514">
        <v>36</v>
      </c>
      <c r="T8514" s="29" t="str">
        <f>HYPERLINK("https://ictv.global/ictv/proposals/2020.095B.R.Leviviricetes.zip","2020.095B.R.Leviviricetes.zip")</f>
        <v>2020.095B.R.Leviviricetes.zip</v>
      </c>
      <c r="U8514" s="29" t="str">
        <f>HYPERLINK("https://ictv.global/taxonomy/taxondetails?taxnode_id=202310229","ictv.global=202310229")</f>
        <v>ictv.global=202310229</v>
      </c>
    </row>
    <row r="8515" spans="1:21">
      <c r="A8515">
        <v>8514</v>
      </c>
      <c r="B8515" s="30" t="s">
        <v>1226</v>
      </c>
      <c r="D8515" s="30" t="s">
        <v>2024</v>
      </c>
      <c r="F8515" s="30" t="s">
        <v>2046</v>
      </c>
      <c r="H8515" s="30" t="s">
        <v>2859</v>
      </c>
      <c r="J8515" s="30" t="s">
        <v>2860</v>
      </c>
      <c r="L8515" s="30" t="s">
        <v>2990</v>
      </c>
      <c r="N8515" s="30" t="s">
        <v>2996</v>
      </c>
      <c r="P8515" s="30" t="s">
        <v>2998</v>
      </c>
      <c r="Q8515" t="s">
        <v>621</v>
      </c>
      <c r="R8515" t="s">
        <v>917</v>
      </c>
      <c r="S8515">
        <v>36</v>
      </c>
      <c r="T8515" s="29" t="str">
        <f>HYPERLINK("https://ictv.global/ictv/proposals/2020.095B.R.Leviviricetes.zip","2020.095B.R.Leviviricetes.zip")</f>
        <v>2020.095B.R.Leviviricetes.zip</v>
      </c>
      <c r="U8515" s="29" t="str">
        <f>HYPERLINK("https://ictv.global/taxonomy/taxondetails?taxnode_id=202310228","ictv.global=202310228")</f>
        <v>ictv.global=202310228</v>
      </c>
    </row>
    <row r="8516" spans="1:21">
      <c r="A8516">
        <v>8515</v>
      </c>
      <c r="B8516" s="30" t="s">
        <v>1226</v>
      </c>
      <c r="D8516" s="30" t="s">
        <v>2024</v>
      </c>
      <c r="F8516" s="30" t="s">
        <v>2046</v>
      </c>
      <c r="H8516" s="30" t="s">
        <v>2859</v>
      </c>
      <c r="J8516" s="30" t="s">
        <v>2860</v>
      </c>
      <c r="L8516" s="30" t="s">
        <v>2990</v>
      </c>
      <c r="N8516" s="30" t="s">
        <v>2996</v>
      </c>
      <c r="P8516" s="30" t="s">
        <v>2999</v>
      </c>
      <c r="Q8516" t="s">
        <v>621</v>
      </c>
      <c r="R8516" t="s">
        <v>917</v>
      </c>
      <c r="S8516">
        <v>36</v>
      </c>
      <c r="T8516" s="29" t="str">
        <f>HYPERLINK("https://ictv.global/ictv/proposals/2020.095B.R.Leviviricetes.zip","2020.095B.R.Leviviricetes.zip")</f>
        <v>2020.095B.R.Leviviricetes.zip</v>
      </c>
      <c r="U8516" s="29" t="str">
        <f>HYPERLINK("https://ictv.global/taxonomy/taxondetails?taxnode_id=202310230","ictv.global=202310230")</f>
        <v>ictv.global=202310230</v>
      </c>
    </row>
    <row r="8517" spans="1:21">
      <c r="A8517">
        <v>8516</v>
      </c>
      <c r="B8517" s="30" t="s">
        <v>1226</v>
      </c>
      <c r="D8517" s="30" t="s">
        <v>2024</v>
      </c>
      <c r="F8517" s="30" t="s">
        <v>2046</v>
      </c>
      <c r="H8517" s="30" t="s">
        <v>2859</v>
      </c>
      <c r="J8517" s="30" t="s">
        <v>2860</v>
      </c>
      <c r="L8517" s="30" t="s">
        <v>2990</v>
      </c>
      <c r="N8517" s="30" t="s">
        <v>2996</v>
      </c>
      <c r="P8517" s="30" t="s">
        <v>15053</v>
      </c>
      <c r="Q8517" t="s">
        <v>621</v>
      </c>
      <c r="R8517" t="s">
        <v>918</v>
      </c>
      <c r="S8517">
        <v>39</v>
      </c>
      <c r="T8517" s="29" t="str">
        <f t="shared" ref="T8517:T8530" si="364">HYPERLINK("https://ictv.global/ictv/proposals/2023.001B.Leviviricetes_reorg.zip","2023.001B.Leviviricetes_reorg.zip")</f>
        <v>2023.001B.Leviviricetes_reorg.zip</v>
      </c>
      <c r="U8517" s="29" t="str">
        <f>HYPERLINK("https://ictv.global/taxonomy/taxondetails?taxnode_id=202310232","ictv.global=202310232")</f>
        <v>ictv.global=202310232</v>
      </c>
    </row>
    <row r="8518" spans="1:21">
      <c r="A8518">
        <v>8517</v>
      </c>
      <c r="B8518" s="30" t="s">
        <v>1226</v>
      </c>
      <c r="D8518" s="30" t="s">
        <v>2024</v>
      </c>
      <c r="F8518" s="30" t="s">
        <v>2046</v>
      </c>
      <c r="H8518" s="30" t="s">
        <v>2859</v>
      </c>
      <c r="J8518" s="30" t="s">
        <v>2860</v>
      </c>
      <c r="L8518" s="30" t="s">
        <v>2990</v>
      </c>
      <c r="N8518" s="30" t="s">
        <v>2996</v>
      </c>
      <c r="P8518" s="30" t="s">
        <v>15054</v>
      </c>
      <c r="Q8518" t="s">
        <v>621</v>
      </c>
      <c r="R8518" t="s">
        <v>917</v>
      </c>
      <c r="S8518">
        <v>39</v>
      </c>
      <c r="T8518" s="29" t="str">
        <f t="shared" si="364"/>
        <v>2023.001B.Leviviricetes_reorg.zip</v>
      </c>
      <c r="U8518" s="29" t="str">
        <f>HYPERLINK("https://ictv.global/taxonomy/taxondetails?taxnode_id=202316221","ictv.global=202316221")</f>
        <v>ictv.global=202316221</v>
      </c>
    </row>
    <row r="8519" spans="1:21">
      <c r="A8519">
        <v>8518</v>
      </c>
      <c r="B8519" s="30" t="s">
        <v>1226</v>
      </c>
      <c r="D8519" s="30" t="s">
        <v>2024</v>
      </c>
      <c r="F8519" s="30" t="s">
        <v>2046</v>
      </c>
      <c r="H8519" s="30" t="s">
        <v>2859</v>
      </c>
      <c r="J8519" s="30" t="s">
        <v>2860</v>
      </c>
      <c r="L8519" s="30" t="s">
        <v>2990</v>
      </c>
      <c r="N8519" s="30" t="s">
        <v>2996</v>
      </c>
      <c r="P8519" s="30" t="s">
        <v>15055</v>
      </c>
      <c r="Q8519" t="s">
        <v>621</v>
      </c>
      <c r="R8519" t="s">
        <v>917</v>
      </c>
      <c r="S8519">
        <v>39</v>
      </c>
      <c r="T8519" s="29" t="str">
        <f t="shared" si="364"/>
        <v>2023.001B.Leviviricetes_reorg.zip</v>
      </c>
      <c r="U8519" s="29" t="str">
        <f>HYPERLINK("https://ictv.global/taxonomy/taxondetails?taxnode_id=202316222","ictv.global=202316222")</f>
        <v>ictv.global=202316222</v>
      </c>
    </row>
    <row r="8520" spans="1:21">
      <c r="A8520">
        <v>8519</v>
      </c>
      <c r="B8520" s="30" t="s">
        <v>1226</v>
      </c>
      <c r="D8520" s="30" t="s">
        <v>2024</v>
      </c>
      <c r="F8520" s="30" t="s">
        <v>2046</v>
      </c>
      <c r="H8520" s="30" t="s">
        <v>2859</v>
      </c>
      <c r="J8520" s="30" t="s">
        <v>2860</v>
      </c>
      <c r="L8520" s="30" t="s">
        <v>2990</v>
      </c>
      <c r="N8520" s="30" t="s">
        <v>2996</v>
      </c>
      <c r="P8520" s="30" t="s">
        <v>15056</v>
      </c>
      <c r="Q8520" t="s">
        <v>621</v>
      </c>
      <c r="R8520" t="s">
        <v>917</v>
      </c>
      <c r="S8520">
        <v>39</v>
      </c>
      <c r="T8520" s="29" t="str">
        <f t="shared" si="364"/>
        <v>2023.001B.Leviviricetes_reorg.zip</v>
      </c>
      <c r="U8520" s="29" t="str">
        <f>HYPERLINK("https://ictv.global/taxonomy/taxondetails?taxnode_id=202316223","ictv.global=202316223")</f>
        <v>ictv.global=202316223</v>
      </c>
    </row>
    <row r="8521" spans="1:21">
      <c r="A8521">
        <v>8520</v>
      </c>
      <c r="B8521" s="30" t="s">
        <v>1226</v>
      </c>
      <c r="D8521" s="30" t="s">
        <v>2024</v>
      </c>
      <c r="F8521" s="30" t="s">
        <v>2046</v>
      </c>
      <c r="H8521" s="30" t="s">
        <v>2859</v>
      </c>
      <c r="J8521" s="30" t="s">
        <v>2860</v>
      </c>
      <c r="L8521" s="30" t="s">
        <v>2990</v>
      </c>
      <c r="N8521" s="30" t="s">
        <v>2996</v>
      </c>
      <c r="P8521" s="30" t="s">
        <v>15057</v>
      </c>
      <c r="Q8521" t="s">
        <v>621</v>
      </c>
      <c r="R8521" t="s">
        <v>917</v>
      </c>
      <c r="S8521">
        <v>39</v>
      </c>
      <c r="T8521" s="29" t="str">
        <f t="shared" si="364"/>
        <v>2023.001B.Leviviricetes_reorg.zip</v>
      </c>
      <c r="U8521" s="29" t="str">
        <f>HYPERLINK("https://ictv.global/taxonomy/taxondetails?taxnode_id=202316224","ictv.global=202316224")</f>
        <v>ictv.global=202316224</v>
      </c>
    </row>
    <row r="8522" spans="1:21">
      <c r="A8522">
        <v>8521</v>
      </c>
      <c r="B8522" s="30" t="s">
        <v>1226</v>
      </c>
      <c r="D8522" s="30" t="s">
        <v>2024</v>
      </c>
      <c r="F8522" s="30" t="s">
        <v>2046</v>
      </c>
      <c r="H8522" s="30" t="s">
        <v>2859</v>
      </c>
      <c r="J8522" s="30" t="s">
        <v>2860</v>
      </c>
      <c r="L8522" s="30" t="s">
        <v>2990</v>
      </c>
      <c r="N8522" s="30" t="s">
        <v>2996</v>
      </c>
      <c r="P8522" s="30" t="s">
        <v>15058</v>
      </c>
      <c r="Q8522" t="s">
        <v>621</v>
      </c>
      <c r="R8522" t="s">
        <v>917</v>
      </c>
      <c r="S8522">
        <v>39</v>
      </c>
      <c r="T8522" s="29" t="str">
        <f t="shared" si="364"/>
        <v>2023.001B.Leviviricetes_reorg.zip</v>
      </c>
      <c r="U8522" s="29" t="str">
        <f>HYPERLINK("https://ictv.global/taxonomy/taxondetails?taxnode_id=202316225","ictv.global=202316225")</f>
        <v>ictv.global=202316225</v>
      </c>
    </row>
    <row r="8523" spans="1:21">
      <c r="A8523">
        <v>8522</v>
      </c>
      <c r="B8523" s="30" t="s">
        <v>1226</v>
      </c>
      <c r="D8523" s="30" t="s">
        <v>2024</v>
      </c>
      <c r="F8523" s="30" t="s">
        <v>2046</v>
      </c>
      <c r="H8523" s="30" t="s">
        <v>2859</v>
      </c>
      <c r="J8523" s="30" t="s">
        <v>2860</v>
      </c>
      <c r="L8523" s="30" t="s">
        <v>2990</v>
      </c>
      <c r="N8523" s="30" t="s">
        <v>2996</v>
      </c>
      <c r="P8523" s="30" t="s">
        <v>15059</v>
      </c>
      <c r="Q8523" t="s">
        <v>621</v>
      </c>
      <c r="R8523" t="s">
        <v>917</v>
      </c>
      <c r="S8523">
        <v>39</v>
      </c>
      <c r="T8523" s="29" t="str">
        <f t="shared" si="364"/>
        <v>2023.001B.Leviviricetes_reorg.zip</v>
      </c>
      <c r="U8523" s="29" t="str">
        <f>HYPERLINK("https://ictv.global/taxonomy/taxondetails?taxnode_id=202316226","ictv.global=202316226")</f>
        <v>ictv.global=202316226</v>
      </c>
    </row>
    <row r="8524" spans="1:21">
      <c r="A8524">
        <v>8523</v>
      </c>
      <c r="B8524" s="30" t="s">
        <v>1226</v>
      </c>
      <c r="D8524" s="30" t="s">
        <v>2024</v>
      </c>
      <c r="F8524" s="30" t="s">
        <v>2046</v>
      </c>
      <c r="H8524" s="30" t="s">
        <v>2859</v>
      </c>
      <c r="J8524" s="30" t="s">
        <v>2860</v>
      </c>
      <c r="L8524" s="30" t="s">
        <v>2990</v>
      </c>
      <c r="N8524" s="30" t="s">
        <v>2996</v>
      </c>
      <c r="P8524" s="30" t="s">
        <v>15060</v>
      </c>
      <c r="Q8524" t="s">
        <v>621</v>
      </c>
      <c r="R8524" t="s">
        <v>918</v>
      </c>
      <c r="S8524">
        <v>39</v>
      </c>
      <c r="T8524" s="29" t="str">
        <f t="shared" si="364"/>
        <v>2023.001B.Leviviricetes_reorg.zip</v>
      </c>
      <c r="U8524" s="29" t="str">
        <f>HYPERLINK("https://ictv.global/taxonomy/taxondetails?taxnode_id=202310450","ictv.global=202310450")</f>
        <v>ictv.global=202310450</v>
      </c>
    </row>
    <row r="8525" spans="1:21">
      <c r="A8525">
        <v>8524</v>
      </c>
      <c r="B8525" s="30" t="s">
        <v>1226</v>
      </c>
      <c r="D8525" s="30" t="s">
        <v>2024</v>
      </c>
      <c r="F8525" s="30" t="s">
        <v>2046</v>
      </c>
      <c r="H8525" s="30" t="s">
        <v>2859</v>
      </c>
      <c r="J8525" s="30" t="s">
        <v>2860</v>
      </c>
      <c r="L8525" s="30" t="s">
        <v>2990</v>
      </c>
      <c r="N8525" s="30" t="s">
        <v>2996</v>
      </c>
      <c r="P8525" s="30" t="s">
        <v>15061</v>
      </c>
      <c r="Q8525" t="s">
        <v>621</v>
      </c>
      <c r="R8525" t="s">
        <v>917</v>
      </c>
      <c r="S8525">
        <v>39</v>
      </c>
      <c r="T8525" s="29" t="str">
        <f t="shared" si="364"/>
        <v>2023.001B.Leviviricetes_reorg.zip</v>
      </c>
      <c r="U8525" s="29" t="str">
        <f>HYPERLINK("https://ictv.global/taxonomy/taxondetails?taxnode_id=202316227","ictv.global=202316227")</f>
        <v>ictv.global=202316227</v>
      </c>
    </row>
    <row r="8526" spans="1:21">
      <c r="A8526">
        <v>8525</v>
      </c>
      <c r="B8526" s="30" t="s">
        <v>1226</v>
      </c>
      <c r="D8526" s="30" t="s">
        <v>2024</v>
      </c>
      <c r="F8526" s="30" t="s">
        <v>2046</v>
      </c>
      <c r="H8526" s="30" t="s">
        <v>2859</v>
      </c>
      <c r="J8526" s="30" t="s">
        <v>2860</v>
      </c>
      <c r="L8526" s="30" t="s">
        <v>2990</v>
      </c>
      <c r="N8526" s="30" t="s">
        <v>2996</v>
      </c>
      <c r="P8526" s="30" t="s">
        <v>15062</v>
      </c>
      <c r="Q8526" t="s">
        <v>621</v>
      </c>
      <c r="R8526" t="s">
        <v>917</v>
      </c>
      <c r="S8526">
        <v>39</v>
      </c>
      <c r="T8526" s="29" t="str">
        <f t="shared" si="364"/>
        <v>2023.001B.Leviviricetes_reorg.zip</v>
      </c>
      <c r="U8526" s="29" t="str">
        <f>HYPERLINK("https://ictv.global/taxonomy/taxondetails?taxnode_id=202316228","ictv.global=202316228")</f>
        <v>ictv.global=202316228</v>
      </c>
    </row>
    <row r="8527" spans="1:21">
      <c r="A8527">
        <v>8526</v>
      </c>
      <c r="B8527" s="30" t="s">
        <v>1226</v>
      </c>
      <c r="D8527" s="30" t="s">
        <v>2024</v>
      </c>
      <c r="F8527" s="30" t="s">
        <v>2046</v>
      </c>
      <c r="H8527" s="30" t="s">
        <v>2859</v>
      </c>
      <c r="J8527" s="30" t="s">
        <v>2860</v>
      </c>
      <c r="L8527" s="30" t="s">
        <v>2990</v>
      </c>
      <c r="N8527" s="30" t="s">
        <v>2996</v>
      </c>
      <c r="P8527" s="30" t="s">
        <v>15063</v>
      </c>
      <c r="Q8527" t="s">
        <v>621</v>
      </c>
      <c r="R8527" t="s">
        <v>917</v>
      </c>
      <c r="S8527">
        <v>39</v>
      </c>
      <c r="T8527" s="29" t="str">
        <f t="shared" si="364"/>
        <v>2023.001B.Leviviricetes_reorg.zip</v>
      </c>
      <c r="U8527" s="29" t="str">
        <f>HYPERLINK("https://ictv.global/taxonomy/taxondetails?taxnode_id=202316229","ictv.global=202316229")</f>
        <v>ictv.global=202316229</v>
      </c>
    </row>
    <row r="8528" spans="1:21">
      <c r="A8528">
        <v>8527</v>
      </c>
      <c r="B8528" s="30" t="s">
        <v>1226</v>
      </c>
      <c r="D8528" s="30" t="s">
        <v>2024</v>
      </c>
      <c r="F8528" s="30" t="s">
        <v>2046</v>
      </c>
      <c r="H8528" s="30" t="s">
        <v>2859</v>
      </c>
      <c r="J8528" s="30" t="s">
        <v>2860</v>
      </c>
      <c r="L8528" s="30" t="s">
        <v>2990</v>
      </c>
      <c r="N8528" s="30" t="s">
        <v>2996</v>
      </c>
      <c r="P8528" s="30" t="s">
        <v>15064</v>
      </c>
      <c r="Q8528" t="s">
        <v>621</v>
      </c>
      <c r="R8528" t="s">
        <v>917</v>
      </c>
      <c r="S8528">
        <v>39</v>
      </c>
      <c r="T8528" s="29" t="str">
        <f t="shared" si="364"/>
        <v>2023.001B.Leviviricetes_reorg.zip</v>
      </c>
      <c r="U8528" s="29" t="str">
        <f>HYPERLINK("https://ictv.global/taxonomy/taxondetails?taxnode_id=202316230","ictv.global=202316230")</f>
        <v>ictv.global=202316230</v>
      </c>
    </row>
    <row r="8529" spans="1:21">
      <c r="A8529">
        <v>8528</v>
      </c>
      <c r="B8529" s="30" t="s">
        <v>1226</v>
      </c>
      <c r="D8529" s="30" t="s">
        <v>2024</v>
      </c>
      <c r="F8529" s="30" t="s">
        <v>2046</v>
      </c>
      <c r="H8529" s="30" t="s">
        <v>2859</v>
      </c>
      <c r="J8529" s="30" t="s">
        <v>2860</v>
      </c>
      <c r="L8529" s="30" t="s">
        <v>2990</v>
      </c>
      <c r="N8529" s="30" t="s">
        <v>3000</v>
      </c>
      <c r="P8529" s="30" t="s">
        <v>15065</v>
      </c>
      <c r="Q8529" t="s">
        <v>621</v>
      </c>
      <c r="R8529" t="s">
        <v>917</v>
      </c>
      <c r="S8529">
        <v>39</v>
      </c>
      <c r="T8529" s="29" t="str">
        <f t="shared" si="364"/>
        <v>2023.001B.Leviviricetes_reorg.zip</v>
      </c>
      <c r="U8529" s="29" t="str">
        <f>HYPERLINK("https://ictv.global/taxonomy/taxondetails?taxnode_id=202316231","ictv.global=202316231")</f>
        <v>ictv.global=202316231</v>
      </c>
    </row>
    <row r="8530" spans="1:21">
      <c r="A8530">
        <v>8529</v>
      </c>
      <c r="B8530" s="30" t="s">
        <v>1226</v>
      </c>
      <c r="D8530" s="30" t="s">
        <v>2024</v>
      </c>
      <c r="F8530" s="30" t="s">
        <v>2046</v>
      </c>
      <c r="H8530" s="30" t="s">
        <v>2859</v>
      </c>
      <c r="J8530" s="30" t="s">
        <v>2860</v>
      </c>
      <c r="L8530" s="30" t="s">
        <v>2990</v>
      </c>
      <c r="N8530" s="30" t="s">
        <v>3000</v>
      </c>
      <c r="P8530" s="30" t="s">
        <v>15066</v>
      </c>
      <c r="Q8530" t="s">
        <v>621</v>
      </c>
      <c r="R8530" t="s">
        <v>917</v>
      </c>
      <c r="S8530">
        <v>39</v>
      </c>
      <c r="T8530" s="29" t="str">
        <f t="shared" si="364"/>
        <v>2023.001B.Leviviricetes_reorg.zip</v>
      </c>
      <c r="U8530" s="29" t="str">
        <f>HYPERLINK("https://ictv.global/taxonomy/taxondetails?taxnode_id=202316232","ictv.global=202316232")</f>
        <v>ictv.global=202316232</v>
      </c>
    </row>
    <row r="8531" spans="1:21">
      <c r="A8531">
        <v>8530</v>
      </c>
      <c r="B8531" s="30" t="s">
        <v>1226</v>
      </c>
      <c r="D8531" s="30" t="s">
        <v>2024</v>
      </c>
      <c r="F8531" s="30" t="s">
        <v>2046</v>
      </c>
      <c r="H8531" s="30" t="s">
        <v>2859</v>
      </c>
      <c r="J8531" s="30" t="s">
        <v>2860</v>
      </c>
      <c r="L8531" s="30" t="s">
        <v>2990</v>
      </c>
      <c r="N8531" s="30" t="s">
        <v>3000</v>
      </c>
      <c r="P8531" s="30" t="s">
        <v>3001</v>
      </c>
      <c r="Q8531" t="s">
        <v>621</v>
      </c>
      <c r="R8531" t="s">
        <v>917</v>
      </c>
      <c r="S8531">
        <v>36</v>
      </c>
      <c r="T8531" s="29" t="str">
        <f>HYPERLINK("https://ictv.global/ictv/proposals/2020.095B.R.Leviviricetes.zip","2020.095B.R.Leviviricetes.zip")</f>
        <v>2020.095B.R.Leviviricetes.zip</v>
      </c>
      <c r="U8531" s="29" t="str">
        <f>HYPERLINK("https://ictv.global/taxonomy/taxondetails?taxnode_id=202310237","ictv.global=202310237")</f>
        <v>ictv.global=202310237</v>
      </c>
    </row>
    <row r="8532" spans="1:21">
      <c r="A8532">
        <v>8531</v>
      </c>
      <c r="B8532" s="30" t="s">
        <v>1226</v>
      </c>
      <c r="D8532" s="30" t="s">
        <v>2024</v>
      </c>
      <c r="F8532" s="30" t="s">
        <v>2046</v>
      </c>
      <c r="H8532" s="30" t="s">
        <v>2859</v>
      </c>
      <c r="J8532" s="30" t="s">
        <v>2860</v>
      </c>
      <c r="L8532" s="30" t="s">
        <v>2990</v>
      </c>
      <c r="N8532" s="30" t="s">
        <v>3000</v>
      </c>
      <c r="P8532" s="30" t="s">
        <v>3002</v>
      </c>
      <c r="Q8532" t="s">
        <v>621</v>
      </c>
      <c r="R8532" t="s">
        <v>917</v>
      </c>
      <c r="S8532">
        <v>36</v>
      </c>
      <c r="T8532" s="29" t="str">
        <f>HYPERLINK("https://ictv.global/ictv/proposals/2020.095B.R.Leviviricetes.zip","2020.095B.R.Leviviricetes.zip")</f>
        <v>2020.095B.R.Leviviricetes.zip</v>
      </c>
      <c r="U8532" s="29" t="str">
        <f>HYPERLINK("https://ictv.global/taxonomy/taxondetails?taxnode_id=202310238","ictv.global=202310238")</f>
        <v>ictv.global=202310238</v>
      </c>
    </row>
    <row r="8533" spans="1:21">
      <c r="A8533">
        <v>8532</v>
      </c>
      <c r="B8533" s="30" t="s">
        <v>1226</v>
      </c>
      <c r="D8533" s="30" t="s">
        <v>2024</v>
      </c>
      <c r="F8533" s="30" t="s">
        <v>2046</v>
      </c>
      <c r="H8533" s="30" t="s">
        <v>2859</v>
      </c>
      <c r="J8533" s="30" t="s">
        <v>2860</v>
      </c>
      <c r="L8533" s="30" t="s">
        <v>2990</v>
      </c>
      <c r="N8533" s="30" t="s">
        <v>3000</v>
      </c>
      <c r="P8533" s="30" t="s">
        <v>3003</v>
      </c>
      <c r="Q8533" t="s">
        <v>621</v>
      </c>
      <c r="R8533" t="s">
        <v>917</v>
      </c>
      <c r="S8533">
        <v>36</v>
      </c>
      <c r="T8533" s="29" t="str">
        <f>HYPERLINK("https://ictv.global/ictv/proposals/2020.095B.R.Leviviricetes.zip","2020.095B.R.Leviviricetes.zip")</f>
        <v>2020.095B.R.Leviviricetes.zip</v>
      </c>
      <c r="U8533" s="29" t="str">
        <f>HYPERLINK("https://ictv.global/taxonomy/taxondetails?taxnode_id=202310236","ictv.global=202310236")</f>
        <v>ictv.global=202310236</v>
      </c>
    </row>
    <row r="8534" spans="1:21">
      <c r="A8534">
        <v>8533</v>
      </c>
      <c r="B8534" s="30" t="s">
        <v>1226</v>
      </c>
      <c r="D8534" s="30" t="s">
        <v>2024</v>
      </c>
      <c r="F8534" s="30" t="s">
        <v>2046</v>
      </c>
      <c r="H8534" s="30" t="s">
        <v>2859</v>
      </c>
      <c r="J8534" s="30" t="s">
        <v>2860</v>
      </c>
      <c r="L8534" s="30" t="s">
        <v>2990</v>
      </c>
      <c r="N8534" s="30" t="s">
        <v>3000</v>
      </c>
      <c r="P8534" s="30" t="s">
        <v>15067</v>
      </c>
      <c r="Q8534" t="s">
        <v>621</v>
      </c>
      <c r="R8534" t="s">
        <v>917</v>
      </c>
      <c r="S8534">
        <v>39</v>
      </c>
      <c r="T8534" s="29" t="str">
        <f>HYPERLINK("https://ictv.global/ictv/proposals/2023.001B.Leviviricetes_reorg.zip","2023.001B.Leviviricetes_reorg.zip")</f>
        <v>2023.001B.Leviviricetes_reorg.zip</v>
      </c>
      <c r="U8534" s="29" t="str">
        <f>HYPERLINK("https://ictv.global/taxonomy/taxondetails?taxnode_id=202316233","ictv.global=202316233")</f>
        <v>ictv.global=202316233</v>
      </c>
    </row>
    <row r="8535" spans="1:21">
      <c r="A8535">
        <v>8534</v>
      </c>
      <c r="B8535" s="30" t="s">
        <v>1226</v>
      </c>
      <c r="D8535" s="30" t="s">
        <v>2024</v>
      </c>
      <c r="F8535" s="30" t="s">
        <v>2046</v>
      </c>
      <c r="H8535" s="30" t="s">
        <v>2859</v>
      </c>
      <c r="J8535" s="30" t="s">
        <v>2860</v>
      </c>
      <c r="L8535" s="30" t="s">
        <v>2990</v>
      </c>
      <c r="N8535" s="30" t="s">
        <v>3004</v>
      </c>
      <c r="P8535" s="30" t="s">
        <v>3005</v>
      </c>
      <c r="Q8535" t="s">
        <v>621</v>
      </c>
      <c r="R8535" t="s">
        <v>917</v>
      </c>
      <c r="S8535">
        <v>36</v>
      </c>
      <c r="T8535" s="29" t="str">
        <f t="shared" ref="T8535:T8545" si="365">HYPERLINK("https://ictv.global/ictv/proposals/2020.095B.R.Leviviricetes.zip","2020.095B.R.Leviviricetes.zip")</f>
        <v>2020.095B.R.Leviviricetes.zip</v>
      </c>
      <c r="U8535" s="29" t="str">
        <f>HYPERLINK("https://ictv.global/taxonomy/taxondetails?taxnode_id=202310240","ictv.global=202310240")</f>
        <v>ictv.global=202310240</v>
      </c>
    </row>
    <row r="8536" spans="1:21">
      <c r="A8536">
        <v>8535</v>
      </c>
      <c r="B8536" s="30" t="s">
        <v>1226</v>
      </c>
      <c r="D8536" s="30" t="s">
        <v>2024</v>
      </c>
      <c r="F8536" s="30" t="s">
        <v>2046</v>
      </c>
      <c r="H8536" s="30" t="s">
        <v>2859</v>
      </c>
      <c r="J8536" s="30" t="s">
        <v>2860</v>
      </c>
      <c r="L8536" s="30" t="s">
        <v>2990</v>
      </c>
      <c r="N8536" s="30" t="s">
        <v>3006</v>
      </c>
      <c r="P8536" s="30" t="s">
        <v>3007</v>
      </c>
      <c r="Q8536" t="s">
        <v>621</v>
      </c>
      <c r="R8536" t="s">
        <v>917</v>
      </c>
      <c r="S8536">
        <v>36</v>
      </c>
      <c r="T8536" s="29" t="str">
        <f t="shared" si="365"/>
        <v>2020.095B.R.Leviviricetes.zip</v>
      </c>
      <c r="U8536" s="29" t="str">
        <f>HYPERLINK("https://ictv.global/taxonomy/taxondetails?taxnode_id=202310244","ictv.global=202310244")</f>
        <v>ictv.global=202310244</v>
      </c>
    </row>
    <row r="8537" spans="1:21">
      <c r="A8537">
        <v>8536</v>
      </c>
      <c r="B8537" s="30" t="s">
        <v>1226</v>
      </c>
      <c r="D8537" s="30" t="s">
        <v>2024</v>
      </c>
      <c r="F8537" s="30" t="s">
        <v>2046</v>
      </c>
      <c r="H8537" s="30" t="s">
        <v>2859</v>
      </c>
      <c r="J8537" s="30" t="s">
        <v>2860</v>
      </c>
      <c r="L8537" s="30" t="s">
        <v>2990</v>
      </c>
      <c r="N8537" s="30" t="s">
        <v>3008</v>
      </c>
      <c r="P8537" s="30" t="s">
        <v>3009</v>
      </c>
      <c r="Q8537" t="s">
        <v>621</v>
      </c>
      <c r="R8537" t="s">
        <v>917</v>
      </c>
      <c r="S8537">
        <v>36</v>
      </c>
      <c r="T8537" s="29" t="str">
        <f t="shared" si="365"/>
        <v>2020.095B.R.Leviviricetes.zip</v>
      </c>
      <c r="U8537" s="29" t="str">
        <f>HYPERLINK("https://ictv.global/taxonomy/taxondetails?taxnode_id=202310246","ictv.global=202310246")</f>
        <v>ictv.global=202310246</v>
      </c>
    </row>
    <row r="8538" spans="1:21">
      <c r="A8538">
        <v>8537</v>
      </c>
      <c r="B8538" s="30" t="s">
        <v>1226</v>
      </c>
      <c r="D8538" s="30" t="s">
        <v>2024</v>
      </c>
      <c r="F8538" s="30" t="s">
        <v>2046</v>
      </c>
      <c r="H8538" s="30" t="s">
        <v>2859</v>
      </c>
      <c r="J8538" s="30" t="s">
        <v>2860</v>
      </c>
      <c r="L8538" s="30" t="s">
        <v>2990</v>
      </c>
      <c r="N8538" s="30" t="s">
        <v>3010</v>
      </c>
      <c r="P8538" s="30" t="s">
        <v>3011</v>
      </c>
      <c r="Q8538" t="s">
        <v>621</v>
      </c>
      <c r="R8538" t="s">
        <v>917</v>
      </c>
      <c r="S8538">
        <v>36</v>
      </c>
      <c r="T8538" s="29" t="str">
        <f t="shared" si="365"/>
        <v>2020.095B.R.Leviviricetes.zip</v>
      </c>
      <c r="U8538" s="29" t="str">
        <f>HYPERLINK("https://ictv.global/taxonomy/taxondetails?taxnode_id=202310250","ictv.global=202310250")</f>
        <v>ictv.global=202310250</v>
      </c>
    </row>
    <row r="8539" spans="1:21">
      <c r="A8539">
        <v>8538</v>
      </c>
      <c r="B8539" s="30" t="s">
        <v>1226</v>
      </c>
      <c r="D8539" s="30" t="s">
        <v>2024</v>
      </c>
      <c r="F8539" s="30" t="s">
        <v>2046</v>
      </c>
      <c r="H8539" s="30" t="s">
        <v>2859</v>
      </c>
      <c r="J8539" s="30" t="s">
        <v>2860</v>
      </c>
      <c r="L8539" s="30" t="s">
        <v>2990</v>
      </c>
      <c r="N8539" s="30" t="s">
        <v>3012</v>
      </c>
      <c r="P8539" s="30" t="s">
        <v>3013</v>
      </c>
      <c r="Q8539" t="s">
        <v>621</v>
      </c>
      <c r="R8539" t="s">
        <v>917</v>
      </c>
      <c r="S8539">
        <v>36</v>
      </c>
      <c r="T8539" s="29" t="str">
        <f t="shared" si="365"/>
        <v>2020.095B.R.Leviviricetes.zip</v>
      </c>
      <c r="U8539" s="29" t="str">
        <f>HYPERLINK("https://ictv.global/taxonomy/taxondetails?taxnode_id=202310252","ictv.global=202310252")</f>
        <v>ictv.global=202310252</v>
      </c>
    </row>
    <row r="8540" spans="1:21">
      <c r="A8540">
        <v>8539</v>
      </c>
      <c r="B8540" s="30" t="s">
        <v>1226</v>
      </c>
      <c r="D8540" s="30" t="s">
        <v>2024</v>
      </c>
      <c r="F8540" s="30" t="s">
        <v>2046</v>
      </c>
      <c r="H8540" s="30" t="s">
        <v>2859</v>
      </c>
      <c r="J8540" s="30" t="s">
        <v>2860</v>
      </c>
      <c r="L8540" s="30" t="s">
        <v>2990</v>
      </c>
      <c r="N8540" s="30" t="s">
        <v>3014</v>
      </c>
      <c r="P8540" s="30" t="s">
        <v>3015</v>
      </c>
      <c r="Q8540" t="s">
        <v>621</v>
      </c>
      <c r="R8540" t="s">
        <v>917</v>
      </c>
      <c r="S8540">
        <v>36</v>
      </c>
      <c r="T8540" s="29" t="str">
        <f t="shared" si="365"/>
        <v>2020.095B.R.Leviviricetes.zip</v>
      </c>
      <c r="U8540" s="29" t="str">
        <f>HYPERLINK("https://ictv.global/taxonomy/taxondetails?taxnode_id=202310254","ictv.global=202310254")</f>
        <v>ictv.global=202310254</v>
      </c>
    </row>
    <row r="8541" spans="1:21">
      <c r="A8541">
        <v>8540</v>
      </c>
      <c r="B8541" s="30" t="s">
        <v>1226</v>
      </c>
      <c r="D8541" s="30" t="s">
        <v>2024</v>
      </c>
      <c r="F8541" s="30" t="s">
        <v>2046</v>
      </c>
      <c r="H8541" s="30" t="s">
        <v>2859</v>
      </c>
      <c r="J8541" s="30" t="s">
        <v>2860</v>
      </c>
      <c r="L8541" s="30" t="s">
        <v>2990</v>
      </c>
      <c r="N8541" s="30" t="s">
        <v>3016</v>
      </c>
      <c r="P8541" s="30" t="s">
        <v>3017</v>
      </c>
      <c r="Q8541" t="s">
        <v>621</v>
      </c>
      <c r="R8541" t="s">
        <v>917</v>
      </c>
      <c r="S8541">
        <v>36</v>
      </c>
      <c r="T8541" s="29" t="str">
        <f t="shared" si="365"/>
        <v>2020.095B.R.Leviviricetes.zip</v>
      </c>
      <c r="U8541" s="29" t="str">
        <f>HYPERLINK("https://ictv.global/taxonomy/taxondetails?taxnode_id=202310256","ictv.global=202310256")</f>
        <v>ictv.global=202310256</v>
      </c>
    </row>
    <row r="8542" spans="1:21">
      <c r="A8542">
        <v>8541</v>
      </c>
      <c r="B8542" s="30" t="s">
        <v>1226</v>
      </c>
      <c r="D8542" s="30" t="s">
        <v>2024</v>
      </c>
      <c r="F8542" s="30" t="s">
        <v>2046</v>
      </c>
      <c r="H8542" s="30" t="s">
        <v>2859</v>
      </c>
      <c r="J8542" s="30" t="s">
        <v>2860</v>
      </c>
      <c r="L8542" s="30" t="s">
        <v>2990</v>
      </c>
      <c r="N8542" s="30" t="s">
        <v>3018</v>
      </c>
      <c r="P8542" s="30" t="s">
        <v>3019</v>
      </c>
      <c r="Q8542" t="s">
        <v>621</v>
      </c>
      <c r="R8542" t="s">
        <v>917</v>
      </c>
      <c r="S8542">
        <v>36</v>
      </c>
      <c r="T8542" s="29" t="str">
        <f t="shared" si="365"/>
        <v>2020.095B.R.Leviviricetes.zip</v>
      </c>
      <c r="U8542" s="29" t="str">
        <f>HYPERLINK("https://ictv.global/taxonomy/taxondetails?taxnode_id=202310258","ictv.global=202310258")</f>
        <v>ictv.global=202310258</v>
      </c>
    </row>
    <row r="8543" spans="1:21">
      <c r="A8543">
        <v>8542</v>
      </c>
      <c r="B8543" s="30" t="s">
        <v>1226</v>
      </c>
      <c r="D8543" s="30" t="s">
        <v>2024</v>
      </c>
      <c r="F8543" s="30" t="s">
        <v>2046</v>
      </c>
      <c r="H8543" s="30" t="s">
        <v>2859</v>
      </c>
      <c r="J8543" s="30" t="s">
        <v>2860</v>
      </c>
      <c r="L8543" s="30" t="s">
        <v>2990</v>
      </c>
      <c r="N8543" s="30" t="s">
        <v>3020</v>
      </c>
      <c r="P8543" s="30" t="s">
        <v>3021</v>
      </c>
      <c r="Q8543" t="s">
        <v>621</v>
      </c>
      <c r="R8543" t="s">
        <v>917</v>
      </c>
      <c r="S8543">
        <v>36</v>
      </c>
      <c r="T8543" s="29" t="str">
        <f t="shared" si="365"/>
        <v>2020.095B.R.Leviviricetes.zip</v>
      </c>
      <c r="U8543" s="29" t="str">
        <f>HYPERLINK("https://ictv.global/taxonomy/taxondetails?taxnode_id=202310265","ictv.global=202310265")</f>
        <v>ictv.global=202310265</v>
      </c>
    </row>
    <row r="8544" spans="1:21">
      <c r="A8544">
        <v>8543</v>
      </c>
      <c r="B8544" s="30" t="s">
        <v>1226</v>
      </c>
      <c r="D8544" s="30" t="s">
        <v>2024</v>
      </c>
      <c r="F8544" s="30" t="s">
        <v>2046</v>
      </c>
      <c r="H8544" s="30" t="s">
        <v>2859</v>
      </c>
      <c r="J8544" s="30" t="s">
        <v>2860</v>
      </c>
      <c r="L8544" s="30" t="s">
        <v>2990</v>
      </c>
      <c r="N8544" s="30" t="s">
        <v>3022</v>
      </c>
      <c r="P8544" s="30" t="s">
        <v>3023</v>
      </c>
      <c r="Q8544" t="s">
        <v>621</v>
      </c>
      <c r="R8544" t="s">
        <v>917</v>
      </c>
      <c r="S8544">
        <v>36</v>
      </c>
      <c r="T8544" s="29" t="str">
        <f t="shared" si="365"/>
        <v>2020.095B.R.Leviviricetes.zip</v>
      </c>
      <c r="U8544" s="29" t="str">
        <f>HYPERLINK("https://ictv.global/taxonomy/taxondetails?taxnode_id=202310267","ictv.global=202310267")</f>
        <v>ictv.global=202310267</v>
      </c>
    </row>
    <row r="8545" spans="1:21">
      <c r="A8545">
        <v>8544</v>
      </c>
      <c r="B8545" s="30" t="s">
        <v>1226</v>
      </c>
      <c r="D8545" s="30" t="s">
        <v>2024</v>
      </c>
      <c r="F8545" s="30" t="s">
        <v>2046</v>
      </c>
      <c r="H8545" s="30" t="s">
        <v>2859</v>
      </c>
      <c r="J8545" s="30" t="s">
        <v>2860</v>
      </c>
      <c r="L8545" s="30" t="s">
        <v>2990</v>
      </c>
      <c r="N8545" s="30" t="s">
        <v>3024</v>
      </c>
      <c r="P8545" s="30" t="s">
        <v>3025</v>
      </c>
      <c r="Q8545" t="s">
        <v>621</v>
      </c>
      <c r="R8545" t="s">
        <v>917</v>
      </c>
      <c r="S8545">
        <v>36</v>
      </c>
      <c r="T8545" s="29" t="str">
        <f t="shared" si="365"/>
        <v>2020.095B.R.Leviviricetes.zip</v>
      </c>
      <c r="U8545" s="29" t="str">
        <f>HYPERLINK("https://ictv.global/taxonomy/taxondetails?taxnode_id=202310278","ictv.global=202310278")</f>
        <v>ictv.global=202310278</v>
      </c>
    </row>
    <row r="8546" spans="1:21">
      <c r="A8546">
        <v>8545</v>
      </c>
      <c r="B8546" s="30" t="s">
        <v>1226</v>
      </c>
      <c r="D8546" s="30" t="s">
        <v>2024</v>
      </c>
      <c r="F8546" s="30" t="s">
        <v>2046</v>
      </c>
      <c r="H8546" s="30" t="s">
        <v>2859</v>
      </c>
      <c r="J8546" s="30" t="s">
        <v>2860</v>
      </c>
      <c r="L8546" s="30" t="s">
        <v>2990</v>
      </c>
      <c r="N8546" s="30" t="s">
        <v>3026</v>
      </c>
      <c r="P8546" s="30" t="s">
        <v>15068</v>
      </c>
      <c r="Q8546" t="s">
        <v>621</v>
      </c>
      <c r="R8546" t="s">
        <v>917</v>
      </c>
      <c r="S8546">
        <v>39</v>
      </c>
      <c r="T8546" s="29" t="str">
        <f>HYPERLINK("https://ictv.global/ictv/proposals/2023.001B.Leviviricetes_reorg.zip","2023.001B.Leviviricetes_reorg.zip")</f>
        <v>2023.001B.Leviviricetes_reorg.zip</v>
      </c>
      <c r="U8546" s="29" t="str">
        <f>HYPERLINK("https://ictv.global/taxonomy/taxondetails?taxnode_id=202316234","ictv.global=202316234")</f>
        <v>ictv.global=202316234</v>
      </c>
    </row>
    <row r="8547" spans="1:21">
      <c r="A8547">
        <v>8546</v>
      </c>
      <c r="B8547" s="30" t="s">
        <v>1226</v>
      </c>
      <c r="D8547" s="30" t="s">
        <v>2024</v>
      </c>
      <c r="F8547" s="30" t="s">
        <v>2046</v>
      </c>
      <c r="H8547" s="30" t="s">
        <v>2859</v>
      </c>
      <c r="J8547" s="30" t="s">
        <v>2860</v>
      </c>
      <c r="L8547" s="30" t="s">
        <v>2990</v>
      </c>
      <c r="N8547" s="30" t="s">
        <v>3026</v>
      </c>
      <c r="P8547" s="30" t="s">
        <v>15069</v>
      </c>
      <c r="Q8547" t="s">
        <v>621</v>
      </c>
      <c r="R8547" t="s">
        <v>917</v>
      </c>
      <c r="S8547">
        <v>39</v>
      </c>
      <c r="T8547" s="29" t="str">
        <f>HYPERLINK("https://ictv.global/ictv/proposals/2023.001B.Leviviricetes_reorg.zip","2023.001B.Leviviricetes_reorg.zip")</f>
        <v>2023.001B.Leviviricetes_reorg.zip</v>
      </c>
      <c r="U8547" s="29" t="str">
        <f>HYPERLINK("https://ictv.global/taxonomy/taxondetails?taxnode_id=202316235","ictv.global=202316235")</f>
        <v>ictv.global=202316235</v>
      </c>
    </row>
    <row r="8548" spans="1:21">
      <c r="A8548">
        <v>8547</v>
      </c>
      <c r="B8548" s="30" t="s">
        <v>1226</v>
      </c>
      <c r="D8548" s="30" t="s">
        <v>2024</v>
      </c>
      <c r="F8548" s="30" t="s">
        <v>2046</v>
      </c>
      <c r="H8548" s="30" t="s">
        <v>2859</v>
      </c>
      <c r="J8548" s="30" t="s">
        <v>2860</v>
      </c>
      <c r="L8548" s="30" t="s">
        <v>2990</v>
      </c>
      <c r="N8548" s="30" t="s">
        <v>3026</v>
      </c>
      <c r="P8548" s="30" t="s">
        <v>15070</v>
      </c>
      <c r="Q8548" t="s">
        <v>621</v>
      </c>
      <c r="R8548" t="s">
        <v>917</v>
      </c>
      <c r="S8548">
        <v>39</v>
      </c>
      <c r="T8548" s="29" t="str">
        <f>HYPERLINK("https://ictv.global/ictv/proposals/2023.001B.Leviviricetes_reorg.zip","2023.001B.Leviviricetes_reorg.zip")</f>
        <v>2023.001B.Leviviricetes_reorg.zip</v>
      </c>
      <c r="U8548" s="29" t="str">
        <f>HYPERLINK("https://ictv.global/taxonomy/taxondetails?taxnode_id=202316236","ictv.global=202316236")</f>
        <v>ictv.global=202316236</v>
      </c>
    </row>
    <row r="8549" spans="1:21">
      <c r="A8549">
        <v>8548</v>
      </c>
      <c r="B8549" s="30" t="s">
        <v>1226</v>
      </c>
      <c r="D8549" s="30" t="s">
        <v>2024</v>
      </c>
      <c r="F8549" s="30" t="s">
        <v>2046</v>
      </c>
      <c r="H8549" s="30" t="s">
        <v>2859</v>
      </c>
      <c r="J8549" s="30" t="s">
        <v>2860</v>
      </c>
      <c r="L8549" s="30" t="s">
        <v>2990</v>
      </c>
      <c r="N8549" s="30" t="s">
        <v>3026</v>
      </c>
      <c r="P8549" s="30" t="s">
        <v>3027</v>
      </c>
      <c r="Q8549" t="s">
        <v>621</v>
      </c>
      <c r="R8549" t="s">
        <v>917</v>
      </c>
      <c r="S8549">
        <v>36</v>
      </c>
      <c r="T8549" s="29" t="str">
        <f>HYPERLINK("https://ictv.global/ictv/proposals/2020.095B.R.Leviviricetes.zip","2020.095B.R.Leviviricetes.zip")</f>
        <v>2020.095B.R.Leviviricetes.zip</v>
      </c>
      <c r="U8549" s="29" t="str">
        <f>HYPERLINK("https://ictv.global/taxonomy/taxondetails?taxnode_id=202310280","ictv.global=202310280")</f>
        <v>ictv.global=202310280</v>
      </c>
    </row>
    <row r="8550" spans="1:21">
      <c r="A8550">
        <v>8549</v>
      </c>
      <c r="B8550" s="30" t="s">
        <v>1226</v>
      </c>
      <c r="D8550" s="30" t="s">
        <v>2024</v>
      </c>
      <c r="F8550" s="30" t="s">
        <v>2046</v>
      </c>
      <c r="H8550" s="30" t="s">
        <v>2859</v>
      </c>
      <c r="J8550" s="30" t="s">
        <v>2860</v>
      </c>
      <c r="L8550" s="30" t="s">
        <v>2990</v>
      </c>
      <c r="N8550" s="30" t="s">
        <v>3026</v>
      </c>
      <c r="P8550" s="30" t="s">
        <v>15071</v>
      </c>
      <c r="Q8550" t="s">
        <v>621</v>
      </c>
      <c r="R8550" t="s">
        <v>917</v>
      </c>
      <c r="S8550">
        <v>39</v>
      </c>
      <c r="T8550" s="29" t="str">
        <f>HYPERLINK("https://ictv.global/ictv/proposals/2023.001B.Leviviricetes_reorg.zip","2023.001B.Leviviricetes_reorg.zip")</f>
        <v>2023.001B.Leviviricetes_reorg.zip</v>
      </c>
      <c r="U8550" s="29" t="str">
        <f>HYPERLINK("https://ictv.global/taxonomy/taxondetails?taxnode_id=202316237","ictv.global=202316237")</f>
        <v>ictv.global=202316237</v>
      </c>
    </row>
    <row r="8551" spans="1:21">
      <c r="A8551">
        <v>8550</v>
      </c>
      <c r="B8551" s="30" t="s">
        <v>1226</v>
      </c>
      <c r="D8551" s="30" t="s">
        <v>2024</v>
      </c>
      <c r="F8551" s="30" t="s">
        <v>2046</v>
      </c>
      <c r="H8551" s="30" t="s">
        <v>2859</v>
      </c>
      <c r="J8551" s="30" t="s">
        <v>2860</v>
      </c>
      <c r="L8551" s="30" t="s">
        <v>2990</v>
      </c>
      <c r="N8551" s="30" t="s">
        <v>3026</v>
      </c>
      <c r="P8551" s="30" t="s">
        <v>15072</v>
      </c>
      <c r="Q8551" t="s">
        <v>621</v>
      </c>
      <c r="R8551" t="s">
        <v>917</v>
      </c>
      <c r="S8551">
        <v>39</v>
      </c>
      <c r="T8551" s="29" t="str">
        <f>HYPERLINK("https://ictv.global/ictv/proposals/2023.001B.Leviviricetes_reorg.zip","2023.001B.Leviviricetes_reorg.zip")</f>
        <v>2023.001B.Leviviricetes_reorg.zip</v>
      </c>
      <c r="U8551" s="29" t="str">
        <f>HYPERLINK("https://ictv.global/taxonomy/taxondetails?taxnode_id=202316238","ictv.global=202316238")</f>
        <v>ictv.global=202316238</v>
      </c>
    </row>
    <row r="8552" spans="1:21">
      <c r="A8552">
        <v>8551</v>
      </c>
      <c r="B8552" s="30" t="s">
        <v>1226</v>
      </c>
      <c r="D8552" s="30" t="s">
        <v>2024</v>
      </c>
      <c r="F8552" s="30" t="s">
        <v>2046</v>
      </c>
      <c r="H8552" s="30" t="s">
        <v>2859</v>
      </c>
      <c r="J8552" s="30" t="s">
        <v>2860</v>
      </c>
      <c r="L8552" s="30" t="s">
        <v>2990</v>
      </c>
      <c r="N8552" s="30" t="s">
        <v>3026</v>
      </c>
      <c r="P8552" s="30" t="s">
        <v>15073</v>
      </c>
      <c r="Q8552" t="s">
        <v>621</v>
      </c>
      <c r="R8552" t="s">
        <v>917</v>
      </c>
      <c r="S8552">
        <v>39</v>
      </c>
      <c r="T8552" s="29" t="str">
        <f>HYPERLINK("https://ictv.global/ictv/proposals/2023.001B.Leviviricetes_reorg.zip","2023.001B.Leviviricetes_reorg.zip")</f>
        <v>2023.001B.Leviviricetes_reorg.zip</v>
      </c>
      <c r="U8552" s="29" t="str">
        <f>HYPERLINK("https://ictv.global/taxonomy/taxondetails?taxnode_id=202316239","ictv.global=202316239")</f>
        <v>ictv.global=202316239</v>
      </c>
    </row>
    <row r="8553" spans="1:21">
      <c r="A8553">
        <v>8552</v>
      </c>
      <c r="B8553" s="30" t="s">
        <v>1226</v>
      </c>
      <c r="D8553" s="30" t="s">
        <v>2024</v>
      </c>
      <c r="F8553" s="30" t="s">
        <v>2046</v>
      </c>
      <c r="H8553" s="30" t="s">
        <v>2859</v>
      </c>
      <c r="J8553" s="30" t="s">
        <v>2860</v>
      </c>
      <c r="L8553" s="30" t="s">
        <v>2990</v>
      </c>
      <c r="N8553" s="30" t="s">
        <v>3028</v>
      </c>
      <c r="P8553" s="30" t="s">
        <v>3029</v>
      </c>
      <c r="Q8553" t="s">
        <v>621</v>
      </c>
      <c r="R8553" t="s">
        <v>917</v>
      </c>
      <c r="S8553">
        <v>36</v>
      </c>
      <c r="T8553" s="29" t="str">
        <f>HYPERLINK("https://ictv.global/ictv/proposals/2020.095B.R.Leviviricetes.zip","2020.095B.R.Leviviricetes.zip")</f>
        <v>2020.095B.R.Leviviricetes.zip</v>
      </c>
      <c r="U8553" s="29" t="str">
        <f>HYPERLINK("https://ictv.global/taxonomy/taxondetails?taxnode_id=202310282","ictv.global=202310282")</f>
        <v>ictv.global=202310282</v>
      </c>
    </row>
    <row r="8554" spans="1:21">
      <c r="A8554">
        <v>8553</v>
      </c>
      <c r="B8554" s="30" t="s">
        <v>1226</v>
      </c>
      <c r="D8554" s="30" t="s">
        <v>2024</v>
      </c>
      <c r="F8554" s="30" t="s">
        <v>2046</v>
      </c>
      <c r="H8554" s="30" t="s">
        <v>2859</v>
      </c>
      <c r="J8554" s="30" t="s">
        <v>2860</v>
      </c>
      <c r="L8554" s="30" t="s">
        <v>2990</v>
      </c>
      <c r="N8554" s="30" t="s">
        <v>3028</v>
      </c>
      <c r="P8554" s="30" t="s">
        <v>3030</v>
      </c>
      <c r="Q8554" t="s">
        <v>621</v>
      </c>
      <c r="R8554" t="s">
        <v>917</v>
      </c>
      <c r="S8554">
        <v>36</v>
      </c>
      <c r="T8554" s="29" t="str">
        <f>HYPERLINK("https://ictv.global/ictv/proposals/2020.095B.R.Leviviricetes.zip","2020.095B.R.Leviviricetes.zip")</f>
        <v>2020.095B.R.Leviviricetes.zip</v>
      </c>
      <c r="U8554" s="29" t="str">
        <f>HYPERLINK("https://ictv.global/taxonomy/taxondetails?taxnode_id=202310283","ictv.global=202310283")</f>
        <v>ictv.global=202310283</v>
      </c>
    </row>
    <row r="8555" spans="1:21">
      <c r="A8555">
        <v>8554</v>
      </c>
      <c r="B8555" s="30" t="s">
        <v>1226</v>
      </c>
      <c r="D8555" s="30" t="s">
        <v>2024</v>
      </c>
      <c r="F8555" s="30" t="s">
        <v>2046</v>
      </c>
      <c r="H8555" s="30" t="s">
        <v>2859</v>
      </c>
      <c r="J8555" s="30" t="s">
        <v>2860</v>
      </c>
      <c r="L8555" s="30" t="s">
        <v>2990</v>
      </c>
      <c r="N8555" s="30" t="s">
        <v>3031</v>
      </c>
      <c r="P8555" s="30" t="s">
        <v>3032</v>
      </c>
      <c r="Q8555" t="s">
        <v>621</v>
      </c>
      <c r="R8555" t="s">
        <v>917</v>
      </c>
      <c r="S8555">
        <v>36</v>
      </c>
      <c r="T8555" s="29" t="str">
        <f>HYPERLINK("https://ictv.global/ictv/proposals/2020.095B.R.Leviviricetes.zip","2020.095B.R.Leviviricetes.zip")</f>
        <v>2020.095B.R.Leviviricetes.zip</v>
      </c>
      <c r="U8555" s="29" t="str">
        <f>HYPERLINK("https://ictv.global/taxonomy/taxondetails?taxnode_id=202310286","ictv.global=202310286")</f>
        <v>ictv.global=202310286</v>
      </c>
    </row>
    <row r="8556" spans="1:21">
      <c r="A8556">
        <v>8555</v>
      </c>
      <c r="B8556" s="30" t="s">
        <v>1226</v>
      </c>
      <c r="D8556" s="30" t="s">
        <v>2024</v>
      </c>
      <c r="F8556" s="30" t="s">
        <v>2046</v>
      </c>
      <c r="H8556" s="30" t="s">
        <v>2859</v>
      </c>
      <c r="J8556" s="30" t="s">
        <v>2860</v>
      </c>
      <c r="L8556" s="30" t="s">
        <v>2990</v>
      </c>
      <c r="N8556" s="30" t="s">
        <v>3031</v>
      </c>
      <c r="P8556" s="30" t="s">
        <v>15074</v>
      </c>
      <c r="Q8556" t="s">
        <v>621</v>
      </c>
      <c r="R8556" t="s">
        <v>917</v>
      </c>
      <c r="S8556">
        <v>39</v>
      </c>
      <c r="T8556" s="29" t="str">
        <f>HYPERLINK("https://ictv.global/ictv/proposals/2023.001B.Leviviricetes_reorg.zip","2023.001B.Leviviricetes_reorg.zip")</f>
        <v>2023.001B.Leviviricetes_reorg.zip</v>
      </c>
      <c r="U8556" s="29" t="str">
        <f>HYPERLINK("https://ictv.global/taxonomy/taxondetails?taxnode_id=202316240","ictv.global=202316240")</f>
        <v>ictv.global=202316240</v>
      </c>
    </row>
    <row r="8557" spans="1:21">
      <c r="A8557">
        <v>8556</v>
      </c>
      <c r="B8557" s="30" t="s">
        <v>1226</v>
      </c>
      <c r="D8557" s="30" t="s">
        <v>2024</v>
      </c>
      <c r="F8557" s="30" t="s">
        <v>2046</v>
      </c>
      <c r="H8557" s="30" t="s">
        <v>2859</v>
      </c>
      <c r="J8557" s="30" t="s">
        <v>2860</v>
      </c>
      <c r="L8557" s="30" t="s">
        <v>2990</v>
      </c>
      <c r="N8557" s="30" t="s">
        <v>3031</v>
      </c>
      <c r="P8557" s="30" t="s">
        <v>3033</v>
      </c>
      <c r="Q8557" t="s">
        <v>621</v>
      </c>
      <c r="R8557" t="s">
        <v>917</v>
      </c>
      <c r="S8557">
        <v>36</v>
      </c>
      <c r="T8557" s="29" t="str">
        <f>HYPERLINK("https://ictv.global/ictv/proposals/2020.095B.R.Leviviricetes.zip","2020.095B.R.Leviviricetes.zip")</f>
        <v>2020.095B.R.Leviviricetes.zip</v>
      </c>
      <c r="U8557" s="29" t="str">
        <f>HYPERLINK("https://ictv.global/taxonomy/taxondetails?taxnode_id=202310285","ictv.global=202310285")</f>
        <v>ictv.global=202310285</v>
      </c>
    </row>
    <row r="8558" spans="1:21">
      <c r="A8558">
        <v>8557</v>
      </c>
      <c r="B8558" s="30" t="s">
        <v>1226</v>
      </c>
      <c r="D8558" s="30" t="s">
        <v>2024</v>
      </c>
      <c r="F8558" s="30" t="s">
        <v>2046</v>
      </c>
      <c r="H8558" s="30" t="s">
        <v>2859</v>
      </c>
      <c r="J8558" s="30" t="s">
        <v>2860</v>
      </c>
      <c r="L8558" s="30" t="s">
        <v>2990</v>
      </c>
      <c r="N8558" s="30" t="s">
        <v>3034</v>
      </c>
      <c r="P8558" s="30" t="s">
        <v>15075</v>
      </c>
      <c r="Q8558" t="s">
        <v>621</v>
      </c>
      <c r="R8558" t="s">
        <v>917</v>
      </c>
      <c r="S8558">
        <v>39</v>
      </c>
      <c r="T8558" s="29" t="str">
        <f>HYPERLINK("https://ictv.global/ictv/proposals/2023.001B.Leviviricetes_reorg.zip","2023.001B.Leviviricetes_reorg.zip")</f>
        <v>2023.001B.Leviviricetes_reorg.zip</v>
      </c>
      <c r="U8558" s="29" t="str">
        <f>HYPERLINK("https://ictv.global/taxonomy/taxondetails?taxnode_id=202316241","ictv.global=202316241")</f>
        <v>ictv.global=202316241</v>
      </c>
    </row>
    <row r="8559" spans="1:21">
      <c r="A8559">
        <v>8558</v>
      </c>
      <c r="B8559" s="30" t="s">
        <v>1226</v>
      </c>
      <c r="D8559" s="30" t="s">
        <v>2024</v>
      </c>
      <c r="F8559" s="30" t="s">
        <v>2046</v>
      </c>
      <c r="H8559" s="30" t="s">
        <v>2859</v>
      </c>
      <c r="J8559" s="30" t="s">
        <v>2860</v>
      </c>
      <c r="L8559" s="30" t="s">
        <v>2990</v>
      </c>
      <c r="N8559" s="30" t="s">
        <v>3034</v>
      </c>
      <c r="P8559" s="30" t="s">
        <v>15076</v>
      </c>
      <c r="Q8559" t="s">
        <v>621</v>
      </c>
      <c r="R8559" t="s">
        <v>917</v>
      </c>
      <c r="S8559">
        <v>39</v>
      </c>
      <c r="T8559" s="29" t="str">
        <f>HYPERLINK("https://ictv.global/ictv/proposals/2023.001B.Leviviricetes_reorg.zip","2023.001B.Leviviricetes_reorg.zip")</f>
        <v>2023.001B.Leviviricetes_reorg.zip</v>
      </c>
      <c r="U8559" s="29" t="str">
        <f>HYPERLINK("https://ictv.global/taxonomy/taxondetails?taxnode_id=202316242","ictv.global=202316242")</f>
        <v>ictv.global=202316242</v>
      </c>
    </row>
    <row r="8560" spans="1:21">
      <c r="A8560">
        <v>8559</v>
      </c>
      <c r="B8560" s="30" t="s">
        <v>1226</v>
      </c>
      <c r="D8560" s="30" t="s">
        <v>2024</v>
      </c>
      <c r="F8560" s="30" t="s">
        <v>2046</v>
      </c>
      <c r="H8560" s="30" t="s">
        <v>2859</v>
      </c>
      <c r="J8560" s="30" t="s">
        <v>2860</v>
      </c>
      <c r="L8560" s="30" t="s">
        <v>2990</v>
      </c>
      <c r="N8560" s="30" t="s">
        <v>3034</v>
      </c>
      <c r="P8560" s="30" t="s">
        <v>15077</v>
      </c>
      <c r="Q8560" t="s">
        <v>621</v>
      </c>
      <c r="R8560" t="s">
        <v>917</v>
      </c>
      <c r="S8560">
        <v>39</v>
      </c>
      <c r="T8560" s="29" t="str">
        <f>HYPERLINK("https://ictv.global/ictv/proposals/2023.001B.Leviviricetes_reorg.zip","2023.001B.Leviviricetes_reorg.zip")</f>
        <v>2023.001B.Leviviricetes_reorg.zip</v>
      </c>
      <c r="U8560" s="29" t="str">
        <f>HYPERLINK("https://ictv.global/taxonomy/taxondetails?taxnode_id=202316243","ictv.global=202316243")</f>
        <v>ictv.global=202316243</v>
      </c>
    </row>
    <row r="8561" spans="1:21">
      <c r="A8561">
        <v>8560</v>
      </c>
      <c r="B8561" s="30" t="s">
        <v>1226</v>
      </c>
      <c r="D8561" s="30" t="s">
        <v>2024</v>
      </c>
      <c r="F8561" s="30" t="s">
        <v>2046</v>
      </c>
      <c r="H8561" s="30" t="s">
        <v>2859</v>
      </c>
      <c r="J8561" s="30" t="s">
        <v>2860</v>
      </c>
      <c r="L8561" s="30" t="s">
        <v>2990</v>
      </c>
      <c r="N8561" s="30" t="s">
        <v>3034</v>
      </c>
      <c r="P8561" s="30" t="s">
        <v>3035</v>
      </c>
      <c r="Q8561" t="s">
        <v>621</v>
      </c>
      <c r="R8561" t="s">
        <v>917</v>
      </c>
      <c r="S8561">
        <v>36</v>
      </c>
      <c r="T8561" s="29" t="str">
        <f>HYPERLINK("https://ictv.global/ictv/proposals/2020.095B.R.Leviviricetes.zip","2020.095B.R.Leviviricetes.zip")</f>
        <v>2020.095B.R.Leviviricetes.zip</v>
      </c>
      <c r="U8561" s="29" t="str">
        <f>HYPERLINK("https://ictv.global/taxonomy/taxondetails?taxnode_id=202310289","ictv.global=202310289")</f>
        <v>ictv.global=202310289</v>
      </c>
    </row>
    <row r="8562" spans="1:21">
      <c r="A8562">
        <v>8561</v>
      </c>
      <c r="B8562" s="30" t="s">
        <v>1226</v>
      </c>
      <c r="D8562" s="30" t="s">
        <v>2024</v>
      </c>
      <c r="F8562" s="30" t="s">
        <v>2046</v>
      </c>
      <c r="H8562" s="30" t="s">
        <v>2859</v>
      </c>
      <c r="J8562" s="30" t="s">
        <v>2860</v>
      </c>
      <c r="L8562" s="30" t="s">
        <v>2990</v>
      </c>
      <c r="N8562" s="30" t="s">
        <v>3034</v>
      </c>
      <c r="P8562" s="30" t="s">
        <v>3036</v>
      </c>
      <c r="Q8562" t="s">
        <v>621</v>
      </c>
      <c r="R8562" t="s">
        <v>917</v>
      </c>
      <c r="S8562">
        <v>36</v>
      </c>
      <c r="T8562" s="29" t="str">
        <f>HYPERLINK("https://ictv.global/ictv/proposals/2020.095B.R.Leviviricetes.zip","2020.095B.R.Leviviricetes.zip")</f>
        <v>2020.095B.R.Leviviricetes.zip</v>
      </c>
      <c r="U8562" s="29" t="str">
        <f>HYPERLINK("https://ictv.global/taxonomy/taxondetails?taxnode_id=202310288","ictv.global=202310288")</f>
        <v>ictv.global=202310288</v>
      </c>
    </row>
    <row r="8563" spans="1:21">
      <c r="A8563">
        <v>8562</v>
      </c>
      <c r="B8563" s="30" t="s">
        <v>1226</v>
      </c>
      <c r="D8563" s="30" t="s">
        <v>2024</v>
      </c>
      <c r="F8563" s="30" t="s">
        <v>2046</v>
      </c>
      <c r="H8563" s="30" t="s">
        <v>2859</v>
      </c>
      <c r="J8563" s="30" t="s">
        <v>2860</v>
      </c>
      <c r="L8563" s="30" t="s">
        <v>2990</v>
      </c>
      <c r="N8563" s="30" t="s">
        <v>3034</v>
      </c>
      <c r="P8563" s="30" t="s">
        <v>3037</v>
      </c>
      <c r="Q8563" t="s">
        <v>621</v>
      </c>
      <c r="R8563" t="s">
        <v>917</v>
      </c>
      <c r="S8563">
        <v>36</v>
      </c>
      <c r="T8563" s="29" t="str">
        <f>HYPERLINK("https://ictv.global/ictv/proposals/2020.095B.R.Leviviricetes.zip","2020.095B.R.Leviviricetes.zip")</f>
        <v>2020.095B.R.Leviviricetes.zip</v>
      </c>
      <c r="U8563" s="29" t="str">
        <f>HYPERLINK("https://ictv.global/taxonomy/taxondetails?taxnode_id=202310290","ictv.global=202310290")</f>
        <v>ictv.global=202310290</v>
      </c>
    </row>
    <row r="8564" spans="1:21">
      <c r="A8564">
        <v>8563</v>
      </c>
      <c r="B8564" s="30" t="s">
        <v>1226</v>
      </c>
      <c r="D8564" s="30" t="s">
        <v>2024</v>
      </c>
      <c r="F8564" s="30" t="s">
        <v>2046</v>
      </c>
      <c r="H8564" s="30" t="s">
        <v>2859</v>
      </c>
      <c r="J8564" s="30" t="s">
        <v>2860</v>
      </c>
      <c r="L8564" s="30" t="s">
        <v>2990</v>
      </c>
      <c r="N8564" s="30" t="s">
        <v>3034</v>
      </c>
      <c r="P8564" s="30" t="s">
        <v>15078</v>
      </c>
      <c r="Q8564" t="s">
        <v>621</v>
      </c>
      <c r="R8564" t="s">
        <v>917</v>
      </c>
      <c r="S8564">
        <v>39</v>
      </c>
      <c r="T8564" s="29" t="str">
        <f>HYPERLINK("https://ictv.global/ictv/proposals/2023.001B.Leviviricetes_reorg.zip","2023.001B.Leviviricetes_reorg.zip")</f>
        <v>2023.001B.Leviviricetes_reorg.zip</v>
      </c>
      <c r="U8564" s="29" t="str">
        <f>HYPERLINK("https://ictv.global/taxonomy/taxondetails?taxnode_id=202316244","ictv.global=202316244")</f>
        <v>ictv.global=202316244</v>
      </c>
    </row>
    <row r="8565" spans="1:21">
      <c r="A8565">
        <v>8564</v>
      </c>
      <c r="B8565" s="30" t="s">
        <v>1226</v>
      </c>
      <c r="D8565" s="30" t="s">
        <v>2024</v>
      </c>
      <c r="F8565" s="30" t="s">
        <v>2046</v>
      </c>
      <c r="H8565" s="30" t="s">
        <v>2859</v>
      </c>
      <c r="J8565" s="30" t="s">
        <v>2860</v>
      </c>
      <c r="L8565" s="30" t="s">
        <v>2990</v>
      </c>
      <c r="N8565" s="30" t="s">
        <v>3034</v>
      </c>
      <c r="P8565" s="30" t="s">
        <v>15079</v>
      </c>
      <c r="Q8565" t="s">
        <v>621</v>
      </c>
      <c r="R8565" t="s">
        <v>917</v>
      </c>
      <c r="S8565">
        <v>39</v>
      </c>
      <c r="T8565" s="29" t="str">
        <f>HYPERLINK("https://ictv.global/ictv/proposals/2023.001B.Leviviricetes_reorg.zip","2023.001B.Leviviricetes_reorg.zip")</f>
        <v>2023.001B.Leviviricetes_reorg.zip</v>
      </c>
      <c r="U8565" s="29" t="str">
        <f>HYPERLINK("https://ictv.global/taxonomy/taxondetails?taxnode_id=202316245","ictv.global=202316245")</f>
        <v>ictv.global=202316245</v>
      </c>
    </row>
    <row r="8566" spans="1:21">
      <c r="A8566">
        <v>8565</v>
      </c>
      <c r="B8566" s="30" t="s">
        <v>1226</v>
      </c>
      <c r="D8566" s="30" t="s">
        <v>2024</v>
      </c>
      <c r="F8566" s="30" t="s">
        <v>2046</v>
      </c>
      <c r="H8566" s="30" t="s">
        <v>2859</v>
      </c>
      <c r="J8566" s="30" t="s">
        <v>2860</v>
      </c>
      <c r="L8566" s="30" t="s">
        <v>2990</v>
      </c>
      <c r="N8566" s="30" t="s">
        <v>3034</v>
      </c>
      <c r="P8566" s="30" t="s">
        <v>15080</v>
      </c>
      <c r="Q8566" t="s">
        <v>621</v>
      </c>
      <c r="R8566" t="s">
        <v>917</v>
      </c>
      <c r="S8566">
        <v>39</v>
      </c>
      <c r="T8566" s="29" t="str">
        <f>HYPERLINK("https://ictv.global/ictv/proposals/2023.001B.Leviviricetes_reorg.zip","2023.001B.Leviviricetes_reorg.zip")</f>
        <v>2023.001B.Leviviricetes_reorg.zip</v>
      </c>
      <c r="U8566" s="29" t="str">
        <f>HYPERLINK("https://ictv.global/taxonomy/taxondetails?taxnode_id=202316246","ictv.global=202316246")</f>
        <v>ictv.global=202316246</v>
      </c>
    </row>
    <row r="8567" spans="1:21">
      <c r="A8567">
        <v>8566</v>
      </c>
      <c r="B8567" s="30" t="s">
        <v>1226</v>
      </c>
      <c r="D8567" s="30" t="s">
        <v>2024</v>
      </c>
      <c r="F8567" s="30" t="s">
        <v>2046</v>
      </c>
      <c r="H8567" s="30" t="s">
        <v>2859</v>
      </c>
      <c r="J8567" s="30" t="s">
        <v>2860</v>
      </c>
      <c r="L8567" s="30" t="s">
        <v>2990</v>
      </c>
      <c r="N8567" s="30" t="s">
        <v>3034</v>
      </c>
      <c r="P8567" s="30" t="s">
        <v>15081</v>
      </c>
      <c r="Q8567" t="s">
        <v>621</v>
      </c>
      <c r="R8567" t="s">
        <v>917</v>
      </c>
      <c r="S8567">
        <v>39</v>
      </c>
      <c r="T8567" s="29" t="str">
        <f>HYPERLINK("https://ictv.global/ictv/proposals/2023.001B.Leviviricetes_reorg.zip","2023.001B.Leviviricetes_reorg.zip")</f>
        <v>2023.001B.Leviviricetes_reorg.zip</v>
      </c>
      <c r="U8567" s="29" t="str">
        <f>HYPERLINK("https://ictv.global/taxonomy/taxondetails?taxnode_id=202316247","ictv.global=202316247")</f>
        <v>ictv.global=202316247</v>
      </c>
    </row>
    <row r="8568" spans="1:21">
      <c r="A8568">
        <v>8567</v>
      </c>
      <c r="B8568" s="30" t="s">
        <v>1226</v>
      </c>
      <c r="D8568" s="30" t="s">
        <v>2024</v>
      </c>
      <c r="F8568" s="30" t="s">
        <v>2046</v>
      </c>
      <c r="H8568" s="30" t="s">
        <v>2859</v>
      </c>
      <c r="J8568" s="30" t="s">
        <v>2860</v>
      </c>
      <c r="L8568" s="30" t="s">
        <v>2990</v>
      </c>
      <c r="N8568" s="30" t="s">
        <v>3034</v>
      </c>
      <c r="P8568" s="30" t="s">
        <v>15082</v>
      </c>
      <c r="Q8568" t="s">
        <v>621</v>
      </c>
      <c r="R8568" t="s">
        <v>917</v>
      </c>
      <c r="S8568">
        <v>39</v>
      </c>
      <c r="T8568" s="29" t="str">
        <f>HYPERLINK("https://ictv.global/ictv/proposals/2023.001B.Leviviricetes_reorg.zip","2023.001B.Leviviricetes_reorg.zip")</f>
        <v>2023.001B.Leviviricetes_reorg.zip</v>
      </c>
      <c r="U8568" s="29" t="str">
        <f>HYPERLINK("https://ictv.global/taxonomy/taxondetails?taxnode_id=202316248","ictv.global=202316248")</f>
        <v>ictv.global=202316248</v>
      </c>
    </row>
    <row r="8569" spans="1:21">
      <c r="A8569">
        <v>8568</v>
      </c>
      <c r="B8569" s="30" t="s">
        <v>1226</v>
      </c>
      <c r="D8569" s="30" t="s">
        <v>2024</v>
      </c>
      <c r="F8569" s="30" t="s">
        <v>2046</v>
      </c>
      <c r="H8569" s="30" t="s">
        <v>2859</v>
      </c>
      <c r="J8569" s="30" t="s">
        <v>2860</v>
      </c>
      <c r="L8569" s="30" t="s">
        <v>2990</v>
      </c>
      <c r="N8569" s="30" t="s">
        <v>3038</v>
      </c>
      <c r="P8569" s="30" t="s">
        <v>3039</v>
      </c>
      <c r="Q8569" t="s">
        <v>621</v>
      </c>
      <c r="R8569" t="s">
        <v>917</v>
      </c>
      <c r="S8569">
        <v>36</v>
      </c>
      <c r="T8569" s="29" t="str">
        <f>HYPERLINK("https://ictv.global/ictv/proposals/2020.095B.R.Leviviricetes.zip","2020.095B.R.Leviviricetes.zip")</f>
        <v>2020.095B.R.Leviviricetes.zip</v>
      </c>
      <c r="U8569" s="29" t="str">
        <f>HYPERLINK("https://ictv.global/taxonomy/taxondetails?taxnode_id=202310292","ictv.global=202310292")</f>
        <v>ictv.global=202310292</v>
      </c>
    </row>
    <row r="8570" spans="1:21">
      <c r="A8570">
        <v>8569</v>
      </c>
      <c r="B8570" s="30" t="s">
        <v>1226</v>
      </c>
      <c r="D8570" s="30" t="s">
        <v>2024</v>
      </c>
      <c r="F8570" s="30" t="s">
        <v>2046</v>
      </c>
      <c r="H8570" s="30" t="s">
        <v>2859</v>
      </c>
      <c r="J8570" s="30" t="s">
        <v>2860</v>
      </c>
      <c r="L8570" s="30" t="s">
        <v>2990</v>
      </c>
      <c r="N8570" s="30" t="s">
        <v>3040</v>
      </c>
      <c r="P8570" s="30" t="s">
        <v>3041</v>
      </c>
      <c r="Q8570" t="s">
        <v>621</v>
      </c>
      <c r="R8570" t="s">
        <v>917</v>
      </c>
      <c r="S8570">
        <v>36</v>
      </c>
      <c r="T8570" s="29" t="str">
        <f>HYPERLINK("https://ictv.global/ictv/proposals/2020.095B.R.Leviviricetes.zip","2020.095B.R.Leviviricetes.zip")</f>
        <v>2020.095B.R.Leviviricetes.zip</v>
      </c>
      <c r="U8570" s="29" t="str">
        <f>HYPERLINK("https://ictv.global/taxonomy/taxondetails?taxnode_id=202310294","ictv.global=202310294")</f>
        <v>ictv.global=202310294</v>
      </c>
    </row>
    <row r="8571" spans="1:21">
      <c r="A8571">
        <v>8570</v>
      </c>
      <c r="B8571" s="30" t="s">
        <v>1226</v>
      </c>
      <c r="D8571" s="30" t="s">
        <v>2024</v>
      </c>
      <c r="F8571" s="30" t="s">
        <v>2046</v>
      </c>
      <c r="H8571" s="30" t="s">
        <v>2859</v>
      </c>
      <c r="J8571" s="30" t="s">
        <v>2860</v>
      </c>
      <c r="L8571" s="30" t="s">
        <v>2990</v>
      </c>
      <c r="N8571" s="30" t="s">
        <v>3042</v>
      </c>
      <c r="P8571" s="30" t="s">
        <v>3043</v>
      </c>
      <c r="Q8571" t="s">
        <v>621</v>
      </c>
      <c r="R8571" t="s">
        <v>917</v>
      </c>
      <c r="S8571">
        <v>36</v>
      </c>
      <c r="T8571" s="29" t="str">
        <f>HYPERLINK("https://ictv.global/ictv/proposals/2020.095B.R.Leviviricetes.zip","2020.095B.R.Leviviricetes.zip")</f>
        <v>2020.095B.R.Leviviricetes.zip</v>
      </c>
      <c r="U8571" s="29" t="str">
        <f>HYPERLINK("https://ictv.global/taxonomy/taxondetails?taxnode_id=202310296","ictv.global=202310296")</f>
        <v>ictv.global=202310296</v>
      </c>
    </row>
    <row r="8572" spans="1:21">
      <c r="A8572">
        <v>8571</v>
      </c>
      <c r="B8572" s="30" t="s">
        <v>1226</v>
      </c>
      <c r="D8572" s="30" t="s">
        <v>2024</v>
      </c>
      <c r="F8572" s="30" t="s">
        <v>2046</v>
      </c>
      <c r="H8572" s="30" t="s">
        <v>2859</v>
      </c>
      <c r="J8572" s="30" t="s">
        <v>2860</v>
      </c>
      <c r="L8572" s="30" t="s">
        <v>2990</v>
      </c>
      <c r="N8572" s="30" t="s">
        <v>3042</v>
      </c>
      <c r="P8572" s="30" t="s">
        <v>3044</v>
      </c>
      <c r="Q8572" t="s">
        <v>621</v>
      </c>
      <c r="R8572" t="s">
        <v>917</v>
      </c>
      <c r="S8572">
        <v>36</v>
      </c>
      <c r="T8572" s="29" t="str">
        <f>HYPERLINK("https://ictv.global/ictv/proposals/2020.095B.R.Leviviricetes.zip","2020.095B.R.Leviviricetes.zip")</f>
        <v>2020.095B.R.Leviviricetes.zip</v>
      </c>
      <c r="U8572" s="29" t="str">
        <f>HYPERLINK("https://ictv.global/taxonomy/taxondetails?taxnode_id=202310297","ictv.global=202310297")</f>
        <v>ictv.global=202310297</v>
      </c>
    </row>
    <row r="8573" spans="1:21">
      <c r="A8573">
        <v>8572</v>
      </c>
      <c r="B8573" s="30" t="s">
        <v>1226</v>
      </c>
      <c r="D8573" s="30" t="s">
        <v>2024</v>
      </c>
      <c r="F8573" s="30" t="s">
        <v>2046</v>
      </c>
      <c r="H8573" s="30" t="s">
        <v>2859</v>
      </c>
      <c r="J8573" s="30" t="s">
        <v>2860</v>
      </c>
      <c r="L8573" s="30" t="s">
        <v>2990</v>
      </c>
      <c r="N8573" s="30" t="s">
        <v>3042</v>
      </c>
      <c r="P8573" s="30" t="s">
        <v>15083</v>
      </c>
      <c r="Q8573" t="s">
        <v>621</v>
      </c>
      <c r="R8573" t="s">
        <v>917</v>
      </c>
      <c r="S8573">
        <v>39</v>
      </c>
      <c r="T8573" s="29" t="str">
        <f>HYPERLINK("https://ictv.global/ictv/proposals/2023.001B.Leviviricetes_reorg.zip","2023.001B.Leviviricetes_reorg.zip")</f>
        <v>2023.001B.Leviviricetes_reorg.zip</v>
      </c>
      <c r="U8573" s="29" t="str">
        <f>HYPERLINK("https://ictv.global/taxonomy/taxondetails?taxnode_id=202316249","ictv.global=202316249")</f>
        <v>ictv.global=202316249</v>
      </c>
    </row>
    <row r="8574" spans="1:21">
      <c r="A8574">
        <v>8573</v>
      </c>
      <c r="B8574" s="30" t="s">
        <v>1226</v>
      </c>
      <c r="D8574" s="30" t="s">
        <v>2024</v>
      </c>
      <c r="F8574" s="30" t="s">
        <v>2046</v>
      </c>
      <c r="H8574" s="30" t="s">
        <v>2859</v>
      </c>
      <c r="J8574" s="30" t="s">
        <v>2860</v>
      </c>
      <c r="L8574" s="30" t="s">
        <v>2990</v>
      </c>
      <c r="N8574" s="30" t="s">
        <v>3042</v>
      </c>
      <c r="P8574" s="30" t="s">
        <v>3045</v>
      </c>
      <c r="Q8574" t="s">
        <v>621</v>
      </c>
      <c r="R8574" t="s">
        <v>917</v>
      </c>
      <c r="S8574">
        <v>36</v>
      </c>
      <c r="T8574" s="29" t="str">
        <f>HYPERLINK("https://ictv.global/ictv/proposals/2020.095B.R.Leviviricetes.zip","2020.095B.R.Leviviricetes.zip")</f>
        <v>2020.095B.R.Leviviricetes.zip</v>
      </c>
      <c r="U8574" s="29" t="str">
        <f>HYPERLINK("https://ictv.global/taxonomy/taxondetails?taxnode_id=202310298","ictv.global=202310298")</f>
        <v>ictv.global=202310298</v>
      </c>
    </row>
    <row r="8575" spans="1:21">
      <c r="A8575">
        <v>8574</v>
      </c>
      <c r="B8575" s="30" t="s">
        <v>1226</v>
      </c>
      <c r="D8575" s="30" t="s">
        <v>2024</v>
      </c>
      <c r="F8575" s="30" t="s">
        <v>2046</v>
      </c>
      <c r="H8575" s="30" t="s">
        <v>2859</v>
      </c>
      <c r="J8575" s="30" t="s">
        <v>2860</v>
      </c>
      <c r="L8575" s="30" t="s">
        <v>2990</v>
      </c>
      <c r="N8575" s="30" t="s">
        <v>3042</v>
      </c>
      <c r="P8575" s="30" t="s">
        <v>15084</v>
      </c>
      <c r="Q8575" t="s">
        <v>621</v>
      </c>
      <c r="R8575" t="s">
        <v>917</v>
      </c>
      <c r="S8575">
        <v>39</v>
      </c>
      <c r="T8575" s="29" t="str">
        <f>HYPERLINK("https://ictv.global/ictv/proposals/2023.001B.Leviviricetes_reorg.zip","2023.001B.Leviviricetes_reorg.zip")</f>
        <v>2023.001B.Leviviricetes_reorg.zip</v>
      </c>
      <c r="U8575" s="29" t="str">
        <f>HYPERLINK("https://ictv.global/taxonomy/taxondetails?taxnode_id=202316250","ictv.global=202316250")</f>
        <v>ictv.global=202316250</v>
      </c>
    </row>
    <row r="8576" spans="1:21">
      <c r="A8576">
        <v>8575</v>
      </c>
      <c r="B8576" s="30" t="s">
        <v>1226</v>
      </c>
      <c r="D8576" s="30" t="s">
        <v>2024</v>
      </c>
      <c r="F8576" s="30" t="s">
        <v>2046</v>
      </c>
      <c r="H8576" s="30" t="s">
        <v>2859</v>
      </c>
      <c r="J8576" s="30" t="s">
        <v>2860</v>
      </c>
      <c r="L8576" s="30" t="s">
        <v>2990</v>
      </c>
      <c r="N8576" s="30" t="s">
        <v>3042</v>
      </c>
      <c r="P8576" s="30" t="s">
        <v>15085</v>
      </c>
      <c r="Q8576" t="s">
        <v>621</v>
      </c>
      <c r="R8576" t="s">
        <v>917</v>
      </c>
      <c r="S8576">
        <v>39</v>
      </c>
      <c r="T8576" s="29" t="str">
        <f>HYPERLINK("https://ictv.global/ictv/proposals/2023.001B.Leviviricetes_reorg.zip","2023.001B.Leviviricetes_reorg.zip")</f>
        <v>2023.001B.Leviviricetes_reorg.zip</v>
      </c>
      <c r="U8576" s="29" t="str">
        <f>HYPERLINK("https://ictv.global/taxonomy/taxondetails?taxnode_id=202316251","ictv.global=202316251")</f>
        <v>ictv.global=202316251</v>
      </c>
    </row>
    <row r="8577" spans="1:21">
      <c r="A8577">
        <v>8576</v>
      </c>
      <c r="B8577" s="30" t="s">
        <v>1226</v>
      </c>
      <c r="D8577" s="30" t="s">
        <v>2024</v>
      </c>
      <c r="F8577" s="30" t="s">
        <v>2046</v>
      </c>
      <c r="H8577" s="30" t="s">
        <v>2859</v>
      </c>
      <c r="J8577" s="30" t="s">
        <v>2860</v>
      </c>
      <c r="L8577" s="30" t="s">
        <v>2990</v>
      </c>
      <c r="N8577" s="30" t="s">
        <v>3042</v>
      </c>
      <c r="P8577" s="30" t="s">
        <v>15086</v>
      </c>
      <c r="Q8577" t="s">
        <v>621</v>
      </c>
      <c r="R8577" t="s">
        <v>917</v>
      </c>
      <c r="S8577">
        <v>39</v>
      </c>
      <c r="T8577" s="29" t="str">
        <f>HYPERLINK("https://ictv.global/ictv/proposals/2023.001B.Leviviricetes_reorg.zip","2023.001B.Leviviricetes_reorg.zip")</f>
        <v>2023.001B.Leviviricetes_reorg.zip</v>
      </c>
      <c r="U8577" s="29" t="str">
        <f>HYPERLINK("https://ictv.global/taxonomy/taxondetails?taxnode_id=202316252","ictv.global=202316252")</f>
        <v>ictv.global=202316252</v>
      </c>
    </row>
    <row r="8578" spans="1:21">
      <c r="A8578">
        <v>8577</v>
      </c>
      <c r="B8578" s="30" t="s">
        <v>1226</v>
      </c>
      <c r="D8578" s="30" t="s">
        <v>2024</v>
      </c>
      <c r="F8578" s="30" t="s">
        <v>2046</v>
      </c>
      <c r="H8578" s="30" t="s">
        <v>2859</v>
      </c>
      <c r="J8578" s="30" t="s">
        <v>2860</v>
      </c>
      <c r="L8578" s="30" t="s">
        <v>2990</v>
      </c>
      <c r="N8578" s="30" t="s">
        <v>3042</v>
      </c>
      <c r="P8578" s="30" t="s">
        <v>15087</v>
      </c>
      <c r="Q8578" t="s">
        <v>621</v>
      </c>
      <c r="R8578" t="s">
        <v>917</v>
      </c>
      <c r="S8578">
        <v>39</v>
      </c>
      <c r="T8578" s="29" t="str">
        <f>HYPERLINK("https://ictv.global/ictv/proposals/2023.001B.Leviviricetes_reorg.zip","2023.001B.Leviviricetes_reorg.zip")</f>
        <v>2023.001B.Leviviricetes_reorg.zip</v>
      </c>
      <c r="U8578" s="29" t="str">
        <f>HYPERLINK("https://ictv.global/taxonomy/taxondetails?taxnode_id=202316253","ictv.global=202316253")</f>
        <v>ictv.global=202316253</v>
      </c>
    </row>
    <row r="8579" spans="1:21">
      <c r="A8579">
        <v>8578</v>
      </c>
      <c r="B8579" s="30" t="s">
        <v>1226</v>
      </c>
      <c r="D8579" s="30" t="s">
        <v>2024</v>
      </c>
      <c r="F8579" s="30" t="s">
        <v>2046</v>
      </c>
      <c r="H8579" s="30" t="s">
        <v>2859</v>
      </c>
      <c r="J8579" s="30" t="s">
        <v>2860</v>
      </c>
      <c r="L8579" s="30" t="s">
        <v>2990</v>
      </c>
      <c r="N8579" s="30" t="s">
        <v>3042</v>
      </c>
      <c r="P8579" s="30" t="s">
        <v>3046</v>
      </c>
      <c r="Q8579" t="s">
        <v>621</v>
      </c>
      <c r="R8579" t="s">
        <v>917</v>
      </c>
      <c r="S8579">
        <v>36</v>
      </c>
      <c r="T8579" s="29" t="str">
        <f>HYPERLINK("https://ictv.global/ictv/proposals/2020.095B.R.Leviviricetes.zip","2020.095B.R.Leviviricetes.zip")</f>
        <v>2020.095B.R.Leviviricetes.zip</v>
      </c>
      <c r="U8579" s="29" t="str">
        <f>HYPERLINK("https://ictv.global/taxonomy/taxondetails?taxnode_id=202310299","ictv.global=202310299")</f>
        <v>ictv.global=202310299</v>
      </c>
    </row>
    <row r="8580" spans="1:21">
      <c r="A8580">
        <v>8579</v>
      </c>
      <c r="B8580" s="30" t="s">
        <v>1226</v>
      </c>
      <c r="D8580" s="30" t="s">
        <v>2024</v>
      </c>
      <c r="F8580" s="30" t="s">
        <v>2046</v>
      </c>
      <c r="H8580" s="30" t="s">
        <v>2859</v>
      </c>
      <c r="J8580" s="30" t="s">
        <v>2860</v>
      </c>
      <c r="L8580" s="30" t="s">
        <v>2990</v>
      </c>
      <c r="N8580" s="30" t="s">
        <v>3042</v>
      </c>
      <c r="P8580" s="30" t="s">
        <v>3047</v>
      </c>
      <c r="Q8580" t="s">
        <v>621</v>
      </c>
      <c r="R8580" t="s">
        <v>917</v>
      </c>
      <c r="S8580">
        <v>36</v>
      </c>
      <c r="T8580" s="29" t="str">
        <f>HYPERLINK("https://ictv.global/ictv/proposals/2020.095B.R.Leviviricetes.zip","2020.095B.R.Leviviricetes.zip")</f>
        <v>2020.095B.R.Leviviricetes.zip</v>
      </c>
      <c r="U8580" s="29" t="str">
        <f>HYPERLINK("https://ictv.global/taxonomy/taxondetails?taxnode_id=202310300","ictv.global=202310300")</f>
        <v>ictv.global=202310300</v>
      </c>
    </row>
    <row r="8581" spans="1:21">
      <c r="A8581">
        <v>8580</v>
      </c>
      <c r="B8581" s="30" t="s">
        <v>1226</v>
      </c>
      <c r="D8581" s="30" t="s">
        <v>2024</v>
      </c>
      <c r="F8581" s="30" t="s">
        <v>2046</v>
      </c>
      <c r="H8581" s="30" t="s">
        <v>2859</v>
      </c>
      <c r="J8581" s="30" t="s">
        <v>2860</v>
      </c>
      <c r="L8581" s="30" t="s">
        <v>2990</v>
      </c>
      <c r="N8581" s="30" t="s">
        <v>3042</v>
      </c>
      <c r="P8581" s="30" t="s">
        <v>3048</v>
      </c>
      <c r="Q8581" t="s">
        <v>621</v>
      </c>
      <c r="R8581" t="s">
        <v>917</v>
      </c>
      <c r="S8581">
        <v>36</v>
      </c>
      <c r="T8581" s="29" t="str">
        <f>HYPERLINK("https://ictv.global/ictv/proposals/2020.095B.R.Leviviricetes.zip","2020.095B.R.Leviviricetes.zip")</f>
        <v>2020.095B.R.Leviviricetes.zip</v>
      </c>
      <c r="U8581" s="29" t="str">
        <f>HYPERLINK("https://ictv.global/taxonomy/taxondetails?taxnode_id=202310301","ictv.global=202310301")</f>
        <v>ictv.global=202310301</v>
      </c>
    </row>
    <row r="8582" spans="1:21">
      <c r="A8582">
        <v>8581</v>
      </c>
      <c r="B8582" s="30" t="s">
        <v>1226</v>
      </c>
      <c r="D8582" s="30" t="s">
        <v>2024</v>
      </c>
      <c r="F8582" s="30" t="s">
        <v>2046</v>
      </c>
      <c r="H8582" s="30" t="s">
        <v>2859</v>
      </c>
      <c r="J8582" s="30" t="s">
        <v>2860</v>
      </c>
      <c r="L8582" s="30" t="s">
        <v>2990</v>
      </c>
      <c r="N8582" s="30" t="s">
        <v>3042</v>
      </c>
      <c r="P8582" s="30" t="s">
        <v>15088</v>
      </c>
      <c r="Q8582" t="s">
        <v>621</v>
      </c>
      <c r="R8582" t="s">
        <v>917</v>
      </c>
      <c r="S8582">
        <v>39</v>
      </c>
      <c r="T8582" s="29" t="str">
        <f>HYPERLINK("https://ictv.global/ictv/proposals/2023.001B.Leviviricetes_reorg.zip","2023.001B.Leviviricetes_reorg.zip")</f>
        <v>2023.001B.Leviviricetes_reorg.zip</v>
      </c>
      <c r="U8582" s="29" t="str">
        <f>HYPERLINK("https://ictv.global/taxonomy/taxondetails?taxnode_id=202316254","ictv.global=202316254")</f>
        <v>ictv.global=202316254</v>
      </c>
    </row>
    <row r="8583" spans="1:21">
      <c r="A8583">
        <v>8582</v>
      </c>
      <c r="B8583" s="30" t="s">
        <v>1226</v>
      </c>
      <c r="D8583" s="30" t="s">
        <v>2024</v>
      </c>
      <c r="F8583" s="30" t="s">
        <v>2046</v>
      </c>
      <c r="H8583" s="30" t="s">
        <v>2859</v>
      </c>
      <c r="J8583" s="30" t="s">
        <v>2860</v>
      </c>
      <c r="L8583" s="30" t="s">
        <v>2990</v>
      </c>
      <c r="N8583" s="30" t="s">
        <v>3042</v>
      </c>
      <c r="P8583" s="30" t="s">
        <v>15089</v>
      </c>
      <c r="Q8583" t="s">
        <v>621</v>
      </c>
      <c r="R8583" t="s">
        <v>917</v>
      </c>
      <c r="S8583">
        <v>39</v>
      </c>
      <c r="T8583" s="29" t="str">
        <f>HYPERLINK("https://ictv.global/ictv/proposals/2023.001B.Leviviricetes_reorg.zip","2023.001B.Leviviricetes_reorg.zip")</f>
        <v>2023.001B.Leviviricetes_reorg.zip</v>
      </c>
      <c r="U8583" s="29" t="str">
        <f>HYPERLINK("https://ictv.global/taxonomy/taxondetails?taxnode_id=202316255","ictv.global=202316255")</f>
        <v>ictv.global=202316255</v>
      </c>
    </row>
    <row r="8584" spans="1:21">
      <c r="A8584">
        <v>8583</v>
      </c>
      <c r="B8584" s="30" t="s">
        <v>1226</v>
      </c>
      <c r="D8584" s="30" t="s">
        <v>2024</v>
      </c>
      <c r="F8584" s="30" t="s">
        <v>2046</v>
      </c>
      <c r="H8584" s="30" t="s">
        <v>2859</v>
      </c>
      <c r="J8584" s="30" t="s">
        <v>2860</v>
      </c>
      <c r="L8584" s="30" t="s">
        <v>2990</v>
      </c>
      <c r="N8584" s="30" t="s">
        <v>3042</v>
      </c>
      <c r="P8584" s="30" t="s">
        <v>15090</v>
      </c>
      <c r="Q8584" t="s">
        <v>621</v>
      </c>
      <c r="R8584" t="s">
        <v>917</v>
      </c>
      <c r="S8584">
        <v>39</v>
      </c>
      <c r="T8584" s="29" t="str">
        <f>HYPERLINK("https://ictv.global/ictv/proposals/2023.001B.Leviviricetes_reorg.zip","2023.001B.Leviviricetes_reorg.zip")</f>
        <v>2023.001B.Leviviricetes_reorg.zip</v>
      </c>
      <c r="U8584" s="29" t="str">
        <f>HYPERLINK("https://ictv.global/taxonomy/taxondetails?taxnode_id=202316256","ictv.global=202316256")</f>
        <v>ictv.global=202316256</v>
      </c>
    </row>
    <row r="8585" spans="1:21">
      <c r="A8585">
        <v>8584</v>
      </c>
      <c r="B8585" s="30" t="s">
        <v>1226</v>
      </c>
      <c r="D8585" s="30" t="s">
        <v>2024</v>
      </c>
      <c r="F8585" s="30" t="s">
        <v>2046</v>
      </c>
      <c r="H8585" s="30" t="s">
        <v>2859</v>
      </c>
      <c r="J8585" s="30" t="s">
        <v>2860</v>
      </c>
      <c r="L8585" s="30" t="s">
        <v>2990</v>
      </c>
      <c r="N8585" s="30" t="s">
        <v>3042</v>
      </c>
      <c r="P8585" s="30" t="s">
        <v>15091</v>
      </c>
      <c r="Q8585" t="s">
        <v>621</v>
      </c>
      <c r="R8585" t="s">
        <v>917</v>
      </c>
      <c r="S8585">
        <v>39</v>
      </c>
      <c r="T8585" s="29" t="str">
        <f>HYPERLINK("https://ictv.global/ictv/proposals/2023.001B.Leviviricetes_reorg.zip","2023.001B.Leviviricetes_reorg.zip")</f>
        <v>2023.001B.Leviviricetes_reorg.zip</v>
      </c>
      <c r="U8585" s="29" t="str">
        <f>HYPERLINK("https://ictv.global/taxonomy/taxondetails?taxnode_id=202316257","ictv.global=202316257")</f>
        <v>ictv.global=202316257</v>
      </c>
    </row>
    <row r="8586" spans="1:21">
      <c r="A8586">
        <v>8585</v>
      </c>
      <c r="B8586" s="30" t="s">
        <v>1226</v>
      </c>
      <c r="D8586" s="30" t="s">
        <v>2024</v>
      </c>
      <c r="F8586" s="30" t="s">
        <v>2046</v>
      </c>
      <c r="H8586" s="30" t="s">
        <v>2859</v>
      </c>
      <c r="J8586" s="30" t="s">
        <v>2860</v>
      </c>
      <c r="L8586" s="30" t="s">
        <v>2990</v>
      </c>
      <c r="N8586" s="30" t="s">
        <v>3049</v>
      </c>
      <c r="P8586" s="30" t="s">
        <v>3050</v>
      </c>
      <c r="Q8586" t="s">
        <v>621</v>
      </c>
      <c r="R8586" t="s">
        <v>917</v>
      </c>
      <c r="S8586">
        <v>36</v>
      </c>
      <c r="T8586" s="29" t="str">
        <f>HYPERLINK("https://ictv.global/ictv/proposals/2020.095B.R.Leviviricetes.zip","2020.095B.R.Leviviricetes.zip")</f>
        <v>2020.095B.R.Leviviricetes.zip</v>
      </c>
      <c r="U8586" s="29" t="str">
        <f>HYPERLINK("https://ictv.global/taxonomy/taxondetails?taxnode_id=202310303","ictv.global=202310303")</f>
        <v>ictv.global=202310303</v>
      </c>
    </row>
    <row r="8587" spans="1:21">
      <c r="A8587">
        <v>8586</v>
      </c>
      <c r="B8587" s="30" t="s">
        <v>1226</v>
      </c>
      <c r="D8587" s="30" t="s">
        <v>2024</v>
      </c>
      <c r="F8587" s="30" t="s">
        <v>2046</v>
      </c>
      <c r="H8587" s="30" t="s">
        <v>2859</v>
      </c>
      <c r="J8587" s="30" t="s">
        <v>2860</v>
      </c>
      <c r="L8587" s="30" t="s">
        <v>2990</v>
      </c>
      <c r="N8587" s="30" t="s">
        <v>3051</v>
      </c>
      <c r="P8587" s="30" t="s">
        <v>3052</v>
      </c>
      <c r="Q8587" t="s">
        <v>621</v>
      </c>
      <c r="R8587" t="s">
        <v>917</v>
      </c>
      <c r="S8587">
        <v>36</v>
      </c>
      <c r="T8587" s="29" t="str">
        <f>HYPERLINK("https://ictv.global/ictv/proposals/2020.095B.R.Leviviricetes.zip","2020.095B.R.Leviviricetes.zip")</f>
        <v>2020.095B.R.Leviviricetes.zip</v>
      </c>
      <c r="U8587" s="29" t="str">
        <f>HYPERLINK("https://ictv.global/taxonomy/taxondetails?taxnode_id=202310305","ictv.global=202310305")</f>
        <v>ictv.global=202310305</v>
      </c>
    </row>
    <row r="8588" spans="1:21">
      <c r="A8588">
        <v>8587</v>
      </c>
      <c r="B8588" s="30" t="s">
        <v>1226</v>
      </c>
      <c r="D8588" s="30" t="s">
        <v>2024</v>
      </c>
      <c r="F8588" s="30" t="s">
        <v>2046</v>
      </c>
      <c r="H8588" s="30" t="s">
        <v>2859</v>
      </c>
      <c r="J8588" s="30" t="s">
        <v>2860</v>
      </c>
      <c r="L8588" s="30" t="s">
        <v>2990</v>
      </c>
      <c r="N8588" s="30" t="s">
        <v>3053</v>
      </c>
      <c r="P8588" s="30" t="s">
        <v>3054</v>
      </c>
      <c r="Q8588" t="s">
        <v>621</v>
      </c>
      <c r="R8588" t="s">
        <v>917</v>
      </c>
      <c r="S8588">
        <v>36</v>
      </c>
      <c r="T8588" s="29" t="str">
        <f>HYPERLINK("https://ictv.global/ictv/proposals/2020.095B.R.Leviviricetes.zip","2020.095B.R.Leviviricetes.zip")</f>
        <v>2020.095B.R.Leviviricetes.zip</v>
      </c>
      <c r="U8588" s="29" t="str">
        <f>HYPERLINK("https://ictv.global/taxonomy/taxondetails?taxnode_id=202310307","ictv.global=202310307")</f>
        <v>ictv.global=202310307</v>
      </c>
    </row>
    <row r="8589" spans="1:21">
      <c r="A8589">
        <v>8588</v>
      </c>
      <c r="B8589" s="30" t="s">
        <v>1226</v>
      </c>
      <c r="D8589" s="30" t="s">
        <v>2024</v>
      </c>
      <c r="F8589" s="30" t="s">
        <v>2046</v>
      </c>
      <c r="H8589" s="30" t="s">
        <v>2859</v>
      </c>
      <c r="J8589" s="30" t="s">
        <v>2860</v>
      </c>
      <c r="L8589" s="30" t="s">
        <v>2990</v>
      </c>
      <c r="N8589" s="30" t="s">
        <v>3055</v>
      </c>
      <c r="P8589" s="30" t="s">
        <v>3056</v>
      </c>
      <c r="Q8589" t="s">
        <v>621</v>
      </c>
      <c r="R8589" t="s">
        <v>917</v>
      </c>
      <c r="S8589">
        <v>36</v>
      </c>
      <c r="T8589" s="29" t="str">
        <f>HYPERLINK("https://ictv.global/ictv/proposals/2020.095B.R.Leviviricetes.zip","2020.095B.R.Leviviricetes.zip")</f>
        <v>2020.095B.R.Leviviricetes.zip</v>
      </c>
      <c r="U8589" s="29" t="str">
        <f>HYPERLINK("https://ictv.global/taxonomy/taxondetails?taxnode_id=202310309","ictv.global=202310309")</f>
        <v>ictv.global=202310309</v>
      </c>
    </row>
    <row r="8590" spans="1:21">
      <c r="A8590">
        <v>8589</v>
      </c>
      <c r="B8590" s="30" t="s">
        <v>1226</v>
      </c>
      <c r="D8590" s="30" t="s">
        <v>2024</v>
      </c>
      <c r="F8590" s="30" t="s">
        <v>2046</v>
      </c>
      <c r="H8590" s="30" t="s">
        <v>2859</v>
      </c>
      <c r="J8590" s="30" t="s">
        <v>2860</v>
      </c>
      <c r="L8590" s="30" t="s">
        <v>2990</v>
      </c>
      <c r="N8590" s="30" t="s">
        <v>3055</v>
      </c>
      <c r="P8590" s="30" t="s">
        <v>15092</v>
      </c>
      <c r="Q8590" t="s">
        <v>621</v>
      </c>
      <c r="R8590" t="s">
        <v>917</v>
      </c>
      <c r="S8590">
        <v>39</v>
      </c>
      <c r="T8590" s="29" t="str">
        <f>HYPERLINK("https://ictv.global/ictv/proposals/2023.001B.Leviviricetes_reorg.zip","2023.001B.Leviviricetes_reorg.zip")</f>
        <v>2023.001B.Leviviricetes_reorg.zip</v>
      </c>
      <c r="U8590" s="29" t="str">
        <f>HYPERLINK("https://ictv.global/taxonomy/taxondetails?taxnode_id=202316258","ictv.global=202316258")</f>
        <v>ictv.global=202316258</v>
      </c>
    </row>
    <row r="8591" spans="1:21">
      <c r="A8591">
        <v>8590</v>
      </c>
      <c r="B8591" s="30" t="s">
        <v>1226</v>
      </c>
      <c r="D8591" s="30" t="s">
        <v>2024</v>
      </c>
      <c r="F8591" s="30" t="s">
        <v>2046</v>
      </c>
      <c r="H8591" s="30" t="s">
        <v>2859</v>
      </c>
      <c r="J8591" s="30" t="s">
        <v>2860</v>
      </c>
      <c r="L8591" s="30" t="s">
        <v>2990</v>
      </c>
      <c r="N8591" s="30" t="s">
        <v>3057</v>
      </c>
      <c r="P8591" s="30" t="s">
        <v>15093</v>
      </c>
      <c r="Q8591" t="s">
        <v>621</v>
      </c>
      <c r="R8591" t="s">
        <v>917</v>
      </c>
      <c r="S8591">
        <v>39</v>
      </c>
      <c r="T8591" s="29" t="str">
        <f>HYPERLINK("https://ictv.global/ictv/proposals/2023.001B.Leviviricetes_reorg.zip","2023.001B.Leviviricetes_reorg.zip")</f>
        <v>2023.001B.Leviviricetes_reorg.zip</v>
      </c>
      <c r="U8591" s="29" t="str">
        <f>HYPERLINK("https://ictv.global/taxonomy/taxondetails?taxnode_id=202316259","ictv.global=202316259")</f>
        <v>ictv.global=202316259</v>
      </c>
    </row>
    <row r="8592" spans="1:21">
      <c r="A8592">
        <v>8591</v>
      </c>
      <c r="B8592" s="30" t="s">
        <v>1226</v>
      </c>
      <c r="D8592" s="30" t="s">
        <v>2024</v>
      </c>
      <c r="F8592" s="30" t="s">
        <v>2046</v>
      </c>
      <c r="H8592" s="30" t="s">
        <v>2859</v>
      </c>
      <c r="J8592" s="30" t="s">
        <v>2860</v>
      </c>
      <c r="L8592" s="30" t="s">
        <v>2990</v>
      </c>
      <c r="N8592" s="30" t="s">
        <v>3057</v>
      </c>
      <c r="P8592" s="30" t="s">
        <v>15094</v>
      </c>
      <c r="Q8592" t="s">
        <v>621</v>
      </c>
      <c r="R8592" t="s">
        <v>917</v>
      </c>
      <c r="S8592">
        <v>39</v>
      </c>
      <c r="T8592" s="29" t="str">
        <f>HYPERLINK("https://ictv.global/ictv/proposals/2023.001B.Leviviricetes_reorg.zip","2023.001B.Leviviricetes_reorg.zip")</f>
        <v>2023.001B.Leviviricetes_reorg.zip</v>
      </c>
      <c r="U8592" s="29" t="str">
        <f>HYPERLINK("https://ictv.global/taxonomy/taxondetails?taxnode_id=202316260","ictv.global=202316260")</f>
        <v>ictv.global=202316260</v>
      </c>
    </row>
    <row r="8593" spans="1:21">
      <c r="A8593">
        <v>8592</v>
      </c>
      <c r="B8593" s="30" t="s">
        <v>1226</v>
      </c>
      <c r="D8593" s="30" t="s">
        <v>2024</v>
      </c>
      <c r="F8593" s="30" t="s">
        <v>2046</v>
      </c>
      <c r="H8593" s="30" t="s">
        <v>2859</v>
      </c>
      <c r="J8593" s="30" t="s">
        <v>2860</v>
      </c>
      <c r="L8593" s="30" t="s">
        <v>2990</v>
      </c>
      <c r="N8593" s="30" t="s">
        <v>3057</v>
      </c>
      <c r="P8593" s="30" t="s">
        <v>15095</v>
      </c>
      <c r="Q8593" t="s">
        <v>621</v>
      </c>
      <c r="R8593" t="s">
        <v>917</v>
      </c>
      <c r="S8593">
        <v>39</v>
      </c>
      <c r="T8593" s="29" t="str">
        <f>HYPERLINK("https://ictv.global/ictv/proposals/2023.001B.Leviviricetes_reorg.zip","2023.001B.Leviviricetes_reorg.zip")</f>
        <v>2023.001B.Leviviricetes_reorg.zip</v>
      </c>
      <c r="U8593" s="29" t="str">
        <f>HYPERLINK("https://ictv.global/taxonomy/taxondetails?taxnode_id=202316261","ictv.global=202316261")</f>
        <v>ictv.global=202316261</v>
      </c>
    </row>
    <row r="8594" spans="1:21">
      <c r="A8594">
        <v>8593</v>
      </c>
      <c r="B8594" s="30" t="s">
        <v>1226</v>
      </c>
      <c r="D8594" s="30" t="s">
        <v>2024</v>
      </c>
      <c r="F8594" s="30" t="s">
        <v>2046</v>
      </c>
      <c r="H8594" s="30" t="s">
        <v>2859</v>
      </c>
      <c r="J8594" s="30" t="s">
        <v>2860</v>
      </c>
      <c r="L8594" s="30" t="s">
        <v>2990</v>
      </c>
      <c r="N8594" s="30" t="s">
        <v>3057</v>
      </c>
      <c r="P8594" s="30" t="s">
        <v>3058</v>
      </c>
      <c r="Q8594" t="s">
        <v>621</v>
      </c>
      <c r="R8594" t="s">
        <v>917</v>
      </c>
      <c r="S8594">
        <v>36</v>
      </c>
      <c r="T8594" s="29" t="str">
        <f>HYPERLINK("https://ictv.global/ictv/proposals/2020.095B.R.Leviviricetes.zip","2020.095B.R.Leviviricetes.zip")</f>
        <v>2020.095B.R.Leviviricetes.zip</v>
      </c>
      <c r="U8594" s="29" t="str">
        <f>HYPERLINK("https://ictv.global/taxonomy/taxondetails?taxnode_id=202310325","ictv.global=202310325")</f>
        <v>ictv.global=202310325</v>
      </c>
    </row>
    <row r="8595" spans="1:21">
      <c r="A8595">
        <v>8594</v>
      </c>
      <c r="B8595" s="30" t="s">
        <v>1226</v>
      </c>
      <c r="D8595" s="30" t="s">
        <v>2024</v>
      </c>
      <c r="F8595" s="30" t="s">
        <v>2046</v>
      </c>
      <c r="H8595" s="30" t="s">
        <v>2859</v>
      </c>
      <c r="J8595" s="30" t="s">
        <v>2860</v>
      </c>
      <c r="L8595" s="30" t="s">
        <v>2990</v>
      </c>
      <c r="N8595" s="30" t="s">
        <v>3059</v>
      </c>
      <c r="P8595" s="30" t="s">
        <v>3060</v>
      </c>
      <c r="Q8595" t="s">
        <v>621</v>
      </c>
      <c r="R8595" t="s">
        <v>917</v>
      </c>
      <c r="S8595">
        <v>36</v>
      </c>
      <c r="T8595" s="29" t="str">
        <f>HYPERLINK("https://ictv.global/ictv/proposals/2020.095B.R.Leviviricetes.zip","2020.095B.R.Leviviricetes.zip")</f>
        <v>2020.095B.R.Leviviricetes.zip</v>
      </c>
      <c r="U8595" s="29" t="str">
        <f>HYPERLINK("https://ictv.global/taxonomy/taxondetails?taxnode_id=202310327","ictv.global=202310327")</f>
        <v>ictv.global=202310327</v>
      </c>
    </row>
    <row r="8596" spans="1:21">
      <c r="A8596">
        <v>8595</v>
      </c>
      <c r="B8596" s="30" t="s">
        <v>1226</v>
      </c>
      <c r="D8596" s="30" t="s">
        <v>2024</v>
      </c>
      <c r="F8596" s="30" t="s">
        <v>2046</v>
      </c>
      <c r="H8596" s="30" t="s">
        <v>2859</v>
      </c>
      <c r="J8596" s="30" t="s">
        <v>2860</v>
      </c>
      <c r="L8596" s="30" t="s">
        <v>2990</v>
      </c>
      <c r="N8596" s="30" t="s">
        <v>3061</v>
      </c>
      <c r="P8596" s="30" t="s">
        <v>3062</v>
      </c>
      <c r="Q8596" t="s">
        <v>621</v>
      </c>
      <c r="R8596" t="s">
        <v>917</v>
      </c>
      <c r="S8596">
        <v>36</v>
      </c>
      <c r="T8596" s="29" t="str">
        <f>HYPERLINK("https://ictv.global/ictv/proposals/2020.095B.R.Leviviricetes.zip","2020.095B.R.Leviviricetes.zip")</f>
        <v>2020.095B.R.Leviviricetes.zip</v>
      </c>
      <c r="U8596" s="29" t="str">
        <f>HYPERLINK("https://ictv.global/taxonomy/taxondetails?taxnode_id=202310329","ictv.global=202310329")</f>
        <v>ictv.global=202310329</v>
      </c>
    </row>
    <row r="8597" spans="1:21">
      <c r="A8597">
        <v>8596</v>
      </c>
      <c r="B8597" s="30" t="s">
        <v>1226</v>
      </c>
      <c r="D8597" s="30" t="s">
        <v>2024</v>
      </c>
      <c r="F8597" s="30" t="s">
        <v>2046</v>
      </c>
      <c r="H8597" s="30" t="s">
        <v>2859</v>
      </c>
      <c r="J8597" s="30" t="s">
        <v>2860</v>
      </c>
      <c r="L8597" s="30" t="s">
        <v>2990</v>
      </c>
      <c r="N8597" s="30" t="s">
        <v>3063</v>
      </c>
      <c r="P8597" s="30" t="s">
        <v>3064</v>
      </c>
      <c r="Q8597" t="s">
        <v>621</v>
      </c>
      <c r="R8597" t="s">
        <v>917</v>
      </c>
      <c r="S8597">
        <v>36</v>
      </c>
      <c r="T8597" s="29" t="str">
        <f>HYPERLINK("https://ictv.global/ictv/proposals/2020.095B.R.Leviviricetes.zip","2020.095B.R.Leviviricetes.zip")</f>
        <v>2020.095B.R.Leviviricetes.zip</v>
      </c>
      <c r="U8597" s="29" t="str">
        <f>HYPERLINK("https://ictv.global/taxonomy/taxondetails?taxnode_id=202310331","ictv.global=202310331")</f>
        <v>ictv.global=202310331</v>
      </c>
    </row>
    <row r="8598" spans="1:21">
      <c r="A8598">
        <v>8597</v>
      </c>
      <c r="B8598" s="30" t="s">
        <v>1226</v>
      </c>
      <c r="D8598" s="30" t="s">
        <v>2024</v>
      </c>
      <c r="F8598" s="30" t="s">
        <v>2046</v>
      </c>
      <c r="H8598" s="30" t="s">
        <v>2859</v>
      </c>
      <c r="J8598" s="30" t="s">
        <v>2860</v>
      </c>
      <c r="L8598" s="30" t="s">
        <v>2990</v>
      </c>
      <c r="N8598" s="30" t="s">
        <v>3063</v>
      </c>
      <c r="P8598" s="30" t="s">
        <v>3065</v>
      </c>
      <c r="Q8598" t="s">
        <v>621</v>
      </c>
      <c r="R8598" t="s">
        <v>917</v>
      </c>
      <c r="S8598">
        <v>36</v>
      </c>
      <c r="T8598" s="29" t="str">
        <f>HYPERLINK("https://ictv.global/ictv/proposals/2020.095B.R.Leviviricetes.zip","2020.095B.R.Leviviricetes.zip")</f>
        <v>2020.095B.R.Leviviricetes.zip</v>
      </c>
      <c r="U8598" s="29" t="str">
        <f>HYPERLINK("https://ictv.global/taxonomy/taxondetails?taxnode_id=202310332","ictv.global=202310332")</f>
        <v>ictv.global=202310332</v>
      </c>
    </row>
    <row r="8599" spans="1:21">
      <c r="A8599">
        <v>8598</v>
      </c>
      <c r="B8599" s="30" t="s">
        <v>1226</v>
      </c>
      <c r="D8599" s="30" t="s">
        <v>2024</v>
      </c>
      <c r="F8599" s="30" t="s">
        <v>2046</v>
      </c>
      <c r="H8599" s="30" t="s">
        <v>2859</v>
      </c>
      <c r="J8599" s="30" t="s">
        <v>2860</v>
      </c>
      <c r="L8599" s="30" t="s">
        <v>2990</v>
      </c>
      <c r="N8599" s="30" t="s">
        <v>3063</v>
      </c>
      <c r="P8599" s="30" t="s">
        <v>15096</v>
      </c>
      <c r="Q8599" t="s">
        <v>621</v>
      </c>
      <c r="R8599" t="s">
        <v>917</v>
      </c>
      <c r="S8599">
        <v>39</v>
      </c>
      <c r="T8599" s="29" t="str">
        <f>HYPERLINK("https://ictv.global/ictv/proposals/2023.001B.Leviviricetes_reorg.zip","2023.001B.Leviviricetes_reorg.zip")</f>
        <v>2023.001B.Leviviricetes_reorg.zip</v>
      </c>
      <c r="U8599" s="29" t="str">
        <f>HYPERLINK("https://ictv.global/taxonomy/taxondetails?taxnode_id=202316262","ictv.global=202316262")</f>
        <v>ictv.global=202316262</v>
      </c>
    </row>
    <row r="8600" spans="1:21">
      <c r="A8600">
        <v>8599</v>
      </c>
      <c r="B8600" s="30" t="s">
        <v>1226</v>
      </c>
      <c r="D8600" s="30" t="s">
        <v>2024</v>
      </c>
      <c r="F8600" s="30" t="s">
        <v>2046</v>
      </c>
      <c r="H8600" s="30" t="s">
        <v>2859</v>
      </c>
      <c r="J8600" s="30" t="s">
        <v>2860</v>
      </c>
      <c r="L8600" s="30" t="s">
        <v>2990</v>
      </c>
      <c r="N8600" s="30" t="s">
        <v>3066</v>
      </c>
      <c r="P8600" s="30" t="s">
        <v>3067</v>
      </c>
      <c r="Q8600" t="s">
        <v>621</v>
      </c>
      <c r="R8600" t="s">
        <v>917</v>
      </c>
      <c r="S8600">
        <v>36</v>
      </c>
      <c r="T8600" s="29" t="str">
        <f>HYPERLINK("https://ictv.global/ictv/proposals/2020.095B.R.Leviviricetes.zip","2020.095B.R.Leviviricetes.zip")</f>
        <v>2020.095B.R.Leviviricetes.zip</v>
      </c>
      <c r="U8600" s="29" t="str">
        <f>HYPERLINK("https://ictv.global/taxonomy/taxondetails?taxnode_id=202310338","ictv.global=202310338")</f>
        <v>ictv.global=202310338</v>
      </c>
    </row>
    <row r="8601" spans="1:21">
      <c r="A8601">
        <v>8600</v>
      </c>
      <c r="B8601" s="30" t="s">
        <v>1226</v>
      </c>
      <c r="D8601" s="30" t="s">
        <v>2024</v>
      </c>
      <c r="F8601" s="30" t="s">
        <v>2046</v>
      </c>
      <c r="H8601" s="30" t="s">
        <v>2859</v>
      </c>
      <c r="J8601" s="30" t="s">
        <v>2860</v>
      </c>
      <c r="L8601" s="30" t="s">
        <v>2990</v>
      </c>
      <c r="N8601" s="30" t="s">
        <v>3068</v>
      </c>
      <c r="P8601" s="30" t="s">
        <v>3069</v>
      </c>
      <c r="Q8601" t="s">
        <v>621</v>
      </c>
      <c r="R8601" t="s">
        <v>917</v>
      </c>
      <c r="S8601">
        <v>36</v>
      </c>
      <c r="T8601" s="29" t="str">
        <f>HYPERLINK("https://ictv.global/ictv/proposals/2020.095B.R.Leviviricetes.zip","2020.095B.R.Leviviricetes.zip")</f>
        <v>2020.095B.R.Leviviricetes.zip</v>
      </c>
      <c r="U8601" s="29" t="str">
        <f>HYPERLINK("https://ictv.global/taxonomy/taxondetails?taxnode_id=202310340","ictv.global=202310340")</f>
        <v>ictv.global=202310340</v>
      </c>
    </row>
    <row r="8602" spans="1:21">
      <c r="A8602">
        <v>8601</v>
      </c>
      <c r="B8602" s="30" t="s">
        <v>1226</v>
      </c>
      <c r="D8602" s="30" t="s">
        <v>2024</v>
      </c>
      <c r="F8602" s="30" t="s">
        <v>2046</v>
      </c>
      <c r="H8602" s="30" t="s">
        <v>2859</v>
      </c>
      <c r="J8602" s="30" t="s">
        <v>2860</v>
      </c>
      <c r="L8602" s="30" t="s">
        <v>2990</v>
      </c>
      <c r="N8602" s="30" t="s">
        <v>3070</v>
      </c>
      <c r="P8602" s="30" t="s">
        <v>3071</v>
      </c>
      <c r="Q8602" t="s">
        <v>621</v>
      </c>
      <c r="R8602" t="s">
        <v>917</v>
      </c>
      <c r="S8602">
        <v>36</v>
      </c>
      <c r="T8602" s="29" t="str">
        <f>HYPERLINK("https://ictv.global/ictv/proposals/2020.095B.R.Leviviricetes.zip","2020.095B.R.Leviviricetes.zip")</f>
        <v>2020.095B.R.Leviviricetes.zip</v>
      </c>
      <c r="U8602" s="29" t="str">
        <f>HYPERLINK("https://ictv.global/taxonomy/taxondetails?taxnode_id=202310342","ictv.global=202310342")</f>
        <v>ictv.global=202310342</v>
      </c>
    </row>
    <row r="8603" spans="1:21">
      <c r="A8603">
        <v>8602</v>
      </c>
      <c r="B8603" s="30" t="s">
        <v>1226</v>
      </c>
      <c r="D8603" s="30" t="s">
        <v>2024</v>
      </c>
      <c r="F8603" s="30" t="s">
        <v>2046</v>
      </c>
      <c r="H8603" s="30" t="s">
        <v>2859</v>
      </c>
      <c r="J8603" s="30" t="s">
        <v>2860</v>
      </c>
      <c r="L8603" s="30" t="s">
        <v>2990</v>
      </c>
      <c r="N8603" s="30" t="s">
        <v>3072</v>
      </c>
      <c r="P8603" s="30" t="s">
        <v>3073</v>
      </c>
      <c r="Q8603" t="s">
        <v>621</v>
      </c>
      <c r="R8603" t="s">
        <v>917</v>
      </c>
      <c r="S8603">
        <v>36</v>
      </c>
      <c r="T8603" s="29" t="str">
        <f>HYPERLINK("https://ictv.global/ictv/proposals/2020.095B.R.Leviviricetes.zip","2020.095B.R.Leviviricetes.zip")</f>
        <v>2020.095B.R.Leviviricetes.zip</v>
      </c>
      <c r="U8603" s="29" t="str">
        <f>HYPERLINK("https://ictv.global/taxonomy/taxondetails?taxnode_id=202310344","ictv.global=202310344")</f>
        <v>ictv.global=202310344</v>
      </c>
    </row>
    <row r="8604" spans="1:21">
      <c r="A8604">
        <v>8603</v>
      </c>
      <c r="B8604" s="30" t="s">
        <v>1226</v>
      </c>
      <c r="D8604" s="30" t="s">
        <v>2024</v>
      </c>
      <c r="F8604" s="30" t="s">
        <v>2046</v>
      </c>
      <c r="H8604" s="30" t="s">
        <v>2859</v>
      </c>
      <c r="J8604" s="30" t="s">
        <v>2860</v>
      </c>
      <c r="L8604" s="30" t="s">
        <v>2990</v>
      </c>
      <c r="N8604" s="30" t="s">
        <v>15097</v>
      </c>
      <c r="P8604" s="30" t="s">
        <v>15098</v>
      </c>
      <c r="Q8604" t="s">
        <v>621</v>
      </c>
      <c r="R8604" t="s">
        <v>918</v>
      </c>
      <c r="S8604">
        <v>39</v>
      </c>
      <c r="T8604" s="29" t="str">
        <f>HYPERLINK("https://ictv.global/ictv/proposals/2023.001B.Leviviricetes_reorg.zip","2023.001B.Leviviricetes_reorg.zip")</f>
        <v>2023.001B.Leviviricetes_reorg.zip</v>
      </c>
      <c r="U8604" s="29" t="str">
        <f>HYPERLINK("https://ictv.global/taxonomy/taxondetails?taxnode_id=202310322","ictv.global=202310322")</f>
        <v>ictv.global=202310322</v>
      </c>
    </row>
    <row r="8605" spans="1:21">
      <c r="A8605">
        <v>8604</v>
      </c>
      <c r="B8605" s="30" t="s">
        <v>1226</v>
      </c>
      <c r="D8605" s="30" t="s">
        <v>2024</v>
      </c>
      <c r="F8605" s="30" t="s">
        <v>2046</v>
      </c>
      <c r="H8605" s="30" t="s">
        <v>2859</v>
      </c>
      <c r="J8605" s="30" t="s">
        <v>2860</v>
      </c>
      <c r="L8605" s="30" t="s">
        <v>2990</v>
      </c>
      <c r="N8605" s="30" t="s">
        <v>15099</v>
      </c>
      <c r="P8605" s="30" t="s">
        <v>15100</v>
      </c>
      <c r="Q8605" t="s">
        <v>621</v>
      </c>
      <c r="R8605" t="s">
        <v>918</v>
      </c>
      <c r="S8605">
        <v>39</v>
      </c>
      <c r="T8605" s="29" t="str">
        <f>HYPERLINK("https://ictv.global/ictv/proposals/2023.001B.Leviviricetes_reorg.zip","2023.001B.Leviviricetes_reorg.zip")</f>
        <v>2023.001B.Leviviricetes_reorg.zip</v>
      </c>
      <c r="U8605" s="29" t="str">
        <f>HYPERLINK("https://ictv.global/taxonomy/taxondetails?taxnode_id=202310562","ictv.global=202310562")</f>
        <v>ictv.global=202310562</v>
      </c>
    </row>
    <row r="8606" spans="1:21">
      <c r="A8606">
        <v>8605</v>
      </c>
      <c r="B8606" s="30" t="s">
        <v>1226</v>
      </c>
      <c r="D8606" s="30" t="s">
        <v>2024</v>
      </c>
      <c r="F8606" s="30" t="s">
        <v>2046</v>
      </c>
      <c r="H8606" s="30" t="s">
        <v>2859</v>
      </c>
      <c r="J8606" s="30" t="s">
        <v>2860</v>
      </c>
      <c r="L8606" s="30" t="s">
        <v>2990</v>
      </c>
      <c r="N8606" s="30" t="s">
        <v>3074</v>
      </c>
      <c r="P8606" s="30" t="s">
        <v>15101</v>
      </c>
      <c r="Q8606" t="s">
        <v>621</v>
      </c>
      <c r="R8606" t="s">
        <v>917</v>
      </c>
      <c r="S8606">
        <v>39</v>
      </c>
      <c r="T8606" s="29" t="str">
        <f>HYPERLINK("https://ictv.global/ictv/proposals/2023.001B.Leviviricetes_reorg.zip","2023.001B.Leviviricetes_reorg.zip")</f>
        <v>2023.001B.Leviviricetes_reorg.zip</v>
      </c>
      <c r="U8606" s="29" t="str">
        <f>HYPERLINK("https://ictv.global/taxonomy/taxondetails?taxnode_id=202316263","ictv.global=202316263")</f>
        <v>ictv.global=202316263</v>
      </c>
    </row>
    <row r="8607" spans="1:21">
      <c r="A8607">
        <v>8606</v>
      </c>
      <c r="B8607" s="30" t="s">
        <v>1226</v>
      </c>
      <c r="D8607" s="30" t="s">
        <v>2024</v>
      </c>
      <c r="F8607" s="30" t="s">
        <v>2046</v>
      </c>
      <c r="H8607" s="30" t="s">
        <v>2859</v>
      </c>
      <c r="J8607" s="30" t="s">
        <v>2860</v>
      </c>
      <c r="L8607" s="30" t="s">
        <v>2990</v>
      </c>
      <c r="N8607" s="30" t="s">
        <v>3074</v>
      </c>
      <c r="P8607" s="30" t="s">
        <v>3075</v>
      </c>
      <c r="Q8607" t="s">
        <v>621</v>
      </c>
      <c r="R8607" t="s">
        <v>917</v>
      </c>
      <c r="S8607">
        <v>36</v>
      </c>
      <c r="T8607" s="29" t="str">
        <f>HYPERLINK("https://ictv.global/ictv/proposals/2020.095B.R.Leviviricetes.zip","2020.095B.R.Leviviricetes.zip")</f>
        <v>2020.095B.R.Leviviricetes.zip</v>
      </c>
      <c r="U8607" s="29" t="str">
        <f>HYPERLINK("https://ictv.global/taxonomy/taxondetails?taxnode_id=202310346","ictv.global=202310346")</f>
        <v>ictv.global=202310346</v>
      </c>
    </row>
    <row r="8608" spans="1:21">
      <c r="A8608">
        <v>8607</v>
      </c>
      <c r="B8608" s="30" t="s">
        <v>1226</v>
      </c>
      <c r="D8608" s="30" t="s">
        <v>2024</v>
      </c>
      <c r="F8608" s="30" t="s">
        <v>2046</v>
      </c>
      <c r="H8608" s="30" t="s">
        <v>2859</v>
      </c>
      <c r="J8608" s="30" t="s">
        <v>2860</v>
      </c>
      <c r="L8608" s="30" t="s">
        <v>2990</v>
      </c>
      <c r="N8608" s="30" t="s">
        <v>3074</v>
      </c>
      <c r="P8608" s="30" t="s">
        <v>15102</v>
      </c>
      <c r="Q8608" t="s">
        <v>621</v>
      </c>
      <c r="R8608" t="s">
        <v>917</v>
      </c>
      <c r="S8608">
        <v>39</v>
      </c>
      <c r="T8608" s="29" t="str">
        <f>HYPERLINK("https://ictv.global/ictv/proposals/2023.001B.Leviviricetes_reorg.zip","2023.001B.Leviviricetes_reorg.zip")</f>
        <v>2023.001B.Leviviricetes_reorg.zip</v>
      </c>
      <c r="U8608" s="29" t="str">
        <f>HYPERLINK("https://ictv.global/taxonomy/taxondetails?taxnode_id=202316264","ictv.global=202316264")</f>
        <v>ictv.global=202316264</v>
      </c>
    </row>
    <row r="8609" spans="1:21">
      <c r="A8609">
        <v>8608</v>
      </c>
      <c r="B8609" s="30" t="s">
        <v>1226</v>
      </c>
      <c r="D8609" s="30" t="s">
        <v>2024</v>
      </c>
      <c r="F8609" s="30" t="s">
        <v>2046</v>
      </c>
      <c r="H8609" s="30" t="s">
        <v>2859</v>
      </c>
      <c r="J8609" s="30" t="s">
        <v>2860</v>
      </c>
      <c r="L8609" s="30" t="s">
        <v>2990</v>
      </c>
      <c r="N8609" s="30" t="s">
        <v>15103</v>
      </c>
      <c r="P8609" s="30" t="s">
        <v>15104</v>
      </c>
      <c r="Q8609" t="s">
        <v>621</v>
      </c>
      <c r="R8609" t="s">
        <v>918</v>
      </c>
      <c r="S8609">
        <v>39</v>
      </c>
      <c r="T8609" s="29" t="str">
        <f>HYPERLINK("https://ictv.global/ictv/proposals/2023.001B.Leviviricetes_reorg.zip","2023.001B.Leviviricetes_reorg.zip")</f>
        <v>2023.001B.Leviviricetes_reorg.zip</v>
      </c>
      <c r="U8609" s="29" t="str">
        <f>HYPERLINK("https://ictv.global/taxonomy/taxondetails?taxnode_id=202310600","ictv.global=202310600")</f>
        <v>ictv.global=202310600</v>
      </c>
    </row>
    <row r="8610" spans="1:21">
      <c r="A8610">
        <v>8609</v>
      </c>
      <c r="B8610" s="30" t="s">
        <v>1226</v>
      </c>
      <c r="D8610" s="30" t="s">
        <v>2024</v>
      </c>
      <c r="F8610" s="30" t="s">
        <v>2046</v>
      </c>
      <c r="H8610" s="30" t="s">
        <v>2859</v>
      </c>
      <c r="J8610" s="30" t="s">
        <v>2860</v>
      </c>
      <c r="L8610" s="30" t="s">
        <v>2990</v>
      </c>
      <c r="N8610" s="30" t="s">
        <v>15105</v>
      </c>
      <c r="P8610" s="30" t="s">
        <v>15106</v>
      </c>
      <c r="Q8610" t="s">
        <v>621</v>
      </c>
      <c r="R8610" t="s">
        <v>918</v>
      </c>
      <c r="S8610">
        <v>39</v>
      </c>
      <c r="T8610" s="29" t="str">
        <f>HYPERLINK("https://ictv.global/ictv/proposals/2023.001B.Leviviricetes_reorg.zip","2023.001B.Leviviricetes_reorg.zip")</f>
        <v>2023.001B.Leviviricetes_reorg.zip</v>
      </c>
      <c r="U8610" s="29" t="str">
        <f>HYPERLINK("https://ictv.global/taxonomy/taxondetails?taxnode_id=202310497","ictv.global=202310497")</f>
        <v>ictv.global=202310497</v>
      </c>
    </row>
    <row r="8611" spans="1:21">
      <c r="A8611">
        <v>8610</v>
      </c>
      <c r="B8611" s="30" t="s">
        <v>1226</v>
      </c>
      <c r="D8611" s="30" t="s">
        <v>2024</v>
      </c>
      <c r="F8611" s="30" t="s">
        <v>2046</v>
      </c>
      <c r="H8611" s="30" t="s">
        <v>2859</v>
      </c>
      <c r="J8611" s="30" t="s">
        <v>2860</v>
      </c>
      <c r="L8611" s="30" t="s">
        <v>2990</v>
      </c>
      <c r="N8611" s="30" t="s">
        <v>15105</v>
      </c>
      <c r="P8611" s="30" t="s">
        <v>15107</v>
      </c>
      <c r="Q8611" t="s">
        <v>621</v>
      </c>
      <c r="R8611" t="s">
        <v>918</v>
      </c>
      <c r="S8611">
        <v>39</v>
      </c>
      <c r="T8611" s="29" t="str">
        <f>HYPERLINK("https://ictv.global/ictv/proposals/2023.001B.Leviviricetes_reorg.zip","2023.001B.Leviviricetes_reorg.zip")</f>
        <v>2023.001B.Leviviricetes_reorg.zip</v>
      </c>
      <c r="U8611" s="29" t="str">
        <f>HYPERLINK("https://ictv.global/taxonomy/taxondetails?taxnode_id=202310498","ictv.global=202310498")</f>
        <v>ictv.global=202310498</v>
      </c>
    </row>
    <row r="8612" spans="1:21">
      <c r="A8612">
        <v>8611</v>
      </c>
      <c r="B8612" s="30" t="s">
        <v>1226</v>
      </c>
      <c r="D8612" s="30" t="s">
        <v>2024</v>
      </c>
      <c r="F8612" s="30" t="s">
        <v>2046</v>
      </c>
      <c r="H8612" s="30" t="s">
        <v>2859</v>
      </c>
      <c r="J8612" s="30" t="s">
        <v>2860</v>
      </c>
      <c r="L8612" s="30" t="s">
        <v>2990</v>
      </c>
      <c r="N8612" s="30" t="s">
        <v>3076</v>
      </c>
      <c r="P8612" s="30" t="s">
        <v>15108</v>
      </c>
      <c r="Q8612" t="s">
        <v>621</v>
      </c>
      <c r="R8612" t="s">
        <v>917</v>
      </c>
      <c r="S8612">
        <v>39</v>
      </c>
      <c r="T8612" s="29" t="str">
        <f>HYPERLINK("https://ictv.global/ictv/proposals/2023.001B.Leviviricetes_reorg.zip","2023.001B.Leviviricetes_reorg.zip")</f>
        <v>2023.001B.Leviviricetes_reorg.zip</v>
      </c>
      <c r="U8612" s="29" t="str">
        <f>HYPERLINK("https://ictv.global/taxonomy/taxondetails?taxnode_id=202316265","ictv.global=202316265")</f>
        <v>ictv.global=202316265</v>
      </c>
    </row>
    <row r="8613" spans="1:21">
      <c r="A8613">
        <v>8612</v>
      </c>
      <c r="B8613" s="30" t="s">
        <v>1226</v>
      </c>
      <c r="D8613" s="30" t="s">
        <v>2024</v>
      </c>
      <c r="F8613" s="30" t="s">
        <v>2046</v>
      </c>
      <c r="H8613" s="30" t="s">
        <v>2859</v>
      </c>
      <c r="J8613" s="30" t="s">
        <v>2860</v>
      </c>
      <c r="L8613" s="30" t="s">
        <v>2990</v>
      </c>
      <c r="N8613" s="30" t="s">
        <v>3076</v>
      </c>
      <c r="P8613" s="30" t="s">
        <v>3077</v>
      </c>
      <c r="Q8613" t="s">
        <v>621</v>
      </c>
      <c r="R8613" t="s">
        <v>917</v>
      </c>
      <c r="S8613">
        <v>36</v>
      </c>
      <c r="T8613" s="29" t="str">
        <f>HYPERLINK("https://ictv.global/ictv/proposals/2020.095B.R.Leviviricetes.zip","2020.095B.R.Leviviricetes.zip")</f>
        <v>2020.095B.R.Leviviricetes.zip</v>
      </c>
      <c r="U8613" s="29" t="str">
        <f>HYPERLINK("https://ictv.global/taxonomy/taxondetails?taxnode_id=202310348","ictv.global=202310348")</f>
        <v>ictv.global=202310348</v>
      </c>
    </row>
    <row r="8614" spans="1:21">
      <c r="A8614">
        <v>8613</v>
      </c>
      <c r="B8614" s="30" t="s">
        <v>1226</v>
      </c>
      <c r="D8614" s="30" t="s">
        <v>2024</v>
      </c>
      <c r="F8614" s="30" t="s">
        <v>2046</v>
      </c>
      <c r="H8614" s="30" t="s">
        <v>2859</v>
      </c>
      <c r="J8614" s="30" t="s">
        <v>2860</v>
      </c>
      <c r="L8614" s="30" t="s">
        <v>2990</v>
      </c>
      <c r="N8614" s="30" t="s">
        <v>15109</v>
      </c>
      <c r="P8614" s="30" t="s">
        <v>15110</v>
      </c>
      <c r="Q8614" t="s">
        <v>621</v>
      </c>
      <c r="R8614" t="s">
        <v>918</v>
      </c>
      <c r="S8614">
        <v>39</v>
      </c>
      <c r="T8614" s="29" t="str">
        <f t="shared" ref="T8614:T8624" si="366">HYPERLINK("https://ictv.global/ictv/proposals/2023.001B.Leviviricetes_reorg.zip","2023.001B.Leviviricetes_reorg.zip")</f>
        <v>2023.001B.Leviviricetes_reorg.zip</v>
      </c>
      <c r="U8614" s="29" t="str">
        <f>HYPERLINK("https://ictv.global/taxonomy/taxondetails?taxnode_id=202310617","ictv.global=202310617")</f>
        <v>ictv.global=202310617</v>
      </c>
    </row>
    <row r="8615" spans="1:21">
      <c r="A8615">
        <v>8614</v>
      </c>
      <c r="B8615" s="30" t="s">
        <v>1226</v>
      </c>
      <c r="D8615" s="30" t="s">
        <v>2024</v>
      </c>
      <c r="F8615" s="30" t="s">
        <v>2046</v>
      </c>
      <c r="H8615" s="30" t="s">
        <v>2859</v>
      </c>
      <c r="J8615" s="30" t="s">
        <v>2860</v>
      </c>
      <c r="L8615" s="30" t="s">
        <v>2990</v>
      </c>
      <c r="N8615" s="30" t="s">
        <v>15111</v>
      </c>
      <c r="P8615" s="30" t="s">
        <v>15112</v>
      </c>
      <c r="Q8615" t="s">
        <v>621</v>
      </c>
      <c r="R8615" t="s">
        <v>918</v>
      </c>
      <c r="S8615">
        <v>39</v>
      </c>
      <c r="T8615" s="29" t="str">
        <f t="shared" si="366"/>
        <v>2023.001B.Leviviricetes_reorg.zip</v>
      </c>
      <c r="U8615" s="29" t="str">
        <f>HYPERLINK("https://ictv.global/taxonomy/taxondetails?taxnode_id=202310234","ictv.global=202310234")</f>
        <v>ictv.global=202310234</v>
      </c>
    </row>
    <row r="8616" spans="1:21">
      <c r="A8616">
        <v>8615</v>
      </c>
      <c r="B8616" s="30" t="s">
        <v>1226</v>
      </c>
      <c r="D8616" s="30" t="s">
        <v>2024</v>
      </c>
      <c r="F8616" s="30" t="s">
        <v>2046</v>
      </c>
      <c r="H8616" s="30" t="s">
        <v>2859</v>
      </c>
      <c r="J8616" s="30" t="s">
        <v>2860</v>
      </c>
      <c r="L8616" s="30" t="s">
        <v>2990</v>
      </c>
      <c r="N8616" s="30" t="s">
        <v>15111</v>
      </c>
      <c r="P8616" s="30" t="s">
        <v>15113</v>
      </c>
      <c r="Q8616" t="s">
        <v>621</v>
      </c>
      <c r="R8616" t="s">
        <v>918</v>
      </c>
      <c r="S8616">
        <v>39</v>
      </c>
      <c r="T8616" s="29" t="str">
        <f t="shared" si="366"/>
        <v>2023.001B.Leviviricetes_reorg.zip</v>
      </c>
      <c r="U8616" s="29" t="str">
        <f>HYPERLINK("https://ictv.global/taxonomy/taxondetails?taxnode_id=202310630","ictv.global=202310630")</f>
        <v>ictv.global=202310630</v>
      </c>
    </row>
    <row r="8617" spans="1:21">
      <c r="A8617">
        <v>8616</v>
      </c>
      <c r="B8617" s="30" t="s">
        <v>1226</v>
      </c>
      <c r="D8617" s="30" t="s">
        <v>2024</v>
      </c>
      <c r="F8617" s="30" t="s">
        <v>2046</v>
      </c>
      <c r="H8617" s="30" t="s">
        <v>2859</v>
      </c>
      <c r="J8617" s="30" t="s">
        <v>2860</v>
      </c>
      <c r="L8617" s="30" t="s">
        <v>2990</v>
      </c>
      <c r="N8617" s="30" t="s">
        <v>15111</v>
      </c>
      <c r="P8617" s="30" t="s">
        <v>15114</v>
      </c>
      <c r="Q8617" t="s">
        <v>621</v>
      </c>
      <c r="R8617" t="s">
        <v>917</v>
      </c>
      <c r="S8617">
        <v>39</v>
      </c>
      <c r="T8617" s="29" t="str">
        <f t="shared" si="366"/>
        <v>2023.001B.Leviviricetes_reorg.zip</v>
      </c>
      <c r="U8617" s="29" t="str">
        <f>HYPERLINK("https://ictv.global/taxonomy/taxondetails?taxnode_id=202316266","ictv.global=202316266")</f>
        <v>ictv.global=202316266</v>
      </c>
    </row>
    <row r="8618" spans="1:21">
      <c r="A8618">
        <v>8617</v>
      </c>
      <c r="B8618" s="30" t="s">
        <v>1226</v>
      </c>
      <c r="D8618" s="30" t="s">
        <v>2024</v>
      </c>
      <c r="F8618" s="30" t="s">
        <v>2046</v>
      </c>
      <c r="H8618" s="30" t="s">
        <v>2859</v>
      </c>
      <c r="J8618" s="30" t="s">
        <v>2860</v>
      </c>
      <c r="L8618" s="30" t="s">
        <v>2990</v>
      </c>
      <c r="N8618" s="30" t="s">
        <v>15115</v>
      </c>
      <c r="P8618" s="30" t="s">
        <v>15116</v>
      </c>
      <c r="Q8618" t="s">
        <v>621</v>
      </c>
      <c r="R8618" t="s">
        <v>918</v>
      </c>
      <c r="S8618">
        <v>39</v>
      </c>
      <c r="T8618" s="29" t="str">
        <f t="shared" si="366"/>
        <v>2023.001B.Leviviricetes_reorg.zip</v>
      </c>
      <c r="U8618" s="29" t="str">
        <f>HYPERLINK("https://ictv.global/taxonomy/taxondetails?taxnode_id=202310665","ictv.global=202310665")</f>
        <v>ictv.global=202310665</v>
      </c>
    </row>
    <row r="8619" spans="1:21">
      <c r="A8619">
        <v>8618</v>
      </c>
      <c r="B8619" s="30" t="s">
        <v>1226</v>
      </c>
      <c r="D8619" s="30" t="s">
        <v>2024</v>
      </c>
      <c r="F8619" s="30" t="s">
        <v>2046</v>
      </c>
      <c r="H8619" s="30" t="s">
        <v>2859</v>
      </c>
      <c r="J8619" s="30" t="s">
        <v>2860</v>
      </c>
      <c r="L8619" s="30" t="s">
        <v>2990</v>
      </c>
      <c r="N8619" s="30" t="s">
        <v>15115</v>
      </c>
      <c r="P8619" s="30" t="s">
        <v>15117</v>
      </c>
      <c r="Q8619" t="s">
        <v>621</v>
      </c>
      <c r="R8619" t="s">
        <v>918</v>
      </c>
      <c r="S8619">
        <v>39</v>
      </c>
      <c r="T8619" s="29" t="str">
        <f t="shared" si="366"/>
        <v>2023.001B.Leviviricetes_reorg.zip</v>
      </c>
      <c r="U8619" s="29" t="str">
        <f>HYPERLINK("https://ictv.global/taxonomy/taxondetails?taxnode_id=202310502","ictv.global=202310502")</f>
        <v>ictv.global=202310502</v>
      </c>
    </row>
    <row r="8620" spans="1:21">
      <c r="A8620">
        <v>8619</v>
      </c>
      <c r="B8620" s="30" t="s">
        <v>1226</v>
      </c>
      <c r="D8620" s="30" t="s">
        <v>2024</v>
      </c>
      <c r="F8620" s="30" t="s">
        <v>2046</v>
      </c>
      <c r="H8620" s="30" t="s">
        <v>2859</v>
      </c>
      <c r="J8620" s="30" t="s">
        <v>2860</v>
      </c>
      <c r="L8620" s="30" t="s">
        <v>2990</v>
      </c>
      <c r="N8620" s="30" t="s">
        <v>15115</v>
      </c>
      <c r="P8620" s="30" t="s">
        <v>15118</v>
      </c>
      <c r="Q8620" t="s">
        <v>621</v>
      </c>
      <c r="R8620" t="s">
        <v>917</v>
      </c>
      <c r="S8620">
        <v>39</v>
      </c>
      <c r="T8620" s="29" t="str">
        <f t="shared" si="366"/>
        <v>2023.001B.Leviviricetes_reorg.zip</v>
      </c>
      <c r="U8620" s="29" t="str">
        <f>HYPERLINK("https://ictv.global/taxonomy/taxondetails?taxnode_id=202316267","ictv.global=202316267")</f>
        <v>ictv.global=202316267</v>
      </c>
    </row>
    <row r="8621" spans="1:21">
      <c r="A8621">
        <v>8620</v>
      </c>
      <c r="B8621" s="30" t="s">
        <v>1226</v>
      </c>
      <c r="D8621" s="30" t="s">
        <v>2024</v>
      </c>
      <c r="F8621" s="30" t="s">
        <v>2046</v>
      </c>
      <c r="H8621" s="30" t="s">
        <v>2859</v>
      </c>
      <c r="J8621" s="30" t="s">
        <v>2860</v>
      </c>
      <c r="L8621" s="30" t="s">
        <v>2990</v>
      </c>
      <c r="N8621" s="30" t="s">
        <v>15119</v>
      </c>
      <c r="P8621" s="30" t="s">
        <v>15120</v>
      </c>
      <c r="Q8621" t="s">
        <v>621</v>
      </c>
      <c r="R8621" t="s">
        <v>917</v>
      </c>
      <c r="S8621">
        <v>39</v>
      </c>
      <c r="T8621" s="29" t="str">
        <f t="shared" si="366"/>
        <v>2023.001B.Leviviricetes_reorg.zip</v>
      </c>
      <c r="U8621" s="29" t="str">
        <f>HYPERLINK("https://ictv.global/taxonomy/taxondetails?taxnode_id=202316268","ictv.global=202316268")</f>
        <v>ictv.global=202316268</v>
      </c>
    </row>
    <row r="8622" spans="1:21">
      <c r="A8622">
        <v>8621</v>
      </c>
      <c r="B8622" s="30" t="s">
        <v>1226</v>
      </c>
      <c r="D8622" s="30" t="s">
        <v>2024</v>
      </c>
      <c r="F8622" s="30" t="s">
        <v>2046</v>
      </c>
      <c r="H8622" s="30" t="s">
        <v>2859</v>
      </c>
      <c r="J8622" s="30" t="s">
        <v>2860</v>
      </c>
      <c r="L8622" s="30" t="s">
        <v>2990</v>
      </c>
      <c r="N8622" s="30" t="s">
        <v>15121</v>
      </c>
      <c r="P8622" s="30" t="s">
        <v>15122</v>
      </c>
      <c r="Q8622" t="s">
        <v>621</v>
      </c>
      <c r="R8622" t="s">
        <v>917</v>
      </c>
      <c r="S8622">
        <v>39</v>
      </c>
      <c r="T8622" s="29" t="str">
        <f t="shared" si="366"/>
        <v>2023.001B.Leviviricetes_reorg.zip</v>
      </c>
      <c r="U8622" s="29" t="str">
        <f>HYPERLINK("https://ictv.global/taxonomy/taxondetails?taxnode_id=202316269","ictv.global=202316269")</f>
        <v>ictv.global=202316269</v>
      </c>
    </row>
    <row r="8623" spans="1:21">
      <c r="A8623">
        <v>8622</v>
      </c>
      <c r="B8623" s="30" t="s">
        <v>1226</v>
      </c>
      <c r="D8623" s="30" t="s">
        <v>2024</v>
      </c>
      <c r="F8623" s="30" t="s">
        <v>2046</v>
      </c>
      <c r="H8623" s="30" t="s">
        <v>2859</v>
      </c>
      <c r="J8623" s="30" t="s">
        <v>2860</v>
      </c>
      <c r="L8623" s="30" t="s">
        <v>2990</v>
      </c>
      <c r="N8623" s="30" t="s">
        <v>15123</v>
      </c>
      <c r="P8623" s="30" t="s">
        <v>15124</v>
      </c>
      <c r="Q8623" t="s">
        <v>621</v>
      </c>
      <c r="R8623" t="s">
        <v>918</v>
      </c>
      <c r="S8623">
        <v>39</v>
      </c>
      <c r="T8623" s="29" t="str">
        <f t="shared" si="366"/>
        <v>2023.001B.Leviviricetes_reorg.zip</v>
      </c>
      <c r="U8623" s="29" t="str">
        <f>HYPERLINK("https://ictv.global/taxonomy/taxondetails?taxnode_id=202310477","ictv.global=202310477")</f>
        <v>ictv.global=202310477</v>
      </c>
    </row>
    <row r="8624" spans="1:21">
      <c r="A8624">
        <v>8623</v>
      </c>
      <c r="B8624" s="30" t="s">
        <v>1226</v>
      </c>
      <c r="D8624" s="30" t="s">
        <v>2024</v>
      </c>
      <c r="F8624" s="30" t="s">
        <v>2046</v>
      </c>
      <c r="H8624" s="30" t="s">
        <v>2859</v>
      </c>
      <c r="J8624" s="30" t="s">
        <v>2860</v>
      </c>
      <c r="L8624" s="30" t="s">
        <v>2990</v>
      </c>
      <c r="N8624" s="30" t="s">
        <v>15125</v>
      </c>
      <c r="P8624" s="30" t="s">
        <v>15126</v>
      </c>
      <c r="Q8624" t="s">
        <v>621</v>
      </c>
      <c r="R8624" t="s">
        <v>917</v>
      </c>
      <c r="S8624">
        <v>39</v>
      </c>
      <c r="T8624" s="29" t="str">
        <f t="shared" si="366"/>
        <v>2023.001B.Leviviricetes_reorg.zip</v>
      </c>
      <c r="U8624" s="29" t="str">
        <f>HYPERLINK("https://ictv.global/taxonomy/taxondetails?taxnode_id=202316270","ictv.global=202316270")</f>
        <v>ictv.global=202316270</v>
      </c>
    </row>
    <row r="8625" spans="1:21">
      <c r="A8625">
        <v>8624</v>
      </c>
      <c r="B8625" s="30" t="s">
        <v>1226</v>
      </c>
      <c r="D8625" s="30" t="s">
        <v>2024</v>
      </c>
      <c r="F8625" s="30" t="s">
        <v>2046</v>
      </c>
      <c r="H8625" s="30" t="s">
        <v>2859</v>
      </c>
      <c r="J8625" s="30" t="s">
        <v>2860</v>
      </c>
      <c r="L8625" s="30" t="s">
        <v>2990</v>
      </c>
      <c r="N8625" s="30" t="s">
        <v>3078</v>
      </c>
      <c r="P8625" s="30" t="s">
        <v>3079</v>
      </c>
      <c r="Q8625" t="s">
        <v>621</v>
      </c>
      <c r="R8625" t="s">
        <v>918</v>
      </c>
      <c r="S8625">
        <v>36</v>
      </c>
      <c r="T8625" s="29" t="str">
        <f>HYPERLINK("https://ictv.global/ictv/proposals/2020.095B.R.Leviviricetes.zip","2020.095B.R.Leviviricetes.zip")</f>
        <v>2020.095B.R.Leviviricetes.zip</v>
      </c>
      <c r="U8625" s="29" t="str">
        <f>HYPERLINK("https://ictv.global/taxonomy/taxondetails?taxnode_id=202303757","ictv.global=202303757")</f>
        <v>ictv.global=202303757</v>
      </c>
    </row>
    <row r="8626" spans="1:21">
      <c r="A8626">
        <v>8625</v>
      </c>
      <c r="B8626" s="30" t="s">
        <v>1226</v>
      </c>
      <c r="D8626" s="30" t="s">
        <v>2024</v>
      </c>
      <c r="F8626" s="30" t="s">
        <v>2046</v>
      </c>
      <c r="H8626" s="30" t="s">
        <v>2859</v>
      </c>
      <c r="J8626" s="30" t="s">
        <v>2860</v>
      </c>
      <c r="L8626" s="30" t="s">
        <v>2990</v>
      </c>
      <c r="N8626" s="30" t="s">
        <v>3078</v>
      </c>
      <c r="P8626" s="30" t="s">
        <v>3080</v>
      </c>
      <c r="Q8626" t="s">
        <v>621</v>
      </c>
      <c r="R8626" t="s">
        <v>917</v>
      </c>
      <c r="S8626">
        <v>36</v>
      </c>
      <c r="T8626" s="29" t="str">
        <f>HYPERLINK("https://ictv.global/ictv/proposals/2020.095B.R.Leviviricetes.zip","2020.095B.R.Leviviricetes.zip")</f>
        <v>2020.095B.R.Leviviricetes.zip</v>
      </c>
      <c r="U8626" s="29" t="str">
        <f>HYPERLINK("https://ictv.global/taxonomy/taxondetails?taxnode_id=202310217","ictv.global=202310217")</f>
        <v>ictv.global=202310217</v>
      </c>
    </row>
    <row r="8627" spans="1:21">
      <c r="A8627">
        <v>8626</v>
      </c>
      <c r="B8627" s="30" t="s">
        <v>1226</v>
      </c>
      <c r="D8627" s="30" t="s">
        <v>2024</v>
      </c>
      <c r="F8627" s="30" t="s">
        <v>2046</v>
      </c>
      <c r="H8627" s="30" t="s">
        <v>2859</v>
      </c>
      <c r="J8627" s="30" t="s">
        <v>2860</v>
      </c>
      <c r="L8627" s="30" t="s">
        <v>2990</v>
      </c>
      <c r="N8627" s="30" t="s">
        <v>3078</v>
      </c>
      <c r="P8627" s="30" t="s">
        <v>3081</v>
      </c>
      <c r="Q8627" t="s">
        <v>621</v>
      </c>
      <c r="R8627" t="s">
        <v>3893</v>
      </c>
      <c r="S8627">
        <v>36</v>
      </c>
      <c r="T8627" s="29" t="str">
        <f>HYPERLINK("https://ictv.global/ictv/proposals/2020.095B.R.Leviviricetes.zip","2020.095B.R.Leviviricetes.zip;2020.001G.R.Abolish_type_species.pdf")</f>
        <v>2020.095B.R.Leviviricetes.zip;2020.001G.R.Abolish_type_species.pdf</v>
      </c>
      <c r="U8627" s="29" t="str">
        <f>HYPERLINK("https://ictv.global/taxonomy/taxondetails?taxnode_id=202303758","ictv.global=202303758")</f>
        <v>ictv.global=202303758</v>
      </c>
    </row>
    <row r="8628" spans="1:21">
      <c r="A8628">
        <v>8627</v>
      </c>
      <c r="B8628" s="30" t="s">
        <v>1226</v>
      </c>
      <c r="D8628" s="30" t="s">
        <v>2024</v>
      </c>
      <c r="F8628" s="30" t="s">
        <v>2046</v>
      </c>
      <c r="H8628" s="30" t="s">
        <v>2859</v>
      </c>
      <c r="J8628" s="30" t="s">
        <v>2860</v>
      </c>
      <c r="L8628" s="30" t="s">
        <v>2990</v>
      </c>
      <c r="N8628" s="30" t="s">
        <v>3082</v>
      </c>
      <c r="P8628" s="30" t="s">
        <v>3083</v>
      </c>
      <c r="Q8628" t="s">
        <v>621</v>
      </c>
      <c r="R8628" t="s">
        <v>917</v>
      </c>
      <c r="S8628">
        <v>36</v>
      </c>
      <c r="T8628" s="29" t="str">
        <f>HYPERLINK("https://ictv.global/ictv/proposals/2020.095B.R.Leviviricetes.zip","2020.095B.R.Leviviricetes.zip")</f>
        <v>2020.095B.R.Leviviricetes.zip</v>
      </c>
      <c r="U8628" s="29" t="str">
        <f>HYPERLINK("https://ictv.global/taxonomy/taxondetails?taxnode_id=202310350","ictv.global=202310350")</f>
        <v>ictv.global=202310350</v>
      </c>
    </row>
    <row r="8629" spans="1:21">
      <c r="A8629">
        <v>8628</v>
      </c>
      <c r="B8629" s="30" t="s">
        <v>1226</v>
      </c>
      <c r="D8629" s="30" t="s">
        <v>2024</v>
      </c>
      <c r="F8629" s="30" t="s">
        <v>2046</v>
      </c>
      <c r="H8629" s="30" t="s">
        <v>2859</v>
      </c>
      <c r="J8629" s="30" t="s">
        <v>2860</v>
      </c>
      <c r="L8629" s="30" t="s">
        <v>2990</v>
      </c>
      <c r="N8629" s="30" t="s">
        <v>15127</v>
      </c>
      <c r="P8629" s="30" t="s">
        <v>15128</v>
      </c>
      <c r="Q8629" t="s">
        <v>621</v>
      </c>
      <c r="R8629" t="s">
        <v>917</v>
      </c>
      <c r="S8629">
        <v>39</v>
      </c>
      <c r="T8629" s="29" t="str">
        <f>HYPERLINK("https://ictv.global/ictv/proposals/2023.001B.Leviviricetes_reorg.zip","2023.001B.Leviviricetes_reorg.zip")</f>
        <v>2023.001B.Leviviricetes_reorg.zip</v>
      </c>
      <c r="U8629" s="29" t="str">
        <f>HYPERLINK("https://ictv.global/taxonomy/taxondetails?taxnode_id=202316271","ictv.global=202316271")</f>
        <v>ictv.global=202316271</v>
      </c>
    </row>
    <row r="8630" spans="1:21">
      <c r="A8630">
        <v>8629</v>
      </c>
      <c r="B8630" s="30" t="s">
        <v>1226</v>
      </c>
      <c r="D8630" s="30" t="s">
        <v>2024</v>
      </c>
      <c r="F8630" s="30" t="s">
        <v>2046</v>
      </c>
      <c r="H8630" s="30" t="s">
        <v>2859</v>
      </c>
      <c r="J8630" s="30" t="s">
        <v>2860</v>
      </c>
      <c r="L8630" s="30" t="s">
        <v>2990</v>
      </c>
      <c r="N8630" s="30" t="s">
        <v>3084</v>
      </c>
      <c r="P8630" s="30" t="s">
        <v>15129</v>
      </c>
      <c r="Q8630" t="s">
        <v>621</v>
      </c>
      <c r="R8630" t="s">
        <v>917</v>
      </c>
      <c r="S8630">
        <v>39</v>
      </c>
      <c r="T8630" s="29" t="str">
        <f>HYPERLINK("https://ictv.global/ictv/proposals/2023.001B.Leviviricetes_reorg.zip","2023.001B.Leviviricetes_reorg.zip")</f>
        <v>2023.001B.Leviviricetes_reorg.zip</v>
      </c>
      <c r="U8630" s="29" t="str">
        <f>HYPERLINK("https://ictv.global/taxonomy/taxondetails?taxnode_id=202316272","ictv.global=202316272")</f>
        <v>ictv.global=202316272</v>
      </c>
    </row>
    <row r="8631" spans="1:21">
      <c r="A8631">
        <v>8630</v>
      </c>
      <c r="B8631" s="30" t="s">
        <v>1226</v>
      </c>
      <c r="D8631" s="30" t="s">
        <v>2024</v>
      </c>
      <c r="F8631" s="30" t="s">
        <v>2046</v>
      </c>
      <c r="H8631" s="30" t="s">
        <v>2859</v>
      </c>
      <c r="J8631" s="30" t="s">
        <v>2860</v>
      </c>
      <c r="L8631" s="30" t="s">
        <v>2990</v>
      </c>
      <c r="N8631" s="30" t="s">
        <v>3084</v>
      </c>
      <c r="P8631" s="30" t="s">
        <v>15130</v>
      </c>
      <c r="Q8631" t="s">
        <v>621</v>
      </c>
      <c r="R8631" t="s">
        <v>918</v>
      </c>
      <c r="S8631">
        <v>39</v>
      </c>
      <c r="T8631" s="29" t="str">
        <f>HYPERLINK("https://ictv.global/ictv/proposals/2023.001B.Leviviricetes_reorg.zip","2023.001B.Leviviricetes_reorg.zip")</f>
        <v>2023.001B.Leviviricetes_reorg.zip</v>
      </c>
      <c r="U8631" s="29" t="str">
        <f>HYPERLINK("https://ictv.global/taxonomy/taxondetails?taxnode_id=202310553","ictv.global=202310553")</f>
        <v>ictv.global=202310553</v>
      </c>
    </row>
    <row r="8632" spans="1:21">
      <c r="A8632">
        <v>8631</v>
      </c>
      <c r="B8632" s="30" t="s">
        <v>1226</v>
      </c>
      <c r="D8632" s="30" t="s">
        <v>2024</v>
      </c>
      <c r="F8632" s="30" t="s">
        <v>2046</v>
      </c>
      <c r="H8632" s="30" t="s">
        <v>2859</v>
      </c>
      <c r="J8632" s="30" t="s">
        <v>2860</v>
      </c>
      <c r="L8632" s="30" t="s">
        <v>2990</v>
      </c>
      <c r="N8632" s="30" t="s">
        <v>3084</v>
      </c>
      <c r="P8632" s="30" t="s">
        <v>15131</v>
      </c>
      <c r="Q8632" t="s">
        <v>621</v>
      </c>
      <c r="R8632" t="s">
        <v>918</v>
      </c>
      <c r="S8632">
        <v>39</v>
      </c>
      <c r="T8632" s="29" t="str">
        <f>HYPERLINK("https://ictv.global/ictv/proposals/2023.001B.Leviviricetes_reorg.zip","2023.001B.Leviviricetes_reorg.zip")</f>
        <v>2023.001B.Leviviricetes_reorg.zip</v>
      </c>
      <c r="U8632" s="29" t="str">
        <f>HYPERLINK("https://ictv.global/taxonomy/taxondetails?taxnode_id=202310554","ictv.global=202310554")</f>
        <v>ictv.global=202310554</v>
      </c>
    </row>
    <row r="8633" spans="1:21">
      <c r="A8633">
        <v>8632</v>
      </c>
      <c r="B8633" s="30" t="s">
        <v>1226</v>
      </c>
      <c r="D8633" s="30" t="s">
        <v>2024</v>
      </c>
      <c r="F8633" s="30" t="s">
        <v>2046</v>
      </c>
      <c r="H8633" s="30" t="s">
        <v>2859</v>
      </c>
      <c r="J8633" s="30" t="s">
        <v>2860</v>
      </c>
      <c r="L8633" s="30" t="s">
        <v>2990</v>
      </c>
      <c r="N8633" s="30" t="s">
        <v>3084</v>
      </c>
      <c r="P8633" s="30" t="s">
        <v>3085</v>
      </c>
      <c r="Q8633" t="s">
        <v>621</v>
      </c>
      <c r="R8633" t="s">
        <v>917</v>
      </c>
      <c r="S8633">
        <v>36</v>
      </c>
      <c r="T8633" s="29" t="str">
        <f>HYPERLINK("https://ictv.global/ictv/proposals/2020.095B.R.Leviviricetes.zip","2020.095B.R.Leviviricetes.zip")</f>
        <v>2020.095B.R.Leviviricetes.zip</v>
      </c>
      <c r="U8633" s="29" t="str">
        <f>HYPERLINK("https://ictv.global/taxonomy/taxondetails?taxnode_id=202310352","ictv.global=202310352")</f>
        <v>ictv.global=202310352</v>
      </c>
    </row>
    <row r="8634" spans="1:21">
      <c r="A8634">
        <v>8633</v>
      </c>
      <c r="B8634" s="30" t="s">
        <v>1226</v>
      </c>
      <c r="D8634" s="30" t="s">
        <v>2024</v>
      </c>
      <c r="F8634" s="30" t="s">
        <v>2046</v>
      </c>
      <c r="H8634" s="30" t="s">
        <v>2859</v>
      </c>
      <c r="J8634" s="30" t="s">
        <v>2860</v>
      </c>
      <c r="L8634" s="30" t="s">
        <v>2990</v>
      </c>
      <c r="N8634" s="30" t="s">
        <v>3084</v>
      </c>
      <c r="P8634" s="30" t="s">
        <v>15132</v>
      </c>
      <c r="Q8634" t="s">
        <v>621</v>
      </c>
      <c r="R8634" t="s">
        <v>917</v>
      </c>
      <c r="S8634">
        <v>39</v>
      </c>
      <c r="T8634" s="29" t="str">
        <f t="shared" ref="T8634:T8642" si="367">HYPERLINK("https://ictv.global/ictv/proposals/2023.001B.Leviviricetes_reorg.zip","2023.001B.Leviviricetes_reorg.zip")</f>
        <v>2023.001B.Leviviricetes_reorg.zip</v>
      </c>
      <c r="U8634" s="29" t="str">
        <f>HYPERLINK("https://ictv.global/taxonomy/taxondetails?taxnode_id=202316273","ictv.global=202316273")</f>
        <v>ictv.global=202316273</v>
      </c>
    </row>
    <row r="8635" spans="1:21">
      <c r="A8635">
        <v>8634</v>
      </c>
      <c r="B8635" s="30" t="s">
        <v>1226</v>
      </c>
      <c r="D8635" s="30" t="s">
        <v>2024</v>
      </c>
      <c r="F8635" s="30" t="s">
        <v>2046</v>
      </c>
      <c r="H8635" s="30" t="s">
        <v>2859</v>
      </c>
      <c r="J8635" s="30" t="s">
        <v>2860</v>
      </c>
      <c r="L8635" s="30" t="s">
        <v>2990</v>
      </c>
      <c r="N8635" s="30" t="s">
        <v>3084</v>
      </c>
      <c r="P8635" s="30" t="s">
        <v>15133</v>
      </c>
      <c r="Q8635" t="s">
        <v>621</v>
      </c>
      <c r="R8635" t="s">
        <v>917</v>
      </c>
      <c r="S8635">
        <v>39</v>
      </c>
      <c r="T8635" s="29" t="str">
        <f t="shared" si="367"/>
        <v>2023.001B.Leviviricetes_reorg.zip</v>
      </c>
      <c r="U8635" s="29" t="str">
        <f>HYPERLINK("https://ictv.global/taxonomy/taxondetails?taxnode_id=202316274","ictv.global=202316274")</f>
        <v>ictv.global=202316274</v>
      </c>
    </row>
    <row r="8636" spans="1:21">
      <c r="A8636">
        <v>8635</v>
      </c>
      <c r="B8636" s="30" t="s">
        <v>1226</v>
      </c>
      <c r="D8636" s="30" t="s">
        <v>2024</v>
      </c>
      <c r="F8636" s="30" t="s">
        <v>2046</v>
      </c>
      <c r="H8636" s="30" t="s">
        <v>2859</v>
      </c>
      <c r="J8636" s="30" t="s">
        <v>2860</v>
      </c>
      <c r="L8636" s="30" t="s">
        <v>2990</v>
      </c>
      <c r="N8636" s="30" t="s">
        <v>3084</v>
      </c>
      <c r="P8636" s="30" t="s">
        <v>15134</v>
      </c>
      <c r="Q8636" t="s">
        <v>621</v>
      </c>
      <c r="R8636" t="s">
        <v>917</v>
      </c>
      <c r="S8636">
        <v>39</v>
      </c>
      <c r="T8636" s="29" t="str">
        <f t="shared" si="367"/>
        <v>2023.001B.Leviviricetes_reorg.zip</v>
      </c>
      <c r="U8636" s="29" t="str">
        <f>HYPERLINK("https://ictv.global/taxonomy/taxondetails?taxnode_id=202316275","ictv.global=202316275")</f>
        <v>ictv.global=202316275</v>
      </c>
    </row>
    <row r="8637" spans="1:21">
      <c r="A8637">
        <v>8636</v>
      </c>
      <c r="B8637" s="30" t="s">
        <v>1226</v>
      </c>
      <c r="D8637" s="30" t="s">
        <v>2024</v>
      </c>
      <c r="F8637" s="30" t="s">
        <v>2046</v>
      </c>
      <c r="H8637" s="30" t="s">
        <v>2859</v>
      </c>
      <c r="J8637" s="30" t="s">
        <v>2860</v>
      </c>
      <c r="L8637" s="30" t="s">
        <v>2990</v>
      </c>
      <c r="N8637" s="30" t="s">
        <v>3084</v>
      </c>
      <c r="P8637" s="30" t="s">
        <v>15135</v>
      </c>
      <c r="Q8637" t="s">
        <v>621</v>
      </c>
      <c r="R8637" t="s">
        <v>917</v>
      </c>
      <c r="S8637">
        <v>39</v>
      </c>
      <c r="T8637" s="29" t="str">
        <f t="shared" si="367"/>
        <v>2023.001B.Leviviricetes_reorg.zip</v>
      </c>
      <c r="U8637" s="29" t="str">
        <f>HYPERLINK("https://ictv.global/taxonomy/taxondetails?taxnode_id=202316276","ictv.global=202316276")</f>
        <v>ictv.global=202316276</v>
      </c>
    </row>
    <row r="8638" spans="1:21">
      <c r="A8638">
        <v>8637</v>
      </c>
      <c r="B8638" s="30" t="s">
        <v>1226</v>
      </c>
      <c r="D8638" s="30" t="s">
        <v>2024</v>
      </c>
      <c r="F8638" s="30" t="s">
        <v>2046</v>
      </c>
      <c r="H8638" s="30" t="s">
        <v>2859</v>
      </c>
      <c r="J8638" s="30" t="s">
        <v>2860</v>
      </c>
      <c r="L8638" s="30" t="s">
        <v>2990</v>
      </c>
      <c r="N8638" s="30" t="s">
        <v>3084</v>
      </c>
      <c r="P8638" s="30" t="s">
        <v>15136</v>
      </c>
      <c r="Q8638" t="s">
        <v>621</v>
      </c>
      <c r="R8638" t="s">
        <v>918</v>
      </c>
      <c r="S8638">
        <v>39</v>
      </c>
      <c r="T8638" s="29" t="str">
        <f t="shared" si="367"/>
        <v>2023.001B.Leviviricetes_reorg.zip</v>
      </c>
      <c r="U8638" s="29" t="str">
        <f>HYPERLINK("https://ictv.global/taxonomy/taxondetails?taxnode_id=202310552","ictv.global=202310552")</f>
        <v>ictv.global=202310552</v>
      </c>
    </row>
    <row r="8639" spans="1:21">
      <c r="A8639">
        <v>8638</v>
      </c>
      <c r="B8639" s="30" t="s">
        <v>1226</v>
      </c>
      <c r="D8639" s="30" t="s">
        <v>2024</v>
      </c>
      <c r="F8639" s="30" t="s">
        <v>2046</v>
      </c>
      <c r="H8639" s="30" t="s">
        <v>2859</v>
      </c>
      <c r="J8639" s="30" t="s">
        <v>2860</v>
      </c>
      <c r="L8639" s="30" t="s">
        <v>2990</v>
      </c>
      <c r="N8639" s="30" t="s">
        <v>15137</v>
      </c>
      <c r="P8639" s="30" t="s">
        <v>15138</v>
      </c>
      <c r="Q8639" t="s">
        <v>621</v>
      </c>
      <c r="R8639" t="s">
        <v>917</v>
      </c>
      <c r="S8639">
        <v>39</v>
      </c>
      <c r="T8639" s="29" t="str">
        <f t="shared" si="367"/>
        <v>2023.001B.Leviviricetes_reorg.zip</v>
      </c>
      <c r="U8639" s="29" t="str">
        <f>HYPERLINK("https://ictv.global/taxonomy/taxondetails?taxnode_id=202316277","ictv.global=202316277")</f>
        <v>ictv.global=202316277</v>
      </c>
    </row>
    <row r="8640" spans="1:21">
      <c r="A8640">
        <v>8639</v>
      </c>
      <c r="B8640" s="30" t="s">
        <v>1226</v>
      </c>
      <c r="D8640" s="30" t="s">
        <v>2024</v>
      </c>
      <c r="F8640" s="30" t="s">
        <v>2046</v>
      </c>
      <c r="H8640" s="30" t="s">
        <v>2859</v>
      </c>
      <c r="J8640" s="30" t="s">
        <v>2860</v>
      </c>
      <c r="L8640" s="30" t="s">
        <v>2990</v>
      </c>
      <c r="N8640" s="30" t="s">
        <v>15139</v>
      </c>
      <c r="P8640" s="30" t="s">
        <v>15140</v>
      </c>
      <c r="Q8640" t="s">
        <v>621</v>
      </c>
      <c r="R8640" t="s">
        <v>917</v>
      </c>
      <c r="S8640">
        <v>39</v>
      </c>
      <c r="T8640" s="29" t="str">
        <f t="shared" si="367"/>
        <v>2023.001B.Leviviricetes_reorg.zip</v>
      </c>
      <c r="U8640" s="29" t="str">
        <f>HYPERLINK("https://ictv.global/taxonomy/taxondetails?taxnode_id=202316278","ictv.global=202316278")</f>
        <v>ictv.global=202316278</v>
      </c>
    </row>
    <row r="8641" spans="1:21">
      <c r="A8641">
        <v>8640</v>
      </c>
      <c r="B8641" s="30" t="s">
        <v>1226</v>
      </c>
      <c r="D8641" s="30" t="s">
        <v>2024</v>
      </c>
      <c r="F8641" s="30" t="s">
        <v>2046</v>
      </c>
      <c r="H8641" s="30" t="s">
        <v>2859</v>
      </c>
      <c r="J8641" s="30" t="s">
        <v>2860</v>
      </c>
      <c r="L8641" s="30" t="s">
        <v>2990</v>
      </c>
      <c r="N8641" s="30" t="s">
        <v>15139</v>
      </c>
      <c r="P8641" s="30" t="s">
        <v>15141</v>
      </c>
      <c r="Q8641" t="s">
        <v>621</v>
      </c>
      <c r="R8641" t="s">
        <v>917</v>
      </c>
      <c r="S8641">
        <v>39</v>
      </c>
      <c r="T8641" s="29" t="str">
        <f t="shared" si="367"/>
        <v>2023.001B.Leviviricetes_reorg.zip</v>
      </c>
      <c r="U8641" s="29" t="str">
        <f>HYPERLINK("https://ictv.global/taxonomy/taxondetails?taxnode_id=202316279","ictv.global=202316279")</f>
        <v>ictv.global=202316279</v>
      </c>
    </row>
    <row r="8642" spans="1:21">
      <c r="A8642">
        <v>8641</v>
      </c>
      <c r="B8642" s="30" t="s">
        <v>1226</v>
      </c>
      <c r="D8642" s="30" t="s">
        <v>2024</v>
      </c>
      <c r="F8642" s="30" t="s">
        <v>2046</v>
      </c>
      <c r="H8642" s="30" t="s">
        <v>2859</v>
      </c>
      <c r="J8642" s="30" t="s">
        <v>2860</v>
      </c>
      <c r="L8642" s="30" t="s">
        <v>2990</v>
      </c>
      <c r="N8642" s="30" t="s">
        <v>15142</v>
      </c>
      <c r="P8642" s="30" t="s">
        <v>15143</v>
      </c>
      <c r="Q8642" t="s">
        <v>621</v>
      </c>
      <c r="R8642" t="s">
        <v>917</v>
      </c>
      <c r="S8642">
        <v>39</v>
      </c>
      <c r="T8642" s="29" t="str">
        <f t="shared" si="367"/>
        <v>2023.001B.Leviviricetes_reorg.zip</v>
      </c>
      <c r="U8642" s="29" t="str">
        <f>HYPERLINK("https://ictv.global/taxonomy/taxondetails?taxnode_id=202316280","ictv.global=202316280")</f>
        <v>ictv.global=202316280</v>
      </c>
    </row>
    <row r="8643" spans="1:21">
      <c r="A8643">
        <v>8642</v>
      </c>
      <c r="B8643" s="30" t="s">
        <v>1226</v>
      </c>
      <c r="D8643" s="30" t="s">
        <v>2024</v>
      </c>
      <c r="F8643" s="30" t="s">
        <v>2046</v>
      </c>
      <c r="H8643" s="30" t="s">
        <v>2859</v>
      </c>
      <c r="J8643" s="30" t="s">
        <v>2860</v>
      </c>
      <c r="L8643" s="30" t="s">
        <v>2990</v>
      </c>
      <c r="N8643" s="30" t="s">
        <v>3086</v>
      </c>
      <c r="P8643" s="30" t="s">
        <v>3087</v>
      </c>
      <c r="Q8643" t="s">
        <v>621</v>
      </c>
      <c r="R8643" t="s">
        <v>917</v>
      </c>
      <c r="S8643">
        <v>36</v>
      </c>
      <c r="T8643" s="29" t="str">
        <f>HYPERLINK("https://ictv.global/ictv/proposals/2020.095B.R.Leviviricetes.zip","2020.095B.R.Leviviricetes.zip")</f>
        <v>2020.095B.R.Leviviricetes.zip</v>
      </c>
      <c r="U8643" s="29" t="str">
        <f>HYPERLINK("https://ictv.global/taxonomy/taxondetails?taxnode_id=202310356","ictv.global=202310356")</f>
        <v>ictv.global=202310356</v>
      </c>
    </row>
    <row r="8644" spans="1:21">
      <c r="A8644">
        <v>8643</v>
      </c>
      <c r="B8644" s="30" t="s">
        <v>1226</v>
      </c>
      <c r="D8644" s="30" t="s">
        <v>2024</v>
      </c>
      <c r="F8644" s="30" t="s">
        <v>2046</v>
      </c>
      <c r="H8644" s="30" t="s">
        <v>2859</v>
      </c>
      <c r="J8644" s="30" t="s">
        <v>2860</v>
      </c>
      <c r="L8644" s="30" t="s">
        <v>2990</v>
      </c>
      <c r="N8644" s="30" t="s">
        <v>15144</v>
      </c>
      <c r="P8644" s="30" t="s">
        <v>15145</v>
      </c>
      <c r="Q8644" t="s">
        <v>621</v>
      </c>
      <c r="R8644" t="s">
        <v>917</v>
      </c>
      <c r="S8644">
        <v>39</v>
      </c>
      <c r="T8644" s="29" t="str">
        <f>HYPERLINK("https://ictv.global/ictv/proposals/2023.001B.Leviviricetes_reorg.zip","2023.001B.Leviviricetes_reorg.zip")</f>
        <v>2023.001B.Leviviricetes_reorg.zip</v>
      </c>
      <c r="U8644" s="29" t="str">
        <f>HYPERLINK("https://ictv.global/taxonomy/taxondetails?taxnode_id=202316281","ictv.global=202316281")</f>
        <v>ictv.global=202316281</v>
      </c>
    </row>
    <row r="8645" spans="1:21">
      <c r="A8645">
        <v>8644</v>
      </c>
      <c r="B8645" s="30" t="s">
        <v>1226</v>
      </c>
      <c r="D8645" s="30" t="s">
        <v>2024</v>
      </c>
      <c r="F8645" s="30" t="s">
        <v>2046</v>
      </c>
      <c r="H8645" s="30" t="s">
        <v>2859</v>
      </c>
      <c r="J8645" s="30" t="s">
        <v>2860</v>
      </c>
      <c r="L8645" s="30" t="s">
        <v>2990</v>
      </c>
      <c r="N8645" s="30" t="s">
        <v>15146</v>
      </c>
      <c r="P8645" s="30" t="s">
        <v>15147</v>
      </c>
      <c r="Q8645" t="s">
        <v>621</v>
      </c>
      <c r="R8645" t="s">
        <v>917</v>
      </c>
      <c r="S8645">
        <v>39</v>
      </c>
      <c r="T8645" s="29" t="str">
        <f>HYPERLINK("https://ictv.global/ictv/proposals/2023.001B.Leviviricetes_reorg.zip","2023.001B.Leviviricetes_reorg.zip")</f>
        <v>2023.001B.Leviviricetes_reorg.zip</v>
      </c>
      <c r="U8645" s="29" t="str">
        <f>HYPERLINK("https://ictv.global/taxonomy/taxondetails?taxnode_id=202316282","ictv.global=202316282")</f>
        <v>ictv.global=202316282</v>
      </c>
    </row>
    <row r="8646" spans="1:21">
      <c r="A8646">
        <v>8645</v>
      </c>
      <c r="B8646" s="30" t="s">
        <v>1226</v>
      </c>
      <c r="D8646" s="30" t="s">
        <v>2024</v>
      </c>
      <c r="F8646" s="30" t="s">
        <v>2046</v>
      </c>
      <c r="H8646" s="30" t="s">
        <v>2859</v>
      </c>
      <c r="J8646" s="30" t="s">
        <v>2860</v>
      </c>
      <c r="L8646" s="30" t="s">
        <v>2990</v>
      </c>
      <c r="N8646" s="30" t="s">
        <v>15148</v>
      </c>
      <c r="P8646" s="30" t="s">
        <v>15149</v>
      </c>
      <c r="Q8646" t="s">
        <v>621</v>
      </c>
      <c r="R8646" t="s">
        <v>917</v>
      </c>
      <c r="S8646">
        <v>39</v>
      </c>
      <c r="T8646" s="29" t="str">
        <f>HYPERLINK("https://ictv.global/ictv/proposals/2023.001B.Leviviricetes_reorg.zip","2023.001B.Leviviricetes_reorg.zip")</f>
        <v>2023.001B.Leviviricetes_reorg.zip</v>
      </c>
      <c r="U8646" s="29" t="str">
        <f>HYPERLINK("https://ictv.global/taxonomy/taxondetails?taxnode_id=202316283","ictv.global=202316283")</f>
        <v>ictv.global=202316283</v>
      </c>
    </row>
    <row r="8647" spans="1:21">
      <c r="A8647">
        <v>8646</v>
      </c>
      <c r="B8647" s="30" t="s">
        <v>1226</v>
      </c>
      <c r="D8647" s="30" t="s">
        <v>2024</v>
      </c>
      <c r="F8647" s="30" t="s">
        <v>2046</v>
      </c>
      <c r="H8647" s="30" t="s">
        <v>2859</v>
      </c>
      <c r="J8647" s="30" t="s">
        <v>2860</v>
      </c>
      <c r="L8647" s="30" t="s">
        <v>2990</v>
      </c>
      <c r="N8647" s="30" t="s">
        <v>3088</v>
      </c>
      <c r="P8647" s="30" t="s">
        <v>3089</v>
      </c>
      <c r="Q8647" t="s">
        <v>621</v>
      </c>
      <c r="R8647" t="s">
        <v>917</v>
      </c>
      <c r="S8647">
        <v>36</v>
      </c>
      <c r="T8647" s="29" t="str">
        <f>HYPERLINK("https://ictv.global/ictv/proposals/2020.095B.R.Leviviricetes.zip","2020.095B.R.Leviviricetes.zip")</f>
        <v>2020.095B.R.Leviviricetes.zip</v>
      </c>
      <c r="U8647" s="29" t="str">
        <f>HYPERLINK("https://ictv.global/taxonomy/taxondetails?taxnode_id=202310360","ictv.global=202310360")</f>
        <v>ictv.global=202310360</v>
      </c>
    </row>
    <row r="8648" spans="1:21">
      <c r="A8648">
        <v>8647</v>
      </c>
      <c r="B8648" s="30" t="s">
        <v>1226</v>
      </c>
      <c r="D8648" s="30" t="s">
        <v>2024</v>
      </c>
      <c r="F8648" s="30" t="s">
        <v>2046</v>
      </c>
      <c r="H8648" s="30" t="s">
        <v>2859</v>
      </c>
      <c r="J8648" s="30" t="s">
        <v>2860</v>
      </c>
      <c r="L8648" s="30" t="s">
        <v>2990</v>
      </c>
      <c r="N8648" s="30" t="s">
        <v>15150</v>
      </c>
      <c r="P8648" s="30" t="s">
        <v>15151</v>
      </c>
      <c r="Q8648" t="s">
        <v>621</v>
      </c>
      <c r="R8648" t="s">
        <v>917</v>
      </c>
      <c r="S8648">
        <v>39</v>
      </c>
      <c r="T8648" s="29" t="str">
        <f>HYPERLINK("https://ictv.global/ictv/proposals/2023.001B.Leviviricetes_reorg.zip","2023.001B.Leviviricetes_reorg.zip")</f>
        <v>2023.001B.Leviviricetes_reorg.zip</v>
      </c>
      <c r="U8648" s="29" t="str">
        <f>HYPERLINK("https://ictv.global/taxonomy/taxondetails?taxnode_id=202316284","ictv.global=202316284")</f>
        <v>ictv.global=202316284</v>
      </c>
    </row>
    <row r="8649" spans="1:21">
      <c r="A8649">
        <v>8648</v>
      </c>
      <c r="B8649" s="30" t="s">
        <v>1226</v>
      </c>
      <c r="D8649" s="30" t="s">
        <v>2024</v>
      </c>
      <c r="F8649" s="30" t="s">
        <v>2046</v>
      </c>
      <c r="H8649" s="30" t="s">
        <v>2859</v>
      </c>
      <c r="J8649" s="30" t="s">
        <v>2860</v>
      </c>
      <c r="L8649" s="30" t="s">
        <v>2990</v>
      </c>
      <c r="N8649" s="30" t="s">
        <v>3090</v>
      </c>
      <c r="P8649" s="30" t="s">
        <v>3091</v>
      </c>
      <c r="Q8649" t="s">
        <v>621</v>
      </c>
      <c r="R8649" t="s">
        <v>917</v>
      </c>
      <c r="S8649">
        <v>36</v>
      </c>
      <c r="T8649" s="29" t="str">
        <f>HYPERLINK("https://ictv.global/ictv/proposals/2020.095B.R.Leviviricetes.zip","2020.095B.R.Leviviricetes.zip")</f>
        <v>2020.095B.R.Leviviricetes.zip</v>
      </c>
      <c r="U8649" s="29" t="str">
        <f>HYPERLINK("https://ictv.global/taxonomy/taxondetails?taxnode_id=202310362","ictv.global=202310362")</f>
        <v>ictv.global=202310362</v>
      </c>
    </row>
    <row r="8650" spans="1:21">
      <c r="A8650">
        <v>8649</v>
      </c>
      <c r="B8650" s="30" t="s">
        <v>1226</v>
      </c>
      <c r="D8650" s="30" t="s">
        <v>2024</v>
      </c>
      <c r="F8650" s="30" t="s">
        <v>2046</v>
      </c>
      <c r="H8650" s="30" t="s">
        <v>2859</v>
      </c>
      <c r="J8650" s="30" t="s">
        <v>2860</v>
      </c>
      <c r="L8650" s="30" t="s">
        <v>2990</v>
      </c>
      <c r="N8650" s="30" t="s">
        <v>3092</v>
      </c>
      <c r="P8650" s="30" t="s">
        <v>3093</v>
      </c>
      <c r="Q8650" t="s">
        <v>621</v>
      </c>
      <c r="R8650" t="s">
        <v>917</v>
      </c>
      <c r="S8650">
        <v>36</v>
      </c>
      <c r="T8650" s="29" t="str">
        <f>HYPERLINK("https://ictv.global/ictv/proposals/2020.095B.R.Leviviricetes.zip","2020.095B.R.Leviviricetes.zip")</f>
        <v>2020.095B.R.Leviviricetes.zip</v>
      </c>
      <c r="U8650" s="29" t="str">
        <f>HYPERLINK("https://ictv.global/taxonomy/taxondetails?taxnode_id=202310364","ictv.global=202310364")</f>
        <v>ictv.global=202310364</v>
      </c>
    </row>
    <row r="8651" spans="1:21">
      <c r="A8651">
        <v>8650</v>
      </c>
      <c r="B8651" s="30" t="s">
        <v>1226</v>
      </c>
      <c r="D8651" s="30" t="s">
        <v>2024</v>
      </c>
      <c r="F8651" s="30" t="s">
        <v>2046</v>
      </c>
      <c r="H8651" s="30" t="s">
        <v>2859</v>
      </c>
      <c r="J8651" s="30" t="s">
        <v>2860</v>
      </c>
      <c r="L8651" s="30" t="s">
        <v>2990</v>
      </c>
      <c r="N8651" s="30" t="s">
        <v>15152</v>
      </c>
      <c r="P8651" s="30" t="s">
        <v>15153</v>
      </c>
      <c r="Q8651" t="s">
        <v>621</v>
      </c>
      <c r="R8651" t="s">
        <v>917</v>
      </c>
      <c r="S8651">
        <v>39</v>
      </c>
      <c r="T8651" s="29" t="str">
        <f>HYPERLINK("https://ictv.global/ictv/proposals/2023.001B.Leviviricetes_reorg.zip","2023.001B.Leviviricetes_reorg.zip")</f>
        <v>2023.001B.Leviviricetes_reorg.zip</v>
      </c>
      <c r="U8651" s="29" t="str">
        <f>HYPERLINK("https://ictv.global/taxonomy/taxondetails?taxnode_id=202316285","ictv.global=202316285")</f>
        <v>ictv.global=202316285</v>
      </c>
    </row>
    <row r="8652" spans="1:21">
      <c r="A8652">
        <v>8651</v>
      </c>
      <c r="B8652" s="30" t="s">
        <v>1226</v>
      </c>
      <c r="D8652" s="30" t="s">
        <v>2024</v>
      </c>
      <c r="F8652" s="30" t="s">
        <v>2046</v>
      </c>
      <c r="H8652" s="30" t="s">
        <v>2859</v>
      </c>
      <c r="J8652" s="30" t="s">
        <v>2860</v>
      </c>
      <c r="L8652" s="30" t="s">
        <v>2990</v>
      </c>
      <c r="N8652" s="30" t="s">
        <v>3094</v>
      </c>
      <c r="P8652" s="30" t="s">
        <v>3095</v>
      </c>
      <c r="Q8652" t="s">
        <v>621</v>
      </c>
      <c r="R8652" t="s">
        <v>917</v>
      </c>
      <c r="S8652">
        <v>36</v>
      </c>
      <c r="T8652" s="29" t="str">
        <f>HYPERLINK("https://ictv.global/ictv/proposals/2020.095B.R.Leviviricetes.zip","2020.095B.R.Leviviricetes.zip")</f>
        <v>2020.095B.R.Leviviricetes.zip</v>
      </c>
      <c r="U8652" s="29" t="str">
        <f>HYPERLINK("https://ictv.global/taxonomy/taxondetails?taxnode_id=202310369","ictv.global=202310369")</f>
        <v>ictv.global=202310369</v>
      </c>
    </row>
    <row r="8653" spans="1:21">
      <c r="A8653">
        <v>8652</v>
      </c>
      <c r="B8653" s="30" t="s">
        <v>1226</v>
      </c>
      <c r="D8653" s="30" t="s">
        <v>2024</v>
      </c>
      <c r="F8653" s="30" t="s">
        <v>2046</v>
      </c>
      <c r="H8653" s="30" t="s">
        <v>2859</v>
      </c>
      <c r="J8653" s="30" t="s">
        <v>2860</v>
      </c>
      <c r="L8653" s="30" t="s">
        <v>2990</v>
      </c>
      <c r="N8653" s="30" t="s">
        <v>3094</v>
      </c>
      <c r="P8653" s="30" t="s">
        <v>3096</v>
      </c>
      <c r="Q8653" t="s">
        <v>621</v>
      </c>
      <c r="R8653" t="s">
        <v>917</v>
      </c>
      <c r="S8653">
        <v>36</v>
      </c>
      <c r="T8653" s="29" t="str">
        <f>HYPERLINK("https://ictv.global/ictv/proposals/2020.095B.R.Leviviricetes.zip","2020.095B.R.Leviviricetes.zip")</f>
        <v>2020.095B.R.Leviviricetes.zip</v>
      </c>
      <c r="U8653" s="29" t="str">
        <f>HYPERLINK("https://ictv.global/taxonomy/taxondetails?taxnode_id=202310368","ictv.global=202310368")</f>
        <v>ictv.global=202310368</v>
      </c>
    </row>
    <row r="8654" spans="1:21">
      <c r="A8654">
        <v>8653</v>
      </c>
      <c r="B8654" s="30" t="s">
        <v>1226</v>
      </c>
      <c r="D8654" s="30" t="s">
        <v>2024</v>
      </c>
      <c r="F8654" s="30" t="s">
        <v>2046</v>
      </c>
      <c r="H8654" s="30" t="s">
        <v>2859</v>
      </c>
      <c r="J8654" s="30" t="s">
        <v>2860</v>
      </c>
      <c r="L8654" s="30" t="s">
        <v>2990</v>
      </c>
      <c r="N8654" s="30" t="s">
        <v>3097</v>
      </c>
      <c r="P8654" s="30" t="s">
        <v>3098</v>
      </c>
      <c r="Q8654" t="s">
        <v>621</v>
      </c>
      <c r="R8654" t="s">
        <v>917</v>
      </c>
      <c r="S8654">
        <v>36</v>
      </c>
      <c r="T8654" s="29" t="str">
        <f>HYPERLINK("https://ictv.global/ictv/proposals/2020.095B.R.Leviviricetes.zip","2020.095B.R.Leviviricetes.zip")</f>
        <v>2020.095B.R.Leviviricetes.zip</v>
      </c>
      <c r="U8654" s="29" t="str">
        <f>HYPERLINK("https://ictv.global/taxonomy/taxondetails?taxnode_id=202310371","ictv.global=202310371")</f>
        <v>ictv.global=202310371</v>
      </c>
    </row>
    <row r="8655" spans="1:21">
      <c r="A8655">
        <v>8654</v>
      </c>
      <c r="B8655" s="30" t="s">
        <v>1226</v>
      </c>
      <c r="D8655" s="30" t="s">
        <v>2024</v>
      </c>
      <c r="F8655" s="30" t="s">
        <v>2046</v>
      </c>
      <c r="H8655" s="30" t="s">
        <v>2859</v>
      </c>
      <c r="J8655" s="30" t="s">
        <v>2860</v>
      </c>
      <c r="L8655" s="30" t="s">
        <v>2990</v>
      </c>
      <c r="N8655" s="30" t="s">
        <v>3099</v>
      </c>
      <c r="P8655" s="30" t="s">
        <v>3100</v>
      </c>
      <c r="Q8655" t="s">
        <v>621</v>
      </c>
      <c r="R8655" t="s">
        <v>917</v>
      </c>
      <c r="S8655">
        <v>36</v>
      </c>
      <c r="T8655" s="29" t="str">
        <f>HYPERLINK("https://ictv.global/ictv/proposals/2020.095B.R.Leviviricetes.zip","2020.095B.R.Leviviricetes.zip")</f>
        <v>2020.095B.R.Leviviricetes.zip</v>
      </c>
      <c r="U8655" s="29" t="str">
        <f>HYPERLINK("https://ictv.global/taxonomy/taxondetails?taxnode_id=202310373","ictv.global=202310373")</f>
        <v>ictv.global=202310373</v>
      </c>
    </row>
    <row r="8656" spans="1:21">
      <c r="A8656">
        <v>8655</v>
      </c>
      <c r="B8656" s="30" t="s">
        <v>1226</v>
      </c>
      <c r="D8656" s="30" t="s">
        <v>2024</v>
      </c>
      <c r="F8656" s="30" t="s">
        <v>2046</v>
      </c>
      <c r="H8656" s="30" t="s">
        <v>2859</v>
      </c>
      <c r="J8656" s="30" t="s">
        <v>2860</v>
      </c>
      <c r="L8656" s="30" t="s">
        <v>2990</v>
      </c>
      <c r="N8656" s="30" t="s">
        <v>15154</v>
      </c>
      <c r="P8656" s="30" t="s">
        <v>15155</v>
      </c>
      <c r="Q8656" t="s">
        <v>621</v>
      </c>
      <c r="R8656" t="s">
        <v>917</v>
      </c>
      <c r="S8656">
        <v>39</v>
      </c>
      <c r="T8656" s="29" t="str">
        <f>HYPERLINK("https://ictv.global/ictv/proposals/2023.001B.Leviviricetes_reorg.zip","2023.001B.Leviviricetes_reorg.zip")</f>
        <v>2023.001B.Leviviricetes_reorg.zip</v>
      </c>
      <c r="U8656" s="29" t="str">
        <f>HYPERLINK("https://ictv.global/taxonomy/taxondetails?taxnode_id=202316286","ictv.global=202316286")</f>
        <v>ictv.global=202316286</v>
      </c>
    </row>
    <row r="8657" spans="1:21">
      <c r="A8657">
        <v>8656</v>
      </c>
      <c r="B8657" s="30" t="s">
        <v>1226</v>
      </c>
      <c r="D8657" s="30" t="s">
        <v>2024</v>
      </c>
      <c r="F8657" s="30" t="s">
        <v>2046</v>
      </c>
      <c r="H8657" s="30" t="s">
        <v>2859</v>
      </c>
      <c r="J8657" s="30" t="s">
        <v>2860</v>
      </c>
      <c r="L8657" s="30" t="s">
        <v>2990</v>
      </c>
      <c r="N8657" s="30" t="s">
        <v>15156</v>
      </c>
      <c r="P8657" s="30" t="s">
        <v>15157</v>
      </c>
      <c r="Q8657" t="s">
        <v>621</v>
      </c>
      <c r="R8657" t="s">
        <v>917</v>
      </c>
      <c r="S8657">
        <v>39</v>
      </c>
      <c r="T8657" s="29" t="str">
        <f>HYPERLINK("https://ictv.global/ictv/proposals/2023.001B.Leviviricetes_reorg.zip","2023.001B.Leviviricetes_reorg.zip")</f>
        <v>2023.001B.Leviviricetes_reorg.zip</v>
      </c>
      <c r="U8657" s="29" t="str">
        <f>HYPERLINK("https://ictv.global/taxonomy/taxondetails?taxnode_id=202316287","ictv.global=202316287")</f>
        <v>ictv.global=202316287</v>
      </c>
    </row>
    <row r="8658" spans="1:21">
      <c r="A8658">
        <v>8657</v>
      </c>
      <c r="B8658" s="30" t="s">
        <v>1226</v>
      </c>
      <c r="D8658" s="30" t="s">
        <v>2024</v>
      </c>
      <c r="F8658" s="30" t="s">
        <v>2046</v>
      </c>
      <c r="H8658" s="30" t="s">
        <v>2859</v>
      </c>
      <c r="J8658" s="30" t="s">
        <v>2860</v>
      </c>
      <c r="L8658" s="30" t="s">
        <v>2990</v>
      </c>
      <c r="N8658" s="30" t="s">
        <v>15158</v>
      </c>
      <c r="P8658" s="30" t="s">
        <v>15159</v>
      </c>
      <c r="Q8658" t="s">
        <v>621</v>
      </c>
      <c r="R8658" t="s">
        <v>917</v>
      </c>
      <c r="S8658">
        <v>39</v>
      </c>
      <c r="T8658" s="29" t="str">
        <f>HYPERLINK("https://ictv.global/ictv/proposals/2023.001B.Leviviricetes_reorg.zip","2023.001B.Leviviricetes_reorg.zip")</f>
        <v>2023.001B.Leviviricetes_reorg.zip</v>
      </c>
      <c r="U8658" s="29" t="str">
        <f>HYPERLINK("https://ictv.global/taxonomy/taxondetails?taxnode_id=202316288","ictv.global=202316288")</f>
        <v>ictv.global=202316288</v>
      </c>
    </row>
    <row r="8659" spans="1:21">
      <c r="A8659">
        <v>8658</v>
      </c>
      <c r="B8659" s="30" t="s">
        <v>1226</v>
      </c>
      <c r="D8659" s="30" t="s">
        <v>2024</v>
      </c>
      <c r="F8659" s="30" t="s">
        <v>2046</v>
      </c>
      <c r="H8659" s="30" t="s">
        <v>2859</v>
      </c>
      <c r="J8659" s="30" t="s">
        <v>2860</v>
      </c>
      <c r="L8659" s="30" t="s">
        <v>2990</v>
      </c>
      <c r="N8659" s="30" t="s">
        <v>15160</v>
      </c>
      <c r="P8659" s="30" t="s">
        <v>15161</v>
      </c>
      <c r="Q8659" t="s">
        <v>621</v>
      </c>
      <c r="R8659" t="s">
        <v>917</v>
      </c>
      <c r="S8659">
        <v>39</v>
      </c>
      <c r="T8659" s="29" t="str">
        <f>HYPERLINK("https://ictv.global/ictv/proposals/2023.001B.Leviviricetes_reorg.zip","2023.001B.Leviviricetes_reorg.zip")</f>
        <v>2023.001B.Leviviricetes_reorg.zip</v>
      </c>
      <c r="U8659" s="29" t="str">
        <f>HYPERLINK("https://ictv.global/taxonomy/taxondetails?taxnode_id=202316289","ictv.global=202316289")</f>
        <v>ictv.global=202316289</v>
      </c>
    </row>
    <row r="8660" spans="1:21">
      <c r="A8660">
        <v>8659</v>
      </c>
      <c r="B8660" s="30" t="s">
        <v>1226</v>
      </c>
      <c r="D8660" s="30" t="s">
        <v>2024</v>
      </c>
      <c r="F8660" s="30" t="s">
        <v>2046</v>
      </c>
      <c r="H8660" s="30" t="s">
        <v>2859</v>
      </c>
      <c r="J8660" s="30" t="s">
        <v>2860</v>
      </c>
      <c r="L8660" s="30" t="s">
        <v>2990</v>
      </c>
      <c r="N8660" s="30" t="s">
        <v>15162</v>
      </c>
      <c r="P8660" s="30" t="s">
        <v>15163</v>
      </c>
      <c r="Q8660" t="s">
        <v>621</v>
      </c>
      <c r="R8660" t="s">
        <v>917</v>
      </c>
      <c r="S8660">
        <v>39</v>
      </c>
      <c r="T8660" s="29" t="str">
        <f>HYPERLINK("https://ictv.global/ictv/proposals/2023.001B.Leviviricetes_reorg.zip","2023.001B.Leviviricetes_reorg.zip")</f>
        <v>2023.001B.Leviviricetes_reorg.zip</v>
      </c>
      <c r="U8660" s="29" t="str">
        <f>HYPERLINK("https://ictv.global/taxonomy/taxondetails?taxnode_id=202316290","ictv.global=202316290")</f>
        <v>ictv.global=202316290</v>
      </c>
    </row>
    <row r="8661" spans="1:21">
      <c r="A8661">
        <v>8660</v>
      </c>
      <c r="B8661" s="30" t="s">
        <v>1226</v>
      </c>
      <c r="D8661" s="30" t="s">
        <v>2024</v>
      </c>
      <c r="F8661" s="30" t="s">
        <v>2046</v>
      </c>
      <c r="H8661" s="30" t="s">
        <v>2859</v>
      </c>
      <c r="J8661" s="30" t="s">
        <v>2860</v>
      </c>
      <c r="L8661" s="30" t="s">
        <v>2990</v>
      </c>
      <c r="N8661" s="30" t="s">
        <v>3101</v>
      </c>
      <c r="P8661" s="30" t="s">
        <v>3102</v>
      </c>
      <c r="Q8661" t="s">
        <v>621</v>
      </c>
      <c r="R8661" t="s">
        <v>917</v>
      </c>
      <c r="S8661">
        <v>36</v>
      </c>
      <c r="T8661" s="29" t="str">
        <f>HYPERLINK("https://ictv.global/ictv/proposals/2020.095B.R.Leviviricetes.zip","2020.095B.R.Leviviricetes.zip")</f>
        <v>2020.095B.R.Leviviricetes.zip</v>
      </c>
      <c r="U8661" s="29" t="str">
        <f>HYPERLINK("https://ictv.global/taxonomy/taxondetails?taxnode_id=202310375","ictv.global=202310375")</f>
        <v>ictv.global=202310375</v>
      </c>
    </row>
    <row r="8662" spans="1:21">
      <c r="A8662">
        <v>8661</v>
      </c>
      <c r="B8662" s="30" t="s">
        <v>1226</v>
      </c>
      <c r="D8662" s="30" t="s">
        <v>2024</v>
      </c>
      <c r="F8662" s="30" t="s">
        <v>2046</v>
      </c>
      <c r="H8662" s="30" t="s">
        <v>2859</v>
      </c>
      <c r="J8662" s="30" t="s">
        <v>2860</v>
      </c>
      <c r="L8662" s="30" t="s">
        <v>2990</v>
      </c>
      <c r="N8662" s="30" t="s">
        <v>3103</v>
      </c>
      <c r="P8662" s="30" t="s">
        <v>3104</v>
      </c>
      <c r="Q8662" t="s">
        <v>621</v>
      </c>
      <c r="R8662" t="s">
        <v>917</v>
      </c>
      <c r="S8662">
        <v>36</v>
      </c>
      <c r="T8662" s="29" t="str">
        <f>HYPERLINK("https://ictv.global/ictv/proposals/2020.095B.R.Leviviricetes.zip","2020.095B.R.Leviviricetes.zip")</f>
        <v>2020.095B.R.Leviviricetes.zip</v>
      </c>
      <c r="U8662" s="29" t="str">
        <f>HYPERLINK("https://ictv.global/taxonomy/taxondetails?taxnode_id=202310377","ictv.global=202310377")</f>
        <v>ictv.global=202310377</v>
      </c>
    </row>
    <row r="8663" spans="1:21">
      <c r="A8663">
        <v>8662</v>
      </c>
      <c r="B8663" s="30" t="s">
        <v>1226</v>
      </c>
      <c r="D8663" s="30" t="s">
        <v>2024</v>
      </c>
      <c r="F8663" s="30" t="s">
        <v>2046</v>
      </c>
      <c r="H8663" s="30" t="s">
        <v>2859</v>
      </c>
      <c r="J8663" s="30" t="s">
        <v>2860</v>
      </c>
      <c r="L8663" s="30" t="s">
        <v>2990</v>
      </c>
      <c r="N8663" s="30" t="s">
        <v>15164</v>
      </c>
      <c r="P8663" s="30" t="s">
        <v>15165</v>
      </c>
      <c r="Q8663" t="s">
        <v>621</v>
      </c>
      <c r="R8663" t="s">
        <v>918</v>
      </c>
      <c r="S8663">
        <v>39</v>
      </c>
      <c r="T8663" s="29" t="str">
        <f>HYPERLINK("https://ictv.global/ictv/proposals/2023.001B.Leviviricetes_reorg.zip","2023.001B.Leviviricetes_reorg.zip")</f>
        <v>2023.001B.Leviviricetes_reorg.zip</v>
      </c>
      <c r="U8663" s="29" t="str">
        <f>HYPERLINK("https://ictv.global/taxonomy/taxondetails?taxnode_id=202310261","ictv.global=202310261")</f>
        <v>ictv.global=202310261</v>
      </c>
    </row>
    <row r="8664" spans="1:21">
      <c r="A8664">
        <v>8663</v>
      </c>
      <c r="B8664" s="30" t="s">
        <v>1226</v>
      </c>
      <c r="D8664" s="30" t="s">
        <v>2024</v>
      </c>
      <c r="F8664" s="30" t="s">
        <v>2046</v>
      </c>
      <c r="H8664" s="30" t="s">
        <v>2859</v>
      </c>
      <c r="J8664" s="30" t="s">
        <v>2860</v>
      </c>
      <c r="L8664" s="30" t="s">
        <v>2990</v>
      </c>
      <c r="N8664" s="30" t="s">
        <v>15164</v>
      </c>
      <c r="P8664" s="30" t="s">
        <v>15166</v>
      </c>
      <c r="Q8664" t="s">
        <v>621</v>
      </c>
      <c r="R8664" t="s">
        <v>918</v>
      </c>
      <c r="S8664">
        <v>39</v>
      </c>
      <c r="T8664" s="29" t="str">
        <f>HYPERLINK("https://ictv.global/ictv/proposals/2023.001B.Leviviricetes_reorg.zip","2023.001B.Leviviricetes_reorg.zip")</f>
        <v>2023.001B.Leviviricetes_reorg.zip</v>
      </c>
      <c r="U8664" s="29" t="str">
        <f>HYPERLINK("https://ictv.global/taxonomy/taxondetails?taxnode_id=202310263","ictv.global=202310263")</f>
        <v>ictv.global=202310263</v>
      </c>
    </row>
    <row r="8665" spans="1:21">
      <c r="A8665">
        <v>8664</v>
      </c>
      <c r="B8665" s="30" t="s">
        <v>1226</v>
      </c>
      <c r="D8665" s="30" t="s">
        <v>2024</v>
      </c>
      <c r="F8665" s="30" t="s">
        <v>2046</v>
      </c>
      <c r="H8665" s="30" t="s">
        <v>2859</v>
      </c>
      <c r="J8665" s="30" t="s">
        <v>2860</v>
      </c>
      <c r="L8665" s="30" t="s">
        <v>2990</v>
      </c>
      <c r="N8665" s="30" t="s">
        <v>15164</v>
      </c>
      <c r="P8665" s="30" t="s">
        <v>15167</v>
      </c>
      <c r="Q8665" t="s">
        <v>621</v>
      </c>
      <c r="R8665" t="s">
        <v>917</v>
      </c>
      <c r="S8665">
        <v>39</v>
      </c>
      <c r="T8665" s="29" t="str">
        <f>HYPERLINK("https://ictv.global/ictv/proposals/2023.001B.Leviviricetes_reorg.zip","2023.001B.Leviviricetes_reorg.zip")</f>
        <v>2023.001B.Leviviricetes_reorg.zip</v>
      </c>
      <c r="U8665" s="29" t="str">
        <f>HYPERLINK("https://ictv.global/taxonomy/taxondetails?taxnode_id=202316291","ictv.global=202316291")</f>
        <v>ictv.global=202316291</v>
      </c>
    </row>
    <row r="8666" spans="1:21">
      <c r="A8666">
        <v>8665</v>
      </c>
      <c r="B8666" s="30" t="s">
        <v>1226</v>
      </c>
      <c r="D8666" s="30" t="s">
        <v>2024</v>
      </c>
      <c r="F8666" s="30" t="s">
        <v>2046</v>
      </c>
      <c r="H8666" s="30" t="s">
        <v>2859</v>
      </c>
      <c r="J8666" s="30" t="s">
        <v>2860</v>
      </c>
      <c r="L8666" s="30" t="s">
        <v>2990</v>
      </c>
      <c r="N8666" s="30" t="s">
        <v>3105</v>
      </c>
      <c r="P8666" s="30" t="s">
        <v>3106</v>
      </c>
      <c r="Q8666" t="s">
        <v>621</v>
      </c>
      <c r="R8666" t="s">
        <v>917</v>
      </c>
      <c r="S8666">
        <v>36</v>
      </c>
      <c r="T8666" s="29" t="str">
        <f>HYPERLINK("https://ictv.global/ictv/proposals/2020.095B.R.Leviviricetes.zip","2020.095B.R.Leviviricetes.zip")</f>
        <v>2020.095B.R.Leviviricetes.zip</v>
      </c>
      <c r="U8666" s="29" t="str">
        <f>HYPERLINK("https://ictv.global/taxonomy/taxondetails?taxnode_id=202310379","ictv.global=202310379")</f>
        <v>ictv.global=202310379</v>
      </c>
    </row>
    <row r="8667" spans="1:21">
      <c r="A8667">
        <v>8666</v>
      </c>
      <c r="B8667" s="30" t="s">
        <v>1226</v>
      </c>
      <c r="D8667" s="30" t="s">
        <v>2024</v>
      </c>
      <c r="F8667" s="30" t="s">
        <v>2046</v>
      </c>
      <c r="H8667" s="30" t="s">
        <v>2859</v>
      </c>
      <c r="J8667" s="30" t="s">
        <v>2860</v>
      </c>
      <c r="L8667" s="30" t="s">
        <v>2990</v>
      </c>
      <c r="N8667" s="30" t="s">
        <v>3107</v>
      </c>
      <c r="P8667" s="30" t="s">
        <v>3108</v>
      </c>
      <c r="Q8667" t="s">
        <v>621</v>
      </c>
      <c r="R8667" t="s">
        <v>917</v>
      </c>
      <c r="S8667">
        <v>36</v>
      </c>
      <c r="T8667" s="29" t="str">
        <f>HYPERLINK("https://ictv.global/ictv/proposals/2020.095B.R.Leviviricetes.zip","2020.095B.R.Leviviricetes.zip")</f>
        <v>2020.095B.R.Leviviricetes.zip</v>
      </c>
      <c r="U8667" s="29" t="str">
        <f>HYPERLINK("https://ictv.global/taxonomy/taxondetails?taxnode_id=202310381","ictv.global=202310381")</f>
        <v>ictv.global=202310381</v>
      </c>
    </row>
    <row r="8668" spans="1:21">
      <c r="A8668">
        <v>8667</v>
      </c>
      <c r="B8668" s="30" t="s">
        <v>1226</v>
      </c>
      <c r="D8668" s="30" t="s">
        <v>2024</v>
      </c>
      <c r="F8668" s="30" t="s">
        <v>2046</v>
      </c>
      <c r="H8668" s="30" t="s">
        <v>2859</v>
      </c>
      <c r="J8668" s="30" t="s">
        <v>2860</v>
      </c>
      <c r="L8668" s="30" t="s">
        <v>2990</v>
      </c>
      <c r="N8668" s="30" t="s">
        <v>15168</v>
      </c>
      <c r="P8668" s="30" t="s">
        <v>15169</v>
      </c>
      <c r="Q8668" t="s">
        <v>621</v>
      </c>
      <c r="R8668" t="s">
        <v>917</v>
      </c>
      <c r="S8668">
        <v>39</v>
      </c>
      <c r="T8668" s="29" t="str">
        <f t="shared" ref="T8668:T8675" si="368">HYPERLINK("https://ictv.global/ictv/proposals/2023.001B.Leviviricetes_reorg.zip","2023.001B.Leviviricetes_reorg.zip")</f>
        <v>2023.001B.Leviviricetes_reorg.zip</v>
      </c>
      <c r="U8668" s="29" t="str">
        <f>HYPERLINK("https://ictv.global/taxonomy/taxondetails?taxnode_id=202316292","ictv.global=202316292")</f>
        <v>ictv.global=202316292</v>
      </c>
    </row>
    <row r="8669" spans="1:21">
      <c r="A8669">
        <v>8668</v>
      </c>
      <c r="B8669" s="30" t="s">
        <v>1226</v>
      </c>
      <c r="D8669" s="30" t="s">
        <v>2024</v>
      </c>
      <c r="F8669" s="30" t="s">
        <v>2046</v>
      </c>
      <c r="H8669" s="30" t="s">
        <v>2859</v>
      </c>
      <c r="J8669" s="30" t="s">
        <v>2860</v>
      </c>
      <c r="L8669" s="30" t="s">
        <v>2990</v>
      </c>
      <c r="N8669" s="30" t="s">
        <v>15170</v>
      </c>
      <c r="P8669" s="30" t="s">
        <v>15171</v>
      </c>
      <c r="Q8669" t="s">
        <v>621</v>
      </c>
      <c r="R8669" t="s">
        <v>917</v>
      </c>
      <c r="S8669">
        <v>39</v>
      </c>
      <c r="T8669" s="29" t="str">
        <f t="shared" si="368"/>
        <v>2023.001B.Leviviricetes_reorg.zip</v>
      </c>
      <c r="U8669" s="29" t="str">
        <f>HYPERLINK("https://ictv.global/taxonomy/taxondetails?taxnode_id=202316293","ictv.global=202316293")</f>
        <v>ictv.global=202316293</v>
      </c>
    </row>
    <row r="8670" spans="1:21">
      <c r="A8670">
        <v>8669</v>
      </c>
      <c r="B8670" s="30" t="s">
        <v>1226</v>
      </c>
      <c r="D8670" s="30" t="s">
        <v>2024</v>
      </c>
      <c r="F8670" s="30" t="s">
        <v>2046</v>
      </c>
      <c r="H8670" s="30" t="s">
        <v>2859</v>
      </c>
      <c r="J8670" s="30" t="s">
        <v>2860</v>
      </c>
      <c r="L8670" s="30" t="s">
        <v>2990</v>
      </c>
      <c r="N8670" s="30" t="s">
        <v>15170</v>
      </c>
      <c r="P8670" s="30" t="s">
        <v>15172</v>
      </c>
      <c r="Q8670" t="s">
        <v>621</v>
      </c>
      <c r="R8670" t="s">
        <v>918</v>
      </c>
      <c r="S8670">
        <v>39</v>
      </c>
      <c r="T8670" s="29" t="str">
        <f t="shared" si="368"/>
        <v>2023.001B.Leviviricetes_reorg.zip</v>
      </c>
      <c r="U8670" s="29" t="str">
        <f>HYPERLINK("https://ictv.global/taxonomy/taxondetails?taxnode_id=202310483","ictv.global=202310483")</f>
        <v>ictv.global=202310483</v>
      </c>
    </row>
    <row r="8671" spans="1:21">
      <c r="A8671">
        <v>8670</v>
      </c>
      <c r="B8671" s="30" t="s">
        <v>1226</v>
      </c>
      <c r="D8671" s="30" t="s">
        <v>2024</v>
      </c>
      <c r="F8671" s="30" t="s">
        <v>2046</v>
      </c>
      <c r="H8671" s="30" t="s">
        <v>2859</v>
      </c>
      <c r="J8671" s="30" t="s">
        <v>2860</v>
      </c>
      <c r="L8671" s="30" t="s">
        <v>2990</v>
      </c>
      <c r="N8671" s="30" t="s">
        <v>15170</v>
      </c>
      <c r="P8671" s="30" t="s">
        <v>15173</v>
      </c>
      <c r="Q8671" t="s">
        <v>621</v>
      </c>
      <c r="R8671" t="s">
        <v>918</v>
      </c>
      <c r="S8671">
        <v>39</v>
      </c>
      <c r="T8671" s="29" t="str">
        <f t="shared" si="368"/>
        <v>2023.001B.Leviviricetes_reorg.zip</v>
      </c>
      <c r="U8671" s="29" t="str">
        <f>HYPERLINK("https://ictv.global/taxonomy/taxondetails?taxnode_id=202310496","ictv.global=202310496")</f>
        <v>ictv.global=202310496</v>
      </c>
    </row>
    <row r="8672" spans="1:21">
      <c r="A8672">
        <v>8671</v>
      </c>
      <c r="B8672" s="30" t="s">
        <v>1226</v>
      </c>
      <c r="D8672" s="30" t="s">
        <v>2024</v>
      </c>
      <c r="F8672" s="30" t="s">
        <v>2046</v>
      </c>
      <c r="H8672" s="30" t="s">
        <v>2859</v>
      </c>
      <c r="J8672" s="30" t="s">
        <v>2860</v>
      </c>
      <c r="L8672" s="30" t="s">
        <v>2990</v>
      </c>
      <c r="N8672" s="30" t="s">
        <v>15170</v>
      </c>
      <c r="P8672" s="30" t="s">
        <v>15174</v>
      </c>
      <c r="Q8672" t="s">
        <v>621</v>
      </c>
      <c r="R8672" t="s">
        <v>917</v>
      </c>
      <c r="S8672">
        <v>39</v>
      </c>
      <c r="T8672" s="29" t="str">
        <f t="shared" si="368"/>
        <v>2023.001B.Leviviricetes_reorg.zip</v>
      </c>
      <c r="U8672" s="29" t="str">
        <f>HYPERLINK("https://ictv.global/taxonomy/taxondetails?taxnode_id=202316294","ictv.global=202316294")</f>
        <v>ictv.global=202316294</v>
      </c>
    </row>
    <row r="8673" spans="1:21">
      <c r="A8673">
        <v>8672</v>
      </c>
      <c r="B8673" s="30" t="s">
        <v>1226</v>
      </c>
      <c r="D8673" s="30" t="s">
        <v>2024</v>
      </c>
      <c r="F8673" s="30" t="s">
        <v>2046</v>
      </c>
      <c r="H8673" s="30" t="s">
        <v>2859</v>
      </c>
      <c r="J8673" s="30" t="s">
        <v>2860</v>
      </c>
      <c r="L8673" s="30" t="s">
        <v>2990</v>
      </c>
      <c r="N8673" s="30" t="s">
        <v>15170</v>
      </c>
      <c r="P8673" s="30" t="s">
        <v>15175</v>
      </c>
      <c r="Q8673" t="s">
        <v>621</v>
      </c>
      <c r="R8673" t="s">
        <v>917</v>
      </c>
      <c r="S8673">
        <v>39</v>
      </c>
      <c r="T8673" s="29" t="str">
        <f t="shared" si="368"/>
        <v>2023.001B.Leviviricetes_reorg.zip</v>
      </c>
      <c r="U8673" s="29" t="str">
        <f>HYPERLINK("https://ictv.global/taxonomy/taxondetails?taxnode_id=202316295","ictv.global=202316295")</f>
        <v>ictv.global=202316295</v>
      </c>
    </row>
    <row r="8674" spans="1:21">
      <c r="A8674">
        <v>8673</v>
      </c>
      <c r="B8674" s="30" t="s">
        <v>1226</v>
      </c>
      <c r="D8674" s="30" t="s">
        <v>2024</v>
      </c>
      <c r="F8674" s="30" t="s">
        <v>2046</v>
      </c>
      <c r="H8674" s="30" t="s">
        <v>2859</v>
      </c>
      <c r="J8674" s="30" t="s">
        <v>2860</v>
      </c>
      <c r="L8674" s="30" t="s">
        <v>2990</v>
      </c>
      <c r="N8674" s="30" t="s">
        <v>15170</v>
      </c>
      <c r="P8674" s="30" t="s">
        <v>15176</v>
      </c>
      <c r="Q8674" t="s">
        <v>621</v>
      </c>
      <c r="R8674" t="s">
        <v>918</v>
      </c>
      <c r="S8674">
        <v>39</v>
      </c>
      <c r="T8674" s="29" t="str">
        <f t="shared" si="368"/>
        <v>2023.001B.Leviviricetes_reorg.zip</v>
      </c>
      <c r="U8674" s="29" t="str">
        <f>HYPERLINK("https://ictv.global/taxonomy/taxondetails?taxnode_id=202310482","ictv.global=202310482")</f>
        <v>ictv.global=202310482</v>
      </c>
    </row>
    <row r="8675" spans="1:21">
      <c r="A8675">
        <v>8674</v>
      </c>
      <c r="B8675" s="30" t="s">
        <v>1226</v>
      </c>
      <c r="D8675" s="30" t="s">
        <v>2024</v>
      </c>
      <c r="F8675" s="30" t="s">
        <v>2046</v>
      </c>
      <c r="H8675" s="30" t="s">
        <v>2859</v>
      </c>
      <c r="J8675" s="30" t="s">
        <v>2860</v>
      </c>
      <c r="L8675" s="30" t="s">
        <v>2990</v>
      </c>
      <c r="N8675" s="30" t="s">
        <v>15170</v>
      </c>
      <c r="P8675" s="30" t="s">
        <v>15177</v>
      </c>
      <c r="Q8675" t="s">
        <v>621</v>
      </c>
      <c r="R8675" t="s">
        <v>917</v>
      </c>
      <c r="S8675">
        <v>39</v>
      </c>
      <c r="T8675" s="29" t="str">
        <f t="shared" si="368"/>
        <v>2023.001B.Leviviricetes_reorg.zip</v>
      </c>
      <c r="U8675" s="29" t="str">
        <f>HYPERLINK("https://ictv.global/taxonomy/taxondetails?taxnode_id=202316296","ictv.global=202316296")</f>
        <v>ictv.global=202316296</v>
      </c>
    </row>
    <row r="8676" spans="1:21">
      <c r="A8676">
        <v>8675</v>
      </c>
      <c r="B8676" s="30" t="s">
        <v>1226</v>
      </c>
      <c r="D8676" s="30" t="s">
        <v>2024</v>
      </c>
      <c r="F8676" s="30" t="s">
        <v>2046</v>
      </c>
      <c r="H8676" s="30" t="s">
        <v>2859</v>
      </c>
      <c r="J8676" s="30" t="s">
        <v>2860</v>
      </c>
      <c r="L8676" s="30" t="s">
        <v>2990</v>
      </c>
      <c r="N8676" s="30" t="s">
        <v>3109</v>
      </c>
      <c r="P8676" s="30" t="s">
        <v>3110</v>
      </c>
      <c r="Q8676" t="s">
        <v>621</v>
      </c>
      <c r="R8676" t="s">
        <v>917</v>
      </c>
      <c r="S8676">
        <v>36</v>
      </c>
      <c r="T8676" s="29" t="str">
        <f>HYPERLINK("https://ictv.global/ictv/proposals/2020.095B.R.Leviviricetes.zip","2020.095B.R.Leviviricetes.zip")</f>
        <v>2020.095B.R.Leviviricetes.zip</v>
      </c>
      <c r="U8676" s="29" t="str">
        <f>HYPERLINK("https://ictv.global/taxonomy/taxondetails?taxnode_id=202310383","ictv.global=202310383")</f>
        <v>ictv.global=202310383</v>
      </c>
    </row>
    <row r="8677" spans="1:21">
      <c r="A8677">
        <v>8676</v>
      </c>
      <c r="B8677" s="30" t="s">
        <v>1226</v>
      </c>
      <c r="D8677" s="30" t="s">
        <v>2024</v>
      </c>
      <c r="F8677" s="30" t="s">
        <v>2046</v>
      </c>
      <c r="H8677" s="30" t="s">
        <v>2859</v>
      </c>
      <c r="J8677" s="30" t="s">
        <v>2860</v>
      </c>
      <c r="L8677" s="30" t="s">
        <v>2990</v>
      </c>
      <c r="N8677" s="30" t="s">
        <v>15178</v>
      </c>
      <c r="P8677" s="30" t="s">
        <v>15179</v>
      </c>
      <c r="Q8677" t="s">
        <v>621</v>
      </c>
      <c r="R8677" t="s">
        <v>917</v>
      </c>
      <c r="S8677">
        <v>39</v>
      </c>
      <c r="T8677" s="29" t="str">
        <f>HYPERLINK("https://ictv.global/ictv/proposals/2023.001B.Leviviricetes_reorg.zip","2023.001B.Leviviricetes_reorg.zip")</f>
        <v>2023.001B.Leviviricetes_reorg.zip</v>
      </c>
      <c r="U8677" s="29" t="str">
        <f>HYPERLINK("https://ictv.global/taxonomy/taxondetails?taxnode_id=202316297","ictv.global=202316297")</f>
        <v>ictv.global=202316297</v>
      </c>
    </row>
    <row r="8678" spans="1:21">
      <c r="A8678">
        <v>8677</v>
      </c>
      <c r="B8678" s="30" t="s">
        <v>1226</v>
      </c>
      <c r="D8678" s="30" t="s">
        <v>2024</v>
      </c>
      <c r="F8678" s="30" t="s">
        <v>2046</v>
      </c>
      <c r="H8678" s="30" t="s">
        <v>2859</v>
      </c>
      <c r="J8678" s="30" t="s">
        <v>2860</v>
      </c>
      <c r="L8678" s="30" t="s">
        <v>2990</v>
      </c>
      <c r="N8678" s="30" t="s">
        <v>15180</v>
      </c>
      <c r="P8678" s="30" t="s">
        <v>15181</v>
      </c>
      <c r="Q8678" t="s">
        <v>621</v>
      </c>
      <c r="R8678" t="s">
        <v>917</v>
      </c>
      <c r="S8678">
        <v>39</v>
      </c>
      <c r="T8678" s="29" t="str">
        <f>HYPERLINK("https://ictv.global/ictv/proposals/2023.001B.Leviviricetes_reorg.zip","2023.001B.Leviviricetes_reorg.zip")</f>
        <v>2023.001B.Leviviricetes_reorg.zip</v>
      </c>
      <c r="U8678" s="29" t="str">
        <f>HYPERLINK("https://ictv.global/taxonomy/taxondetails?taxnode_id=202316298","ictv.global=202316298")</f>
        <v>ictv.global=202316298</v>
      </c>
    </row>
    <row r="8679" spans="1:21">
      <c r="A8679">
        <v>8678</v>
      </c>
      <c r="B8679" s="30" t="s">
        <v>1226</v>
      </c>
      <c r="D8679" s="30" t="s">
        <v>2024</v>
      </c>
      <c r="F8679" s="30" t="s">
        <v>2046</v>
      </c>
      <c r="H8679" s="30" t="s">
        <v>2859</v>
      </c>
      <c r="J8679" s="30" t="s">
        <v>2860</v>
      </c>
      <c r="L8679" s="30" t="s">
        <v>2990</v>
      </c>
      <c r="N8679" s="30" t="s">
        <v>15182</v>
      </c>
      <c r="P8679" s="30" t="s">
        <v>15183</v>
      </c>
      <c r="Q8679" t="s">
        <v>621</v>
      </c>
      <c r="R8679" t="s">
        <v>917</v>
      </c>
      <c r="S8679">
        <v>39</v>
      </c>
      <c r="T8679" s="29" t="str">
        <f>HYPERLINK("https://ictv.global/ictv/proposals/2023.001B.Leviviricetes_reorg.zip","2023.001B.Leviviricetes_reorg.zip")</f>
        <v>2023.001B.Leviviricetes_reorg.zip</v>
      </c>
      <c r="U8679" s="29" t="str">
        <f>HYPERLINK("https://ictv.global/taxonomy/taxondetails?taxnode_id=202316299","ictv.global=202316299")</f>
        <v>ictv.global=202316299</v>
      </c>
    </row>
    <row r="8680" spans="1:21">
      <c r="A8680">
        <v>8679</v>
      </c>
      <c r="B8680" s="30" t="s">
        <v>1226</v>
      </c>
      <c r="D8680" s="30" t="s">
        <v>2024</v>
      </c>
      <c r="F8680" s="30" t="s">
        <v>2046</v>
      </c>
      <c r="H8680" s="30" t="s">
        <v>2859</v>
      </c>
      <c r="J8680" s="30" t="s">
        <v>2860</v>
      </c>
      <c r="L8680" s="30" t="s">
        <v>2990</v>
      </c>
      <c r="N8680" s="30" t="s">
        <v>15184</v>
      </c>
      <c r="P8680" s="30" t="s">
        <v>15185</v>
      </c>
      <c r="Q8680" t="s">
        <v>621</v>
      </c>
      <c r="R8680" t="s">
        <v>917</v>
      </c>
      <c r="S8680">
        <v>39</v>
      </c>
      <c r="T8680" s="29" t="str">
        <f>HYPERLINK("https://ictv.global/ictv/proposals/2023.001B.Leviviricetes_reorg.zip","2023.001B.Leviviricetes_reorg.zip")</f>
        <v>2023.001B.Leviviricetes_reorg.zip</v>
      </c>
      <c r="U8680" s="29" t="str">
        <f>HYPERLINK("https://ictv.global/taxonomy/taxondetails?taxnode_id=202316300","ictv.global=202316300")</f>
        <v>ictv.global=202316300</v>
      </c>
    </row>
    <row r="8681" spans="1:21">
      <c r="A8681">
        <v>8680</v>
      </c>
      <c r="B8681" s="30" t="s">
        <v>1226</v>
      </c>
      <c r="D8681" s="30" t="s">
        <v>2024</v>
      </c>
      <c r="F8681" s="30" t="s">
        <v>2046</v>
      </c>
      <c r="H8681" s="30" t="s">
        <v>2859</v>
      </c>
      <c r="J8681" s="30" t="s">
        <v>2860</v>
      </c>
      <c r="L8681" s="30" t="s">
        <v>2990</v>
      </c>
      <c r="N8681" s="30" t="s">
        <v>15184</v>
      </c>
      <c r="P8681" s="30" t="s">
        <v>15186</v>
      </c>
      <c r="Q8681" t="s">
        <v>621</v>
      </c>
      <c r="R8681" t="s">
        <v>917</v>
      </c>
      <c r="S8681">
        <v>39</v>
      </c>
      <c r="T8681" s="29" t="str">
        <f>HYPERLINK("https://ictv.global/ictv/proposals/2023.001B.Leviviricetes_reorg.zip","2023.001B.Leviviricetes_reorg.zip")</f>
        <v>2023.001B.Leviviricetes_reorg.zip</v>
      </c>
      <c r="U8681" s="29" t="str">
        <f>HYPERLINK("https://ictv.global/taxonomy/taxondetails?taxnode_id=202316301","ictv.global=202316301")</f>
        <v>ictv.global=202316301</v>
      </c>
    </row>
    <row r="8682" spans="1:21">
      <c r="A8682">
        <v>8681</v>
      </c>
      <c r="B8682" s="30" t="s">
        <v>1226</v>
      </c>
      <c r="D8682" s="30" t="s">
        <v>2024</v>
      </c>
      <c r="F8682" s="30" t="s">
        <v>2046</v>
      </c>
      <c r="H8682" s="30" t="s">
        <v>2859</v>
      </c>
      <c r="J8682" s="30" t="s">
        <v>2860</v>
      </c>
      <c r="L8682" s="30" t="s">
        <v>2990</v>
      </c>
      <c r="N8682" s="30" t="s">
        <v>3111</v>
      </c>
      <c r="P8682" s="30" t="s">
        <v>3112</v>
      </c>
      <c r="Q8682" t="s">
        <v>621</v>
      </c>
      <c r="R8682" t="s">
        <v>917</v>
      </c>
      <c r="S8682">
        <v>36</v>
      </c>
      <c r="T8682" s="29" t="str">
        <f>HYPERLINK("https://ictv.global/ictv/proposals/2020.095B.R.Leviviricetes.zip","2020.095B.R.Leviviricetes.zip")</f>
        <v>2020.095B.R.Leviviricetes.zip</v>
      </c>
      <c r="U8682" s="29" t="str">
        <f>HYPERLINK("https://ictv.global/taxonomy/taxondetails?taxnode_id=202310386","ictv.global=202310386")</f>
        <v>ictv.global=202310386</v>
      </c>
    </row>
    <row r="8683" spans="1:21">
      <c r="A8683">
        <v>8682</v>
      </c>
      <c r="B8683" s="30" t="s">
        <v>1226</v>
      </c>
      <c r="D8683" s="30" t="s">
        <v>2024</v>
      </c>
      <c r="F8683" s="30" t="s">
        <v>2046</v>
      </c>
      <c r="H8683" s="30" t="s">
        <v>2859</v>
      </c>
      <c r="J8683" s="30" t="s">
        <v>2860</v>
      </c>
      <c r="L8683" s="30" t="s">
        <v>2990</v>
      </c>
      <c r="N8683" s="30" t="s">
        <v>3111</v>
      </c>
      <c r="P8683" s="30" t="s">
        <v>3113</v>
      </c>
      <c r="Q8683" t="s">
        <v>621</v>
      </c>
      <c r="R8683" t="s">
        <v>917</v>
      </c>
      <c r="S8683">
        <v>36</v>
      </c>
      <c r="T8683" s="29" t="str">
        <f>HYPERLINK("https://ictv.global/ictv/proposals/2020.095B.R.Leviviricetes.zip","2020.095B.R.Leviviricetes.zip")</f>
        <v>2020.095B.R.Leviviricetes.zip</v>
      </c>
      <c r="U8683" s="29" t="str">
        <f>HYPERLINK("https://ictv.global/taxonomy/taxondetails?taxnode_id=202310385","ictv.global=202310385")</f>
        <v>ictv.global=202310385</v>
      </c>
    </row>
    <row r="8684" spans="1:21">
      <c r="A8684">
        <v>8683</v>
      </c>
      <c r="B8684" s="30" t="s">
        <v>1226</v>
      </c>
      <c r="D8684" s="30" t="s">
        <v>2024</v>
      </c>
      <c r="F8684" s="30" t="s">
        <v>2046</v>
      </c>
      <c r="H8684" s="30" t="s">
        <v>2859</v>
      </c>
      <c r="J8684" s="30" t="s">
        <v>2860</v>
      </c>
      <c r="L8684" s="30" t="s">
        <v>2990</v>
      </c>
      <c r="N8684" s="30" t="s">
        <v>15187</v>
      </c>
      <c r="P8684" s="30" t="s">
        <v>15188</v>
      </c>
      <c r="Q8684" t="s">
        <v>621</v>
      </c>
      <c r="R8684" t="s">
        <v>917</v>
      </c>
      <c r="S8684">
        <v>39</v>
      </c>
      <c r="T8684" s="29" t="str">
        <f t="shared" ref="T8684:T8699" si="369">HYPERLINK("https://ictv.global/ictv/proposals/2023.001B.Leviviricetes_reorg.zip","2023.001B.Leviviricetes_reorg.zip")</f>
        <v>2023.001B.Leviviricetes_reorg.zip</v>
      </c>
      <c r="U8684" s="29" t="str">
        <f>HYPERLINK("https://ictv.global/taxonomy/taxondetails?taxnode_id=202316302","ictv.global=202316302")</f>
        <v>ictv.global=202316302</v>
      </c>
    </row>
    <row r="8685" spans="1:21">
      <c r="A8685">
        <v>8684</v>
      </c>
      <c r="B8685" s="30" t="s">
        <v>1226</v>
      </c>
      <c r="D8685" s="30" t="s">
        <v>2024</v>
      </c>
      <c r="F8685" s="30" t="s">
        <v>2046</v>
      </c>
      <c r="H8685" s="30" t="s">
        <v>2859</v>
      </c>
      <c r="J8685" s="30" t="s">
        <v>2860</v>
      </c>
      <c r="L8685" s="30" t="s">
        <v>2990</v>
      </c>
      <c r="N8685" s="30" t="s">
        <v>15189</v>
      </c>
      <c r="P8685" s="30" t="s">
        <v>15190</v>
      </c>
      <c r="Q8685" t="s">
        <v>621</v>
      </c>
      <c r="R8685" t="s">
        <v>917</v>
      </c>
      <c r="S8685">
        <v>39</v>
      </c>
      <c r="T8685" s="29" t="str">
        <f t="shared" si="369"/>
        <v>2023.001B.Leviviricetes_reorg.zip</v>
      </c>
      <c r="U8685" s="29" t="str">
        <f>HYPERLINK("https://ictv.global/taxonomy/taxondetails?taxnode_id=202316303","ictv.global=202316303")</f>
        <v>ictv.global=202316303</v>
      </c>
    </row>
    <row r="8686" spans="1:21">
      <c r="A8686">
        <v>8685</v>
      </c>
      <c r="B8686" s="30" t="s">
        <v>1226</v>
      </c>
      <c r="D8686" s="30" t="s">
        <v>2024</v>
      </c>
      <c r="F8686" s="30" t="s">
        <v>2046</v>
      </c>
      <c r="H8686" s="30" t="s">
        <v>2859</v>
      </c>
      <c r="J8686" s="30" t="s">
        <v>2860</v>
      </c>
      <c r="L8686" s="30" t="s">
        <v>2990</v>
      </c>
      <c r="N8686" s="30" t="s">
        <v>15191</v>
      </c>
      <c r="P8686" s="30" t="s">
        <v>15192</v>
      </c>
      <c r="Q8686" t="s">
        <v>621</v>
      </c>
      <c r="R8686" t="s">
        <v>917</v>
      </c>
      <c r="S8686">
        <v>39</v>
      </c>
      <c r="T8686" s="29" t="str">
        <f t="shared" si="369"/>
        <v>2023.001B.Leviviricetes_reorg.zip</v>
      </c>
      <c r="U8686" s="29" t="str">
        <f>HYPERLINK("https://ictv.global/taxonomy/taxondetails?taxnode_id=202316304","ictv.global=202316304")</f>
        <v>ictv.global=202316304</v>
      </c>
    </row>
    <row r="8687" spans="1:21">
      <c r="A8687">
        <v>8686</v>
      </c>
      <c r="B8687" s="30" t="s">
        <v>1226</v>
      </c>
      <c r="D8687" s="30" t="s">
        <v>2024</v>
      </c>
      <c r="F8687" s="30" t="s">
        <v>2046</v>
      </c>
      <c r="H8687" s="30" t="s">
        <v>2859</v>
      </c>
      <c r="J8687" s="30" t="s">
        <v>2860</v>
      </c>
      <c r="L8687" s="30" t="s">
        <v>2990</v>
      </c>
      <c r="N8687" s="30" t="s">
        <v>15193</v>
      </c>
      <c r="P8687" s="30" t="s">
        <v>15194</v>
      </c>
      <c r="Q8687" t="s">
        <v>621</v>
      </c>
      <c r="R8687" t="s">
        <v>917</v>
      </c>
      <c r="S8687">
        <v>39</v>
      </c>
      <c r="T8687" s="29" t="str">
        <f t="shared" si="369"/>
        <v>2023.001B.Leviviricetes_reorg.zip</v>
      </c>
      <c r="U8687" s="29" t="str">
        <f>HYPERLINK("https://ictv.global/taxonomy/taxondetails?taxnode_id=202316305","ictv.global=202316305")</f>
        <v>ictv.global=202316305</v>
      </c>
    </row>
    <row r="8688" spans="1:21">
      <c r="A8688">
        <v>8687</v>
      </c>
      <c r="B8688" s="30" t="s">
        <v>1226</v>
      </c>
      <c r="D8688" s="30" t="s">
        <v>2024</v>
      </c>
      <c r="F8688" s="30" t="s">
        <v>2046</v>
      </c>
      <c r="H8688" s="30" t="s">
        <v>2859</v>
      </c>
      <c r="J8688" s="30" t="s">
        <v>2860</v>
      </c>
      <c r="L8688" s="30" t="s">
        <v>2990</v>
      </c>
      <c r="N8688" s="30" t="s">
        <v>15195</v>
      </c>
      <c r="P8688" s="30" t="s">
        <v>15196</v>
      </c>
      <c r="Q8688" t="s">
        <v>621</v>
      </c>
      <c r="R8688" t="s">
        <v>917</v>
      </c>
      <c r="S8688">
        <v>39</v>
      </c>
      <c r="T8688" s="29" t="str">
        <f t="shared" si="369"/>
        <v>2023.001B.Leviviricetes_reorg.zip</v>
      </c>
      <c r="U8688" s="29" t="str">
        <f>HYPERLINK("https://ictv.global/taxonomy/taxondetails?taxnode_id=202316306","ictv.global=202316306")</f>
        <v>ictv.global=202316306</v>
      </c>
    </row>
    <row r="8689" spans="1:21">
      <c r="A8689">
        <v>8688</v>
      </c>
      <c r="B8689" s="30" t="s">
        <v>1226</v>
      </c>
      <c r="D8689" s="30" t="s">
        <v>2024</v>
      </c>
      <c r="F8689" s="30" t="s">
        <v>2046</v>
      </c>
      <c r="H8689" s="30" t="s">
        <v>2859</v>
      </c>
      <c r="J8689" s="30" t="s">
        <v>2860</v>
      </c>
      <c r="L8689" s="30" t="s">
        <v>2990</v>
      </c>
      <c r="N8689" s="30" t="s">
        <v>15197</v>
      </c>
      <c r="P8689" s="30" t="s">
        <v>15198</v>
      </c>
      <c r="Q8689" t="s">
        <v>621</v>
      </c>
      <c r="R8689" t="s">
        <v>917</v>
      </c>
      <c r="S8689">
        <v>39</v>
      </c>
      <c r="T8689" s="29" t="str">
        <f t="shared" si="369"/>
        <v>2023.001B.Leviviricetes_reorg.zip</v>
      </c>
      <c r="U8689" s="29" t="str">
        <f>HYPERLINK("https://ictv.global/taxonomy/taxondetails?taxnode_id=202316307","ictv.global=202316307")</f>
        <v>ictv.global=202316307</v>
      </c>
    </row>
    <row r="8690" spans="1:21">
      <c r="A8690">
        <v>8689</v>
      </c>
      <c r="B8690" s="30" t="s">
        <v>1226</v>
      </c>
      <c r="D8690" s="30" t="s">
        <v>2024</v>
      </c>
      <c r="F8690" s="30" t="s">
        <v>2046</v>
      </c>
      <c r="H8690" s="30" t="s">
        <v>2859</v>
      </c>
      <c r="J8690" s="30" t="s">
        <v>2860</v>
      </c>
      <c r="L8690" s="30" t="s">
        <v>2990</v>
      </c>
      <c r="N8690" s="30" t="s">
        <v>15199</v>
      </c>
      <c r="P8690" s="30" t="s">
        <v>15200</v>
      </c>
      <c r="Q8690" t="s">
        <v>621</v>
      </c>
      <c r="R8690" t="s">
        <v>917</v>
      </c>
      <c r="S8690">
        <v>39</v>
      </c>
      <c r="T8690" s="29" t="str">
        <f t="shared" si="369"/>
        <v>2023.001B.Leviviricetes_reorg.zip</v>
      </c>
      <c r="U8690" s="29" t="str">
        <f>HYPERLINK("https://ictv.global/taxonomy/taxondetails?taxnode_id=202316308","ictv.global=202316308")</f>
        <v>ictv.global=202316308</v>
      </c>
    </row>
    <row r="8691" spans="1:21">
      <c r="A8691">
        <v>8690</v>
      </c>
      <c r="B8691" s="30" t="s">
        <v>1226</v>
      </c>
      <c r="D8691" s="30" t="s">
        <v>2024</v>
      </c>
      <c r="F8691" s="30" t="s">
        <v>2046</v>
      </c>
      <c r="H8691" s="30" t="s">
        <v>2859</v>
      </c>
      <c r="J8691" s="30" t="s">
        <v>2860</v>
      </c>
      <c r="L8691" s="30" t="s">
        <v>2990</v>
      </c>
      <c r="N8691" s="30" t="s">
        <v>15199</v>
      </c>
      <c r="P8691" s="30" t="s">
        <v>15201</v>
      </c>
      <c r="Q8691" t="s">
        <v>621</v>
      </c>
      <c r="R8691" t="s">
        <v>917</v>
      </c>
      <c r="S8691">
        <v>39</v>
      </c>
      <c r="T8691" s="29" t="str">
        <f t="shared" si="369"/>
        <v>2023.001B.Leviviricetes_reorg.zip</v>
      </c>
      <c r="U8691" s="29" t="str">
        <f>HYPERLINK("https://ictv.global/taxonomy/taxondetails?taxnode_id=202316309","ictv.global=202316309")</f>
        <v>ictv.global=202316309</v>
      </c>
    </row>
    <row r="8692" spans="1:21">
      <c r="A8692">
        <v>8691</v>
      </c>
      <c r="B8692" s="30" t="s">
        <v>1226</v>
      </c>
      <c r="D8692" s="30" t="s">
        <v>2024</v>
      </c>
      <c r="F8692" s="30" t="s">
        <v>2046</v>
      </c>
      <c r="H8692" s="30" t="s">
        <v>2859</v>
      </c>
      <c r="J8692" s="30" t="s">
        <v>2860</v>
      </c>
      <c r="L8692" s="30" t="s">
        <v>2990</v>
      </c>
      <c r="N8692" s="30" t="s">
        <v>15199</v>
      </c>
      <c r="P8692" s="30" t="s">
        <v>15202</v>
      </c>
      <c r="Q8692" t="s">
        <v>621</v>
      </c>
      <c r="R8692" t="s">
        <v>917</v>
      </c>
      <c r="S8692">
        <v>39</v>
      </c>
      <c r="T8692" s="29" t="str">
        <f t="shared" si="369"/>
        <v>2023.001B.Leviviricetes_reorg.zip</v>
      </c>
      <c r="U8692" s="29" t="str">
        <f>HYPERLINK("https://ictv.global/taxonomy/taxondetails?taxnode_id=202316310","ictv.global=202316310")</f>
        <v>ictv.global=202316310</v>
      </c>
    </row>
    <row r="8693" spans="1:21">
      <c r="A8693">
        <v>8692</v>
      </c>
      <c r="B8693" s="30" t="s">
        <v>1226</v>
      </c>
      <c r="D8693" s="30" t="s">
        <v>2024</v>
      </c>
      <c r="F8693" s="30" t="s">
        <v>2046</v>
      </c>
      <c r="H8693" s="30" t="s">
        <v>2859</v>
      </c>
      <c r="J8693" s="30" t="s">
        <v>2860</v>
      </c>
      <c r="L8693" s="30" t="s">
        <v>2990</v>
      </c>
      <c r="N8693" s="30" t="s">
        <v>15199</v>
      </c>
      <c r="P8693" s="30" t="s">
        <v>15203</v>
      </c>
      <c r="Q8693" t="s">
        <v>621</v>
      </c>
      <c r="R8693" t="s">
        <v>917</v>
      </c>
      <c r="S8693">
        <v>39</v>
      </c>
      <c r="T8693" s="29" t="str">
        <f t="shared" si="369"/>
        <v>2023.001B.Leviviricetes_reorg.zip</v>
      </c>
      <c r="U8693" s="29" t="str">
        <f>HYPERLINK("https://ictv.global/taxonomy/taxondetails?taxnode_id=202316311","ictv.global=202316311")</f>
        <v>ictv.global=202316311</v>
      </c>
    </row>
    <row r="8694" spans="1:21">
      <c r="A8694">
        <v>8693</v>
      </c>
      <c r="B8694" s="30" t="s">
        <v>1226</v>
      </c>
      <c r="D8694" s="30" t="s">
        <v>2024</v>
      </c>
      <c r="F8694" s="30" t="s">
        <v>2046</v>
      </c>
      <c r="H8694" s="30" t="s">
        <v>2859</v>
      </c>
      <c r="J8694" s="30" t="s">
        <v>2860</v>
      </c>
      <c r="L8694" s="30" t="s">
        <v>2990</v>
      </c>
      <c r="N8694" s="30" t="s">
        <v>15204</v>
      </c>
      <c r="P8694" s="30" t="s">
        <v>15205</v>
      </c>
      <c r="Q8694" t="s">
        <v>621</v>
      </c>
      <c r="R8694" t="s">
        <v>917</v>
      </c>
      <c r="S8694">
        <v>39</v>
      </c>
      <c r="T8694" s="29" t="str">
        <f t="shared" si="369"/>
        <v>2023.001B.Leviviricetes_reorg.zip</v>
      </c>
      <c r="U8694" s="29" t="str">
        <f>HYPERLINK("https://ictv.global/taxonomy/taxondetails?taxnode_id=202316312","ictv.global=202316312")</f>
        <v>ictv.global=202316312</v>
      </c>
    </row>
    <row r="8695" spans="1:21">
      <c r="A8695">
        <v>8694</v>
      </c>
      <c r="B8695" s="30" t="s">
        <v>1226</v>
      </c>
      <c r="D8695" s="30" t="s">
        <v>2024</v>
      </c>
      <c r="F8695" s="30" t="s">
        <v>2046</v>
      </c>
      <c r="H8695" s="30" t="s">
        <v>2859</v>
      </c>
      <c r="J8695" s="30" t="s">
        <v>2860</v>
      </c>
      <c r="L8695" s="30" t="s">
        <v>2990</v>
      </c>
      <c r="N8695" s="30" t="s">
        <v>15204</v>
      </c>
      <c r="P8695" s="30" t="s">
        <v>15206</v>
      </c>
      <c r="Q8695" t="s">
        <v>621</v>
      </c>
      <c r="R8695" t="s">
        <v>917</v>
      </c>
      <c r="S8695">
        <v>39</v>
      </c>
      <c r="T8695" s="29" t="str">
        <f t="shared" si="369"/>
        <v>2023.001B.Leviviricetes_reorg.zip</v>
      </c>
      <c r="U8695" s="29" t="str">
        <f>HYPERLINK("https://ictv.global/taxonomy/taxondetails?taxnode_id=202316313","ictv.global=202316313")</f>
        <v>ictv.global=202316313</v>
      </c>
    </row>
    <row r="8696" spans="1:21">
      <c r="A8696">
        <v>8695</v>
      </c>
      <c r="B8696" s="30" t="s">
        <v>1226</v>
      </c>
      <c r="D8696" s="30" t="s">
        <v>2024</v>
      </c>
      <c r="F8696" s="30" t="s">
        <v>2046</v>
      </c>
      <c r="H8696" s="30" t="s">
        <v>2859</v>
      </c>
      <c r="J8696" s="30" t="s">
        <v>2860</v>
      </c>
      <c r="L8696" s="30" t="s">
        <v>2990</v>
      </c>
      <c r="N8696" s="30" t="s">
        <v>15207</v>
      </c>
      <c r="P8696" s="30" t="s">
        <v>15208</v>
      </c>
      <c r="Q8696" t="s">
        <v>621</v>
      </c>
      <c r="R8696" t="s">
        <v>917</v>
      </c>
      <c r="S8696">
        <v>39</v>
      </c>
      <c r="T8696" s="29" t="str">
        <f t="shared" si="369"/>
        <v>2023.001B.Leviviricetes_reorg.zip</v>
      </c>
      <c r="U8696" s="29" t="str">
        <f>HYPERLINK("https://ictv.global/taxonomy/taxondetails?taxnode_id=202316314","ictv.global=202316314")</f>
        <v>ictv.global=202316314</v>
      </c>
    </row>
    <row r="8697" spans="1:21">
      <c r="A8697">
        <v>8696</v>
      </c>
      <c r="B8697" s="30" t="s">
        <v>1226</v>
      </c>
      <c r="D8697" s="30" t="s">
        <v>2024</v>
      </c>
      <c r="F8697" s="30" t="s">
        <v>2046</v>
      </c>
      <c r="H8697" s="30" t="s">
        <v>2859</v>
      </c>
      <c r="J8697" s="30" t="s">
        <v>2860</v>
      </c>
      <c r="L8697" s="30" t="s">
        <v>2990</v>
      </c>
      <c r="N8697" s="30" t="s">
        <v>15209</v>
      </c>
      <c r="P8697" s="30" t="s">
        <v>15210</v>
      </c>
      <c r="Q8697" t="s">
        <v>621</v>
      </c>
      <c r="R8697" t="s">
        <v>917</v>
      </c>
      <c r="S8697">
        <v>39</v>
      </c>
      <c r="T8697" s="29" t="str">
        <f t="shared" si="369"/>
        <v>2023.001B.Leviviricetes_reorg.zip</v>
      </c>
      <c r="U8697" s="29" t="str">
        <f>HYPERLINK("https://ictv.global/taxonomy/taxondetails?taxnode_id=202316315","ictv.global=202316315")</f>
        <v>ictv.global=202316315</v>
      </c>
    </row>
    <row r="8698" spans="1:21">
      <c r="A8698">
        <v>8697</v>
      </c>
      <c r="B8698" s="30" t="s">
        <v>1226</v>
      </c>
      <c r="D8698" s="30" t="s">
        <v>2024</v>
      </c>
      <c r="F8698" s="30" t="s">
        <v>2046</v>
      </c>
      <c r="H8698" s="30" t="s">
        <v>2859</v>
      </c>
      <c r="J8698" s="30" t="s">
        <v>2860</v>
      </c>
      <c r="L8698" s="30" t="s">
        <v>2990</v>
      </c>
      <c r="N8698" s="30" t="s">
        <v>15211</v>
      </c>
      <c r="P8698" s="30" t="s">
        <v>15212</v>
      </c>
      <c r="Q8698" t="s">
        <v>621</v>
      </c>
      <c r="R8698" t="s">
        <v>917</v>
      </c>
      <c r="S8698">
        <v>39</v>
      </c>
      <c r="T8698" s="29" t="str">
        <f t="shared" si="369"/>
        <v>2023.001B.Leviviricetes_reorg.zip</v>
      </c>
      <c r="U8698" s="29" t="str">
        <f>HYPERLINK("https://ictv.global/taxonomy/taxondetails?taxnode_id=202316316","ictv.global=202316316")</f>
        <v>ictv.global=202316316</v>
      </c>
    </row>
    <row r="8699" spans="1:21">
      <c r="A8699">
        <v>8698</v>
      </c>
      <c r="B8699" s="30" t="s">
        <v>1226</v>
      </c>
      <c r="D8699" s="30" t="s">
        <v>2024</v>
      </c>
      <c r="F8699" s="30" t="s">
        <v>2046</v>
      </c>
      <c r="H8699" s="30" t="s">
        <v>2859</v>
      </c>
      <c r="J8699" s="30" t="s">
        <v>2860</v>
      </c>
      <c r="L8699" s="30" t="s">
        <v>2990</v>
      </c>
      <c r="N8699" s="30" t="s">
        <v>15213</v>
      </c>
      <c r="P8699" s="30" t="s">
        <v>15214</v>
      </c>
      <c r="Q8699" t="s">
        <v>621</v>
      </c>
      <c r="R8699" t="s">
        <v>917</v>
      </c>
      <c r="S8699">
        <v>39</v>
      </c>
      <c r="T8699" s="29" t="str">
        <f t="shared" si="369"/>
        <v>2023.001B.Leviviricetes_reorg.zip</v>
      </c>
      <c r="U8699" s="29" t="str">
        <f>HYPERLINK("https://ictv.global/taxonomy/taxondetails?taxnode_id=202316317","ictv.global=202316317")</f>
        <v>ictv.global=202316317</v>
      </c>
    </row>
    <row r="8700" spans="1:21">
      <c r="A8700">
        <v>8699</v>
      </c>
      <c r="B8700" s="30" t="s">
        <v>1226</v>
      </c>
      <c r="D8700" s="30" t="s">
        <v>2024</v>
      </c>
      <c r="F8700" s="30" t="s">
        <v>2046</v>
      </c>
      <c r="H8700" s="30" t="s">
        <v>2859</v>
      </c>
      <c r="J8700" s="30" t="s">
        <v>2860</v>
      </c>
      <c r="L8700" s="30" t="s">
        <v>2990</v>
      </c>
      <c r="N8700" s="30" t="s">
        <v>3114</v>
      </c>
      <c r="P8700" s="30" t="s">
        <v>3115</v>
      </c>
      <c r="Q8700" t="s">
        <v>621</v>
      </c>
      <c r="R8700" t="s">
        <v>917</v>
      </c>
      <c r="S8700">
        <v>36</v>
      </c>
      <c r="T8700" s="29" t="str">
        <f>HYPERLINK("https://ictv.global/ictv/proposals/2020.095B.R.Leviviricetes.zip","2020.095B.R.Leviviricetes.zip")</f>
        <v>2020.095B.R.Leviviricetes.zip</v>
      </c>
      <c r="U8700" s="29" t="str">
        <f>HYPERLINK("https://ictv.global/taxonomy/taxondetails?taxnode_id=202310388","ictv.global=202310388")</f>
        <v>ictv.global=202310388</v>
      </c>
    </row>
    <row r="8701" spans="1:21">
      <c r="A8701">
        <v>8700</v>
      </c>
      <c r="B8701" s="30" t="s">
        <v>1226</v>
      </c>
      <c r="D8701" s="30" t="s">
        <v>2024</v>
      </c>
      <c r="F8701" s="30" t="s">
        <v>2046</v>
      </c>
      <c r="H8701" s="30" t="s">
        <v>2859</v>
      </c>
      <c r="J8701" s="30" t="s">
        <v>2860</v>
      </c>
      <c r="L8701" s="30" t="s">
        <v>2990</v>
      </c>
      <c r="N8701" s="30" t="s">
        <v>15215</v>
      </c>
      <c r="P8701" s="30" t="s">
        <v>15216</v>
      </c>
      <c r="Q8701" t="s">
        <v>621</v>
      </c>
      <c r="R8701" t="s">
        <v>917</v>
      </c>
      <c r="S8701">
        <v>39</v>
      </c>
      <c r="T8701" s="29" t="str">
        <f t="shared" ref="T8701:T8707" si="370">HYPERLINK("https://ictv.global/ictv/proposals/2023.001B.Leviviricetes_reorg.zip","2023.001B.Leviviricetes_reorg.zip")</f>
        <v>2023.001B.Leviviricetes_reorg.zip</v>
      </c>
      <c r="U8701" s="29" t="str">
        <f>HYPERLINK("https://ictv.global/taxonomy/taxondetails?taxnode_id=202316318","ictv.global=202316318")</f>
        <v>ictv.global=202316318</v>
      </c>
    </row>
    <row r="8702" spans="1:21">
      <c r="A8702">
        <v>8701</v>
      </c>
      <c r="B8702" s="30" t="s">
        <v>1226</v>
      </c>
      <c r="D8702" s="30" t="s">
        <v>2024</v>
      </c>
      <c r="F8702" s="30" t="s">
        <v>2046</v>
      </c>
      <c r="H8702" s="30" t="s">
        <v>2859</v>
      </c>
      <c r="J8702" s="30" t="s">
        <v>2860</v>
      </c>
      <c r="L8702" s="30" t="s">
        <v>2990</v>
      </c>
      <c r="N8702" s="30" t="s">
        <v>15215</v>
      </c>
      <c r="P8702" s="30" t="s">
        <v>15217</v>
      </c>
      <c r="Q8702" t="s">
        <v>621</v>
      </c>
      <c r="R8702" t="s">
        <v>917</v>
      </c>
      <c r="S8702">
        <v>39</v>
      </c>
      <c r="T8702" s="29" t="str">
        <f t="shared" si="370"/>
        <v>2023.001B.Leviviricetes_reorg.zip</v>
      </c>
      <c r="U8702" s="29" t="str">
        <f>HYPERLINK("https://ictv.global/taxonomy/taxondetails?taxnode_id=202316319","ictv.global=202316319")</f>
        <v>ictv.global=202316319</v>
      </c>
    </row>
    <row r="8703" spans="1:21">
      <c r="A8703">
        <v>8702</v>
      </c>
      <c r="B8703" s="30" t="s">
        <v>1226</v>
      </c>
      <c r="D8703" s="30" t="s">
        <v>2024</v>
      </c>
      <c r="F8703" s="30" t="s">
        <v>2046</v>
      </c>
      <c r="H8703" s="30" t="s">
        <v>2859</v>
      </c>
      <c r="J8703" s="30" t="s">
        <v>2860</v>
      </c>
      <c r="L8703" s="30" t="s">
        <v>2990</v>
      </c>
      <c r="N8703" s="30" t="s">
        <v>15215</v>
      </c>
      <c r="P8703" s="30" t="s">
        <v>15218</v>
      </c>
      <c r="Q8703" t="s">
        <v>621</v>
      </c>
      <c r="R8703" t="s">
        <v>917</v>
      </c>
      <c r="S8703">
        <v>39</v>
      </c>
      <c r="T8703" s="29" t="str">
        <f t="shared" si="370"/>
        <v>2023.001B.Leviviricetes_reorg.zip</v>
      </c>
      <c r="U8703" s="29" t="str">
        <f>HYPERLINK("https://ictv.global/taxonomy/taxondetails?taxnode_id=202316320","ictv.global=202316320")</f>
        <v>ictv.global=202316320</v>
      </c>
    </row>
    <row r="8704" spans="1:21">
      <c r="A8704">
        <v>8703</v>
      </c>
      <c r="B8704" s="30" t="s">
        <v>1226</v>
      </c>
      <c r="D8704" s="30" t="s">
        <v>2024</v>
      </c>
      <c r="F8704" s="30" t="s">
        <v>2046</v>
      </c>
      <c r="H8704" s="30" t="s">
        <v>2859</v>
      </c>
      <c r="J8704" s="30" t="s">
        <v>2860</v>
      </c>
      <c r="L8704" s="30" t="s">
        <v>2990</v>
      </c>
      <c r="N8704" s="30" t="s">
        <v>15215</v>
      </c>
      <c r="P8704" s="30" t="s">
        <v>15219</v>
      </c>
      <c r="Q8704" t="s">
        <v>621</v>
      </c>
      <c r="R8704" t="s">
        <v>917</v>
      </c>
      <c r="S8704">
        <v>39</v>
      </c>
      <c r="T8704" s="29" t="str">
        <f t="shared" si="370"/>
        <v>2023.001B.Leviviricetes_reorg.zip</v>
      </c>
      <c r="U8704" s="29" t="str">
        <f>HYPERLINK("https://ictv.global/taxonomy/taxondetails?taxnode_id=202316321","ictv.global=202316321")</f>
        <v>ictv.global=202316321</v>
      </c>
    </row>
    <row r="8705" spans="1:21">
      <c r="A8705">
        <v>8704</v>
      </c>
      <c r="B8705" s="30" t="s">
        <v>1226</v>
      </c>
      <c r="D8705" s="30" t="s">
        <v>2024</v>
      </c>
      <c r="F8705" s="30" t="s">
        <v>2046</v>
      </c>
      <c r="H8705" s="30" t="s">
        <v>2859</v>
      </c>
      <c r="J8705" s="30" t="s">
        <v>2860</v>
      </c>
      <c r="L8705" s="30" t="s">
        <v>2990</v>
      </c>
      <c r="N8705" s="30" t="s">
        <v>3116</v>
      </c>
      <c r="P8705" s="30" t="s">
        <v>15220</v>
      </c>
      <c r="Q8705" t="s">
        <v>621</v>
      </c>
      <c r="R8705" t="s">
        <v>917</v>
      </c>
      <c r="S8705">
        <v>39</v>
      </c>
      <c r="T8705" s="29" t="str">
        <f t="shared" si="370"/>
        <v>2023.001B.Leviviricetes_reorg.zip</v>
      </c>
      <c r="U8705" s="29" t="str">
        <f>HYPERLINK("https://ictv.global/taxonomy/taxondetails?taxnode_id=202316322","ictv.global=202316322")</f>
        <v>ictv.global=202316322</v>
      </c>
    </row>
    <row r="8706" spans="1:21">
      <c r="A8706">
        <v>8705</v>
      </c>
      <c r="B8706" s="30" t="s">
        <v>1226</v>
      </c>
      <c r="D8706" s="30" t="s">
        <v>2024</v>
      </c>
      <c r="F8706" s="30" t="s">
        <v>2046</v>
      </c>
      <c r="H8706" s="30" t="s">
        <v>2859</v>
      </c>
      <c r="J8706" s="30" t="s">
        <v>2860</v>
      </c>
      <c r="L8706" s="30" t="s">
        <v>2990</v>
      </c>
      <c r="N8706" s="30" t="s">
        <v>3116</v>
      </c>
      <c r="P8706" s="30" t="s">
        <v>15221</v>
      </c>
      <c r="Q8706" t="s">
        <v>621</v>
      </c>
      <c r="R8706" t="s">
        <v>917</v>
      </c>
      <c r="S8706">
        <v>39</v>
      </c>
      <c r="T8706" s="29" t="str">
        <f t="shared" si="370"/>
        <v>2023.001B.Leviviricetes_reorg.zip</v>
      </c>
      <c r="U8706" s="29" t="str">
        <f>HYPERLINK("https://ictv.global/taxonomy/taxondetails?taxnode_id=202316323","ictv.global=202316323")</f>
        <v>ictv.global=202316323</v>
      </c>
    </row>
    <row r="8707" spans="1:21">
      <c r="A8707">
        <v>8706</v>
      </c>
      <c r="B8707" s="30" t="s">
        <v>1226</v>
      </c>
      <c r="D8707" s="30" t="s">
        <v>2024</v>
      </c>
      <c r="F8707" s="30" t="s">
        <v>2046</v>
      </c>
      <c r="H8707" s="30" t="s">
        <v>2859</v>
      </c>
      <c r="J8707" s="30" t="s">
        <v>2860</v>
      </c>
      <c r="L8707" s="30" t="s">
        <v>2990</v>
      </c>
      <c r="N8707" s="30" t="s">
        <v>3116</v>
      </c>
      <c r="P8707" s="30" t="s">
        <v>15222</v>
      </c>
      <c r="Q8707" t="s">
        <v>621</v>
      </c>
      <c r="R8707" t="s">
        <v>917</v>
      </c>
      <c r="S8707">
        <v>39</v>
      </c>
      <c r="T8707" s="29" t="str">
        <f t="shared" si="370"/>
        <v>2023.001B.Leviviricetes_reorg.zip</v>
      </c>
      <c r="U8707" s="29" t="str">
        <f>HYPERLINK("https://ictv.global/taxonomy/taxondetails?taxnode_id=202316324","ictv.global=202316324")</f>
        <v>ictv.global=202316324</v>
      </c>
    </row>
    <row r="8708" spans="1:21">
      <c r="A8708">
        <v>8707</v>
      </c>
      <c r="B8708" s="30" t="s">
        <v>1226</v>
      </c>
      <c r="D8708" s="30" t="s">
        <v>2024</v>
      </c>
      <c r="F8708" s="30" t="s">
        <v>2046</v>
      </c>
      <c r="H8708" s="30" t="s">
        <v>2859</v>
      </c>
      <c r="J8708" s="30" t="s">
        <v>2860</v>
      </c>
      <c r="L8708" s="30" t="s">
        <v>2990</v>
      </c>
      <c r="N8708" s="30" t="s">
        <v>3116</v>
      </c>
      <c r="P8708" s="30" t="s">
        <v>3117</v>
      </c>
      <c r="Q8708" t="s">
        <v>621</v>
      </c>
      <c r="R8708" t="s">
        <v>917</v>
      </c>
      <c r="S8708">
        <v>36</v>
      </c>
      <c r="T8708" s="29" t="str">
        <f>HYPERLINK("https://ictv.global/ictv/proposals/2020.095B.R.Leviviricetes.zip","2020.095B.R.Leviviricetes.zip")</f>
        <v>2020.095B.R.Leviviricetes.zip</v>
      </c>
      <c r="U8708" s="29" t="str">
        <f>HYPERLINK("https://ictv.global/taxonomy/taxondetails?taxnode_id=202310390","ictv.global=202310390")</f>
        <v>ictv.global=202310390</v>
      </c>
    </row>
    <row r="8709" spans="1:21">
      <c r="A8709">
        <v>8708</v>
      </c>
      <c r="B8709" s="30" t="s">
        <v>1226</v>
      </c>
      <c r="D8709" s="30" t="s">
        <v>2024</v>
      </c>
      <c r="F8709" s="30" t="s">
        <v>2046</v>
      </c>
      <c r="H8709" s="30" t="s">
        <v>2859</v>
      </c>
      <c r="J8709" s="30" t="s">
        <v>2860</v>
      </c>
      <c r="L8709" s="30" t="s">
        <v>2990</v>
      </c>
      <c r="N8709" s="30" t="s">
        <v>3118</v>
      </c>
      <c r="P8709" s="30" t="s">
        <v>3119</v>
      </c>
      <c r="Q8709" t="s">
        <v>621</v>
      </c>
      <c r="R8709" t="s">
        <v>917</v>
      </c>
      <c r="S8709">
        <v>36</v>
      </c>
      <c r="T8709" s="29" t="str">
        <f>HYPERLINK("https://ictv.global/ictv/proposals/2020.095B.R.Leviviricetes.zip","2020.095B.R.Leviviricetes.zip")</f>
        <v>2020.095B.R.Leviviricetes.zip</v>
      </c>
      <c r="U8709" s="29" t="str">
        <f>HYPERLINK("https://ictv.global/taxonomy/taxondetails?taxnode_id=202310392","ictv.global=202310392")</f>
        <v>ictv.global=202310392</v>
      </c>
    </row>
    <row r="8710" spans="1:21">
      <c r="A8710">
        <v>8709</v>
      </c>
      <c r="B8710" s="30" t="s">
        <v>1226</v>
      </c>
      <c r="D8710" s="30" t="s">
        <v>2024</v>
      </c>
      <c r="F8710" s="30" t="s">
        <v>2046</v>
      </c>
      <c r="H8710" s="30" t="s">
        <v>2859</v>
      </c>
      <c r="J8710" s="30" t="s">
        <v>2860</v>
      </c>
      <c r="L8710" s="30" t="s">
        <v>2990</v>
      </c>
      <c r="N8710" s="30" t="s">
        <v>15223</v>
      </c>
      <c r="P8710" s="30" t="s">
        <v>15224</v>
      </c>
      <c r="Q8710" t="s">
        <v>621</v>
      </c>
      <c r="R8710" t="s">
        <v>917</v>
      </c>
      <c r="S8710">
        <v>39</v>
      </c>
      <c r="T8710" s="29" t="str">
        <f>HYPERLINK("https://ictv.global/ictv/proposals/2023.001B.Leviviricetes_reorg.zip","2023.001B.Leviviricetes_reorg.zip")</f>
        <v>2023.001B.Leviviricetes_reorg.zip</v>
      </c>
      <c r="U8710" s="29" t="str">
        <f>HYPERLINK("https://ictv.global/taxonomy/taxondetails?taxnode_id=202316325","ictv.global=202316325")</f>
        <v>ictv.global=202316325</v>
      </c>
    </row>
    <row r="8711" spans="1:21">
      <c r="A8711">
        <v>8710</v>
      </c>
      <c r="B8711" s="30" t="s">
        <v>1226</v>
      </c>
      <c r="D8711" s="30" t="s">
        <v>2024</v>
      </c>
      <c r="F8711" s="30" t="s">
        <v>2046</v>
      </c>
      <c r="H8711" s="30" t="s">
        <v>2859</v>
      </c>
      <c r="J8711" s="30" t="s">
        <v>2860</v>
      </c>
      <c r="L8711" s="30" t="s">
        <v>2990</v>
      </c>
      <c r="N8711" s="30" t="s">
        <v>3120</v>
      </c>
      <c r="P8711" s="30" t="s">
        <v>3121</v>
      </c>
      <c r="Q8711" t="s">
        <v>621</v>
      </c>
      <c r="R8711" t="s">
        <v>917</v>
      </c>
      <c r="S8711">
        <v>36</v>
      </c>
      <c r="T8711" s="29" t="str">
        <f t="shared" ref="T8711:T8717" si="371">HYPERLINK("https://ictv.global/ictv/proposals/2020.095B.R.Leviviricetes.zip","2020.095B.R.Leviviricetes.zip")</f>
        <v>2020.095B.R.Leviviricetes.zip</v>
      </c>
      <c r="U8711" s="29" t="str">
        <f>HYPERLINK("https://ictv.global/taxonomy/taxondetails?taxnode_id=202310395","ictv.global=202310395")</f>
        <v>ictv.global=202310395</v>
      </c>
    </row>
    <row r="8712" spans="1:21">
      <c r="A8712">
        <v>8711</v>
      </c>
      <c r="B8712" s="30" t="s">
        <v>1226</v>
      </c>
      <c r="D8712" s="30" t="s">
        <v>2024</v>
      </c>
      <c r="F8712" s="30" t="s">
        <v>2046</v>
      </c>
      <c r="H8712" s="30" t="s">
        <v>2859</v>
      </c>
      <c r="J8712" s="30" t="s">
        <v>2860</v>
      </c>
      <c r="L8712" s="30" t="s">
        <v>2990</v>
      </c>
      <c r="N8712" s="30" t="s">
        <v>3120</v>
      </c>
      <c r="P8712" s="30" t="s">
        <v>3122</v>
      </c>
      <c r="Q8712" t="s">
        <v>621</v>
      </c>
      <c r="R8712" t="s">
        <v>917</v>
      </c>
      <c r="S8712">
        <v>36</v>
      </c>
      <c r="T8712" s="29" t="str">
        <f t="shared" si="371"/>
        <v>2020.095B.R.Leviviricetes.zip</v>
      </c>
      <c r="U8712" s="29" t="str">
        <f>HYPERLINK("https://ictv.global/taxonomy/taxondetails?taxnode_id=202310394","ictv.global=202310394")</f>
        <v>ictv.global=202310394</v>
      </c>
    </row>
    <row r="8713" spans="1:21">
      <c r="A8713">
        <v>8712</v>
      </c>
      <c r="B8713" s="30" t="s">
        <v>1226</v>
      </c>
      <c r="D8713" s="30" t="s">
        <v>2024</v>
      </c>
      <c r="F8713" s="30" t="s">
        <v>2046</v>
      </c>
      <c r="H8713" s="30" t="s">
        <v>2859</v>
      </c>
      <c r="J8713" s="30" t="s">
        <v>2860</v>
      </c>
      <c r="L8713" s="30" t="s">
        <v>2990</v>
      </c>
      <c r="N8713" s="30" t="s">
        <v>3123</v>
      </c>
      <c r="P8713" s="30" t="s">
        <v>3124</v>
      </c>
      <c r="Q8713" t="s">
        <v>621</v>
      </c>
      <c r="R8713" t="s">
        <v>917</v>
      </c>
      <c r="S8713">
        <v>36</v>
      </c>
      <c r="T8713" s="29" t="str">
        <f t="shared" si="371"/>
        <v>2020.095B.R.Leviviricetes.zip</v>
      </c>
      <c r="U8713" s="29" t="str">
        <f>HYPERLINK("https://ictv.global/taxonomy/taxondetails?taxnode_id=202310398","ictv.global=202310398")</f>
        <v>ictv.global=202310398</v>
      </c>
    </row>
    <row r="8714" spans="1:21">
      <c r="A8714">
        <v>8713</v>
      </c>
      <c r="B8714" s="30" t="s">
        <v>1226</v>
      </c>
      <c r="D8714" s="30" t="s">
        <v>2024</v>
      </c>
      <c r="F8714" s="30" t="s">
        <v>2046</v>
      </c>
      <c r="H8714" s="30" t="s">
        <v>2859</v>
      </c>
      <c r="J8714" s="30" t="s">
        <v>2860</v>
      </c>
      <c r="L8714" s="30" t="s">
        <v>2990</v>
      </c>
      <c r="N8714" s="30" t="s">
        <v>3123</v>
      </c>
      <c r="P8714" s="30" t="s">
        <v>3125</v>
      </c>
      <c r="Q8714" t="s">
        <v>621</v>
      </c>
      <c r="R8714" t="s">
        <v>917</v>
      </c>
      <c r="S8714">
        <v>36</v>
      </c>
      <c r="T8714" s="29" t="str">
        <f t="shared" si="371"/>
        <v>2020.095B.R.Leviviricetes.zip</v>
      </c>
      <c r="U8714" s="29" t="str">
        <f>HYPERLINK("https://ictv.global/taxonomy/taxondetails?taxnode_id=202310397","ictv.global=202310397")</f>
        <v>ictv.global=202310397</v>
      </c>
    </row>
    <row r="8715" spans="1:21">
      <c r="A8715">
        <v>8714</v>
      </c>
      <c r="B8715" s="30" t="s">
        <v>1226</v>
      </c>
      <c r="D8715" s="30" t="s">
        <v>2024</v>
      </c>
      <c r="F8715" s="30" t="s">
        <v>2046</v>
      </c>
      <c r="H8715" s="30" t="s">
        <v>2859</v>
      </c>
      <c r="J8715" s="30" t="s">
        <v>2860</v>
      </c>
      <c r="L8715" s="30" t="s">
        <v>2990</v>
      </c>
      <c r="N8715" s="30" t="s">
        <v>3126</v>
      </c>
      <c r="P8715" s="30" t="s">
        <v>3127</v>
      </c>
      <c r="Q8715" t="s">
        <v>621</v>
      </c>
      <c r="R8715" t="s">
        <v>917</v>
      </c>
      <c r="S8715">
        <v>36</v>
      </c>
      <c r="T8715" s="29" t="str">
        <f t="shared" si="371"/>
        <v>2020.095B.R.Leviviricetes.zip</v>
      </c>
      <c r="U8715" s="29" t="str">
        <f>HYPERLINK("https://ictv.global/taxonomy/taxondetails?taxnode_id=202310400","ictv.global=202310400")</f>
        <v>ictv.global=202310400</v>
      </c>
    </row>
    <row r="8716" spans="1:21">
      <c r="A8716">
        <v>8715</v>
      </c>
      <c r="B8716" s="30" t="s">
        <v>1226</v>
      </c>
      <c r="D8716" s="30" t="s">
        <v>2024</v>
      </c>
      <c r="F8716" s="30" t="s">
        <v>2046</v>
      </c>
      <c r="H8716" s="30" t="s">
        <v>2859</v>
      </c>
      <c r="J8716" s="30" t="s">
        <v>2860</v>
      </c>
      <c r="L8716" s="30" t="s">
        <v>2990</v>
      </c>
      <c r="N8716" s="30" t="s">
        <v>3128</v>
      </c>
      <c r="P8716" s="30" t="s">
        <v>3129</v>
      </c>
      <c r="Q8716" t="s">
        <v>621</v>
      </c>
      <c r="R8716" t="s">
        <v>917</v>
      </c>
      <c r="S8716">
        <v>36</v>
      </c>
      <c r="T8716" s="29" t="str">
        <f t="shared" si="371"/>
        <v>2020.095B.R.Leviviricetes.zip</v>
      </c>
      <c r="U8716" s="29" t="str">
        <f>HYPERLINK("https://ictv.global/taxonomy/taxondetails?taxnode_id=202310402","ictv.global=202310402")</f>
        <v>ictv.global=202310402</v>
      </c>
    </row>
    <row r="8717" spans="1:21">
      <c r="A8717">
        <v>8716</v>
      </c>
      <c r="B8717" s="30" t="s">
        <v>1226</v>
      </c>
      <c r="D8717" s="30" t="s">
        <v>2024</v>
      </c>
      <c r="F8717" s="30" t="s">
        <v>2046</v>
      </c>
      <c r="H8717" s="30" t="s">
        <v>2859</v>
      </c>
      <c r="J8717" s="30" t="s">
        <v>2860</v>
      </c>
      <c r="L8717" s="30" t="s">
        <v>2990</v>
      </c>
      <c r="N8717" s="30" t="s">
        <v>3130</v>
      </c>
      <c r="P8717" s="30" t="s">
        <v>3131</v>
      </c>
      <c r="Q8717" t="s">
        <v>621</v>
      </c>
      <c r="R8717" t="s">
        <v>917</v>
      </c>
      <c r="S8717">
        <v>36</v>
      </c>
      <c r="T8717" s="29" t="str">
        <f t="shared" si="371"/>
        <v>2020.095B.R.Leviviricetes.zip</v>
      </c>
      <c r="U8717" s="29" t="str">
        <f>HYPERLINK("https://ictv.global/taxonomy/taxondetails?taxnode_id=202310404","ictv.global=202310404")</f>
        <v>ictv.global=202310404</v>
      </c>
    </row>
    <row r="8718" spans="1:21">
      <c r="A8718">
        <v>8717</v>
      </c>
      <c r="B8718" s="30" t="s">
        <v>1226</v>
      </c>
      <c r="D8718" s="30" t="s">
        <v>2024</v>
      </c>
      <c r="F8718" s="30" t="s">
        <v>2046</v>
      </c>
      <c r="H8718" s="30" t="s">
        <v>2859</v>
      </c>
      <c r="J8718" s="30" t="s">
        <v>2860</v>
      </c>
      <c r="L8718" s="30" t="s">
        <v>2990</v>
      </c>
      <c r="N8718" s="30" t="s">
        <v>3130</v>
      </c>
      <c r="P8718" s="30" t="s">
        <v>15225</v>
      </c>
      <c r="Q8718" t="s">
        <v>621</v>
      </c>
      <c r="R8718" t="s">
        <v>917</v>
      </c>
      <c r="S8718">
        <v>39</v>
      </c>
      <c r="T8718" s="29" t="str">
        <f>HYPERLINK("https://ictv.global/ictv/proposals/2023.001B.Leviviricetes_reorg.zip","2023.001B.Leviviricetes_reorg.zip")</f>
        <v>2023.001B.Leviviricetes_reorg.zip</v>
      </c>
      <c r="U8718" s="29" t="str">
        <f>HYPERLINK("https://ictv.global/taxonomy/taxondetails?taxnode_id=202316326","ictv.global=202316326")</f>
        <v>ictv.global=202316326</v>
      </c>
    </row>
    <row r="8719" spans="1:21">
      <c r="A8719">
        <v>8718</v>
      </c>
      <c r="B8719" s="30" t="s">
        <v>1226</v>
      </c>
      <c r="D8719" s="30" t="s">
        <v>2024</v>
      </c>
      <c r="F8719" s="30" t="s">
        <v>2046</v>
      </c>
      <c r="H8719" s="30" t="s">
        <v>2859</v>
      </c>
      <c r="J8719" s="30" t="s">
        <v>2860</v>
      </c>
      <c r="L8719" s="30" t="s">
        <v>2990</v>
      </c>
      <c r="N8719" s="30" t="s">
        <v>3132</v>
      </c>
      <c r="P8719" s="30" t="s">
        <v>3133</v>
      </c>
      <c r="Q8719" t="s">
        <v>621</v>
      </c>
      <c r="R8719" t="s">
        <v>917</v>
      </c>
      <c r="S8719">
        <v>36</v>
      </c>
      <c r="T8719" s="29" t="str">
        <f>HYPERLINK("https://ictv.global/ictv/proposals/2020.095B.R.Leviviricetes.zip","2020.095B.R.Leviviricetes.zip")</f>
        <v>2020.095B.R.Leviviricetes.zip</v>
      </c>
      <c r="U8719" s="29" t="str">
        <f>HYPERLINK("https://ictv.global/taxonomy/taxondetails?taxnode_id=202310406","ictv.global=202310406")</f>
        <v>ictv.global=202310406</v>
      </c>
    </row>
    <row r="8720" spans="1:21">
      <c r="A8720">
        <v>8719</v>
      </c>
      <c r="B8720" s="30" t="s">
        <v>1226</v>
      </c>
      <c r="D8720" s="30" t="s">
        <v>2024</v>
      </c>
      <c r="F8720" s="30" t="s">
        <v>2046</v>
      </c>
      <c r="H8720" s="30" t="s">
        <v>2859</v>
      </c>
      <c r="J8720" s="30" t="s">
        <v>2860</v>
      </c>
      <c r="L8720" s="30" t="s">
        <v>2990</v>
      </c>
      <c r="N8720" s="30" t="s">
        <v>3134</v>
      </c>
      <c r="P8720" s="30" t="s">
        <v>3135</v>
      </c>
      <c r="Q8720" t="s">
        <v>621</v>
      </c>
      <c r="R8720" t="s">
        <v>917</v>
      </c>
      <c r="S8720">
        <v>36</v>
      </c>
      <c r="T8720" s="29" t="str">
        <f>HYPERLINK("https://ictv.global/ictv/proposals/2020.095B.R.Leviviricetes.zip","2020.095B.R.Leviviricetes.zip")</f>
        <v>2020.095B.R.Leviviricetes.zip</v>
      </c>
      <c r="U8720" s="29" t="str">
        <f>HYPERLINK("https://ictv.global/taxonomy/taxondetails?taxnode_id=202310408","ictv.global=202310408")</f>
        <v>ictv.global=202310408</v>
      </c>
    </row>
    <row r="8721" spans="1:21">
      <c r="A8721">
        <v>8720</v>
      </c>
      <c r="B8721" s="30" t="s">
        <v>1226</v>
      </c>
      <c r="D8721" s="30" t="s">
        <v>2024</v>
      </c>
      <c r="F8721" s="30" t="s">
        <v>2046</v>
      </c>
      <c r="H8721" s="30" t="s">
        <v>2859</v>
      </c>
      <c r="J8721" s="30" t="s">
        <v>2860</v>
      </c>
      <c r="L8721" s="30" t="s">
        <v>2990</v>
      </c>
      <c r="N8721" s="30" t="s">
        <v>3134</v>
      </c>
      <c r="P8721" s="30" t="s">
        <v>3136</v>
      </c>
      <c r="Q8721" t="s">
        <v>621</v>
      </c>
      <c r="R8721" t="s">
        <v>917</v>
      </c>
      <c r="S8721">
        <v>36</v>
      </c>
      <c r="T8721" s="29" t="str">
        <f>HYPERLINK("https://ictv.global/ictv/proposals/2020.095B.R.Leviviricetes.zip","2020.095B.R.Leviviricetes.zip")</f>
        <v>2020.095B.R.Leviviricetes.zip</v>
      </c>
      <c r="U8721" s="29" t="str">
        <f>HYPERLINK("https://ictv.global/taxonomy/taxondetails?taxnode_id=202310409","ictv.global=202310409")</f>
        <v>ictv.global=202310409</v>
      </c>
    </row>
    <row r="8722" spans="1:21">
      <c r="A8722">
        <v>8721</v>
      </c>
      <c r="B8722" s="30" t="s">
        <v>1226</v>
      </c>
      <c r="D8722" s="30" t="s">
        <v>2024</v>
      </c>
      <c r="F8722" s="30" t="s">
        <v>2046</v>
      </c>
      <c r="H8722" s="30" t="s">
        <v>2859</v>
      </c>
      <c r="J8722" s="30" t="s">
        <v>2860</v>
      </c>
      <c r="L8722" s="30" t="s">
        <v>2990</v>
      </c>
      <c r="N8722" s="30" t="s">
        <v>3134</v>
      </c>
      <c r="P8722" s="30" t="s">
        <v>15226</v>
      </c>
      <c r="Q8722" t="s">
        <v>621</v>
      </c>
      <c r="R8722" t="s">
        <v>917</v>
      </c>
      <c r="S8722">
        <v>39</v>
      </c>
      <c r="T8722" s="29" t="str">
        <f>HYPERLINK("https://ictv.global/ictv/proposals/2023.001B.Leviviricetes_reorg.zip","2023.001B.Leviviricetes_reorg.zip")</f>
        <v>2023.001B.Leviviricetes_reorg.zip</v>
      </c>
      <c r="U8722" s="29" t="str">
        <f>HYPERLINK("https://ictv.global/taxonomy/taxondetails?taxnode_id=202316327","ictv.global=202316327")</f>
        <v>ictv.global=202316327</v>
      </c>
    </row>
    <row r="8723" spans="1:21">
      <c r="A8723">
        <v>8722</v>
      </c>
      <c r="B8723" s="30" t="s">
        <v>1226</v>
      </c>
      <c r="D8723" s="30" t="s">
        <v>2024</v>
      </c>
      <c r="F8723" s="30" t="s">
        <v>2046</v>
      </c>
      <c r="H8723" s="30" t="s">
        <v>2859</v>
      </c>
      <c r="J8723" s="30" t="s">
        <v>2860</v>
      </c>
      <c r="L8723" s="30" t="s">
        <v>2990</v>
      </c>
      <c r="N8723" s="30" t="s">
        <v>3134</v>
      </c>
      <c r="P8723" s="30" t="s">
        <v>15227</v>
      </c>
      <c r="Q8723" t="s">
        <v>621</v>
      </c>
      <c r="R8723" t="s">
        <v>917</v>
      </c>
      <c r="S8723">
        <v>39</v>
      </c>
      <c r="T8723" s="29" t="str">
        <f>HYPERLINK("https://ictv.global/ictv/proposals/2023.001B.Leviviricetes_reorg.zip","2023.001B.Leviviricetes_reorg.zip")</f>
        <v>2023.001B.Leviviricetes_reorg.zip</v>
      </c>
      <c r="U8723" s="29" t="str">
        <f>HYPERLINK("https://ictv.global/taxonomy/taxondetails?taxnode_id=202316328","ictv.global=202316328")</f>
        <v>ictv.global=202316328</v>
      </c>
    </row>
    <row r="8724" spans="1:21">
      <c r="A8724">
        <v>8723</v>
      </c>
      <c r="B8724" s="30" t="s">
        <v>1226</v>
      </c>
      <c r="D8724" s="30" t="s">
        <v>2024</v>
      </c>
      <c r="F8724" s="30" t="s">
        <v>2046</v>
      </c>
      <c r="H8724" s="30" t="s">
        <v>2859</v>
      </c>
      <c r="J8724" s="30" t="s">
        <v>2860</v>
      </c>
      <c r="L8724" s="30" t="s">
        <v>2990</v>
      </c>
      <c r="N8724" s="30" t="s">
        <v>3137</v>
      </c>
      <c r="P8724" s="30" t="s">
        <v>3138</v>
      </c>
      <c r="Q8724" t="s">
        <v>621</v>
      </c>
      <c r="R8724" t="s">
        <v>917</v>
      </c>
      <c r="S8724">
        <v>36</v>
      </c>
      <c r="T8724" s="29" t="str">
        <f>HYPERLINK("https://ictv.global/ictv/proposals/2020.095B.R.Leviviricetes.zip","2020.095B.R.Leviviricetes.zip")</f>
        <v>2020.095B.R.Leviviricetes.zip</v>
      </c>
      <c r="U8724" s="29" t="str">
        <f>HYPERLINK("https://ictv.global/taxonomy/taxondetails?taxnode_id=202310411","ictv.global=202310411")</f>
        <v>ictv.global=202310411</v>
      </c>
    </row>
    <row r="8725" spans="1:21">
      <c r="A8725">
        <v>8724</v>
      </c>
      <c r="B8725" s="30" t="s">
        <v>1226</v>
      </c>
      <c r="D8725" s="30" t="s">
        <v>2024</v>
      </c>
      <c r="F8725" s="30" t="s">
        <v>2046</v>
      </c>
      <c r="H8725" s="30" t="s">
        <v>2859</v>
      </c>
      <c r="J8725" s="30" t="s">
        <v>2860</v>
      </c>
      <c r="L8725" s="30" t="s">
        <v>2990</v>
      </c>
      <c r="N8725" s="30" t="s">
        <v>3139</v>
      </c>
      <c r="P8725" s="30" t="s">
        <v>3140</v>
      </c>
      <c r="Q8725" t="s">
        <v>621</v>
      </c>
      <c r="R8725" t="s">
        <v>917</v>
      </c>
      <c r="S8725">
        <v>36</v>
      </c>
      <c r="T8725" s="29" t="str">
        <f>HYPERLINK("https://ictv.global/ictv/proposals/2020.095B.R.Leviviricetes.zip","2020.095B.R.Leviviricetes.zip")</f>
        <v>2020.095B.R.Leviviricetes.zip</v>
      </c>
      <c r="U8725" s="29" t="str">
        <f>HYPERLINK("https://ictv.global/taxonomy/taxondetails?taxnode_id=202310413","ictv.global=202310413")</f>
        <v>ictv.global=202310413</v>
      </c>
    </row>
    <row r="8726" spans="1:21">
      <c r="A8726">
        <v>8725</v>
      </c>
      <c r="B8726" s="30" t="s">
        <v>1226</v>
      </c>
      <c r="D8726" s="30" t="s">
        <v>2024</v>
      </c>
      <c r="F8726" s="30" t="s">
        <v>2046</v>
      </c>
      <c r="H8726" s="30" t="s">
        <v>2859</v>
      </c>
      <c r="J8726" s="30" t="s">
        <v>2860</v>
      </c>
      <c r="L8726" s="30" t="s">
        <v>2990</v>
      </c>
      <c r="N8726" s="30" t="s">
        <v>3139</v>
      </c>
      <c r="P8726" s="30" t="s">
        <v>3141</v>
      </c>
      <c r="Q8726" t="s">
        <v>621</v>
      </c>
      <c r="R8726" t="s">
        <v>917</v>
      </c>
      <c r="S8726">
        <v>36</v>
      </c>
      <c r="T8726" s="29" t="str">
        <f>HYPERLINK("https://ictv.global/ictv/proposals/2020.095B.R.Leviviricetes.zip","2020.095B.R.Leviviricetes.zip")</f>
        <v>2020.095B.R.Leviviricetes.zip</v>
      </c>
      <c r="U8726" s="29" t="str">
        <f>HYPERLINK("https://ictv.global/taxonomy/taxondetails?taxnode_id=202310414","ictv.global=202310414")</f>
        <v>ictv.global=202310414</v>
      </c>
    </row>
    <row r="8727" spans="1:21">
      <c r="A8727">
        <v>8726</v>
      </c>
      <c r="B8727" s="30" t="s">
        <v>1226</v>
      </c>
      <c r="D8727" s="30" t="s">
        <v>2024</v>
      </c>
      <c r="F8727" s="30" t="s">
        <v>2046</v>
      </c>
      <c r="H8727" s="30" t="s">
        <v>2859</v>
      </c>
      <c r="J8727" s="30" t="s">
        <v>2860</v>
      </c>
      <c r="L8727" s="30" t="s">
        <v>2990</v>
      </c>
      <c r="N8727" s="30" t="s">
        <v>3139</v>
      </c>
      <c r="P8727" s="30" t="s">
        <v>15228</v>
      </c>
      <c r="Q8727" t="s">
        <v>621</v>
      </c>
      <c r="R8727" t="s">
        <v>917</v>
      </c>
      <c r="S8727">
        <v>39</v>
      </c>
      <c r="T8727" s="29" t="str">
        <f>HYPERLINK("https://ictv.global/ictv/proposals/2023.001B.Leviviricetes_reorg.zip","2023.001B.Leviviricetes_reorg.zip")</f>
        <v>2023.001B.Leviviricetes_reorg.zip</v>
      </c>
      <c r="U8727" s="29" t="str">
        <f>HYPERLINK("https://ictv.global/taxonomy/taxondetails?taxnode_id=202316329","ictv.global=202316329")</f>
        <v>ictv.global=202316329</v>
      </c>
    </row>
    <row r="8728" spans="1:21">
      <c r="A8728">
        <v>8727</v>
      </c>
      <c r="B8728" s="30" t="s">
        <v>1226</v>
      </c>
      <c r="D8728" s="30" t="s">
        <v>2024</v>
      </c>
      <c r="F8728" s="30" t="s">
        <v>2046</v>
      </c>
      <c r="H8728" s="30" t="s">
        <v>2859</v>
      </c>
      <c r="J8728" s="30" t="s">
        <v>2860</v>
      </c>
      <c r="L8728" s="30" t="s">
        <v>2990</v>
      </c>
      <c r="N8728" s="30" t="s">
        <v>3139</v>
      </c>
      <c r="P8728" s="30" t="s">
        <v>15229</v>
      </c>
      <c r="Q8728" t="s">
        <v>621</v>
      </c>
      <c r="R8728" t="s">
        <v>917</v>
      </c>
      <c r="S8728">
        <v>39</v>
      </c>
      <c r="T8728" s="29" t="str">
        <f>HYPERLINK("https://ictv.global/ictv/proposals/2023.001B.Leviviricetes_reorg.zip","2023.001B.Leviviricetes_reorg.zip")</f>
        <v>2023.001B.Leviviricetes_reorg.zip</v>
      </c>
      <c r="U8728" s="29" t="str">
        <f>HYPERLINK("https://ictv.global/taxonomy/taxondetails?taxnode_id=202316330","ictv.global=202316330")</f>
        <v>ictv.global=202316330</v>
      </c>
    </row>
    <row r="8729" spans="1:21">
      <c r="A8729">
        <v>8728</v>
      </c>
      <c r="B8729" s="30" t="s">
        <v>1226</v>
      </c>
      <c r="D8729" s="30" t="s">
        <v>2024</v>
      </c>
      <c r="F8729" s="30" t="s">
        <v>2046</v>
      </c>
      <c r="H8729" s="30" t="s">
        <v>2859</v>
      </c>
      <c r="J8729" s="30" t="s">
        <v>2860</v>
      </c>
      <c r="L8729" s="30" t="s">
        <v>2990</v>
      </c>
      <c r="N8729" s="30" t="s">
        <v>3139</v>
      </c>
      <c r="P8729" s="30" t="s">
        <v>15230</v>
      </c>
      <c r="Q8729" t="s">
        <v>621</v>
      </c>
      <c r="R8729" t="s">
        <v>917</v>
      </c>
      <c r="S8729">
        <v>39</v>
      </c>
      <c r="T8729" s="29" t="str">
        <f>HYPERLINK("https://ictv.global/ictv/proposals/2023.001B.Leviviricetes_reorg.zip","2023.001B.Leviviricetes_reorg.zip")</f>
        <v>2023.001B.Leviviricetes_reorg.zip</v>
      </c>
      <c r="U8729" s="29" t="str">
        <f>HYPERLINK("https://ictv.global/taxonomy/taxondetails?taxnode_id=202316331","ictv.global=202316331")</f>
        <v>ictv.global=202316331</v>
      </c>
    </row>
    <row r="8730" spans="1:21">
      <c r="A8730">
        <v>8729</v>
      </c>
      <c r="B8730" s="30" t="s">
        <v>1226</v>
      </c>
      <c r="D8730" s="30" t="s">
        <v>2024</v>
      </c>
      <c r="F8730" s="30" t="s">
        <v>2046</v>
      </c>
      <c r="H8730" s="30" t="s">
        <v>2859</v>
      </c>
      <c r="J8730" s="30" t="s">
        <v>2860</v>
      </c>
      <c r="L8730" s="30" t="s">
        <v>2990</v>
      </c>
      <c r="N8730" s="30" t="s">
        <v>3139</v>
      </c>
      <c r="P8730" s="30" t="s">
        <v>15231</v>
      </c>
      <c r="Q8730" t="s">
        <v>621</v>
      </c>
      <c r="R8730" t="s">
        <v>917</v>
      </c>
      <c r="S8730">
        <v>39</v>
      </c>
      <c r="T8730" s="29" t="str">
        <f>HYPERLINK("https://ictv.global/ictv/proposals/2023.001B.Leviviricetes_reorg.zip","2023.001B.Leviviricetes_reorg.zip")</f>
        <v>2023.001B.Leviviricetes_reorg.zip</v>
      </c>
      <c r="U8730" s="29" t="str">
        <f>HYPERLINK("https://ictv.global/taxonomy/taxondetails?taxnode_id=202316332","ictv.global=202316332")</f>
        <v>ictv.global=202316332</v>
      </c>
    </row>
    <row r="8731" spans="1:21">
      <c r="A8731">
        <v>8730</v>
      </c>
      <c r="B8731" s="30" t="s">
        <v>1226</v>
      </c>
      <c r="D8731" s="30" t="s">
        <v>2024</v>
      </c>
      <c r="F8731" s="30" t="s">
        <v>2046</v>
      </c>
      <c r="H8731" s="30" t="s">
        <v>2859</v>
      </c>
      <c r="J8731" s="30" t="s">
        <v>2860</v>
      </c>
      <c r="L8731" s="30" t="s">
        <v>2990</v>
      </c>
      <c r="N8731" s="30" t="s">
        <v>3139</v>
      </c>
      <c r="P8731" s="30" t="s">
        <v>15232</v>
      </c>
      <c r="Q8731" t="s">
        <v>621</v>
      </c>
      <c r="R8731" t="s">
        <v>917</v>
      </c>
      <c r="S8731">
        <v>39</v>
      </c>
      <c r="T8731" s="29" t="str">
        <f>HYPERLINK("https://ictv.global/ictv/proposals/2023.001B.Leviviricetes_reorg.zip","2023.001B.Leviviricetes_reorg.zip")</f>
        <v>2023.001B.Leviviricetes_reorg.zip</v>
      </c>
      <c r="U8731" s="29" t="str">
        <f>HYPERLINK("https://ictv.global/taxonomy/taxondetails?taxnode_id=202316333","ictv.global=202316333")</f>
        <v>ictv.global=202316333</v>
      </c>
    </row>
    <row r="8732" spans="1:21">
      <c r="A8732">
        <v>8731</v>
      </c>
      <c r="B8732" s="30" t="s">
        <v>1226</v>
      </c>
      <c r="D8732" s="30" t="s">
        <v>2024</v>
      </c>
      <c r="F8732" s="30" t="s">
        <v>2046</v>
      </c>
      <c r="H8732" s="30" t="s">
        <v>2859</v>
      </c>
      <c r="J8732" s="30" t="s">
        <v>2860</v>
      </c>
      <c r="L8732" s="30" t="s">
        <v>2990</v>
      </c>
      <c r="N8732" s="30" t="s">
        <v>3142</v>
      </c>
      <c r="P8732" s="30" t="s">
        <v>3143</v>
      </c>
      <c r="Q8732" t="s">
        <v>621</v>
      </c>
      <c r="R8732" t="s">
        <v>917</v>
      </c>
      <c r="S8732">
        <v>36</v>
      </c>
      <c r="T8732" s="29" t="str">
        <f>HYPERLINK("https://ictv.global/ictv/proposals/2020.095B.R.Leviviricetes.zip","2020.095B.R.Leviviricetes.zip")</f>
        <v>2020.095B.R.Leviviricetes.zip</v>
      </c>
      <c r="U8732" s="29" t="str">
        <f>HYPERLINK("https://ictv.global/taxonomy/taxondetails?taxnode_id=202310416","ictv.global=202310416")</f>
        <v>ictv.global=202310416</v>
      </c>
    </row>
    <row r="8733" spans="1:21">
      <c r="A8733">
        <v>8732</v>
      </c>
      <c r="B8733" s="30" t="s">
        <v>1226</v>
      </c>
      <c r="D8733" s="30" t="s">
        <v>2024</v>
      </c>
      <c r="F8733" s="30" t="s">
        <v>2046</v>
      </c>
      <c r="H8733" s="30" t="s">
        <v>2859</v>
      </c>
      <c r="J8733" s="30" t="s">
        <v>2860</v>
      </c>
      <c r="L8733" s="30" t="s">
        <v>2990</v>
      </c>
      <c r="N8733" s="30" t="s">
        <v>3142</v>
      </c>
      <c r="P8733" s="30" t="s">
        <v>15233</v>
      </c>
      <c r="Q8733" t="s">
        <v>621</v>
      </c>
      <c r="R8733" t="s">
        <v>918</v>
      </c>
      <c r="S8733">
        <v>39</v>
      </c>
      <c r="T8733" s="29" t="str">
        <f>HYPERLINK("https://ictv.global/ictv/proposals/2023.001B.Leviviricetes_reorg.zip","2023.001B.Leviviricetes_reorg.zip")</f>
        <v>2023.001B.Leviviricetes_reorg.zip</v>
      </c>
      <c r="U8733" s="29" t="str">
        <f>HYPERLINK("https://ictv.global/taxonomy/taxondetails?taxnode_id=202310221","ictv.global=202310221")</f>
        <v>ictv.global=202310221</v>
      </c>
    </row>
    <row r="8734" spans="1:21">
      <c r="A8734">
        <v>8733</v>
      </c>
      <c r="B8734" s="30" t="s">
        <v>1226</v>
      </c>
      <c r="D8734" s="30" t="s">
        <v>2024</v>
      </c>
      <c r="F8734" s="30" t="s">
        <v>2046</v>
      </c>
      <c r="H8734" s="30" t="s">
        <v>2859</v>
      </c>
      <c r="J8734" s="30" t="s">
        <v>2860</v>
      </c>
      <c r="L8734" s="30" t="s">
        <v>2990</v>
      </c>
      <c r="N8734" s="30" t="s">
        <v>15234</v>
      </c>
      <c r="P8734" s="30" t="s">
        <v>15235</v>
      </c>
      <c r="Q8734" t="s">
        <v>621</v>
      </c>
      <c r="R8734" t="s">
        <v>917</v>
      </c>
      <c r="S8734">
        <v>39</v>
      </c>
      <c r="T8734" s="29" t="str">
        <f>HYPERLINK("https://ictv.global/ictv/proposals/2023.001B.Leviviricetes_reorg.zip","2023.001B.Leviviricetes_reorg.zip")</f>
        <v>2023.001B.Leviviricetes_reorg.zip</v>
      </c>
      <c r="U8734" s="29" t="str">
        <f>HYPERLINK("https://ictv.global/taxonomy/taxondetails?taxnode_id=202316334","ictv.global=202316334")</f>
        <v>ictv.global=202316334</v>
      </c>
    </row>
    <row r="8735" spans="1:21">
      <c r="A8735">
        <v>8734</v>
      </c>
      <c r="B8735" s="30" t="s">
        <v>1226</v>
      </c>
      <c r="D8735" s="30" t="s">
        <v>2024</v>
      </c>
      <c r="F8735" s="30" t="s">
        <v>2046</v>
      </c>
      <c r="H8735" s="30" t="s">
        <v>2859</v>
      </c>
      <c r="J8735" s="30" t="s">
        <v>2860</v>
      </c>
      <c r="L8735" s="30" t="s">
        <v>2990</v>
      </c>
      <c r="N8735" s="30" t="s">
        <v>3144</v>
      </c>
      <c r="P8735" s="30" t="s">
        <v>3145</v>
      </c>
      <c r="Q8735" t="s">
        <v>621</v>
      </c>
      <c r="R8735" t="s">
        <v>917</v>
      </c>
      <c r="S8735">
        <v>36</v>
      </c>
      <c r="T8735" s="29" t="str">
        <f>HYPERLINK("https://ictv.global/ictv/proposals/2020.095B.R.Leviviricetes.zip","2020.095B.R.Leviviricetes.zip")</f>
        <v>2020.095B.R.Leviviricetes.zip</v>
      </c>
      <c r="U8735" s="29" t="str">
        <f>HYPERLINK("https://ictv.global/taxonomy/taxondetails?taxnode_id=202310419","ictv.global=202310419")</f>
        <v>ictv.global=202310419</v>
      </c>
    </row>
    <row r="8736" spans="1:21">
      <c r="A8736">
        <v>8735</v>
      </c>
      <c r="B8736" s="30" t="s">
        <v>1226</v>
      </c>
      <c r="D8736" s="30" t="s">
        <v>2024</v>
      </c>
      <c r="F8736" s="30" t="s">
        <v>2046</v>
      </c>
      <c r="H8736" s="30" t="s">
        <v>2859</v>
      </c>
      <c r="J8736" s="30" t="s">
        <v>2860</v>
      </c>
      <c r="L8736" s="30" t="s">
        <v>2990</v>
      </c>
      <c r="N8736" s="30" t="s">
        <v>3144</v>
      </c>
      <c r="P8736" s="30" t="s">
        <v>3146</v>
      </c>
      <c r="Q8736" t="s">
        <v>621</v>
      </c>
      <c r="R8736" t="s">
        <v>917</v>
      </c>
      <c r="S8736">
        <v>36</v>
      </c>
      <c r="T8736" s="29" t="str">
        <f>HYPERLINK("https://ictv.global/ictv/proposals/2020.095B.R.Leviviricetes.zip","2020.095B.R.Leviviricetes.zip")</f>
        <v>2020.095B.R.Leviviricetes.zip</v>
      </c>
      <c r="U8736" s="29" t="str">
        <f>HYPERLINK("https://ictv.global/taxonomy/taxondetails?taxnode_id=202310418","ictv.global=202310418")</f>
        <v>ictv.global=202310418</v>
      </c>
    </row>
    <row r="8737" spans="1:21">
      <c r="A8737">
        <v>8736</v>
      </c>
      <c r="B8737" s="30" t="s">
        <v>1226</v>
      </c>
      <c r="D8737" s="30" t="s">
        <v>2024</v>
      </c>
      <c r="F8737" s="30" t="s">
        <v>2046</v>
      </c>
      <c r="H8737" s="30" t="s">
        <v>2859</v>
      </c>
      <c r="J8737" s="30" t="s">
        <v>2860</v>
      </c>
      <c r="L8737" s="30" t="s">
        <v>2990</v>
      </c>
      <c r="N8737" s="30" t="s">
        <v>3147</v>
      </c>
      <c r="P8737" s="30" t="s">
        <v>3148</v>
      </c>
      <c r="Q8737" t="s">
        <v>621</v>
      </c>
      <c r="R8737" t="s">
        <v>917</v>
      </c>
      <c r="S8737">
        <v>36</v>
      </c>
      <c r="T8737" s="29" t="str">
        <f>HYPERLINK("https://ictv.global/ictv/proposals/2020.095B.R.Leviviricetes.zip","2020.095B.R.Leviviricetes.zip")</f>
        <v>2020.095B.R.Leviviricetes.zip</v>
      </c>
      <c r="U8737" s="29" t="str">
        <f>HYPERLINK("https://ictv.global/taxonomy/taxondetails?taxnode_id=202310423","ictv.global=202310423")</f>
        <v>ictv.global=202310423</v>
      </c>
    </row>
    <row r="8738" spans="1:21">
      <c r="A8738">
        <v>8737</v>
      </c>
      <c r="B8738" s="30" t="s">
        <v>1226</v>
      </c>
      <c r="D8738" s="30" t="s">
        <v>2024</v>
      </c>
      <c r="F8738" s="30" t="s">
        <v>2046</v>
      </c>
      <c r="H8738" s="30" t="s">
        <v>2859</v>
      </c>
      <c r="J8738" s="30" t="s">
        <v>2860</v>
      </c>
      <c r="L8738" s="30" t="s">
        <v>2990</v>
      </c>
      <c r="N8738" s="30" t="s">
        <v>15236</v>
      </c>
      <c r="P8738" s="30" t="s">
        <v>15237</v>
      </c>
      <c r="Q8738" t="s">
        <v>621</v>
      </c>
      <c r="R8738" t="s">
        <v>917</v>
      </c>
      <c r="S8738">
        <v>39</v>
      </c>
      <c r="T8738" s="29" t="str">
        <f>HYPERLINK("https://ictv.global/ictv/proposals/2023.001B.Leviviricetes_reorg.zip","2023.001B.Leviviricetes_reorg.zip")</f>
        <v>2023.001B.Leviviricetes_reorg.zip</v>
      </c>
      <c r="U8738" s="29" t="str">
        <f>HYPERLINK("https://ictv.global/taxonomy/taxondetails?taxnode_id=202316335","ictv.global=202316335")</f>
        <v>ictv.global=202316335</v>
      </c>
    </row>
    <row r="8739" spans="1:21">
      <c r="A8739">
        <v>8738</v>
      </c>
      <c r="B8739" s="30" t="s">
        <v>1226</v>
      </c>
      <c r="D8739" s="30" t="s">
        <v>2024</v>
      </c>
      <c r="F8739" s="30" t="s">
        <v>2046</v>
      </c>
      <c r="H8739" s="30" t="s">
        <v>2859</v>
      </c>
      <c r="J8739" s="30" t="s">
        <v>2860</v>
      </c>
      <c r="L8739" s="30" t="s">
        <v>2990</v>
      </c>
      <c r="N8739" s="30" t="s">
        <v>15238</v>
      </c>
      <c r="P8739" s="30" t="s">
        <v>15239</v>
      </c>
      <c r="Q8739" t="s">
        <v>621</v>
      </c>
      <c r="R8739" t="s">
        <v>917</v>
      </c>
      <c r="S8739">
        <v>39</v>
      </c>
      <c r="T8739" s="29" t="str">
        <f>HYPERLINK("https://ictv.global/ictv/proposals/2023.001B.Leviviricetes_reorg.zip","2023.001B.Leviviricetes_reorg.zip")</f>
        <v>2023.001B.Leviviricetes_reorg.zip</v>
      </c>
      <c r="U8739" s="29" t="str">
        <f>HYPERLINK("https://ictv.global/taxonomy/taxondetails?taxnode_id=202316336","ictv.global=202316336")</f>
        <v>ictv.global=202316336</v>
      </c>
    </row>
    <row r="8740" spans="1:21">
      <c r="A8740">
        <v>8739</v>
      </c>
      <c r="B8740" s="30" t="s">
        <v>1226</v>
      </c>
      <c r="D8740" s="30" t="s">
        <v>2024</v>
      </c>
      <c r="F8740" s="30" t="s">
        <v>2046</v>
      </c>
      <c r="H8740" s="30" t="s">
        <v>2859</v>
      </c>
      <c r="J8740" s="30" t="s">
        <v>2860</v>
      </c>
      <c r="L8740" s="30" t="s">
        <v>2990</v>
      </c>
      <c r="N8740" s="30" t="s">
        <v>3149</v>
      </c>
      <c r="P8740" s="30" t="s">
        <v>3150</v>
      </c>
      <c r="Q8740" t="s">
        <v>621</v>
      </c>
      <c r="R8740" t="s">
        <v>917</v>
      </c>
      <c r="S8740">
        <v>36</v>
      </c>
      <c r="T8740" s="29" t="str">
        <f>HYPERLINK("https://ictv.global/ictv/proposals/2020.095B.R.Leviviricetes.zip","2020.095B.R.Leviviricetes.zip")</f>
        <v>2020.095B.R.Leviviricetes.zip</v>
      </c>
      <c r="U8740" s="29" t="str">
        <f>HYPERLINK("https://ictv.global/taxonomy/taxondetails?taxnode_id=202310425","ictv.global=202310425")</f>
        <v>ictv.global=202310425</v>
      </c>
    </row>
    <row r="8741" spans="1:21">
      <c r="A8741">
        <v>8740</v>
      </c>
      <c r="B8741" s="30" t="s">
        <v>1226</v>
      </c>
      <c r="D8741" s="30" t="s">
        <v>2024</v>
      </c>
      <c r="F8741" s="30" t="s">
        <v>2046</v>
      </c>
      <c r="H8741" s="30" t="s">
        <v>2859</v>
      </c>
      <c r="J8741" s="30" t="s">
        <v>2860</v>
      </c>
      <c r="L8741" s="30" t="s">
        <v>2990</v>
      </c>
      <c r="N8741" s="30" t="s">
        <v>3151</v>
      </c>
      <c r="P8741" s="30" t="s">
        <v>3152</v>
      </c>
      <c r="Q8741" t="s">
        <v>621</v>
      </c>
      <c r="R8741" t="s">
        <v>917</v>
      </c>
      <c r="S8741">
        <v>36</v>
      </c>
      <c r="T8741" s="29" t="str">
        <f>HYPERLINK("https://ictv.global/ictv/proposals/2020.095B.R.Leviviricetes.zip","2020.095B.R.Leviviricetes.zip")</f>
        <v>2020.095B.R.Leviviricetes.zip</v>
      </c>
      <c r="U8741" s="29" t="str">
        <f>HYPERLINK("https://ictv.global/taxonomy/taxondetails?taxnode_id=202310427","ictv.global=202310427")</f>
        <v>ictv.global=202310427</v>
      </c>
    </row>
    <row r="8742" spans="1:21">
      <c r="A8742">
        <v>8741</v>
      </c>
      <c r="B8742" s="30" t="s">
        <v>1226</v>
      </c>
      <c r="D8742" s="30" t="s">
        <v>2024</v>
      </c>
      <c r="F8742" s="30" t="s">
        <v>2046</v>
      </c>
      <c r="H8742" s="30" t="s">
        <v>2859</v>
      </c>
      <c r="J8742" s="30" t="s">
        <v>2860</v>
      </c>
      <c r="L8742" s="30" t="s">
        <v>2990</v>
      </c>
      <c r="N8742" s="30" t="s">
        <v>15240</v>
      </c>
      <c r="P8742" s="30" t="s">
        <v>15241</v>
      </c>
      <c r="Q8742" t="s">
        <v>621</v>
      </c>
      <c r="R8742" t="s">
        <v>917</v>
      </c>
      <c r="S8742">
        <v>39</v>
      </c>
      <c r="T8742" s="29" t="str">
        <f>HYPERLINK("https://ictv.global/ictv/proposals/2023.001B.Leviviricetes_reorg.zip","2023.001B.Leviviricetes_reorg.zip")</f>
        <v>2023.001B.Leviviricetes_reorg.zip</v>
      </c>
      <c r="U8742" s="29" t="str">
        <f>HYPERLINK("https://ictv.global/taxonomy/taxondetails?taxnode_id=202316337","ictv.global=202316337")</f>
        <v>ictv.global=202316337</v>
      </c>
    </row>
    <row r="8743" spans="1:21">
      <c r="A8743">
        <v>8742</v>
      </c>
      <c r="B8743" s="30" t="s">
        <v>1226</v>
      </c>
      <c r="D8743" s="30" t="s">
        <v>2024</v>
      </c>
      <c r="F8743" s="30" t="s">
        <v>2046</v>
      </c>
      <c r="H8743" s="30" t="s">
        <v>2859</v>
      </c>
      <c r="J8743" s="30" t="s">
        <v>2860</v>
      </c>
      <c r="L8743" s="30" t="s">
        <v>2990</v>
      </c>
      <c r="N8743" s="30" t="s">
        <v>15240</v>
      </c>
      <c r="P8743" s="30" t="s">
        <v>15242</v>
      </c>
      <c r="Q8743" t="s">
        <v>621</v>
      </c>
      <c r="R8743" t="s">
        <v>917</v>
      </c>
      <c r="S8743">
        <v>39</v>
      </c>
      <c r="T8743" s="29" t="str">
        <f>HYPERLINK("https://ictv.global/ictv/proposals/2023.001B.Leviviricetes_reorg.zip","2023.001B.Leviviricetes_reorg.zip")</f>
        <v>2023.001B.Leviviricetes_reorg.zip</v>
      </c>
      <c r="U8743" s="29" t="str">
        <f>HYPERLINK("https://ictv.global/taxonomy/taxondetails?taxnode_id=202316338","ictv.global=202316338")</f>
        <v>ictv.global=202316338</v>
      </c>
    </row>
    <row r="8744" spans="1:21">
      <c r="A8744">
        <v>8743</v>
      </c>
      <c r="B8744" s="30" t="s">
        <v>1226</v>
      </c>
      <c r="D8744" s="30" t="s">
        <v>2024</v>
      </c>
      <c r="F8744" s="30" t="s">
        <v>2046</v>
      </c>
      <c r="H8744" s="30" t="s">
        <v>2859</v>
      </c>
      <c r="J8744" s="30" t="s">
        <v>2860</v>
      </c>
      <c r="L8744" s="30" t="s">
        <v>2990</v>
      </c>
      <c r="N8744" s="30" t="s">
        <v>3153</v>
      </c>
      <c r="P8744" s="30" t="s">
        <v>3154</v>
      </c>
      <c r="Q8744" t="s">
        <v>621</v>
      </c>
      <c r="R8744" t="s">
        <v>917</v>
      </c>
      <c r="S8744">
        <v>36</v>
      </c>
      <c r="T8744" s="29" t="str">
        <f>HYPERLINK("https://ictv.global/ictv/proposals/2020.095B.R.Leviviricetes.zip","2020.095B.R.Leviviricetes.zip")</f>
        <v>2020.095B.R.Leviviricetes.zip</v>
      </c>
      <c r="U8744" s="29" t="str">
        <f>HYPERLINK("https://ictv.global/taxonomy/taxondetails?taxnode_id=202310429","ictv.global=202310429")</f>
        <v>ictv.global=202310429</v>
      </c>
    </row>
    <row r="8745" spans="1:21">
      <c r="A8745">
        <v>8744</v>
      </c>
      <c r="B8745" s="30" t="s">
        <v>1226</v>
      </c>
      <c r="D8745" s="30" t="s">
        <v>2024</v>
      </c>
      <c r="F8745" s="30" t="s">
        <v>2046</v>
      </c>
      <c r="H8745" s="30" t="s">
        <v>2859</v>
      </c>
      <c r="J8745" s="30" t="s">
        <v>2860</v>
      </c>
      <c r="L8745" s="30" t="s">
        <v>2990</v>
      </c>
      <c r="N8745" s="30" t="s">
        <v>15243</v>
      </c>
      <c r="P8745" s="30" t="s">
        <v>15244</v>
      </c>
      <c r="Q8745" t="s">
        <v>621</v>
      </c>
      <c r="R8745" t="s">
        <v>917</v>
      </c>
      <c r="S8745">
        <v>39</v>
      </c>
      <c r="T8745" s="29" t="str">
        <f t="shared" ref="T8745:T8789" si="372">HYPERLINK("https://ictv.global/ictv/proposals/2023.001B.Leviviricetes_reorg.zip","2023.001B.Leviviricetes_reorg.zip")</f>
        <v>2023.001B.Leviviricetes_reorg.zip</v>
      </c>
      <c r="U8745" s="29" t="str">
        <f>HYPERLINK("https://ictv.global/taxonomy/taxondetails?taxnode_id=202316339","ictv.global=202316339")</f>
        <v>ictv.global=202316339</v>
      </c>
    </row>
    <row r="8746" spans="1:21">
      <c r="A8746">
        <v>8745</v>
      </c>
      <c r="B8746" s="30" t="s">
        <v>1226</v>
      </c>
      <c r="D8746" s="30" t="s">
        <v>2024</v>
      </c>
      <c r="F8746" s="30" t="s">
        <v>2046</v>
      </c>
      <c r="H8746" s="30" t="s">
        <v>2859</v>
      </c>
      <c r="J8746" s="30" t="s">
        <v>2860</v>
      </c>
      <c r="L8746" s="30" t="s">
        <v>2990</v>
      </c>
      <c r="N8746" s="30" t="s">
        <v>15245</v>
      </c>
      <c r="P8746" s="30" t="s">
        <v>15246</v>
      </c>
      <c r="Q8746" t="s">
        <v>621</v>
      </c>
      <c r="R8746" t="s">
        <v>917</v>
      </c>
      <c r="S8746">
        <v>39</v>
      </c>
      <c r="T8746" s="29" t="str">
        <f t="shared" si="372"/>
        <v>2023.001B.Leviviricetes_reorg.zip</v>
      </c>
      <c r="U8746" s="29" t="str">
        <f>HYPERLINK("https://ictv.global/taxonomy/taxondetails?taxnode_id=202316340","ictv.global=202316340")</f>
        <v>ictv.global=202316340</v>
      </c>
    </row>
    <row r="8747" spans="1:21">
      <c r="A8747">
        <v>8746</v>
      </c>
      <c r="B8747" s="30" t="s">
        <v>1226</v>
      </c>
      <c r="D8747" s="30" t="s">
        <v>2024</v>
      </c>
      <c r="F8747" s="30" t="s">
        <v>2046</v>
      </c>
      <c r="H8747" s="30" t="s">
        <v>2859</v>
      </c>
      <c r="J8747" s="30" t="s">
        <v>2860</v>
      </c>
      <c r="L8747" s="30" t="s">
        <v>2990</v>
      </c>
      <c r="N8747" s="30" t="s">
        <v>15245</v>
      </c>
      <c r="P8747" s="30" t="s">
        <v>15247</v>
      </c>
      <c r="Q8747" t="s">
        <v>621</v>
      </c>
      <c r="R8747" t="s">
        <v>917</v>
      </c>
      <c r="S8747">
        <v>39</v>
      </c>
      <c r="T8747" s="29" t="str">
        <f t="shared" si="372"/>
        <v>2023.001B.Leviviricetes_reorg.zip</v>
      </c>
      <c r="U8747" s="29" t="str">
        <f>HYPERLINK("https://ictv.global/taxonomy/taxondetails?taxnode_id=202316341","ictv.global=202316341")</f>
        <v>ictv.global=202316341</v>
      </c>
    </row>
    <row r="8748" spans="1:21">
      <c r="A8748">
        <v>8747</v>
      </c>
      <c r="B8748" s="30" t="s">
        <v>1226</v>
      </c>
      <c r="D8748" s="30" t="s">
        <v>2024</v>
      </c>
      <c r="F8748" s="30" t="s">
        <v>2046</v>
      </c>
      <c r="H8748" s="30" t="s">
        <v>2859</v>
      </c>
      <c r="J8748" s="30" t="s">
        <v>2860</v>
      </c>
      <c r="L8748" s="30" t="s">
        <v>2990</v>
      </c>
      <c r="N8748" s="30" t="s">
        <v>15245</v>
      </c>
      <c r="P8748" s="30" t="s">
        <v>15248</v>
      </c>
      <c r="Q8748" t="s">
        <v>621</v>
      </c>
      <c r="R8748" t="s">
        <v>917</v>
      </c>
      <c r="S8748">
        <v>39</v>
      </c>
      <c r="T8748" s="29" t="str">
        <f t="shared" si="372"/>
        <v>2023.001B.Leviviricetes_reorg.zip</v>
      </c>
      <c r="U8748" s="29" t="str">
        <f>HYPERLINK("https://ictv.global/taxonomy/taxondetails?taxnode_id=202316342","ictv.global=202316342")</f>
        <v>ictv.global=202316342</v>
      </c>
    </row>
    <row r="8749" spans="1:21">
      <c r="A8749">
        <v>8748</v>
      </c>
      <c r="B8749" s="30" t="s">
        <v>1226</v>
      </c>
      <c r="D8749" s="30" t="s">
        <v>2024</v>
      </c>
      <c r="F8749" s="30" t="s">
        <v>2046</v>
      </c>
      <c r="H8749" s="30" t="s">
        <v>2859</v>
      </c>
      <c r="J8749" s="30" t="s">
        <v>2860</v>
      </c>
      <c r="L8749" s="30" t="s">
        <v>2990</v>
      </c>
      <c r="N8749" s="30" t="s">
        <v>15245</v>
      </c>
      <c r="P8749" s="30" t="s">
        <v>15249</v>
      </c>
      <c r="Q8749" t="s">
        <v>621</v>
      </c>
      <c r="R8749" t="s">
        <v>918</v>
      </c>
      <c r="S8749">
        <v>39</v>
      </c>
      <c r="T8749" s="29" t="str">
        <f t="shared" si="372"/>
        <v>2023.001B.Leviviricetes_reorg.zip</v>
      </c>
      <c r="U8749" s="29" t="str">
        <f>HYPERLINK("https://ictv.global/taxonomy/taxondetails?taxnode_id=202310313","ictv.global=202310313")</f>
        <v>ictv.global=202310313</v>
      </c>
    </row>
    <row r="8750" spans="1:21">
      <c r="A8750">
        <v>8749</v>
      </c>
      <c r="B8750" s="30" t="s">
        <v>1226</v>
      </c>
      <c r="D8750" s="30" t="s">
        <v>2024</v>
      </c>
      <c r="F8750" s="30" t="s">
        <v>2046</v>
      </c>
      <c r="H8750" s="30" t="s">
        <v>2859</v>
      </c>
      <c r="J8750" s="30" t="s">
        <v>2860</v>
      </c>
      <c r="L8750" s="30" t="s">
        <v>2990</v>
      </c>
      <c r="N8750" s="30" t="s">
        <v>15245</v>
      </c>
      <c r="P8750" s="30" t="s">
        <v>15250</v>
      </c>
      <c r="Q8750" t="s">
        <v>621</v>
      </c>
      <c r="R8750" t="s">
        <v>918</v>
      </c>
      <c r="S8750">
        <v>39</v>
      </c>
      <c r="T8750" s="29" t="str">
        <f t="shared" si="372"/>
        <v>2023.001B.Leviviricetes_reorg.zip</v>
      </c>
      <c r="U8750" s="29" t="str">
        <f>HYPERLINK("https://ictv.global/taxonomy/taxondetails?taxnode_id=202310312","ictv.global=202310312")</f>
        <v>ictv.global=202310312</v>
      </c>
    </row>
    <row r="8751" spans="1:21">
      <c r="A8751">
        <v>8750</v>
      </c>
      <c r="B8751" s="30" t="s">
        <v>1226</v>
      </c>
      <c r="D8751" s="30" t="s">
        <v>2024</v>
      </c>
      <c r="F8751" s="30" t="s">
        <v>2046</v>
      </c>
      <c r="H8751" s="30" t="s">
        <v>2859</v>
      </c>
      <c r="J8751" s="30" t="s">
        <v>2860</v>
      </c>
      <c r="L8751" s="30" t="s">
        <v>2990</v>
      </c>
      <c r="N8751" s="30" t="s">
        <v>15245</v>
      </c>
      <c r="P8751" s="30" t="s">
        <v>15251</v>
      </c>
      <c r="Q8751" t="s">
        <v>621</v>
      </c>
      <c r="R8751" t="s">
        <v>918</v>
      </c>
      <c r="S8751">
        <v>39</v>
      </c>
      <c r="T8751" s="29" t="str">
        <f t="shared" si="372"/>
        <v>2023.001B.Leviviricetes_reorg.zip</v>
      </c>
      <c r="U8751" s="29" t="str">
        <f>HYPERLINK("https://ictv.global/taxonomy/taxondetails?taxnode_id=202310315","ictv.global=202310315")</f>
        <v>ictv.global=202310315</v>
      </c>
    </row>
    <row r="8752" spans="1:21">
      <c r="A8752">
        <v>8751</v>
      </c>
      <c r="B8752" s="30" t="s">
        <v>1226</v>
      </c>
      <c r="D8752" s="30" t="s">
        <v>2024</v>
      </c>
      <c r="F8752" s="30" t="s">
        <v>2046</v>
      </c>
      <c r="H8752" s="30" t="s">
        <v>2859</v>
      </c>
      <c r="J8752" s="30" t="s">
        <v>2860</v>
      </c>
      <c r="L8752" s="30" t="s">
        <v>2990</v>
      </c>
      <c r="N8752" s="30" t="s">
        <v>15245</v>
      </c>
      <c r="P8752" s="30" t="s">
        <v>15252</v>
      </c>
      <c r="Q8752" t="s">
        <v>621</v>
      </c>
      <c r="R8752" t="s">
        <v>918</v>
      </c>
      <c r="S8752">
        <v>39</v>
      </c>
      <c r="T8752" s="29" t="str">
        <f t="shared" si="372"/>
        <v>2023.001B.Leviviricetes_reorg.zip</v>
      </c>
      <c r="U8752" s="29" t="str">
        <f>HYPERLINK("https://ictv.global/taxonomy/taxondetails?taxnode_id=202310316","ictv.global=202310316")</f>
        <v>ictv.global=202310316</v>
      </c>
    </row>
    <row r="8753" spans="1:21">
      <c r="A8753">
        <v>8752</v>
      </c>
      <c r="B8753" s="30" t="s">
        <v>1226</v>
      </c>
      <c r="D8753" s="30" t="s">
        <v>2024</v>
      </c>
      <c r="F8753" s="30" t="s">
        <v>2046</v>
      </c>
      <c r="H8753" s="30" t="s">
        <v>2859</v>
      </c>
      <c r="J8753" s="30" t="s">
        <v>2860</v>
      </c>
      <c r="L8753" s="30" t="s">
        <v>2990</v>
      </c>
      <c r="N8753" s="30" t="s">
        <v>15245</v>
      </c>
      <c r="P8753" s="30" t="s">
        <v>15253</v>
      </c>
      <c r="Q8753" t="s">
        <v>621</v>
      </c>
      <c r="R8753" t="s">
        <v>917</v>
      </c>
      <c r="S8753">
        <v>39</v>
      </c>
      <c r="T8753" s="29" t="str">
        <f t="shared" si="372"/>
        <v>2023.001B.Leviviricetes_reorg.zip</v>
      </c>
      <c r="U8753" s="29" t="str">
        <f>HYPERLINK("https://ictv.global/taxonomy/taxondetails?taxnode_id=202316343","ictv.global=202316343")</f>
        <v>ictv.global=202316343</v>
      </c>
    </row>
    <row r="8754" spans="1:21">
      <c r="A8754">
        <v>8753</v>
      </c>
      <c r="B8754" s="30" t="s">
        <v>1226</v>
      </c>
      <c r="D8754" s="30" t="s">
        <v>2024</v>
      </c>
      <c r="F8754" s="30" t="s">
        <v>2046</v>
      </c>
      <c r="H8754" s="30" t="s">
        <v>2859</v>
      </c>
      <c r="J8754" s="30" t="s">
        <v>2860</v>
      </c>
      <c r="L8754" s="30" t="s">
        <v>2990</v>
      </c>
      <c r="N8754" s="30" t="s">
        <v>15245</v>
      </c>
      <c r="P8754" s="30" t="s">
        <v>15254</v>
      </c>
      <c r="Q8754" t="s">
        <v>621</v>
      </c>
      <c r="R8754" t="s">
        <v>917</v>
      </c>
      <c r="S8754">
        <v>39</v>
      </c>
      <c r="T8754" s="29" t="str">
        <f t="shared" si="372"/>
        <v>2023.001B.Leviviricetes_reorg.zip</v>
      </c>
      <c r="U8754" s="29" t="str">
        <f>HYPERLINK("https://ictv.global/taxonomy/taxondetails?taxnode_id=202316344","ictv.global=202316344")</f>
        <v>ictv.global=202316344</v>
      </c>
    </row>
    <row r="8755" spans="1:21">
      <c r="A8755">
        <v>8754</v>
      </c>
      <c r="B8755" s="30" t="s">
        <v>1226</v>
      </c>
      <c r="D8755" s="30" t="s">
        <v>2024</v>
      </c>
      <c r="F8755" s="30" t="s">
        <v>2046</v>
      </c>
      <c r="H8755" s="30" t="s">
        <v>2859</v>
      </c>
      <c r="J8755" s="30" t="s">
        <v>2860</v>
      </c>
      <c r="L8755" s="30" t="s">
        <v>2990</v>
      </c>
      <c r="N8755" s="30" t="s">
        <v>15245</v>
      </c>
      <c r="P8755" s="30" t="s">
        <v>15255</v>
      </c>
      <c r="Q8755" t="s">
        <v>621</v>
      </c>
      <c r="R8755" t="s">
        <v>918</v>
      </c>
      <c r="S8755">
        <v>39</v>
      </c>
      <c r="T8755" s="29" t="str">
        <f t="shared" si="372"/>
        <v>2023.001B.Leviviricetes_reorg.zip</v>
      </c>
      <c r="U8755" s="29" t="str">
        <f>HYPERLINK("https://ictv.global/taxonomy/taxondetails?taxnode_id=202310599","ictv.global=202310599")</f>
        <v>ictv.global=202310599</v>
      </c>
    </row>
    <row r="8756" spans="1:21">
      <c r="A8756">
        <v>8755</v>
      </c>
      <c r="B8756" s="30" t="s">
        <v>1226</v>
      </c>
      <c r="D8756" s="30" t="s">
        <v>2024</v>
      </c>
      <c r="F8756" s="30" t="s">
        <v>2046</v>
      </c>
      <c r="H8756" s="30" t="s">
        <v>2859</v>
      </c>
      <c r="J8756" s="30" t="s">
        <v>2860</v>
      </c>
      <c r="L8756" s="30" t="s">
        <v>2990</v>
      </c>
      <c r="N8756" s="30" t="s">
        <v>15245</v>
      </c>
      <c r="P8756" s="30" t="s">
        <v>15256</v>
      </c>
      <c r="Q8756" t="s">
        <v>621</v>
      </c>
      <c r="R8756" t="s">
        <v>918</v>
      </c>
      <c r="S8756">
        <v>39</v>
      </c>
      <c r="T8756" s="29" t="str">
        <f t="shared" si="372"/>
        <v>2023.001B.Leviviricetes_reorg.zip</v>
      </c>
      <c r="U8756" s="29" t="str">
        <f>HYPERLINK("https://ictv.global/taxonomy/taxondetails?taxnode_id=202310570","ictv.global=202310570")</f>
        <v>ictv.global=202310570</v>
      </c>
    </row>
    <row r="8757" spans="1:21">
      <c r="A8757">
        <v>8756</v>
      </c>
      <c r="B8757" s="30" t="s">
        <v>1226</v>
      </c>
      <c r="D8757" s="30" t="s">
        <v>2024</v>
      </c>
      <c r="F8757" s="30" t="s">
        <v>2046</v>
      </c>
      <c r="H8757" s="30" t="s">
        <v>2859</v>
      </c>
      <c r="J8757" s="30" t="s">
        <v>2860</v>
      </c>
      <c r="L8757" s="30" t="s">
        <v>2990</v>
      </c>
      <c r="N8757" s="30" t="s">
        <v>15245</v>
      </c>
      <c r="P8757" s="30" t="s">
        <v>15257</v>
      </c>
      <c r="Q8757" t="s">
        <v>621</v>
      </c>
      <c r="R8757" t="s">
        <v>917</v>
      </c>
      <c r="S8757">
        <v>39</v>
      </c>
      <c r="T8757" s="29" t="str">
        <f t="shared" si="372"/>
        <v>2023.001B.Leviviricetes_reorg.zip</v>
      </c>
      <c r="U8757" s="29" t="str">
        <f>HYPERLINK("https://ictv.global/taxonomy/taxondetails?taxnode_id=202316345","ictv.global=202316345")</f>
        <v>ictv.global=202316345</v>
      </c>
    </row>
    <row r="8758" spans="1:21">
      <c r="A8758">
        <v>8757</v>
      </c>
      <c r="B8758" s="30" t="s">
        <v>1226</v>
      </c>
      <c r="D8758" s="30" t="s">
        <v>2024</v>
      </c>
      <c r="F8758" s="30" t="s">
        <v>2046</v>
      </c>
      <c r="H8758" s="30" t="s">
        <v>2859</v>
      </c>
      <c r="J8758" s="30" t="s">
        <v>2860</v>
      </c>
      <c r="L8758" s="30" t="s">
        <v>2990</v>
      </c>
      <c r="N8758" s="30" t="s">
        <v>15245</v>
      </c>
      <c r="P8758" s="30" t="s">
        <v>15258</v>
      </c>
      <c r="Q8758" t="s">
        <v>621</v>
      </c>
      <c r="R8758" t="s">
        <v>917</v>
      </c>
      <c r="S8758">
        <v>39</v>
      </c>
      <c r="T8758" s="29" t="str">
        <f t="shared" si="372"/>
        <v>2023.001B.Leviviricetes_reorg.zip</v>
      </c>
      <c r="U8758" s="29" t="str">
        <f>HYPERLINK("https://ictv.global/taxonomy/taxondetails?taxnode_id=202316346","ictv.global=202316346")</f>
        <v>ictv.global=202316346</v>
      </c>
    </row>
    <row r="8759" spans="1:21">
      <c r="A8759">
        <v>8758</v>
      </c>
      <c r="B8759" s="30" t="s">
        <v>1226</v>
      </c>
      <c r="D8759" s="30" t="s">
        <v>2024</v>
      </c>
      <c r="F8759" s="30" t="s">
        <v>2046</v>
      </c>
      <c r="H8759" s="30" t="s">
        <v>2859</v>
      </c>
      <c r="J8759" s="30" t="s">
        <v>2860</v>
      </c>
      <c r="L8759" s="30" t="s">
        <v>2990</v>
      </c>
      <c r="N8759" s="30" t="s">
        <v>15245</v>
      </c>
      <c r="P8759" s="30" t="s">
        <v>15259</v>
      </c>
      <c r="Q8759" t="s">
        <v>621</v>
      </c>
      <c r="R8759" t="s">
        <v>917</v>
      </c>
      <c r="S8759">
        <v>39</v>
      </c>
      <c r="T8759" s="29" t="str">
        <f t="shared" si="372"/>
        <v>2023.001B.Leviviricetes_reorg.zip</v>
      </c>
      <c r="U8759" s="29" t="str">
        <f>HYPERLINK("https://ictv.global/taxonomy/taxondetails?taxnode_id=202316347","ictv.global=202316347")</f>
        <v>ictv.global=202316347</v>
      </c>
    </row>
    <row r="8760" spans="1:21">
      <c r="A8760">
        <v>8759</v>
      </c>
      <c r="B8760" s="30" t="s">
        <v>1226</v>
      </c>
      <c r="D8760" s="30" t="s">
        <v>2024</v>
      </c>
      <c r="F8760" s="30" t="s">
        <v>2046</v>
      </c>
      <c r="H8760" s="30" t="s">
        <v>2859</v>
      </c>
      <c r="J8760" s="30" t="s">
        <v>2860</v>
      </c>
      <c r="L8760" s="30" t="s">
        <v>2990</v>
      </c>
      <c r="N8760" s="30" t="s">
        <v>15245</v>
      </c>
      <c r="P8760" s="30" t="s">
        <v>15260</v>
      </c>
      <c r="Q8760" t="s">
        <v>621</v>
      </c>
      <c r="R8760" t="s">
        <v>917</v>
      </c>
      <c r="S8760">
        <v>39</v>
      </c>
      <c r="T8760" s="29" t="str">
        <f t="shared" si="372"/>
        <v>2023.001B.Leviviricetes_reorg.zip</v>
      </c>
      <c r="U8760" s="29" t="str">
        <f>HYPERLINK("https://ictv.global/taxonomy/taxondetails?taxnode_id=202316348","ictv.global=202316348")</f>
        <v>ictv.global=202316348</v>
      </c>
    </row>
    <row r="8761" spans="1:21">
      <c r="A8761">
        <v>8760</v>
      </c>
      <c r="B8761" s="30" t="s">
        <v>1226</v>
      </c>
      <c r="D8761" s="30" t="s">
        <v>2024</v>
      </c>
      <c r="F8761" s="30" t="s">
        <v>2046</v>
      </c>
      <c r="H8761" s="30" t="s">
        <v>2859</v>
      </c>
      <c r="J8761" s="30" t="s">
        <v>2860</v>
      </c>
      <c r="L8761" s="30" t="s">
        <v>2990</v>
      </c>
      <c r="N8761" s="30" t="s">
        <v>15245</v>
      </c>
      <c r="P8761" s="30" t="s">
        <v>15261</v>
      </c>
      <c r="Q8761" t="s">
        <v>621</v>
      </c>
      <c r="R8761" t="s">
        <v>917</v>
      </c>
      <c r="S8761">
        <v>39</v>
      </c>
      <c r="T8761" s="29" t="str">
        <f t="shared" si="372"/>
        <v>2023.001B.Leviviricetes_reorg.zip</v>
      </c>
      <c r="U8761" s="29" t="str">
        <f>HYPERLINK("https://ictv.global/taxonomy/taxondetails?taxnode_id=202316349","ictv.global=202316349")</f>
        <v>ictv.global=202316349</v>
      </c>
    </row>
    <row r="8762" spans="1:21">
      <c r="A8762">
        <v>8761</v>
      </c>
      <c r="B8762" s="30" t="s">
        <v>1226</v>
      </c>
      <c r="D8762" s="30" t="s">
        <v>2024</v>
      </c>
      <c r="F8762" s="30" t="s">
        <v>2046</v>
      </c>
      <c r="H8762" s="30" t="s">
        <v>2859</v>
      </c>
      <c r="J8762" s="30" t="s">
        <v>2860</v>
      </c>
      <c r="L8762" s="30" t="s">
        <v>2990</v>
      </c>
      <c r="N8762" s="30" t="s">
        <v>15245</v>
      </c>
      <c r="P8762" s="30" t="s">
        <v>15262</v>
      </c>
      <c r="Q8762" t="s">
        <v>621</v>
      </c>
      <c r="R8762" t="s">
        <v>917</v>
      </c>
      <c r="S8762">
        <v>39</v>
      </c>
      <c r="T8762" s="29" t="str">
        <f t="shared" si="372"/>
        <v>2023.001B.Leviviricetes_reorg.zip</v>
      </c>
      <c r="U8762" s="29" t="str">
        <f>HYPERLINK("https://ictv.global/taxonomy/taxondetails?taxnode_id=202316350","ictv.global=202316350")</f>
        <v>ictv.global=202316350</v>
      </c>
    </row>
    <row r="8763" spans="1:21">
      <c r="A8763">
        <v>8762</v>
      </c>
      <c r="B8763" s="30" t="s">
        <v>1226</v>
      </c>
      <c r="D8763" s="30" t="s">
        <v>2024</v>
      </c>
      <c r="F8763" s="30" t="s">
        <v>2046</v>
      </c>
      <c r="H8763" s="30" t="s">
        <v>2859</v>
      </c>
      <c r="J8763" s="30" t="s">
        <v>2860</v>
      </c>
      <c r="L8763" s="30" t="s">
        <v>2990</v>
      </c>
      <c r="N8763" s="30" t="s">
        <v>15245</v>
      </c>
      <c r="P8763" s="30" t="s">
        <v>15263</v>
      </c>
      <c r="Q8763" t="s">
        <v>621</v>
      </c>
      <c r="R8763" t="s">
        <v>918</v>
      </c>
      <c r="S8763">
        <v>39</v>
      </c>
      <c r="T8763" s="29" t="str">
        <f t="shared" si="372"/>
        <v>2023.001B.Leviviricetes_reorg.zip</v>
      </c>
      <c r="U8763" s="29" t="str">
        <f>HYPERLINK("https://ictv.global/taxonomy/taxondetails?taxnode_id=202310311","ictv.global=202310311")</f>
        <v>ictv.global=202310311</v>
      </c>
    </row>
    <row r="8764" spans="1:21">
      <c r="A8764">
        <v>8763</v>
      </c>
      <c r="B8764" s="30" t="s">
        <v>1226</v>
      </c>
      <c r="D8764" s="30" t="s">
        <v>2024</v>
      </c>
      <c r="F8764" s="30" t="s">
        <v>2046</v>
      </c>
      <c r="H8764" s="30" t="s">
        <v>2859</v>
      </c>
      <c r="J8764" s="30" t="s">
        <v>2860</v>
      </c>
      <c r="L8764" s="30" t="s">
        <v>2990</v>
      </c>
      <c r="N8764" s="30" t="s">
        <v>15245</v>
      </c>
      <c r="P8764" s="30" t="s">
        <v>15264</v>
      </c>
      <c r="Q8764" t="s">
        <v>621</v>
      </c>
      <c r="R8764" t="s">
        <v>917</v>
      </c>
      <c r="S8764">
        <v>39</v>
      </c>
      <c r="T8764" s="29" t="str">
        <f t="shared" si="372"/>
        <v>2023.001B.Leviviricetes_reorg.zip</v>
      </c>
      <c r="U8764" s="29" t="str">
        <f>HYPERLINK("https://ictv.global/taxonomy/taxondetails?taxnode_id=202316351","ictv.global=202316351")</f>
        <v>ictv.global=202316351</v>
      </c>
    </row>
    <row r="8765" spans="1:21">
      <c r="A8765">
        <v>8764</v>
      </c>
      <c r="B8765" s="30" t="s">
        <v>1226</v>
      </c>
      <c r="D8765" s="30" t="s">
        <v>2024</v>
      </c>
      <c r="F8765" s="30" t="s">
        <v>2046</v>
      </c>
      <c r="H8765" s="30" t="s">
        <v>2859</v>
      </c>
      <c r="J8765" s="30" t="s">
        <v>2860</v>
      </c>
      <c r="L8765" s="30" t="s">
        <v>2990</v>
      </c>
      <c r="N8765" s="30" t="s">
        <v>15245</v>
      </c>
      <c r="P8765" s="30" t="s">
        <v>15265</v>
      </c>
      <c r="Q8765" t="s">
        <v>621</v>
      </c>
      <c r="R8765" t="s">
        <v>918</v>
      </c>
      <c r="S8765">
        <v>39</v>
      </c>
      <c r="T8765" s="29" t="str">
        <f t="shared" si="372"/>
        <v>2023.001B.Leviviricetes_reorg.zip</v>
      </c>
      <c r="U8765" s="29" t="str">
        <f>HYPERLINK("https://ictv.global/taxonomy/taxondetails?taxnode_id=202310317","ictv.global=202310317")</f>
        <v>ictv.global=202310317</v>
      </c>
    </row>
    <row r="8766" spans="1:21">
      <c r="A8766">
        <v>8765</v>
      </c>
      <c r="B8766" s="30" t="s">
        <v>1226</v>
      </c>
      <c r="D8766" s="30" t="s">
        <v>2024</v>
      </c>
      <c r="F8766" s="30" t="s">
        <v>2046</v>
      </c>
      <c r="H8766" s="30" t="s">
        <v>2859</v>
      </c>
      <c r="J8766" s="30" t="s">
        <v>2860</v>
      </c>
      <c r="L8766" s="30" t="s">
        <v>2990</v>
      </c>
      <c r="N8766" s="30" t="s">
        <v>15245</v>
      </c>
      <c r="P8766" s="30" t="s">
        <v>15266</v>
      </c>
      <c r="Q8766" t="s">
        <v>621</v>
      </c>
      <c r="R8766" t="s">
        <v>918</v>
      </c>
      <c r="S8766">
        <v>39</v>
      </c>
      <c r="T8766" s="29" t="str">
        <f t="shared" si="372"/>
        <v>2023.001B.Leviviricetes_reorg.zip</v>
      </c>
      <c r="U8766" s="29" t="str">
        <f>HYPERLINK("https://ictv.global/taxonomy/taxondetails?taxnode_id=202310319","ictv.global=202310319")</f>
        <v>ictv.global=202310319</v>
      </c>
    </row>
    <row r="8767" spans="1:21">
      <c r="A8767">
        <v>8766</v>
      </c>
      <c r="B8767" s="30" t="s">
        <v>1226</v>
      </c>
      <c r="D8767" s="30" t="s">
        <v>2024</v>
      </c>
      <c r="F8767" s="30" t="s">
        <v>2046</v>
      </c>
      <c r="H8767" s="30" t="s">
        <v>2859</v>
      </c>
      <c r="J8767" s="30" t="s">
        <v>2860</v>
      </c>
      <c r="L8767" s="30" t="s">
        <v>2990</v>
      </c>
      <c r="N8767" s="30" t="s">
        <v>15245</v>
      </c>
      <c r="P8767" s="30" t="s">
        <v>15267</v>
      </c>
      <c r="Q8767" t="s">
        <v>621</v>
      </c>
      <c r="R8767" t="s">
        <v>918</v>
      </c>
      <c r="S8767">
        <v>39</v>
      </c>
      <c r="T8767" s="29" t="str">
        <f t="shared" si="372"/>
        <v>2023.001B.Leviviricetes_reorg.zip</v>
      </c>
      <c r="U8767" s="29" t="str">
        <f>HYPERLINK("https://ictv.global/taxonomy/taxondetails?taxnode_id=202310320","ictv.global=202310320")</f>
        <v>ictv.global=202310320</v>
      </c>
    </row>
    <row r="8768" spans="1:21">
      <c r="A8768">
        <v>8767</v>
      </c>
      <c r="B8768" s="30" t="s">
        <v>1226</v>
      </c>
      <c r="D8768" s="30" t="s">
        <v>2024</v>
      </c>
      <c r="F8768" s="30" t="s">
        <v>2046</v>
      </c>
      <c r="H8768" s="30" t="s">
        <v>2859</v>
      </c>
      <c r="J8768" s="30" t="s">
        <v>2860</v>
      </c>
      <c r="L8768" s="30" t="s">
        <v>2990</v>
      </c>
      <c r="N8768" s="30" t="s">
        <v>15245</v>
      </c>
      <c r="P8768" s="30" t="s">
        <v>15268</v>
      </c>
      <c r="Q8768" t="s">
        <v>621</v>
      </c>
      <c r="R8768" t="s">
        <v>917</v>
      </c>
      <c r="S8768">
        <v>39</v>
      </c>
      <c r="T8768" s="29" t="str">
        <f t="shared" si="372"/>
        <v>2023.001B.Leviviricetes_reorg.zip</v>
      </c>
      <c r="U8768" s="29" t="str">
        <f>HYPERLINK("https://ictv.global/taxonomy/taxondetails?taxnode_id=202316352","ictv.global=202316352")</f>
        <v>ictv.global=202316352</v>
      </c>
    </row>
    <row r="8769" spans="1:21">
      <c r="A8769">
        <v>8768</v>
      </c>
      <c r="B8769" s="30" t="s">
        <v>1226</v>
      </c>
      <c r="D8769" s="30" t="s">
        <v>2024</v>
      </c>
      <c r="F8769" s="30" t="s">
        <v>2046</v>
      </c>
      <c r="H8769" s="30" t="s">
        <v>2859</v>
      </c>
      <c r="J8769" s="30" t="s">
        <v>2860</v>
      </c>
      <c r="L8769" s="30" t="s">
        <v>2990</v>
      </c>
      <c r="N8769" s="30" t="s">
        <v>15245</v>
      </c>
      <c r="P8769" s="30" t="s">
        <v>15269</v>
      </c>
      <c r="Q8769" t="s">
        <v>621</v>
      </c>
      <c r="R8769" t="s">
        <v>917</v>
      </c>
      <c r="S8769">
        <v>39</v>
      </c>
      <c r="T8769" s="29" t="str">
        <f t="shared" si="372"/>
        <v>2023.001B.Leviviricetes_reorg.zip</v>
      </c>
      <c r="U8769" s="29" t="str">
        <f>HYPERLINK("https://ictv.global/taxonomy/taxondetails?taxnode_id=202316353","ictv.global=202316353")</f>
        <v>ictv.global=202316353</v>
      </c>
    </row>
    <row r="8770" spans="1:21">
      <c r="A8770">
        <v>8769</v>
      </c>
      <c r="B8770" s="30" t="s">
        <v>1226</v>
      </c>
      <c r="D8770" s="30" t="s">
        <v>2024</v>
      </c>
      <c r="F8770" s="30" t="s">
        <v>2046</v>
      </c>
      <c r="H8770" s="30" t="s">
        <v>2859</v>
      </c>
      <c r="J8770" s="30" t="s">
        <v>2860</v>
      </c>
      <c r="L8770" s="30" t="s">
        <v>2990</v>
      </c>
      <c r="N8770" s="30" t="s">
        <v>15245</v>
      </c>
      <c r="P8770" s="30" t="s">
        <v>15270</v>
      </c>
      <c r="Q8770" t="s">
        <v>621</v>
      </c>
      <c r="R8770" t="s">
        <v>917</v>
      </c>
      <c r="S8770">
        <v>39</v>
      </c>
      <c r="T8770" s="29" t="str">
        <f t="shared" si="372"/>
        <v>2023.001B.Leviviricetes_reorg.zip</v>
      </c>
      <c r="U8770" s="29" t="str">
        <f>HYPERLINK("https://ictv.global/taxonomy/taxondetails?taxnode_id=202316354","ictv.global=202316354")</f>
        <v>ictv.global=202316354</v>
      </c>
    </row>
    <row r="8771" spans="1:21">
      <c r="A8771">
        <v>8770</v>
      </c>
      <c r="B8771" s="30" t="s">
        <v>1226</v>
      </c>
      <c r="D8771" s="30" t="s">
        <v>2024</v>
      </c>
      <c r="F8771" s="30" t="s">
        <v>2046</v>
      </c>
      <c r="H8771" s="30" t="s">
        <v>2859</v>
      </c>
      <c r="J8771" s="30" t="s">
        <v>2860</v>
      </c>
      <c r="L8771" s="30" t="s">
        <v>2990</v>
      </c>
      <c r="N8771" s="30" t="s">
        <v>15245</v>
      </c>
      <c r="P8771" s="30" t="s">
        <v>15271</v>
      </c>
      <c r="Q8771" t="s">
        <v>621</v>
      </c>
      <c r="R8771" t="s">
        <v>917</v>
      </c>
      <c r="S8771">
        <v>39</v>
      </c>
      <c r="T8771" s="29" t="str">
        <f t="shared" si="372"/>
        <v>2023.001B.Leviviricetes_reorg.zip</v>
      </c>
      <c r="U8771" s="29" t="str">
        <f>HYPERLINK("https://ictv.global/taxonomy/taxondetails?taxnode_id=202316355","ictv.global=202316355")</f>
        <v>ictv.global=202316355</v>
      </c>
    </row>
    <row r="8772" spans="1:21">
      <c r="A8772">
        <v>8771</v>
      </c>
      <c r="B8772" s="30" t="s">
        <v>1226</v>
      </c>
      <c r="D8772" s="30" t="s">
        <v>2024</v>
      </c>
      <c r="F8772" s="30" t="s">
        <v>2046</v>
      </c>
      <c r="H8772" s="30" t="s">
        <v>2859</v>
      </c>
      <c r="J8772" s="30" t="s">
        <v>2860</v>
      </c>
      <c r="L8772" s="30" t="s">
        <v>2990</v>
      </c>
      <c r="N8772" s="30" t="s">
        <v>15245</v>
      </c>
      <c r="P8772" s="30" t="s">
        <v>15272</v>
      </c>
      <c r="Q8772" t="s">
        <v>621</v>
      </c>
      <c r="R8772" t="s">
        <v>917</v>
      </c>
      <c r="S8772">
        <v>39</v>
      </c>
      <c r="T8772" s="29" t="str">
        <f t="shared" si="372"/>
        <v>2023.001B.Leviviricetes_reorg.zip</v>
      </c>
      <c r="U8772" s="29" t="str">
        <f>HYPERLINK("https://ictv.global/taxonomy/taxondetails?taxnode_id=202316356","ictv.global=202316356")</f>
        <v>ictv.global=202316356</v>
      </c>
    </row>
    <row r="8773" spans="1:21">
      <c r="A8773">
        <v>8772</v>
      </c>
      <c r="B8773" s="30" t="s">
        <v>1226</v>
      </c>
      <c r="D8773" s="30" t="s">
        <v>2024</v>
      </c>
      <c r="F8773" s="30" t="s">
        <v>2046</v>
      </c>
      <c r="H8773" s="30" t="s">
        <v>2859</v>
      </c>
      <c r="J8773" s="30" t="s">
        <v>2860</v>
      </c>
      <c r="L8773" s="30" t="s">
        <v>2990</v>
      </c>
      <c r="N8773" s="30" t="s">
        <v>15245</v>
      </c>
      <c r="P8773" s="30" t="s">
        <v>15273</v>
      </c>
      <c r="Q8773" t="s">
        <v>621</v>
      </c>
      <c r="R8773" t="s">
        <v>917</v>
      </c>
      <c r="S8773">
        <v>39</v>
      </c>
      <c r="T8773" s="29" t="str">
        <f t="shared" si="372"/>
        <v>2023.001B.Leviviricetes_reorg.zip</v>
      </c>
      <c r="U8773" s="29" t="str">
        <f>HYPERLINK("https://ictv.global/taxonomy/taxondetails?taxnode_id=202316357","ictv.global=202316357")</f>
        <v>ictv.global=202316357</v>
      </c>
    </row>
    <row r="8774" spans="1:21">
      <c r="A8774">
        <v>8773</v>
      </c>
      <c r="B8774" s="30" t="s">
        <v>1226</v>
      </c>
      <c r="D8774" s="30" t="s">
        <v>2024</v>
      </c>
      <c r="F8774" s="30" t="s">
        <v>2046</v>
      </c>
      <c r="H8774" s="30" t="s">
        <v>2859</v>
      </c>
      <c r="J8774" s="30" t="s">
        <v>2860</v>
      </c>
      <c r="L8774" s="30" t="s">
        <v>2990</v>
      </c>
      <c r="N8774" s="30" t="s">
        <v>15245</v>
      </c>
      <c r="P8774" s="30" t="s">
        <v>15274</v>
      </c>
      <c r="Q8774" t="s">
        <v>621</v>
      </c>
      <c r="R8774" t="s">
        <v>918</v>
      </c>
      <c r="S8774">
        <v>39</v>
      </c>
      <c r="T8774" s="29" t="str">
        <f t="shared" si="372"/>
        <v>2023.001B.Leviviricetes_reorg.zip</v>
      </c>
      <c r="U8774" s="29" t="str">
        <f>HYPERLINK("https://ictv.global/taxonomy/taxondetails?taxnode_id=202310510","ictv.global=202310510")</f>
        <v>ictv.global=202310510</v>
      </c>
    </row>
    <row r="8775" spans="1:21">
      <c r="A8775">
        <v>8774</v>
      </c>
      <c r="B8775" s="30" t="s">
        <v>1226</v>
      </c>
      <c r="D8775" s="30" t="s">
        <v>2024</v>
      </c>
      <c r="F8775" s="30" t="s">
        <v>2046</v>
      </c>
      <c r="H8775" s="30" t="s">
        <v>2859</v>
      </c>
      <c r="J8775" s="30" t="s">
        <v>2860</v>
      </c>
      <c r="L8775" s="30" t="s">
        <v>2990</v>
      </c>
      <c r="N8775" s="30" t="s">
        <v>15245</v>
      </c>
      <c r="P8775" s="30" t="s">
        <v>15275</v>
      </c>
      <c r="Q8775" t="s">
        <v>621</v>
      </c>
      <c r="R8775" t="s">
        <v>918</v>
      </c>
      <c r="S8775">
        <v>39</v>
      </c>
      <c r="T8775" s="29" t="str">
        <f t="shared" si="372"/>
        <v>2023.001B.Leviviricetes_reorg.zip</v>
      </c>
      <c r="U8775" s="29" t="str">
        <f>HYPERLINK("https://ictv.global/taxonomy/taxondetails?taxnode_id=202310358","ictv.global=202310358")</f>
        <v>ictv.global=202310358</v>
      </c>
    </row>
    <row r="8776" spans="1:21">
      <c r="A8776">
        <v>8775</v>
      </c>
      <c r="B8776" s="30" t="s">
        <v>1226</v>
      </c>
      <c r="D8776" s="30" t="s">
        <v>2024</v>
      </c>
      <c r="F8776" s="30" t="s">
        <v>2046</v>
      </c>
      <c r="H8776" s="30" t="s">
        <v>2859</v>
      </c>
      <c r="J8776" s="30" t="s">
        <v>2860</v>
      </c>
      <c r="L8776" s="30" t="s">
        <v>2990</v>
      </c>
      <c r="N8776" s="30" t="s">
        <v>15245</v>
      </c>
      <c r="P8776" s="30" t="s">
        <v>15276</v>
      </c>
      <c r="Q8776" t="s">
        <v>621</v>
      </c>
      <c r="R8776" t="s">
        <v>917</v>
      </c>
      <c r="S8776">
        <v>39</v>
      </c>
      <c r="T8776" s="29" t="str">
        <f t="shared" si="372"/>
        <v>2023.001B.Leviviricetes_reorg.zip</v>
      </c>
      <c r="U8776" s="29" t="str">
        <f>HYPERLINK("https://ictv.global/taxonomy/taxondetails?taxnode_id=202316358","ictv.global=202316358")</f>
        <v>ictv.global=202316358</v>
      </c>
    </row>
    <row r="8777" spans="1:21">
      <c r="A8777">
        <v>8776</v>
      </c>
      <c r="B8777" s="30" t="s">
        <v>1226</v>
      </c>
      <c r="D8777" s="30" t="s">
        <v>2024</v>
      </c>
      <c r="F8777" s="30" t="s">
        <v>2046</v>
      </c>
      <c r="H8777" s="30" t="s">
        <v>2859</v>
      </c>
      <c r="J8777" s="30" t="s">
        <v>2860</v>
      </c>
      <c r="L8777" s="30" t="s">
        <v>2990</v>
      </c>
      <c r="N8777" s="30" t="s">
        <v>15245</v>
      </c>
      <c r="P8777" s="30" t="s">
        <v>15277</v>
      </c>
      <c r="Q8777" t="s">
        <v>621</v>
      </c>
      <c r="R8777" t="s">
        <v>917</v>
      </c>
      <c r="S8777">
        <v>39</v>
      </c>
      <c r="T8777" s="29" t="str">
        <f t="shared" si="372"/>
        <v>2023.001B.Leviviricetes_reorg.zip</v>
      </c>
      <c r="U8777" s="29" t="str">
        <f>HYPERLINK("https://ictv.global/taxonomy/taxondetails?taxnode_id=202316359","ictv.global=202316359")</f>
        <v>ictv.global=202316359</v>
      </c>
    </row>
    <row r="8778" spans="1:21">
      <c r="A8778">
        <v>8777</v>
      </c>
      <c r="B8778" s="30" t="s">
        <v>1226</v>
      </c>
      <c r="D8778" s="30" t="s">
        <v>2024</v>
      </c>
      <c r="F8778" s="30" t="s">
        <v>2046</v>
      </c>
      <c r="H8778" s="30" t="s">
        <v>2859</v>
      </c>
      <c r="J8778" s="30" t="s">
        <v>2860</v>
      </c>
      <c r="L8778" s="30" t="s">
        <v>2990</v>
      </c>
      <c r="N8778" s="30" t="s">
        <v>15245</v>
      </c>
      <c r="P8778" s="30" t="s">
        <v>15278</v>
      </c>
      <c r="Q8778" t="s">
        <v>621</v>
      </c>
      <c r="R8778" t="s">
        <v>917</v>
      </c>
      <c r="S8778">
        <v>39</v>
      </c>
      <c r="T8778" s="29" t="str">
        <f t="shared" si="372"/>
        <v>2023.001B.Leviviricetes_reorg.zip</v>
      </c>
      <c r="U8778" s="29" t="str">
        <f>HYPERLINK("https://ictv.global/taxonomy/taxondetails?taxnode_id=202316360","ictv.global=202316360")</f>
        <v>ictv.global=202316360</v>
      </c>
    </row>
    <row r="8779" spans="1:21">
      <c r="A8779">
        <v>8778</v>
      </c>
      <c r="B8779" s="30" t="s">
        <v>1226</v>
      </c>
      <c r="D8779" s="30" t="s">
        <v>2024</v>
      </c>
      <c r="F8779" s="30" t="s">
        <v>2046</v>
      </c>
      <c r="H8779" s="30" t="s">
        <v>2859</v>
      </c>
      <c r="J8779" s="30" t="s">
        <v>2860</v>
      </c>
      <c r="L8779" s="30" t="s">
        <v>2990</v>
      </c>
      <c r="N8779" s="30" t="s">
        <v>15245</v>
      </c>
      <c r="P8779" s="30" t="s">
        <v>15279</v>
      </c>
      <c r="Q8779" t="s">
        <v>621</v>
      </c>
      <c r="R8779" t="s">
        <v>917</v>
      </c>
      <c r="S8779">
        <v>39</v>
      </c>
      <c r="T8779" s="29" t="str">
        <f t="shared" si="372"/>
        <v>2023.001B.Leviviricetes_reorg.zip</v>
      </c>
      <c r="U8779" s="29" t="str">
        <f>HYPERLINK("https://ictv.global/taxonomy/taxondetails?taxnode_id=202316361","ictv.global=202316361")</f>
        <v>ictv.global=202316361</v>
      </c>
    </row>
    <row r="8780" spans="1:21">
      <c r="A8780">
        <v>8779</v>
      </c>
      <c r="B8780" s="30" t="s">
        <v>1226</v>
      </c>
      <c r="D8780" s="30" t="s">
        <v>2024</v>
      </c>
      <c r="F8780" s="30" t="s">
        <v>2046</v>
      </c>
      <c r="H8780" s="30" t="s">
        <v>2859</v>
      </c>
      <c r="J8780" s="30" t="s">
        <v>2860</v>
      </c>
      <c r="L8780" s="30" t="s">
        <v>2990</v>
      </c>
      <c r="N8780" s="30" t="s">
        <v>15245</v>
      </c>
      <c r="P8780" s="30" t="s">
        <v>15280</v>
      </c>
      <c r="Q8780" t="s">
        <v>621</v>
      </c>
      <c r="R8780" t="s">
        <v>917</v>
      </c>
      <c r="S8780">
        <v>39</v>
      </c>
      <c r="T8780" s="29" t="str">
        <f t="shared" si="372"/>
        <v>2023.001B.Leviviricetes_reorg.zip</v>
      </c>
      <c r="U8780" s="29" t="str">
        <f>HYPERLINK("https://ictv.global/taxonomy/taxondetails?taxnode_id=202316362","ictv.global=202316362")</f>
        <v>ictv.global=202316362</v>
      </c>
    </row>
    <row r="8781" spans="1:21">
      <c r="A8781">
        <v>8780</v>
      </c>
      <c r="B8781" s="30" t="s">
        <v>1226</v>
      </c>
      <c r="D8781" s="30" t="s">
        <v>2024</v>
      </c>
      <c r="F8781" s="30" t="s">
        <v>2046</v>
      </c>
      <c r="H8781" s="30" t="s">
        <v>2859</v>
      </c>
      <c r="J8781" s="30" t="s">
        <v>2860</v>
      </c>
      <c r="L8781" s="30" t="s">
        <v>2990</v>
      </c>
      <c r="N8781" s="30" t="s">
        <v>15245</v>
      </c>
      <c r="P8781" s="30" t="s">
        <v>15281</v>
      </c>
      <c r="Q8781" t="s">
        <v>621</v>
      </c>
      <c r="R8781" t="s">
        <v>917</v>
      </c>
      <c r="S8781">
        <v>39</v>
      </c>
      <c r="T8781" s="29" t="str">
        <f t="shared" si="372"/>
        <v>2023.001B.Leviviricetes_reorg.zip</v>
      </c>
      <c r="U8781" s="29" t="str">
        <f>HYPERLINK("https://ictv.global/taxonomy/taxondetails?taxnode_id=202316363","ictv.global=202316363")</f>
        <v>ictv.global=202316363</v>
      </c>
    </row>
    <row r="8782" spans="1:21">
      <c r="A8782">
        <v>8781</v>
      </c>
      <c r="B8782" s="30" t="s">
        <v>1226</v>
      </c>
      <c r="D8782" s="30" t="s">
        <v>2024</v>
      </c>
      <c r="F8782" s="30" t="s">
        <v>2046</v>
      </c>
      <c r="H8782" s="30" t="s">
        <v>2859</v>
      </c>
      <c r="J8782" s="30" t="s">
        <v>2860</v>
      </c>
      <c r="L8782" s="30" t="s">
        <v>2990</v>
      </c>
      <c r="N8782" s="30" t="s">
        <v>15245</v>
      </c>
      <c r="P8782" s="30" t="s">
        <v>15282</v>
      </c>
      <c r="Q8782" t="s">
        <v>621</v>
      </c>
      <c r="R8782" t="s">
        <v>917</v>
      </c>
      <c r="S8782">
        <v>39</v>
      </c>
      <c r="T8782" s="29" t="str">
        <f t="shared" si="372"/>
        <v>2023.001B.Leviviricetes_reorg.zip</v>
      </c>
      <c r="U8782" s="29" t="str">
        <f>HYPERLINK("https://ictv.global/taxonomy/taxondetails?taxnode_id=202316364","ictv.global=202316364")</f>
        <v>ictv.global=202316364</v>
      </c>
    </row>
    <row r="8783" spans="1:21">
      <c r="A8783">
        <v>8782</v>
      </c>
      <c r="B8783" s="30" t="s">
        <v>1226</v>
      </c>
      <c r="D8783" s="30" t="s">
        <v>2024</v>
      </c>
      <c r="F8783" s="30" t="s">
        <v>2046</v>
      </c>
      <c r="H8783" s="30" t="s">
        <v>2859</v>
      </c>
      <c r="J8783" s="30" t="s">
        <v>2860</v>
      </c>
      <c r="L8783" s="30" t="s">
        <v>2990</v>
      </c>
      <c r="N8783" s="30" t="s">
        <v>15245</v>
      </c>
      <c r="P8783" s="30" t="s">
        <v>15283</v>
      </c>
      <c r="Q8783" t="s">
        <v>621</v>
      </c>
      <c r="R8783" t="s">
        <v>917</v>
      </c>
      <c r="S8783">
        <v>39</v>
      </c>
      <c r="T8783" s="29" t="str">
        <f t="shared" si="372"/>
        <v>2023.001B.Leviviricetes_reorg.zip</v>
      </c>
      <c r="U8783" s="29" t="str">
        <f>HYPERLINK("https://ictv.global/taxonomy/taxondetails?taxnode_id=202316365","ictv.global=202316365")</f>
        <v>ictv.global=202316365</v>
      </c>
    </row>
    <row r="8784" spans="1:21">
      <c r="A8784">
        <v>8783</v>
      </c>
      <c r="B8784" s="30" t="s">
        <v>1226</v>
      </c>
      <c r="D8784" s="30" t="s">
        <v>2024</v>
      </c>
      <c r="F8784" s="30" t="s">
        <v>2046</v>
      </c>
      <c r="H8784" s="30" t="s">
        <v>2859</v>
      </c>
      <c r="J8784" s="30" t="s">
        <v>2860</v>
      </c>
      <c r="L8784" s="30" t="s">
        <v>2990</v>
      </c>
      <c r="N8784" s="30" t="s">
        <v>15245</v>
      </c>
      <c r="P8784" s="30" t="s">
        <v>15284</v>
      </c>
      <c r="Q8784" t="s">
        <v>621</v>
      </c>
      <c r="R8784" t="s">
        <v>917</v>
      </c>
      <c r="S8784">
        <v>39</v>
      </c>
      <c r="T8784" s="29" t="str">
        <f t="shared" si="372"/>
        <v>2023.001B.Leviviricetes_reorg.zip</v>
      </c>
      <c r="U8784" s="29" t="str">
        <f>HYPERLINK("https://ictv.global/taxonomy/taxondetails?taxnode_id=202316366","ictv.global=202316366")</f>
        <v>ictv.global=202316366</v>
      </c>
    </row>
    <row r="8785" spans="1:21">
      <c r="A8785">
        <v>8784</v>
      </c>
      <c r="B8785" s="30" t="s">
        <v>1226</v>
      </c>
      <c r="D8785" s="30" t="s">
        <v>2024</v>
      </c>
      <c r="F8785" s="30" t="s">
        <v>2046</v>
      </c>
      <c r="H8785" s="30" t="s">
        <v>2859</v>
      </c>
      <c r="J8785" s="30" t="s">
        <v>2860</v>
      </c>
      <c r="L8785" s="30" t="s">
        <v>2990</v>
      </c>
      <c r="N8785" s="30" t="s">
        <v>15245</v>
      </c>
      <c r="P8785" s="30" t="s">
        <v>15285</v>
      </c>
      <c r="Q8785" t="s">
        <v>621</v>
      </c>
      <c r="R8785" t="s">
        <v>917</v>
      </c>
      <c r="S8785">
        <v>39</v>
      </c>
      <c r="T8785" s="29" t="str">
        <f t="shared" si="372"/>
        <v>2023.001B.Leviviricetes_reorg.zip</v>
      </c>
      <c r="U8785" s="29" t="str">
        <f>HYPERLINK("https://ictv.global/taxonomy/taxondetails?taxnode_id=202316367","ictv.global=202316367")</f>
        <v>ictv.global=202316367</v>
      </c>
    </row>
    <row r="8786" spans="1:21">
      <c r="A8786">
        <v>8785</v>
      </c>
      <c r="B8786" s="30" t="s">
        <v>1226</v>
      </c>
      <c r="D8786" s="30" t="s">
        <v>2024</v>
      </c>
      <c r="F8786" s="30" t="s">
        <v>2046</v>
      </c>
      <c r="H8786" s="30" t="s">
        <v>2859</v>
      </c>
      <c r="J8786" s="30" t="s">
        <v>2860</v>
      </c>
      <c r="L8786" s="30" t="s">
        <v>2990</v>
      </c>
      <c r="N8786" s="30" t="s">
        <v>15245</v>
      </c>
      <c r="P8786" s="30" t="s">
        <v>15286</v>
      </c>
      <c r="Q8786" t="s">
        <v>621</v>
      </c>
      <c r="R8786" t="s">
        <v>917</v>
      </c>
      <c r="S8786">
        <v>39</v>
      </c>
      <c r="T8786" s="29" t="str">
        <f t="shared" si="372"/>
        <v>2023.001B.Leviviricetes_reorg.zip</v>
      </c>
      <c r="U8786" s="29" t="str">
        <f>HYPERLINK("https://ictv.global/taxonomy/taxondetails?taxnode_id=202316368","ictv.global=202316368")</f>
        <v>ictv.global=202316368</v>
      </c>
    </row>
    <row r="8787" spans="1:21">
      <c r="A8787">
        <v>8786</v>
      </c>
      <c r="B8787" s="30" t="s">
        <v>1226</v>
      </c>
      <c r="D8787" s="30" t="s">
        <v>2024</v>
      </c>
      <c r="F8787" s="30" t="s">
        <v>2046</v>
      </c>
      <c r="H8787" s="30" t="s">
        <v>2859</v>
      </c>
      <c r="J8787" s="30" t="s">
        <v>2860</v>
      </c>
      <c r="L8787" s="30" t="s">
        <v>2990</v>
      </c>
      <c r="N8787" s="30" t="s">
        <v>15245</v>
      </c>
      <c r="P8787" s="30" t="s">
        <v>15287</v>
      </c>
      <c r="Q8787" t="s">
        <v>621</v>
      </c>
      <c r="R8787" t="s">
        <v>917</v>
      </c>
      <c r="S8787">
        <v>39</v>
      </c>
      <c r="T8787" s="29" t="str">
        <f t="shared" si="372"/>
        <v>2023.001B.Leviviricetes_reorg.zip</v>
      </c>
      <c r="U8787" s="29" t="str">
        <f>HYPERLINK("https://ictv.global/taxonomy/taxondetails?taxnode_id=202316369","ictv.global=202316369")</f>
        <v>ictv.global=202316369</v>
      </c>
    </row>
    <row r="8788" spans="1:21">
      <c r="A8788">
        <v>8787</v>
      </c>
      <c r="B8788" s="30" t="s">
        <v>1226</v>
      </c>
      <c r="D8788" s="30" t="s">
        <v>2024</v>
      </c>
      <c r="F8788" s="30" t="s">
        <v>2046</v>
      </c>
      <c r="H8788" s="30" t="s">
        <v>2859</v>
      </c>
      <c r="J8788" s="30" t="s">
        <v>2860</v>
      </c>
      <c r="L8788" s="30" t="s">
        <v>2990</v>
      </c>
      <c r="N8788" s="30" t="s">
        <v>15245</v>
      </c>
      <c r="P8788" s="30" t="s">
        <v>15288</v>
      </c>
      <c r="Q8788" t="s">
        <v>621</v>
      </c>
      <c r="R8788" t="s">
        <v>917</v>
      </c>
      <c r="S8788">
        <v>39</v>
      </c>
      <c r="T8788" s="29" t="str">
        <f t="shared" si="372"/>
        <v>2023.001B.Leviviricetes_reorg.zip</v>
      </c>
      <c r="U8788" s="29" t="str">
        <f>HYPERLINK("https://ictv.global/taxonomy/taxondetails?taxnode_id=202316370","ictv.global=202316370")</f>
        <v>ictv.global=202316370</v>
      </c>
    </row>
    <row r="8789" spans="1:21">
      <c r="A8789">
        <v>8788</v>
      </c>
      <c r="B8789" s="30" t="s">
        <v>1226</v>
      </c>
      <c r="D8789" s="30" t="s">
        <v>2024</v>
      </c>
      <c r="F8789" s="30" t="s">
        <v>2046</v>
      </c>
      <c r="H8789" s="30" t="s">
        <v>2859</v>
      </c>
      <c r="J8789" s="30" t="s">
        <v>2860</v>
      </c>
      <c r="L8789" s="30" t="s">
        <v>2990</v>
      </c>
      <c r="N8789" s="30" t="s">
        <v>15245</v>
      </c>
      <c r="P8789" s="30" t="s">
        <v>15289</v>
      </c>
      <c r="Q8789" t="s">
        <v>621</v>
      </c>
      <c r="R8789" t="s">
        <v>918</v>
      </c>
      <c r="S8789">
        <v>39</v>
      </c>
      <c r="T8789" s="29" t="str">
        <f t="shared" si="372"/>
        <v>2023.001B.Leviviricetes_reorg.zip</v>
      </c>
      <c r="U8789" s="29" t="str">
        <f>HYPERLINK("https://ictv.global/taxonomy/taxondetails?taxnode_id=202310270","ictv.global=202310270")</f>
        <v>ictv.global=202310270</v>
      </c>
    </row>
    <row r="8790" spans="1:21">
      <c r="A8790">
        <v>8789</v>
      </c>
      <c r="B8790" s="30" t="s">
        <v>1226</v>
      </c>
      <c r="D8790" s="30" t="s">
        <v>2024</v>
      </c>
      <c r="F8790" s="30" t="s">
        <v>2046</v>
      </c>
      <c r="H8790" s="30" t="s">
        <v>2859</v>
      </c>
      <c r="J8790" s="30" t="s">
        <v>2860</v>
      </c>
      <c r="L8790" s="30" t="s">
        <v>2990</v>
      </c>
      <c r="N8790" s="30" t="s">
        <v>3155</v>
      </c>
      <c r="P8790" s="30" t="s">
        <v>3156</v>
      </c>
      <c r="Q8790" t="s">
        <v>621</v>
      </c>
      <c r="R8790" t="s">
        <v>917</v>
      </c>
      <c r="S8790">
        <v>36</v>
      </c>
      <c r="T8790" s="29" t="str">
        <f>HYPERLINK("https://ictv.global/ictv/proposals/2020.095B.R.Leviviricetes.zip","2020.095B.R.Leviviricetes.zip")</f>
        <v>2020.095B.R.Leviviricetes.zip</v>
      </c>
      <c r="U8790" s="29" t="str">
        <f>HYPERLINK("https://ictv.global/taxonomy/taxondetails?taxnode_id=202310431","ictv.global=202310431")</f>
        <v>ictv.global=202310431</v>
      </c>
    </row>
    <row r="8791" spans="1:21">
      <c r="A8791">
        <v>8790</v>
      </c>
      <c r="B8791" s="30" t="s">
        <v>1226</v>
      </c>
      <c r="D8791" s="30" t="s">
        <v>2024</v>
      </c>
      <c r="F8791" s="30" t="s">
        <v>2046</v>
      </c>
      <c r="H8791" s="30" t="s">
        <v>2859</v>
      </c>
      <c r="J8791" s="30" t="s">
        <v>2860</v>
      </c>
      <c r="L8791" s="30" t="s">
        <v>2990</v>
      </c>
      <c r="N8791" s="30" t="s">
        <v>3157</v>
      </c>
      <c r="P8791" s="30" t="s">
        <v>3158</v>
      </c>
      <c r="Q8791" t="s">
        <v>621</v>
      </c>
      <c r="R8791" t="s">
        <v>917</v>
      </c>
      <c r="S8791">
        <v>36</v>
      </c>
      <c r="T8791" s="29" t="str">
        <f>HYPERLINK("https://ictv.global/ictv/proposals/2020.095B.R.Leviviricetes.zip","2020.095B.R.Leviviricetes.zip")</f>
        <v>2020.095B.R.Leviviricetes.zip</v>
      </c>
      <c r="U8791" s="29" t="str">
        <f>HYPERLINK("https://ictv.global/taxonomy/taxondetails?taxnode_id=202310433","ictv.global=202310433")</f>
        <v>ictv.global=202310433</v>
      </c>
    </row>
    <row r="8792" spans="1:21">
      <c r="A8792">
        <v>8791</v>
      </c>
      <c r="B8792" s="30" t="s">
        <v>1226</v>
      </c>
      <c r="D8792" s="30" t="s">
        <v>2024</v>
      </c>
      <c r="F8792" s="30" t="s">
        <v>2046</v>
      </c>
      <c r="H8792" s="30" t="s">
        <v>2859</v>
      </c>
      <c r="J8792" s="30" t="s">
        <v>2860</v>
      </c>
      <c r="L8792" s="30" t="s">
        <v>2990</v>
      </c>
      <c r="N8792" s="30" t="s">
        <v>15290</v>
      </c>
      <c r="P8792" s="30" t="s">
        <v>15291</v>
      </c>
      <c r="Q8792" t="s">
        <v>621</v>
      </c>
      <c r="R8792" t="s">
        <v>917</v>
      </c>
      <c r="S8792">
        <v>39</v>
      </c>
      <c r="T8792" s="29" t="str">
        <f t="shared" ref="T8792:T8822" si="373">HYPERLINK("https://ictv.global/ictv/proposals/2023.001B.Leviviricetes_reorg.zip","2023.001B.Leviviricetes_reorg.zip")</f>
        <v>2023.001B.Leviviricetes_reorg.zip</v>
      </c>
      <c r="U8792" s="29" t="str">
        <f>HYPERLINK("https://ictv.global/taxonomy/taxondetails?taxnode_id=202316371","ictv.global=202316371")</f>
        <v>ictv.global=202316371</v>
      </c>
    </row>
    <row r="8793" spans="1:21">
      <c r="A8793">
        <v>8792</v>
      </c>
      <c r="B8793" s="30" t="s">
        <v>1226</v>
      </c>
      <c r="D8793" s="30" t="s">
        <v>2024</v>
      </c>
      <c r="F8793" s="30" t="s">
        <v>2046</v>
      </c>
      <c r="H8793" s="30" t="s">
        <v>2859</v>
      </c>
      <c r="J8793" s="30" t="s">
        <v>2860</v>
      </c>
      <c r="L8793" s="30" t="s">
        <v>2990</v>
      </c>
      <c r="N8793" s="30" t="s">
        <v>15290</v>
      </c>
      <c r="P8793" s="30" t="s">
        <v>15292</v>
      </c>
      <c r="Q8793" t="s">
        <v>621</v>
      </c>
      <c r="R8793" t="s">
        <v>917</v>
      </c>
      <c r="S8793">
        <v>39</v>
      </c>
      <c r="T8793" s="29" t="str">
        <f t="shared" si="373"/>
        <v>2023.001B.Leviviricetes_reorg.zip</v>
      </c>
      <c r="U8793" s="29" t="str">
        <f>HYPERLINK("https://ictv.global/taxonomy/taxondetails?taxnode_id=202316372","ictv.global=202316372")</f>
        <v>ictv.global=202316372</v>
      </c>
    </row>
    <row r="8794" spans="1:21">
      <c r="A8794">
        <v>8793</v>
      </c>
      <c r="B8794" s="30" t="s">
        <v>1226</v>
      </c>
      <c r="D8794" s="30" t="s">
        <v>2024</v>
      </c>
      <c r="F8794" s="30" t="s">
        <v>2046</v>
      </c>
      <c r="H8794" s="30" t="s">
        <v>2859</v>
      </c>
      <c r="J8794" s="30" t="s">
        <v>2860</v>
      </c>
      <c r="L8794" s="30" t="s">
        <v>2990</v>
      </c>
      <c r="N8794" s="30" t="s">
        <v>15290</v>
      </c>
      <c r="P8794" s="30" t="s">
        <v>15293</v>
      </c>
      <c r="Q8794" t="s">
        <v>621</v>
      </c>
      <c r="R8794" t="s">
        <v>917</v>
      </c>
      <c r="S8794">
        <v>39</v>
      </c>
      <c r="T8794" s="29" t="str">
        <f t="shared" si="373"/>
        <v>2023.001B.Leviviricetes_reorg.zip</v>
      </c>
      <c r="U8794" s="29" t="str">
        <f>HYPERLINK("https://ictv.global/taxonomy/taxondetails?taxnode_id=202316373","ictv.global=202316373")</f>
        <v>ictv.global=202316373</v>
      </c>
    </row>
    <row r="8795" spans="1:21">
      <c r="A8795">
        <v>8794</v>
      </c>
      <c r="B8795" s="30" t="s">
        <v>1226</v>
      </c>
      <c r="D8795" s="30" t="s">
        <v>2024</v>
      </c>
      <c r="F8795" s="30" t="s">
        <v>2046</v>
      </c>
      <c r="H8795" s="30" t="s">
        <v>2859</v>
      </c>
      <c r="J8795" s="30" t="s">
        <v>2860</v>
      </c>
      <c r="L8795" s="30" t="s">
        <v>2990</v>
      </c>
      <c r="N8795" s="30" t="s">
        <v>15290</v>
      </c>
      <c r="P8795" s="30" t="s">
        <v>15294</v>
      </c>
      <c r="Q8795" t="s">
        <v>621</v>
      </c>
      <c r="R8795" t="s">
        <v>917</v>
      </c>
      <c r="S8795">
        <v>39</v>
      </c>
      <c r="T8795" s="29" t="str">
        <f t="shared" si="373"/>
        <v>2023.001B.Leviviricetes_reorg.zip</v>
      </c>
      <c r="U8795" s="29" t="str">
        <f>HYPERLINK("https://ictv.global/taxonomy/taxondetails?taxnode_id=202316374","ictv.global=202316374")</f>
        <v>ictv.global=202316374</v>
      </c>
    </row>
    <row r="8796" spans="1:21">
      <c r="A8796">
        <v>8795</v>
      </c>
      <c r="B8796" s="30" t="s">
        <v>1226</v>
      </c>
      <c r="D8796" s="30" t="s">
        <v>2024</v>
      </c>
      <c r="F8796" s="30" t="s">
        <v>2046</v>
      </c>
      <c r="H8796" s="30" t="s">
        <v>2859</v>
      </c>
      <c r="J8796" s="30" t="s">
        <v>2860</v>
      </c>
      <c r="L8796" s="30" t="s">
        <v>2990</v>
      </c>
      <c r="N8796" s="30" t="s">
        <v>15290</v>
      </c>
      <c r="P8796" s="30" t="s">
        <v>15295</v>
      </c>
      <c r="Q8796" t="s">
        <v>621</v>
      </c>
      <c r="R8796" t="s">
        <v>917</v>
      </c>
      <c r="S8796">
        <v>39</v>
      </c>
      <c r="T8796" s="29" t="str">
        <f t="shared" si="373"/>
        <v>2023.001B.Leviviricetes_reorg.zip</v>
      </c>
      <c r="U8796" s="29" t="str">
        <f>HYPERLINK("https://ictv.global/taxonomy/taxondetails?taxnode_id=202316375","ictv.global=202316375")</f>
        <v>ictv.global=202316375</v>
      </c>
    </row>
    <row r="8797" spans="1:21">
      <c r="A8797">
        <v>8796</v>
      </c>
      <c r="B8797" s="30" t="s">
        <v>1226</v>
      </c>
      <c r="D8797" s="30" t="s">
        <v>2024</v>
      </c>
      <c r="F8797" s="30" t="s">
        <v>2046</v>
      </c>
      <c r="H8797" s="30" t="s">
        <v>2859</v>
      </c>
      <c r="J8797" s="30" t="s">
        <v>2860</v>
      </c>
      <c r="L8797" s="30" t="s">
        <v>2990</v>
      </c>
      <c r="N8797" s="30" t="s">
        <v>15290</v>
      </c>
      <c r="P8797" s="30" t="s">
        <v>15296</v>
      </c>
      <c r="Q8797" t="s">
        <v>621</v>
      </c>
      <c r="R8797" t="s">
        <v>917</v>
      </c>
      <c r="S8797">
        <v>39</v>
      </c>
      <c r="T8797" s="29" t="str">
        <f t="shared" si="373"/>
        <v>2023.001B.Leviviricetes_reorg.zip</v>
      </c>
      <c r="U8797" s="29" t="str">
        <f>HYPERLINK("https://ictv.global/taxonomy/taxondetails?taxnode_id=202316376","ictv.global=202316376")</f>
        <v>ictv.global=202316376</v>
      </c>
    </row>
    <row r="8798" spans="1:21">
      <c r="A8798">
        <v>8797</v>
      </c>
      <c r="B8798" s="30" t="s">
        <v>1226</v>
      </c>
      <c r="D8798" s="30" t="s">
        <v>2024</v>
      </c>
      <c r="F8798" s="30" t="s">
        <v>2046</v>
      </c>
      <c r="H8798" s="30" t="s">
        <v>2859</v>
      </c>
      <c r="J8798" s="30" t="s">
        <v>2860</v>
      </c>
      <c r="L8798" s="30" t="s">
        <v>2990</v>
      </c>
      <c r="N8798" s="30" t="s">
        <v>15290</v>
      </c>
      <c r="P8798" s="30" t="s">
        <v>15297</v>
      </c>
      <c r="Q8798" t="s">
        <v>621</v>
      </c>
      <c r="R8798" t="s">
        <v>917</v>
      </c>
      <c r="S8798">
        <v>39</v>
      </c>
      <c r="T8798" s="29" t="str">
        <f t="shared" si="373"/>
        <v>2023.001B.Leviviricetes_reorg.zip</v>
      </c>
      <c r="U8798" s="29" t="str">
        <f>HYPERLINK("https://ictv.global/taxonomy/taxondetails?taxnode_id=202316377","ictv.global=202316377")</f>
        <v>ictv.global=202316377</v>
      </c>
    </row>
    <row r="8799" spans="1:21">
      <c r="A8799">
        <v>8798</v>
      </c>
      <c r="B8799" s="30" t="s">
        <v>1226</v>
      </c>
      <c r="D8799" s="30" t="s">
        <v>2024</v>
      </c>
      <c r="F8799" s="30" t="s">
        <v>2046</v>
      </c>
      <c r="H8799" s="30" t="s">
        <v>2859</v>
      </c>
      <c r="J8799" s="30" t="s">
        <v>2860</v>
      </c>
      <c r="L8799" s="30" t="s">
        <v>2990</v>
      </c>
      <c r="N8799" s="30" t="s">
        <v>15290</v>
      </c>
      <c r="P8799" s="30" t="s">
        <v>15298</v>
      </c>
      <c r="Q8799" t="s">
        <v>621</v>
      </c>
      <c r="R8799" t="s">
        <v>917</v>
      </c>
      <c r="S8799">
        <v>39</v>
      </c>
      <c r="T8799" s="29" t="str">
        <f t="shared" si="373"/>
        <v>2023.001B.Leviviricetes_reorg.zip</v>
      </c>
      <c r="U8799" s="29" t="str">
        <f>HYPERLINK("https://ictv.global/taxonomy/taxondetails?taxnode_id=202316378","ictv.global=202316378")</f>
        <v>ictv.global=202316378</v>
      </c>
    </row>
    <row r="8800" spans="1:21">
      <c r="A8800">
        <v>8799</v>
      </c>
      <c r="B8800" s="30" t="s">
        <v>1226</v>
      </c>
      <c r="D8800" s="30" t="s">
        <v>2024</v>
      </c>
      <c r="F8800" s="30" t="s">
        <v>2046</v>
      </c>
      <c r="H8800" s="30" t="s">
        <v>2859</v>
      </c>
      <c r="J8800" s="30" t="s">
        <v>2860</v>
      </c>
      <c r="L8800" s="30" t="s">
        <v>2990</v>
      </c>
      <c r="N8800" s="30" t="s">
        <v>15290</v>
      </c>
      <c r="P8800" s="30" t="s">
        <v>15299</v>
      </c>
      <c r="Q8800" t="s">
        <v>621</v>
      </c>
      <c r="R8800" t="s">
        <v>917</v>
      </c>
      <c r="S8800">
        <v>39</v>
      </c>
      <c r="T8800" s="29" t="str">
        <f t="shared" si="373"/>
        <v>2023.001B.Leviviricetes_reorg.zip</v>
      </c>
      <c r="U8800" s="29" t="str">
        <f>HYPERLINK("https://ictv.global/taxonomy/taxondetails?taxnode_id=202316379","ictv.global=202316379")</f>
        <v>ictv.global=202316379</v>
      </c>
    </row>
    <row r="8801" spans="1:21">
      <c r="A8801">
        <v>8800</v>
      </c>
      <c r="B8801" s="30" t="s">
        <v>1226</v>
      </c>
      <c r="D8801" s="30" t="s">
        <v>2024</v>
      </c>
      <c r="F8801" s="30" t="s">
        <v>2046</v>
      </c>
      <c r="H8801" s="30" t="s">
        <v>2859</v>
      </c>
      <c r="J8801" s="30" t="s">
        <v>2860</v>
      </c>
      <c r="L8801" s="30" t="s">
        <v>2990</v>
      </c>
      <c r="N8801" s="30" t="s">
        <v>15290</v>
      </c>
      <c r="P8801" s="30" t="s">
        <v>15300</v>
      </c>
      <c r="Q8801" t="s">
        <v>621</v>
      </c>
      <c r="R8801" t="s">
        <v>917</v>
      </c>
      <c r="S8801">
        <v>39</v>
      </c>
      <c r="T8801" s="29" t="str">
        <f t="shared" si="373"/>
        <v>2023.001B.Leviviricetes_reorg.zip</v>
      </c>
      <c r="U8801" s="29" t="str">
        <f>HYPERLINK("https://ictv.global/taxonomy/taxondetails?taxnode_id=202316380","ictv.global=202316380")</f>
        <v>ictv.global=202316380</v>
      </c>
    </row>
    <row r="8802" spans="1:21">
      <c r="A8802">
        <v>8801</v>
      </c>
      <c r="B8802" s="30" t="s">
        <v>1226</v>
      </c>
      <c r="D8802" s="30" t="s">
        <v>2024</v>
      </c>
      <c r="F8802" s="30" t="s">
        <v>2046</v>
      </c>
      <c r="H8802" s="30" t="s">
        <v>2859</v>
      </c>
      <c r="J8802" s="30" t="s">
        <v>2860</v>
      </c>
      <c r="L8802" s="30" t="s">
        <v>2990</v>
      </c>
      <c r="N8802" s="30" t="s">
        <v>15290</v>
      </c>
      <c r="P8802" s="30" t="s">
        <v>15301</v>
      </c>
      <c r="Q8802" t="s">
        <v>621</v>
      </c>
      <c r="R8802" t="s">
        <v>917</v>
      </c>
      <c r="S8802">
        <v>39</v>
      </c>
      <c r="T8802" s="29" t="str">
        <f t="shared" si="373"/>
        <v>2023.001B.Leviviricetes_reorg.zip</v>
      </c>
      <c r="U8802" s="29" t="str">
        <f>HYPERLINK("https://ictv.global/taxonomy/taxondetails?taxnode_id=202316381","ictv.global=202316381")</f>
        <v>ictv.global=202316381</v>
      </c>
    </row>
    <row r="8803" spans="1:21">
      <c r="A8803">
        <v>8802</v>
      </c>
      <c r="B8803" s="30" t="s">
        <v>1226</v>
      </c>
      <c r="D8803" s="30" t="s">
        <v>2024</v>
      </c>
      <c r="F8803" s="30" t="s">
        <v>2046</v>
      </c>
      <c r="H8803" s="30" t="s">
        <v>2859</v>
      </c>
      <c r="J8803" s="30" t="s">
        <v>2860</v>
      </c>
      <c r="L8803" s="30" t="s">
        <v>2990</v>
      </c>
      <c r="N8803" s="30" t="s">
        <v>15290</v>
      </c>
      <c r="P8803" s="30" t="s">
        <v>15302</v>
      </c>
      <c r="Q8803" t="s">
        <v>621</v>
      </c>
      <c r="R8803" t="s">
        <v>917</v>
      </c>
      <c r="S8803">
        <v>39</v>
      </c>
      <c r="T8803" s="29" t="str">
        <f t="shared" si="373"/>
        <v>2023.001B.Leviviricetes_reorg.zip</v>
      </c>
      <c r="U8803" s="29" t="str">
        <f>HYPERLINK("https://ictv.global/taxonomy/taxondetails?taxnode_id=202316382","ictv.global=202316382")</f>
        <v>ictv.global=202316382</v>
      </c>
    </row>
    <row r="8804" spans="1:21">
      <c r="A8804">
        <v>8803</v>
      </c>
      <c r="B8804" s="30" t="s">
        <v>1226</v>
      </c>
      <c r="D8804" s="30" t="s">
        <v>2024</v>
      </c>
      <c r="F8804" s="30" t="s">
        <v>2046</v>
      </c>
      <c r="H8804" s="30" t="s">
        <v>2859</v>
      </c>
      <c r="J8804" s="30" t="s">
        <v>2860</v>
      </c>
      <c r="L8804" s="30" t="s">
        <v>2990</v>
      </c>
      <c r="N8804" s="30" t="s">
        <v>15290</v>
      </c>
      <c r="P8804" s="30" t="s">
        <v>15303</v>
      </c>
      <c r="Q8804" t="s">
        <v>621</v>
      </c>
      <c r="R8804" t="s">
        <v>917</v>
      </c>
      <c r="S8804">
        <v>39</v>
      </c>
      <c r="T8804" s="29" t="str">
        <f t="shared" si="373"/>
        <v>2023.001B.Leviviricetes_reorg.zip</v>
      </c>
      <c r="U8804" s="29" t="str">
        <f>HYPERLINK("https://ictv.global/taxonomy/taxondetails?taxnode_id=202316383","ictv.global=202316383")</f>
        <v>ictv.global=202316383</v>
      </c>
    </row>
    <row r="8805" spans="1:21">
      <c r="A8805">
        <v>8804</v>
      </c>
      <c r="B8805" s="30" t="s">
        <v>1226</v>
      </c>
      <c r="D8805" s="30" t="s">
        <v>2024</v>
      </c>
      <c r="F8805" s="30" t="s">
        <v>2046</v>
      </c>
      <c r="H8805" s="30" t="s">
        <v>2859</v>
      </c>
      <c r="J8805" s="30" t="s">
        <v>2860</v>
      </c>
      <c r="L8805" s="30" t="s">
        <v>2990</v>
      </c>
      <c r="N8805" s="30" t="s">
        <v>15304</v>
      </c>
      <c r="P8805" s="30" t="s">
        <v>15305</v>
      </c>
      <c r="Q8805" t="s">
        <v>621</v>
      </c>
      <c r="R8805" t="s">
        <v>917</v>
      </c>
      <c r="S8805">
        <v>39</v>
      </c>
      <c r="T8805" s="29" t="str">
        <f t="shared" si="373"/>
        <v>2023.001B.Leviviricetes_reorg.zip</v>
      </c>
      <c r="U8805" s="29" t="str">
        <f>HYPERLINK("https://ictv.global/taxonomy/taxondetails?taxnode_id=202316384","ictv.global=202316384")</f>
        <v>ictv.global=202316384</v>
      </c>
    </row>
    <row r="8806" spans="1:21">
      <c r="A8806">
        <v>8805</v>
      </c>
      <c r="B8806" s="30" t="s">
        <v>1226</v>
      </c>
      <c r="D8806" s="30" t="s">
        <v>2024</v>
      </c>
      <c r="F8806" s="30" t="s">
        <v>2046</v>
      </c>
      <c r="H8806" s="30" t="s">
        <v>2859</v>
      </c>
      <c r="J8806" s="30" t="s">
        <v>2860</v>
      </c>
      <c r="L8806" s="30" t="s">
        <v>2990</v>
      </c>
      <c r="N8806" s="30" t="s">
        <v>15306</v>
      </c>
      <c r="P8806" s="30" t="s">
        <v>15307</v>
      </c>
      <c r="Q8806" t="s">
        <v>621</v>
      </c>
      <c r="R8806" t="s">
        <v>917</v>
      </c>
      <c r="S8806">
        <v>39</v>
      </c>
      <c r="T8806" s="29" t="str">
        <f t="shared" si="373"/>
        <v>2023.001B.Leviviricetes_reorg.zip</v>
      </c>
      <c r="U8806" s="29" t="str">
        <f>HYPERLINK("https://ictv.global/taxonomy/taxondetails?taxnode_id=202316385","ictv.global=202316385")</f>
        <v>ictv.global=202316385</v>
      </c>
    </row>
    <row r="8807" spans="1:21">
      <c r="A8807">
        <v>8806</v>
      </c>
      <c r="B8807" s="30" t="s">
        <v>1226</v>
      </c>
      <c r="D8807" s="30" t="s">
        <v>2024</v>
      </c>
      <c r="F8807" s="30" t="s">
        <v>2046</v>
      </c>
      <c r="H8807" s="30" t="s">
        <v>2859</v>
      </c>
      <c r="J8807" s="30" t="s">
        <v>2860</v>
      </c>
      <c r="L8807" s="30" t="s">
        <v>2990</v>
      </c>
      <c r="N8807" s="30" t="s">
        <v>15308</v>
      </c>
      <c r="P8807" s="30" t="s">
        <v>15309</v>
      </c>
      <c r="Q8807" t="s">
        <v>621</v>
      </c>
      <c r="R8807" t="s">
        <v>917</v>
      </c>
      <c r="S8807">
        <v>39</v>
      </c>
      <c r="T8807" s="29" t="str">
        <f t="shared" si="373"/>
        <v>2023.001B.Leviviricetes_reorg.zip</v>
      </c>
      <c r="U8807" s="29" t="str">
        <f>HYPERLINK("https://ictv.global/taxonomy/taxondetails?taxnode_id=202316386","ictv.global=202316386")</f>
        <v>ictv.global=202316386</v>
      </c>
    </row>
    <row r="8808" spans="1:21">
      <c r="A8808">
        <v>8807</v>
      </c>
      <c r="B8808" s="30" t="s">
        <v>1226</v>
      </c>
      <c r="D8808" s="30" t="s">
        <v>2024</v>
      </c>
      <c r="F8808" s="30" t="s">
        <v>2046</v>
      </c>
      <c r="H8808" s="30" t="s">
        <v>2859</v>
      </c>
      <c r="J8808" s="30" t="s">
        <v>2860</v>
      </c>
      <c r="L8808" s="30" t="s">
        <v>2990</v>
      </c>
      <c r="N8808" s="30" t="s">
        <v>15310</v>
      </c>
      <c r="P8808" s="30" t="s">
        <v>15311</v>
      </c>
      <c r="Q8808" t="s">
        <v>621</v>
      </c>
      <c r="R8808" t="s">
        <v>917</v>
      </c>
      <c r="S8808">
        <v>39</v>
      </c>
      <c r="T8808" s="29" t="str">
        <f t="shared" si="373"/>
        <v>2023.001B.Leviviricetes_reorg.zip</v>
      </c>
      <c r="U8808" s="29" t="str">
        <f>HYPERLINK("https://ictv.global/taxonomy/taxondetails?taxnode_id=202316387","ictv.global=202316387")</f>
        <v>ictv.global=202316387</v>
      </c>
    </row>
    <row r="8809" spans="1:21">
      <c r="A8809">
        <v>8808</v>
      </c>
      <c r="B8809" s="30" t="s">
        <v>1226</v>
      </c>
      <c r="D8809" s="30" t="s">
        <v>2024</v>
      </c>
      <c r="F8809" s="30" t="s">
        <v>2046</v>
      </c>
      <c r="H8809" s="30" t="s">
        <v>2859</v>
      </c>
      <c r="J8809" s="30" t="s">
        <v>2860</v>
      </c>
      <c r="L8809" s="30" t="s">
        <v>2990</v>
      </c>
      <c r="N8809" s="30" t="s">
        <v>15312</v>
      </c>
      <c r="P8809" s="30" t="s">
        <v>15313</v>
      </c>
      <c r="Q8809" t="s">
        <v>621</v>
      </c>
      <c r="R8809" t="s">
        <v>917</v>
      </c>
      <c r="S8809">
        <v>39</v>
      </c>
      <c r="T8809" s="29" t="str">
        <f t="shared" si="373"/>
        <v>2023.001B.Leviviricetes_reorg.zip</v>
      </c>
      <c r="U8809" s="29" t="str">
        <f>HYPERLINK("https://ictv.global/taxonomy/taxondetails?taxnode_id=202316388","ictv.global=202316388")</f>
        <v>ictv.global=202316388</v>
      </c>
    </row>
    <row r="8810" spans="1:21">
      <c r="A8810">
        <v>8809</v>
      </c>
      <c r="B8810" s="30" t="s">
        <v>1226</v>
      </c>
      <c r="D8810" s="30" t="s">
        <v>2024</v>
      </c>
      <c r="F8810" s="30" t="s">
        <v>2046</v>
      </c>
      <c r="H8810" s="30" t="s">
        <v>2859</v>
      </c>
      <c r="J8810" s="30" t="s">
        <v>2860</v>
      </c>
      <c r="L8810" s="30" t="s">
        <v>2990</v>
      </c>
      <c r="N8810" s="30" t="s">
        <v>15314</v>
      </c>
      <c r="P8810" s="30" t="s">
        <v>15315</v>
      </c>
      <c r="Q8810" t="s">
        <v>621</v>
      </c>
      <c r="R8810" t="s">
        <v>917</v>
      </c>
      <c r="S8810">
        <v>39</v>
      </c>
      <c r="T8810" s="29" t="str">
        <f t="shared" si="373"/>
        <v>2023.001B.Leviviricetes_reorg.zip</v>
      </c>
      <c r="U8810" s="29" t="str">
        <f>HYPERLINK("https://ictv.global/taxonomy/taxondetails?taxnode_id=202316389","ictv.global=202316389")</f>
        <v>ictv.global=202316389</v>
      </c>
    </row>
    <row r="8811" spans="1:21">
      <c r="A8811">
        <v>8810</v>
      </c>
      <c r="B8811" s="30" t="s">
        <v>1226</v>
      </c>
      <c r="D8811" s="30" t="s">
        <v>2024</v>
      </c>
      <c r="F8811" s="30" t="s">
        <v>2046</v>
      </c>
      <c r="H8811" s="30" t="s">
        <v>2859</v>
      </c>
      <c r="J8811" s="30" t="s">
        <v>2860</v>
      </c>
      <c r="L8811" s="30" t="s">
        <v>2990</v>
      </c>
      <c r="N8811" s="30" t="s">
        <v>15316</v>
      </c>
      <c r="P8811" s="30" t="s">
        <v>15317</v>
      </c>
      <c r="Q8811" t="s">
        <v>621</v>
      </c>
      <c r="R8811" t="s">
        <v>917</v>
      </c>
      <c r="S8811">
        <v>39</v>
      </c>
      <c r="T8811" s="29" t="str">
        <f t="shared" si="373"/>
        <v>2023.001B.Leviviricetes_reorg.zip</v>
      </c>
      <c r="U8811" s="29" t="str">
        <f>HYPERLINK("https://ictv.global/taxonomy/taxondetails?taxnode_id=202316390","ictv.global=202316390")</f>
        <v>ictv.global=202316390</v>
      </c>
    </row>
    <row r="8812" spans="1:21">
      <c r="A8812">
        <v>8811</v>
      </c>
      <c r="B8812" s="30" t="s">
        <v>1226</v>
      </c>
      <c r="D8812" s="30" t="s">
        <v>2024</v>
      </c>
      <c r="F8812" s="30" t="s">
        <v>2046</v>
      </c>
      <c r="H8812" s="30" t="s">
        <v>2859</v>
      </c>
      <c r="J8812" s="30" t="s">
        <v>2860</v>
      </c>
      <c r="L8812" s="30" t="s">
        <v>2990</v>
      </c>
      <c r="N8812" s="30" t="s">
        <v>15318</v>
      </c>
      <c r="P8812" s="30" t="s">
        <v>15319</v>
      </c>
      <c r="Q8812" t="s">
        <v>621</v>
      </c>
      <c r="R8812" t="s">
        <v>917</v>
      </c>
      <c r="S8812">
        <v>39</v>
      </c>
      <c r="T8812" s="29" t="str">
        <f t="shared" si="373"/>
        <v>2023.001B.Leviviricetes_reorg.zip</v>
      </c>
      <c r="U8812" s="29" t="str">
        <f>HYPERLINK("https://ictv.global/taxonomy/taxondetails?taxnode_id=202316391","ictv.global=202316391")</f>
        <v>ictv.global=202316391</v>
      </c>
    </row>
    <row r="8813" spans="1:21">
      <c r="A8813">
        <v>8812</v>
      </c>
      <c r="B8813" s="30" t="s">
        <v>1226</v>
      </c>
      <c r="D8813" s="30" t="s">
        <v>2024</v>
      </c>
      <c r="F8813" s="30" t="s">
        <v>2046</v>
      </c>
      <c r="H8813" s="30" t="s">
        <v>2859</v>
      </c>
      <c r="J8813" s="30" t="s">
        <v>2860</v>
      </c>
      <c r="L8813" s="30" t="s">
        <v>2990</v>
      </c>
      <c r="N8813" s="30" t="s">
        <v>15318</v>
      </c>
      <c r="P8813" s="30" t="s">
        <v>15320</v>
      </c>
      <c r="Q8813" t="s">
        <v>621</v>
      </c>
      <c r="R8813" t="s">
        <v>917</v>
      </c>
      <c r="S8813">
        <v>39</v>
      </c>
      <c r="T8813" s="29" t="str">
        <f t="shared" si="373"/>
        <v>2023.001B.Leviviricetes_reorg.zip</v>
      </c>
      <c r="U8813" s="29" t="str">
        <f>HYPERLINK("https://ictv.global/taxonomy/taxondetails?taxnode_id=202316392","ictv.global=202316392")</f>
        <v>ictv.global=202316392</v>
      </c>
    </row>
    <row r="8814" spans="1:21">
      <c r="A8814">
        <v>8813</v>
      </c>
      <c r="B8814" s="30" t="s">
        <v>1226</v>
      </c>
      <c r="D8814" s="30" t="s">
        <v>2024</v>
      </c>
      <c r="F8814" s="30" t="s">
        <v>2046</v>
      </c>
      <c r="H8814" s="30" t="s">
        <v>2859</v>
      </c>
      <c r="J8814" s="30" t="s">
        <v>2860</v>
      </c>
      <c r="L8814" s="30" t="s">
        <v>2990</v>
      </c>
      <c r="N8814" s="30" t="s">
        <v>15321</v>
      </c>
      <c r="P8814" s="30" t="s">
        <v>15322</v>
      </c>
      <c r="Q8814" t="s">
        <v>621</v>
      </c>
      <c r="R8814" t="s">
        <v>917</v>
      </c>
      <c r="S8814">
        <v>39</v>
      </c>
      <c r="T8814" s="29" t="str">
        <f t="shared" si="373"/>
        <v>2023.001B.Leviviricetes_reorg.zip</v>
      </c>
      <c r="U8814" s="29" t="str">
        <f>HYPERLINK("https://ictv.global/taxonomy/taxondetails?taxnode_id=202316393","ictv.global=202316393")</f>
        <v>ictv.global=202316393</v>
      </c>
    </row>
    <row r="8815" spans="1:21">
      <c r="A8815">
        <v>8814</v>
      </c>
      <c r="B8815" s="30" t="s">
        <v>1226</v>
      </c>
      <c r="D8815" s="30" t="s">
        <v>2024</v>
      </c>
      <c r="F8815" s="30" t="s">
        <v>2046</v>
      </c>
      <c r="H8815" s="30" t="s">
        <v>2859</v>
      </c>
      <c r="J8815" s="30" t="s">
        <v>2860</v>
      </c>
      <c r="L8815" s="30" t="s">
        <v>2990</v>
      </c>
      <c r="N8815" s="30" t="s">
        <v>15323</v>
      </c>
      <c r="P8815" s="30" t="s">
        <v>15324</v>
      </c>
      <c r="Q8815" t="s">
        <v>621</v>
      </c>
      <c r="R8815" t="s">
        <v>917</v>
      </c>
      <c r="S8815">
        <v>39</v>
      </c>
      <c r="T8815" s="29" t="str">
        <f t="shared" si="373"/>
        <v>2023.001B.Leviviricetes_reorg.zip</v>
      </c>
      <c r="U8815" s="29" t="str">
        <f>HYPERLINK("https://ictv.global/taxonomy/taxondetails?taxnode_id=202316394","ictv.global=202316394")</f>
        <v>ictv.global=202316394</v>
      </c>
    </row>
    <row r="8816" spans="1:21">
      <c r="A8816">
        <v>8815</v>
      </c>
      <c r="B8816" s="30" t="s">
        <v>1226</v>
      </c>
      <c r="D8816" s="30" t="s">
        <v>2024</v>
      </c>
      <c r="F8816" s="30" t="s">
        <v>2046</v>
      </c>
      <c r="H8816" s="30" t="s">
        <v>2859</v>
      </c>
      <c r="J8816" s="30" t="s">
        <v>2860</v>
      </c>
      <c r="L8816" s="30" t="s">
        <v>2990</v>
      </c>
      <c r="N8816" s="30" t="s">
        <v>15323</v>
      </c>
      <c r="P8816" s="30" t="s">
        <v>15325</v>
      </c>
      <c r="Q8816" t="s">
        <v>621</v>
      </c>
      <c r="R8816" t="s">
        <v>918</v>
      </c>
      <c r="S8816">
        <v>39</v>
      </c>
      <c r="T8816" s="29" t="str">
        <f t="shared" si="373"/>
        <v>2023.001B.Leviviricetes_reorg.zip</v>
      </c>
      <c r="U8816" s="29" t="str">
        <f>HYPERLINK("https://ictv.global/taxonomy/taxondetails?taxnode_id=202310318","ictv.global=202310318")</f>
        <v>ictv.global=202310318</v>
      </c>
    </row>
    <row r="8817" spans="1:21">
      <c r="A8817">
        <v>8816</v>
      </c>
      <c r="B8817" s="30" t="s">
        <v>1226</v>
      </c>
      <c r="D8817" s="30" t="s">
        <v>2024</v>
      </c>
      <c r="F8817" s="30" t="s">
        <v>2046</v>
      </c>
      <c r="H8817" s="30" t="s">
        <v>2859</v>
      </c>
      <c r="J8817" s="30" t="s">
        <v>2860</v>
      </c>
      <c r="L8817" s="30" t="s">
        <v>2990</v>
      </c>
      <c r="N8817" s="30" t="s">
        <v>15323</v>
      </c>
      <c r="P8817" s="30" t="s">
        <v>15326</v>
      </c>
      <c r="Q8817" t="s">
        <v>621</v>
      </c>
      <c r="R8817" t="s">
        <v>917</v>
      </c>
      <c r="S8817">
        <v>39</v>
      </c>
      <c r="T8817" s="29" t="str">
        <f t="shared" si="373"/>
        <v>2023.001B.Leviviricetes_reorg.zip</v>
      </c>
      <c r="U8817" s="29" t="str">
        <f>HYPERLINK("https://ictv.global/taxonomy/taxondetails?taxnode_id=202316395","ictv.global=202316395")</f>
        <v>ictv.global=202316395</v>
      </c>
    </row>
    <row r="8818" spans="1:21">
      <c r="A8818">
        <v>8817</v>
      </c>
      <c r="B8818" s="30" t="s">
        <v>1226</v>
      </c>
      <c r="D8818" s="30" t="s">
        <v>2024</v>
      </c>
      <c r="F8818" s="30" t="s">
        <v>2046</v>
      </c>
      <c r="H8818" s="30" t="s">
        <v>2859</v>
      </c>
      <c r="J8818" s="30" t="s">
        <v>2860</v>
      </c>
      <c r="L8818" s="30" t="s">
        <v>2990</v>
      </c>
      <c r="N8818" s="30" t="s">
        <v>15323</v>
      </c>
      <c r="P8818" s="30" t="s">
        <v>15327</v>
      </c>
      <c r="Q8818" t="s">
        <v>621</v>
      </c>
      <c r="R8818" t="s">
        <v>917</v>
      </c>
      <c r="S8818">
        <v>39</v>
      </c>
      <c r="T8818" s="29" t="str">
        <f t="shared" si="373"/>
        <v>2023.001B.Leviviricetes_reorg.zip</v>
      </c>
      <c r="U8818" s="29" t="str">
        <f>HYPERLINK("https://ictv.global/taxonomy/taxondetails?taxnode_id=202316396","ictv.global=202316396")</f>
        <v>ictv.global=202316396</v>
      </c>
    </row>
    <row r="8819" spans="1:21">
      <c r="A8819">
        <v>8818</v>
      </c>
      <c r="B8819" s="30" t="s">
        <v>1226</v>
      </c>
      <c r="D8819" s="30" t="s">
        <v>2024</v>
      </c>
      <c r="F8819" s="30" t="s">
        <v>2046</v>
      </c>
      <c r="H8819" s="30" t="s">
        <v>2859</v>
      </c>
      <c r="J8819" s="30" t="s">
        <v>2860</v>
      </c>
      <c r="L8819" s="30" t="s">
        <v>2990</v>
      </c>
      <c r="N8819" s="30" t="s">
        <v>15328</v>
      </c>
      <c r="P8819" s="30" t="s">
        <v>15329</v>
      </c>
      <c r="Q8819" t="s">
        <v>621</v>
      </c>
      <c r="R8819" t="s">
        <v>917</v>
      </c>
      <c r="S8819">
        <v>39</v>
      </c>
      <c r="T8819" s="29" t="str">
        <f t="shared" si="373"/>
        <v>2023.001B.Leviviricetes_reorg.zip</v>
      </c>
      <c r="U8819" s="29" t="str">
        <f>HYPERLINK("https://ictv.global/taxonomy/taxondetails?taxnode_id=202316397","ictv.global=202316397")</f>
        <v>ictv.global=202316397</v>
      </c>
    </row>
    <row r="8820" spans="1:21">
      <c r="A8820">
        <v>8819</v>
      </c>
      <c r="B8820" s="30" t="s">
        <v>1226</v>
      </c>
      <c r="D8820" s="30" t="s">
        <v>2024</v>
      </c>
      <c r="F8820" s="30" t="s">
        <v>2046</v>
      </c>
      <c r="H8820" s="30" t="s">
        <v>2859</v>
      </c>
      <c r="J8820" s="30" t="s">
        <v>2860</v>
      </c>
      <c r="L8820" s="30" t="s">
        <v>2990</v>
      </c>
      <c r="N8820" s="30" t="s">
        <v>15328</v>
      </c>
      <c r="P8820" s="30" t="s">
        <v>15330</v>
      </c>
      <c r="Q8820" t="s">
        <v>621</v>
      </c>
      <c r="R8820" t="s">
        <v>917</v>
      </c>
      <c r="S8820">
        <v>39</v>
      </c>
      <c r="T8820" s="29" t="str">
        <f t="shared" si="373"/>
        <v>2023.001B.Leviviricetes_reorg.zip</v>
      </c>
      <c r="U8820" s="29" t="str">
        <f>HYPERLINK("https://ictv.global/taxonomy/taxondetails?taxnode_id=202316398","ictv.global=202316398")</f>
        <v>ictv.global=202316398</v>
      </c>
    </row>
    <row r="8821" spans="1:21">
      <c r="A8821">
        <v>8820</v>
      </c>
      <c r="B8821" s="30" t="s">
        <v>1226</v>
      </c>
      <c r="D8821" s="30" t="s">
        <v>2024</v>
      </c>
      <c r="F8821" s="30" t="s">
        <v>2046</v>
      </c>
      <c r="H8821" s="30" t="s">
        <v>2859</v>
      </c>
      <c r="J8821" s="30" t="s">
        <v>2860</v>
      </c>
      <c r="L8821" s="30" t="s">
        <v>2990</v>
      </c>
      <c r="N8821" s="30" t="s">
        <v>15331</v>
      </c>
      <c r="P8821" s="30" t="s">
        <v>15332</v>
      </c>
      <c r="Q8821" t="s">
        <v>621</v>
      </c>
      <c r="R8821" t="s">
        <v>917</v>
      </c>
      <c r="S8821">
        <v>39</v>
      </c>
      <c r="T8821" s="29" t="str">
        <f t="shared" si="373"/>
        <v>2023.001B.Leviviricetes_reorg.zip</v>
      </c>
      <c r="U8821" s="29" t="str">
        <f>HYPERLINK("https://ictv.global/taxonomy/taxondetails?taxnode_id=202316399","ictv.global=202316399")</f>
        <v>ictv.global=202316399</v>
      </c>
    </row>
    <row r="8822" spans="1:21">
      <c r="A8822">
        <v>8821</v>
      </c>
      <c r="B8822" s="30" t="s">
        <v>1226</v>
      </c>
      <c r="D8822" s="30" t="s">
        <v>2024</v>
      </c>
      <c r="F8822" s="30" t="s">
        <v>2046</v>
      </c>
      <c r="H8822" s="30" t="s">
        <v>2859</v>
      </c>
      <c r="J8822" s="30" t="s">
        <v>2860</v>
      </c>
      <c r="L8822" s="30" t="s">
        <v>2990</v>
      </c>
      <c r="N8822" s="30" t="s">
        <v>15333</v>
      </c>
      <c r="P8822" s="30" t="s">
        <v>15334</v>
      </c>
      <c r="Q8822" t="s">
        <v>621</v>
      </c>
      <c r="R8822" t="s">
        <v>918</v>
      </c>
      <c r="S8822">
        <v>39</v>
      </c>
      <c r="T8822" s="29" t="str">
        <f t="shared" si="373"/>
        <v>2023.001B.Leviviricetes_reorg.zip</v>
      </c>
      <c r="U8822" s="29" t="str">
        <f>HYPERLINK("https://ictv.global/taxonomy/taxondetails?taxnode_id=202310491","ictv.global=202310491")</f>
        <v>ictv.global=202310491</v>
      </c>
    </row>
    <row r="8823" spans="1:21">
      <c r="A8823">
        <v>8822</v>
      </c>
      <c r="B8823" s="30" t="s">
        <v>1226</v>
      </c>
      <c r="D8823" s="30" t="s">
        <v>2024</v>
      </c>
      <c r="F8823" s="30" t="s">
        <v>2046</v>
      </c>
      <c r="H8823" s="30" t="s">
        <v>2859</v>
      </c>
      <c r="J8823" s="30" t="s">
        <v>2860</v>
      </c>
      <c r="L8823" s="30" t="s">
        <v>2990</v>
      </c>
      <c r="N8823" s="30" t="s">
        <v>3159</v>
      </c>
      <c r="P8823" s="30" t="s">
        <v>3160</v>
      </c>
      <c r="Q8823" t="s">
        <v>621</v>
      </c>
      <c r="R8823" t="s">
        <v>917</v>
      </c>
      <c r="S8823">
        <v>36</v>
      </c>
      <c r="T8823" s="29" t="str">
        <f>HYPERLINK("https://ictv.global/ictv/proposals/2020.095B.R.Leviviricetes.zip","2020.095B.R.Leviviricetes.zip")</f>
        <v>2020.095B.R.Leviviricetes.zip</v>
      </c>
      <c r="U8823" s="29" t="str">
        <f>HYPERLINK("https://ictv.global/taxonomy/taxondetails?taxnode_id=202310435","ictv.global=202310435")</f>
        <v>ictv.global=202310435</v>
      </c>
    </row>
    <row r="8824" spans="1:21">
      <c r="A8824">
        <v>8823</v>
      </c>
      <c r="B8824" s="30" t="s">
        <v>1226</v>
      </c>
      <c r="D8824" s="30" t="s">
        <v>2024</v>
      </c>
      <c r="F8824" s="30" t="s">
        <v>2046</v>
      </c>
      <c r="H8824" s="30" t="s">
        <v>2859</v>
      </c>
      <c r="J8824" s="30" t="s">
        <v>2860</v>
      </c>
      <c r="L8824" s="30" t="s">
        <v>2990</v>
      </c>
      <c r="N8824" s="30" t="s">
        <v>15335</v>
      </c>
      <c r="P8824" s="30" t="s">
        <v>15336</v>
      </c>
      <c r="Q8824" t="s">
        <v>621</v>
      </c>
      <c r="R8824" t="s">
        <v>917</v>
      </c>
      <c r="S8824">
        <v>39</v>
      </c>
      <c r="T8824" s="29" t="str">
        <f t="shared" ref="T8824:T8861" si="374">HYPERLINK("https://ictv.global/ictv/proposals/2023.001B.Leviviricetes_reorg.zip","2023.001B.Leviviricetes_reorg.zip")</f>
        <v>2023.001B.Leviviricetes_reorg.zip</v>
      </c>
      <c r="U8824" s="29" t="str">
        <f>HYPERLINK("https://ictv.global/taxonomy/taxondetails?taxnode_id=202316400","ictv.global=202316400")</f>
        <v>ictv.global=202316400</v>
      </c>
    </row>
    <row r="8825" spans="1:21">
      <c r="A8825">
        <v>8824</v>
      </c>
      <c r="B8825" s="30" t="s">
        <v>1226</v>
      </c>
      <c r="D8825" s="30" t="s">
        <v>2024</v>
      </c>
      <c r="F8825" s="30" t="s">
        <v>2046</v>
      </c>
      <c r="H8825" s="30" t="s">
        <v>2859</v>
      </c>
      <c r="J8825" s="30" t="s">
        <v>2860</v>
      </c>
      <c r="L8825" s="30" t="s">
        <v>2990</v>
      </c>
      <c r="N8825" s="30" t="s">
        <v>15335</v>
      </c>
      <c r="P8825" s="30" t="s">
        <v>15337</v>
      </c>
      <c r="Q8825" t="s">
        <v>621</v>
      </c>
      <c r="R8825" t="s">
        <v>918</v>
      </c>
      <c r="S8825">
        <v>39</v>
      </c>
      <c r="T8825" s="29" t="str">
        <f t="shared" si="374"/>
        <v>2023.001B.Leviviricetes_reorg.zip</v>
      </c>
      <c r="U8825" s="29" t="str">
        <f>HYPERLINK("https://ictv.global/taxonomy/taxondetails?taxnode_id=202310271","ictv.global=202310271")</f>
        <v>ictv.global=202310271</v>
      </c>
    </row>
    <row r="8826" spans="1:21">
      <c r="A8826">
        <v>8825</v>
      </c>
      <c r="B8826" s="30" t="s">
        <v>1226</v>
      </c>
      <c r="D8826" s="30" t="s">
        <v>2024</v>
      </c>
      <c r="F8826" s="30" t="s">
        <v>2046</v>
      </c>
      <c r="H8826" s="30" t="s">
        <v>2859</v>
      </c>
      <c r="J8826" s="30" t="s">
        <v>2860</v>
      </c>
      <c r="L8826" s="30" t="s">
        <v>2990</v>
      </c>
      <c r="N8826" s="30" t="s">
        <v>15335</v>
      </c>
      <c r="P8826" s="30" t="s">
        <v>15338</v>
      </c>
      <c r="Q8826" t="s">
        <v>621</v>
      </c>
      <c r="R8826" t="s">
        <v>918</v>
      </c>
      <c r="S8826">
        <v>39</v>
      </c>
      <c r="T8826" s="29" t="str">
        <f t="shared" si="374"/>
        <v>2023.001B.Leviviricetes_reorg.zip</v>
      </c>
      <c r="U8826" s="29" t="str">
        <f>HYPERLINK("https://ictv.global/taxonomy/taxondetails?taxnode_id=202310272","ictv.global=202310272")</f>
        <v>ictv.global=202310272</v>
      </c>
    </row>
    <row r="8827" spans="1:21">
      <c r="A8827">
        <v>8826</v>
      </c>
      <c r="B8827" s="30" t="s">
        <v>1226</v>
      </c>
      <c r="D8827" s="30" t="s">
        <v>2024</v>
      </c>
      <c r="F8827" s="30" t="s">
        <v>2046</v>
      </c>
      <c r="H8827" s="30" t="s">
        <v>2859</v>
      </c>
      <c r="J8827" s="30" t="s">
        <v>2860</v>
      </c>
      <c r="L8827" s="30" t="s">
        <v>2990</v>
      </c>
      <c r="N8827" s="30" t="s">
        <v>15335</v>
      </c>
      <c r="P8827" s="30" t="s">
        <v>15339</v>
      </c>
      <c r="Q8827" t="s">
        <v>621</v>
      </c>
      <c r="R8827" t="s">
        <v>918</v>
      </c>
      <c r="S8827">
        <v>39</v>
      </c>
      <c r="T8827" s="29" t="str">
        <f t="shared" si="374"/>
        <v>2023.001B.Leviviricetes_reorg.zip</v>
      </c>
      <c r="U8827" s="29" t="str">
        <f>HYPERLINK("https://ictv.global/taxonomy/taxondetails?taxnode_id=202310273","ictv.global=202310273")</f>
        <v>ictv.global=202310273</v>
      </c>
    </row>
    <row r="8828" spans="1:21">
      <c r="A8828">
        <v>8827</v>
      </c>
      <c r="B8828" s="30" t="s">
        <v>1226</v>
      </c>
      <c r="D8828" s="30" t="s">
        <v>2024</v>
      </c>
      <c r="F8828" s="30" t="s">
        <v>2046</v>
      </c>
      <c r="H8828" s="30" t="s">
        <v>2859</v>
      </c>
      <c r="J8828" s="30" t="s">
        <v>2860</v>
      </c>
      <c r="L8828" s="30" t="s">
        <v>2990</v>
      </c>
      <c r="N8828" s="30" t="s">
        <v>15335</v>
      </c>
      <c r="P8828" s="30" t="s">
        <v>15340</v>
      </c>
      <c r="Q8828" t="s">
        <v>621</v>
      </c>
      <c r="R8828" t="s">
        <v>918</v>
      </c>
      <c r="S8828">
        <v>39</v>
      </c>
      <c r="T8828" s="29" t="str">
        <f t="shared" si="374"/>
        <v>2023.001B.Leviviricetes_reorg.zip</v>
      </c>
      <c r="U8828" s="29" t="str">
        <f>HYPERLINK("https://ictv.global/taxonomy/taxondetails?taxnode_id=202310274","ictv.global=202310274")</f>
        <v>ictv.global=202310274</v>
      </c>
    </row>
    <row r="8829" spans="1:21">
      <c r="A8829">
        <v>8828</v>
      </c>
      <c r="B8829" s="30" t="s">
        <v>1226</v>
      </c>
      <c r="D8829" s="30" t="s">
        <v>2024</v>
      </c>
      <c r="F8829" s="30" t="s">
        <v>2046</v>
      </c>
      <c r="H8829" s="30" t="s">
        <v>2859</v>
      </c>
      <c r="J8829" s="30" t="s">
        <v>2860</v>
      </c>
      <c r="L8829" s="30" t="s">
        <v>2990</v>
      </c>
      <c r="N8829" s="30" t="s">
        <v>15335</v>
      </c>
      <c r="P8829" s="30" t="s">
        <v>15341</v>
      </c>
      <c r="Q8829" t="s">
        <v>621</v>
      </c>
      <c r="R8829" t="s">
        <v>918</v>
      </c>
      <c r="S8829">
        <v>39</v>
      </c>
      <c r="T8829" s="29" t="str">
        <f t="shared" si="374"/>
        <v>2023.001B.Leviviricetes_reorg.zip</v>
      </c>
      <c r="U8829" s="29" t="str">
        <f>HYPERLINK("https://ictv.global/taxonomy/taxondetails?taxnode_id=202310275","ictv.global=202310275")</f>
        <v>ictv.global=202310275</v>
      </c>
    </row>
    <row r="8830" spans="1:21">
      <c r="A8830">
        <v>8829</v>
      </c>
      <c r="B8830" s="30" t="s">
        <v>1226</v>
      </c>
      <c r="D8830" s="30" t="s">
        <v>2024</v>
      </c>
      <c r="F8830" s="30" t="s">
        <v>2046</v>
      </c>
      <c r="H8830" s="30" t="s">
        <v>2859</v>
      </c>
      <c r="J8830" s="30" t="s">
        <v>2860</v>
      </c>
      <c r="L8830" s="30" t="s">
        <v>2990</v>
      </c>
      <c r="N8830" s="30" t="s">
        <v>15335</v>
      </c>
      <c r="P8830" s="30" t="s">
        <v>15342</v>
      </c>
      <c r="Q8830" t="s">
        <v>621</v>
      </c>
      <c r="R8830" t="s">
        <v>917</v>
      </c>
      <c r="S8830">
        <v>39</v>
      </c>
      <c r="T8830" s="29" t="str">
        <f t="shared" si="374"/>
        <v>2023.001B.Leviviricetes_reorg.zip</v>
      </c>
      <c r="U8830" s="29" t="str">
        <f>HYPERLINK("https://ictv.global/taxonomy/taxondetails?taxnode_id=202316401","ictv.global=202316401")</f>
        <v>ictv.global=202316401</v>
      </c>
    </row>
    <row r="8831" spans="1:21">
      <c r="A8831">
        <v>8830</v>
      </c>
      <c r="B8831" s="30" t="s">
        <v>1226</v>
      </c>
      <c r="D8831" s="30" t="s">
        <v>2024</v>
      </c>
      <c r="F8831" s="30" t="s">
        <v>2046</v>
      </c>
      <c r="H8831" s="30" t="s">
        <v>2859</v>
      </c>
      <c r="J8831" s="30" t="s">
        <v>2860</v>
      </c>
      <c r="L8831" s="30" t="s">
        <v>2990</v>
      </c>
      <c r="N8831" s="30" t="s">
        <v>15335</v>
      </c>
      <c r="P8831" s="30" t="s">
        <v>15343</v>
      </c>
      <c r="Q8831" t="s">
        <v>621</v>
      </c>
      <c r="R8831" t="s">
        <v>918</v>
      </c>
      <c r="S8831">
        <v>39</v>
      </c>
      <c r="T8831" s="29" t="str">
        <f t="shared" si="374"/>
        <v>2023.001B.Leviviricetes_reorg.zip</v>
      </c>
      <c r="U8831" s="29" t="str">
        <f>HYPERLINK("https://ictv.global/taxonomy/taxondetails?taxnode_id=202310269","ictv.global=202310269")</f>
        <v>ictv.global=202310269</v>
      </c>
    </row>
    <row r="8832" spans="1:21">
      <c r="A8832">
        <v>8831</v>
      </c>
      <c r="B8832" s="30" t="s">
        <v>1226</v>
      </c>
      <c r="D8832" s="30" t="s">
        <v>2024</v>
      </c>
      <c r="F8832" s="30" t="s">
        <v>2046</v>
      </c>
      <c r="H8832" s="30" t="s">
        <v>2859</v>
      </c>
      <c r="J8832" s="30" t="s">
        <v>2860</v>
      </c>
      <c r="L8832" s="30" t="s">
        <v>2990</v>
      </c>
      <c r="N8832" s="30" t="s">
        <v>15335</v>
      </c>
      <c r="P8832" s="30" t="s">
        <v>15344</v>
      </c>
      <c r="Q8832" t="s">
        <v>621</v>
      </c>
      <c r="R8832" t="s">
        <v>917</v>
      </c>
      <c r="S8832">
        <v>39</v>
      </c>
      <c r="T8832" s="29" t="str">
        <f t="shared" si="374"/>
        <v>2023.001B.Leviviricetes_reorg.zip</v>
      </c>
      <c r="U8832" s="29" t="str">
        <f>HYPERLINK("https://ictv.global/taxonomy/taxondetails?taxnode_id=202316402","ictv.global=202316402")</f>
        <v>ictv.global=202316402</v>
      </c>
    </row>
    <row r="8833" spans="1:21">
      <c r="A8833">
        <v>8832</v>
      </c>
      <c r="B8833" s="30" t="s">
        <v>1226</v>
      </c>
      <c r="D8833" s="30" t="s">
        <v>2024</v>
      </c>
      <c r="F8833" s="30" t="s">
        <v>2046</v>
      </c>
      <c r="H8833" s="30" t="s">
        <v>2859</v>
      </c>
      <c r="J8833" s="30" t="s">
        <v>2860</v>
      </c>
      <c r="L8833" s="30" t="s">
        <v>2990</v>
      </c>
      <c r="N8833" s="30" t="s">
        <v>15335</v>
      </c>
      <c r="P8833" s="30" t="s">
        <v>15345</v>
      </c>
      <c r="Q8833" t="s">
        <v>621</v>
      </c>
      <c r="R8833" t="s">
        <v>917</v>
      </c>
      <c r="S8833">
        <v>39</v>
      </c>
      <c r="T8833" s="29" t="str">
        <f t="shared" si="374"/>
        <v>2023.001B.Leviviricetes_reorg.zip</v>
      </c>
      <c r="U8833" s="29" t="str">
        <f>HYPERLINK("https://ictv.global/taxonomy/taxondetails?taxnode_id=202316403","ictv.global=202316403")</f>
        <v>ictv.global=202316403</v>
      </c>
    </row>
    <row r="8834" spans="1:21">
      <c r="A8834">
        <v>8833</v>
      </c>
      <c r="B8834" s="30" t="s">
        <v>1226</v>
      </c>
      <c r="D8834" s="30" t="s">
        <v>2024</v>
      </c>
      <c r="F8834" s="30" t="s">
        <v>2046</v>
      </c>
      <c r="H8834" s="30" t="s">
        <v>2859</v>
      </c>
      <c r="J8834" s="30" t="s">
        <v>2860</v>
      </c>
      <c r="L8834" s="30" t="s">
        <v>2990</v>
      </c>
      <c r="N8834" s="30" t="s">
        <v>15335</v>
      </c>
      <c r="P8834" s="30" t="s">
        <v>15346</v>
      </c>
      <c r="Q8834" t="s">
        <v>621</v>
      </c>
      <c r="R8834" t="s">
        <v>917</v>
      </c>
      <c r="S8834">
        <v>39</v>
      </c>
      <c r="T8834" s="29" t="str">
        <f t="shared" si="374"/>
        <v>2023.001B.Leviviricetes_reorg.zip</v>
      </c>
      <c r="U8834" s="29" t="str">
        <f>HYPERLINK("https://ictv.global/taxonomy/taxondetails?taxnode_id=202316404","ictv.global=202316404")</f>
        <v>ictv.global=202316404</v>
      </c>
    </row>
    <row r="8835" spans="1:21">
      <c r="A8835">
        <v>8834</v>
      </c>
      <c r="B8835" s="30" t="s">
        <v>1226</v>
      </c>
      <c r="D8835" s="30" t="s">
        <v>2024</v>
      </c>
      <c r="F8835" s="30" t="s">
        <v>2046</v>
      </c>
      <c r="H8835" s="30" t="s">
        <v>2859</v>
      </c>
      <c r="J8835" s="30" t="s">
        <v>2860</v>
      </c>
      <c r="L8835" s="30" t="s">
        <v>2990</v>
      </c>
      <c r="N8835" s="30" t="s">
        <v>15335</v>
      </c>
      <c r="P8835" s="30" t="s">
        <v>15347</v>
      </c>
      <c r="Q8835" t="s">
        <v>621</v>
      </c>
      <c r="R8835" t="s">
        <v>917</v>
      </c>
      <c r="S8835">
        <v>39</v>
      </c>
      <c r="T8835" s="29" t="str">
        <f t="shared" si="374"/>
        <v>2023.001B.Leviviricetes_reorg.zip</v>
      </c>
      <c r="U8835" s="29" t="str">
        <f>HYPERLINK("https://ictv.global/taxonomy/taxondetails?taxnode_id=202316405","ictv.global=202316405")</f>
        <v>ictv.global=202316405</v>
      </c>
    </row>
    <row r="8836" spans="1:21">
      <c r="A8836">
        <v>8835</v>
      </c>
      <c r="B8836" s="30" t="s">
        <v>1226</v>
      </c>
      <c r="D8836" s="30" t="s">
        <v>2024</v>
      </c>
      <c r="F8836" s="30" t="s">
        <v>2046</v>
      </c>
      <c r="H8836" s="30" t="s">
        <v>2859</v>
      </c>
      <c r="J8836" s="30" t="s">
        <v>2860</v>
      </c>
      <c r="L8836" s="30" t="s">
        <v>2990</v>
      </c>
      <c r="N8836" s="30" t="s">
        <v>15335</v>
      </c>
      <c r="P8836" s="30" t="s">
        <v>15348</v>
      </c>
      <c r="Q8836" t="s">
        <v>621</v>
      </c>
      <c r="R8836" t="s">
        <v>918</v>
      </c>
      <c r="S8836">
        <v>39</v>
      </c>
      <c r="T8836" s="29" t="str">
        <f t="shared" si="374"/>
        <v>2023.001B.Leviviricetes_reorg.zip</v>
      </c>
      <c r="U8836" s="29" t="str">
        <f>HYPERLINK("https://ictv.global/taxonomy/taxondetails?taxnode_id=202310276","ictv.global=202310276")</f>
        <v>ictv.global=202310276</v>
      </c>
    </row>
    <row r="8837" spans="1:21">
      <c r="A8837">
        <v>8836</v>
      </c>
      <c r="B8837" s="30" t="s">
        <v>1226</v>
      </c>
      <c r="D8837" s="30" t="s">
        <v>2024</v>
      </c>
      <c r="F8837" s="30" t="s">
        <v>2046</v>
      </c>
      <c r="H8837" s="30" t="s">
        <v>2859</v>
      </c>
      <c r="J8837" s="30" t="s">
        <v>2860</v>
      </c>
      <c r="L8837" s="30" t="s">
        <v>2990</v>
      </c>
      <c r="N8837" s="30" t="s">
        <v>15335</v>
      </c>
      <c r="P8837" s="30" t="s">
        <v>15349</v>
      </c>
      <c r="Q8837" t="s">
        <v>621</v>
      </c>
      <c r="R8837" t="s">
        <v>917</v>
      </c>
      <c r="S8837">
        <v>39</v>
      </c>
      <c r="T8837" s="29" t="str">
        <f t="shared" si="374"/>
        <v>2023.001B.Leviviricetes_reorg.zip</v>
      </c>
      <c r="U8837" s="29" t="str">
        <f>HYPERLINK("https://ictv.global/taxonomy/taxondetails?taxnode_id=202316406","ictv.global=202316406")</f>
        <v>ictv.global=202316406</v>
      </c>
    </row>
    <row r="8838" spans="1:21">
      <c r="A8838">
        <v>8837</v>
      </c>
      <c r="B8838" s="30" t="s">
        <v>1226</v>
      </c>
      <c r="D8838" s="30" t="s">
        <v>2024</v>
      </c>
      <c r="F8838" s="30" t="s">
        <v>2046</v>
      </c>
      <c r="H8838" s="30" t="s">
        <v>2859</v>
      </c>
      <c r="J8838" s="30" t="s">
        <v>2860</v>
      </c>
      <c r="L8838" s="30" t="s">
        <v>2990</v>
      </c>
      <c r="N8838" s="30" t="s">
        <v>15335</v>
      </c>
      <c r="P8838" s="30" t="s">
        <v>15350</v>
      </c>
      <c r="Q8838" t="s">
        <v>621</v>
      </c>
      <c r="R8838" t="s">
        <v>917</v>
      </c>
      <c r="S8838">
        <v>39</v>
      </c>
      <c r="T8838" s="29" t="str">
        <f t="shared" si="374"/>
        <v>2023.001B.Leviviricetes_reorg.zip</v>
      </c>
      <c r="U8838" s="29" t="str">
        <f>HYPERLINK("https://ictv.global/taxonomy/taxondetails?taxnode_id=202316407","ictv.global=202316407")</f>
        <v>ictv.global=202316407</v>
      </c>
    </row>
    <row r="8839" spans="1:21">
      <c r="A8839">
        <v>8838</v>
      </c>
      <c r="B8839" s="30" t="s">
        <v>1226</v>
      </c>
      <c r="D8839" s="30" t="s">
        <v>2024</v>
      </c>
      <c r="F8839" s="30" t="s">
        <v>2046</v>
      </c>
      <c r="H8839" s="30" t="s">
        <v>2859</v>
      </c>
      <c r="J8839" s="30" t="s">
        <v>2860</v>
      </c>
      <c r="L8839" s="30" t="s">
        <v>2990</v>
      </c>
      <c r="N8839" s="30" t="s">
        <v>15335</v>
      </c>
      <c r="P8839" s="30" t="s">
        <v>15351</v>
      </c>
      <c r="Q8839" t="s">
        <v>621</v>
      </c>
      <c r="R8839" t="s">
        <v>917</v>
      </c>
      <c r="S8839">
        <v>39</v>
      </c>
      <c r="T8839" s="29" t="str">
        <f t="shared" si="374"/>
        <v>2023.001B.Leviviricetes_reorg.zip</v>
      </c>
      <c r="U8839" s="29" t="str">
        <f>HYPERLINK("https://ictv.global/taxonomy/taxondetails?taxnode_id=202316408","ictv.global=202316408")</f>
        <v>ictv.global=202316408</v>
      </c>
    </row>
    <row r="8840" spans="1:21">
      <c r="A8840">
        <v>8839</v>
      </c>
      <c r="B8840" s="30" t="s">
        <v>1226</v>
      </c>
      <c r="D8840" s="30" t="s">
        <v>2024</v>
      </c>
      <c r="F8840" s="30" t="s">
        <v>2046</v>
      </c>
      <c r="H8840" s="30" t="s">
        <v>2859</v>
      </c>
      <c r="J8840" s="30" t="s">
        <v>2860</v>
      </c>
      <c r="L8840" s="30" t="s">
        <v>2990</v>
      </c>
      <c r="N8840" s="30" t="s">
        <v>15335</v>
      </c>
      <c r="P8840" s="30" t="s">
        <v>15352</v>
      </c>
      <c r="Q8840" t="s">
        <v>621</v>
      </c>
      <c r="R8840" t="s">
        <v>917</v>
      </c>
      <c r="S8840">
        <v>39</v>
      </c>
      <c r="T8840" s="29" t="str">
        <f t="shared" si="374"/>
        <v>2023.001B.Leviviricetes_reorg.zip</v>
      </c>
      <c r="U8840" s="29" t="str">
        <f>HYPERLINK("https://ictv.global/taxonomy/taxondetails?taxnode_id=202316409","ictv.global=202316409")</f>
        <v>ictv.global=202316409</v>
      </c>
    </row>
    <row r="8841" spans="1:21">
      <c r="A8841">
        <v>8840</v>
      </c>
      <c r="B8841" s="30" t="s">
        <v>1226</v>
      </c>
      <c r="D8841" s="30" t="s">
        <v>2024</v>
      </c>
      <c r="F8841" s="30" t="s">
        <v>2046</v>
      </c>
      <c r="H8841" s="30" t="s">
        <v>2859</v>
      </c>
      <c r="J8841" s="30" t="s">
        <v>2860</v>
      </c>
      <c r="L8841" s="30" t="s">
        <v>2990</v>
      </c>
      <c r="N8841" s="30" t="s">
        <v>15335</v>
      </c>
      <c r="P8841" s="30" t="s">
        <v>15353</v>
      </c>
      <c r="Q8841" t="s">
        <v>621</v>
      </c>
      <c r="R8841" t="s">
        <v>917</v>
      </c>
      <c r="S8841">
        <v>39</v>
      </c>
      <c r="T8841" s="29" t="str">
        <f t="shared" si="374"/>
        <v>2023.001B.Leviviricetes_reorg.zip</v>
      </c>
      <c r="U8841" s="29" t="str">
        <f>HYPERLINK("https://ictv.global/taxonomy/taxondetails?taxnode_id=202316410","ictv.global=202316410")</f>
        <v>ictv.global=202316410</v>
      </c>
    </row>
    <row r="8842" spans="1:21">
      <c r="A8842">
        <v>8841</v>
      </c>
      <c r="B8842" s="30" t="s">
        <v>1226</v>
      </c>
      <c r="D8842" s="30" t="s">
        <v>2024</v>
      </c>
      <c r="F8842" s="30" t="s">
        <v>2046</v>
      </c>
      <c r="H8842" s="30" t="s">
        <v>2859</v>
      </c>
      <c r="J8842" s="30" t="s">
        <v>2860</v>
      </c>
      <c r="L8842" s="30" t="s">
        <v>2990</v>
      </c>
      <c r="N8842" s="30" t="s">
        <v>15354</v>
      </c>
      <c r="P8842" s="30" t="s">
        <v>15355</v>
      </c>
      <c r="Q8842" t="s">
        <v>621</v>
      </c>
      <c r="R8842" t="s">
        <v>917</v>
      </c>
      <c r="S8842">
        <v>39</v>
      </c>
      <c r="T8842" s="29" t="str">
        <f t="shared" si="374"/>
        <v>2023.001B.Leviviricetes_reorg.zip</v>
      </c>
      <c r="U8842" s="29" t="str">
        <f>HYPERLINK("https://ictv.global/taxonomy/taxondetails?taxnode_id=202316411","ictv.global=202316411")</f>
        <v>ictv.global=202316411</v>
      </c>
    </row>
    <row r="8843" spans="1:21">
      <c r="A8843">
        <v>8842</v>
      </c>
      <c r="B8843" s="30" t="s">
        <v>1226</v>
      </c>
      <c r="D8843" s="30" t="s">
        <v>2024</v>
      </c>
      <c r="F8843" s="30" t="s">
        <v>2046</v>
      </c>
      <c r="H8843" s="30" t="s">
        <v>2859</v>
      </c>
      <c r="J8843" s="30" t="s">
        <v>2860</v>
      </c>
      <c r="L8843" s="30" t="s">
        <v>2990</v>
      </c>
      <c r="N8843" s="30" t="s">
        <v>15356</v>
      </c>
      <c r="P8843" s="30" t="s">
        <v>15357</v>
      </c>
      <c r="Q8843" t="s">
        <v>621</v>
      </c>
      <c r="R8843" t="s">
        <v>917</v>
      </c>
      <c r="S8843">
        <v>39</v>
      </c>
      <c r="T8843" s="29" t="str">
        <f t="shared" si="374"/>
        <v>2023.001B.Leviviricetes_reorg.zip</v>
      </c>
      <c r="U8843" s="29" t="str">
        <f>HYPERLINK("https://ictv.global/taxonomy/taxondetails?taxnode_id=202316412","ictv.global=202316412")</f>
        <v>ictv.global=202316412</v>
      </c>
    </row>
    <row r="8844" spans="1:21">
      <c r="A8844">
        <v>8843</v>
      </c>
      <c r="B8844" s="30" t="s">
        <v>1226</v>
      </c>
      <c r="D8844" s="30" t="s">
        <v>2024</v>
      </c>
      <c r="F8844" s="30" t="s">
        <v>2046</v>
      </c>
      <c r="H8844" s="30" t="s">
        <v>2859</v>
      </c>
      <c r="J8844" s="30" t="s">
        <v>2860</v>
      </c>
      <c r="L8844" s="30" t="s">
        <v>2990</v>
      </c>
      <c r="N8844" s="30" t="s">
        <v>15358</v>
      </c>
      <c r="P8844" s="30" t="s">
        <v>15359</v>
      </c>
      <c r="Q8844" t="s">
        <v>621</v>
      </c>
      <c r="R8844" t="s">
        <v>917</v>
      </c>
      <c r="S8844">
        <v>39</v>
      </c>
      <c r="T8844" s="29" t="str">
        <f t="shared" si="374"/>
        <v>2023.001B.Leviviricetes_reorg.zip</v>
      </c>
      <c r="U8844" s="29" t="str">
        <f>HYPERLINK("https://ictv.global/taxonomy/taxondetails?taxnode_id=202316413","ictv.global=202316413")</f>
        <v>ictv.global=202316413</v>
      </c>
    </row>
    <row r="8845" spans="1:21">
      <c r="A8845">
        <v>8844</v>
      </c>
      <c r="B8845" s="30" t="s">
        <v>1226</v>
      </c>
      <c r="D8845" s="30" t="s">
        <v>2024</v>
      </c>
      <c r="F8845" s="30" t="s">
        <v>2046</v>
      </c>
      <c r="H8845" s="30" t="s">
        <v>2859</v>
      </c>
      <c r="J8845" s="30" t="s">
        <v>2860</v>
      </c>
      <c r="L8845" s="30" t="s">
        <v>2990</v>
      </c>
      <c r="N8845" s="30" t="s">
        <v>15358</v>
      </c>
      <c r="P8845" s="30" t="s">
        <v>15360</v>
      </c>
      <c r="Q8845" t="s">
        <v>621</v>
      </c>
      <c r="R8845" t="s">
        <v>917</v>
      </c>
      <c r="S8845">
        <v>39</v>
      </c>
      <c r="T8845" s="29" t="str">
        <f t="shared" si="374"/>
        <v>2023.001B.Leviviricetes_reorg.zip</v>
      </c>
      <c r="U8845" s="29" t="str">
        <f>HYPERLINK("https://ictv.global/taxonomy/taxondetails?taxnode_id=202316414","ictv.global=202316414")</f>
        <v>ictv.global=202316414</v>
      </c>
    </row>
    <row r="8846" spans="1:21">
      <c r="A8846">
        <v>8845</v>
      </c>
      <c r="B8846" s="30" t="s">
        <v>1226</v>
      </c>
      <c r="D8846" s="30" t="s">
        <v>2024</v>
      </c>
      <c r="F8846" s="30" t="s">
        <v>2046</v>
      </c>
      <c r="H8846" s="30" t="s">
        <v>2859</v>
      </c>
      <c r="J8846" s="30" t="s">
        <v>2860</v>
      </c>
      <c r="L8846" s="30" t="s">
        <v>2990</v>
      </c>
      <c r="N8846" s="30" t="s">
        <v>15358</v>
      </c>
      <c r="P8846" s="30" t="s">
        <v>15361</v>
      </c>
      <c r="Q8846" t="s">
        <v>621</v>
      </c>
      <c r="R8846" t="s">
        <v>917</v>
      </c>
      <c r="S8846">
        <v>39</v>
      </c>
      <c r="T8846" s="29" t="str">
        <f t="shared" si="374"/>
        <v>2023.001B.Leviviricetes_reorg.zip</v>
      </c>
      <c r="U8846" s="29" t="str">
        <f>HYPERLINK("https://ictv.global/taxonomy/taxondetails?taxnode_id=202316415","ictv.global=202316415")</f>
        <v>ictv.global=202316415</v>
      </c>
    </row>
    <row r="8847" spans="1:21">
      <c r="A8847">
        <v>8846</v>
      </c>
      <c r="B8847" s="30" t="s">
        <v>1226</v>
      </c>
      <c r="D8847" s="30" t="s">
        <v>2024</v>
      </c>
      <c r="F8847" s="30" t="s">
        <v>2046</v>
      </c>
      <c r="H8847" s="30" t="s">
        <v>2859</v>
      </c>
      <c r="J8847" s="30" t="s">
        <v>2860</v>
      </c>
      <c r="L8847" s="30" t="s">
        <v>2990</v>
      </c>
      <c r="N8847" s="30" t="s">
        <v>15358</v>
      </c>
      <c r="P8847" s="30" t="s">
        <v>15362</v>
      </c>
      <c r="Q8847" t="s">
        <v>621</v>
      </c>
      <c r="R8847" t="s">
        <v>917</v>
      </c>
      <c r="S8847">
        <v>39</v>
      </c>
      <c r="T8847" s="29" t="str">
        <f t="shared" si="374"/>
        <v>2023.001B.Leviviricetes_reorg.zip</v>
      </c>
      <c r="U8847" s="29" t="str">
        <f>HYPERLINK("https://ictv.global/taxonomy/taxondetails?taxnode_id=202316416","ictv.global=202316416")</f>
        <v>ictv.global=202316416</v>
      </c>
    </row>
    <row r="8848" spans="1:21">
      <c r="A8848">
        <v>8847</v>
      </c>
      <c r="B8848" s="30" t="s">
        <v>1226</v>
      </c>
      <c r="D8848" s="30" t="s">
        <v>2024</v>
      </c>
      <c r="F8848" s="30" t="s">
        <v>2046</v>
      </c>
      <c r="H8848" s="30" t="s">
        <v>2859</v>
      </c>
      <c r="J8848" s="30" t="s">
        <v>2860</v>
      </c>
      <c r="L8848" s="30" t="s">
        <v>2990</v>
      </c>
      <c r="N8848" s="30" t="s">
        <v>15358</v>
      </c>
      <c r="P8848" s="30" t="s">
        <v>15363</v>
      </c>
      <c r="Q8848" t="s">
        <v>621</v>
      </c>
      <c r="R8848" t="s">
        <v>917</v>
      </c>
      <c r="S8848">
        <v>39</v>
      </c>
      <c r="T8848" s="29" t="str">
        <f t="shared" si="374"/>
        <v>2023.001B.Leviviricetes_reorg.zip</v>
      </c>
      <c r="U8848" s="29" t="str">
        <f>HYPERLINK("https://ictv.global/taxonomy/taxondetails?taxnode_id=202316417","ictv.global=202316417")</f>
        <v>ictv.global=202316417</v>
      </c>
    </row>
    <row r="8849" spans="1:21">
      <c r="A8849">
        <v>8848</v>
      </c>
      <c r="B8849" s="30" t="s">
        <v>1226</v>
      </c>
      <c r="D8849" s="30" t="s">
        <v>2024</v>
      </c>
      <c r="F8849" s="30" t="s">
        <v>2046</v>
      </c>
      <c r="H8849" s="30" t="s">
        <v>2859</v>
      </c>
      <c r="J8849" s="30" t="s">
        <v>2860</v>
      </c>
      <c r="L8849" s="30" t="s">
        <v>2990</v>
      </c>
      <c r="N8849" s="30" t="s">
        <v>15358</v>
      </c>
      <c r="P8849" s="30" t="s">
        <v>15364</v>
      </c>
      <c r="Q8849" t="s">
        <v>621</v>
      </c>
      <c r="R8849" t="s">
        <v>917</v>
      </c>
      <c r="S8849">
        <v>39</v>
      </c>
      <c r="T8849" s="29" t="str">
        <f t="shared" si="374"/>
        <v>2023.001B.Leviviricetes_reorg.zip</v>
      </c>
      <c r="U8849" s="29" t="str">
        <f>HYPERLINK("https://ictv.global/taxonomy/taxondetails?taxnode_id=202316418","ictv.global=202316418")</f>
        <v>ictv.global=202316418</v>
      </c>
    </row>
    <row r="8850" spans="1:21">
      <c r="A8850">
        <v>8849</v>
      </c>
      <c r="B8850" s="30" t="s">
        <v>1226</v>
      </c>
      <c r="D8850" s="30" t="s">
        <v>2024</v>
      </c>
      <c r="F8850" s="30" t="s">
        <v>2046</v>
      </c>
      <c r="H8850" s="30" t="s">
        <v>2859</v>
      </c>
      <c r="J8850" s="30" t="s">
        <v>2860</v>
      </c>
      <c r="L8850" s="30" t="s">
        <v>2990</v>
      </c>
      <c r="N8850" s="30" t="s">
        <v>15365</v>
      </c>
      <c r="P8850" s="30" t="s">
        <v>15366</v>
      </c>
      <c r="Q8850" t="s">
        <v>621</v>
      </c>
      <c r="R8850" t="s">
        <v>917</v>
      </c>
      <c r="S8850">
        <v>39</v>
      </c>
      <c r="T8850" s="29" t="str">
        <f t="shared" si="374"/>
        <v>2023.001B.Leviviricetes_reorg.zip</v>
      </c>
      <c r="U8850" s="29" t="str">
        <f>HYPERLINK("https://ictv.global/taxonomy/taxondetails?taxnode_id=202316419","ictv.global=202316419")</f>
        <v>ictv.global=202316419</v>
      </c>
    </row>
    <row r="8851" spans="1:21">
      <c r="A8851">
        <v>8850</v>
      </c>
      <c r="B8851" s="30" t="s">
        <v>1226</v>
      </c>
      <c r="D8851" s="30" t="s">
        <v>2024</v>
      </c>
      <c r="F8851" s="30" t="s">
        <v>2046</v>
      </c>
      <c r="H8851" s="30" t="s">
        <v>2859</v>
      </c>
      <c r="J8851" s="30" t="s">
        <v>2860</v>
      </c>
      <c r="L8851" s="30" t="s">
        <v>2990</v>
      </c>
      <c r="N8851" s="30" t="s">
        <v>15365</v>
      </c>
      <c r="P8851" s="30" t="s">
        <v>15367</v>
      </c>
      <c r="Q8851" t="s">
        <v>621</v>
      </c>
      <c r="R8851" t="s">
        <v>917</v>
      </c>
      <c r="S8851">
        <v>39</v>
      </c>
      <c r="T8851" s="29" t="str">
        <f t="shared" si="374"/>
        <v>2023.001B.Leviviricetes_reorg.zip</v>
      </c>
      <c r="U8851" s="29" t="str">
        <f>HYPERLINK("https://ictv.global/taxonomy/taxondetails?taxnode_id=202316420","ictv.global=202316420")</f>
        <v>ictv.global=202316420</v>
      </c>
    </row>
    <row r="8852" spans="1:21">
      <c r="A8852">
        <v>8851</v>
      </c>
      <c r="B8852" s="30" t="s">
        <v>1226</v>
      </c>
      <c r="D8852" s="30" t="s">
        <v>2024</v>
      </c>
      <c r="F8852" s="30" t="s">
        <v>2046</v>
      </c>
      <c r="H8852" s="30" t="s">
        <v>2859</v>
      </c>
      <c r="J8852" s="30" t="s">
        <v>2860</v>
      </c>
      <c r="L8852" s="30" t="s">
        <v>2990</v>
      </c>
      <c r="N8852" s="30" t="s">
        <v>15365</v>
      </c>
      <c r="P8852" s="30" t="s">
        <v>15368</v>
      </c>
      <c r="Q8852" t="s">
        <v>621</v>
      </c>
      <c r="R8852" t="s">
        <v>917</v>
      </c>
      <c r="S8852">
        <v>39</v>
      </c>
      <c r="T8852" s="29" t="str">
        <f t="shared" si="374"/>
        <v>2023.001B.Leviviricetes_reorg.zip</v>
      </c>
      <c r="U8852" s="29" t="str">
        <f>HYPERLINK("https://ictv.global/taxonomy/taxondetails?taxnode_id=202316421","ictv.global=202316421")</f>
        <v>ictv.global=202316421</v>
      </c>
    </row>
    <row r="8853" spans="1:21">
      <c r="A8853">
        <v>8852</v>
      </c>
      <c r="B8853" s="30" t="s">
        <v>1226</v>
      </c>
      <c r="D8853" s="30" t="s">
        <v>2024</v>
      </c>
      <c r="F8853" s="30" t="s">
        <v>2046</v>
      </c>
      <c r="H8853" s="30" t="s">
        <v>2859</v>
      </c>
      <c r="J8853" s="30" t="s">
        <v>2860</v>
      </c>
      <c r="L8853" s="30" t="s">
        <v>2990</v>
      </c>
      <c r="N8853" s="30" t="s">
        <v>15365</v>
      </c>
      <c r="P8853" s="30" t="s">
        <v>15369</v>
      </c>
      <c r="Q8853" t="s">
        <v>621</v>
      </c>
      <c r="R8853" t="s">
        <v>917</v>
      </c>
      <c r="S8853">
        <v>39</v>
      </c>
      <c r="T8853" s="29" t="str">
        <f t="shared" si="374"/>
        <v>2023.001B.Leviviricetes_reorg.zip</v>
      </c>
      <c r="U8853" s="29" t="str">
        <f>HYPERLINK("https://ictv.global/taxonomy/taxondetails?taxnode_id=202316422","ictv.global=202316422")</f>
        <v>ictv.global=202316422</v>
      </c>
    </row>
    <row r="8854" spans="1:21">
      <c r="A8854">
        <v>8853</v>
      </c>
      <c r="B8854" s="30" t="s">
        <v>1226</v>
      </c>
      <c r="D8854" s="30" t="s">
        <v>2024</v>
      </c>
      <c r="F8854" s="30" t="s">
        <v>2046</v>
      </c>
      <c r="H8854" s="30" t="s">
        <v>2859</v>
      </c>
      <c r="J8854" s="30" t="s">
        <v>2860</v>
      </c>
      <c r="L8854" s="30" t="s">
        <v>2990</v>
      </c>
      <c r="N8854" s="30" t="s">
        <v>15365</v>
      </c>
      <c r="P8854" s="30" t="s">
        <v>15370</v>
      </c>
      <c r="Q8854" t="s">
        <v>621</v>
      </c>
      <c r="R8854" t="s">
        <v>917</v>
      </c>
      <c r="S8854">
        <v>39</v>
      </c>
      <c r="T8854" s="29" t="str">
        <f t="shared" si="374"/>
        <v>2023.001B.Leviviricetes_reorg.zip</v>
      </c>
      <c r="U8854" s="29" t="str">
        <f>HYPERLINK("https://ictv.global/taxonomy/taxondetails?taxnode_id=202316423","ictv.global=202316423")</f>
        <v>ictv.global=202316423</v>
      </c>
    </row>
    <row r="8855" spans="1:21">
      <c r="A8855">
        <v>8854</v>
      </c>
      <c r="B8855" s="30" t="s">
        <v>1226</v>
      </c>
      <c r="D8855" s="30" t="s">
        <v>2024</v>
      </c>
      <c r="F8855" s="30" t="s">
        <v>2046</v>
      </c>
      <c r="H8855" s="30" t="s">
        <v>2859</v>
      </c>
      <c r="J8855" s="30" t="s">
        <v>2860</v>
      </c>
      <c r="L8855" s="30" t="s">
        <v>2990</v>
      </c>
      <c r="N8855" s="30" t="s">
        <v>15365</v>
      </c>
      <c r="P8855" s="30" t="s">
        <v>15371</v>
      </c>
      <c r="Q8855" t="s">
        <v>621</v>
      </c>
      <c r="R8855" t="s">
        <v>917</v>
      </c>
      <c r="S8855">
        <v>39</v>
      </c>
      <c r="T8855" s="29" t="str">
        <f t="shared" si="374"/>
        <v>2023.001B.Leviviricetes_reorg.zip</v>
      </c>
      <c r="U8855" s="29" t="str">
        <f>HYPERLINK("https://ictv.global/taxonomy/taxondetails?taxnode_id=202316424","ictv.global=202316424")</f>
        <v>ictv.global=202316424</v>
      </c>
    </row>
    <row r="8856" spans="1:21">
      <c r="A8856">
        <v>8855</v>
      </c>
      <c r="B8856" s="30" t="s">
        <v>1226</v>
      </c>
      <c r="D8856" s="30" t="s">
        <v>2024</v>
      </c>
      <c r="F8856" s="30" t="s">
        <v>2046</v>
      </c>
      <c r="H8856" s="30" t="s">
        <v>2859</v>
      </c>
      <c r="J8856" s="30" t="s">
        <v>2860</v>
      </c>
      <c r="L8856" s="30" t="s">
        <v>2990</v>
      </c>
      <c r="N8856" s="30" t="s">
        <v>15365</v>
      </c>
      <c r="P8856" s="30" t="s">
        <v>15372</v>
      </c>
      <c r="Q8856" t="s">
        <v>621</v>
      </c>
      <c r="R8856" t="s">
        <v>917</v>
      </c>
      <c r="S8856">
        <v>39</v>
      </c>
      <c r="T8856" s="29" t="str">
        <f t="shared" si="374"/>
        <v>2023.001B.Leviviricetes_reorg.zip</v>
      </c>
      <c r="U8856" s="29" t="str">
        <f>HYPERLINK("https://ictv.global/taxonomy/taxondetails?taxnode_id=202316425","ictv.global=202316425")</f>
        <v>ictv.global=202316425</v>
      </c>
    </row>
    <row r="8857" spans="1:21">
      <c r="A8857">
        <v>8856</v>
      </c>
      <c r="B8857" s="30" t="s">
        <v>1226</v>
      </c>
      <c r="D8857" s="30" t="s">
        <v>2024</v>
      </c>
      <c r="F8857" s="30" t="s">
        <v>2046</v>
      </c>
      <c r="H8857" s="30" t="s">
        <v>2859</v>
      </c>
      <c r="J8857" s="30" t="s">
        <v>2860</v>
      </c>
      <c r="L8857" s="30" t="s">
        <v>2990</v>
      </c>
      <c r="N8857" s="30" t="s">
        <v>15365</v>
      </c>
      <c r="P8857" s="30" t="s">
        <v>15373</v>
      </c>
      <c r="Q8857" t="s">
        <v>621</v>
      </c>
      <c r="R8857" t="s">
        <v>917</v>
      </c>
      <c r="S8857">
        <v>39</v>
      </c>
      <c r="T8857" s="29" t="str">
        <f t="shared" si="374"/>
        <v>2023.001B.Leviviricetes_reorg.zip</v>
      </c>
      <c r="U8857" s="29" t="str">
        <f>HYPERLINK("https://ictv.global/taxonomy/taxondetails?taxnode_id=202316426","ictv.global=202316426")</f>
        <v>ictv.global=202316426</v>
      </c>
    </row>
    <row r="8858" spans="1:21">
      <c r="A8858">
        <v>8857</v>
      </c>
      <c r="B8858" s="30" t="s">
        <v>1226</v>
      </c>
      <c r="D8858" s="30" t="s">
        <v>2024</v>
      </c>
      <c r="F8858" s="30" t="s">
        <v>2046</v>
      </c>
      <c r="H8858" s="30" t="s">
        <v>2859</v>
      </c>
      <c r="J8858" s="30" t="s">
        <v>2860</v>
      </c>
      <c r="L8858" s="30" t="s">
        <v>2990</v>
      </c>
      <c r="N8858" s="30" t="s">
        <v>15365</v>
      </c>
      <c r="P8858" s="30" t="s">
        <v>15374</v>
      </c>
      <c r="Q8858" t="s">
        <v>621</v>
      </c>
      <c r="R8858" t="s">
        <v>917</v>
      </c>
      <c r="S8858">
        <v>39</v>
      </c>
      <c r="T8858" s="29" t="str">
        <f t="shared" si="374"/>
        <v>2023.001B.Leviviricetes_reorg.zip</v>
      </c>
      <c r="U8858" s="29" t="str">
        <f>HYPERLINK("https://ictv.global/taxonomy/taxondetails?taxnode_id=202316427","ictv.global=202316427")</f>
        <v>ictv.global=202316427</v>
      </c>
    </row>
    <row r="8859" spans="1:21">
      <c r="A8859">
        <v>8858</v>
      </c>
      <c r="B8859" s="30" t="s">
        <v>1226</v>
      </c>
      <c r="D8859" s="30" t="s">
        <v>2024</v>
      </c>
      <c r="F8859" s="30" t="s">
        <v>2046</v>
      </c>
      <c r="H8859" s="30" t="s">
        <v>2859</v>
      </c>
      <c r="J8859" s="30" t="s">
        <v>2860</v>
      </c>
      <c r="L8859" s="30" t="s">
        <v>2990</v>
      </c>
      <c r="N8859" s="30" t="s">
        <v>15365</v>
      </c>
      <c r="P8859" s="30" t="s">
        <v>15375</v>
      </c>
      <c r="Q8859" t="s">
        <v>621</v>
      </c>
      <c r="R8859" t="s">
        <v>917</v>
      </c>
      <c r="S8859">
        <v>39</v>
      </c>
      <c r="T8859" s="29" t="str">
        <f t="shared" si="374"/>
        <v>2023.001B.Leviviricetes_reorg.zip</v>
      </c>
      <c r="U8859" s="29" t="str">
        <f>HYPERLINK("https://ictv.global/taxonomy/taxondetails?taxnode_id=202316428","ictv.global=202316428")</f>
        <v>ictv.global=202316428</v>
      </c>
    </row>
    <row r="8860" spans="1:21">
      <c r="A8860">
        <v>8859</v>
      </c>
      <c r="B8860" s="30" t="s">
        <v>1226</v>
      </c>
      <c r="D8860" s="30" t="s">
        <v>2024</v>
      </c>
      <c r="F8860" s="30" t="s">
        <v>2046</v>
      </c>
      <c r="H8860" s="30" t="s">
        <v>2859</v>
      </c>
      <c r="J8860" s="30" t="s">
        <v>2860</v>
      </c>
      <c r="L8860" s="30" t="s">
        <v>2990</v>
      </c>
      <c r="N8860" s="30" t="s">
        <v>15365</v>
      </c>
      <c r="P8860" s="30" t="s">
        <v>15376</v>
      </c>
      <c r="Q8860" t="s">
        <v>621</v>
      </c>
      <c r="R8860" t="s">
        <v>917</v>
      </c>
      <c r="S8860">
        <v>39</v>
      </c>
      <c r="T8860" s="29" t="str">
        <f t="shared" si="374"/>
        <v>2023.001B.Leviviricetes_reorg.zip</v>
      </c>
      <c r="U8860" s="29" t="str">
        <f>HYPERLINK("https://ictv.global/taxonomy/taxondetails?taxnode_id=202316429","ictv.global=202316429")</f>
        <v>ictv.global=202316429</v>
      </c>
    </row>
    <row r="8861" spans="1:21">
      <c r="A8861">
        <v>8860</v>
      </c>
      <c r="B8861" s="30" t="s">
        <v>1226</v>
      </c>
      <c r="D8861" s="30" t="s">
        <v>2024</v>
      </c>
      <c r="F8861" s="30" t="s">
        <v>2046</v>
      </c>
      <c r="H8861" s="30" t="s">
        <v>2859</v>
      </c>
      <c r="J8861" s="30" t="s">
        <v>2860</v>
      </c>
      <c r="L8861" s="30" t="s">
        <v>2990</v>
      </c>
      <c r="N8861" s="30" t="s">
        <v>15365</v>
      </c>
      <c r="P8861" s="30" t="s">
        <v>15377</v>
      </c>
      <c r="Q8861" t="s">
        <v>621</v>
      </c>
      <c r="R8861" t="s">
        <v>917</v>
      </c>
      <c r="S8861">
        <v>39</v>
      </c>
      <c r="T8861" s="29" t="str">
        <f t="shared" si="374"/>
        <v>2023.001B.Leviviricetes_reorg.zip</v>
      </c>
      <c r="U8861" s="29" t="str">
        <f>HYPERLINK("https://ictv.global/taxonomy/taxondetails?taxnode_id=202316430","ictv.global=202316430")</f>
        <v>ictv.global=202316430</v>
      </c>
    </row>
    <row r="8862" spans="1:21">
      <c r="A8862">
        <v>8861</v>
      </c>
      <c r="B8862" s="30" t="s">
        <v>1226</v>
      </c>
      <c r="D8862" s="30" t="s">
        <v>2024</v>
      </c>
      <c r="F8862" s="30" t="s">
        <v>2046</v>
      </c>
      <c r="H8862" s="30" t="s">
        <v>2859</v>
      </c>
      <c r="J8862" s="30" t="s">
        <v>2860</v>
      </c>
      <c r="L8862" s="30" t="s">
        <v>2990</v>
      </c>
      <c r="N8862" s="30" t="s">
        <v>3161</v>
      </c>
      <c r="P8862" s="30" t="s">
        <v>3162</v>
      </c>
      <c r="Q8862" t="s">
        <v>621</v>
      </c>
      <c r="R8862" t="s">
        <v>917</v>
      </c>
      <c r="S8862">
        <v>36</v>
      </c>
      <c r="T8862" s="29" t="str">
        <f>HYPERLINK("https://ictv.global/ictv/proposals/2020.095B.R.Leviviricetes.zip","2020.095B.R.Leviviricetes.zip")</f>
        <v>2020.095B.R.Leviviricetes.zip</v>
      </c>
      <c r="U8862" s="29" t="str">
        <f>HYPERLINK("https://ictv.global/taxonomy/taxondetails?taxnode_id=202310437","ictv.global=202310437")</f>
        <v>ictv.global=202310437</v>
      </c>
    </row>
    <row r="8863" spans="1:21">
      <c r="A8863">
        <v>8862</v>
      </c>
      <c r="B8863" s="30" t="s">
        <v>1226</v>
      </c>
      <c r="D8863" s="30" t="s">
        <v>2024</v>
      </c>
      <c r="F8863" s="30" t="s">
        <v>2046</v>
      </c>
      <c r="H8863" s="30" t="s">
        <v>2859</v>
      </c>
      <c r="J8863" s="30" t="s">
        <v>2860</v>
      </c>
      <c r="L8863" s="30" t="s">
        <v>2990</v>
      </c>
      <c r="N8863" s="30" t="s">
        <v>15378</v>
      </c>
      <c r="P8863" s="30" t="s">
        <v>15379</v>
      </c>
      <c r="Q8863" t="s">
        <v>621</v>
      </c>
      <c r="R8863" t="s">
        <v>917</v>
      </c>
      <c r="S8863">
        <v>39</v>
      </c>
      <c r="T8863" s="29" t="str">
        <f t="shared" ref="T8863:T8886" si="375">HYPERLINK("https://ictv.global/ictv/proposals/2023.001B.Leviviricetes_reorg.zip","2023.001B.Leviviricetes_reorg.zip")</f>
        <v>2023.001B.Leviviricetes_reorg.zip</v>
      </c>
      <c r="U8863" s="29" t="str">
        <f>HYPERLINK("https://ictv.global/taxonomy/taxondetails?taxnode_id=202316431","ictv.global=202316431")</f>
        <v>ictv.global=202316431</v>
      </c>
    </row>
    <row r="8864" spans="1:21">
      <c r="A8864">
        <v>8863</v>
      </c>
      <c r="B8864" s="30" t="s">
        <v>1226</v>
      </c>
      <c r="D8864" s="30" t="s">
        <v>2024</v>
      </c>
      <c r="F8864" s="30" t="s">
        <v>2046</v>
      </c>
      <c r="H8864" s="30" t="s">
        <v>2859</v>
      </c>
      <c r="J8864" s="30" t="s">
        <v>2860</v>
      </c>
      <c r="L8864" s="30" t="s">
        <v>2990</v>
      </c>
      <c r="N8864" s="30" t="s">
        <v>15380</v>
      </c>
      <c r="P8864" s="30" t="s">
        <v>15381</v>
      </c>
      <c r="Q8864" t="s">
        <v>621</v>
      </c>
      <c r="R8864" t="s">
        <v>917</v>
      </c>
      <c r="S8864">
        <v>39</v>
      </c>
      <c r="T8864" s="29" t="str">
        <f t="shared" si="375"/>
        <v>2023.001B.Leviviricetes_reorg.zip</v>
      </c>
      <c r="U8864" s="29" t="str">
        <f>HYPERLINK("https://ictv.global/taxonomy/taxondetails?taxnode_id=202316432","ictv.global=202316432")</f>
        <v>ictv.global=202316432</v>
      </c>
    </row>
    <row r="8865" spans="1:21">
      <c r="A8865">
        <v>8864</v>
      </c>
      <c r="B8865" s="30" t="s">
        <v>1226</v>
      </c>
      <c r="D8865" s="30" t="s">
        <v>2024</v>
      </c>
      <c r="F8865" s="30" t="s">
        <v>2046</v>
      </c>
      <c r="H8865" s="30" t="s">
        <v>2859</v>
      </c>
      <c r="J8865" s="30" t="s">
        <v>2860</v>
      </c>
      <c r="L8865" s="30" t="s">
        <v>2990</v>
      </c>
      <c r="N8865" s="30" t="s">
        <v>15380</v>
      </c>
      <c r="P8865" s="30" t="s">
        <v>15382</v>
      </c>
      <c r="Q8865" t="s">
        <v>621</v>
      </c>
      <c r="R8865" t="s">
        <v>918</v>
      </c>
      <c r="S8865">
        <v>39</v>
      </c>
      <c r="T8865" s="29" t="str">
        <f t="shared" si="375"/>
        <v>2023.001B.Leviviricetes_reorg.zip</v>
      </c>
      <c r="U8865" s="29" t="str">
        <f>HYPERLINK("https://ictv.global/taxonomy/taxondetails?taxnode_id=202310481","ictv.global=202310481")</f>
        <v>ictv.global=202310481</v>
      </c>
    </row>
    <row r="8866" spans="1:21">
      <c r="A8866">
        <v>8865</v>
      </c>
      <c r="B8866" s="30" t="s">
        <v>1226</v>
      </c>
      <c r="D8866" s="30" t="s">
        <v>2024</v>
      </c>
      <c r="F8866" s="30" t="s">
        <v>2046</v>
      </c>
      <c r="H8866" s="30" t="s">
        <v>2859</v>
      </c>
      <c r="J8866" s="30" t="s">
        <v>2860</v>
      </c>
      <c r="L8866" s="30" t="s">
        <v>2990</v>
      </c>
      <c r="N8866" s="30" t="s">
        <v>15380</v>
      </c>
      <c r="P8866" s="30" t="s">
        <v>15383</v>
      </c>
      <c r="Q8866" t="s">
        <v>621</v>
      </c>
      <c r="R8866" t="s">
        <v>918</v>
      </c>
      <c r="S8866">
        <v>39</v>
      </c>
      <c r="T8866" s="29" t="str">
        <f t="shared" si="375"/>
        <v>2023.001B.Leviviricetes_reorg.zip</v>
      </c>
      <c r="U8866" s="29" t="str">
        <f>HYPERLINK("https://ictv.global/taxonomy/taxondetails?taxnode_id=202310484","ictv.global=202310484")</f>
        <v>ictv.global=202310484</v>
      </c>
    </row>
    <row r="8867" spans="1:21">
      <c r="A8867">
        <v>8866</v>
      </c>
      <c r="B8867" s="30" t="s">
        <v>1226</v>
      </c>
      <c r="D8867" s="30" t="s">
        <v>2024</v>
      </c>
      <c r="F8867" s="30" t="s">
        <v>2046</v>
      </c>
      <c r="H8867" s="30" t="s">
        <v>2859</v>
      </c>
      <c r="J8867" s="30" t="s">
        <v>2860</v>
      </c>
      <c r="L8867" s="30" t="s">
        <v>2990</v>
      </c>
      <c r="N8867" s="30" t="s">
        <v>15380</v>
      </c>
      <c r="P8867" s="30" t="s">
        <v>15384</v>
      </c>
      <c r="Q8867" t="s">
        <v>621</v>
      </c>
      <c r="R8867" t="s">
        <v>918</v>
      </c>
      <c r="S8867">
        <v>39</v>
      </c>
      <c r="T8867" s="29" t="str">
        <f t="shared" si="375"/>
        <v>2023.001B.Leviviricetes_reorg.zip</v>
      </c>
      <c r="U8867" s="29" t="str">
        <f>HYPERLINK("https://ictv.global/taxonomy/taxondetails?taxnode_id=202310485","ictv.global=202310485")</f>
        <v>ictv.global=202310485</v>
      </c>
    </row>
    <row r="8868" spans="1:21">
      <c r="A8868">
        <v>8867</v>
      </c>
      <c r="B8868" s="30" t="s">
        <v>1226</v>
      </c>
      <c r="D8868" s="30" t="s">
        <v>2024</v>
      </c>
      <c r="F8868" s="30" t="s">
        <v>2046</v>
      </c>
      <c r="H8868" s="30" t="s">
        <v>2859</v>
      </c>
      <c r="J8868" s="30" t="s">
        <v>2860</v>
      </c>
      <c r="L8868" s="30" t="s">
        <v>2990</v>
      </c>
      <c r="N8868" s="30" t="s">
        <v>15380</v>
      </c>
      <c r="P8868" s="30" t="s">
        <v>15385</v>
      </c>
      <c r="Q8868" t="s">
        <v>621</v>
      </c>
      <c r="R8868" t="s">
        <v>917</v>
      </c>
      <c r="S8868">
        <v>39</v>
      </c>
      <c r="T8868" s="29" t="str">
        <f t="shared" si="375"/>
        <v>2023.001B.Leviviricetes_reorg.zip</v>
      </c>
      <c r="U8868" s="29" t="str">
        <f>HYPERLINK("https://ictv.global/taxonomy/taxondetails?taxnode_id=202316433","ictv.global=202316433")</f>
        <v>ictv.global=202316433</v>
      </c>
    </row>
    <row r="8869" spans="1:21">
      <c r="A8869">
        <v>8868</v>
      </c>
      <c r="B8869" s="30" t="s">
        <v>1226</v>
      </c>
      <c r="D8869" s="30" t="s">
        <v>2024</v>
      </c>
      <c r="F8869" s="30" t="s">
        <v>2046</v>
      </c>
      <c r="H8869" s="30" t="s">
        <v>2859</v>
      </c>
      <c r="J8869" s="30" t="s">
        <v>2860</v>
      </c>
      <c r="L8869" s="30" t="s">
        <v>2990</v>
      </c>
      <c r="N8869" s="30" t="s">
        <v>15380</v>
      </c>
      <c r="P8869" s="30" t="s">
        <v>15386</v>
      </c>
      <c r="Q8869" t="s">
        <v>621</v>
      </c>
      <c r="R8869" t="s">
        <v>917</v>
      </c>
      <c r="S8869">
        <v>39</v>
      </c>
      <c r="T8869" s="29" t="str">
        <f t="shared" si="375"/>
        <v>2023.001B.Leviviricetes_reorg.zip</v>
      </c>
      <c r="U8869" s="29" t="str">
        <f>HYPERLINK("https://ictv.global/taxonomy/taxondetails?taxnode_id=202316434","ictv.global=202316434")</f>
        <v>ictv.global=202316434</v>
      </c>
    </row>
    <row r="8870" spans="1:21">
      <c r="A8870">
        <v>8869</v>
      </c>
      <c r="B8870" s="30" t="s">
        <v>1226</v>
      </c>
      <c r="D8870" s="30" t="s">
        <v>2024</v>
      </c>
      <c r="F8870" s="30" t="s">
        <v>2046</v>
      </c>
      <c r="H8870" s="30" t="s">
        <v>2859</v>
      </c>
      <c r="J8870" s="30" t="s">
        <v>2860</v>
      </c>
      <c r="L8870" s="30" t="s">
        <v>2990</v>
      </c>
      <c r="N8870" s="30" t="s">
        <v>15380</v>
      </c>
      <c r="P8870" s="30" t="s">
        <v>15387</v>
      </c>
      <c r="Q8870" t="s">
        <v>621</v>
      </c>
      <c r="R8870" t="s">
        <v>917</v>
      </c>
      <c r="S8870">
        <v>39</v>
      </c>
      <c r="T8870" s="29" t="str">
        <f t="shared" si="375"/>
        <v>2023.001B.Leviviricetes_reorg.zip</v>
      </c>
      <c r="U8870" s="29" t="str">
        <f>HYPERLINK("https://ictv.global/taxonomy/taxondetails?taxnode_id=202316435","ictv.global=202316435")</f>
        <v>ictv.global=202316435</v>
      </c>
    </row>
    <row r="8871" spans="1:21">
      <c r="A8871">
        <v>8870</v>
      </c>
      <c r="B8871" s="30" t="s">
        <v>1226</v>
      </c>
      <c r="D8871" s="30" t="s">
        <v>2024</v>
      </c>
      <c r="F8871" s="30" t="s">
        <v>2046</v>
      </c>
      <c r="H8871" s="30" t="s">
        <v>2859</v>
      </c>
      <c r="J8871" s="30" t="s">
        <v>2860</v>
      </c>
      <c r="L8871" s="30" t="s">
        <v>2990</v>
      </c>
      <c r="N8871" s="30" t="s">
        <v>15380</v>
      </c>
      <c r="P8871" s="30" t="s">
        <v>15388</v>
      </c>
      <c r="Q8871" t="s">
        <v>621</v>
      </c>
      <c r="R8871" t="s">
        <v>917</v>
      </c>
      <c r="S8871">
        <v>39</v>
      </c>
      <c r="T8871" s="29" t="str">
        <f t="shared" si="375"/>
        <v>2023.001B.Leviviricetes_reorg.zip</v>
      </c>
      <c r="U8871" s="29" t="str">
        <f>HYPERLINK("https://ictv.global/taxonomy/taxondetails?taxnode_id=202316436","ictv.global=202316436")</f>
        <v>ictv.global=202316436</v>
      </c>
    </row>
    <row r="8872" spans="1:21">
      <c r="A8872">
        <v>8871</v>
      </c>
      <c r="B8872" s="30" t="s">
        <v>1226</v>
      </c>
      <c r="D8872" s="30" t="s">
        <v>2024</v>
      </c>
      <c r="F8872" s="30" t="s">
        <v>2046</v>
      </c>
      <c r="H8872" s="30" t="s">
        <v>2859</v>
      </c>
      <c r="J8872" s="30" t="s">
        <v>2860</v>
      </c>
      <c r="L8872" s="30" t="s">
        <v>2990</v>
      </c>
      <c r="N8872" s="30" t="s">
        <v>15389</v>
      </c>
      <c r="P8872" s="30" t="s">
        <v>15390</v>
      </c>
      <c r="Q8872" t="s">
        <v>621</v>
      </c>
      <c r="R8872" t="s">
        <v>917</v>
      </c>
      <c r="S8872">
        <v>39</v>
      </c>
      <c r="T8872" s="29" t="str">
        <f t="shared" si="375"/>
        <v>2023.001B.Leviviricetes_reorg.zip</v>
      </c>
      <c r="U8872" s="29" t="str">
        <f>HYPERLINK("https://ictv.global/taxonomy/taxondetails?taxnode_id=202316437","ictv.global=202316437")</f>
        <v>ictv.global=202316437</v>
      </c>
    </row>
    <row r="8873" spans="1:21">
      <c r="A8873">
        <v>8872</v>
      </c>
      <c r="B8873" s="30" t="s">
        <v>1226</v>
      </c>
      <c r="D8873" s="30" t="s">
        <v>2024</v>
      </c>
      <c r="F8873" s="30" t="s">
        <v>2046</v>
      </c>
      <c r="H8873" s="30" t="s">
        <v>2859</v>
      </c>
      <c r="J8873" s="30" t="s">
        <v>2860</v>
      </c>
      <c r="L8873" s="30" t="s">
        <v>2990</v>
      </c>
      <c r="N8873" s="30" t="s">
        <v>15391</v>
      </c>
      <c r="P8873" s="30" t="s">
        <v>15392</v>
      </c>
      <c r="Q8873" t="s">
        <v>621</v>
      </c>
      <c r="R8873" t="s">
        <v>917</v>
      </c>
      <c r="S8873">
        <v>39</v>
      </c>
      <c r="T8873" s="29" t="str">
        <f t="shared" si="375"/>
        <v>2023.001B.Leviviricetes_reorg.zip</v>
      </c>
      <c r="U8873" s="29" t="str">
        <f>HYPERLINK("https://ictv.global/taxonomy/taxondetails?taxnode_id=202316438","ictv.global=202316438")</f>
        <v>ictv.global=202316438</v>
      </c>
    </row>
    <row r="8874" spans="1:21">
      <c r="A8874">
        <v>8873</v>
      </c>
      <c r="B8874" s="30" t="s">
        <v>1226</v>
      </c>
      <c r="D8874" s="30" t="s">
        <v>2024</v>
      </c>
      <c r="F8874" s="30" t="s">
        <v>2046</v>
      </c>
      <c r="H8874" s="30" t="s">
        <v>2859</v>
      </c>
      <c r="J8874" s="30" t="s">
        <v>2860</v>
      </c>
      <c r="L8874" s="30" t="s">
        <v>2990</v>
      </c>
      <c r="N8874" s="30" t="s">
        <v>15393</v>
      </c>
      <c r="P8874" s="30" t="s">
        <v>15394</v>
      </c>
      <c r="Q8874" t="s">
        <v>621</v>
      </c>
      <c r="R8874" t="s">
        <v>917</v>
      </c>
      <c r="S8874">
        <v>39</v>
      </c>
      <c r="T8874" s="29" t="str">
        <f t="shared" si="375"/>
        <v>2023.001B.Leviviricetes_reorg.zip</v>
      </c>
      <c r="U8874" s="29" t="str">
        <f>HYPERLINK("https://ictv.global/taxonomy/taxondetails?taxnode_id=202316439","ictv.global=202316439")</f>
        <v>ictv.global=202316439</v>
      </c>
    </row>
    <row r="8875" spans="1:21">
      <c r="A8875">
        <v>8874</v>
      </c>
      <c r="B8875" s="30" t="s">
        <v>1226</v>
      </c>
      <c r="D8875" s="30" t="s">
        <v>2024</v>
      </c>
      <c r="F8875" s="30" t="s">
        <v>2046</v>
      </c>
      <c r="H8875" s="30" t="s">
        <v>2859</v>
      </c>
      <c r="J8875" s="30" t="s">
        <v>2860</v>
      </c>
      <c r="L8875" s="30" t="s">
        <v>2990</v>
      </c>
      <c r="N8875" s="30" t="s">
        <v>15395</v>
      </c>
      <c r="P8875" s="30" t="s">
        <v>15396</v>
      </c>
      <c r="Q8875" t="s">
        <v>621</v>
      </c>
      <c r="R8875" t="s">
        <v>918</v>
      </c>
      <c r="S8875">
        <v>39</v>
      </c>
      <c r="T8875" s="29" t="str">
        <f t="shared" si="375"/>
        <v>2023.001B.Leviviricetes_reorg.zip</v>
      </c>
      <c r="U8875" s="29" t="str">
        <f>HYPERLINK("https://ictv.global/taxonomy/taxondetails?taxnode_id=202310629","ictv.global=202310629")</f>
        <v>ictv.global=202310629</v>
      </c>
    </row>
    <row r="8876" spans="1:21">
      <c r="A8876">
        <v>8875</v>
      </c>
      <c r="B8876" s="30" t="s">
        <v>1226</v>
      </c>
      <c r="D8876" s="30" t="s">
        <v>2024</v>
      </c>
      <c r="F8876" s="30" t="s">
        <v>2046</v>
      </c>
      <c r="H8876" s="30" t="s">
        <v>2859</v>
      </c>
      <c r="J8876" s="30" t="s">
        <v>2860</v>
      </c>
      <c r="L8876" s="30" t="s">
        <v>2990</v>
      </c>
      <c r="N8876" s="30" t="s">
        <v>15395</v>
      </c>
      <c r="P8876" s="30" t="s">
        <v>15397</v>
      </c>
      <c r="Q8876" t="s">
        <v>621</v>
      </c>
      <c r="R8876" t="s">
        <v>918</v>
      </c>
      <c r="S8876">
        <v>39</v>
      </c>
      <c r="T8876" s="29" t="str">
        <f t="shared" si="375"/>
        <v>2023.001B.Leviviricetes_reorg.zip</v>
      </c>
      <c r="U8876" s="29" t="str">
        <f>HYPERLINK("https://ictv.global/taxonomy/taxondetails?taxnode_id=202310628","ictv.global=202310628")</f>
        <v>ictv.global=202310628</v>
      </c>
    </row>
    <row r="8877" spans="1:21">
      <c r="A8877">
        <v>8876</v>
      </c>
      <c r="B8877" s="30" t="s">
        <v>1226</v>
      </c>
      <c r="D8877" s="30" t="s">
        <v>2024</v>
      </c>
      <c r="F8877" s="30" t="s">
        <v>2046</v>
      </c>
      <c r="H8877" s="30" t="s">
        <v>2859</v>
      </c>
      <c r="J8877" s="30" t="s">
        <v>2860</v>
      </c>
      <c r="L8877" s="30" t="s">
        <v>2990</v>
      </c>
      <c r="N8877" s="30" t="s">
        <v>15395</v>
      </c>
      <c r="P8877" s="30" t="s">
        <v>15398</v>
      </c>
      <c r="Q8877" t="s">
        <v>621</v>
      </c>
      <c r="R8877" t="s">
        <v>917</v>
      </c>
      <c r="S8877">
        <v>39</v>
      </c>
      <c r="T8877" s="29" t="str">
        <f t="shared" si="375"/>
        <v>2023.001B.Leviviricetes_reorg.zip</v>
      </c>
      <c r="U8877" s="29" t="str">
        <f>HYPERLINK("https://ictv.global/taxonomy/taxondetails?taxnode_id=202316440","ictv.global=202316440")</f>
        <v>ictv.global=202316440</v>
      </c>
    </row>
    <row r="8878" spans="1:21">
      <c r="A8878">
        <v>8877</v>
      </c>
      <c r="B8878" s="30" t="s">
        <v>1226</v>
      </c>
      <c r="D8878" s="30" t="s">
        <v>2024</v>
      </c>
      <c r="F8878" s="30" t="s">
        <v>2046</v>
      </c>
      <c r="H8878" s="30" t="s">
        <v>2859</v>
      </c>
      <c r="J8878" s="30" t="s">
        <v>2860</v>
      </c>
      <c r="L8878" s="30" t="s">
        <v>2990</v>
      </c>
      <c r="N8878" s="30" t="s">
        <v>15395</v>
      </c>
      <c r="P8878" s="30" t="s">
        <v>15399</v>
      </c>
      <c r="Q8878" t="s">
        <v>621</v>
      </c>
      <c r="R8878" t="s">
        <v>917</v>
      </c>
      <c r="S8878">
        <v>39</v>
      </c>
      <c r="T8878" s="29" t="str">
        <f t="shared" si="375"/>
        <v>2023.001B.Leviviricetes_reorg.zip</v>
      </c>
      <c r="U8878" s="29" t="str">
        <f>HYPERLINK("https://ictv.global/taxonomy/taxondetails?taxnode_id=202316441","ictv.global=202316441")</f>
        <v>ictv.global=202316441</v>
      </c>
    </row>
    <row r="8879" spans="1:21">
      <c r="A8879">
        <v>8878</v>
      </c>
      <c r="B8879" s="30" t="s">
        <v>1226</v>
      </c>
      <c r="D8879" s="30" t="s">
        <v>2024</v>
      </c>
      <c r="F8879" s="30" t="s">
        <v>2046</v>
      </c>
      <c r="H8879" s="30" t="s">
        <v>2859</v>
      </c>
      <c r="J8879" s="30" t="s">
        <v>2860</v>
      </c>
      <c r="L8879" s="30" t="s">
        <v>2990</v>
      </c>
      <c r="N8879" s="30" t="s">
        <v>15395</v>
      </c>
      <c r="P8879" s="30" t="s">
        <v>15400</v>
      </c>
      <c r="Q8879" t="s">
        <v>621</v>
      </c>
      <c r="R8879" t="s">
        <v>917</v>
      </c>
      <c r="S8879">
        <v>39</v>
      </c>
      <c r="T8879" s="29" t="str">
        <f t="shared" si="375"/>
        <v>2023.001B.Leviviricetes_reorg.zip</v>
      </c>
      <c r="U8879" s="29" t="str">
        <f>HYPERLINK("https://ictv.global/taxonomy/taxondetails?taxnode_id=202316442","ictv.global=202316442")</f>
        <v>ictv.global=202316442</v>
      </c>
    </row>
    <row r="8880" spans="1:21">
      <c r="A8880">
        <v>8879</v>
      </c>
      <c r="B8880" s="30" t="s">
        <v>1226</v>
      </c>
      <c r="D8880" s="30" t="s">
        <v>2024</v>
      </c>
      <c r="F8880" s="30" t="s">
        <v>2046</v>
      </c>
      <c r="H8880" s="30" t="s">
        <v>2859</v>
      </c>
      <c r="J8880" s="30" t="s">
        <v>2860</v>
      </c>
      <c r="L8880" s="30" t="s">
        <v>2990</v>
      </c>
      <c r="N8880" s="30" t="s">
        <v>15395</v>
      </c>
      <c r="P8880" s="30" t="s">
        <v>15401</v>
      </c>
      <c r="Q8880" t="s">
        <v>621</v>
      </c>
      <c r="R8880" t="s">
        <v>917</v>
      </c>
      <c r="S8880">
        <v>39</v>
      </c>
      <c r="T8880" s="29" t="str">
        <f t="shared" si="375"/>
        <v>2023.001B.Leviviricetes_reorg.zip</v>
      </c>
      <c r="U8880" s="29" t="str">
        <f>HYPERLINK("https://ictv.global/taxonomy/taxondetails?taxnode_id=202316443","ictv.global=202316443")</f>
        <v>ictv.global=202316443</v>
      </c>
    </row>
    <row r="8881" spans="1:21">
      <c r="A8881">
        <v>8880</v>
      </c>
      <c r="B8881" s="30" t="s">
        <v>1226</v>
      </c>
      <c r="D8881" s="30" t="s">
        <v>2024</v>
      </c>
      <c r="F8881" s="30" t="s">
        <v>2046</v>
      </c>
      <c r="H8881" s="30" t="s">
        <v>2859</v>
      </c>
      <c r="J8881" s="30" t="s">
        <v>2860</v>
      </c>
      <c r="L8881" s="30" t="s">
        <v>2990</v>
      </c>
      <c r="N8881" s="30" t="s">
        <v>15402</v>
      </c>
      <c r="P8881" s="30" t="s">
        <v>15403</v>
      </c>
      <c r="Q8881" t="s">
        <v>621</v>
      </c>
      <c r="R8881" t="s">
        <v>917</v>
      </c>
      <c r="S8881">
        <v>39</v>
      </c>
      <c r="T8881" s="29" t="str">
        <f t="shared" si="375"/>
        <v>2023.001B.Leviviricetes_reorg.zip</v>
      </c>
      <c r="U8881" s="29" t="str">
        <f>HYPERLINK("https://ictv.global/taxonomy/taxondetails?taxnode_id=202316444","ictv.global=202316444")</f>
        <v>ictv.global=202316444</v>
      </c>
    </row>
    <row r="8882" spans="1:21">
      <c r="A8882">
        <v>8881</v>
      </c>
      <c r="B8882" s="30" t="s">
        <v>1226</v>
      </c>
      <c r="D8882" s="30" t="s">
        <v>2024</v>
      </c>
      <c r="F8882" s="30" t="s">
        <v>2046</v>
      </c>
      <c r="H8882" s="30" t="s">
        <v>2859</v>
      </c>
      <c r="J8882" s="30" t="s">
        <v>2860</v>
      </c>
      <c r="L8882" s="30" t="s">
        <v>2990</v>
      </c>
      <c r="N8882" s="30" t="s">
        <v>3163</v>
      </c>
      <c r="P8882" s="30" t="s">
        <v>15404</v>
      </c>
      <c r="Q8882" t="s">
        <v>621</v>
      </c>
      <c r="R8882" t="s">
        <v>917</v>
      </c>
      <c r="S8882">
        <v>39</v>
      </c>
      <c r="T8882" s="29" t="str">
        <f t="shared" si="375"/>
        <v>2023.001B.Leviviricetes_reorg.zip</v>
      </c>
      <c r="U8882" s="29" t="str">
        <f>HYPERLINK("https://ictv.global/taxonomy/taxondetails?taxnode_id=202316445","ictv.global=202316445")</f>
        <v>ictv.global=202316445</v>
      </c>
    </row>
    <row r="8883" spans="1:21">
      <c r="A8883">
        <v>8882</v>
      </c>
      <c r="B8883" s="30" t="s">
        <v>1226</v>
      </c>
      <c r="D8883" s="30" t="s">
        <v>2024</v>
      </c>
      <c r="F8883" s="30" t="s">
        <v>2046</v>
      </c>
      <c r="H8883" s="30" t="s">
        <v>2859</v>
      </c>
      <c r="J8883" s="30" t="s">
        <v>2860</v>
      </c>
      <c r="L8883" s="30" t="s">
        <v>2990</v>
      </c>
      <c r="N8883" s="30" t="s">
        <v>3163</v>
      </c>
      <c r="P8883" s="30" t="s">
        <v>15405</v>
      </c>
      <c r="Q8883" t="s">
        <v>621</v>
      </c>
      <c r="R8883" t="s">
        <v>917</v>
      </c>
      <c r="S8883">
        <v>39</v>
      </c>
      <c r="T8883" s="29" t="str">
        <f t="shared" si="375"/>
        <v>2023.001B.Leviviricetes_reorg.zip</v>
      </c>
      <c r="U8883" s="29" t="str">
        <f>HYPERLINK("https://ictv.global/taxonomy/taxondetails?taxnode_id=202316446","ictv.global=202316446")</f>
        <v>ictv.global=202316446</v>
      </c>
    </row>
    <row r="8884" spans="1:21">
      <c r="A8884">
        <v>8883</v>
      </c>
      <c r="B8884" s="30" t="s">
        <v>1226</v>
      </c>
      <c r="D8884" s="30" t="s">
        <v>2024</v>
      </c>
      <c r="F8884" s="30" t="s">
        <v>2046</v>
      </c>
      <c r="H8884" s="30" t="s">
        <v>2859</v>
      </c>
      <c r="J8884" s="30" t="s">
        <v>2860</v>
      </c>
      <c r="L8884" s="30" t="s">
        <v>2990</v>
      </c>
      <c r="N8884" s="30" t="s">
        <v>3163</v>
      </c>
      <c r="P8884" s="30" t="s">
        <v>15406</v>
      </c>
      <c r="Q8884" t="s">
        <v>621</v>
      </c>
      <c r="R8884" t="s">
        <v>917</v>
      </c>
      <c r="S8884">
        <v>39</v>
      </c>
      <c r="T8884" s="29" t="str">
        <f t="shared" si="375"/>
        <v>2023.001B.Leviviricetes_reorg.zip</v>
      </c>
      <c r="U8884" s="29" t="str">
        <f>HYPERLINK("https://ictv.global/taxonomy/taxondetails?taxnode_id=202316447","ictv.global=202316447")</f>
        <v>ictv.global=202316447</v>
      </c>
    </row>
    <row r="8885" spans="1:21">
      <c r="A8885">
        <v>8884</v>
      </c>
      <c r="B8885" s="30" t="s">
        <v>1226</v>
      </c>
      <c r="D8885" s="30" t="s">
        <v>2024</v>
      </c>
      <c r="F8885" s="30" t="s">
        <v>2046</v>
      </c>
      <c r="H8885" s="30" t="s">
        <v>2859</v>
      </c>
      <c r="J8885" s="30" t="s">
        <v>2860</v>
      </c>
      <c r="L8885" s="30" t="s">
        <v>2990</v>
      </c>
      <c r="N8885" s="30" t="s">
        <v>3163</v>
      </c>
      <c r="P8885" s="30" t="s">
        <v>15407</v>
      </c>
      <c r="Q8885" t="s">
        <v>621</v>
      </c>
      <c r="R8885" t="s">
        <v>917</v>
      </c>
      <c r="S8885">
        <v>39</v>
      </c>
      <c r="T8885" s="29" t="str">
        <f t="shared" si="375"/>
        <v>2023.001B.Leviviricetes_reorg.zip</v>
      </c>
      <c r="U8885" s="29" t="str">
        <f>HYPERLINK("https://ictv.global/taxonomy/taxondetails?taxnode_id=202316448","ictv.global=202316448")</f>
        <v>ictv.global=202316448</v>
      </c>
    </row>
    <row r="8886" spans="1:21">
      <c r="A8886">
        <v>8885</v>
      </c>
      <c r="B8886" s="30" t="s">
        <v>1226</v>
      </c>
      <c r="D8886" s="30" t="s">
        <v>2024</v>
      </c>
      <c r="F8886" s="30" t="s">
        <v>2046</v>
      </c>
      <c r="H8886" s="30" t="s">
        <v>2859</v>
      </c>
      <c r="J8886" s="30" t="s">
        <v>2860</v>
      </c>
      <c r="L8886" s="30" t="s">
        <v>2990</v>
      </c>
      <c r="N8886" s="30" t="s">
        <v>3163</v>
      </c>
      <c r="P8886" s="30" t="s">
        <v>15408</v>
      </c>
      <c r="Q8886" t="s">
        <v>621</v>
      </c>
      <c r="R8886" t="s">
        <v>917</v>
      </c>
      <c r="S8886">
        <v>39</v>
      </c>
      <c r="T8886" s="29" t="str">
        <f t="shared" si="375"/>
        <v>2023.001B.Leviviricetes_reorg.zip</v>
      </c>
      <c r="U8886" s="29" t="str">
        <f>HYPERLINK("https://ictv.global/taxonomy/taxondetails?taxnode_id=202316449","ictv.global=202316449")</f>
        <v>ictv.global=202316449</v>
      </c>
    </row>
    <row r="8887" spans="1:21">
      <c r="A8887">
        <v>8886</v>
      </c>
      <c r="B8887" s="30" t="s">
        <v>1226</v>
      </c>
      <c r="D8887" s="30" t="s">
        <v>2024</v>
      </c>
      <c r="F8887" s="30" t="s">
        <v>2046</v>
      </c>
      <c r="H8887" s="30" t="s">
        <v>2859</v>
      </c>
      <c r="J8887" s="30" t="s">
        <v>2860</v>
      </c>
      <c r="L8887" s="30" t="s">
        <v>2990</v>
      </c>
      <c r="N8887" s="30" t="s">
        <v>3163</v>
      </c>
      <c r="P8887" s="30" t="s">
        <v>3164</v>
      </c>
      <c r="Q8887" t="s">
        <v>621</v>
      </c>
      <c r="R8887" t="s">
        <v>917</v>
      </c>
      <c r="S8887">
        <v>36</v>
      </c>
      <c r="T8887" s="29" t="str">
        <f>HYPERLINK("https://ictv.global/ictv/proposals/2020.095B.R.Leviviricetes.zip","2020.095B.R.Leviviricetes.zip")</f>
        <v>2020.095B.R.Leviviricetes.zip</v>
      </c>
      <c r="U8887" s="29" t="str">
        <f>HYPERLINK("https://ictv.global/taxonomy/taxondetails?taxnode_id=202310441","ictv.global=202310441")</f>
        <v>ictv.global=202310441</v>
      </c>
    </row>
    <row r="8888" spans="1:21">
      <c r="A8888">
        <v>8887</v>
      </c>
      <c r="B8888" s="30" t="s">
        <v>1226</v>
      </c>
      <c r="D8888" s="30" t="s">
        <v>2024</v>
      </c>
      <c r="F8888" s="30" t="s">
        <v>2046</v>
      </c>
      <c r="H8888" s="30" t="s">
        <v>2859</v>
      </c>
      <c r="J8888" s="30" t="s">
        <v>2860</v>
      </c>
      <c r="L8888" s="30" t="s">
        <v>2990</v>
      </c>
      <c r="N8888" s="30" t="s">
        <v>3163</v>
      </c>
      <c r="P8888" s="30" t="s">
        <v>3165</v>
      </c>
      <c r="Q8888" t="s">
        <v>621</v>
      </c>
      <c r="R8888" t="s">
        <v>917</v>
      </c>
      <c r="S8888">
        <v>36</v>
      </c>
      <c r="T8888" s="29" t="str">
        <f>HYPERLINK("https://ictv.global/ictv/proposals/2020.095B.R.Leviviricetes.zip","2020.095B.R.Leviviricetes.zip")</f>
        <v>2020.095B.R.Leviviricetes.zip</v>
      </c>
      <c r="U8888" s="29" t="str">
        <f>HYPERLINK("https://ictv.global/taxonomy/taxondetails?taxnode_id=202310442","ictv.global=202310442")</f>
        <v>ictv.global=202310442</v>
      </c>
    </row>
    <row r="8889" spans="1:21">
      <c r="A8889">
        <v>8888</v>
      </c>
      <c r="B8889" s="30" t="s">
        <v>1226</v>
      </c>
      <c r="D8889" s="30" t="s">
        <v>2024</v>
      </c>
      <c r="F8889" s="30" t="s">
        <v>2046</v>
      </c>
      <c r="H8889" s="30" t="s">
        <v>2859</v>
      </c>
      <c r="J8889" s="30" t="s">
        <v>2860</v>
      </c>
      <c r="L8889" s="30" t="s">
        <v>2990</v>
      </c>
      <c r="N8889" s="30" t="s">
        <v>3163</v>
      </c>
      <c r="P8889" s="30" t="s">
        <v>15409</v>
      </c>
      <c r="Q8889" t="s">
        <v>621</v>
      </c>
      <c r="R8889" t="s">
        <v>917</v>
      </c>
      <c r="S8889">
        <v>39</v>
      </c>
      <c r="T8889" s="29" t="str">
        <f>HYPERLINK("https://ictv.global/ictv/proposals/2023.001B.Leviviricetes_reorg.zip","2023.001B.Leviviricetes_reorg.zip")</f>
        <v>2023.001B.Leviviricetes_reorg.zip</v>
      </c>
      <c r="U8889" s="29" t="str">
        <f>HYPERLINK("https://ictv.global/taxonomy/taxondetails?taxnode_id=202316450","ictv.global=202316450")</f>
        <v>ictv.global=202316450</v>
      </c>
    </row>
    <row r="8890" spans="1:21">
      <c r="A8890">
        <v>8889</v>
      </c>
      <c r="B8890" s="30" t="s">
        <v>1226</v>
      </c>
      <c r="D8890" s="30" t="s">
        <v>2024</v>
      </c>
      <c r="F8890" s="30" t="s">
        <v>2046</v>
      </c>
      <c r="H8890" s="30" t="s">
        <v>2859</v>
      </c>
      <c r="J8890" s="30" t="s">
        <v>2860</v>
      </c>
      <c r="L8890" s="30" t="s">
        <v>2990</v>
      </c>
      <c r="N8890" s="30" t="s">
        <v>3163</v>
      </c>
      <c r="P8890" s="30" t="s">
        <v>3166</v>
      </c>
      <c r="Q8890" t="s">
        <v>621</v>
      </c>
      <c r="R8890" t="s">
        <v>917</v>
      </c>
      <c r="S8890">
        <v>36</v>
      </c>
      <c r="T8890" s="29" t="str">
        <f>HYPERLINK("https://ictv.global/ictv/proposals/2020.095B.R.Leviviricetes.zip","2020.095B.R.Leviviricetes.zip")</f>
        <v>2020.095B.R.Leviviricetes.zip</v>
      </c>
      <c r="U8890" s="29" t="str">
        <f>HYPERLINK("https://ictv.global/taxonomy/taxondetails?taxnode_id=202310443","ictv.global=202310443")</f>
        <v>ictv.global=202310443</v>
      </c>
    </row>
    <row r="8891" spans="1:21">
      <c r="A8891">
        <v>8890</v>
      </c>
      <c r="B8891" s="30" t="s">
        <v>1226</v>
      </c>
      <c r="D8891" s="30" t="s">
        <v>2024</v>
      </c>
      <c r="F8891" s="30" t="s">
        <v>2046</v>
      </c>
      <c r="H8891" s="30" t="s">
        <v>2859</v>
      </c>
      <c r="J8891" s="30" t="s">
        <v>2860</v>
      </c>
      <c r="L8891" s="30" t="s">
        <v>2990</v>
      </c>
      <c r="N8891" s="30" t="s">
        <v>3163</v>
      </c>
      <c r="P8891" s="30" t="s">
        <v>15410</v>
      </c>
      <c r="Q8891" t="s">
        <v>621</v>
      </c>
      <c r="R8891" t="s">
        <v>917</v>
      </c>
      <c r="S8891">
        <v>39</v>
      </c>
      <c r="T8891" s="29" t="str">
        <f t="shared" ref="T8891:T8904" si="376">HYPERLINK("https://ictv.global/ictv/proposals/2023.001B.Leviviricetes_reorg.zip","2023.001B.Leviviricetes_reorg.zip")</f>
        <v>2023.001B.Leviviricetes_reorg.zip</v>
      </c>
      <c r="U8891" s="29" t="str">
        <f>HYPERLINK("https://ictv.global/taxonomy/taxondetails?taxnode_id=202316451","ictv.global=202316451")</f>
        <v>ictv.global=202316451</v>
      </c>
    </row>
    <row r="8892" spans="1:21">
      <c r="A8892">
        <v>8891</v>
      </c>
      <c r="B8892" s="30" t="s">
        <v>1226</v>
      </c>
      <c r="D8892" s="30" t="s">
        <v>2024</v>
      </c>
      <c r="F8892" s="30" t="s">
        <v>2046</v>
      </c>
      <c r="H8892" s="30" t="s">
        <v>2859</v>
      </c>
      <c r="J8892" s="30" t="s">
        <v>2860</v>
      </c>
      <c r="L8892" s="30" t="s">
        <v>2990</v>
      </c>
      <c r="N8892" s="30" t="s">
        <v>3163</v>
      </c>
      <c r="P8892" s="30" t="s">
        <v>15411</v>
      </c>
      <c r="Q8892" t="s">
        <v>621</v>
      </c>
      <c r="R8892" t="s">
        <v>918</v>
      </c>
      <c r="S8892">
        <v>39</v>
      </c>
      <c r="T8892" s="29" t="str">
        <f t="shared" si="376"/>
        <v>2023.001B.Leviviricetes_reorg.zip</v>
      </c>
      <c r="U8892" s="29" t="str">
        <f>HYPERLINK("https://ictv.global/taxonomy/taxondetails?taxnode_id=202310242","ictv.global=202310242")</f>
        <v>ictv.global=202310242</v>
      </c>
    </row>
    <row r="8893" spans="1:21">
      <c r="A8893">
        <v>8892</v>
      </c>
      <c r="B8893" s="30" t="s">
        <v>1226</v>
      </c>
      <c r="D8893" s="30" t="s">
        <v>2024</v>
      </c>
      <c r="F8893" s="30" t="s">
        <v>2046</v>
      </c>
      <c r="H8893" s="30" t="s">
        <v>2859</v>
      </c>
      <c r="J8893" s="30" t="s">
        <v>2860</v>
      </c>
      <c r="L8893" s="30" t="s">
        <v>2990</v>
      </c>
      <c r="N8893" s="30" t="s">
        <v>15412</v>
      </c>
      <c r="P8893" s="30" t="s">
        <v>15413</v>
      </c>
      <c r="Q8893" t="s">
        <v>621</v>
      </c>
      <c r="R8893" t="s">
        <v>917</v>
      </c>
      <c r="S8893">
        <v>39</v>
      </c>
      <c r="T8893" s="29" t="str">
        <f t="shared" si="376"/>
        <v>2023.001B.Leviviricetes_reorg.zip</v>
      </c>
      <c r="U8893" s="29" t="str">
        <f>HYPERLINK("https://ictv.global/taxonomy/taxondetails?taxnode_id=202316452","ictv.global=202316452")</f>
        <v>ictv.global=202316452</v>
      </c>
    </row>
    <row r="8894" spans="1:21">
      <c r="A8894">
        <v>8893</v>
      </c>
      <c r="B8894" s="30" t="s">
        <v>1226</v>
      </c>
      <c r="D8894" s="30" t="s">
        <v>2024</v>
      </c>
      <c r="F8894" s="30" t="s">
        <v>2046</v>
      </c>
      <c r="H8894" s="30" t="s">
        <v>2859</v>
      </c>
      <c r="J8894" s="30" t="s">
        <v>2860</v>
      </c>
      <c r="L8894" s="30" t="s">
        <v>2990</v>
      </c>
      <c r="N8894" s="30" t="s">
        <v>15412</v>
      </c>
      <c r="P8894" s="30" t="s">
        <v>15414</v>
      </c>
      <c r="Q8894" t="s">
        <v>621</v>
      </c>
      <c r="R8894" t="s">
        <v>917</v>
      </c>
      <c r="S8894">
        <v>39</v>
      </c>
      <c r="T8894" s="29" t="str">
        <f t="shared" si="376"/>
        <v>2023.001B.Leviviricetes_reorg.zip</v>
      </c>
      <c r="U8894" s="29" t="str">
        <f>HYPERLINK("https://ictv.global/taxonomy/taxondetails?taxnode_id=202316453","ictv.global=202316453")</f>
        <v>ictv.global=202316453</v>
      </c>
    </row>
    <row r="8895" spans="1:21">
      <c r="A8895">
        <v>8894</v>
      </c>
      <c r="B8895" s="30" t="s">
        <v>1226</v>
      </c>
      <c r="D8895" s="30" t="s">
        <v>2024</v>
      </c>
      <c r="F8895" s="30" t="s">
        <v>2046</v>
      </c>
      <c r="H8895" s="30" t="s">
        <v>2859</v>
      </c>
      <c r="J8895" s="30" t="s">
        <v>2860</v>
      </c>
      <c r="L8895" s="30" t="s">
        <v>2990</v>
      </c>
      <c r="N8895" s="30" t="s">
        <v>15412</v>
      </c>
      <c r="P8895" s="30" t="s">
        <v>15415</v>
      </c>
      <c r="Q8895" t="s">
        <v>621</v>
      </c>
      <c r="R8895" t="s">
        <v>917</v>
      </c>
      <c r="S8895">
        <v>39</v>
      </c>
      <c r="T8895" s="29" t="str">
        <f t="shared" si="376"/>
        <v>2023.001B.Leviviricetes_reorg.zip</v>
      </c>
      <c r="U8895" s="29" t="str">
        <f>HYPERLINK("https://ictv.global/taxonomy/taxondetails?taxnode_id=202316454","ictv.global=202316454")</f>
        <v>ictv.global=202316454</v>
      </c>
    </row>
    <row r="8896" spans="1:21">
      <c r="A8896">
        <v>8895</v>
      </c>
      <c r="B8896" s="30" t="s">
        <v>1226</v>
      </c>
      <c r="D8896" s="30" t="s">
        <v>2024</v>
      </c>
      <c r="F8896" s="30" t="s">
        <v>2046</v>
      </c>
      <c r="H8896" s="30" t="s">
        <v>2859</v>
      </c>
      <c r="J8896" s="30" t="s">
        <v>2860</v>
      </c>
      <c r="L8896" s="30" t="s">
        <v>2990</v>
      </c>
      <c r="N8896" s="30" t="s">
        <v>15412</v>
      </c>
      <c r="P8896" s="30" t="s">
        <v>15416</v>
      </c>
      <c r="Q8896" t="s">
        <v>621</v>
      </c>
      <c r="R8896" t="s">
        <v>917</v>
      </c>
      <c r="S8896">
        <v>39</v>
      </c>
      <c r="T8896" s="29" t="str">
        <f t="shared" si="376"/>
        <v>2023.001B.Leviviricetes_reorg.zip</v>
      </c>
      <c r="U8896" s="29" t="str">
        <f>HYPERLINK("https://ictv.global/taxonomy/taxondetails?taxnode_id=202316455","ictv.global=202316455")</f>
        <v>ictv.global=202316455</v>
      </c>
    </row>
    <row r="8897" spans="1:21">
      <c r="A8897">
        <v>8896</v>
      </c>
      <c r="B8897" s="30" t="s">
        <v>1226</v>
      </c>
      <c r="D8897" s="30" t="s">
        <v>2024</v>
      </c>
      <c r="F8897" s="30" t="s">
        <v>2046</v>
      </c>
      <c r="H8897" s="30" t="s">
        <v>2859</v>
      </c>
      <c r="J8897" s="30" t="s">
        <v>2860</v>
      </c>
      <c r="L8897" s="30" t="s">
        <v>2990</v>
      </c>
      <c r="N8897" s="30" t="s">
        <v>15412</v>
      </c>
      <c r="P8897" s="30" t="s">
        <v>15417</v>
      </c>
      <c r="Q8897" t="s">
        <v>621</v>
      </c>
      <c r="R8897" t="s">
        <v>917</v>
      </c>
      <c r="S8897">
        <v>39</v>
      </c>
      <c r="T8897" s="29" t="str">
        <f t="shared" si="376"/>
        <v>2023.001B.Leviviricetes_reorg.zip</v>
      </c>
      <c r="U8897" s="29" t="str">
        <f>HYPERLINK("https://ictv.global/taxonomy/taxondetails?taxnode_id=202316456","ictv.global=202316456")</f>
        <v>ictv.global=202316456</v>
      </c>
    </row>
    <row r="8898" spans="1:21">
      <c r="A8898">
        <v>8897</v>
      </c>
      <c r="B8898" s="30" t="s">
        <v>1226</v>
      </c>
      <c r="D8898" s="30" t="s">
        <v>2024</v>
      </c>
      <c r="F8898" s="30" t="s">
        <v>2046</v>
      </c>
      <c r="H8898" s="30" t="s">
        <v>2859</v>
      </c>
      <c r="J8898" s="30" t="s">
        <v>2860</v>
      </c>
      <c r="L8898" s="30" t="s">
        <v>2990</v>
      </c>
      <c r="N8898" s="30" t="s">
        <v>15412</v>
      </c>
      <c r="P8898" s="30" t="s">
        <v>15418</v>
      </c>
      <c r="Q8898" t="s">
        <v>621</v>
      </c>
      <c r="R8898" t="s">
        <v>917</v>
      </c>
      <c r="S8898">
        <v>39</v>
      </c>
      <c r="T8898" s="29" t="str">
        <f t="shared" si="376"/>
        <v>2023.001B.Leviviricetes_reorg.zip</v>
      </c>
      <c r="U8898" s="29" t="str">
        <f>HYPERLINK("https://ictv.global/taxonomy/taxondetails?taxnode_id=202316457","ictv.global=202316457")</f>
        <v>ictv.global=202316457</v>
      </c>
    </row>
    <row r="8899" spans="1:21">
      <c r="A8899">
        <v>8898</v>
      </c>
      <c r="B8899" s="30" t="s">
        <v>1226</v>
      </c>
      <c r="D8899" s="30" t="s">
        <v>2024</v>
      </c>
      <c r="F8899" s="30" t="s">
        <v>2046</v>
      </c>
      <c r="H8899" s="30" t="s">
        <v>2859</v>
      </c>
      <c r="J8899" s="30" t="s">
        <v>2860</v>
      </c>
      <c r="L8899" s="30" t="s">
        <v>2990</v>
      </c>
      <c r="N8899" s="30" t="s">
        <v>15412</v>
      </c>
      <c r="P8899" s="30" t="s">
        <v>15419</v>
      </c>
      <c r="Q8899" t="s">
        <v>621</v>
      </c>
      <c r="R8899" t="s">
        <v>917</v>
      </c>
      <c r="S8899">
        <v>39</v>
      </c>
      <c r="T8899" s="29" t="str">
        <f t="shared" si="376"/>
        <v>2023.001B.Leviviricetes_reorg.zip</v>
      </c>
      <c r="U8899" s="29" t="str">
        <f>HYPERLINK("https://ictv.global/taxonomy/taxondetails?taxnode_id=202316458","ictv.global=202316458")</f>
        <v>ictv.global=202316458</v>
      </c>
    </row>
    <row r="8900" spans="1:21">
      <c r="A8900">
        <v>8899</v>
      </c>
      <c r="B8900" s="30" t="s">
        <v>1226</v>
      </c>
      <c r="D8900" s="30" t="s">
        <v>2024</v>
      </c>
      <c r="F8900" s="30" t="s">
        <v>2046</v>
      </c>
      <c r="H8900" s="30" t="s">
        <v>2859</v>
      </c>
      <c r="J8900" s="30" t="s">
        <v>2860</v>
      </c>
      <c r="L8900" s="30" t="s">
        <v>2990</v>
      </c>
      <c r="N8900" s="30" t="s">
        <v>15412</v>
      </c>
      <c r="P8900" s="30" t="s">
        <v>15420</v>
      </c>
      <c r="Q8900" t="s">
        <v>621</v>
      </c>
      <c r="R8900" t="s">
        <v>917</v>
      </c>
      <c r="S8900">
        <v>39</v>
      </c>
      <c r="T8900" s="29" t="str">
        <f t="shared" si="376"/>
        <v>2023.001B.Leviviricetes_reorg.zip</v>
      </c>
      <c r="U8900" s="29" t="str">
        <f>HYPERLINK("https://ictv.global/taxonomy/taxondetails?taxnode_id=202316459","ictv.global=202316459")</f>
        <v>ictv.global=202316459</v>
      </c>
    </row>
    <row r="8901" spans="1:21">
      <c r="A8901">
        <v>8900</v>
      </c>
      <c r="B8901" s="30" t="s">
        <v>1226</v>
      </c>
      <c r="D8901" s="30" t="s">
        <v>2024</v>
      </c>
      <c r="F8901" s="30" t="s">
        <v>2046</v>
      </c>
      <c r="H8901" s="30" t="s">
        <v>2859</v>
      </c>
      <c r="J8901" s="30" t="s">
        <v>2860</v>
      </c>
      <c r="L8901" s="30" t="s">
        <v>2990</v>
      </c>
      <c r="N8901" s="30" t="s">
        <v>3167</v>
      </c>
      <c r="P8901" s="30" t="s">
        <v>15421</v>
      </c>
      <c r="Q8901" t="s">
        <v>621</v>
      </c>
      <c r="R8901" t="s">
        <v>917</v>
      </c>
      <c r="S8901">
        <v>39</v>
      </c>
      <c r="T8901" s="29" t="str">
        <f t="shared" si="376"/>
        <v>2023.001B.Leviviricetes_reorg.zip</v>
      </c>
      <c r="U8901" s="29" t="str">
        <f>HYPERLINK("https://ictv.global/taxonomy/taxondetails?taxnode_id=202316460","ictv.global=202316460")</f>
        <v>ictv.global=202316460</v>
      </c>
    </row>
    <row r="8902" spans="1:21">
      <c r="A8902">
        <v>8901</v>
      </c>
      <c r="B8902" s="30" t="s">
        <v>1226</v>
      </c>
      <c r="D8902" s="30" t="s">
        <v>2024</v>
      </c>
      <c r="F8902" s="30" t="s">
        <v>2046</v>
      </c>
      <c r="H8902" s="30" t="s">
        <v>2859</v>
      </c>
      <c r="J8902" s="30" t="s">
        <v>2860</v>
      </c>
      <c r="L8902" s="30" t="s">
        <v>2990</v>
      </c>
      <c r="N8902" s="30" t="s">
        <v>3167</v>
      </c>
      <c r="P8902" s="30" t="s">
        <v>15422</v>
      </c>
      <c r="Q8902" t="s">
        <v>621</v>
      </c>
      <c r="R8902" t="s">
        <v>917</v>
      </c>
      <c r="S8902">
        <v>39</v>
      </c>
      <c r="T8902" s="29" t="str">
        <f t="shared" si="376"/>
        <v>2023.001B.Leviviricetes_reorg.zip</v>
      </c>
      <c r="U8902" s="29" t="str">
        <f>HYPERLINK("https://ictv.global/taxonomy/taxondetails?taxnode_id=202316461","ictv.global=202316461")</f>
        <v>ictv.global=202316461</v>
      </c>
    </row>
    <row r="8903" spans="1:21">
      <c r="A8903">
        <v>8902</v>
      </c>
      <c r="B8903" s="30" t="s">
        <v>1226</v>
      </c>
      <c r="D8903" s="30" t="s">
        <v>2024</v>
      </c>
      <c r="F8903" s="30" t="s">
        <v>2046</v>
      </c>
      <c r="H8903" s="30" t="s">
        <v>2859</v>
      </c>
      <c r="J8903" s="30" t="s">
        <v>2860</v>
      </c>
      <c r="L8903" s="30" t="s">
        <v>2990</v>
      </c>
      <c r="N8903" s="30" t="s">
        <v>3167</v>
      </c>
      <c r="P8903" s="30" t="s">
        <v>15423</v>
      </c>
      <c r="Q8903" t="s">
        <v>621</v>
      </c>
      <c r="R8903" t="s">
        <v>917</v>
      </c>
      <c r="S8903">
        <v>39</v>
      </c>
      <c r="T8903" s="29" t="str">
        <f t="shared" si="376"/>
        <v>2023.001B.Leviviricetes_reorg.zip</v>
      </c>
      <c r="U8903" s="29" t="str">
        <f>HYPERLINK("https://ictv.global/taxonomy/taxondetails?taxnode_id=202316462","ictv.global=202316462")</f>
        <v>ictv.global=202316462</v>
      </c>
    </row>
    <row r="8904" spans="1:21">
      <c r="A8904">
        <v>8903</v>
      </c>
      <c r="B8904" s="30" t="s">
        <v>1226</v>
      </c>
      <c r="D8904" s="30" t="s">
        <v>2024</v>
      </c>
      <c r="F8904" s="30" t="s">
        <v>2046</v>
      </c>
      <c r="H8904" s="30" t="s">
        <v>2859</v>
      </c>
      <c r="J8904" s="30" t="s">
        <v>2860</v>
      </c>
      <c r="L8904" s="30" t="s">
        <v>2990</v>
      </c>
      <c r="N8904" s="30" t="s">
        <v>3167</v>
      </c>
      <c r="P8904" s="30" t="s">
        <v>15424</v>
      </c>
      <c r="Q8904" t="s">
        <v>621</v>
      </c>
      <c r="R8904" t="s">
        <v>917</v>
      </c>
      <c r="S8904">
        <v>39</v>
      </c>
      <c r="T8904" s="29" t="str">
        <f t="shared" si="376"/>
        <v>2023.001B.Leviviricetes_reorg.zip</v>
      </c>
      <c r="U8904" s="29" t="str">
        <f>HYPERLINK("https://ictv.global/taxonomy/taxondetails?taxnode_id=202316463","ictv.global=202316463")</f>
        <v>ictv.global=202316463</v>
      </c>
    </row>
    <row r="8905" spans="1:21">
      <c r="A8905">
        <v>8904</v>
      </c>
      <c r="B8905" s="30" t="s">
        <v>1226</v>
      </c>
      <c r="D8905" s="30" t="s">
        <v>2024</v>
      </c>
      <c r="F8905" s="30" t="s">
        <v>2046</v>
      </c>
      <c r="H8905" s="30" t="s">
        <v>2859</v>
      </c>
      <c r="J8905" s="30" t="s">
        <v>2860</v>
      </c>
      <c r="L8905" s="30" t="s">
        <v>2990</v>
      </c>
      <c r="N8905" s="30" t="s">
        <v>3167</v>
      </c>
      <c r="P8905" s="30" t="s">
        <v>3168</v>
      </c>
      <c r="Q8905" t="s">
        <v>621</v>
      </c>
      <c r="R8905" t="s">
        <v>917</v>
      </c>
      <c r="S8905">
        <v>36</v>
      </c>
      <c r="T8905" s="29" t="str">
        <f>HYPERLINK("https://ictv.global/ictv/proposals/2020.095B.R.Leviviricetes.zip","2020.095B.R.Leviviricetes.zip")</f>
        <v>2020.095B.R.Leviviricetes.zip</v>
      </c>
      <c r="U8905" s="29" t="str">
        <f>HYPERLINK("https://ictv.global/taxonomy/taxondetails?taxnode_id=202310445","ictv.global=202310445")</f>
        <v>ictv.global=202310445</v>
      </c>
    </row>
    <row r="8906" spans="1:21">
      <c r="A8906">
        <v>8905</v>
      </c>
      <c r="B8906" s="30" t="s">
        <v>1226</v>
      </c>
      <c r="D8906" s="30" t="s">
        <v>2024</v>
      </c>
      <c r="F8906" s="30" t="s">
        <v>2046</v>
      </c>
      <c r="H8906" s="30" t="s">
        <v>2859</v>
      </c>
      <c r="J8906" s="30" t="s">
        <v>2860</v>
      </c>
      <c r="L8906" s="30" t="s">
        <v>2990</v>
      </c>
      <c r="N8906" s="30" t="s">
        <v>3167</v>
      </c>
      <c r="P8906" s="30" t="s">
        <v>3169</v>
      </c>
      <c r="Q8906" t="s">
        <v>621</v>
      </c>
      <c r="R8906" t="s">
        <v>917</v>
      </c>
      <c r="S8906">
        <v>36</v>
      </c>
      <c r="T8906" s="29" t="str">
        <f>HYPERLINK("https://ictv.global/ictv/proposals/2020.095B.R.Leviviricetes.zip","2020.095B.R.Leviviricetes.zip")</f>
        <v>2020.095B.R.Leviviricetes.zip</v>
      </c>
      <c r="U8906" s="29" t="str">
        <f>HYPERLINK("https://ictv.global/taxonomy/taxondetails?taxnode_id=202310446","ictv.global=202310446")</f>
        <v>ictv.global=202310446</v>
      </c>
    </row>
    <row r="8907" spans="1:21">
      <c r="A8907">
        <v>8906</v>
      </c>
      <c r="B8907" s="30" t="s">
        <v>1226</v>
      </c>
      <c r="D8907" s="30" t="s">
        <v>2024</v>
      </c>
      <c r="F8907" s="30" t="s">
        <v>2046</v>
      </c>
      <c r="H8907" s="30" t="s">
        <v>2859</v>
      </c>
      <c r="J8907" s="30" t="s">
        <v>2860</v>
      </c>
      <c r="L8907" s="30" t="s">
        <v>2990</v>
      </c>
      <c r="N8907" s="30" t="s">
        <v>3170</v>
      </c>
      <c r="P8907" s="30" t="s">
        <v>3171</v>
      </c>
      <c r="Q8907" t="s">
        <v>621</v>
      </c>
      <c r="R8907" t="s">
        <v>917</v>
      </c>
      <c r="S8907">
        <v>36</v>
      </c>
      <c r="T8907" s="29" t="str">
        <f>HYPERLINK("https://ictv.global/ictv/proposals/2020.095B.R.Leviviricetes.zip","2020.095B.R.Leviviricetes.zip")</f>
        <v>2020.095B.R.Leviviricetes.zip</v>
      </c>
      <c r="U8907" s="29" t="str">
        <f>HYPERLINK("https://ictv.global/taxonomy/taxondetails?taxnode_id=202310448","ictv.global=202310448")</f>
        <v>ictv.global=202310448</v>
      </c>
    </row>
    <row r="8908" spans="1:21">
      <c r="A8908">
        <v>8907</v>
      </c>
      <c r="B8908" s="30" t="s">
        <v>1226</v>
      </c>
      <c r="D8908" s="30" t="s">
        <v>2024</v>
      </c>
      <c r="F8908" s="30" t="s">
        <v>2046</v>
      </c>
      <c r="H8908" s="30" t="s">
        <v>2859</v>
      </c>
      <c r="J8908" s="30" t="s">
        <v>2860</v>
      </c>
      <c r="L8908" s="30" t="s">
        <v>2990</v>
      </c>
      <c r="N8908" s="30" t="s">
        <v>15425</v>
      </c>
      <c r="P8908" s="30" t="s">
        <v>15426</v>
      </c>
      <c r="Q8908" t="s">
        <v>621</v>
      </c>
      <c r="R8908" t="s">
        <v>917</v>
      </c>
      <c r="S8908">
        <v>39</v>
      </c>
      <c r="T8908" s="29" t="str">
        <f>HYPERLINK("https://ictv.global/ictv/proposals/2023.001B.Leviviricetes_reorg.zip","2023.001B.Leviviricetes_reorg.zip")</f>
        <v>2023.001B.Leviviricetes_reorg.zip</v>
      </c>
      <c r="U8908" s="29" t="str">
        <f>HYPERLINK("https://ictv.global/taxonomy/taxondetails?taxnode_id=202316464","ictv.global=202316464")</f>
        <v>ictv.global=202316464</v>
      </c>
    </row>
    <row r="8909" spans="1:21">
      <c r="A8909">
        <v>8908</v>
      </c>
      <c r="B8909" s="30" t="s">
        <v>1226</v>
      </c>
      <c r="D8909" s="30" t="s">
        <v>2024</v>
      </c>
      <c r="F8909" s="30" t="s">
        <v>2046</v>
      </c>
      <c r="H8909" s="30" t="s">
        <v>2859</v>
      </c>
      <c r="J8909" s="30" t="s">
        <v>2860</v>
      </c>
      <c r="L8909" s="30" t="s">
        <v>2990</v>
      </c>
      <c r="N8909" s="30" t="s">
        <v>15425</v>
      </c>
      <c r="P8909" s="30" t="s">
        <v>15427</v>
      </c>
      <c r="Q8909" t="s">
        <v>621</v>
      </c>
      <c r="R8909" t="s">
        <v>917</v>
      </c>
      <c r="S8909">
        <v>39</v>
      </c>
      <c r="T8909" s="29" t="str">
        <f>HYPERLINK("https://ictv.global/ictv/proposals/2023.001B.Leviviricetes_reorg.zip","2023.001B.Leviviricetes_reorg.zip")</f>
        <v>2023.001B.Leviviricetes_reorg.zip</v>
      </c>
      <c r="U8909" s="29" t="str">
        <f>HYPERLINK("https://ictv.global/taxonomy/taxondetails?taxnode_id=202316465","ictv.global=202316465")</f>
        <v>ictv.global=202316465</v>
      </c>
    </row>
    <row r="8910" spans="1:21">
      <c r="A8910">
        <v>8909</v>
      </c>
      <c r="B8910" s="30" t="s">
        <v>1226</v>
      </c>
      <c r="D8910" s="30" t="s">
        <v>2024</v>
      </c>
      <c r="F8910" s="30" t="s">
        <v>2046</v>
      </c>
      <c r="H8910" s="30" t="s">
        <v>2859</v>
      </c>
      <c r="J8910" s="30" t="s">
        <v>2860</v>
      </c>
      <c r="L8910" s="30" t="s">
        <v>2990</v>
      </c>
      <c r="N8910" s="30" t="s">
        <v>15425</v>
      </c>
      <c r="P8910" s="30" t="s">
        <v>15428</v>
      </c>
      <c r="Q8910" t="s">
        <v>621</v>
      </c>
      <c r="R8910" t="s">
        <v>917</v>
      </c>
      <c r="S8910">
        <v>39</v>
      </c>
      <c r="T8910" s="29" t="str">
        <f>HYPERLINK("https://ictv.global/ictv/proposals/2023.001B.Leviviricetes_reorg.zip","2023.001B.Leviviricetes_reorg.zip")</f>
        <v>2023.001B.Leviviricetes_reorg.zip</v>
      </c>
      <c r="U8910" s="29" t="str">
        <f>HYPERLINK("https://ictv.global/taxonomy/taxondetails?taxnode_id=202316466","ictv.global=202316466")</f>
        <v>ictv.global=202316466</v>
      </c>
    </row>
    <row r="8911" spans="1:21">
      <c r="A8911">
        <v>8910</v>
      </c>
      <c r="B8911" s="30" t="s">
        <v>1226</v>
      </c>
      <c r="D8911" s="30" t="s">
        <v>2024</v>
      </c>
      <c r="F8911" s="30" t="s">
        <v>2046</v>
      </c>
      <c r="H8911" s="30" t="s">
        <v>2859</v>
      </c>
      <c r="J8911" s="30" t="s">
        <v>2860</v>
      </c>
      <c r="L8911" s="30" t="s">
        <v>2990</v>
      </c>
      <c r="N8911" s="30" t="s">
        <v>3172</v>
      </c>
      <c r="P8911" s="30" t="s">
        <v>3173</v>
      </c>
      <c r="Q8911" t="s">
        <v>621</v>
      </c>
      <c r="R8911" t="s">
        <v>917</v>
      </c>
      <c r="S8911">
        <v>36</v>
      </c>
      <c r="T8911" s="29" t="str">
        <f>HYPERLINK("https://ictv.global/ictv/proposals/2020.095B.R.Leviviricetes.zip","2020.095B.R.Leviviricetes.zip")</f>
        <v>2020.095B.R.Leviviricetes.zip</v>
      </c>
      <c r="U8911" s="29" t="str">
        <f>HYPERLINK("https://ictv.global/taxonomy/taxondetails?taxnode_id=202310452","ictv.global=202310452")</f>
        <v>ictv.global=202310452</v>
      </c>
    </row>
    <row r="8912" spans="1:21">
      <c r="A8912">
        <v>8911</v>
      </c>
      <c r="B8912" s="30" t="s">
        <v>1226</v>
      </c>
      <c r="D8912" s="30" t="s">
        <v>2024</v>
      </c>
      <c r="F8912" s="30" t="s">
        <v>2046</v>
      </c>
      <c r="H8912" s="30" t="s">
        <v>2859</v>
      </c>
      <c r="J8912" s="30" t="s">
        <v>2860</v>
      </c>
      <c r="L8912" s="30" t="s">
        <v>2990</v>
      </c>
      <c r="N8912" s="30" t="s">
        <v>3174</v>
      </c>
      <c r="P8912" s="30" t="s">
        <v>3175</v>
      </c>
      <c r="Q8912" t="s">
        <v>621</v>
      </c>
      <c r="R8912" t="s">
        <v>917</v>
      </c>
      <c r="S8912">
        <v>36</v>
      </c>
      <c r="T8912" s="29" t="str">
        <f>HYPERLINK("https://ictv.global/ictv/proposals/2020.095B.R.Leviviricetes.zip","2020.095B.R.Leviviricetes.zip")</f>
        <v>2020.095B.R.Leviviricetes.zip</v>
      </c>
      <c r="U8912" s="29" t="str">
        <f>HYPERLINK("https://ictv.global/taxonomy/taxondetails?taxnode_id=202310454","ictv.global=202310454")</f>
        <v>ictv.global=202310454</v>
      </c>
    </row>
    <row r="8913" spans="1:21">
      <c r="A8913">
        <v>8912</v>
      </c>
      <c r="B8913" s="30" t="s">
        <v>1226</v>
      </c>
      <c r="D8913" s="30" t="s">
        <v>2024</v>
      </c>
      <c r="F8913" s="30" t="s">
        <v>2046</v>
      </c>
      <c r="H8913" s="30" t="s">
        <v>2859</v>
      </c>
      <c r="J8913" s="30" t="s">
        <v>2860</v>
      </c>
      <c r="L8913" s="30" t="s">
        <v>2990</v>
      </c>
      <c r="N8913" s="30" t="s">
        <v>15429</v>
      </c>
      <c r="P8913" s="30" t="s">
        <v>15430</v>
      </c>
      <c r="Q8913" t="s">
        <v>621</v>
      </c>
      <c r="R8913" t="s">
        <v>917</v>
      </c>
      <c r="S8913">
        <v>39</v>
      </c>
      <c r="T8913" s="29" t="str">
        <f>HYPERLINK("https://ictv.global/ictv/proposals/2023.001B.Leviviricetes_reorg.zip","2023.001B.Leviviricetes_reorg.zip")</f>
        <v>2023.001B.Leviviricetes_reorg.zip</v>
      </c>
      <c r="U8913" s="29" t="str">
        <f>HYPERLINK("https://ictv.global/taxonomy/taxondetails?taxnode_id=202316467","ictv.global=202316467")</f>
        <v>ictv.global=202316467</v>
      </c>
    </row>
    <row r="8914" spans="1:21">
      <c r="A8914">
        <v>8913</v>
      </c>
      <c r="B8914" s="30" t="s">
        <v>1226</v>
      </c>
      <c r="D8914" s="30" t="s">
        <v>2024</v>
      </c>
      <c r="F8914" s="30" t="s">
        <v>2046</v>
      </c>
      <c r="H8914" s="30" t="s">
        <v>2859</v>
      </c>
      <c r="J8914" s="30" t="s">
        <v>2860</v>
      </c>
      <c r="L8914" s="30" t="s">
        <v>2990</v>
      </c>
      <c r="N8914" s="30" t="s">
        <v>15431</v>
      </c>
      <c r="P8914" s="30" t="s">
        <v>15432</v>
      </c>
      <c r="Q8914" t="s">
        <v>621</v>
      </c>
      <c r="R8914" t="s">
        <v>917</v>
      </c>
      <c r="S8914">
        <v>39</v>
      </c>
      <c r="T8914" s="29" t="str">
        <f>HYPERLINK("https://ictv.global/ictv/proposals/2023.001B.Leviviricetes_reorg.zip","2023.001B.Leviviricetes_reorg.zip")</f>
        <v>2023.001B.Leviviricetes_reorg.zip</v>
      </c>
      <c r="U8914" s="29" t="str">
        <f>HYPERLINK("https://ictv.global/taxonomy/taxondetails?taxnode_id=202316468","ictv.global=202316468")</f>
        <v>ictv.global=202316468</v>
      </c>
    </row>
    <row r="8915" spans="1:21">
      <c r="A8915">
        <v>8914</v>
      </c>
      <c r="B8915" s="30" t="s">
        <v>1226</v>
      </c>
      <c r="D8915" s="30" t="s">
        <v>2024</v>
      </c>
      <c r="F8915" s="30" t="s">
        <v>2046</v>
      </c>
      <c r="H8915" s="30" t="s">
        <v>2859</v>
      </c>
      <c r="J8915" s="30" t="s">
        <v>2860</v>
      </c>
      <c r="L8915" s="30" t="s">
        <v>2990</v>
      </c>
      <c r="N8915" s="30" t="s">
        <v>15431</v>
      </c>
      <c r="P8915" s="30" t="s">
        <v>15433</v>
      </c>
      <c r="Q8915" t="s">
        <v>621</v>
      </c>
      <c r="R8915" t="s">
        <v>917</v>
      </c>
      <c r="S8915">
        <v>39</v>
      </c>
      <c r="T8915" s="29" t="str">
        <f>HYPERLINK("https://ictv.global/ictv/proposals/2023.001B.Leviviricetes_reorg.zip","2023.001B.Leviviricetes_reorg.zip")</f>
        <v>2023.001B.Leviviricetes_reorg.zip</v>
      </c>
      <c r="U8915" s="29" t="str">
        <f>HYPERLINK("https://ictv.global/taxonomy/taxondetails?taxnode_id=202316469","ictv.global=202316469")</f>
        <v>ictv.global=202316469</v>
      </c>
    </row>
    <row r="8916" spans="1:21">
      <c r="A8916">
        <v>8915</v>
      </c>
      <c r="B8916" s="30" t="s">
        <v>1226</v>
      </c>
      <c r="D8916" s="30" t="s">
        <v>2024</v>
      </c>
      <c r="F8916" s="30" t="s">
        <v>2046</v>
      </c>
      <c r="H8916" s="30" t="s">
        <v>2859</v>
      </c>
      <c r="J8916" s="30" t="s">
        <v>2860</v>
      </c>
      <c r="L8916" s="30" t="s">
        <v>2990</v>
      </c>
      <c r="N8916" s="30" t="s">
        <v>15431</v>
      </c>
      <c r="P8916" s="30" t="s">
        <v>15434</v>
      </c>
      <c r="Q8916" t="s">
        <v>621</v>
      </c>
      <c r="R8916" t="s">
        <v>917</v>
      </c>
      <c r="S8916">
        <v>39</v>
      </c>
      <c r="T8916" s="29" t="str">
        <f>HYPERLINK("https://ictv.global/ictv/proposals/2023.001B.Leviviricetes_reorg.zip","2023.001B.Leviviricetes_reorg.zip")</f>
        <v>2023.001B.Leviviricetes_reorg.zip</v>
      </c>
      <c r="U8916" s="29" t="str">
        <f>HYPERLINK("https://ictv.global/taxonomy/taxondetails?taxnode_id=202316470","ictv.global=202316470")</f>
        <v>ictv.global=202316470</v>
      </c>
    </row>
    <row r="8917" spans="1:21">
      <c r="A8917">
        <v>8916</v>
      </c>
      <c r="B8917" s="30" t="s">
        <v>1226</v>
      </c>
      <c r="D8917" s="30" t="s">
        <v>2024</v>
      </c>
      <c r="F8917" s="30" t="s">
        <v>2046</v>
      </c>
      <c r="H8917" s="30" t="s">
        <v>2859</v>
      </c>
      <c r="J8917" s="30" t="s">
        <v>2860</v>
      </c>
      <c r="L8917" s="30" t="s">
        <v>2990</v>
      </c>
      <c r="N8917" s="30" t="s">
        <v>3176</v>
      </c>
      <c r="P8917" s="30" t="s">
        <v>3177</v>
      </c>
      <c r="Q8917" t="s">
        <v>621</v>
      </c>
      <c r="R8917" t="s">
        <v>917</v>
      </c>
      <c r="S8917">
        <v>36</v>
      </c>
      <c r="T8917" s="29" t="str">
        <f>HYPERLINK("https://ictv.global/ictv/proposals/2020.095B.R.Leviviricetes.zip","2020.095B.R.Leviviricetes.zip")</f>
        <v>2020.095B.R.Leviviricetes.zip</v>
      </c>
      <c r="U8917" s="29" t="str">
        <f>HYPERLINK("https://ictv.global/taxonomy/taxondetails?taxnode_id=202310456","ictv.global=202310456")</f>
        <v>ictv.global=202310456</v>
      </c>
    </row>
    <row r="8918" spans="1:21">
      <c r="A8918">
        <v>8917</v>
      </c>
      <c r="B8918" s="30" t="s">
        <v>1226</v>
      </c>
      <c r="D8918" s="30" t="s">
        <v>2024</v>
      </c>
      <c r="F8918" s="30" t="s">
        <v>2046</v>
      </c>
      <c r="H8918" s="30" t="s">
        <v>2859</v>
      </c>
      <c r="J8918" s="30" t="s">
        <v>2860</v>
      </c>
      <c r="L8918" s="30" t="s">
        <v>2990</v>
      </c>
      <c r="N8918" s="30" t="s">
        <v>3178</v>
      </c>
      <c r="P8918" s="30" t="s">
        <v>15435</v>
      </c>
      <c r="Q8918" t="s">
        <v>621</v>
      </c>
      <c r="R8918" t="s">
        <v>917</v>
      </c>
      <c r="S8918">
        <v>39</v>
      </c>
      <c r="T8918" s="29" t="str">
        <f>HYPERLINK("https://ictv.global/ictv/proposals/2023.001B.Leviviricetes_reorg.zip","2023.001B.Leviviricetes_reorg.zip")</f>
        <v>2023.001B.Leviviricetes_reorg.zip</v>
      </c>
      <c r="U8918" s="29" t="str">
        <f>HYPERLINK("https://ictv.global/taxonomy/taxondetails?taxnode_id=202316471","ictv.global=202316471")</f>
        <v>ictv.global=202316471</v>
      </c>
    </row>
    <row r="8919" spans="1:21">
      <c r="A8919">
        <v>8918</v>
      </c>
      <c r="B8919" s="30" t="s">
        <v>1226</v>
      </c>
      <c r="D8919" s="30" t="s">
        <v>2024</v>
      </c>
      <c r="F8919" s="30" t="s">
        <v>2046</v>
      </c>
      <c r="H8919" s="30" t="s">
        <v>2859</v>
      </c>
      <c r="J8919" s="30" t="s">
        <v>2860</v>
      </c>
      <c r="L8919" s="30" t="s">
        <v>2990</v>
      </c>
      <c r="N8919" s="30" t="s">
        <v>3178</v>
      </c>
      <c r="P8919" s="30" t="s">
        <v>15436</v>
      </c>
      <c r="Q8919" t="s">
        <v>621</v>
      </c>
      <c r="R8919" t="s">
        <v>918</v>
      </c>
      <c r="S8919">
        <v>39</v>
      </c>
      <c r="T8919" s="29" t="str">
        <f>HYPERLINK("https://ictv.global/ictv/proposals/2023.001B.Leviviricetes_reorg.zip","2023.001B.Leviviricetes_reorg.zip")</f>
        <v>2023.001B.Leviviricetes_reorg.zip</v>
      </c>
      <c r="U8919" s="29" t="str">
        <f>HYPERLINK("https://ictv.global/taxonomy/taxondetails?taxnode_id=202310642","ictv.global=202310642")</f>
        <v>ictv.global=202310642</v>
      </c>
    </row>
    <row r="8920" spans="1:21">
      <c r="A8920">
        <v>8919</v>
      </c>
      <c r="B8920" s="30" t="s">
        <v>1226</v>
      </c>
      <c r="D8920" s="30" t="s">
        <v>2024</v>
      </c>
      <c r="F8920" s="30" t="s">
        <v>2046</v>
      </c>
      <c r="H8920" s="30" t="s">
        <v>2859</v>
      </c>
      <c r="J8920" s="30" t="s">
        <v>2860</v>
      </c>
      <c r="L8920" s="30" t="s">
        <v>2990</v>
      </c>
      <c r="N8920" s="30" t="s">
        <v>3178</v>
      </c>
      <c r="P8920" s="30" t="s">
        <v>15437</v>
      </c>
      <c r="Q8920" t="s">
        <v>621</v>
      </c>
      <c r="R8920" t="s">
        <v>917</v>
      </c>
      <c r="S8920">
        <v>39</v>
      </c>
      <c r="T8920" s="29" t="str">
        <f>HYPERLINK("https://ictv.global/ictv/proposals/2023.001B.Leviviricetes_reorg.zip","2023.001B.Leviviricetes_reorg.zip")</f>
        <v>2023.001B.Leviviricetes_reorg.zip</v>
      </c>
      <c r="U8920" s="29" t="str">
        <f>HYPERLINK("https://ictv.global/taxonomy/taxondetails?taxnode_id=202316472","ictv.global=202316472")</f>
        <v>ictv.global=202316472</v>
      </c>
    </row>
    <row r="8921" spans="1:21">
      <c r="A8921">
        <v>8920</v>
      </c>
      <c r="B8921" s="30" t="s">
        <v>1226</v>
      </c>
      <c r="D8921" s="30" t="s">
        <v>2024</v>
      </c>
      <c r="F8921" s="30" t="s">
        <v>2046</v>
      </c>
      <c r="H8921" s="30" t="s">
        <v>2859</v>
      </c>
      <c r="J8921" s="30" t="s">
        <v>2860</v>
      </c>
      <c r="L8921" s="30" t="s">
        <v>2990</v>
      </c>
      <c r="N8921" s="30" t="s">
        <v>3178</v>
      </c>
      <c r="P8921" s="30" t="s">
        <v>15438</v>
      </c>
      <c r="Q8921" t="s">
        <v>621</v>
      </c>
      <c r="R8921" t="s">
        <v>917</v>
      </c>
      <c r="S8921">
        <v>39</v>
      </c>
      <c r="T8921" s="29" t="str">
        <f>HYPERLINK("https://ictv.global/ictv/proposals/2023.001B.Leviviricetes_reorg.zip","2023.001B.Leviviricetes_reorg.zip")</f>
        <v>2023.001B.Leviviricetes_reorg.zip</v>
      </c>
      <c r="U8921" s="29" t="str">
        <f>HYPERLINK("https://ictv.global/taxonomy/taxondetails?taxnode_id=202316473","ictv.global=202316473")</f>
        <v>ictv.global=202316473</v>
      </c>
    </row>
    <row r="8922" spans="1:21">
      <c r="A8922">
        <v>8921</v>
      </c>
      <c r="B8922" s="30" t="s">
        <v>1226</v>
      </c>
      <c r="D8922" s="30" t="s">
        <v>2024</v>
      </c>
      <c r="F8922" s="30" t="s">
        <v>2046</v>
      </c>
      <c r="H8922" s="30" t="s">
        <v>2859</v>
      </c>
      <c r="J8922" s="30" t="s">
        <v>2860</v>
      </c>
      <c r="L8922" s="30" t="s">
        <v>2990</v>
      </c>
      <c r="N8922" s="30" t="s">
        <v>3178</v>
      </c>
      <c r="P8922" s="30" t="s">
        <v>15439</v>
      </c>
      <c r="Q8922" t="s">
        <v>621</v>
      </c>
      <c r="R8922" t="s">
        <v>917</v>
      </c>
      <c r="S8922">
        <v>39</v>
      </c>
      <c r="T8922" s="29" t="str">
        <f>HYPERLINK("https://ictv.global/ictv/proposals/2023.001B.Leviviricetes_reorg.zip","2023.001B.Leviviricetes_reorg.zip")</f>
        <v>2023.001B.Leviviricetes_reorg.zip</v>
      </c>
      <c r="U8922" s="29" t="str">
        <f>HYPERLINK("https://ictv.global/taxonomy/taxondetails?taxnode_id=202316474","ictv.global=202316474")</f>
        <v>ictv.global=202316474</v>
      </c>
    </row>
    <row r="8923" spans="1:21">
      <c r="A8923">
        <v>8922</v>
      </c>
      <c r="B8923" s="30" t="s">
        <v>1226</v>
      </c>
      <c r="D8923" s="30" t="s">
        <v>2024</v>
      </c>
      <c r="F8923" s="30" t="s">
        <v>2046</v>
      </c>
      <c r="H8923" s="30" t="s">
        <v>2859</v>
      </c>
      <c r="J8923" s="30" t="s">
        <v>2860</v>
      </c>
      <c r="L8923" s="30" t="s">
        <v>2990</v>
      </c>
      <c r="N8923" s="30" t="s">
        <v>3178</v>
      </c>
      <c r="P8923" s="30" t="s">
        <v>3179</v>
      </c>
      <c r="Q8923" t="s">
        <v>621</v>
      </c>
      <c r="R8923" t="s">
        <v>917</v>
      </c>
      <c r="S8923">
        <v>36</v>
      </c>
      <c r="T8923" s="29" t="str">
        <f>HYPERLINK("https://ictv.global/ictv/proposals/2020.095B.R.Leviviricetes.zip","2020.095B.R.Leviviricetes.zip")</f>
        <v>2020.095B.R.Leviviricetes.zip</v>
      </c>
      <c r="U8923" s="29" t="str">
        <f>HYPERLINK("https://ictv.global/taxonomy/taxondetails?taxnode_id=202310458","ictv.global=202310458")</f>
        <v>ictv.global=202310458</v>
      </c>
    </row>
    <row r="8924" spans="1:21">
      <c r="A8924">
        <v>8923</v>
      </c>
      <c r="B8924" s="30" t="s">
        <v>1226</v>
      </c>
      <c r="D8924" s="30" t="s">
        <v>2024</v>
      </c>
      <c r="F8924" s="30" t="s">
        <v>2046</v>
      </c>
      <c r="H8924" s="30" t="s">
        <v>2859</v>
      </c>
      <c r="J8924" s="30" t="s">
        <v>2860</v>
      </c>
      <c r="L8924" s="30" t="s">
        <v>2990</v>
      </c>
      <c r="N8924" s="30" t="s">
        <v>15440</v>
      </c>
      <c r="P8924" s="30" t="s">
        <v>15441</v>
      </c>
      <c r="Q8924" t="s">
        <v>621</v>
      </c>
      <c r="R8924" t="s">
        <v>917</v>
      </c>
      <c r="S8924">
        <v>39</v>
      </c>
      <c r="T8924" s="29" t="str">
        <f>HYPERLINK("https://ictv.global/ictv/proposals/2023.001B.Leviviricetes_reorg.zip","2023.001B.Leviviricetes_reorg.zip")</f>
        <v>2023.001B.Leviviricetes_reorg.zip</v>
      </c>
      <c r="U8924" s="29" t="str">
        <f>HYPERLINK("https://ictv.global/taxonomy/taxondetails?taxnode_id=202316475","ictv.global=202316475")</f>
        <v>ictv.global=202316475</v>
      </c>
    </row>
    <row r="8925" spans="1:21">
      <c r="A8925">
        <v>8924</v>
      </c>
      <c r="B8925" s="30" t="s">
        <v>1226</v>
      </c>
      <c r="D8925" s="30" t="s">
        <v>2024</v>
      </c>
      <c r="F8925" s="30" t="s">
        <v>2046</v>
      </c>
      <c r="H8925" s="30" t="s">
        <v>2859</v>
      </c>
      <c r="J8925" s="30" t="s">
        <v>2860</v>
      </c>
      <c r="L8925" s="30" t="s">
        <v>2990</v>
      </c>
      <c r="N8925" s="30" t="s">
        <v>3180</v>
      </c>
      <c r="P8925" s="30" t="s">
        <v>3181</v>
      </c>
      <c r="Q8925" t="s">
        <v>621</v>
      </c>
      <c r="R8925" t="s">
        <v>917</v>
      </c>
      <c r="S8925">
        <v>36</v>
      </c>
      <c r="T8925" s="29" t="str">
        <f>HYPERLINK("https://ictv.global/ictv/proposals/2020.095B.R.Leviviricetes.zip","2020.095B.R.Leviviricetes.zip")</f>
        <v>2020.095B.R.Leviviricetes.zip</v>
      </c>
      <c r="U8925" s="29" t="str">
        <f>HYPERLINK("https://ictv.global/taxonomy/taxondetails?taxnode_id=202310460","ictv.global=202310460")</f>
        <v>ictv.global=202310460</v>
      </c>
    </row>
    <row r="8926" spans="1:21">
      <c r="A8926">
        <v>8925</v>
      </c>
      <c r="B8926" s="30" t="s">
        <v>1226</v>
      </c>
      <c r="D8926" s="30" t="s">
        <v>2024</v>
      </c>
      <c r="F8926" s="30" t="s">
        <v>2046</v>
      </c>
      <c r="H8926" s="30" t="s">
        <v>2859</v>
      </c>
      <c r="J8926" s="30" t="s">
        <v>2860</v>
      </c>
      <c r="L8926" s="30" t="s">
        <v>2990</v>
      </c>
      <c r="N8926" s="30" t="s">
        <v>15442</v>
      </c>
      <c r="P8926" s="30" t="s">
        <v>15443</v>
      </c>
      <c r="Q8926" t="s">
        <v>621</v>
      </c>
      <c r="R8926" t="s">
        <v>917</v>
      </c>
      <c r="S8926">
        <v>39</v>
      </c>
      <c r="T8926" s="29" t="str">
        <f>HYPERLINK("https://ictv.global/ictv/proposals/2023.001B.Leviviricetes_reorg.zip","2023.001B.Leviviricetes_reorg.zip")</f>
        <v>2023.001B.Leviviricetes_reorg.zip</v>
      </c>
      <c r="U8926" s="29" t="str">
        <f>HYPERLINK("https://ictv.global/taxonomy/taxondetails?taxnode_id=202316476","ictv.global=202316476")</f>
        <v>ictv.global=202316476</v>
      </c>
    </row>
    <row r="8927" spans="1:21">
      <c r="A8927">
        <v>8926</v>
      </c>
      <c r="B8927" s="30" t="s">
        <v>1226</v>
      </c>
      <c r="D8927" s="30" t="s">
        <v>2024</v>
      </c>
      <c r="F8927" s="30" t="s">
        <v>2046</v>
      </c>
      <c r="H8927" s="30" t="s">
        <v>2859</v>
      </c>
      <c r="J8927" s="30" t="s">
        <v>2860</v>
      </c>
      <c r="L8927" s="30" t="s">
        <v>2990</v>
      </c>
      <c r="N8927" s="30" t="s">
        <v>15442</v>
      </c>
      <c r="P8927" s="30" t="s">
        <v>15444</v>
      </c>
      <c r="Q8927" t="s">
        <v>621</v>
      </c>
      <c r="R8927" t="s">
        <v>917</v>
      </c>
      <c r="S8927">
        <v>39</v>
      </c>
      <c r="T8927" s="29" t="str">
        <f>HYPERLINK("https://ictv.global/ictv/proposals/2023.001B.Leviviricetes_reorg.zip","2023.001B.Leviviricetes_reorg.zip")</f>
        <v>2023.001B.Leviviricetes_reorg.zip</v>
      </c>
      <c r="U8927" s="29" t="str">
        <f>HYPERLINK("https://ictv.global/taxonomy/taxondetails?taxnode_id=202316477","ictv.global=202316477")</f>
        <v>ictv.global=202316477</v>
      </c>
    </row>
    <row r="8928" spans="1:21">
      <c r="A8928">
        <v>8927</v>
      </c>
      <c r="B8928" s="30" t="s">
        <v>1226</v>
      </c>
      <c r="D8928" s="30" t="s">
        <v>2024</v>
      </c>
      <c r="F8928" s="30" t="s">
        <v>2046</v>
      </c>
      <c r="H8928" s="30" t="s">
        <v>2859</v>
      </c>
      <c r="J8928" s="30" t="s">
        <v>2860</v>
      </c>
      <c r="L8928" s="30" t="s">
        <v>2990</v>
      </c>
      <c r="N8928" s="30" t="s">
        <v>3182</v>
      </c>
      <c r="P8928" s="30" t="s">
        <v>3183</v>
      </c>
      <c r="Q8928" t="s">
        <v>621</v>
      </c>
      <c r="R8928" t="s">
        <v>917</v>
      </c>
      <c r="S8928">
        <v>36</v>
      </c>
      <c r="T8928" s="29" t="str">
        <f>HYPERLINK("https://ictv.global/ictv/proposals/2020.095B.R.Leviviricetes.zip","2020.095B.R.Leviviricetes.zip")</f>
        <v>2020.095B.R.Leviviricetes.zip</v>
      </c>
      <c r="U8928" s="29" t="str">
        <f>HYPERLINK("https://ictv.global/taxonomy/taxondetails?taxnode_id=202310462","ictv.global=202310462")</f>
        <v>ictv.global=202310462</v>
      </c>
    </row>
    <row r="8929" spans="1:21">
      <c r="A8929">
        <v>8928</v>
      </c>
      <c r="B8929" s="30" t="s">
        <v>1226</v>
      </c>
      <c r="D8929" s="30" t="s">
        <v>2024</v>
      </c>
      <c r="F8929" s="30" t="s">
        <v>2046</v>
      </c>
      <c r="H8929" s="30" t="s">
        <v>2859</v>
      </c>
      <c r="J8929" s="30" t="s">
        <v>2860</v>
      </c>
      <c r="L8929" s="30" t="s">
        <v>2990</v>
      </c>
      <c r="N8929" s="30" t="s">
        <v>3184</v>
      </c>
      <c r="P8929" s="30" t="s">
        <v>15445</v>
      </c>
      <c r="Q8929" t="s">
        <v>621</v>
      </c>
      <c r="R8929" t="s">
        <v>917</v>
      </c>
      <c r="S8929">
        <v>39</v>
      </c>
      <c r="T8929" s="29" t="str">
        <f t="shared" ref="T8929:T8948" si="377">HYPERLINK("https://ictv.global/ictv/proposals/2023.001B.Leviviricetes_reorg.zip","2023.001B.Leviviricetes_reorg.zip")</f>
        <v>2023.001B.Leviviricetes_reorg.zip</v>
      </c>
      <c r="U8929" s="29" t="str">
        <f>HYPERLINK("https://ictv.global/taxonomy/taxondetails?taxnode_id=202316478","ictv.global=202316478")</f>
        <v>ictv.global=202316478</v>
      </c>
    </row>
    <row r="8930" spans="1:21">
      <c r="A8930">
        <v>8929</v>
      </c>
      <c r="B8930" s="30" t="s">
        <v>1226</v>
      </c>
      <c r="D8930" s="30" t="s">
        <v>2024</v>
      </c>
      <c r="F8930" s="30" t="s">
        <v>2046</v>
      </c>
      <c r="H8930" s="30" t="s">
        <v>2859</v>
      </c>
      <c r="J8930" s="30" t="s">
        <v>2860</v>
      </c>
      <c r="L8930" s="30" t="s">
        <v>2990</v>
      </c>
      <c r="N8930" s="30" t="s">
        <v>3184</v>
      </c>
      <c r="P8930" s="30" t="s">
        <v>15446</v>
      </c>
      <c r="Q8930" t="s">
        <v>621</v>
      </c>
      <c r="R8930" t="s">
        <v>917</v>
      </c>
      <c r="S8930">
        <v>39</v>
      </c>
      <c r="T8930" s="29" t="str">
        <f t="shared" si="377"/>
        <v>2023.001B.Leviviricetes_reorg.zip</v>
      </c>
      <c r="U8930" s="29" t="str">
        <f>HYPERLINK("https://ictv.global/taxonomy/taxondetails?taxnode_id=202316479","ictv.global=202316479")</f>
        <v>ictv.global=202316479</v>
      </c>
    </row>
    <row r="8931" spans="1:21">
      <c r="A8931">
        <v>8930</v>
      </c>
      <c r="B8931" s="30" t="s">
        <v>1226</v>
      </c>
      <c r="D8931" s="30" t="s">
        <v>2024</v>
      </c>
      <c r="F8931" s="30" t="s">
        <v>2046</v>
      </c>
      <c r="H8931" s="30" t="s">
        <v>2859</v>
      </c>
      <c r="J8931" s="30" t="s">
        <v>2860</v>
      </c>
      <c r="L8931" s="30" t="s">
        <v>2990</v>
      </c>
      <c r="N8931" s="30" t="s">
        <v>3184</v>
      </c>
      <c r="P8931" s="30" t="s">
        <v>15447</v>
      </c>
      <c r="Q8931" t="s">
        <v>621</v>
      </c>
      <c r="R8931" t="s">
        <v>917</v>
      </c>
      <c r="S8931">
        <v>39</v>
      </c>
      <c r="T8931" s="29" t="str">
        <f t="shared" si="377"/>
        <v>2023.001B.Leviviricetes_reorg.zip</v>
      </c>
      <c r="U8931" s="29" t="str">
        <f>HYPERLINK("https://ictv.global/taxonomy/taxondetails?taxnode_id=202316480","ictv.global=202316480")</f>
        <v>ictv.global=202316480</v>
      </c>
    </row>
    <row r="8932" spans="1:21">
      <c r="A8932">
        <v>8931</v>
      </c>
      <c r="B8932" s="30" t="s">
        <v>1226</v>
      </c>
      <c r="D8932" s="30" t="s">
        <v>2024</v>
      </c>
      <c r="F8932" s="30" t="s">
        <v>2046</v>
      </c>
      <c r="H8932" s="30" t="s">
        <v>2859</v>
      </c>
      <c r="J8932" s="30" t="s">
        <v>2860</v>
      </c>
      <c r="L8932" s="30" t="s">
        <v>2990</v>
      </c>
      <c r="N8932" s="30" t="s">
        <v>3184</v>
      </c>
      <c r="P8932" s="30" t="s">
        <v>15448</v>
      </c>
      <c r="Q8932" t="s">
        <v>621</v>
      </c>
      <c r="R8932" t="s">
        <v>917</v>
      </c>
      <c r="S8932">
        <v>39</v>
      </c>
      <c r="T8932" s="29" t="str">
        <f t="shared" si="377"/>
        <v>2023.001B.Leviviricetes_reorg.zip</v>
      </c>
      <c r="U8932" s="29" t="str">
        <f>HYPERLINK("https://ictv.global/taxonomy/taxondetails?taxnode_id=202316481","ictv.global=202316481")</f>
        <v>ictv.global=202316481</v>
      </c>
    </row>
    <row r="8933" spans="1:21">
      <c r="A8933">
        <v>8932</v>
      </c>
      <c r="B8933" s="30" t="s">
        <v>1226</v>
      </c>
      <c r="D8933" s="30" t="s">
        <v>2024</v>
      </c>
      <c r="F8933" s="30" t="s">
        <v>2046</v>
      </c>
      <c r="H8933" s="30" t="s">
        <v>2859</v>
      </c>
      <c r="J8933" s="30" t="s">
        <v>2860</v>
      </c>
      <c r="L8933" s="30" t="s">
        <v>2990</v>
      </c>
      <c r="N8933" s="30" t="s">
        <v>3184</v>
      </c>
      <c r="P8933" s="30" t="s">
        <v>15449</v>
      </c>
      <c r="Q8933" t="s">
        <v>621</v>
      </c>
      <c r="R8933" t="s">
        <v>917</v>
      </c>
      <c r="S8933">
        <v>39</v>
      </c>
      <c r="T8933" s="29" t="str">
        <f t="shared" si="377"/>
        <v>2023.001B.Leviviricetes_reorg.zip</v>
      </c>
      <c r="U8933" s="29" t="str">
        <f>HYPERLINK("https://ictv.global/taxonomy/taxondetails?taxnode_id=202316482","ictv.global=202316482")</f>
        <v>ictv.global=202316482</v>
      </c>
    </row>
    <row r="8934" spans="1:21">
      <c r="A8934">
        <v>8933</v>
      </c>
      <c r="B8934" s="30" t="s">
        <v>1226</v>
      </c>
      <c r="D8934" s="30" t="s">
        <v>2024</v>
      </c>
      <c r="F8934" s="30" t="s">
        <v>2046</v>
      </c>
      <c r="H8934" s="30" t="s">
        <v>2859</v>
      </c>
      <c r="J8934" s="30" t="s">
        <v>2860</v>
      </c>
      <c r="L8934" s="30" t="s">
        <v>2990</v>
      </c>
      <c r="N8934" s="30" t="s">
        <v>3184</v>
      </c>
      <c r="P8934" s="30" t="s">
        <v>15450</v>
      </c>
      <c r="Q8934" t="s">
        <v>621</v>
      </c>
      <c r="R8934" t="s">
        <v>917</v>
      </c>
      <c r="S8934">
        <v>39</v>
      </c>
      <c r="T8934" s="29" t="str">
        <f t="shared" si="377"/>
        <v>2023.001B.Leviviricetes_reorg.zip</v>
      </c>
      <c r="U8934" s="29" t="str">
        <f>HYPERLINK("https://ictv.global/taxonomy/taxondetails?taxnode_id=202316483","ictv.global=202316483")</f>
        <v>ictv.global=202316483</v>
      </c>
    </row>
    <row r="8935" spans="1:21">
      <c r="A8935">
        <v>8934</v>
      </c>
      <c r="B8935" s="30" t="s">
        <v>1226</v>
      </c>
      <c r="D8935" s="30" t="s">
        <v>2024</v>
      </c>
      <c r="F8935" s="30" t="s">
        <v>2046</v>
      </c>
      <c r="H8935" s="30" t="s">
        <v>2859</v>
      </c>
      <c r="J8935" s="30" t="s">
        <v>2860</v>
      </c>
      <c r="L8935" s="30" t="s">
        <v>2990</v>
      </c>
      <c r="N8935" s="30" t="s">
        <v>3184</v>
      </c>
      <c r="P8935" s="30" t="s">
        <v>15451</v>
      </c>
      <c r="Q8935" t="s">
        <v>621</v>
      </c>
      <c r="R8935" t="s">
        <v>917</v>
      </c>
      <c r="S8935">
        <v>39</v>
      </c>
      <c r="T8935" s="29" t="str">
        <f t="shared" si="377"/>
        <v>2023.001B.Leviviricetes_reorg.zip</v>
      </c>
      <c r="U8935" s="29" t="str">
        <f>HYPERLINK("https://ictv.global/taxonomy/taxondetails?taxnode_id=202316484","ictv.global=202316484")</f>
        <v>ictv.global=202316484</v>
      </c>
    </row>
    <row r="8936" spans="1:21">
      <c r="A8936">
        <v>8935</v>
      </c>
      <c r="B8936" s="30" t="s">
        <v>1226</v>
      </c>
      <c r="D8936" s="30" t="s">
        <v>2024</v>
      </c>
      <c r="F8936" s="30" t="s">
        <v>2046</v>
      </c>
      <c r="H8936" s="30" t="s">
        <v>2859</v>
      </c>
      <c r="J8936" s="30" t="s">
        <v>2860</v>
      </c>
      <c r="L8936" s="30" t="s">
        <v>2990</v>
      </c>
      <c r="N8936" s="30" t="s">
        <v>3184</v>
      </c>
      <c r="P8936" s="30" t="s">
        <v>15452</v>
      </c>
      <c r="Q8936" t="s">
        <v>621</v>
      </c>
      <c r="R8936" t="s">
        <v>917</v>
      </c>
      <c r="S8936">
        <v>39</v>
      </c>
      <c r="T8936" s="29" t="str">
        <f t="shared" si="377"/>
        <v>2023.001B.Leviviricetes_reorg.zip</v>
      </c>
      <c r="U8936" s="29" t="str">
        <f>HYPERLINK("https://ictv.global/taxonomy/taxondetails?taxnode_id=202316485","ictv.global=202316485")</f>
        <v>ictv.global=202316485</v>
      </c>
    </row>
    <row r="8937" spans="1:21">
      <c r="A8937">
        <v>8936</v>
      </c>
      <c r="B8937" s="30" t="s">
        <v>1226</v>
      </c>
      <c r="D8937" s="30" t="s">
        <v>2024</v>
      </c>
      <c r="F8937" s="30" t="s">
        <v>2046</v>
      </c>
      <c r="H8937" s="30" t="s">
        <v>2859</v>
      </c>
      <c r="J8937" s="30" t="s">
        <v>2860</v>
      </c>
      <c r="L8937" s="30" t="s">
        <v>2990</v>
      </c>
      <c r="N8937" s="30" t="s">
        <v>3184</v>
      </c>
      <c r="P8937" s="30" t="s">
        <v>15453</v>
      </c>
      <c r="Q8937" t="s">
        <v>621</v>
      </c>
      <c r="R8937" t="s">
        <v>917</v>
      </c>
      <c r="S8937">
        <v>39</v>
      </c>
      <c r="T8937" s="29" t="str">
        <f t="shared" si="377"/>
        <v>2023.001B.Leviviricetes_reorg.zip</v>
      </c>
      <c r="U8937" s="29" t="str">
        <f>HYPERLINK("https://ictv.global/taxonomy/taxondetails?taxnode_id=202316486","ictv.global=202316486")</f>
        <v>ictv.global=202316486</v>
      </c>
    </row>
    <row r="8938" spans="1:21">
      <c r="A8938">
        <v>8937</v>
      </c>
      <c r="B8938" s="30" t="s">
        <v>1226</v>
      </c>
      <c r="D8938" s="30" t="s">
        <v>2024</v>
      </c>
      <c r="F8938" s="30" t="s">
        <v>2046</v>
      </c>
      <c r="H8938" s="30" t="s">
        <v>2859</v>
      </c>
      <c r="J8938" s="30" t="s">
        <v>2860</v>
      </c>
      <c r="L8938" s="30" t="s">
        <v>2990</v>
      </c>
      <c r="N8938" s="30" t="s">
        <v>3184</v>
      </c>
      <c r="P8938" s="30" t="s">
        <v>15454</v>
      </c>
      <c r="Q8938" t="s">
        <v>621</v>
      </c>
      <c r="R8938" t="s">
        <v>917</v>
      </c>
      <c r="S8938">
        <v>39</v>
      </c>
      <c r="T8938" s="29" t="str">
        <f t="shared" si="377"/>
        <v>2023.001B.Leviviricetes_reorg.zip</v>
      </c>
      <c r="U8938" s="29" t="str">
        <f>HYPERLINK("https://ictv.global/taxonomy/taxondetails?taxnode_id=202316487","ictv.global=202316487")</f>
        <v>ictv.global=202316487</v>
      </c>
    </row>
    <row r="8939" spans="1:21">
      <c r="A8939">
        <v>8938</v>
      </c>
      <c r="B8939" s="30" t="s">
        <v>1226</v>
      </c>
      <c r="D8939" s="30" t="s">
        <v>2024</v>
      </c>
      <c r="F8939" s="30" t="s">
        <v>2046</v>
      </c>
      <c r="H8939" s="30" t="s">
        <v>2859</v>
      </c>
      <c r="J8939" s="30" t="s">
        <v>2860</v>
      </c>
      <c r="L8939" s="30" t="s">
        <v>2990</v>
      </c>
      <c r="N8939" s="30" t="s">
        <v>3184</v>
      </c>
      <c r="P8939" s="30" t="s">
        <v>15455</v>
      </c>
      <c r="Q8939" t="s">
        <v>621</v>
      </c>
      <c r="R8939" t="s">
        <v>917</v>
      </c>
      <c r="S8939">
        <v>39</v>
      </c>
      <c r="T8939" s="29" t="str">
        <f t="shared" si="377"/>
        <v>2023.001B.Leviviricetes_reorg.zip</v>
      </c>
      <c r="U8939" s="29" t="str">
        <f>HYPERLINK("https://ictv.global/taxonomy/taxondetails?taxnode_id=202316488","ictv.global=202316488")</f>
        <v>ictv.global=202316488</v>
      </c>
    </row>
    <row r="8940" spans="1:21">
      <c r="A8940">
        <v>8939</v>
      </c>
      <c r="B8940" s="30" t="s">
        <v>1226</v>
      </c>
      <c r="D8940" s="30" t="s">
        <v>2024</v>
      </c>
      <c r="F8940" s="30" t="s">
        <v>2046</v>
      </c>
      <c r="H8940" s="30" t="s">
        <v>2859</v>
      </c>
      <c r="J8940" s="30" t="s">
        <v>2860</v>
      </c>
      <c r="L8940" s="30" t="s">
        <v>2990</v>
      </c>
      <c r="N8940" s="30" t="s">
        <v>3184</v>
      </c>
      <c r="P8940" s="30" t="s">
        <v>15456</v>
      </c>
      <c r="Q8940" t="s">
        <v>621</v>
      </c>
      <c r="R8940" t="s">
        <v>917</v>
      </c>
      <c r="S8940">
        <v>39</v>
      </c>
      <c r="T8940" s="29" t="str">
        <f t="shared" si="377"/>
        <v>2023.001B.Leviviricetes_reorg.zip</v>
      </c>
      <c r="U8940" s="29" t="str">
        <f>HYPERLINK("https://ictv.global/taxonomy/taxondetails?taxnode_id=202316489","ictv.global=202316489")</f>
        <v>ictv.global=202316489</v>
      </c>
    </row>
    <row r="8941" spans="1:21">
      <c r="A8941">
        <v>8940</v>
      </c>
      <c r="B8941" s="30" t="s">
        <v>1226</v>
      </c>
      <c r="D8941" s="30" t="s">
        <v>2024</v>
      </c>
      <c r="F8941" s="30" t="s">
        <v>2046</v>
      </c>
      <c r="H8941" s="30" t="s">
        <v>2859</v>
      </c>
      <c r="J8941" s="30" t="s">
        <v>2860</v>
      </c>
      <c r="L8941" s="30" t="s">
        <v>2990</v>
      </c>
      <c r="N8941" s="30" t="s">
        <v>3184</v>
      </c>
      <c r="P8941" s="30" t="s">
        <v>15457</v>
      </c>
      <c r="Q8941" t="s">
        <v>621</v>
      </c>
      <c r="R8941" t="s">
        <v>917</v>
      </c>
      <c r="S8941">
        <v>39</v>
      </c>
      <c r="T8941" s="29" t="str">
        <f t="shared" si="377"/>
        <v>2023.001B.Leviviricetes_reorg.zip</v>
      </c>
      <c r="U8941" s="29" t="str">
        <f>HYPERLINK("https://ictv.global/taxonomy/taxondetails?taxnode_id=202316490","ictv.global=202316490")</f>
        <v>ictv.global=202316490</v>
      </c>
    </row>
    <row r="8942" spans="1:21">
      <c r="A8942">
        <v>8941</v>
      </c>
      <c r="B8942" s="30" t="s">
        <v>1226</v>
      </c>
      <c r="D8942" s="30" t="s">
        <v>2024</v>
      </c>
      <c r="F8942" s="30" t="s">
        <v>2046</v>
      </c>
      <c r="H8942" s="30" t="s">
        <v>2859</v>
      </c>
      <c r="J8942" s="30" t="s">
        <v>2860</v>
      </c>
      <c r="L8942" s="30" t="s">
        <v>2990</v>
      </c>
      <c r="N8942" s="30" t="s">
        <v>3184</v>
      </c>
      <c r="P8942" s="30" t="s">
        <v>15458</v>
      </c>
      <c r="Q8942" t="s">
        <v>621</v>
      </c>
      <c r="R8942" t="s">
        <v>918</v>
      </c>
      <c r="S8942">
        <v>39</v>
      </c>
      <c r="T8942" s="29" t="str">
        <f t="shared" si="377"/>
        <v>2023.001B.Leviviricetes_reorg.zip</v>
      </c>
      <c r="U8942" s="29" t="str">
        <f>HYPERLINK("https://ictv.global/taxonomy/taxondetails?taxnode_id=202310248","ictv.global=202310248")</f>
        <v>ictv.global=202310248</v>
      </c>
    </row>
    <row r="8943" spans="1:21">
      <c r="A8943">
        <v>8942</v>
      </c>
      <c r="B8943" s="30" t="s">
        <v>1226</v>
      </c>
      <c r="D8943" s="30" t="s">
        <v>2024</v>
      </c>
      <c r="F8943" s="30" t="s">
        <v>2046</v>
      </c>
      <c r="H8943" s="30" t="s">
        <v>2859</v>
      </c>
      <c r="J8943" s="30" t="s">
        <v>2860</v>
      </c>
      <c r="L8943" s="30" t="s">
        <v>2990</v>
      </c>
      <c r="N8943" s="30" t="s">
        <v>3184</v>
      </c>
      <c r="P8943" s="30" t="s">
        <v>15459</v>
      </c>
      <c r="Q8943" t="s">
        <v>621</v>
      </c>
      <c r="R8943" t="s">
        <v>917</v>
      </c>
      <c r="S8943">
        <v>39</v>
      </c>
      <c r="T8943" s="29" t="str">
        <f t="shared" si="377"/>
        <v>2023.001B.Leviviricetes_reorg.zip</v>
      </c>
      <c r="U8943" s="29" t="str">
        <f>HYPERLINK("https://ictv.global/taxonomy/taxondetails?taxnode_id=202316491","ictv.global=202316491")</f>
        <v>ictv.global=202316491</v>
      </c>
    </row>
    <row r="8944" spans="1:21">
      <c r="A8944">
        <v>8943</v>
      </c>
      <c r="B8944" s="30" t="s">
        <v>1226</v>
      </c>
      <c r="D8944" s="30" t="s">
        <v>2024</v>
      </c>
      <c r="F8944" s="30" t="s">
        <v>2046</v>
      </c>
      <c r="H8944" s="30" t="s">
        <v>2859</v>
      </c>
      <c r="J8944" s="30" t="s">
        <v>2860</v>
      </c>
      <c r="L8944" s="30" t="s">
        <v>2990</v>
      </c>
      <c r="N8944" s="30" t="s">
        <v>3184</v>
      </c>
      <c r="P8944" s="30" t="s">
        <v>15460</v>
      </c>
      <c r="Q8944" t="s">
        <v>621</v>
      </c>
      <c r="R8944" t="s">
        <v>917</v>
      </c>
      <c r="S8944">
        <v>39</v>
      </c>
      <c r="T8944" s="29" t="str">
        <f t="shared" si="377"/>
        <v>2023.001B.Leviviricetes_reorg.zip</v>
      </c>
      <c r="U8944" s="29" t="str">
        <f>HYPERLINK("https://ictv.global/taxonomy/taxondetails?taxnode_id=202316492","ictv.global=202316492")</f>
        <v>ictv.global=202316492</v>
      </c>
    </row>
    <row r="8945" spans="1:21">
      <c r="A8945">
        <v>8944</v>
      </c>
      <c r="B8945" s="30" t="s">
        <v>1226</v>
      </c>
      <c r="D8945" s="30" t="s">
        <v>2024</v>
      </c>
      <c r="F8945" s="30" t="s">
        <v>2046</v>
      </c>
      <c r="H8945" s="30" t="s">
        <v>2859</v>
      </c>
      <c r="J8945" s="30" t="s">
        <v>2860</v>
      </c>
      <c r="L8945" s="30" t="s">
        <v>2990</v>
      </c>
      <c r="N8945" s="30" t="s">
        <v>3184</v>
      </c>
      <c r="P8945" s="30" t="s">
        <v>15461</v>
      </c>
      <c r="Q8945" t="s">
        <v>621</v>
      </c>
      <c r="R8945" t="s">
        <v>917</v>
      </c>
      <c r="S8945">
        <v>39</v>
      </c>
      <c r="T8945" s="29" t="str">
        <f t="shared" si="377"/>
        <v>2023.001B.Leviviricetes_reorg.zip</v>
      </c>
      <c r="U8945" s="29" t="str">
        <f>HYPERLINK("https://ictv.global/taxonomy/taxondetails?taxnode_id=202316493","ictv.global=202316493")</f>
        <v>ictv.global=202316493</v>
      </c>
    </row>
    <row r="8946" spans="1:21">
      <c r="A8946">
        <v>8945</v>
      </c>
      <c r="B8946" s="30" t="s">
        <v>1226</v>
      </c>
      <c r="D8946" s="30" t="s">
        <v>2024</v>
      </c>
      <c r="F8946" s="30" t="s">
        <v>2046</v>
      </c>
      <c r="H8946" s="30" t="s">
        <v>2859</v>
      </c>
      <c r="J8946" s="30" t="s">
        <v>2860</v>
      </c>
      <c r="L8946" s="30" t="s">
        <v>2990</v>
      </c>
      <c r="N8946" s="30" t="s">
        <v>3184</v>
      </c>
      <c r="P8946" s="30" t="s">
        <v>15462</v>
      </c>
      <c r="Q8946" t="s">
        <v>621</v>
      </c>
      <c r="R8946" t="s">
        <v>917</v>
      </c>
      <c r="S8946">
        <v>39</v>
      </c>
      <c r="T8946" s="29" t="str">
        <f t="shared" si="377"/>
        <v>2023.001B.Leviviricetes_reorg.zip</v>
      </c>
      <c r="U8946" s="29" t="str">
        <f>HYPERLINK("https://ictv.global/taxonomy/taxondetails?taxnode_id=202316494","ictv.global=202316494")</f>
        <v>ictv.global=202316494</v>
      </c>
    </row>
    <row r="8947" spans="1:21">
      <c r="A8947">
        <v>8946</v>
      </c>
      <c r="B8947" s="30" t="s">
        <v>1226</v>
      </c>
      <c r="D8947" s="30" t="s">
        <v>2024</v>
      </c>
      <c r="F8947" s="30" t="s">
        <v>2046</v>
      </c>
      <c r="H8947" s="30" t="s">
        <v>2859</v>
      </c>
      <c r="J8947" s="30" t="s">
        <v>2860</v>
      </c>
      <c r="L8947" s="30" t="s">
        <v>2990</v>
      </c>
      <c r="N8947" s="30" t="s">
        <v>3184</v>
      </c>
      <c r="P8947" s="30" t="s">
        <v>15463</v>
      </c>
      <c r="Q8947" t="s">
        <v>621</v>
      </c>
      <c r="R8947" t="s">
        <v>917</v>
      </c>
      <c r="S8947">
        <v>39</v>
      </c>
      <c r="T8947" s="29" t="str">
        <f t="shared" si="377"/>
        <v>2023.001B.Leviviricetes_reorg.zip</v>
      </c>
      <c r="U8947" s="29" t="str">
        <f>HYPERLINK("https://ictv.global/taxonomy/taxondetails?taxnode_id=202316495","ictv.global=202316495")</f>
        <v>ictv.global=202316495</v>
      </c>
    </row>
    <row r="8948" spans="1:21">
      <c r="A8948">
        <v>8947</v>
      </c>
      <c r="B8948" s="30" t="s">
        <v>1226</v>
      </c>
      <c r="D8948" s="30" t="s">
        <v>2024</v>
      </c>
      <c r="F8948" s="30" t="s">
        <v>2046</v>
      </c>
      <c r="H8948" s="30" t="s">
        <v>2859</v>
      </c>
      <c r="J8948" s="30" t="s">
        <v>2860</v>
      </c>
      <c r="L8948" s="30" t="s">
        <v>2990</v>
      </c>
      <c r="N8948" s="30" t="s">
        <v>3184</v>
      </c>
      <c r="P8948" s="30" t="s">
        <v>15464</v>
      </c>
      <c r="Q8948" t="s">
        <v>621</v>
      </c>
      <c r="R8948" t="s">
        <v>917</v>
      </c>
      <c r="S8948">
        <v>39</v>
      </c>
      <c r="T8948" s="29" t="str">
        <f t="shared" si="377"/>
        <v>2023.001B.Leviviricetes_reorg.zip</v>
      </c>
      <c r="U8948" s="29" t="str">
        <f>HYPERLINK("https://ictv.global/taxonomy/taxondetails?taxnode_id=202316496","ictv.global=202316496")</f>
        <v>ictv.global=202316496</v>
      </c>
    </row>
    <row r="8949" spans="1:21">
      <c r="A8949">
        <v>8948</v>
      </c>
      <c r="B8949" s="30" t="s">
        <v>1226</v>
      </c>
      <c r="D8949" s="30" t="s">
        <v>2024</v>
      </c>
      <c r="F8949" s="30" t="s">
        <v>2046</v>
      </c>
      <c r="H8949" s="30" t="s">
        <v>2859</v>
      </c>
      <c r="J8949" s="30" t="s">
        <v>2860</v>
      </c>
      <c r="L8949" s="30" t="s">
        <v>2990</v>
      </c>
      <c r="N8949" s="30" t="s">
        <v>3184</v>
      </c>
      <c r="P8949" s="30" t="s">
        <v>3185</v>
      </c>
      <c r="Q8949" t="s">
        <v>621</v>
      </c>
      <c r="R8949" t="s">
        <v>917</v>
      </c>
      <c r="S8949">
        <v>36</v>
      </c>
      <c r="T8949" s="29" t="str">
        <f>HYPERLINK("https://ictv.global/ictv/proposals/2020.095B.R.Leviviricetes.zip","2020.095B.R.Leviviricetes.zip")</f>
        <v>2020.095B.R.Leviviricetes.zip</v>
      </c>
      <c r="U8949" s="29" t="str">
        <f>HYPERLINK("https://ictv.global/taxonomy/taxondetails?taxnode_id=202310465","ictv.global=202310465")</f>
        <v>ictv.global=202310465</v>
      </c>
    </row>
    <row r="8950" spans="1:21">
      <c r="A8950">
        <v>8949</v>
      </c>
      <c r="B8950" s="30" t="s">
        <v>1226</v>
      </c>
      <c r="D8950" s="30" t="s">
        <v>2024</v>
      </c>
      <c r="F8950" s="30" t="s">
        <v>2046</v>
      </c>
      <c r="H8950" s="30" t="s">
        <v>2859</v>
      </c>
      <c r="J8950" s="30" t="s">
        <v>2860</v>
      </c>
      <c r="L8950" s="30" t="s">
        <v>2990</v>
      </c>
      <c r="N8950" s="30" t="s">
        <v>3184</v>
      </c>
      <c r="P8950" s="30" t="s">
        <v>3186</v>
      </c>
      <c r="Q8950" t="s">
        <v>621</v>
      </c>
      <c r="R8950" t="s">
        <v>917</v>
      </c>
      <c r="S8950">
        <v>36</v>
      </c>
      <c r="T8950" s="29" t="str">
        <f>HYPERLINK("https://ictv.global/ictv/proposals/2020.095B.R.Leviviricetes.zip","2020.095B.R.Leviviricetes.zip")</f>
        <v>2020.095B.R.Leviviricetes.zip</v>
      </c>
      <c r="U8950" s="29" t="str">
        <f>HYPERLINK("https://ictv.global/taxonomy/taxondetails?taxnode_id=202310466","ictv.global=202310466")</f>
        <v>ictv.global=202310466</v>
      </c>
    </row>
    <row r="8951" spans="1:21">
      <c r="A8951">
        <v>8950</v>
      </c>
      <c r="B8951" s="30" t="s">
        <v>1226</v>
      </c>
      <c r="D8951" s="30" t="s">
        <v>2024</v>
      </c>
      <c r="F8951" s="30" t="s">
        <v>2046</v>
      </c>
      <c r="H8951" s="30" t="s">
        <v>2859</v>
      </c>
      <c r="J8951" s="30" t="s">
        <v>2860</v>
      </c>
      <c r="L8951" s="30" t="s">
        <v>2990</v>
      </c>
      <c r="N8951" s="30" t="s">
        <v>3184</v>
      </c>
      <c r="P8951" s="30" t="s">
        <v>3187</v>
      </c>
      <c r="Q8951" t="s">
        <v>621</v>
      </c>
      <c r="R8951" t="s">
        <v>917</v>
      </c>
      <c r="S8951">
        <v>36</v>
      </c>
      <c r="T8951" s="29" t="str">
        <f>HYPERLINK("https://ictv.global/ictv/proposals/2020.095B.R.Leviviricetes.zip","2020.095B.R.Leviviricetes.zip")</f>
        <v>2020.095B.R.Leviviricetes.zip</v>
      </c>
      <c r="U8951" s="29" t="str">
        <f>HYPERLINK("https://ictv.global/taxonomy/taxondetails?taxnode_id=202310468","ictv.global=202310468")</f>
        <v>ictv.global=202310468</v>
      </c>
    </row>
    <row r="8952" spans="1:21">
      <c r="A8952">
        <v>8951</v>
      </c>
      <c r="B8952" s="30" t="s">
        <v>1226</v>
      </c>
      <c r="D8952" s="30" t="s">
        <v>2024</v>
      </c>
      <c r="F8952" s="30" t="s">
        <v>2046</v>
      </c>
      <c r="H8952" s="30" t="s">
        <v>2859</v>
      </c>
      <c r="J8952" s="30" t="s">
        <v>2860</v>
      </c>
      <c r="L8952" s="30" t="s">
        <v>2990</v>
      </c>
      <c r="N8952" s="30" t="s">
        <v>3184</v>
      </c>
      <c r="P8952" s="30" t="s">
        <v>3188</v>
      </c>
      <c r="Q8952" t="s">
        <v>621</v>
      </c>
      <c r="R8952" t="s">
        <v>917</v>
      </c>
      <c r="S8952">
        <v>36</v>
      </c>
      <c r="T8952" s="29" t="str">
        <f>HYPERLINK("https://ictv.global/ictv/proposals/2020.095B.R.Leviviricetes.zip","2020.095B.R.Leviviricetes.zip")</f>
        <v>2020.095B.R.Leviviricetes.zip</v>
      </c>
      <c r="U8952" s="29" t="str">
        <f>HYPERLINK("https://ictv.global/taxonomy/taxondetails?taxnode_id=202310469","ictv.global=202310469")</f>
        <v>ictv.global=202310469</v>
      </c>
    </row>
    <row r="8953" spans="1:21">
      <c r="A8953">
        <v>8952</v>
      </c>
      <c r="B8953" s="30" t="s">
        <v>1226</v>
      </c>
      <c r="D8953" s="30" t="s">
        <v>2024</v>
      </c>
      <c r="F8953" s="30" t="s">
        <v>2046</v>
      </c>
      <c r="H8953" s="30" t="s">
        <v>2859</v>
      </c>
      <c r="J8953" s="30" t="s">
        <v>2860</v>
      </c>
      <c r="L8953" s="30" t="s">
        <v>2990</v>
      </c>
      <c r="N8953" s="30" t="s">
        <v>3184</v>
      </c>
      <c r="P8953" s="30" t="s">
        <v>3189</v>
      </c>
      <c r="Q8953" t="s">
        <v>621</v>
      </c>
      <c r="R8953" t="s">
        <v>917</v>
      </c>
      <c r="S8953">
        <v>36</v>
      </c>
      <c r="T8953" s="29" t="str">
        <f>HYPERLINK("https://ictv.global/ictv/proposals/2020.095B.R.Leviviricetes.zip","2020.095B.R.Leviviricetes.zip")</f>
        <v>2020.095B.R.Leviviricetes.zip</v>
      </c>
      <c r="U8953" s="29" t="str">
        <f>HYPERLINK("https://ictv.global/taxonomy/taxondetails?taxnode_id=202310470","ictv.global=202310470")</f>
        <v>ictv.global=202310470</v>
      </c>
    </row>
    <row r="8954" spans="1:21">
      <c r="A8954">
        <v>8953</v>
      </c>
      <c r="B8954" s="30" t="s">
        <v>1226</v>
      </c>
      <c r="D8954" s="30" t="s">
        <v>2024</v>
      </c>
      <c r="F8954" s="30" t="s">
        <v>2046</v>
      </c>
      <c r="H8954" s="30" t="s">
        <v>2859</v>
      </c>
      <c r="J8954" s="30" t="s">
        <v>2860</v>
      </c>
      <c r="L8954" s="30" t="s">
        <v>2990</v>
      </c>
      <c r="N8954" s="30" t="s">
        <v>3184</v>
      </c>
      <c r="P8954" s="30" t="s">
        <v>15465</v>
      </c>
      <c r="Q8954" t="s">
        <v>621</v>
      </c>
      <c r="R8954" t="s">
        <v>917</v>
      </c>
      <c r="S8954">
        <v>39</v>
      </c>
      <c r="T8954" s="29" t="str">
        <f>HYPERLINK("https://ictv.global/ictv/proposals/2023.001B.Leviviricetes_reorg.zip","2023.001B.Leviviricetes_reorg.zip")</f>
        <v>2023.001B.Leviviricetes_reorg.zip</v>
      </c>
      <c r="U8954" s="29" t="str">
        <f>HYPERLINK("https://ictv.global/taxonomy/taxondetails?taxnode_id=202316497","ictv.global=202316497")</f>
        <v>ictv.global=202316497</v>
      </c>
    </row>
    <row r="8955" spans="1:21">
      <c r="A8955">
        <v>8954</v>
      </c>
      <c r="B8955" s="30" t="s">
        <v>1226</v>
      </c>
      <c r="D8955" s="30" t="s">
        <v>2024</v>
      </c>
      <c r="F8955" s="30" t="s">
        <v>2046</v>
      </c>
      <c r="H8955" s="30" t="s">
        <v>2859</v>
      </c>
      <c r="J8955" s="30" t="s">
        <v>2860</v>
      </c>
      <c r="L8955" s="30" t="s">
        <v>2990</v>
      </c>
      <c r="N8955" s="30" t="s">
        <v>3184</v>
      </c>
      <c r="P8955" s="30" t="s">
        <v>15466</v>
      </c>
      <c r="Q8955" t="s">
        <v>621</v>
      </c>
      <c r="R8955" t="s">
        <v>917</v>
      </c>
      <c r="S8955">
        <v>39</v>
      </c>
      <c r="T8955" s="29" t="str">
        <f>HYPERLINK("https://ictv.global/ictv/proposals/2023.001B.Leviviricetes_reorg.zip","2023.001B.Leviviricetes_reorg.zip")</f>
        <v>2023.001B.Leviviricetes_reorg.zip</v>
      </c>
      <c r="U8955" s="29" t="str">
        <f>HYPERLINK("https://ictv.global/taxonomy/taxondetails?taxnode_id=202316498","ictv.global=202316498")</f>
        <v>ictv.global=202316498</v>
      </c>
    </row>
    <row r="8956" spans="1:21">
      <c r="A8956">
        <v>8955</v>
      </c>
      <c r="B8956" s="30" t="s">
        <v>1226</v>
      </c>
      <c r="D8956" s="30" t="s">
        <v>2024</v>
      </c>
      <c r="F8956" s="30" t="s">
        <v>2046</v>
      </c>
      <c r="H8956" s="30" t="s">
        <v>2859</v>
      </c>
      <c r="J8956" s="30" t="s">
        <v>2860</v>
      </c>
      <c r="L8956" s="30" t="s">
        <v>2990</v>
      </c>
      <c r="N8956" s="30" t="s">
        <v>3184</v>
      </c>
      <c r="P8956" s="30" t="s">
        <v>15467</v>
      </c>
      <c r="Q8956" t="s">
        <v>621</v>
      </c>
      <c r="R8956" t="s">
        <v>917</v>
      </c>
      <c r="S8956">
        <v>39</v>
      </c>
      <c r="T8956" s="29" t="str">
        <f>HYPERLINK("https://ictv.global/ictv/proposals/2023.001B.Leviviricetes_reorg.zip","2023.001B.Leviviricetes_reorg.zip")</f>
        <v>2023.001B.Leviviricetes_reorg.zip</v>
      </c>
      <c r="U8956" s="29" t="str">
        <f>HYPERLINK("https://ictv.global/taxonomy/taxondetails?taxnode_id=202316499","ictv.global=202316499")</f>
        <v>ictv.global=202316499</v>
      </c>
    </row>
    <row r="8957" spans="1:21">
      <c r="A8957">
        <v>8956</v>
      </c>
      <c r="B8957" s="30" t="s">
        <v>1226</v>
      </c>
      <c r="D8957" s="30" t="s">
        <v>2024</v>
      </c>
      <c r="F8957" s="30" t="s">
        <v>2046</v>
      </c>
      <c r="H8957" s="30" t="s">
        <v>2859</v>
      </c>
      <c r="J8957" s="30" t="s">
        <v>2860</v>
      </c>
      <c r="L8957" s="30" t="s">
        <v>2990</v>
      </c>
      <c r="N8957" s="30" t="s">
        <v>3184</v>
      </c>
      <c r="P8957" s="30" t="s">
        <v>15468</v>
      </c>
      <c r="Q8957" t="s">
        <v>621</v>
      </c>
      <c r="R8957" t="s">
        <v>917</v>
      </c>
      <c r="S8957">
        <v>39</v>
      </c>
      <c r="T8957" s="29" t="str">
        <f>HYPERLINK("https://ictv.global/ictv/proposals/2023.001B.Leviviricetes_reorg.zip","2023.001B.Leviviricetes_reorg.zip")</f>
        <v>2023.001B.Leviviricetes_reorg.zip</v>
      </c>
      <c r="U8957" s="29" t="str">
        <f>HYPERLINK("https://ictv.global/taxonomy/taxondetails?taxnode_id=202316500","ictv.global=202316500")</f>
        <v>ictv.global=202316500</v>
      </c>
    </row>
    <row r="8958" spans="1:21">
      <c r="A8958">
        <v>8957</v>
      </c>
      <c r="B8958" s="30" t="s">
        <v>1226</v>
      </c>
      <c r="D8958" s="30" t="s">
        <v>2024</v>
      </c>
      <c r="F8958" s="30" t="s">
        <v>2046</v>
      </c>
      <c r="H8958" s="30" t="s">
        <v>2859</v>
      </c>
      <c r="J8958" s="30" t="s">
        <v>2860</v>
      </c>
      <c r="L8958" s="30" t="s">
        <v>2990</v>
      </c>
      <c r="N8958" s="30" t="s">
        <v>3184</v>
      </c>
      <c r="P8958" s="30" t="s">
        <v>15469</v>
      </c>
      <c r="Q8958" t="s">
        <v>621</v>
      </c>
      <c r="R8958" t="s">
        <v>917</v>
      </c>
      <c r="S8958">
        <v>39</v>
      </c>
      <c r="T8958" s="29" t="str">
        <f>HYPERLINK("https://ictv.global/ictv/proposals/2023.001B.Leviviricetes_reorg.zip","2023.001B.Leviviricetes_reorg.zip")</f>
        <v>2023.001B.Leviviricetes_reorg.zip</v>
      </c>
      <c r="U8958" s="29" t="str">
        <f>HYPERLINK("https://ictv.global/taxonomy/taxondetails?taxnode_id=202316501","ictv.global=202316501")</f>
        <v>ictv.global=202316501</v>
      </c>
    </row>
    <row r="8959" spans="1:21">
      <c r="A8959">
        <v>8958</v>
      </c>
      <c r="B8959" s="30" t="s">
        <v>1226</v>
      </c>
      <c r="D8959" s="30" t="s">
        <v>2024</v>
      </c>
      <c r="F8959" s="30" t="s">
        <v>2046</v>
      </c>
      <c r="H8959" s="30" t="s">
        <v>2859</v>
      </c>
      <c r="J8959" s="30" t="s">
        <v>2860</v>
      </c>
      <c r="L8959" s="30" t="s">
        <v>2990</v>
      </c>
      <c r="N8959" s="30" t="s">
        <v>3184</v>
      </c>
      <c r="P8959" s="30" t="s">
        <v>3190</v>
      </c>
      <c r="Q8959" t="s">
        <v>621</v>
      </c>
      <c r="R8959" t="s">
        <v>917</v>
      </c>
      <c r="S8959">
        <v>36</v>
      </c>
      <c r="T8959" s="29" t="str">
        <f>HYPERLINK("https://ictv.global/ictv/proposals/2020.095B.R.Leviviricetes.zip","2020.095B.R.Leviviricetes.zip")</f>
        <v>2020.095B.R.Leviviricetes.zip</v>
      </c>
      <c r="U8959" s="29" t="str">
        <f>HYPERLINK("https://ictv.global/taxonomy/taxondetails?taxnode_id=202310464","ictv.global=202310464")</f>
        <v>ictv.global=202310464</v>
      </c>
    </row>
    <row r="8960" spans="1:21">
      <c r="A8960">
        <v>8959</v>
      </c>
      <c r="B8960" s="30" t="s">
        <v>1226</v>
      </c>
      <c r="D8960" s="30" t="s">
        <v>2024</v>
      </c>
      <c r="F8960" s="30" t="s">
        <v>2046</v>
      </c>
      <c r="H8960" s="30" t="s">
        <v>2859</v>
      </c>
      <c r="J8960" s="30" t="s">
        <v>2860</v>
      </c>
      <c r="L8960" s="30" t="s">
        <v>2990</v>
      </c>
      <c r="N8960" s="30" t="s">
        <v>3184</v>
      </c>
      <c r="P8960" s="30" t="s">
        <v>3191</v>
      </c>
      <c r="Q8960" t="s">
        <v>621</v>
      </c>
      <c r="R8960" t="s">
        <v>917</v>
      </c>
      <c r="S8960">
        <v>36</v>
      </c>
      <c r="T8960" s="29" t="str">
        <f>HYPERLINK("https://ictv.global/ictv/proposals/2020.095B.R.Leviviricetes.zip","2020.095B.R.Leviviricetes.zip")</f>
        <v>2020.095B.R.Leviviricetes.zip</v>
      </c>
      <c r="U8960" s="29" t="str">
        <f>HYPERLINK("https://ictv.global/taxonomy/taxondetails?taxnode_id=202310471","ictv.global=202310471")</f>
        <v>ictv.global=202310471</v>
      </c>
    </row>
    <row r="8961" spans="1:21">
      <c r="A8961">
        <v>8960</v>
      </c>
      <c r="B8961" s="30" t="s">
        <v>1226</v>
      </c>
      <c r="D8961" s="30" t="s">
        <v>2024</v>
      </c>
      <c r="F8961" s="30" t="s">
        <v>2046</v>
      </c>
      <c r="H8961" s="30" t="s">
        <v>2859</v>
      </c>
      <c r="J8961" s="30" t="s">
        <v>2860</v>
      </c>
      <c r="L8961" s="30" t="s">
        <v>2990</v>
      </c>
      <c r="N8961" s="30" t="s">
        <v>3184</v>
      </c>
      <c r="P8961" s="30" t="s">
        <v>3192</v>
      </c>
      <c r="Q8961" t="s">
        <v>621</v>
      </c>
      <c r="R8961" t="s">
        <v>917</v>
      </c>
      <c r="S8961">
        <v>36</v>
      </c>
      <c r="T8961" s="29" t="str">
        <f>HYPERLINK("https://ictv.global/ictv/proposals/2020.095B.R.Leviviricetes.zip","2020.095B.R.Leviviricetes.zip")</f>
        <v>2020.095B.R.Leviviricetes.zip</v>
      </c>
      <c r="U8961" s="29" t="str">
        <f>HYPERLINK("https://ictv.global/taxonomy/taxondetails?taxnode_id=202310467","ictv.global=202310467")</f>
        <v>ictv.global=202310467</v>
      </c>
    </row>
    <row r="8962" spans="1:21">
      <c r="A8962">
        <v>8961</v>
      </c>
      <c r="B8962" s="30" t="s">
        <v>1226</v>
      </c>
      <c r="D8962" s="30" t="s">
        <v>2024</v>
      </c>
      <c r="F8962" s="30" t="s">
        <v>2046</v>
      </c>
      <c r="H8962" s="30" t="s">
        <v>2859</v>
      </c>
      <c r="J8962" s="30" t="s">
        <v>2860</v>
      </c>
      <c r="L8962" s="30" t="s">
        <v>2990</v>
      </c>
      <c r="N8962" s="30" t="s">
        <v>3184</v>
      </c>
      <c r="P8962" s="30" t="s">
        <v>15470</v>
      </c>
      <c r="Q8962" t="s">
        <v>621</v>
      </c>
      <c r="R8962" t="s">
        <v>917</v>
      </c>
      <c r="S8962">
        <v>39</v>
      </c>
      <c r="T8962" s="29" t="str">
        <f t="shared" ref="T8962:T8969" si="378">HYPERLINK("https://ictv.global/ictv/proposals/2023.001B.Leviviricetes_reorg.zip","2023.001B.Leviviricetes_reorg.zip")</f>
        <v>2023.001B.Leviviricetes_reorg.zip</v>
      </c>
      <c r="U8962" s="29" t="str">
        <f>HYPERLINK("https://ictv.global/taxonomy/taxondetails?taxnode_id=202316502","ictv.global=202316502")</f>
        <v>ictv.global=202316502</v>
      </c>
    </row>
    <row r="8963" spans="1:21">
      <c r="A8963">
        <v>8962</v>
      </c>
      <c r="B8963" s="30" t="s">
        <v>1226</v>
      </c>
      <c r="D8963" s="30" t="s">
        <v>2024</v>
      </c>
      <c r="F8963" s="30" t="s">
        <v>2046</v>
      </c>
      <c r="H8963" s="30" t="s">
        <v>2859</v>
      </c>
      <c r="J8963" s="30" t="s">
        <v>2860</v>
      </c>
      <c r="L8963" s="30" t="s">
        <v>2990</v>
      </c>
      <c r="N8963" s="30" t="s">
        <v>3184</v>
      </c>
      <c r="P8963" s="30" t="s">
        <v>15471</v>
      </c>
      <c r="Q8963" t="s">
        <v>621</v>
      </c>
      <c r="R8963" t="s">
        <v>917</v>
      </c>
      <c r="S8963">
        <v>39</v>
      </c>
      <c r="T8963" s="29" t="str">
        <f t="shared" si="378"/>
        <v>2023.001B.Leviviricetes_reorg.zip</v>
      </c>
      <c r="U8963" s="29" t="str">
        <f>HYPERLINK("https://ictv.global/taxonomy/taxondetails?taxnode_id=202316503","ictv.global=202316503")</f>
        <v>ictv.global=202316503</v>
      </c>
    </row>
    <row r="8964" spans="1:21">
      <c r="A8964">
        <v>8963</v>
      </c>
      <c r="B8964" s="30" t="s">
        <v>1226</v>
      </c>
      <c r="D8964" s="30" t="s">
        <v>2024</v>
      </c>
      <c r="F8964" s="30" t="s">
        <v>2046</v>
      </c>
      <c r="H8964" s="30" t="s">
        <v>2859</v>
      </c>
      <c r="J8964" s="30" t="s">
        <v>2860</v>
      </c>
      <c r="L8964" s="30" t="s">
        <v>2990</v>
      </c>
      <c r="N8964" s="30" t="s">
        <v>3184</v>
      </c>
      <c r="P8964" s="30" t="s">
        <v>15472</v>
      </c>
      <c r="Q8964" t="s">
        <v>621</v>
      </c>
      <c r="R8964" t="s">
        <v>917</v>
      </c>
      <c r="S8964">
        <v>39</v>
      </c>
      <c r="T8964" s="29" t="str">
        <f t="shared" si="378"/>
        <v>2023.001B.Leviviricetes_reorg.zip</v>
      </c>
      <c r="U8964" s="29" t="str">
        <f>HYPERLINK("https://ictv.global/taxonomy/taxondetails?taxnode_id=202316504","ictv.global=202316504")</f>
        <v>ictv.global=202316504</v>
      </c>
    </row>
    <row r="8965" spans="1:21">
      <c r="A8965">
        <v>8964</v>
      </c>
      <c r="B8965" s="30" t="s">
        <v>1226</v>
      </c>
      <c r="D8965" s="30" t="s">
        <v>2024</v>
      </c>
      <c r="F8965" s="30" t="s">
        <v>2046</v>
      </c>
      <c r="H8965" s="30" t="s">
        <v>2859</v>
      </c>
      <c r="J8965" s="30" t="s">
        <v>2860</v>
      </c>
      <c r="L8965" s="30" t="s">
        <v>2990</v>
      </c>
      <c r="N8965" s="30" t="s">
        <v>3184</v>
      </c>
      <c r="P8965" s="30" t="s">
        <v>15473</v>
      </c>
      <c r="Q8965" t="s">
        <v>621</v>
      </c>
      <c r="R8965" t="s">
        <v>917</v>
      </c>
      <c r="S8965">
        <v>39</v>
      </c>
      <c r="T8965" s="29" t="str">
        <f t="shared" si="378"/>
        <v>2023.001B.Leviviricetes_reorg.zip</v>
      </c>
      <c r="U8965" s="29" t="str">
        <f>HYPERLINK("https://ictv.global/taxonomy/taxondetails?taxnode_id=202316505","ictv.global=202316505")</f>
        <v>ictv.global=202316505</v>
      </c>
    </row>
    <row r="8966" spans="1:21">
      <c r="A8966">
        <v>8965</v>
      </c>
      <c r="B8966" s="30" t="s">
        <v>1226</v>
      </c>
      <c r="D8966" s="30" t="s">
        <v>2024</v>
      </c>
      <c r="F8966" s="30" t="s">
        <v>2046</v>
      </c>
      <c r="H8966" s="30" t="s">
        <v>2859</v>
      </c>
      <c r="J8966" s="30" t="s">
        <v>2860</v>
      </c>
      <c r="L8966" s="30" t="s">
        <v>2990</v>
      </c>
      <c r="N8966" s="30" t="s">
        <v>3184</v>
      </c>
      <c r="P8966" s="30" t="s">
        <v>15474</v>
      </c>
      <c r="Q8966" t="s">
        <v>621</v>
      </c>
      <c r="R8966" t="s">
        <v>917</v>
      </c>
      <c r="S8966">
        <v>39</v>
      </c>
      <c r="T8966" s="29" t="str">
        <f t="shared" si="378"/>
        <v>2023.001B.Leviviricetes_reorg.zip</v>
      </c>
      <c r="U8966" s="29" t="str">
        <f>HYPERLINK("https://ictv.global/taxonomy/taxondetails?taxnode_id=202316506","ictv.global=202316506")</f>
        <v>ictv.global=202316506</v>
      </c>
    </row>
    <row r="8967" spans="1:21">
      <c r="A8967">
        <v>8966</v>
      </c>
      <c r="B8967" s="30" t="s">
        <v>1226</v>
      </c>
      <c r="D8967" s="30" t="s">
        <v>2024</v>
      </c>
      <c r="F8967" s="30" t="s">
        <v>2046</v>
      </c>
      <c r="H8967" s="30" t="s">
        <v>2859</v>
      </c>
      <c r="J8967" s="30" t="s">
        <v>2860</v>
      </c>
      <c r="L8967" s="30" t="s">
        <v>2990</v>
      </c>
      <c r="N8967" s="30" t="s">
        <v>3184</v>
      </c>
      <c r="P8967" s="30" t="s">
        <v>15475</v>
      </c>
      <c r="Q8967" t="s">
        <v>621</v>
      </c>
      <c r="R8967" t="s">
        <v>917</v>
      </c>
      <c r="S8967">
        <v>39</v>
      </c>
      <c r="T8967" s="29" t="str">
        <f t="shared" si="378"/>
        <v>2023.001B.Leviviricetes_reorg.zip</v>
      </c>
      <c r="U8967" s="29" t="str">
        <f>HYPERLINK("https://ictv.global/taxonomy/taxondetails?taxnode_id=202316507","ictv.global=202316507")</f>
        <v>ictv.global=202316507</v>
      </c>
    </row>
    <row r="8968" spans="1:21">
      <c r="A8968">
        <v>8967</v>
      </c>
      <c r="B8968" s="30" t="s">
        <v>1226</v>
      </c>
      <c r="D8968" s="30" t="s">
        <v>2024</v>
      </c>
      <c r="F8968" s="30" t="s">
        <v>2046</v>
      </c>
      <c r="H8968" s="30" t="s">
        <v>2859</v>
      </c>
      <c r="J8968" s="30" t="s">
        <v>2860</v>
      </c>
      <c r="L8968" s="30" t="s">
        <v>2990</v>
      </c>
      <c r="N8968" s="30" t="s">
        <v>15476</v>
      </c>
      <c r="P8968" s="30" t="s">
        <v>15477</v>
      </c>
      <c r="Q8968" t="s">
        <v>621</v>
      </c>
      <c r="R8968" t="s">
        <v>917</v>
      </c>
      <c r="S8968">
        <v>39</v>
      </c>
      <c r="T8968" s="29" t="str">
        <f t="shared" si="378"/>
        <v>2023.001B.Leviviricetes_reorg.zip</v>
      </c>
      <c r="U8968" s="29" t="str">
        <f>HYPERLINK("https://ictv.global/taxonomy/taxondetails?taxnode_id=202316508","ictv.global=202316508")</f>
        <v>ictv.global=202316508</v>
      </c>
    </row>
    <row r="8969" spans="1:21">
      <c r="A8969">
        <v>8968</v>
      </c>
      <c r="B8969" s="30" t="s">
        <v>1226</v>
      </c>
      <c r="D8969" s="30" t="s">
        <v>2024</v>
      </c>
      <c r="F8969" s="30" t="s">
        <v>2046</v>
      </c>
      <c r="H8969" s="30" t="s">
        <v>2859</v>
      </c>
      <c r="J8969" s="30" t="s">
        <v>2860</v>
      </c>
      <c r="L8969" s="30" t="s">
        <v>2990</v>
      </c>
      <c r="N8969" s="30" t="s">
        <v>15476</v>
      </c>
      <c r="P8969" s="30" t="s">
        <v>15478</v>
      </c>
      <c r="Q8969" t="s">
        <v>621</v>
      </c>
      <c r="R8969" t="s">
        <v>917</v>
      </c>
      <c r="S8969">
        <v>39</v>
      </c>
      <c r="T8969" s="29" t="str">
        <f t="shared" si="378"/>
        <v>2023.001B.Leviviricetes_reorg.zip</v>
      </c>
      <c r="U8969" s="29" t="str">
        <f>HYPERLINK("https://ictv.global/taxonomy/taxondetails?taxnode_id=202316509","ictv.global=202316509")</f>
        <v>ictv.global=202316509</v>
      </c>
    </row>
    <row r="8970" spans="1:21">
      <c r="A8970">
        <v>8969</v>
      </c>
      <c r="B8970" s="30" t="s">
        <v>1226</v>
      </c>
      <c r="D8970" s="30" t="s">
        <v>2024</v>
      </c>
      <c r="F8970" s="30" t="s">
        <v>2046</v>
      </c>
      <c r="H8970" s="30" t="s">
        <v>2859</v>
      </c>
      <c r="J8970" s="30" t="s">
        <v>2860</v>
      </c>
      <c r="L8970" s="30" t="s">
        <v>2990</v>
      </c>
      <c r="N8970" s="30" t="s">
        <v>3193</v>
      </c>
      <c r="P8970" s="30" t="s">
        <v>3194</v>
      </c>
      <c r="Q8970" t="s">
        <v>621</v>
      </c>
      <c r="R8970" t="s">
        <v>917</v>
      </c>
      <c r="S8970">
        <v>36</v>
      </c>
      <c r="T8970" s="29" t="str">
        <f>HYPERLINK("https://ictv.global/ictv/proposals/2020.095B.R.Leviviricetes.zip","2020.095B.R.Leviviricetes.zip")</f>
        <v>2020.095B.R.Leviviricetes.zip</v>
      </c>
      <c r="U8970" s="29" t="str">
        <f>HYPERLINK("https://ictv.global/taxonomy/taxondetails?taxnode_id=202310473","ictv.global=202310473")</f>
        <v>ictv.global=202310473</v>
      </c>
    </row>
    <row r="8971" spans="1:21">
      <c r="A8971">
        <v>8970</v>
      </c>
      <c r="B8971" s="30" t="s">
        <v>1226</v>
      </c>
      <c r="D8971" s="30" t="s">
        <v>2024</v>
      </c>
      <c r="F8971" s="30" t="s">
        <v>2046</v>
      </c>
      <c r="H8971" s="30" t="s">
        <v>2859</v>
      </c>
      <c r="J8971" s="30" t="s">
        <v>2860</v>
      </c>
      <c r="L8971" s="30" t="s">
        <v>2990</v>
      </c>
      <c r="N8971" s="30" t="s">
        <v>3193</v>
      </c>
      <c r="P8971" s="30" t="s">
        <v>3195</v>
      </c>
      <c r="Q8971" t="s">
        <v>621</v>
      </c>
      <c r="R8971" t="s">
        <v>917</v>
      </c>
      <c r="S8971">
        <v>36</v>
      </c>
      <c r="T8971" s="29" t="str">
        <f>HYPERLINK("https://ictv.global/ictv/proposals/2020.095B.R.Leviviricetes.zip","2020.095B.R.Leviviricetes.zip")</f>
        <v>2020.095B.R.Leviviricetes.zip</v>
      </c>
      <c r="U8971" s="29" t="str">
        <f>HYPERLINK("https://ictv.global/taxonomy/taxondetails?taxnode_id=202310475","ictv.global=202310475")</f>
        <v>ictv.global=202310475</v>
      </c>
    </row>
    <row r="8972" spans="1:21">
      <c r="A8972">
        <v>8971</v>
      </c>
      <c r="B8972" s="30" t="s">
        <v>1226</v>
      </c>
      <c r="D8972" s="30" t="s">
        <v>2024</v>
      </c>
      <c r="F8972" s="30" t="s">
        <v>2046</v>
      </c>
      <c r="H8972" s="30" t="s">
        <v>2859</v>
      </c>
      <c r="J8972" s="30" t="s">
        <v>2860</v>
      </c>
      <c r="L8972" s="30" t="s">
        <v>2990</v>
      </c>
      <c r="N8972" s="30" t="s">
        <v>3193</v>
      </c>
      <c r="P8972" s="30" t="s">
        <v>15479</v>
      </c>
      <c r="Q8972" t="s">
        <v>621</v>
      </c>
      <c r="R8972" t="s">
        <v>918</v>
      </c>
      <c r="S8972">
        <v>39</v>
      </c>
      <c r="T8972" s="29" t="str">
        <f>HYPERLINK("https://ictv.global/ictv/proposals/2023.001B.Leviviricetes_reorg.zip","2023.001B.Leviviricetes_reorg.zip")</f>
        <v>2023.001B.Leviviricetes_reorg.zip</v>
      </c>
      <c r="U8972" s="29" t="str">
        <f>HYPERLINK("https://ictv.global/taxonomy/taxondetails?taxnode_id=202310494","ictv.global=202310494")</f>
        <v>ictv.global=202310494</v>
      </c>
    </row>
    <row r="8973" spans="1:21">
      <c r="A8973">
        <v>8972</v>
      </c>
      <c r="B8973" s="30" t="s">
        <v>1226</v>
      </c>
      <c r="D8973" s="30" t="s">
        <v>2024</v>
      </c>
      <c r="F8973" s="30" t="s">
        <v>2046</v>
      </c>
      <c r="H8973" s="30" t="s">
        <v>2859</v>
      </c>
      <c r="J8973" s="30" t="s">
        <v>2860</v>
      </c>
      <c r="L8973" s="30" t="s">
        <v>2990</v>
      </c>
      <c r="N8973" s="30" t="s">
        <v>3193</v>
      </c>
      <c r="P8973" s="30" t="s">
        <v>15480</v>
      </c>
      <c r="Q8973" t="s">
        <v>621</v>
      </c>
      <c r="R8973" t="s">
        <v>917</v>
      </c>
      <c r="S8973">
        <v>39</v>
      </c>
      <c r="T8973" s="29" t="str">
        <f>HYPERLINK("https://ictv.global/ictv/proposals/2023.001B.Leviviricetes_reorg.zip","2023.001B.Leviviricetes_reorg.zip")</f>
        <v>2023.001B.Leviviricetes_reorg.zip</v>
      </c>
      <c r="U8973" s="29" t="str">
        <f>HYPERLINK("https://ictv.global/taxonomy/taxondetails?taxnode_id=202316510","ictv.global=202316510")</f>
        <v>ictv.global=202316510</v>
      </c>
    </row>
    <row r="8974" spans="1:21">
      <c r="A8974">
        <v>8973</v>
      </c>
      <c r="B8974" s="30" t="s">
        <v>1226</v>
      </c>
      <c r="D8974" s="30" t="s">
        <v>2024</v>
      </c>
      <c r="F8974" s="30" t="s">
        <v>2046</v>
      </c>
      <c r="H8974" s="30" t="s">
        <v>2859</v>
      </c>
      <c r="J8974" s="30" t="s">
        <v>2860</v>
      </c>
      <c r="L8974" s="30" t="s">
        <v>2990</v>
      </c>
      <c r="N8974" s="30" t="s">
        <v>3193</v>
      </c>
      <c r="P8974" s="30" t="s">
        <v>15481</v>
      </c>
      <c r="Q8974" t="s">
        <v>621</v>
      </c>
      <c r="R8974" t="s">
        <v>918</v>
      </c>
      <c r="S8974">
        <v>39</v>
      </c>
      <c r="T8974" s="29" t="str">
        <f>HYPERLINK("https://ictv.global/ictv/proposals/2023.001B.Leviviricetes_reorg.zip","2023.001B.Leviviricetes_reorg.zip")</f>
        <v>2023.001B.Leviviricetes_reorg.zip</v>
      </c>
      <c r="U8974" s="29" t="str">
        <f>HYPERLINK("https://ictv.global/taxonomy/taxondetails?taxnode_id=202310366","ictv.global=202310366")</f>
        <v>ictv.global=202310366</v>
      </c>
    </row>
    <row r="8975" spans="1:21">
      <c r="A8975">
        <v>8974</v>
      </c>
      <c r="B8975" s="30" t="s">
        <v>1226</v>
      </c>
      <c r="D8975" s="30" t="s">
        <v>2024</v>
      </c>
      <c r="F8975" s="30" t="s">
        <v>2046</v>
      </c>
      <c r="H8975" s="30" t="s">
        <v>2859</v>
      </c>
      <c r="J8975" s="30" t="s">
        <v>2860</v>
      </c>
      <c r="L8975" s="30" t="s">
        <v>2990</v>
      </c>
      <c r="N8975" s="30" t="s">
        <v>3193</v>
      </c>
      <c r="P8975" s="30" t="s">
        <v>3196</v>
      </c>
      <c r="Q8975" t="s">
        <v>621</v>
      </c>
      <c r="R8975" t="s">
        <v>917</v>
      </c>
      <c r="S8975">
        <v>36</v>
      </c>
      <c r="T8975" s="29" t="str">
        <f>HYPERLINK("https://ictv.global/ictv/proposals/2020.095B.R.Leviviricetes.zip","2020.095B.R.Leviviricetes.zip")</f>
        <v>2020.095B.R.Leviviricetes.zip</v>
      </c>
      <c r="U8975" s="29" t="str">
        <f>HYPERLINK("https://ictv.global/taxonomy/taxondetails?taxnode_id=202310474","ictv.global=202310474")</f>
        <v>ictv.global=202310474</v>
      </c>
    </row>
    <row r="8976" spans="1:21">
      <c r="A8976">
        <v>8975</v>
      </c>
      <c r="B8976" s="30" t="s">
        <v>1226</v>
      </c>
      <c r="D8976" s="30" t="s">
        <v>2024</v>
      </c>
      <c r="F8976" s="30" t="s">
        <v>2046</v>
      </c>
      <c r="H8976" s="30" t="s">
        <v>2859</v>
      </c>
      <c r="J8976" s="30" t="s">
        <v>2860</v>
      </c>
      <c r="L8976" s="30" t="s">
        <v>2990</v>
      </c>
      <c r="N8976" s="30" t="s">
        <v>15482</v>
      </c>
      <c r="P8976" s="30" t="s">
        <v>15483</v>
      </c>
      <c r="Q8976" t="s">
        <v>621</v>
      </c>
      <c r="R8976" t="s">
        <v>917</v>
      </c>
      <c r="S8976">
        <v>39</v>
      </c>
      <c r="T8976" s="29" t="str">
        <f t="shared" ref="T8976:T8986" si="379">HYPERLINK("https://ictv.global/ictv/proposals/2023.001B.Leviviricetes_reorg.zip","2023.001B.Leviviricetes_reorg.zip")</f>
        <v>2023.001B.Leviviricetes_reorg.zip</v>
      </c>
      <c r="U8976" s="29" t="str">
        <f>HYPERLINK("https://ictv.global/taxonomy/taxondetails?taxnode_id=202316511","ictv.global=202316511")</f>
        <v>ictv.global=202316511</v>
      </c>
    </row>
    <row r="8977" spans="1:21">
      <c r="A8977">
        <v>8976</v>
      </c>
      <c r="B8977" s="30" t="s">
        <v>1226</v>
      </c>
      <c r="D8977" s="30" t="s">
        <v>2024</v>
      </c>
      <c r="F8977" s="30" t="s">
        <v>2046</v>
      </c>
      <c r="H8977" s="30" t="s">
        <v>2859</v>
      </c>
      <c r="J8977" s="30" t="s">
        <v>2860</v>
      </c>
      <c r="L8977" s="30" t="s">
        <v>2990</v>
      </c>
      <c r="N8977" s="30" t="s">
        <v>15484</v>
      </c>
      <c r="P8977" s="30" t="s">
        <v>15485</v>
      </c>
      <c r="Q8977" t="s">
        <v>621</v>
      </c>
      <c r="R8977" t="s">
        <v>917</v>
      </c>
      <c r="S8977">
        <v>39</v>
      </c>
      <c r="T8977" s="29" t="str">
        <f t="shared" si="379"/>
        <v>2023.001B.Leviviricetes_reorg.zip</v>
      </c>
      <c r="U8977" s="29" t="str">
        <f>HYPERLINK("https://ictv.global/taxonomy/taxondetails?taxnode_id=202316512","ictv.global=202316512")</f>
        <v>ictv.global=202316512</v>
      </c>
    </row>
    <row r="8978" spans="1:21">
      <c r="A8978">
        <v>8977</v>
      </c>
      <c r="B8978" s="30" t="s">
        <v>1226</v>
      </c>
      <c r="D8978" s="30" t="s">
        <v>2024</v>
      </c>
      <c r="F8978" s="30" t="s">
        <v>2046</v>
      </c>
      <c r="H8978" s="30" t="s">
        <v>2859</v>
      </c>
      <c r="J8978" s="30" t="s">
        <v>2860</v>
      </c>
      <c r="L8978" s="30" t="s">
        <v>2990</v>
      </c>
      <c r="N8978" s="30" t="s">
        <v>15484</v>
      </c>
      <c r="P8978" s="30" t="s">
        <v>15486</v>
      </c>
      <c r="Q8978" t="s">
        <v>621</v>
      </c>
      <c r="R8978" t="s">
        <v>917</v>
      </c>
      <c r="S8978">
        <v>39</v>
      </c>
      <c r="T8978" s="29" t="str">
        <f t="shared" si="379"/>
        <v>2023.001B.Leviviricetes_reorg.zip</v>
      </c>
      <c r="U8978" s="29" t="str">
        <f>HYPERLINK("https://ictv.global/taxonomy/taxondetails?taxnode_id=202316513","ictv.global=202316513")</f>
        <v>ictv.global=202316513</v>
      </c>
    </row>
    <row r="8979" spans="1:21">
      <c r="A8979">
        <v>8978</v>
      </c>
      <c r="B8979" s="30" t="s">
        <v>1226</v>
      </c>
      <c r="D8979" s="30" t="s">
        <v>2024</v>
      </c>
      <c r="F8979" s="30" t="s">
        <v>2046</v>
      </c>
      <c r="H8979" s="30" t="s">
        <v>2859</v>
      </c>
      <c r="J8979" s="30" t="s">
        <v>2860</v>
      </c>
      <c r="L8979" s="30" t="s">
        <v>2990</v>
      </c>
      <c r="N8979" s="30" t="s">
        <v>15487</v>
      </c>
      <c r="P8979" s="30" t="s">
        <v>15488</v>
      </c>
      <c r="Q8979" t="s">
        <v>621</v>
      </c>
      <c r="R8979" t="s">
        <v>917</v>
      </c>
      <c r="S8979">
        <v>39</v>
      </c>
      <c r="T8979" s="29" t="str">
        <f t="shared" si="379"/>
        <v>2023.001B.Leviviricetes_reorg.zip</v>
      </c>
      <c r="U8979" s="29" t="str">
        <f>HYPERLINK("https://ictv.global/taxonomy/taxondetails?taxnode_id=202316514","ictv.global=202316514")</f>
        <v>ictv.global=202316514</v>
      </c>
    </row>
    <row r="8980" spans="1:21">
      <c r="A8980">
        <v>8979</v>
      </c>
      <c r="B8980" s="30" t="s">
        <v>1226</v>
      </c>
      <c r="D8980" s="30" t="s">
        <v>2024</v>
      </c>
      <c r="F8980" s="30" t="s">
        <v>2046</v>
      </c>
      <c r="H8980" s="30" t="s">
        <v>2859</v>
      </c>
      <c r="J8980" s="30" t="s">
        <v>2860</v>
      </c>
      <c r="L8980" s="30" t="s">
        <v>2990</v>
      </c>
      <c r="N8980" s="30" t="s">
        <v>15489</v>
      </c>
      <c r="P8980" s="30" t="s">
        <v>15490</v>
      </c>
      <c r="Q8980" t="s">
        <v>621</v>
      </c>
      <c r="R8980" t="s">
        <v>917</v>
      </c>
      <c r="S8980">
        <v>39</v>
      </c>
      <c r="T8980" s="29" t="str">
        <f t="shared" si="379"/>
        <v>2023.001B.Leviviricetes_reorg.zip</v>
      </c>
      <c r="U8980" s="29" t="str">
        <f>HYPERLINK("https://ictv.global/taxonomy/taxondetails?taxnode_id=202316515","ictv.global=202316515")</f>
        <v>ictv.global=202316515</v>
      </c>
    </row>
    <row r="8981" spans="1:21">
      <c r="A8981">
        <v>8980</v>
      </c>
      <c r="B8981" s="30" t="s">
        <v>1226</v>
      </c>
      <c r="D8981" s="30" t="s">
        <v>2024</v>
      </c>
      <c r="F8981" s="30" t="s">
        <v>2046</v>
      </c>
      <c r="H8981" s="30" t="s">
        <v>2859</v>
      </c>
      <c r="J8981" s="30" t="s">
        <v>2860</v>
      </c>
      <c r="L8981" s="30" t="s">
        <v>2990</v>
      </c>
      <c r="N8981" s="30" t="s">
        <v>15489</v>
      </c>
      <c r="P8981" s="30" t="s">
        <v>15491</v>
      </c>
      <c r="Q8981" t="s">
        <v>621</v>
      </c>
      <c r="R8981" t="s">
        <v>917</v>
      </c>
      <c r="S8981">
        <v>39</v>
      </c>
      <c r="T8981" s="29" t="str">
        <f t="shared" si="379"/>
        <v>2023.001B.Leviviricetes_reorg.zip</v>
      </c>
      <c r="U8981" s="29" t="str">
        <f>HYPERLINK("https://ictv.global/taxonomy/taxondetails?taxnode_id=202316516","ictv.global=202316516")</f>
        <v>ictv.global=202316516</v>
      </c>
    </row>
    <row r="8982" spans="1:21">
      <c r="A8982">
        <v>8981</v>
      </c>
      <c r="B8982" s="30" t="s">
        <v>1226</v>
      </c>
      <c r="D8982" s="30" t="s">
        <v>2024</v>
      </c>
      <c r="F8982" s="30" t="s">
        <v>2046</v>
      </c>
      <c r="H8982" s="30" t="s">
        <v>2859</v>
      </c>
      <c r="J8982" s="30" t="s">
        <v>2860</v>
      </c>
      <c r="L8982" s="30" t="s">
        <v>2990</v>
      </c>
      <c r="N8982" s="30" t="s">
        <v>15492</v>
      </c>
      <c r="P8982" s="30" t="s">
        <v>15493</v>
      </c>
      <c r="Q8982" t="s">
        <v>621</v>
      </c>
      <c r="R8982" t="s">
        <v>917</v>
      </c>
      <c r="S8982">
        <v>39</v>
      </c>
      <c r="T8982" s="29" t="str">
        <f t="shared" si="379"/>
        <v>2023.001B.Leviviricetes_reorg.zip</v>
      </c>
      <c r="U8982" s="29" t="str">
        <f>HYPERLINK("https://ictv.global/taxonomy/taxondetails?taxnode_id=202316517","ictv.global=202316517")</f>
        <v>ictv.global=202316517</v>
      </c>
    </row>
    <row r="8983" spans="1:21">
      <c r="A8983">
        <v>8982</v>
      </c>
      <c r="B8983" s="30" t="s">
        <v>1226</v>
      </c>
      <c r="D8983" s="30" t="s">
        <v>2024</v>
      </c>
      <c r="F8983" s="30" t="s">
        <v>2046</v>
      </c>
      <c r="H8983" s="30" t="s">
        <v>2859</v>
      </c>
      <c r="J8983" s="30" t="s">
        <v>2860</v>
      </c>
      <c r="L8983" s="30" t="s">
        <v>2990</v>
      </c>
      <c r="N8983" s="30" t="s">
        <v>15494</v>
      </c>
      <c r="P8983" s="30" t="s">
        <v>15495</v>
      </c>
      <c r="Q8983" t="s">
        <v>621</v>
      </c>
      <c r="R8983" t="s">
        <v>917</v>
      </c>
      <c r="S8983">
        <v>39</v>
      </c>
      <c r="T8983" s="29" t="str">
        <f t="shared" si="379"/>
        <v>2023.001B.Leviviricetes_reorg.zip</v>
      </c>
      <c r="U8983" s="29" t="str">
        <f>HYPERLINK("https://ictv.global/taxonomy/taxondetails?taxnode_id=202316518","ictv.global=202316518")</f>
        <v>ictv.global=202316518</v>
      </c>
    </row>
    <row r="8984" spans="1:21">
      <c r="A8984">
        <v>8983</v>
      </c>
      <c r="B8984" s="30" t="s">
        <v>1226</v>
      </c>
      <c r="D8984" s="30" t="s">
        <v>2024</v>
      </c>
      <c r="F8984" s="30" t="s">
        <v>2046</v>
      </c>
      <c r="H8984" s="30" t="s">
        <v>2859</v>
      </c>
      <c r="J8984" s="30" t="s">
        <v>2860</v>
      </c>
      <c r="L8984" s="30" t="s">
        <v>2990</v>
      </c>
      <c r="N8984" s="30" t="s">
        <v>15494</v>
      </c>
      <c r="P8984" s="30" t="s">
        <v>15496</v>
      </c>
      <c r="Q8984" t="s">
        <v>621</v>
      </c>
      <c r="R8984" t="s">
        <v>917</v>
      </c>
      <c r="S8984">
        <v>39</v>
      </c>
      <c r="T8984" s="29" t="str">
        <f t="shared" si="379"/>
        <v>2023.001B.Leviviricetes_reorg.zip</v>
      </c>
      <c r="U8984" s="29" t="str">
        <f>HYPERLINK("https://ictv.global/taxonomy/taxondetails?taxnode_id=202316519","ictv.global=202316519")</f>
        <v>ictv.global=202316519</v>
      </c>
    </row>
    <row r="8985" spans="1:21">
      <c r="A8985">
        <v>8984</v>
      </c>
      <c r="B8985" s="30" t="s">
        <v>1226</v>
      </c>
      <c r="D8985" s="30" t="s">
        <v>2024</v>
      </c>
      <c r="F8985" s="30" t="s">
        <v>2046</v>
      </c>
      <c r="H8985" s="30" t="s">
        <v>2859</v>
      </c>
      <c r="J8985" s="30" t="s">
        <v>2860</v>
      </c>
      <c r="L8985" s="30" t="s">
        <v>2990</v>
      </c>
      <c r="N8985" s="30" t="s">
        <v>15494</v>
      </c>
      <c r="P8985" s="30" t="s">
        <v>15497</v>
      </c>
      <c r="Q8985" t="s">
        <v>621</v>
      </c>
      <c r="R8985" t="s">
        <v>917</v>
      </c>
      <c r="S8985">
        <v>39</v>
      </c>
      <c r="T8985" s="29" t="str">
        <f t="shared" si="379"/>
        <v>2023.001B.Leviviricetes_reorg.zip</v>
      </c>
      <c r="U8985" s="29" t="str">
        <f>HYPERLINK("https://ictv.global/taxonomy/taxondetails?taxnode_id=202316520","ictv.global=202316520")</f>
        <v>ictv.global=202316520</v>
      </c>
    </row>
    <row r="8986" spans="1:21">
      <c r="A8986">
        <v>8985</v>
      </c>
      <c r="B8986" s="30" t="s">
        <v>1226</v>
      </c>
      <c r="D8986" s="30" t="s">
        <v>2024</v>
      </c>
      <c r="F8986" s="30" t="s">
        <v>2046</v>
      </c>
      <c r="H8986" s="30" t="s">
        <v>2859</v>
      </c>
      <c r="J8986" s="30" t="s">
        <v>2860</v>
      </c>
      <c r="L8986" s="30" t="s">
        <v>2990</v>
      </c>
      <c r="N8986" s="30" t="s">
        <v>15494</v>
      </c>
      <c r="P8986" s="30" t="s">
        <v>15498</v>
      </c>
      <c r="Q8986" t="s">
        <v>621</v>
      </c>
      <c r="R8986" t="s">
        <v>917</v>
      </c>
      <c r="S8986">
        <v>39</v>
      </c>
      <c r="T8986" s="29" t="str">
        <f t="shared" si="379"/>
        <v>2023.001B.Leviviricetes_reorg.zip</v>
      </c>
      <c r="U8986" s="29" t="str">
        <f>HYPERLINK("https://ictv.global/taxonomy/taxondetails?taxnode_id=202316521","ictv.global=202316521")</f>
        <v>ictv.global=202316521</v>
      </c>
    </row>
    <row r="8987" spans="1:21">
      <c r="A8987">
        <v>8986</v>
      </c>
      <c r="B8987" s="30" t="s">
        <v>1226</v>
      </c>
      <c r="D8987" s="30" t="s">
        <v>2024</v>
      </c>
      <c r="F8987" s="30" t="s">
        <v>2046</v>
      </c>
      <c r="H8987" s="30" t="s">
        <v>2859</v>
      </c>
      <c r="J8987" s="30" t="s">
        <v>2860</v>
      </c>
      <c r="L8987" s="30" t="s">
        <v>2990</v>
      </c>
      <c r="N8987" s="30" t="s">
        <v>3197</v>
      </c>
      <c r="P8987" s="30" t="s">
        <v>3198</v>
      </c>
      <c r="Q8987" t="s">
        <v>621</v>
      </c>
      <c r="R8987" t="s">
        <v>917</v>
      </c>
      <c r="S8987">
        <v>36</v>
      </c>
      <c r="T8987" s="29" t="str">
        <f>HYPERLINK("https://ictv.global/ictv/proposals/2020.095B.R.Leviviricetes.zip","2020.095B.R.Leviviricetes.zip")</f>
        <v>2020.095B.R.Leviviricetes.zip</v>
      </c>
      <c r="U8987" s="29" t="str">
        <f>HYPERLINK("https://ictv.global/taxonomy/taxondetails?taxnode_id=202310487","ictv.global=202310487")</f>
        <v>ictv.global=202310487</v>
      </c>
    </row>
    <row r="8988" spans="1:21">
      <c r="A8988">
        <v>8987</v>
      </c>
      <c r="B8988" s="30" t="s">
        <v>1226</v>
      </c>
      <c r="D8988" s="30" t="s">
        <v>2024</v>
      </c>
      <c r="F8988" s="30" t="s">
        <v>2046</v>
      </c>
      <c r="H8988" s="30" t="s">
        <v>2859</v>
      </c>
      <c r="J8988" s="30" t="s">
        <v>2860</v>
      </c>
      <c r="L8988" s="30" t="s">
        <v>2990</v>
      </c>
      <c r="N8988" s="30" t="s">
        <v>3199</v>
      </c>
      <c r="P8988" s="30" t="s">
        <v>3200</v>
      </c>
      <c r="Q8988" t="s">
        <v>621</v>
      </c>
      <c r="R8988" t="s">
        <v>917</v>
      </c>
      <c r="S8988">
        <v>36</v>
      </c>
      <c r="T8988" s="29" t="str">
        <f>HYPERLINK("https://ictv.global/ictv/proposals/2020.095B.R.Leviviricetes.zip","2020.095B.R.Leviviricetes.zip")</f>
        <v>2020.095B.R.Leviviricetes.zip</v>
      </c>
      <c r="U8988" s="29" t="str">
        <f>HYPERLINK("https://ictv.global/taxonomy/taxondetails?taxnode_id=202310489","ictv.global=202310489")</f>
        <v>ictv.global=202310489</v>
      </c>
    </row>
    <row r="8989" spans="1:21">
      <c r="A8989">
        <v>8988</v>
      </c>
      <c r="B8989" s="30" t="s">
        <v>1226</v>
      </c>
      <c r="D8989" s="30" t="s">
        <v>2024</v>
      </c>
      <c r="F8989" s="30" t="s">
        <v>2046</v>
      </c>
      <c r="H8989" s="30" t="s">
        <v>2859</v>
      </c>
      <c r="J8989" s="30" t="s">
        <v>2860</v>
      </c>
      <c r="L8989" s="30" t="s">
        <v>2990</v>
      </c>
      <c r="N8989" s="30" t="s">
        <v>15499</v>
      </c>
      <c r="P8989" s="30" t="s">
        <v>15500</v>
      </c>
      <c r="Q8989" t="s">
        <v>621</v>
      </c>
      <c r="R8989" t="s">
        <v>917</v>
      </c>
      <c r="S8989">
        <v>39</v>
      </c>
      <c r="T8989" s="29" t="str">
        <f t="shared" ref="T8989:T9000" si="380">HYPERLINK("https://ictv.global/ictv/proposals/2023.001B.Leviviricetes_reorg.zip","2023.001B.Leviviricetes_reorg.zip")</f>
        <v>2023.001B.Leviviricetes_reorg.zip</v>
      </c>
      <c r="U8989" s="29" t="str">
        <f>HYPERLINK("https://ictv.global/taxonomy/taxondetails?taxnode_id=202316522","ictv.global=202316522")</f>
        <v>ictv.global=202316522</v>
      </c>
    </row>
    <row r="8990" spans="1:21">
      <c r="A8990">
        <v>8989</v>
      </c>
      <c r="B8990" s="30" t="s">
        <v>1226</v>
      </c>
      <c r="D8990" s="30" t="s">
        <v>2024</v>
      </c>
      <c r="F8990" s="30" t="s">
        <v>2046</v>
      </c>
      <c r="H8990" s="30" t="s">
        <v>2859</v>
      </c>
      <c r="J8990" s="30" t="s">
        <v>2860</v>
      </c>
      <c r="L8990" s="30" t="s">
        <v>2990</v>
      </c>
      <c r="N8990" s="30" t="s">
        <v>15501</v>
      </c>
      <c r="P8990" s="30" t="s">
        <v>15502</v>
      </c>
      <c r="Q8990" t="s">
        <v>621</v>
      </c>
      <c r="R8990" t="s">
        <v>917</v>
      </c>
      <c r="S8990">
        <v>39</v>
      </c>
      <c r="T8990" s="29" t="str">
        <f t="shared" si="380"/>
        <v>2023.001B.Leviviricetes_reorg.zip</v>
      </c>
      <c r="U8990" s="29" t="str">
        <f>HYPERLINK("https://ictv.global/taxonomy/taxondetails?taxnode_id=202316523","ictv.global=202316523")</f>
        <v>ictv.global=202316523</v>
      </c>
    </row>
    <row r="8991" spans="1:21">
      <c r="A8991">
        <v>8990</v>
      </c>
      <c r="B8991" s="30" t="s">
        <v>1226</v>
      </c>
      <c r="D8991" s="30" t="s">
        <v>2024</v>
      </c>
      <c r="F8991" s="30" t="s">
        <v>2046</v>
      </c>
      <c r="H8991" s="30" t="s">
        <v>2859</v>
      </c>
      <c r="J8991" s="30" t="s">
        <v>2860</v>
      </c>
      <c r="L8991" s="30" t="s">
        <v>2990</v>
      </c>
      <c r="N8991" s="30" t="s">
        <v>15503</v>
      </c>
      <c r="P8991" s="30" t="s">
        <v>15504</v>
      </c>
      <c r="Q8991" t="s">
        <v>621</v>
      </c>
      <c r="R8991" t="s">
        <v>917</v>
      </c>
      <c r="S8991">
        <v>39</v>
      </c>
      <c r="T8991" s="29" t="str">
        <f t="shared" si="380"/>
        <v>2023.001B.Leviviricetes_reorg.zip</v>
      </c>
      <c r="U8991" s="29" t="str">
        <f>HYPERLINK("https://ictv.global/taxonomy/taxondetails?taxnode_id=202316524","ictv.global=202316524")</f>
        <v>ictv.global=202316524</v>
      </c>
    </row>
    <row r="8992" spans="1:21">
      <c r="A8992">
        <v>8991</v>
      </c>
      <c r="B8992" s="30" t="s">
        <v>1226</v>
      </c>
      <c r="D8992" s="30" t="s">
        <v>2024</v>
      </c>
      <c r="F8992" s="30" t="s">
        <v>2046</v>
      </c>
      <c r="H8992" s="30" t="s">
        <v>2859</v>
      </c>
      <c r="J8992" s="30" t="s">
        <v>2860</v>
      </c>
      <c r="L8992" s="30" t="s">
        <v>2990</v>
      </c>
      <c r="N8992" s="30" t="s">
        <v>15505</v>
      </c>
      <c r="P8992" s="30" t="s">
        <v>15506</v>
      </c>
      <c r="Q8992" t="s">
        <v>621</v>
      </c>
      <c r="R8992" t="s">
        <v>918</v>
      </c>
      <c r="S8992">
        <v>39</v>
      </c>
      <c r="T8992" s="29" t="str">
        <f t="shared" si="380"/>
        <v>2023.001B.Leviviricetes_reorg.zip</v>
      </c>
      <c r="U8992" s="29" t="str">
        <f>HYPERLINK("https://ictv.global/taxonomy/taxondetails?taxnode_id=202310492","ictv.global=202310492")</f>
        <v>ictv.global=202310492</v>
      </c>
    </row>
    <row r="8993" spans="1:21">
      <c r="A8993">
        <v>8992</v>
      </c>
      <c r="B8993" s="30" t="s">
        <v>1226</v>
      </c>
      <c r="D8993" s="30" t="s">
        <v>2024</v>
      </c>
      <c r="F8993" s="30" t="s">
        <v>2046</v>
      </c>
      <c r="H8993" s="30" t="s">
        <v>2859</v>
      </c>
      <c r="J8993" s="30" t="s">
        <v>2860</v>
      </c>
      <c r="L8993" s="30" t="s">
        <v>2990</v>
      </c>
      <c r="N8993" s="30" t="s">
        <v>15505</v>
      </c>
      <c r="P8993" s="30" t="s">
        <v>15507</v>
      </c>
      <c r="Q8993" t="s">
        <v>621</v>
      </c>
      <c r="R8993" t="s">
        <v>917</v>
      </c>
      <c r="S8993">
        <v>39</v>
      </c>
      <c r="T8993" s="29" t="str">
        <f t="shared" si="380"/>
        <v>2023.001B.Leviviricetes_reorg.zip</v>
      </c>
      <c r="U8993" s="29" t="str">
        <f>HYPERLINK("https://ictv.global/taxonomy/taxondetails?taxnode_id=202316525","ictv.global=202316525")</f>
        <v>ictv.global=202316525</v>
      </c>
    </row>
    <row r="8994" spans="1:21">
      <c r="A8994">
        <v>8993</v>
      </c>
      <c r="B8994" s="30" t="s">
        <v>1226</v>
      </c>
      <c r="D8994" s="30" t="s">
        <v>2024</v>
      </c>
      <c r="F8994" s="30" t="s">
        <v>2046</v>
      </c>
      <c r="H8994" s="30" t="s">
        <v>2859</v>
      </c>
      <c r="J8994" s="30" t="s">
        <v>2860</v>
      </c>
      <c r="L8994" s="30" t="s">
        <v>2990</v>
      </c>
      <c r="N8994" s="30" t="s">
        <v>15505</v>
      </c>
      <c r="P8994" s="30" t="s">
        <v>15508</v>
      </c>
      <c r="Q8994" t="s">
        <v>621</v>
      </c>
      <c r="R8994" t="s">
        <v>917</v>
      </c>
      <c r="S8994">
        <v>39</v>
      </c>
      <c r="T8994" s="29" t="str">
        <f t="shared" si="380"/>
        <v>2023.001B.Leviviricetes_reorg.zip</v>
      </c>
      <c r="U8994" s="29" t="str">
        <f>HYPERLINK("https://ictv.global/taxonomy/taxondetails?taxnode_id=202316526","ictv.global=202316526")</f>
        <v>ictv.global=202316526</v>
      </c>
    </row>
    <row r="8995" spans="1:21">
      <c r="A8995">
        <v>8994</v>
      </c>
      <c r="B8995" s="30" t="s">
        <v>1226</v>
      </c>
      <c r="D8995" s="30" t="s">
        <v>2024</v>
      </c>
      <c r="F8995" s="30" t="s">
        <v>2046</v>
      </c>
      <c r="H8995" s="30" t="s">
        <v>2859</v>
      </c>
      <c r="J8995" s="30" t="s">
        <v>2860</v>
      </c>
      <c r="L8995" s="30" t="s">
        <v>2990</v>
      </c>
      <c r="N8995" s="30" t="s">
        <v>15505</v>
      </c>
      <c r="P8995" s="30" t="s">
        <v>15509</v>
      </c>
      <c r="Q8995" t="s">
        <v>621</v>
      </c>
      <c r="R8995" t="s">
        <v>918</v>
      </c>
      <c r="S8995">
        <v>39</v>
      </c>
      <c r="T8995" s="29" t="str">
        <f t="shared" si="380"/>
        <v>2023.001B.Leviviricetes_reorg.zip</v>
      </c>
      <c r="U8995" s="29" t="str">
        <f>HYPERLINK("https://ictv.global/taxonomy/taxondetails?taxnode_id=202310421","ictv.global=202310421")</f>
        <v>ictv.global=202310421</v>
      </c>
    </row>
    <row r="8996" spans="1:21">
      <c r="A8996">
        <v>8995</v>
      </c>
      <c r="B8996" s="30" t="s">
        <v>1226</v>
      </c>
      <c r="D8996" s="30" t="s">
        <v>2024</v>
      </c>
      <c r="F8996" s="30" t="s">
        <v>2046</v>
      </c>
      <c r="H8996" s="30" t="s">
        <v>2859</v>
      </c>
      <c r="J8996" s="30" t="s">
        <v>2860</v>
      </c>
      <c r="L8996" s="30" t="s">
        <v>2990</v>
      </c>
      <c r="N8996" s="30" t="s">
        <v>15505</v>
      </c>
      <c r="P8996" s="30" t="s">
        <v>15510</v>
      </c>
      <c r="Q8996" t="s">
        <v>621</v>
      </c>
      <c r="R8996" t="s">
        <v>917</v>
      </c>
      <c r="S8996">
        <v>39</v>
      </c>
      <c r="T8996" s="29" t="str">
        <f t="shared" si="380"/>
        <v>2023.001B.Leviviricetes_reorg.zip</v>
      </c>
      <c r="U8996" s="29" t="str">
        <f>HYPERLINK("https://ictv.global/taxonomy/taxondetails?taxnode_id=202316527","ictv.global=202316527")</f>
        <v>ictv.global=202316527</v>
      </c>
    </row>
    <row r="8997" spans="1:21">
      <c r="A8997">
        <v>8996</v>
      </c>
      <c r="B8997" s="30" t="s">
        <v>1226</v>
      </c>
      <c r="D8997" s="30" t="s">
        <v>2024</v>
      </c>
      <c r="F8997" s="30" t="s">
        <v>2046</v>
      </c>
      <c r="H8997" s="30" t="s">
        <v>2859</v>
      </c>
      <c r="J8997" s="30" t="s">
        <v>2860</v>
      </c>
      <c r="L8997" s="30" t="s">
        <v>2990</v>
      </c>
      <c r="N8997" s="30" t="s">
        <v>15505</v>
      </c>
      <c r="P8997" s="30" t="s">
        <v>15511</v>
      </c>
      <c r="Q8997" t="s">
        <v>621</v>
      </c>
      <c r="R8997" t="s">
        <v>917</v>
      </c>
      <c r="S8997">
        <v>39</v>
      </c>
      <c r="T8997" s="29" t="str">
        <f t="shared" si="380"/>
        <v>2023.001B.Leviviricetes_reorg.zip</v>
      </c>
      <c r="U8997" s="29" t="str">
        <f>HYPERLINK("https://ictv.global/taxonomy/taxondetails?taxnode_id=202316528","ictv.global=202316528")</f>
        <v>ictv.global=202316528</v>
      </c>
    </row>
    <row r="8998" spans="1:21">
      <c r="A8998">
        <v>8997</v>
      </c>
      <c r="B8998" s="30" t="s">
        <v>1226</v>
      </c>
      <c r="D8998" s="30" t="s">
        <v>2024</v>
      </c>
      <c r="F8998" s="30" t="s">
        <v>2046</v>
      </c>
      <c r="H8998" s="30" t="s">
        <v>2859</v>
      </c>
      <c r="J8998" s="30" t="s">
        <v>2860</v>
      </c>
      <c r="L8998" s="30" t="s">
        <v>2990</v>
      </c>
      <c r="N8998" s="30" t="s">
        <v>15512</v>
      </c>
      <c r="P8998" s="30" t="s">
        <v>15513</v>
      </c>
      <c r="Q8998" t="s">
        <v>621</v>
      </c>
      <c r="R8998" t="s">
        <v>917</v>
      </c>
      <c r="S8998">
        <v>39</v>
      </c>
      <c r="T8998" s="29" t="str">
        <f t="shared" si="380"/>
        <v>2023.001B.Leviviricetes_reorg.zip</v>
      </c>
      <c r="U8998" s="29" t="str">
        <f>HYPERLINK("https://ictv.global/taxonomy/taxondetails?taxnode_id=202316529","ictv.global=202316529")</f>
        <v>ictv.global=202316529</v>
      </c>
    </row>
    <row r="8999" spans="1:21">
      <c r="A8999">
        <v>8998</v>
      </c>
      <c r="B8999" s="30" t="s">
        <v>1226</v>
      </c>
      <c r="D8999" s="30" t="s">
        <v>2024</v>
      </c>
      <c r="F8999" s="30" t="s">
        <v>2046</v>
      </c>
      <c r="H8999" s="30" t="s">
        <v>2859</v>
      </c>
      <c r="J8999" s="30" t="s">
        <v>2860</v>
      </c>
      <c r="L8999" s="30" t="s">
        <v>2990</v>
      </c>
      <c r="N8999" s="30" t="s">
        <v>15512</v>
      </c>
      <c r="P8999" s="30" t="s">
        <v>15514</v>
      </c>
      <c r="Q8999" t="s">
        <v>621</v>
      </c>
      <c r="R8999" t="s">
        <v>917</v>
      </c>
      <c r="S8999">
        <v>39</v>
      </c>
      <c r="T8999" s="29" t="str">
        <f t="shared" si="380"/>
        <v>2023.001B.Leviviricetes_reorg.zip</v>
      </c>
      <c r="U8999" s="29" t="str">
        <f>HYPERLINK("https://ictv.global/taxonomy/taxondetails?taxnode_id=202316530","ictv.global=202316530")</f>
        <v>ictv.global=202316530</v>
      </c>
    </row>
    <row r="9000" spans="1:21">
      <c r="A9000">
        <v>8999</v>
      </c>
      <c r="B9000" s="30" t="s">
        <v>1226</v>
      </c>
      <c r="D9000" s="30" t="s">
        <v>2024</v>
      </c>
      <c r="F9000" s="30" t="s">
        <v>2046</v>
      </c>
      <c r="H9000" s="30" t="s">
        <v>2859</v>
      </c>
      <c r="J9000" s="30" t="s">
        <v>2860</v>
      </c>
      <c r="L9000" s="30" t="s">
        <v>2990</v>
      </c>
      <c r="N9000" s="30" t="s">
        <v>15515</v>
      </c>
      <c r="P9000" s="30" t="s">
        <v>15516</v>
      </c>
      <c r="Q9000" t="s">
        <v>621</v>
      </c>
      <c r="R9000" t="s">
        <v>917</v>
      </c>
      <c r="S9000">
        <v>39</v>
      </c>
      <c r="T9000" s="29" t="str">
        <f t="shared" si="380"/>
        <v>2023.001B.Leviviricetes_reorg.zip</v>
      </c>
      <c r="U9000" s="29" t="str">
        <f>HYPERLINK("https://ictv.global/taxonomy/taxondetails?taxnode_id=202316531","ictv.global=202316531")</f>
        <v>ictv.global=202316531</v>
      </c>
    </row>
    <row r="9001" spans="1:21">
      <c r="A9001">
        <v>9000</v>
      </c>
      <c r="B9001" s="30" t="s">
        <v>1226</v>
      </c>
      <c r="D9001" s="30" t="s">
        <v>2024</v>
      </c>
      <c r="F9001" s="30" t="s">
        <v>2046</v>
      </c>
      <c r="H9001" s="30" t="s">
        <v>2859</v>
      </c>
      <c r="J9001" s="30" t="s">
        <v>2860</v>
      </c>
      <c r="L9001" s="30" t="s">
        <v>2990</v>
      </c>
      <c r="N9001" s="30" t="s">
        <v>3201</v>
      </c>
      <c r="P9001" s="30" t="s">
        <v>3202</v>
      </c>
      <c r="Q9001" t="s">
        <v>621</v>
      </c>
      <c r="R9001" t="s">
        <v>917</v>
      </c>
      <c r="S9001">
        <v>36</v>
      </c>
      <c r="T9001" s="29" t="str">
        <f>HYPERLINK("https://ictv.global/ictv/proposals/2020.095B.R.Leviviricetes.zip","2020.095B.R.Leviviricetes.zip")</f>
        <v>2020.095B.R.Leviviricetes.zip</v>
      </c>
      <c r="U9001" s="29" t="str">
        <f>HYPERLINK("https://ictv.global/taxonomy/taxondetails?taxnode_id=202310500","ictv.global=202310500")</f>
        <v>ictv.global=202310500</v>
      </c>
    </row>
    <row r="9002" spans="1:21">
      <c r="A9002">
        <v>9001</v>
      </c>
      <c r="B9002" s="30" t="s">
        <v>1226</v>
      </c>
      <c r="D9002" s="30" t="s">
        <v>2024</v>
      </c>
      <c r="F9002" s="30" t="s">
        <v>2046</v>
      </c>
      <c r="H9002" s="30" t="s">
        <v>2859</v>
      </c>
      <c r="J9002" s="30" t="s">
        <v>2860</v>
      </c>
      <c r="L9002" s="30" t="s">
        <v>2990</v>
      </c>
      <c r="N9002" s="30" t="s">
        <v>3203</v>
      </c>
      <c r="P9002" s="30" t="s">
        <v>3204</v>
      </c>
      <c r="Q9002" t="s">
        <v>621</v>
      </c>
      <c r="R9002" t="s">
        <v>917</v>
      </c>
      <c r="S9002">
        <v>36</v>
      </c>
      <c r="T9002" s="29" t="str">
        <f>HYPERLINK("https://ictv.global/ictv/proposals/2020.095B.R.Leviviricetes.zip","2020.095B.R.Leviviricetes.zip")</f>
        <v>2020.095B.R.Leviviricetes.zip</v>
      </c>
      <c r="U9002" s="29" t="str">
        <f>HYPERLINK("https://ictv.global/taxonomy/taxondetails?taxnode_id=202310504","ictv.global=202310504")</f>
        <v>ictv.global=202310504</v>
      </c>
    </row>
    <row r="9003" spans="1:21">
      <c r="A9003">
        <v>9002</v>
      </c>
      <c r="B9003" s="30" t="s">
        <v>1226</v>
      </c>
      <c r="D9003" s="30" t="s">
        <v>2024</v>
      </c>
      <c r="F9003" s="30" t="s">
        <v>2046</v>
      </c>
      <c r="H9003" s="30" t="s">
        <v>2859</v>
      </c>
      <c r="J9003" s="30" t="s">
        <v>2860</v>
      </c>
      <c r="L9003" s="30" t="s">
        <v>2990</v>
      </c>
      <c r="N9003" s="30" t="s">
        <v>3203</v>
      </c>
      <c r="P9003" s="30" t="s">
        <v>3205</v>
      </c>
      <c r="Q9003" t="s">
        <v>621</v>
      </c>
      <c r="R9003" t="s">
        <v>917</v>
      </c>
      <c r="S9003">
        <v>36</v>
      </c>
      <c r="T9003" s="29" t="str">
        <f>HYPERLINK("https://ictv.global/ictv/proposals/2020.095B.R.Leviviricetes.zip","2020.095B.R.Leviviricetes.zip")</f>
        <v>2020.095B.R.Leviviricetes.zip</v>
      </c>
      <c r="U9003" s="29" t="str">
        <f>HYPERLINK("https://ictv.global/taxonomy/taxondetails?taxnode_id=202310505","ictv.global=202310505")</f>
        <v>ictv.global=202310505</v>
      </c>
    </row>
    <row r="9004" spans="1:21">
      <c r="A9004">
        <v>9003</v>
      </c>
      <c r="B9004" s="30" t="s">
        <v>1226</v>
      </c>
      <c r="D9004" s="30" t="s">
        <v>2024</v>
      </c>
      <c r="F9004" s="30" t="s">
        <v>2046</v>
      </c>
      <c r="H9004" s="30" t="s">
        <v>2859</v>
      </c>
      <c r="J9004" s="30" t="s">
        <v>2860</v>
      </c>
      <c r="L9004" s="30" t="s">
        <v>2990</v>
      </c>
      <c r="N9004" s="30" t="s">
        <v>15517</v>
      </c>
      <c r="P9004" s="30" t="s">
        <v>15518</v>
      </c>
      <c r="Q9004" t="s">
        <v>621</v>
      </c>
      <c r="R9004" t="s">
        <v>917</v>
      </c>
      <c r="S9004">
        <v>39</v>
      </c>
      <c r="T9004" s="29" t="str">
        <f t="shared" ref="T9004:T9017" si="381">HYPERLINK("https://ictv.global/ictv/proposals/2023.001B.Leviviricetes_reorg.zip","2023.001B.Leviviricetes_reorg.zip")</f>
        <v>2023.001B.Leviviricetes_reorg.zip</v>
      </c>
      <c r="U9004" s="29" t="str">
        <f>HYPERLINK("https://ictv.global/taxonomy/taxondetails?taxnode_id=202316532","ictv.global=202316532")</f>
        <v>ictv.global=202316532</v>
      </c>
    </row>
    <row r="9005" spans="1:21">
      <c r="A9005">
        <v>9004</v>
      </c>
      <c r="B9005" s="30" t="s">
        <v>1226</v>
      </c>
      <c r="D9005" s="30" t="s">
        <v>2024</v>
      </c>
      <c r="F9005" s="30" t="s">
        <v>2046</v>
      </c>
      <c r="H9005" s="30" t="s">
        <v>2859</v>
      </c>
      <c r="J9005" s="30" t="s">
        <v>2860</v>
      </c>
      <c r="L9005" s="30" t="s">
        <v>2990</v>
      </c>
      <c r="N9005" s="30" t="s">
        <v>15519</v>
      </c>
      <c r="P9005" s="30" t="s">
        <v>15520</v>
      </c>
      <c r="Q9005" t="s">
        <v>621</v>
      </c>
      <c r="R9005" t="s">
        <v>917</v>
      </c>
      <c r="S9005">
        <v>39</v>
      </c>
      <c r="T9005" s="29" t="str">
        <f t="shared" si="381"/>
        <v>2023.001B.Leviviricetes_reorg.zip</v>
      </c>
      <c r="U9005" s="29" t="str">
        <f>HYPERLINK("https://ictv.global/taxonomy/taxondetails?taxnode_id=202316533","ictv.global=202316533")</f>
        <v>ictv.global=202316533</v>
      </c>
    </row>
    <row r="9006" spans="1:21">
      <c r="A9006">
        <v>9005</v>
      </c>
      <c r="B9006" s="30" t="s">
        <v>1226</v>
      </c>
      <c r="D9006" s="30" t="s">
        <v>2024</v>
      </c>
      <c r="F9006" s="30" t="s">
        <v>2046</v>
      </c>
      <c r="H9006" s="30" t="s">
        <v>2859</v>
      </c>
      <c r="J9006" s="30" t="s">
        <v>2860</v>
      </c>
      <c r="L9006" s="30" t="s">
        <v>2990</v>
      </c>
      <c r="N9006" s="30" t="s">
        <v>15521</v>
      </c>
      <c r="P9006" s="30" t="s">
        <v>15522</v>
      </c>
      <c r="Q9006" t="s">
        <v>621</v>
      </c>
      <c r="R9006" t="s">
        <v>917</v>
      </c>
      <c r="S9006">
        <v>39</v>
      </c>
      <c r="T9006" s="29" t="str">
        <f t="shared" si="381"/>
        <v>2023.001B.Leviviricetes_reorg.zip</v>
      </c>
      <c r="U9006" s="29" t="str">
        <f>HYPERLINK("https://ictv.global/taxonomy/taxondetails?taxnode_id=202316534","ictv.global=202316534")</f>
        <v>ictv.global=202316534</v>
      </c>
    </row>
    <row r="9007" spans="1:21">
      <c r="A9007">
        <v>9006</v>
      </c>
      <c r="B9007" s="30" t="s">
        <v>1226</v>
      </c>
      <c r="D9007" s="30" t="s">
        <v>2024</v>
      </c>
      <c r="F9007" s="30" t="s">
        <v>2046</v>
      </c>
      <c r="H9007" s="30" t="s">
        <v>2859</v>
      </c>
      <c r="J9007" s="30" t="s">
        <v>2860</v>
      </c>
      <c r="L9007" s="30" t="s">
        <v>2990</v>
      </c>
      <c r="N9007" s="30" t="s">
        <v>15521</v>
      </c>
      <c r="P9007" s="30" t="s">
        <v>15523</v>
      </c>
      <c r="Q9007" t="s">
        <v>621</v>
      </c>
      <c r="R9007" t="s">
        <v>917</v>
      </c>
      <c r="S9007">
        <v>39</v>
      </c>
      <c r="T9007" s="29" t="str">
        <f t="shared" si="381"/>
        <v>2023.001B.Leviviricetes_reorg.zip</v>
      </c>
      <c r="U9007" s="29" t="str">
        <f>HYPERLINK("https://ictv.global/taxonomy/taxondetails?taxnode_id=202316535","ictv.global=202316535")</f>
        <v>ictv.global=202316535</v>
      </c>
    </row>
    <row r="9008" spans="1:21">
      <c r="A9008">
        <v>9007</v>
      </c>
      <c r="B9008" s="30" t="s">
        <v>1226</v>
      </c>
      <c r="D9008" s="30" t="s">
        <v>2024</v>
      </c>
      <c r="F9008" s="30" t="s">
        <v>2046</v>
      </c>
      <c r="H9008" s="30" t="s">
        <v>2859</v>
      </c>
      <c r="J9008" s="30" t="s">
        <v>2860</v>
      </c>
      <c r="L9008" s="30" t="s">
        <v>2990</v>
      </c>
      <c r="N9008" s="30" t="s">
        <v>15521</v>
      </c>
      <c r="P9008" s="30" t="s">
        <v>15524</v>
      </c>
      <c r="Q9008" t="s">
        <v>621</v>
      </c>
      <c r="R9008" t="s">
        <v>917</v>
      </c>
      <c r="S9008">
        <v>39</v>
      </c>
      <c r="T9008" s="29" t="str">
        <f t="shared" si="381"/>
        <v>2023.001B.Leviviricetes_reorg.zip</v>
      </c>
      <c r="U9008" s="29" t="str">
        <f>HYPERLINK("https://ictv.global/taxonomy/taxondetails?taxnode_id=202316536","ictv.global=202316536")</f>
        <v>ictv.global=202316536</v>
      </c>
    </row>
    <row r="9009" spans="1:21">
      <c r="A9009">
        <v>9008</v>
      </c>
      <c r="B9009" s="30" t="s">
        <v>1226</v>
      </c>
      <c r="D9009" s="30" t="s">
        <v>2024</v>
      </c>
      <c r="F9009" s="30" t="s">
        <v>2046</v>
      </c>
      <c r="H9009" s="30" t="s">
        <v>2859</v>
      </c>
      <c r="J9009" s="30" t="s">
        <v>2860</v>
      </c>
      <c r="L9009" s="30" t="s">
        <v>2990</v>
      </c>
      <c r="N9009" s="30" t="s">
        <v>15521</v>
      </c>
      <c r="P9009" s="30" t="s">
        <v>15525</v>
      </c>
      <c r="Q9009" t="s">
        <v>621</v>
      </c>
      <c r="R9009" t="s">
        <v>917</v>
      </c>
      <c r="S9009">
        <v>39</v>
      </c>
      <c r="T9009" s="29" t="str">
        <f t="shared" si="381"/>
        <v>2023.001B.Leviviricetes_reorg.zip</v>
      </c>
      <c r="U9009" s="29" t="str">
        <f>HYPERLINK("https://ictv.global/taxonomy/taxondetails?taxnode_id=202316537","ictv.global=202316537")</f>
        <v>ictv.global=202316537</v>
      </c>
    </row>
    <row r="9010" spans="1:21">
      <c r="A9010">
        <v>9009</v>
      </c>
      <c r="B9010" s="30" t="s">
        <v>1226</v>
      </c>
      <c r="D9010" s="30" t="s">
        <v>2024</v>
      </c>
      <c r="F9010" s="30" t="s">
        <v>2046</v>
      </c>
      <c r="H9010" s="30" t="s">
        <v>2859</v>
      </c>
      <c r="J9010" s="30" t="s">
        <v>2860</v>
      </c>
      <c r="L9010" s="30" t="s">
        <v>2990</v>
      </c>
      <c r="N9010" s="30" t="s">
        <v>15526</v>
      </c>
      <c r="P9010" s="30" t="s">
        <v>15527</v>
      </c>
      <c r="Q9010" t="s">
        <v>621</v>
      </c>
      <c r="R9010" t="s">
        <v>917</v>
      </c>
      <c r="S9010">
        <v>39</v>
      </c>
      <c r="T9010" s="29" t="str">
        <f t="shared" si="381"/>
        <v>2023.001B.Leviviricetes_reorg.zip</v>
      </c>
      <c r="U9010" s="29" t="str">
        <f>HYPERLINK("https://ictv.global/taxonomy/taxondetails?taxnode_id=202316538","ictv.global=202316538")</f>
        <v>ictv.global=202316538</v>
      </c>
    </row>
    <row r="9011" spans="1:21">
      <c r="A9011">
        <v>9010</v>
      </c>
      <c r="B9011" s="30" t="s">
        <v>1226</v>
      </c>
      <c r="D9011" s="30" t="s">
        <v>2024</v>
      </c>
      <c r="F9011" s="30" t="s">
        <v>2046</v>
      </c>
      <c r="H9011" s="30" t="s">
        <v>2859</v>
      </c>
      <c r="J9011" s="30" t="s">
        <v>2860</v>
      </c>
      <c r="L9011" s="30" t="s">
        <v>2990</v>
      </c>
      <c r="N9011" s="30" t="s">
        <v>15526</v>
      </c>
      <c r="P9011" s="30" t="s">
        <v>15528</v>
      </c>
      <c r="Q9011" t="s">
        <v>621</v>
      </c>
      <c r="R9011" t="s">
        <v>917</v>
      </c>
      <c r="S9011">
        <v>39</v>
      </c>
      <c r="T9011" s="29" t="str">
        <f t="shared" si="381"/>
        <v>2023.001B.Leviviricetes_reorg.zip</v>
      </c>
      <c r="U9011" s="29" t="str">
        <f>HYPERLINK("https://ictv.global/taxonomy/taxondetails?taxnode_id=202316539","ictv.global=202316539")</f>
        <v>ictv.global=202316539</v>
      </c>
    </row>
    <row r="9012" spans="1:21">
      <c r="A9012">
        <v>9011</v>
      </c>
      <c r="B9012" s="30" t="s">
        <v>1226</v>
      </c>
      <c r="D9012" s="30" t="s">
        <v>2024</v>
      </c>
      <c r="F9012" s="30" t="s">
        <v>2046</v>
      </c>
      <c r="H9012" s="30" t="s">
        <v>2859</v>
      </c>
      <c r="J9012" s="30" t="s">
        <v>2860</v>
      </c>
      <c r="L9012" s="30" t="s">
        <v>2990</v>
      </c>
      <c r="N9012" s="30" t="s">
        <v>15526</v>
      </c>
      <c r="P9012" s="30" t="s">
        <v>15529</v>
      </c>
      <c r="Q9012" t="s">
        <v>621</v>
      </c>
      <c r="R9012" t="s">
        <v>918</v>
      </c>
      <c r="S9012">
        <v>39</v>
      </c>
      <c r="T9012" s="29" t="str">
        <f t="shared" si="381"/>
        <v>2023.001B.Leviviricetes_reorg.zip</v>
      </c>
      <c r="U9012" s="29" t="str">
        <f>HYPERLINK("https://ictv.global/taxonomy/taxondetails?taxnode_id=202310618","ictv.global=202310618")</f>
        <v>ictv.global=202310618</v>
      </c>
    </row>
    <row r="9013" spans="1:21">
      <c r="A9013">
        <v>9012</v>
      </c>
      <c r="B9013" s="30" t="s">
        <v>1226</v>
      </c>
      <c r="D9013" s="30" t="s">
        <v>2024</v>
      </c>
      <c r="F9013" s="30" t="s">
        <v>2046</v>
      </c>
      <c r="H9013" s="30" t="s">
        <v>2859</v>
      </c>
      <c r="J9013" s="30" t="s">
        <v>2860</v>
      </c>
      <c r="L9013" s="30" t="s">
        <v>2990</v>
      </c>
      <c r="N9013" s="30" t="s">
        <v>15526</v>
      </c>
      <c r="P9013" s="30" t="s">
        <v>15530</v>
      </c>
      <c r="Q9013" t="s">
        <v>621</v>
      </c>
      <c r="R9013" t="s">
        <v>917</v>
      </c>
      <c r="S9013">
        <v>39</v>
      </c>
      <c r="T9013" s="29" t="str">
        <f t="shared" si="381"/>
        <v>2023.001B.Leviviricetes_reorg.zip</v>
      </c>
      <c r="U9013" s="29" t="str">
        <f>HYPERLINK("https://ictv.global/taxonomy/taxondetails?taxnode_id=202316540","ictv.global=202316540")</f>
        <v>ictv.global=202316540</v>
      </c>
    </row>
    <row r="9014" spans="1:21">
      <c r="A9014">
        <v>9013</v>
      </c>
      <c r="B9014" s="30" t="s">
        <v>1226</v>
      </c>
      <c r="D9014" s="30" t="s">
        <v>2024</v>
      </c>
      <c r="F9014" s="30" t="s">
        <v>2046</v>
      </c>
      <c r="H9014" s="30" t="s">
        <v>2859</v>
      </c>
      <c r="J9014" s="30" t="s">
        <v>2860</v>
      </c>
      <c r="L9014" s="30" t="s">
        <v>2990</v>
      </c>
      <c r="N9014" s="30" t="s">
        <v>15526</v>
      </c>
      <c r="P9014" s="30" t="s">
        <v>15531</v>
      </c>
      <c r="Q9014" t="s">
        <v>621</v>
      </c>
      <c r="R9014" t="s">
        <v>917</v>
      </c>
      <c r="S9014">
        <v>39</v>
      </c>
      <c r="T9014" s="29" t="str">
        <f t="shared" si="381"/>
        <v>2023.001B.Leviviricetes_reorg.zip</v>
      </c>
      <c r="U9014" s="29" t="str">
        <f>HYPERLINK("https://ictv.global/taxonomy/taxondetails?taxnode_id=202316541","ictv.global=202316541")</f>
        <v>ictv.global=202316541</v>
      </c>
    </row>
    <row r="9015" spans="1:21">
      <c r="A9015">
        <v>9014</v>
      </c>
      <c r="B9015" s="30" t="s">
        <v>1226</v>
      </c>
      <c r="D9015" s="30" t="s">
        <v>2024</v>
      </c>
      <c r="F9015" s="30" t="s">
        <v>2046</v>
      </c>
      <c r="H9015" s="30" t="s">
        <v>2859</v>
      </c>
      <c r="J9015" s="30" t="s">
        <v>2860</v>
      </c>
      <c r="L9015" s="30" t="s">
        <v>2990</v>
      </c>
      <c r="N9015" s="30" t="s">
        <v>15532</v>
      </c>
      <c r="P9015" s="30" t="s">
        <v>15533</v>
      </c>
      <c r="Q9015" t="s">
        <v>621</v>
      </c>
      <c r="R9015" t="s">
        <v>917</v>
      </c>
      <c r="S9015">
        <v>39</v>
      </c>
      <c r="T9015" s="29" t="str">
        <f t="shared" si="381"/>
        <v>2023.001B.Leviviricetes_reorg.zip</v>
      </c>
      <c r="U9015" s="29" t="str">
        <f>HYPERLINK("https://ictv.global/taxonomy/taxondetails?taxnode_id=202316542","ictv.global=202316542")</f>
        <v>ictv.global=202316542</v>
      </c>
    </row>
    <row r="9016" spans="1:21">
      <c r="A9016">
        <v>9015</v>
      </c>
      <c r="B9016" s="30" t="s">
        <v>1226</v>
      </c>
      <c r="D9016" s="30" t="s">
        <v>2024</v>
      </c>
      <c r="F9016" s="30" t="s">
        <v>2046</v>
      </c>
      <c r="H9016" s="30" t="s">
        <v>2859</v>
      </c>
      <c r="J9016" s="30" t="s">
        <v>2860</v>
      </c>
      <c r="L9016" s="30" t="s">
        <v>2990</v>
      </c>
      <c r="N9016" s="30" t="s">
        <v>15532</v>
      </c>
      <c r="P9016" s="30" t="s">
        <v>15534</v>
      </c>
      <c r="Q9016" t="s">
        <v>621</v>
      </c>
      <c r="R9016" t="s">
        <v>917</v>
      </c>
      <c r="S9016">
        <v>39</v>
      </c>
      <c r="T9016" s="29" t="str">
        <f t="shared" si="381"/>
        <v>2023.001B.Leviviricetes_reorg.zip</v>
      </c>
      <c r="U9016" s="29" t="str">
        <f>HYPERLINK("https://ictv.global/taxonomy/taxondetails?taxnode_id=202316543","ictv.global=202316543")</f>
        <v>ictv.global=202316543</v>
      </c>
    </row>
    <row r="9017" spans="1:21">
      <c r="A9017">
        <v>9016</v>
      </c>
      <c r="B9017" s="30" t="s">
        <v>1226</v>
      </c>
      <c r="D9017" s="30" t="s">
        <v>2024</v>
      </c>
      <c r="F9017" s="30" t="s">
        <v>2046</v>
      </c>
      <c r="H9017" s="30" t="s">
        <v>2859</v>
      </c>
      <c r="J9017" s="30" t="s">
        <v>2860</v>
      </c>
      <c r="L9017" s="30" t="s">
        <v>2990</v>
      </c>
      <c r="N9017" s="30" t="s">
        <v>15532</v>
      </c>
      <c r="P9017" s="30" t="s">
        <v>15535</v>
      </c>
      <c r="Q9017" t="s">
        <v>621</v>
      </c>
      <c r="R9017" t="s">
        <v>917</v>
      </c>
      <c r="S9017">
        <v>39</v>
      </c>
      <c r="T9017" s="29" t="str">
        <f t="shared" si="381"/>
        <v>2023.001B.Leviviricetes_reorg.zip</v>
      </c>
      <c r="U9017" s="29" t="str">
        <f>HYPERLINK("https://ictv.global/taxonomy/taxondetails?taxnode_id=202316544","ictv.global=202316544")</f>
        <v>ictv.global=202316544</v>
      </c>
    </row>
    <row r="9018" spans="1:21">
      <c r="A9018">
        <v>9017</v>
      </c>
      <c r="B9018" s="30" t="s">
        <v>1226</v>
      </c>
      <c r="D9018" s="30" t="s">
        <v>2024</v>
      </c>
      <c r="F9018" s="30" t="s">
        <v>2046</v>
      </c>
      <c r="H9018" s="30" t="s">
        <v>2859</v>
      </c>
      <c r="J9018" s="30" t="s">
        <v>2860</v>
      </c>
      <c r="L9018" s="30" t="s">
        <v>2990</v>
      </c>
      <c r="N9018" s="30" t="s">
        <v>3206</v>
      </c>
      <c r="P9018" s="30" t="s">
        <v>3207</v>
      </c>
      <c r="Q9018" t="s">
        <v>621</v>
      </c>
      <c r="R9018" t="s">
        <v>917</v>
      </c>
      <c r="S9018">
        <v>36</v>
      </c>
      <c r="T9018" s="29" t="str">
        <f>HYPERLINK("https://ictv.global/ictv/proposals/2020.095B.R.Leviviricetes.zip","2020.095B.R.Leviviricetes.zip")</f>
        <v>2020.095B.R.Leviviricetes.zip</v>
      </c>
      <c r="U9018" s="29" t="str">
        <f>HYPERLINK("https://ictv.global/taxonomy/taxondetails?taxnode_id=202310512","ictv.global=202310512")</f>
        <v>ictv.global=202310512</v>
      </c>
    </row>
    <row r="9019" spans="1:21">
      <c r="A9019">
        <v>9018</v>
      </c>
      <c r="B9019" s="30" t="s">
        <v>1226</v>
      </c>
      <c r="D9019" s="30" t="s">
        <v>2024</v>
      </c>
      <c r="F9019" s="30" t="s">
        <v>2046</v>
      </c>
      <c r="H9019" s="30" t="s">
        <v>2859</v>
      </c>
      <c r="J9019" s="30" t="s">
        <v>2860</v>
      </c>
      <c r="L9019" s="30" t="s">
        <v>2990</v>
      </c>
      <c r="N9019" s="30" t="s">
        <v>15536</v>
      </c>
      <c r="P9019" s="30" t="s">
        <v>15537</v>
      </c>
      <c r="Q9019" t="s">
        <v>621</v>
      </c>
      <c r="R9019" t="s">
        <v>917</v>
      </c>
      <c r="S9019">
        <v>39</v>
      </c>
      <c r="T9019" s="29" t="str">
        <f>HYPERLINK("https://ictv.global/ictv/proposals/2023.001B.Leviviricetes_reorg.zip","2023.001B.Leviviricetes_reorg.zip")</f>
        <v>2023.001B.Leviviricetes_reorg.zip</v>
      </c>
      <c r="U9019" s="29" t="str">
        <f>HYPERLINK("https://ictv.global/taxonomy/taxondetails?taxnode_id=202316545","ictv.global=202316545")</f>
        <v>ictv.global=202316545</v>
      </c>
    </row>
    <row r="9020" spans="1:21">
      <c r="A9020">
        <v>9019</v>
      </c>
      <c r="B9020" s="30" t="s">
        <v>1226</v>
      </c>
      <c r="D9020" s="30" t="s">
        <v>2024</v>
      </c>
      <c r="F9020" s="30" t="s">
        <v>2046</v>
      </c>
      <c r="H9020" s="30" t="s">
        <v>2859</v>
      </c>
      <c r="J9020" s="30" t="s">
        <v>2860</v>
      </c>
      <c r="L9020" s="30" t="s">
        <v>2990</v>
      </c>
      <c r="N9020" s="30" t="s">
        <v>3208</v>
      </c>
      <c r="P9020" s="30" t="s">
        <v>3209</v>
      </c>
      <c r="Q9020" t="s">
        <v>621</v>
      </c>
      <c r="R9020" t="s">
        <v>917</v>
      </c>
      <c r="S9020">
        <v>36</v>
      </c>
      <c r="T9020" s="29" t="str">
        <f>HYPERLINK("https://ictv.global/ictv/proposals/2020.095B.R.Leviviricetes.zip","2020.095B.R.Leviviricetes.zip")</f>
        <v>2020.095B.R.Leviviricetes.zip</v>
      </c>
      <c r="U9020" s="29" t="str">
        <f>HYPERLINK("https://ictv.global/taxonomy/taxondetails?taxnode_id=202310514","ictv.global=202310514")</f>
        <v>ictv.global=202310514</v>
      </c>
    </row>
    <row r="9021" spans="1:21">
      <c r="A9021">
        <v>9020</v>
      </c>
      <c r="B9021" s="30" t="s">
        <v>1226</v>
      </c>
      <c r="D9021" s="30" t="s">
        <v>2024</v>
      </c>
      <c r="F9021" s="30" t="s">
        <v>2046</v>
      </c>
      <c r="H9021" s="30" t="s">
        <v>2859</v>
      </c>
      <c r="J9021" s="30" t="s">
        <v>2860</v>
      </c>
      <c r="L9021" s="30" t="s">
        <v>2990</v>
      </c>
      <c r="N9021" s="30" t="s">
        <v>3210</v>
      </c>
      <c r="P9021" s="30" t="s">
        <v>3211</v>
      </c>
      <c r="Q9021" t="s">
        <v>621</v>
      </c>
      <c r="R9021" t="s">
        <v>917</v>
      </c>
      <c r="S9021">
        <v>36</v>
      </c>
      <c r="T9021" s="29" t="str">
        <f>HYPERLINK("https://ictv.global/ictv/proposals/2020.095B.R.Leviviricetes.zip","2020.095B.R.Leviviricetes.zip")</f>
        <v>2020.095B.R.Leviviricetes.zip</v>
      </c>
      <c r="U9021" s="29" t="str">
        <f>HYPERLINK("https://ictv.global/taxonomy/taxondetails?taxnode_id=202310516","ictv.global=202310516")</f>
        <v>ictv.global=202310516</v>
      </c>
    </row>
    <row r="9022" spans="1:21">
      <c r="A9022">
        <v>9021</v>
      </c>
      <c r="B9022" s="30" t="s">
        <v>1226</v>
      </c>
      <c r="D9022" s="30" t="s">
        <v>2024</v>
      </c>
      <c r="F9022" s="30" t="s">
        <v>2046</v>
      </c>
      <c r="H9022" s="30" t="s">
        <v>2859</v>
      </c>
      <c r="J9022" s="30" t="s">
        <v>2860</v>
      </c>
      <c r="L9022" s="30" t="s">
        <v>2990</v>
      </c>
      <c r="N9022" s="30" t="s">
        <v>3212</v>
      </c>
      <c r="P9022" s="30" t="s">
        <v>3213</v>
      </c>
      <c r="Q9022" t="s">
        <v>621</v>
      </c>
      <c r="R9022" t="s">
        <v>917</v>
      </c>
      <c r="S9022">
        <v>36</v>
      </c>
      <c r="T9022" s="29" t="str">
        <f>HYPERLINK("https://ictv.global/ictv/proposals/2020.095B.R.Leviviricetes.zip","2020.095B.R.Leviviricetes.zip")</f>
        <v>2020.095B.R.Leviviricetes.zip</v>
      </c>
      <c r="U9022" s="29" t="str">
        <f>HYPERLINK("https://ictv.global/taxonomy/taxondetails?taxnode_id=202310518","ictv.global=202310518")</f>
        <v>ictv.global=202310518</v>
      </c>
    </row>
    <row r="9023" spans="1:21">
      <c r="A9023">
        <v>9022</v>
      </c>
      <c r="B9023" s="30" t="s">
        <v>1226</v>
      </c>
      <c r="D9023" s="30" t="s">
        <v>2024</v>
      </c>
      <c r="F9023" s="30" t="s">
        <v>2046</v>
      </c>
      <c r="H9023" s="30" t="s">
        <v>2859</v>
      </c>
      <c r="J9023" s="30" t="s">
        <v>2860</v>
      </c>
      <c r="L9023" s="30" t="s">
        <v>2990</v>
      </c>
      <c r="N9023" s="30" t="s">
        <v>3214</v>
      </c>
      <c r="P9023" s="30" t="s">
        <v>3215</v>
      </c>
      <c r="Q9023" t="s">
        <v>621</v>
      </c>
      <c r="R9023" t="s">
        <v>917</v>
      </c>
      <c r="S9023">
        <v>36</v>
      </c>
      <c r="T9023" s="29" t="str">
        <f>HYPERLINK("https://ictv.global/ictv/proposals/2020.095B.R.Leviviricetes.zip","2020.095B.R.Leviviricetes.zip")</f>
        <v>2020.095B.R.Leviviricetes.zip</v>
      </c>
      <c r="U9023" s="29" t="str">
        <f>HYPERLINK("https://ictv.global/taxonomy/taxondetails?taxnode_id=202310520","ictv.global=202310520")</f>
        <v>ictv.global=202310520</v>
      </c>
    </row>
    <row r="9024" spans="1:21">
      <c r="A9024">
        <v>9023</v>
      </c>
      <c r="B9024" s="30" t="s">
        <v>1226</v>
      </c>
      <c r="D9024" s="30" t="s">
        <v>2024</v>
      </c>
      <c r="F9024" s="30" t="s">
        <v>2046</v>
      </c>
      <c r="H9024" s="30" t="s">
        <v>2859</v>
      </c>
      <c r="J9024" s="30" t="s">
        <v>2860</v>
      </c>
      <c r="L9024" s="30" t="s">
        <v>2990</v>
      </c>
      <c r="N9024" s="30" t="s">
        <v>15538</v>
      </c>
      <c r="P9024" s="30" t="s">
        <v>15539</v>
      </c>
      <c r="Q9024" t="s">
        <v>621</v>
      </c>
      <c r="R9024" t="s">
        <v>917</v>
      </c>
      <c r="S9024">
        <v>39</v>
      </c>
      <c r="T9024" s="29" t="str">
        <f>HYPERLINK("https://ictv.global/ictv/proposals/2023.001B.Leviviricetes_reorg.zip","2023.001B.Leviviricetes_reorg.zip")</f>
        <v>2023.001B.Leviviricetes_reorg.zip</v>
      </c>
      <c r="U9024" s="29" t="str">
        <f>HYPERLINK("https://ictv.global/taxonomy/taxondetails?taxnode_id=202316546","ictv.global=202316546")</f>
        <v>ictv.global=202316546</v>
      </c>
    </row>
    <row r="9025" spans="1:21">
      <c r="A9025">
        <v>9024</v>
      </c>
      <c r="B9025" s="30" t="s">
        <v>1226</v>
      </c>
      <c r="D9025" s="30" t="s">
        <v>2024</v>
      </c>
      <c r="F9025" s="30" t="s">
        <v>2046</v>
      </c>
      <c r="H9025" s="30" t="s">
        <v>2859</v>
      </c>
      <c r="J9025" s="30" t="s">
        <v>2860</v>
      </c>
      <c r="L9025" s="30" t="s">
        <v>2990</v>
      </c>
      <c r="N9025" s="30" t="s">
        <v>3216</v>
      </c>
      <c r="P9025" s="30" t="s">
        <v>15540</v>
      </c>
      <c r="Q9025" t="s">
        <v>621</v>
      </c>
      <c r="R9025" t="s">
        <v>917</v>
      </c>
      <c r="S9025">
        <v>39</v>
      </c>
      <c r="T9025" s="29" t="str">
        <f>HYPERLINK("https://ictv.global/ictv/proposals/2023.001B.Leviviricetes_reorg.zip","2023.001B.Leviviricetes_reorg.zip")</f>
        <v>2023.001B.Leviviricetes_reorg.zip</v>
      </c>
      <c r="U9025" s="29" t="str">
        <f>HYPERLINK("https://ictv.global/taxonomy/taxondetails?taxnode_id=202316547","ictv.global=202316547")</f>
        <v>ictv.global=202316547</v>
      </c>
    </row>
    <row r="9026" spans="1:21">
      <c r="A9026">
        <v>9025</v>
      </c>
      <c r="B9026" s="30" t="s">
        <v>1226</v>
      </c>
      <c r="D9026" s="30" t="s">
        <v>2024</v>
      </c>
      <c r="F9026" s="30" t="s">
        <v>2046</v>
      </c>
      <c r="H9026" s="30" t="s">
        <v>2859</v>
      </c>
      <c r="J9026" s="30" t="s">
        <v>2860</v>
      </c>
      <c r="L9026" s="30" t="s">
        <v>2990</v>
      </c>
      <c r="N9026" s="30" t="s">
        <v>3216</v>
      </c>
      <c r="P9026" s="30" t="s">
        <v>15541</v>
      </c>
      <c r="Q9026" t="s">
        <v>621</v>
      </c>
      <c r="R9026" t="s">
        <v>917</v>
      </c>
      <c r="S9026">
        <v>39</v>
      </c>
      <c r="T9026" s="29" t="str">
        <f>HYPERLINK("https://ictv.global/ictv/proposals/2023.001B.Leviviricetes_reorg.zip","2023.001B.Leviviricetes_reorg.zip")</f>
        <v>2023.001B.Leviviricetes_reorg.zip</v>
      </c>
      <c r="U9026" s="29" t="str">
        <f>HYPERLINK("https://ictv.global/taxonomy/taxondetails?taxnode_id=202316548","ictv.global=202316548")</f>
        <v>ictv.global=202316548</v>
      </c>
    </row>
    <row r="9027" spans="1:21">
      <c r="A9027">
        <v>9026</v>
      </c>
      <c r="B9027" s="30" t="s">
        <v>1226</v>
      </c>
      <c r="D9027" s="30" t="s">
        <v>2024</v>
      </c>
      <c r="F9027" s="30" t="s">
        <v>2046</v>
      </c>
      <c r="H9027" s="30" t="s">
        <v>2859</v>
      </c>
      <c r="J9027" s="30" t="s">
        <v>2860</v>
      </c>
      <c r="L9027" s="30" t="s">
        <v>2990</v>
      </c>
      <c r="N9027" s="30" t="s">
        <v>3216</v>
      </c>
      <c r="P9027" s="30" t="s">
        <v>3217</v>
      </c>
      <c r="Q9027" t="s">
        <v>621</v>
      </c>
      <c r="R9027" t="s">
        <v>917</v>
      </c>
      <c r="S9027">
        <v>36</v>
      </c>
      <c r="T9027" s="29" t="str">
        <f>HYPERLINK("https://ictv.global/ictv/proposals/2020.095B.R.Leviviricetes.zip","2020.095B.R.Leviviricetes.zip")</f>
        <v>2020.095B.R.Leviviricetes.zip</v>
      </c>
      <c r="U9027" s="29" t="str">
        <f>HYPERLINK("https://ictv.global/taxonomy/taxondetails?taxnode_id=202310524","ictv.global=202310524")</f>
        <v>ictv.global=202310524</v>
      </c>
    </row>
    <row r="9028" spans="1:21">
      <c r="A9028">
        <v>9027</v>
      </c>
      <c r="B9028" s="30" t="s">
        <v>1226</v>
      </c>
      <c r="D9028" s="30" t="s">
        <v>2024</v>
      </c>
      <c r="F9028" s="30" t="s">
        <v>2046</v>
      </c>
      <c r="H9028" s="30" t="s">
        <v>2859</v>
      </c>
      <c r="J9028" s="30" t="s">
        <v>2860</v>
      </c>
      <c r="L9028" s="30" t="s">
        <v>2990</v>
      </c>
      <c r="N9028" s="30" t="s">
        <v>3218</v>
      </c>
      <c r="P9028" s="30" t="s">
        <v>15542</v>
      </c>
      <c r="Q9028" t="s">
        <v>621</v>
      </c>
      <c r="R9028" t="s">
        <v>917</v>
      </c>
      <c r="S9028">
        <v>39</v>
      </c>
      <c r="T9028" s="29" t="str">
        <f>HYPERLINK("https://ictv.global/ictv/proposals/2023.001B.Leviviricetes_reorg.zip","2023.001B.Leviviricetes_reorg.zip")</f>
        <v>2023.001B.Leviviricetes_reorg.zip</v>
      </c>
      <c r="U9028" s="29" t="str">
        <f>HYPERLINK("https://ictv.global/taxonomy/taxondetails?taxnode_id=202316549","ictv.global=202316549")</f>
        <v>ictv.global=202316549</v>
      </c>
    </row>
    <row r="9029" spans="1:21">
      <c r="A9029">
        <v>9028</v>
      </c>
      <c r="B9029" s="30" t="s">
        <v>1226</v>
      </c>
      <c r="D9029" s="30" t="s">
        <v>2024</v>
      </c>
      <c r="F9029" s="30" t="s">
        <v>2046</v>
      </c>
      <c r="H9029" s="30" t="s">
        <v>2859</v>
      </c>
      <c r="J9029" s="30" t="s">
        <v>2860</v>
      </c>
      <c r="L9029" s="30" t="s">
        <v>2990</v>
      </c>
      <c r="N9029" s="30" t="s">
        <v>3218</v>
      </c>
      <c r="P9029" s="30" t="s">
        <v>15543</v>
      </c>
      <c r="Q9029" t="s">
        <v>621</v>
      </c>
      <c r="R9029" t="s">
        <v>917</v>
      </c>
      <c r="S9029">
        <v>39</v>
      </c>
      <c r="T9029" s="29" t="str">
        <f>HYPERLINK("https://ictv.global/ictv/proposals/2023.001B.Leviviricetes_reorg.zip","2023.001B.Leviviricetes_reorg.zip")</f>
        <v>2023.001B.Leviviricetes_reorg.zip</v>
      </c>
      <c r="U9029" s="29" t="str">
        <f>HYPERLINK("https://ictv.global/taxonomy/taxondetails?taxnode_id=202316550","ictv.global=202316550")</f>
        <v>ictv.global=202316550</v>
      </c>
    </row>
    <row r="9030" spans="1:21">
      <c r="A9030">
        <v>9029</v>
      </c>
      <c r="B9030" s="30" t="s">
        <v>1226</v>
      </c>
      <c r="D9030" s="30" t="s">
        <v>2024</v>
      </c>
      <c r="F9030" s="30" t="s">
        <v>2046</v>
      </c>
      <c r="H9030" s="30" t="s">
        <v>2859</v>
      </c>
      <c r="J9030" s="30" t="s">
        <v>2860</v>
      </c>
      <c r="L9030" s="30" t="s">
        <v>2990</v>
      </c>
      <c r="N9030" s="30" t="s">
        <v>3218</v>
      </c>
      <c r="P9030" s="30" t="s">
        <v>15544</v>
      </c>
      <c r="Q9030" t="s">
        <v>621</v>
      </c>
      <c r="R9030" t="s">
        <v>917</v>
      </c>
      <c r="S9030">
        <v>39</v>
      </c>
      <c r="T9030" s="29" t="str">
        <f>HYPERLINK("https://ictv.global/ictv/proposals/2023.001B.Leviviricetes_reorg.zip","2023.001B.Leviviricetes_reorg.zip")</f>
        <v>2023.001B.Leviviricetes_reorg.zip</v>
      </c>
      <c r="U9030" s="29" t="str">
        <f>HYPERLINK("https://ictv.global/taxonomy/taxondetails?taxnode_id=202316551","ictv.global=202316551")</f>
        <v>ictv.global=202316551</v>
      </c>
    </row>
    <row r="9031" spans="1:21">
      <c r="A9031">
        <v>9030</v>
      </c>
      <c r="B9031" s="30" t="s">
        <v>1226</v>
      </c>
      <c r="D9031" s="30" t="s">
        <v>2024</v>
      </c>
      <c r="F9031" s="30" t="s">
        <v>2046</v>
      </c>
      <c r="H9031" s="30" t="s">
        <v>2859</v>
      </c>
      <c r="J9031" s="30" t="s">
        <v>2860</v>
      </c>
      <c r="L9031" s="30" t="s">
        <v>2990</v>
      </c>
      <c r="N9031" s="30" t="s">
        <v>3218</v>
      </c>
      <c r="P9031" s="30" t="s">
        <v>3219</v>
      </c>
      <c r="Q9031" t="s">
        <v>621</v>
      </c>
      <c r="R9031" t="s">
        <v>917</v>
      </c>
      <c r="S9031">
        <v>36</v>
      </c>
      <c r="T9031" s="29" t="str">
        <f>HYPERLINK("https://ictv.global/ictv/proposals/2020.095B.R.Leviviricetes.zip","2020.095B.R.Leviviricetes.zip")</f>
        <v>2020.095B.R.Leviviricetes.zip</v>
      </c>
      <c r="U9031" s="29" t="str">
        <f>HYPERLINK("https://ictv.global/taxonomy/taxondetails?taxnode_id=202310531","ictv.global=202310531")</f>
        <v>ictv.global=202310531</v>
      </c>
    </row>
    <row r="9032" spans="1:21">
      <c r="A9032">
        <v>9031</v>
      </c>
      <c r="B9032" s="30" t="s">
        <v>1226</v>
      </c>
      <c r="D9032" s="30" t="s">
        <v>2024</v>
      </c>
      <c r="F9032" s="30" t="s">
        <v>2046</v>
      </c>
      <c r="H9032" s="30" t="s">
        <v>2859</v>
      </c>
      <c r="J9032" s="30" t="s">
        <v>2860</v>
      </c>
      <c r="L9032" s="30" t="s">
        <v>2990</v>
      </c>
      <c r="N9032" s="30" t="s">
        <v>3218</v>
      </c>
      <c r="P9032" s="30" t="s">
        <v>15545</v>
      </c>
      <c r="Q9032" t="s">
        <v>621</v>
      </c>
      <c r="R9032" t="s">
        <v>917</v>
      </c>
      <c r="S9032">
        <v>39</v>
      </c>
      <c r="T9032" s="29" t="str">
        <f t="shared" ref="T9032:T9039" si="382">HYPERLINK("https://ictv.global/ictv/proposals/2023.001B.Leviviricetes_reorg.zip","2023.001B.Leviviricetes_reorg.zip")</f>
        <v>2023.001B.Leviviricetes_reorg.zip</v>
      </c>
      <c r="U9032" s="29" t="str">
        <f>HYPERLINK("https://ictv.global/taxonomy/taxondetails?taxnode_id=202316552","ictv.global=202316552")</f>
        <v>ictv.global=202316552</v>
      </c>
    </row>
    <row r="9033" spans="1:21">
      <c r="A9033">
        <v>9032</v>
      </c>
      <c r="B9033" s="30" t="s">
        <v>1226</v>
      </c>
      <c r="D9033" s="30" t="s">
        <v>2024</v>
      </c>
      <c r="F9033" s="30" t="s">
        <v>2046</v>
      </c>
      <c r="H9033" s="30" t="s">
        <v>2859</v>
      </c>
      <c r="J9033" s="30" t="s">
        <v>2860</v>
      </c>
      <c r="L9033" s="30" t="s">
        <v>2990</v>
      </c>
      <c r="N9033" s="30" t="s">
        <v>3218</v>
      </c>
      <c r="P9033" s="30" t="s">
        <v>15546</v>
      </c>
      <c r="Q9033" t="s">
        <v>621</v>
      </c>
      <c r="R9033" t="s">
        <v>917</v>
      </c>
      <c r="S9033">
        <v>39</v>
      </c>
      <c r="T9033" s="29" t="str">
        <f t="shared" si="382"/>
        <v>2023.001B.Leviviricetes_reorg.zip</v>
      </c>
      <c r="U9033" s="29" t="str">
        <f>HYPERLINK("https://ictv.global/taxonomy/taxondetails?taxnode_id=202316553","ictv.global=202316553")</f>
        <v>ictv.global=202316553</v>
      </c>
    </row>
    <row r="9034" spans="1:21">
      <c r="A9034">
        <v>9033</v>
      </c>
      <c r="B9034" s="30" t="s">
        <v>1226</v>
      </c>
      <c r="D9034" s="30" t="s">
        <v>2024</v>
      </c>
      <c r="F9034" s="30" t="s">
        <v>2046</v>
      </c>
      <c r="H9034" s="30" t="s">
        <v>2859</v>
      </c>
      <c r="J9034" s="30" t="s">
        <v>2860</v>
      </c>
      <c r="L9034" s="30" t="s">
        <v>2990</v>
      </c>
      <c r="N9034" s="30" t="s">
        <v>3218</v>
      </c>
      <c r="P9034" s="30" t="s">
        <v>15547</v>
      </c>
      <c r="Q9034" t="s">
        <v>621</v>
      </c>
      <c r="R9034" t="s">
        <v>917</v>
      </c>
      <c r="S9034">
        <v>39</v>
      </c>
      <c r="T9034" s="29" t="str">
        <f t="shared" si="382"/>
        <v>2023.001B.Leviviricetes_reorg.zip</v>
      </c>
      <c r="U9034" s="29" t="str">
        <f>HYPERLINK("https://ictv.global/taxonomy/taxondetails?taxnode_id=202316554","ictv.global=202316554")</f>
        <v>ictv.global=202316554</v>
      </c>
    </row>
    <row r="9035" spans="1:21">
      <c r="A9035">
        <v>9034</v>
      </c>
      <c r="B9035" s="30" t="s">
        <v>1226</v>
      </c>
      <c r="D9035" s="30" t="s">
        <v>2024</v>
      </c>
      <c r="F9035" s="30" t="s">
        <v>2046</v>
      </c>
      <c r="H9035" s="30" t="s">
        <v>2859</v>
      </c>
      <c r="J9035" s="30" t="s">
        <v>2860</v>
      </c>
      <c r="L9035" s="30" t="s">
        <v>2990</v>
      </c>
      <c r="N9035" s="30" t="s">
        <v>3218</v>
      </c>
      <c r="P9035" s="30" t="s">
        <v>15548</v>
      </c>
      <c r="Q9035" t="s">
        <v>621</v>
      </c>
      <c r="R9035" t="s">
        <v>917</v>
      </c>
      <c r="S9035">
        <v>39</v>
      </c>
      <c r="T9035" s="29" t="str">
        <f t="shared" si="382"/>
        <v>2023.001B.Leviviricetes_reorg.zip</v>
      </c>
      <c r="U9035" s="29" t="str">
        <f>HYPERLINK("https://ictv.global/taxonomy/taxondetails?taxnode_id=202316555","ictv.global=202316555")</f>
        <v>ictv.global=202316555</v>
      </c>
    </row>
    <row r="9036" spans="1:21">
      <c r="A9036">
        <v>9035</v>
      </c>
      <c r="B9036" s="30" t="s">
        <v>1226</v>
      </c>
      <c r="D9036" s="30" t="s">
        <v>2024</v>
      </c>
      <c r="F9036" s="30" t="s">
        <v>2046</v>
      </c>
      <c r="H9036" s="30" t="s">
        <v>2859</v>
      </c>
      <c r="J9036" s="30" t="s">
        <v>2860</v>
      </c>
      <c r="L9036" s="30" t="s">
        <v>2990</v>
      </c>
      <c r="N9036" s="30" t="s">
        <v>3218</v>
      </c>
      <c r="P9036" s="30" t="s">
        <v>15549</v>
      </c>
      <c r="Q9036" t="s">
        <v>621</v>
      </c>
      <c r="R9036" t="s">
        <v>917</v>
      </c>
      <c r="S9036">
        <v>39</v>
      </c>
      <c r="T9036" s="29" t="str">
        <f t="shared" si="382"/>
        <v>2023.001B.Leviviricetes_reorg.zip</v>
      </c>
      <c r="U9036" s="29" t="str">
        <f>HYPERLINK("https://ictv.global/taxonomy/taxondetails?taxnode_id=202316556","ictv.global=202316556")</f>
        <v>ictv.global=202316556</v>
      </c>
    </row>
    <row r="9037" spans="1:21">
      <c r="A9037">
        <v>9036</v>
      </c>
      <c r="B9037" s="30" t="s">
        <v>1226</v>
      </c>
      <c r="D9037" s="30" t="s">
        <v>2024</v>
      </c>
      <c r="F9037" s="30" t="s">
        <v>2046</v>
      </c>
      <c r="H9037" s="30" t="s">
        <v>2859</v>
      </c>
      <c r="J9037" s="30" t="s">
        <v>2860</v>
      </c>
      <c r="L9037" s="30" t="s">
        <v>2990</v>
      </c>
      <c r="N9037" s="30" t="s">
        <v>3218</v>
      </c>
      <c r="P9037" s="30" t="s">
        <v>15550</v>
      </c>
      <c r="Q9037" t="s">
        <v>621</v>
      </c>
      <c r="R9037" t="s">
        <v>917</v>
      </c>
      <c r="S9037">
        <v>39</v>
      </c>
      <c r="T9037" s="29" t="str">
        <f t="shared" si="382"/>
        <v>2023.001B.Leviviricetes_reorg.zip</v>
      </c>
      <c r="U9037" s="29" t="str">
        <f>HYPERLINK("https://ictv.global/taxonomy/taxondetails?taxnode_id=202316557","ictv.global=202316557")</f>
        <v>ictv.global=202316557</v>
      </c>
    </row>
    <row r="9038" spans="1:21">
      <c r="A9038">
        <v>9037</v>
      </c>
      <c r="B9038" s="30" t="s">
        <v>1226</v>
      </c>
      <c r="D9038" s="30" t="s">
        <v>2024</v>
      </c>
      <c r="F9038" s="30" t="s">
        <v>2046</v>
      </c>
      <c r="H9038" s="30" t="s">
        <v>2859</v>
      </c>
      <c r="J9038" s="30" t="s">
        <v>2860</v>
      </c>
      <c r="L9038" s="30" t="s">
        <v>2990</v>
      </c>
      <c r="N9038" s="30" t="s">
        <v>3218</v>
      </c>
      <c r="P9038" s="30" t="s">
        <v>15551</v>
      </c>
      <c r="Q9038" t="s">
        <v>621</v>
      </c>
      <c r="R9038" t="s">
        <v>918</v>
      </c>
      <c r="S9038">
        <v>39</v>
      </c>
      <c r="T9038" s="29" t="str">
        <f t="shared" si="382"/>
        <v>2023.001B.Leviviricetes_reorg.zip</v>
      </c>
      <c r="U9038" s="29" t="str">
        <f>HYPERLINK("https://ictv.global/taxonomy/taxondetails?taxnode_id=202310508","ictv.global=202310508")</f>
        <v>ictv.global=202310508</v>
      </c>
    </row>
    <row r="9039" spans="1:21">
      <c r="A9039">
        <v>9038</v>
      </c>
      <c r="B9039" s="30" t="s">
        <v>1226</v>
      </c>
      <c r="D9039" s="30" t="s">
        <v>2024</v>
      </c>
      <c r="F9039" s="30" t="s">
        <v>2046</v>
      </c>
      <c r="H9039" s="30" t="s">
        <v>2859</v>
      </c>
      <c r="J9039" s="30" t="s">
        <v>2860</v>
      </c>
      <c r="L9039" s="30" t="s">
        <v>2990</v>
      </c>
      <c r="N9039" s="30" t="s">
        <v>3218</v>
      </c>
      <c r="P9039" s="30" t="s">
        <v>15552</v>
      </c>
      <c r="Q9039" t="s">
        <v>621</v>
      </c>
      <c r="R9039" t="s">
        <v>918</v>
      </c>
      <c r="S9039">
        <v>39</v>
      </c>
      <c r="T9039" s="29" t="str">
        <f t="shared" si="382"/>
        <v>2023.001B.Leviviricetes_reorg.zip</v>
      </c>
      <c r="U9039" s="29" t="str">
        <f>HYPERLINK("https://ictv.global/taxonomy/taxondetails?taxnode_id=202310507","ictv.global=202310507")</f>
        <v>ictv.global=202310507</v>
      </c>
    </row>
    <row r="9040" spans="1:21">
      <c r="A9040">
        <v>9039</v>
      </c>
      <c r="B9040" s="30" t="s">
        <v>1226</v>
      </c>
      <c r="D9040" s="30" t="s">
        <v>2024</v>
      </c>
      <c r="F9040" s="30" t="s">
        <v>2046</v>
      </c>
      <c r="H9040" s="30" t="s">
        <v>2859</v>
      </c>
      <c r="J9040" s="30" t="s">
        <v>2860</v>
      </c>
      <c r="L9040" s="30" t="s">
        <v>2990</v>
      </c>
      <c r="N9040" s="30" t="s">
        <v>3218</v>
      </c>
      <c r="P9040" s="30" t="s">
        <v>3220</v>
      </c>
      <c r="Q9040" t="s">
        <v>621</v>
      </c>
      <c r="R9040" t="s">
        <v>917</v>
      </c>
      <c r="S9040">
        <v>36</v>
      </c>
      <c r="T9040" s="29" t="str">
        <f>HYPERLINK("https://ictv.global/ictv/proposals/2020.095B.R.Leviviricetes.zip","2020.095B.R.Leviviricetes.zip")</f>
        <v>2020.095B.R.Leviviricetes.zip</v>
      </c>
      <c r="U9040" s="29" t="str">
        <f>HYPERLINK("https://ictv.global/taxonomy/taxondetails?taxnode_id=202310528","ictv.global=202310528")</f>
        <v>ictv.global=202310528</v>
      </c>
    </row>
    <row r="9041" spans="1:21">
      <c r="A9041">
        <v>9040</v>
      </c>
      <c r="B9041" s="30" t="s">
        <v>1226</v>
      </c>
      <c r="D9041" s="30" t="s">
        <v>2024</v>
      </c>
      <c r="F9041" s="30" t="s">
        <v>2046</v>
      </c>
      <c r="H9041" s="30" t="s">
        <v>2859</v>
      </c>
      <c r="J9041" s="30" t="s">
        <v>2860</v>
      </c>
      <c r="L9041" s="30" t="s">
        <v>2990</v>
      </c>
      <c r="N9041" s="30" t="s">
        <v>3218</v>
      </c>
      <c r="P9041" s="30" t="s">
        <v>3221</v>
      </c>
      <c r="Q9041" t="s">
        <v>621</v>
      </c>
      <c r="R9041" t="s">
        <v>917</v>
      </c>
      <c r="S9041">
        <v>36</v>
      </c>
      <c r="T9041" s="29" t="str">
        <f>HYPERLINK("https://ictv.global/ictv/proposals/2020.095B.R.Leviviricetes.zip","2020.095B.R.Leviviricetes.zip")</f>
        <v>2020.095B.R.Leviviricetes.zip</v>
      </c>
      <c r="U9041" s="29" t="str">
        <f>HYPERLINK("https://ictv.global/taxonomy/taxondetails?taxnode_id=202310527","ictv.global=202310527")</f>
        <v>ictv.global=202310527</v>
      </c>
    </row>
    <row r="9042" spans="1:21">
      <c r="A9042">
        <v>9041</v>
      </c>
      <c r="B9042" s="30" t="s">
        <v>1226</v>
      </c>
      <c r="D9042" s="30" t="s">
        <v>2024</v>
      </c>
      <c r="F9042" s="30" t="s">
        <v>2046</v>
      </c>
      <c r="H9042" s="30" t="s">
        <v>2859</v>
      </c>
      <c r="J9042" s="30" t="s">
        <v>2860</v>
      </c>
      <c r="L9042" s="30" t="s">
        <v>2990</v>
      </c>
      <c r="N9042" s="30" t="s">
        <v>3218</v>
      </c>
      <c r="P9042" s="30" t="s">
        <v>3222</v>
      </c>
      <c r="Q9042" t="s">
        <v>621</v>
      </c>
      <c r="R9042" t="s">
        <v>917</v>
      </c>
      <c r="S9042">
        <v>36</v>
      </c>
      <c r="T9042" s="29" t="str">
        <f>HYPERLINK("https://ictv.global/ictv/proposals/2020.095B.R.Leviviricetes.zip","2020.095B.R.Leviviricetes.zip")</f>
        <v>2020.095B.R.Leviviricetes.zip</v>
      </c>
      <c r="U9042" s="29" t="str">
        <f>HYPERLINK("https://ictv.global/taxonomy/taxondetails?taxnode_id=202310529","ictv.global=202310529")</f>
        <v>ictv.global=202310529</v>
      </c>
    </row>
    <row r="9043" spans="1:21">
      <c r="A9043">
        <v>9042</v>
      </c>
      <c r="B9043" s="30" t="s">
        <v>1226</v>
      </c>
      <c r="D9043" s="30" t="s">
        <v>2024</v>
      </c>
      <c r="F9043" s="30" t="s">
        <v>2046</v>
      </c>
      <c r="H9043" s="30" t="s">
        <v>2859</v>
      </c>
      <c r="J9043" s="30" t="s">
        <v>2860</v>
      </c>
      <c r="L9043" s="30" t="s">
        <v>2990</v>
      </c>
      <c r="N9043" s="30" t="s">
        <v>3218</v>
      </c>
      <c r="P9043" s="30" t="s">
        <v>3223</v>
      </c>
      <c r="Q9043" t="s">
        <v>621</v>
      </c>
      <c r="R9043" t="s">
        <v>917</v>
      </c>
      <c r="S9043">
        <v>36</v>
      </c>
      <c r="T9043" s="29" t="str">
        <f>HYPERLINK("https://ictv.global/ictv/proposals/2020.095B.R.Leviviricetes.zip","2020.095B.R.Leviviricetes.zip")</f>
        <v>2020.095B.R.Leviviricetes.zip</v>
      </c>
      <c r="U9043" s="29" t="str">
        <f>HYPERLINK("https://ictv.global/taxonomy/taxondetails?taxnode_id=202310530","ictv.global=202310530")</f>
        <v>ictv.global=202310530</v>
      </c>
    </row>
    <row r="9044" spans="1:21">
      <c r="A9044">
        <v>9043</v>
      </c>
      <c r="B9044" s="30" t="s">
        <v>1226</v>
      </c>
      <c r="D9044" s="30" t="s">
        <v>2024</v>
      </c>
      <c r="F9044" s="30" t="s">
        <v>2046</v>
      </c>
      <c r="H9044" s="30" t="s">
        <v>2859</v>
      </c>
      <c r="J9044" s="30" t="s">
        <v>2860</v>
      </c>
      <c r="L9044" s="30" t="s">
        <v>2990</v>
      </c>
      <c r="N9044" s="30" t="s">
        <v>3218</v>
      </c>
      <c r="P9044" s="30" t="s">
        <v>3224</v>
      </c>
      <c r="Q9044" t="s">
        <v>621</v>
      </c>
      <c r="R9044" t="s">
        <v>917</v>
      </c>
      <c r="S9044">
        <v>36</v>
      </c>
      <c r="T9044" s="29" t="str">
        <f>HYPERLINK("https://ictv.global/ictv/proposals/2020.095B.R.Leviviricetes.zip","2020.095B.R.Leviviricetes.zip")</f>
        <v>2020.095B.R.Leviviricetes.zip</v>
      </c>
      <c r="U9044" s="29" t="str">
        <f>HYPERLINK("https://ictv.global/taxonomy/taxondetails?taxnode_id=202310526","ictv.global=202310526")</f>
        <v>ictv.global=202310526</v>
      </c>
    </row>
    <row r="9045" spans="1:21">
      <c r="A9045">
        <v>9044</v>
      </c>
      <c r="B9045" s="30" t="s">
        <v>1226</v>
      </c>
      <c r="D9045" s="30" t="s">
        <v>2024</v>
      </c>
      <c r="F9045" s="30" t="s">
        <v>2046</v>
      </c>
      <c r="H9045" s="30" t="s">
        <v>2859</v>
      </c>
      <c r="J9045" s="30" t="s">
        <v>2860</v>
      </c>
      <c r="L9045" s="30" t="s">
        <v>2990</v>
      </c>
      <c r="N9045" s="30" t="s">
        <v>15553</v>
      </c>
      <c r="P9045" s="30" t="s">
        <v>15554</v>
      </c>
      <c r="Q9045" t="s">
        <v>621</v>
      </c>
      <c r="R9045" t="s">
        <v>917</v>
      </c>
      <c r="S9045">
        <v>39</v>
      </c>
      <c r="T9045" s="29" t="str">
        <f>HYPERLINK("https://ictv.global/ictv/proposals/2023.001B.Leviviricetes_reorg.zip","2023.001B.Leviviricetes_reorg.zip")</f>
        <v>2023.001B.Leviviricetes_reorg.zip</v>
      </c>
      <c r="U9045" s="29" t="str">
        <f>HYPERLINK("https://ictv.global/taxonomy/taxondetails?taxnode_id=202316558","ictv.global=202316558")</f>
        <v>ictv.global=202316558</v>
      </c>
    </row>
    <row r="9046" spans="1:21">
      <c r="A9046">
        <v>9045</v>
      </c>
      <c r="B9046" s="30" t="s">
        <v>1226</v>
      </c>
      <c r="D9046" s="30" t="s">
        <v>2024</v>
      </c>
      <c r="F9046" s="30" t="s">
        <v>2046</v>
      </c>
      <c r="H9046" s="30" t="s">
        <v>2859</v>
      </c>
      <c r="J9046" s="30" t="s">
        <v>2860</v>
      </c>
      <c r="L9046" s="30" t="s">
        <v>2990</v>
      </c>
      <c r="N9046" s="30" t="s">
        <v>15555</v>
      </c>
      <c r="P9046" s="30" t="s">
        <v>15556</v>
      </c>
      <c r="Q9046" t="s">
        <v>621</v>
      </c>
      <c r="R9046" t="s">
        <v>917</v>
      </c>
      <c r="S9046">
        <v>39</v>
      </c>
      <c r="T9046" s="29" t="str">
        <f>HYPERLINK("https://ictv.global/ictv/proposals/2023.001B.Leviviricetes_reorg.zip","2023.001B.Leviviricetes_reorg.zip")</f>
        <v>2023.001B.Leviviricetes_reorg.zip</v>
      </c>
      <c r="U9046" s="29" t="str">
        <f>HYPERLINK("https://ictv.global/taxonomy/taxondetails?taxnode_id=202316559","ictv.global=202316559")</f>
        <v>ictv.global=202316559</v>
      </c>
    </row>
    <row r="9047" spans="1:21">
      <c r="A9047">
        <v>9046</v>
      </c>
      <c r="B9047" s="30" t="s">
        <v>1226</v>
      </c>
      <c r="D9047" s="30" t="s">
        <v>2024</v>
      </c>
      <c r="F9047" s="30" t="s">
        <v>2046</v>
      </c>
      <c r="H9047" s="30" t="s">
        <v>2859</v>
      </c>
      <c r="J9047" s="30" t="s">
        <v>2860</v>
      </c>
      <c r="L9047" s="30" t="s">
        <v>2990</v>
      </c>
      <c r="N9047" s="30" t="s">
        <v>3225</v>
      </c>
      <c r="P9047" s="30" t="s">
        <v>3226</v>
      </c>
      <c r="Q9047" t="s">
        <v>621</v>
      </c>
      <c r="R9047" t="s">
        <v>917</v>
      </c>
      <c r="S9047">
        <v>36</v>
      </c>
      <c r="T9047" s="29" t="str">
        <f>HYPERLINK("https://ictv.global/ictv/proposals/2020.095B.R.Leviviricetes.zip","2020.095B.R.Leviviricetes.zip")</f>
        <v>2020.095B.R.Leviviricetes.zip</v>
      </c>
      <c r="U9047" s="29" t="str">
        <f>HYPERLINK("https://ictv.global/taxonomy/taxondetails?taxnode_id=202310533","ictv.global=202310533")</f>
        <v>ictv.global=202310533</v>
      </c>
    </row>
    <row r="9048" spans="1:21">
      <c r="A9048">
        <v>9047</v>
      </c>
      <c r="B9048" s="30" t="s">
        <v>1226</v>
      </c>
      <c r="D9048" s="30" t="s">
        <v>2024</v>
      </c>
      <c r="F9048" s="30" t="s">
        <v>2046</v>
      </c>
      <c r="H9048" s="30" t="s">
        <v>2859</v>
      </c>
      <c r="J9048" s="30" t="s">
        <v>2860</v>
      </c>
      <c r="L9048" s="30" t="s">
        <v>2990</v>
      </c>
      <c r="N9048" s="30" t="s">
        <v>3227</v>
      </c>
      <c r="P9048" s="30" t="s">
        <v>3228</v>
      </c>
      <c r="Q9048" t="s">
        <v>621</v>
      </c>
      <c r="R9048" t="s">
        <v>917</v>
      </c>
      <c r="S9048">
        <v>36</v>
      </c>
      <c r="T9048" s="29" t="str">
        <f>HYPERLINK("https://ictv.global/ictv/proposals/2020.095B.R.Leviviricetes.zip","2020.095B.R.Leviviricetes.zip")</f>
        <v>2020.095B.R.Leviviricetes.zip</v>
      </c>
      <c r="U9048" s="29" t="str">
        <f>HYPERLINK("https://ictv.global/taxonomy/taxondetails?taxnode_id=202310535","ictv.global=202310535")</f>
        <v>ictv.global=202310535</v>
      </c>
    </row>
    <row r="9049" spans="1:21">
      <c r="A9049">
        <v>9048</v>
      </c>
      <c r="B9049" s="30" t="s">
        <v>1226</v>
      </c>
      <c r="D9049" s="30" t="s">
        <v>2024</v>
      </c>
      <c r="F9049" s="30" t="s">
        <v>2046</v>
      </c>
      <c r="H9049" s="30" t="s">
        <v>2859</v>
      </c>
      <c r="J9049" s="30" t="s">
        <v>2860</v>
      </c>
      <c r="L9049" s="30" t="s">
        <v>2990</v>
      </c>
      <c r="N9049" s="30" t="s">
        <v>15557</v>
      </c>
      <c r="P9049" s="30" t="s">
        <v>15558</v>
      </c>
      <c r="Q9049" t="s">
        <v>621</v>
      </c>
      <c r="R9049" t="s">
        <v>917</v>
      </c>
      <c r="S9049">
        <v>39</v>
      </c>
      <c r="T9049" s="29" t="str">
        <f>HYPERLINK("https://ictv.global/ictv/proposals/2023.001B.Leviviricetes_reorg.zip","2023.001B.Leviviricetes_reorg.zip")</f>
        <v>2023.001B.Leviviricetes_reorg.zip</v>
      </c>
      <c r="U9049" s="29" t="str">
        <f>HYPERLINK("https://ictv.global/taxonomy/taxondetails?taxnode_id=202316560","ictv.global=202316560")</f>
        <v>ictv.global=202316560</v>
      </c>
    </row>
    <row r="9050" spans="1:21">
      <c r="A9050">
        <v>9049</v>
      </c>
      <c r="B9050" s="30" t="s">
        <v>1226</v>
      </c>
      <c r="D9050" s="30" t="s">
        <v>2024</v>
      </c>
      <c r="F9050" s="30" t="s">
        <v>2046</v>
      </c>
      <c r="H9050" s="30" t="s">
        <v>2859</v>
      </c>
      <c r="J9050" s="30" t="s">
        <v>2860</v>
      </c>
      <c r="L9050" s="30" t="s">
        <v>2990</v>
      </c>
      <c r="N9050" s="30" t="s">
        <v>3229</v>
      </c>
      <c r="P9050" s="30" t="s">
        <v>3230</v>
      </c>
      <c r="Q9050" t="s">
        <v>621</v>
      </c>
      <c r="R9050" t="s">
        <v>917</v>
      </c>
      <c r="S9050">
        <v>36</v>
      </c>
      <c r="T9050" s="29" t="str">
        <f>HYPERLINK("https://ictv.global/ictv/proposals/2020.095B.R.Leviviricetes.zip","2020.095B.R.Leviviricetes.zip")</f>
        <v>2020.095B.R.Leviviricetes.zip</v>
      </c>
      <c r="U9050" s="29" t="str">
        <f>HYPERLINK("https://ictv.global/taxonomy/taxondetails?taxnode_id=202310538","ictv.global=202310538")</f>
        <v>ictv.global=202310538</v>
      </c>
    </row>
    <row r="9051" spans="1:21">
      <c r="A9051">
        <v>9050</v>
      </c>
      <c r="B9051" s="30" t="s">
        <v>1226</v>
      </c>
      <c r="D9051" s="30" t="s">
        <v>2024</v>
      </c>
      <c r="F9051" s="30" t="s">
        <v>2046</v>
      </c>
      <c r="H9051" s="30" t="s">
        <v>2859</v>
      </c>
      <c r="J9051" s="30" t="s">
        <v>2860</v>
      </c>
      <c r="L9051" s="30" t="s">
        <v>2990</v>
      </c>
      <c r="N9051" s="30" t="s">
        <v>3229</v>
      </c>
      <c r="P9051" s="30" t="s">
        <v>3231</v>
      </c>
      <c r="Q9051" t="s">
        <v>621</v>
      </c>
      <c r="R9051" t="s">
        <v>917</v>
      </c>
      <c r="S9051">
        <v>36</v>
      </c>
      <c r="T9051" s="29" t="str">
        <f>HYPERLINK("https://ictv.global/ictv/proposals/2020.095B.R.Leviviricetes.zip","2020.095B.R.Leviviricetes.zip")</f>
        <v>2020.095B.R.Leviviricetes.zip</v>
      </c>
      <c r="U9051" s="29" t="str">
        <f>HYPERLINK("https://ictv.global/taxonomy/taxondetails?taxnode_id=202310537","ictv.global=202310537")</f>
        <v>ictv.global=202310537</v>
      </c>
    </row>
    <row r="9052" spans="1:21">
      <c r="A9052">
        <v>9051</v>
      </c>
      <c r="B9052" s="30" t="s">
        <v>1226</v>
      </c>
      <c r="D9052" s="30" t="s">
        <v>2024</v>
      </c>
      <c r="F9052" s="30" t="s">
        <v>2046</v>
      </c>
      <c r="H9052" s="30" t="s">
        <v>2859</v>
      </c>
      <c r="J9052" s="30" t="s">
        <v>2860</v>
      </c>
      <c r="L9052" s="30" t="s">
        <v>2990</v>
      </c>
      <c r="N9052" s="30" t="s">
        <v>3232</v>
      </c>
      <c r="P9052" s="30" t="s">
        <v>3233</v>
      </c>
      <c r="Q9052" t="s">
        <v>621</v>
      </c>
      <c r="R9052" t="s">
        <v>917</v>
      </c>
      <c r="S9052">
        <v>36</v>
      </c>
      <c r="T9052" s="29" t="str">
        <f>HYPERLINK("https://ictv.global/ictv/proposals/2020.095B.R.Leviviricetes.zip","2020.095B.R.Leviviricetes.zip")</f>
        <v>2020.095B.R.Leviviricetes.zip</v>
      </c>
      <c r="U9052" s="29" t="str">
        <f>HYPERLINK("https://ictv.global/taxonomy/taxondetails?taxnode_id=202310540","ictv.global=202310540")</f>
        <v>ictv.global=202310540</v>
      </c>
    </row>
    <row r="9053" spans="1:21">
      <c r="A9053">
        <v>9052</v>
      </c>
      <c r="B9053" s="30" t="s">
        <v>1226</v>
      </c>
      <c r="D9053" s="30" t="s">
        <v>2024</v>
      </c>
      <c r="F9053" s="30" t="s">
        <v>2046</v>
      </c>
      <c r="H9053" s="30" t="s">
        <v>2859</v>
      </c>
      <c r="J9053" s="30" t="s">
        <v>2860</v>
      </c>
      <c r="L9053" s="30" t="s">
        <v>2990</v>
      </c>
      <c r="N9053" s="30" t="s">
        <v>3234</v>
      </c>
      <c r="P9053" s="30" t="s">
        <v>15559</v>
      </c>
      <c r="Q9053" t="s">
        <v>621</v>
      </c>
      <c r="R9053" t="s">
        <v>917</v>
      </c>
      <c r="S9053">
        <v>39</v>
      </c>
      <c r="T9053" s="29" t="str">
        <f>HYPERLINK("https://ictv.global/ictv/proposals/2023.001B.Leviviricetes_reorg.zip","2023.001B.Leviviricetes_reorg.zip")</f>
        <v>2023.001B.Leviviricetes_reorg.zip</v>
      </c>
      <c r="U9053" s="29" t="str">
        <f>HYPERLINK("https://ictv.global/taxonomy/taxondetails?taxnode_id=202316561","ictv.global=202316561")</f>
        <v>ictv.global=202316561</v>
      </c>
    </row>
    <row r="9054" spans="1:21">
      <c r="A9054">
        <v>9053</v>
      </c>
      <c r="B9054" s="30" t="s">
        <v>1226</v>
      </c>
      <c r="D9054" s="30" t="s">
        <v>2024</v>
      </c>
      <c r="F9054" s="30" t="s">
        <v>2046</v>
      </c>
      <c r="H9054" s="30" t="s">
        <v>2859</v>
      </c>
      <c r="J9054" s="30" t="s">
        <v>2860</v>
      </c>
      <c r="L9054" s="30" t="s">
        <v>2990</v>
      </c>
      <c r="N9054" s="30" t="s">
        <v>3234</v>
      </c>
      <c r="P9054" s="30" t="s">
        <v>15560</v>
      </c>
      <c r="Q9054" t="s">
        <v>621</v>
      </c>
      <c r="R9054" t="s">
        <v>917</v>
      </c>
      <c r="S9054">
        <v>39</v>
      </c>
      <c r="T9054" s="29" t="str">
        <f>HYPERLINK("https://ictv.global/ictv/proposals/2023.001B.Leviviricetes_reorg.zip","2023.001B.Leviviricetes_reorg.zip")</f>
        <v>2023.001B.Leviviricetes_reorg.zip</v>
      </c>
      <c r="U9054" s="29" t="str">
        <f>HYPERLINK("https://ictv.global/taxonomy/taxondetails?taxnode_id=202316562","ictv.global=202316562")</f>
        <v>ictv.global=202316562</v>
      </c>
    </row>
    <row r="9055" spans="1:21">
      <c r="A9055">
        <v>9054</v>
      </c>
      <c r="B9055" s="30" t="s">
        <v>1226</v>
      </c>
      <c r="D9055" s="30" t="s">
        <v>2024</v>
      </c>
      <c r="F9055" s="30" t="s">
        <v>2046</v>
      </c>
      <c r="H9055" s="30" t="s">
        <v>2859</v>
      </c>
      <c r="J9055" s="30" t="s">
        <v>2860</v>
      </c>
      <c r="L9055" s="30" t="s">
        <v>2990</v>
      </c>
      <c r="N9055" s="30" t="s">
        <v>3234</v>
      </c>
      <c r="P9055" s="30" t="s">
        <v>15561</v>
      </c>
      <c r="Q9055" t="s">
        <v>621</v>
      </c>
      <c r="R9055" t="s">
        <v>917</v>
      </c>
      <c r="S9055">
        <v>39</v>
      </c>
      <c r="T9055" s="29" t="str">
        <f>HYPERLINK("https://ictv.global/ictv/proposals/2023.001B.Leviviricetes_reorg.zip","2023.001B.Leviviricetes_reorg.zip")</f>
        <v>2023.001B.Leviviricetes_reorg.zip</v>
      </c>
      <c r="U9055" s="29" t="str">
        <f>HYPERLINK("https://ictv.global/taxonomy/taxondetails?taxnode_id=202316563","ictv.global=202316563")</f>
        <v>ictv.global=202316563</v>
      </c>
    </row>
    <row r="9056" spans="1:21">
      <c r="A9056">
        <v>9055</v>
      </c>
      <c r="B9056" s="30" t="s">
        <v>1226</v>
      </c>
      <c r="D9056" s="30" t="s">
        <v>2024</v>
      </c>
      <c r="F9056" s="30" t="s">
        <v>2046</v>
      </c>
      <c r="H9056" s="30" t="s">
        <v>2859</v>
      </c>
      <c r="J9056" s="30" t="s">
        <v>2860</v>
      </c>
      <c r="L9056" s="30" t="s">
        <v>2990</v>
      </c>
      <c r="N9056" s="30" t="s">
        <v>3234</v>
      </c>
      <c r="P9056" s="30" t="s">
        <v>15562</v>
      </c>
      <c r="Q9056" t="s">
        <v>621</v>
      </c>
      <c r="R9056" t="s">
        <v>917</v>
      </c>
      <c r="S9056">
        <v>39</v>
      </c>
      <c r="T9056" s="29" t="str">
        <f>HYPERLINK("https://ictv.global/ictv/proposals/2023.001B.Leviviricetes_reorg.zip","2023.001B.Leviviricetes_reorg.zip")</f>
        <v>2023.001B.Leviviricetes_reorg.zip</v>
      </c>
      <c r="U9056" s="29" t="str">
        <f>HYPERLINK("https://ictv.global/taxonomy/taxondetails?taxnode_id=202316564","ictv.global=202316564")</f>
        <v>ictv.global=202316564</v>
      </c>
    </row>
    <row r="9057" spans="1:21">
      <c r="A9057">
        <v>9056</v>
      </c>
      <c r="B9057" s="30" t="s">
        <v>1226</v>
      </c>
      <c r="D9057" s="30" t="s">
        <v>2024</v>
      </c>
      <c r="F9057" s="30" t="s">
        <v>2046</v>
      </c>
      <c r="H9057" s="30" t="s">
        <v>2859</v>
      </c>
      <c r="J9057" s="30" t="s">
        <v>2860</v>
      </c>
      <c r="L9057" s="30" t="s">
        <v>2990</v>
      </c>
      <c r="N9057" s="30" t="s">
        <v>3234</v>
      </c>
      <c r="P9057" s="30" t="s">
        <v>15563</v>
      </c>
      <c r="Q9057" t="s">
        <v>621</v>
      </c>
      <c r="R9057" t="s">
        <v>917</v>
      </c>
      <c r="S9057">
        <v>39</v>
      </c>
      <c r="T9057" s="29" t="str">
        <f>HYPERLINK("https://ictv.global/ictv/proposals/2023.001B.Leviviricetes_reorg.zip","2023.001B.Leviviricetes_reorg.zip")</f>
        <v>2023.001B.Leviviricetes_reorg.zip</v>
      </c>
      <c r="U9057" s="29" t="str">
        <f>HYPERLINK("https://ictv.global/taxonomy/taxondetails?taxnode_id=202316565","ictv.global=202316565")</f>
        <v>ictv.global=202316565</v>
      </c>
    </row>
    <row r="9058" spans="1:21">
      <c r="A9058">
        <v>9057</v>
      </c>
      <c r="B9058" s="30" t="s">
        <v>1226</v>
      </c>
      <c r="D9058" s="30" t="s">
        <v>2024</v>
      </c>
      <c r="F9058" s="30" t="s">
        <v>2046</v>
      </c>
      <c r="H9058" s="30" t="s">
        <v>2859</v>
      </c>
      <c r="J9058" s="30" t="s">
        <v>2860</v>
      </c>
      <c r="L9058" s="30" t="s">
        <v>2990</v>
      </c>
      <c r="N9058" s="30" t="s">
        <v>3234</v>
      </c>
      <c r="P9058" s="30" t="s">
        <v>3235</v>
      </c>
      <c r="Q9058" t="s">
        <v>621</v>
      </c>
      <c r="R9058" t="s">
        <v>917</v>
      </c>
      <c r="S9058">
        <v>36</v>
      </c>
      <c r="T9058" s="29" t="str">
        <f>HYPERLINK("https://ictv.global/ictv/proposals/2020.095B.R.Leviviricetes.zip","2020.095B.R.Leviviricetes.zip")</f>
        <v>2020.095B.R.Leviviricetes.zip</v>
      </c>
      <c r="U9058" s="29" t="str">
        <f>HYPERLINK("https://ictv.global/taxonomy/taxondetails?taxnode_id=202310542","ictv.global=202310542")</f>
        <v>ictv.global=202310542</v>
      </c>
    </row>
    <row r="9059" spans="1:21">
      <c r="A9059">
        <v>9058</v>
      </c>
      <c r="B9059" s="30" t="s">
        <v>1226</v>
      </c>
      <c r="D9059" s="30" t="s">
        <v>2024</v>
      </c>
      <c r="F9059" s="30" t="s">
        <v>2046</v>
      </c>
      <c r="H9059" s="30" t="s">
        <v>2859</v>
      </c>
      <c r="J9059" s="30" t="s">
        <v>2860</v>
      </c>
      <c r="L9059" s="30" t="s">
        <v>2990</v>
      </c>
      <c r="N9059" s="30" t="s">
        <v>3236</v>
      </c>
      <c r="P9059" s="30" t="s">
        <v>15564</v>
      </c>
      <c r="Q9059" t="s">
        <v>621</v>
      </c>
      <c r="R9059" t="s">
        <v>917</v>
      </c>
      <c r="S9059">
        <v>39</v>
      </c>
      <c r="T9059" s="29" t="str">
        <f>HYPERLINK("https://ictv.global/ictv/proposals/2023.001B.Leviviricetes_reorg.zip","2023.001B.Leviviricetes_reorg.zip")</f>
        <v>2023.001B.Leviviricetes_reorg.zip</v>
      </c>
      <c r="U9059" s="29" t="str">
        <f>HYPERLINK("https://ictv.global/taxonomy/taxondetails?taxnode_id=202316566","ictv.global=202316566")</f>
        <v>ictv.global=202316566</v>
      </c>
    </row>
    <row r="9060" spans="1:21">
      <c r="A9060">
        <v>9059</v>
      </c>
      <c r="B9060" s="30" t="s">
        <v>1226</v>
      </c>
      <c r="D9060" s="30" t="s">
        <v>2024</v>
      </c>
      <c r="F9060" s="30" t="s">
        <v>2046</v>
      </c>
      <c r="H9060" s="30" t="s">
        <v>2859</v>
      </c>
      <c r="J9060" s="30" t="s">
        <v>2860</v>
      </c>
      <c r="L9060" s="30" t="s">
        <v>2990</v>
      </c>
      <c r="N9060" s="30" t="s">
        <v>3236</v>
      </c>
      <c r="P9060" s="30" t="s">
        <v>15565</v>
      </c>
      <c r="Q9060" t="s">
        <v>621</v>
      </c>
      <c r="R9060" t="s">
        <v>917</v>
      </c>
      <c r="S9060">
        <v>39</v>
      </c>
      <c r="T9060" s="29" t="str">
        <f>HYPERLINK("https://ictv.global/ictv/proposals/2023.001B.Leviviricetes_reorg.zip","2023.001B.Leviviricetes_reorg.zip")</f>
        <v>2023.001B.Leviviricetes_reorg.zip</v>
      </c>
      <c r="U9060" s="29" t="str">
        <f>HYPERLINK("https://ictv.global/taxonomy/taxondetails?taxnode_id=202316567","ictv.global=202316567")</f>
        <v>ictv.global=202316567</v>
      </c>
    </row>
    <row r="9061" spans="1:21">
      <c r="A9061">
        <v>9060</v>
      </c>
      <c r="B9061" s="30" t="s">
        <v>1226</v>
      </c>
      <c r="D9061" s="30" t="s">
        <v>2024</v>
      </c>
      <c r="F9061" s="30" t="s">
        <v>2046</v>
      </c>
      <c r="H9061" s="30" t="s">
        <v>2859</v>
      </c>
      <c r="J9061" s="30" t="s">
        <v>2860</v>
      </c>
      <c r="L9061" s="30" t="s">
        <v>2990</v>
      </c>
      <c r="N9061" s="30" t="s">
        <v>3236</v>
      </c>
      <c r="P9061" s="30" t="s">
        <v>15566</v>
      </c>
      <c r="Q9061" t="s">
        <v>621</v>
      </c>
      <c r="R9061" t="s">
        <v>917</v>
      </c>
      <c r="S9061">
        <v>39</v>
      </c>
      <c r="T9061" s="29" t="str">
        <f>HYPERLINK("https://ictv.global/ictv/proposals/2023.001B.Leviviricetes_reorg.zip","2023.001B.Leviviricetes_reorg.zip")</f>
        <v>2023.001B.Leviviricetes_reorg.zip</v>
      </c>
      <c r="U9061" s="29" t="str">
        <f>HYPERLINK("https://ictv.global/taxonomy/taxondetails?taxnode_id=202316568","ictv.global=202316568")</f>
        <v>ictv.global=202316568</v>
      </c>
    </row>
    <row r="9062" spans="1:21">
      <c r="A9062">
        <v>9061</v>
      </c>
      <c r="B9062" s="30" t="s">
        <v>1226</v>
      </c>
      <c r="D9062" s="30" t="s">
        <v>2024</v>
      </c>
      <c r="F9062" s="30" t="s">
        <v>2046</v>
      </c>
      <c r="H9062" s="30" t="s">
        <v>2859</v>
      </c>
      <c r="J9062" s="30" t="s">
        <v>2860</v>
      </c>
      <c r="L9062" s="30" t="s">
        <v>2990</v>
      </c>
      <c r="N9062" s="30" t="s">
        <v>3236</v>
      </c>
      <c r="P9062" s="30" t="s">
        <v>3237</v>
      </c>
      <c r="Q9062" t="s">
        <v>621</v>
      </c>
      <c r="R9062" t="s">
        <v>917</v>
      </c>
      <c r="S9062">
        <v>36</v>
      </c>
      <c r="T9062" s="29" t="str">
        <f>HYPERLINK("https://ictv.global/ictv/proposals/2020.095B.R.Leviviricetes.zip","2020.095B.R.Leviviricetes.zip")</f>
        <v>2020.095B.R.Leviviricetes.zip</v>
      </c>
      <c r="U9062" s="29" t="str">
        <f>HYPERLINK("https://ictv.global/taxonomy/taxondetails?taxnode_id=202310545","ictv.global=202310545")</f>
        <v>ictv.global=202310545</v>
      </c>
    </row>
    <row r="9063" spans="1:21">
      <c r="A9063">
        <v>9062</v>
      </c>
      <c r="B9063" s="30" t="s">
        <v>1226</v>
      </c>
      <c r="D9063" s="30" t="s">
        <v>2024</v>
      </c>
      <c r="F9063" s="30" t="s">
        <v>2046</v>
      </c>
      <c r="H9063" s="30" t="s">
        <v>2859</v>
      </c>
      <c r="J9063" s="30" t="s">
        <v>2860</v>
      </c>
      <c r="L9063" s="30" t="s">
        <v>2990</v>
      </c>
      <c r="N9063" s="30" t="s">
        <v>3236</v>
      </c>
      <c r="P9063" s="30" t="s">
        <v>15567</v>
      </c>
      <c r="Q9063" t="s">
        <v>621</v>
      </c>
      <c r="R9063" t="s">
        <v>917</v>
      </c>
      <c r="S9063">
        <v>39</v>
      </c>
      <c r="T9063" s="29" t="str">
        <f>HYPERLINK("https://ictv.global/ictv/proposals/2023.001B.Leviviricetes_reorg.zip","2023.001B.Leviviricetes_reorg.zip")</f>
        <v>2023.001B.Leviviricetes_reorg.zip</v>
      </c>
      <c r="U9063" s="29" t="str">
        <f>HYPERLINK("https://ictv.global/taxonomy/taxondetails?taxnode_id=202316569","ictv.global=202316569")</f>
        <v>ictv.global=202316569</v>
      </c>
    </row>
    <row r="9064" spans="1:21">
      <c r="A9064">
        <v>9063</v>
      </c>
      <c r="B9064" s="30" t="s">
        <v>1226</v>
      </c>
      <c r="D9064" s="30" t="s">
        <v>2024</v>
      </c>
      <c r="F9064" s="30" t="s">
        <v>2046</v>
      </c>
      <c r="H9064" s="30" t="s">
        <v>2859</v>
      </c>
      <c r="J9064" s="30" t="s">
        <v>2860</v>
      </c>
      <c r="L9064" s="30" t="s">
        <v>2990</v>
      </c>
      <c r="N9064" s="30" t="s">
        <v>3238</v>
      </c>
      <c r="P9064" s="30" t="s">
        <v>3239</v>
      </c>
      <c r="Q9064" t="s">
        <v>621</v>
      </c>
      <c r="R9064" t="s">
        <v>917</v>
      </c>
      <c r="S9064">
        <v>36</v>
      </c>
      <c r="T9064" s="29" t="str">
        <f>HYPERLINK("https://ictv.global/ictv/proposals/2020.095B.R.Leviviricetes.zip","2020.095B.R.Leviviricetes.zip")</f>
        <v>2020.095B.R.Leviviricetes.zip</v>
      </c>
      <c r="U9064" s="29" t="str">
        <f>HYPERLINK("https://ictv.global/taxonomy/taxondetails?taxnode_id=202310547","ictv.global=202310547")</f>
        <v>ictv.global=202310547</v>
      </c>
    </row>
    <row r="9065" spans="1:21">
      <c r="A9065">
        <v>9064</v>
      </c>
      <c r="B9065" s="30" t="s">
        <v>1226</v>
      </c>
      <c r="D9065" s="30" t="s">
        <v>2024</v>
      </c>
      <c r="F9065" s="30" t="s">
        <v>2046</v>
      </c>
      <c r="H9065" s="30" t="s">
        <v>2859</v>
      </c>
      <c r="J9065" s="30" t="s">
        <v>2860</v>
      </c>
      <c r="L9065" s="30" t="s">
        <v>2990</v>
      </c>
      <c r="N9065" s="30" t="s">
        <v>3240</v>
      </c>
      <c r="P9065" s="30" t="s">
        <v>3241</v>
      </c>
      <c r="Q9065" t="s">
        <v>621</v>
      </c>
      <c r="R9065" t="s">
        <v>917</v>
      </c>
      <c r="S9065">
        <v>36</v>
      </c>
      <c r="T9065" s="29" t="str">
        <f>HYPERLINK("https://ictv.global/ictv/proposals/2020.095B.R.Leviviricetes.zip","2020.095B.R.Leviviricetes.zip")</f>
        <v>2020.095B.R.Leviviricetes.zip</v>
      </c>
      <c r="U9065" s="29" t="str">
        <f>HYPERLINK("https://ictv.global/taxonomy/taxondetails?taxnode_id=202310550","ictv.global=202310550")</f>
        <v>ictv.global=202310550</v>
      </c>
    </row>
    <row r="9066" spans="1:21">
      <c r="A9066">
        <v>9065</v>
      </c>
      <c r="B9066" s="30" t="s">
        <v>1226</v>
      </c>
      <c r="D9066" s="30" t="s">
        <v>2024</v>
      </c>
      <c r="F9066" s="30" t="s">
        <v>2046</v>
      </c>
      <c r="H9066" s="30" t="s">
        <v>2859</v>
      </c>
      <c r="J9066" s="30" t="s">
        <v>2860</v>
      </c>
      <c r="L9066" s="30" t="s">
        <v>2990</v>
      </c>
      <c r="N9066" s="30" t="s">
        <v>3240</v>
      </c>
      <c r="P9066" s="30" t="s">
        <v>3242</v>
      </c>
      <c r="Q9066" t="s">
        <v>621</v>
      </c>
      <c r="R9066" t="s">
        <v>917</v>
      </c>
      <c r="S9066">
        <v>36</v>
      </c>
      <c r="T9066" s="29" t="str">
        <f>HYPERLINK("https://ictv.global/ictv/proposals/2020.095B.R.Leviviricetes.zip","2020.095B.R.Leviviricetes.zip")</f>
        <v>2020.095B.R.Leviviricetes.zip</v>
      </c>
      <c r="U9066" s="29" t="str">
        <f>HYPERLINK("https://ictv.global/taxonomy/taxondetails?taxnode_id=202310549","ictv.global=202310549")</f>
        <v>ictv.global=202310549</v>
      </c>
    </row>
    <row r="9067" spans="1:21">
      <c r="A9067">
        <v>9066</v>
      </c>
      <c r="B9067" s="30" t="s">
        <v>1226</v>
      </c>
      <c r="D9067" s="30" t="s">
        <v>2024</v>
      </c>
      <c r="F9067" s="30" t="s">
        <v>2046</v>
      </c>
      <c r="H9067" s="30" t="s">
        <v>2859</v>
      </c>
      <c r="J9067" s="30" t="s">
        <v>2860</v>
      </c>
      <c r="L9067" s="30" t="s">
        <v>2990</v>
      </c>
      <c r="N9067" s="30" t="s">
        <v>3240</v>
      </c>
      <c r="P9067" s="30" t="s">
        <v>15568</v>
      </c>
      <c r="Q9067" t="s">
        <v>621</v>
      </c>
      <c r="R9067" t="s">
        <v>917</v>
      </c>
      <c r="S9067">
        <v>39</v>
      </c>
      <c r="T9067" s="29" t="str">
        <f t="shared" ref="T9067:T9075" si="383">HYPERLINK("https://ictv.global/ictv/proposals/2023.001B.Leviviricetes_reorg.zip","2023.001B.Leviviricetes_reorg.zip")</f>
        <v>2023.001B.Leviviricetes_reorg.zip</v>
      </c>
      <c r="U9067" s="29" t="str">
        <f>HYPERLINK("https://ictv.global/taxonomy/taxondetails?taxnode_id=202316570","ictv.global=202316570")</f>
        <v>ictv.global=202316570</v>
      </c>
    </row>
    <row r="9068" spans="1:21">
      <c r="A9068">
        <v>9067</v>
      </c>
      <c r="B9068" s="30" t="s">
        <v>1226</v>
      </c>
      <c r="D9068" s="30" t="s">
        <v>2024</v>
      </c>
      <c r="F9068" s="30" t="s">
        <v>2046</v>
      </c>
      <c r="H9068" s="30" t="s">
        <v>2859</v>
      </c>
      <c r="J9068" s="30" t="s">
        <v>2860</v>
      </c>
      <c r="L9068" s="30" t="s">
        <v>2990</v>
      </c>
      <c r="N9068" s="30" t="s">
        <v>3240</v>
      </c>
      <c r="P9068" s="30" t="s">
        <v>15569</v>
      </c>
      <c r="Q9068" t="s">
        <v>621</v>
      </c>
      <c r="R9068" t="s">
        <v>917</v>
      </c>
      <c r="S9068">
        <v>39</v>
      </c>
      <c r="T9068" s="29" t="str">
        <f t="shared" si="383"/>
        <v>2023.001B.Leviviricetes_reorg.zip</v>
      </c>
      <c r="U9068" s="29" t="str">
        <f>HYPERLINK("https://ictv.global/taxonomy/taxondetails?taxnode_id=202316571","ictv.global=202316571")</f>
        <v>ictv.global=202316571</v>
      </c>
    </row>
    <row r="9069" spans="1:21">
      <c r="A9069">
        <v>9068</v>
      </c>
      <c r="B9069" s="30" t="s">
        <v>1226</v>
      </c>
      <c r="D9069" s="30" t="s">
        <v>2024</v>
      </c>
      <c r="F9069" s="30" t="s">
        <v>2046</v>
      </c>
      <c r="H9069" s="30" t="s">
        <v>2859</v>
      </c>
      <c r="J9069" s="30" t="s">
        <v>2860</v>
      </c>
      <c r="L9069" s="30" t="s">
        <v>2990</v>
      </c>
      <c r="N9069" s="30" t="s">
        <v>3240</v>
      </c>
      <c r="P9069" s="30" t="s">
        <v>15570</v>
      </c>
      <c r="Q9069" t="s">
        <v>621</v>
      </c>
      <c r="R9069" t="s">
        <v>917</v>
      </c>
      <c r="S9069">
        <v>39</v>
      </c>
      <c r="T9069" s="29" t="str">
        <f t="shared" si="383"/>
        <v>2023.001B.Leviviricetes_reorg.zip</v>
      </c>
      <c r="U9069" s="29" t="str">
        <f>HYPERLINK("https://ictv.global/taxonomy/taxondetails?taxnode_id=202316572","ictv.global=202316572")</f>
        <v>ictv.global=202316572</v>
      </c>
    </row>
    <row r="9070" spans="1:21">
      <c r="A9070">
        <v>9069</v>
      </c>
      <c r="B9070" s="30" t="s">
        <v>1226</v>
      </c>
      <c r="D9070" s="30" t="s">
        <v>2024</v>
      </c>
      <c r="F9070" s="30" t="s">
        <v>2046</v>
      </c>
      <c r="H9070" s="30" t="s">
        <v>2859</v>
      </c>
      <c r="J9070" s="30" t="s">
        <v>2860</v>
      </c>
      <c r="L9070" s="30" t="s">
        <v>2990</v>
      </c>
      <c r="N9070" s="30" t="s">
        <v>3240</v>
      </c>
      <c r="P9070" s="30" t="s">
        <v>15571</v>
      </c>
      <c r="Q9070" t="s">
        <v>621</v>
      </c>
      <c r="R9070" t="s">
        <v>917</v>
      </c>
      <c r="S9070">
        <v>39</v>
      </c>
      <c r="T9070" s="29" t="str">
        <f t="shared" si="383"/>
        <v>2023.001B.Leviviricetes_reorg.zip</v>
      </c>
      <c r="U9070" s="29" t="str">
        <f>HYPERLINK("https://ictv.global/taxonomy/taxondetails?taxnode_id=202316573","ictv.global=202316573")</f>
        <v>ictv.global=202316573</v>
      </c>
    </row>
    <row r="9071" spans="1:21">
      <c r="A9071">
        <v>9070</v>
      </c>
      <c r="B9071" s="30" t="s">
        <v>1226</v>
      </c>
      <c r="D9071" s="30" t="s">
        <v>2024</v>
      </c>
      <c r="F9071" s="30" t="s">
        <v>2046</v>
      </c>
      <c r="H9071" s="30" t="s">
        <v>2859</v>
      </c>
      <c r="J9071" s="30" t="s">
        <v>2860</v>
      </c>
      <c r="L9071" s="30" t="s">
        <v>2990</v>
      </c>
      <c r="N9071" s="30" t="s">
        <v>3240</v>
      </c>
      <c r="P9071" s="30" t="s">
        <v>15572</v>
      </c>
      <c r="Q9071" t="s">
        <v>621</v>
      </c>
      <c r="R9071" t="s">
        <v>917</v>
      </c>
      <c r="S9071">
        <v>39</v>
      </c>
      <c r="T9071" s="29" t="str">
        <f t="shared" si="383"/>
        <v>2023.001B.Leviviricetes_reorg.zip</v>
      </c>
      <c r="U9071" s="29" t="str">
        <f>HYPERLINK("https://ictv.global/taxonomy/taxondetails?taxnode_id=202316574","ictv.global=202316574")</f>
        <v>ictv.global=202316574</v>
      </c>
    </row>
    <row r="9072" spans="1:21">
      <c r="A9072">
        <v>9071</v>
      </c>
      <c r="B9072" s="30" t="s">
        <v>1226</v>
      </c>
      <c r="D9072" s="30" t="s">
        <v>2024</v>
      </c>
      <c r="F9072" s="30" t="s">
        <v>2046</v>
      </c>
      <c r="H9072" s="30" t="s">
        <v>2859</v>
      </c>
      <c r="J9072" s="30" t="s">
        <v>2860</v>
      </c>
      <c r="L9072" s="30" t="s">
        <v>2990</v>
      </c>
      <c r="N9072" s="30" t="s">
        <v>15573</v>
      </c>
      <c r="P9072" s="30" t="s">
        <v>15574</v>
      </c>
      <c r="Q9072" t="s">
        <v>621</v>
      </c>
      <c r="R9072" t="s">
        <v>917</v>
      </c>
      <c r="S9072">
        <v>39</v>
      </c>
      <c r="T9072" s="29" t="str">
        <f t="shared" si="383"/>
        <v>2023.001B.Leviviricetes_reorg.zip</v>
      </c>
      <c r="U9072" s="29" t="str">
        <f>HYPERLINK("https://ictv.global/taxonomy/taxondetails?taxnode_id=202316575","ictv.global=202316575")</f>
        <v>ictv.global=202316575</v>
      </c>
    </row>
    <row r="9073" spans="1:21">
      <c r="A9073">
        <v>9072</v>
      </c>
      <c r="B9073" s="30" t="s">
        <v>1226</v>
      </c>
      <c r="D9073" s="30" t="s">
        <v>2024</v>
      </c>
      <c r="F9073" s="30" t="s">
        <v>2046</v>
      </c>
      <c r="H9073" s="30" t="s">
        <v>2859</v>
      </c>
      <c r="J9073" s="30" t="s">
        <v>2860</v>
      </c>
      <c r="L9073" s="30" t="s">
        <v>2990</v>
      </c>
      <c r="N9073" s="30" t="s">
        <v>15575</v>
      </c>
      <c r="P9073" s="30" t="s">
        <v>15576</v>
      </c>
      <c r="Q9073" t="s">
        <v>621</v>
      </c>
      <c r="R9073" t="s">
        <v>917</v>
      </c>
      <c r="S9073">
        <v>39</v>
      </c>
      <c r="T9073" s="29" t="str">
        <f t="shared" si="383"/>
        <v>2023.001B.Leviviricetes_reorg.zip</v>
      </c>
      <c r="U9073" s="29" t="str">
        <f>HYPERLINK("https://ictv.global/taxonomy/taxondetails?taxnode_id=202316576","ictv.global=202316576")</f>
        <v>ictv.global=202316576</v>
      </c>
    </row>
    <row r="9074" spans="1:21">
      <c r="A9074">
        <v>9073</v>
      </c>
      <c r="B9074" s="30" t="s">
        <v>1226</v>
      </c>
      <c r="D9074" s="30" t="s">
        <v>2024</v>
      </c>
      <c r="F9074" s="30" t="s">
        <v>2046</v>
      </c>
      <c r="H9074" s="30" t="s">
        <v>2859</v>
      </c>
      <c r="J9074" s="30" t="s">
        <v>2860</v>
      </c>
      <c r="L9074" s="30" t="s">
        <v>2990</v>
      </c>
      <c r="N9074" s="30" t="s">
        <v>15577</v>
      </c>
      <c r="P9074" s="30" t="s">
        <v>15578</v>
      </c>
      <c r="Q9074" t="s">
        <v>621</v>
      </c>
      <c r="R9074" t="s">
        <v>917</v>
      </c>
      <c r="S9074">
        <v>39</v>
      </c>
      <c r="T9074" s="29" t="str">
        <f t="shared" si="383"/>
        <v>2023.001B.Leviviricetes_reorg.zip</v>
      </c>
      <c r="U9074" s="29" t="str">
        <f>HYPERLINK("https://ictv.global/taxonomy/taxondetails?taxnode_id=202316577","ictv.global=202316577")</f>
        <v>ictv.global=202316577</v>
      </c>
    </row>
    <row r="9075" spans="1:21">
      <c r="A9075">
        <v>9074</v>
      </c>
      <c r="B9075" s="30" t="s">
        <v>1226</v>
      </c>
      <c r="D9075" s="30" t="s">
        <v>2024</v>
      </c>
      <c r="F9075" s="30" t="s">
        <v>2046</v>
      </c>
      <c r="H9075" s="30" t="s">
        <v>2859</v>
      </c>
      <c r="J9075" s="30" t="s">
        <v>2860</v>
      </c>
      <c r="L9075" s="30" t="s">
        <v>2990</v>
      </c>
      <c r="N9075" s="30" t="s">
        <v>3243</v>
      </c>
      <c r="P9075" s="30" t="s">
        <v>15579</v>
      </c>
      <c r="Q9075" t="s">
        <v>621</v>
      </c>
      <c r="R9075" t="s">
        <v>917</v>
      </c>
      <c r="S9075">
        <v>39</v>
      </c>
      <c r="T9075" s="29" t="str">
        <f t="shared" si="383"/>
        <v>2023.001B.Leviviricetes_reorg.zip</v>
      </c>
      <c r="U9075" s="29" t="str">
        <f>HYPERLINK("https://ictv.global/taxonomy/taxondetails?taxnode_id=202316578","ictv.global=202316578")</f>
        <v>ictv.global=202316578</v>
      </c>
    </row>
    <row r="9076" spans="1:21">
      <c r="A9076">
        <v>9075</v>
      </c>
      <c r="B9076" s="30" t="s">
        <v>1226</v>
      </c>
      <c r="D9076" s="30" t="s">
        <v>2024</v>
      </c>
      <c r="F9076" s="30" t="s">
        <v>2046</v>
      </c>
      <c r="H9076" s="30" t="s">
        <v>2859</v>
      </c>
      <c r="J9076" s="30" t="s">
        <v>2860</v>
      </c>
      <c r="L9076" s="30" t="s">
        <v>2990</v>
      </c>
      <c r="N9076" s="30" t="s">
        <v>3243</v>
      </c>
      <c r="P9076" s="30" t="s">
        <v>3244</v>
      </c>
      <c r="Q9076" t="s">
        <v>621</v>
      </c>
      <c r="R9076" t="s">
        <v>917</v>
      </c>
      <c r="S9076">
        <v>36</v>
      </c>
      <c r="T9076" s="29" t="str">
        <f>HYPERLINK("https://ictv.global/ictv/proposals/2020.095B.R.Leviviricetes.zip","2020.095B.R.Leviviricetes.zip")</f>
        <v>2020.095B.R.Leviviricetes.zip</v>
      </c>
      <c r="U9076" s="29" t="str">
        <f>HYPERLINK("https://ictv.global/taxonomy/taxondetails?taxnode_id=202310556","ictv.global=202310556")</f>
        <v>ictv.global=202310556</v>
      </c>
    </row>
    <row r="9077" spans="1:21">
      <c r="A9077">
        <v>9076</v>
      </c>
      <c r="B9077" s="30" t="s">
        <v>1226</v>
      </c>
      <c r="D9077" s="30" t="s">
        <v>2024</v>
      </c>
      <c r="F9077" s="30" t="s">
        <v>2046</v>
      </c>
      <c r="H9077" s="30" t="s">
        <v>2859</v>
      </c>
      <c r="J9077" s="30" t="s">
        <v>2860</v>
      </c>
      <c r="L9077" s="30" t="s">
        <v>2990</v>
      </c>
      <c r="N9077" s="30" t="s">
        <v>3243</v>
      </c>
      <c r="P9077" s="30" t="s">
        <v>3245</v>
      </c>
      <c r="Q9077" t="s">
        <v>621</v>
      </c>
      <c r="R9077" t="s">
        <v>917</v>
      </c>
      <c r="S9077">
        <v>36</v>
      </c>
      <c r="T9077" s="29" t="str">
        <f>HYPERLINK("https://ictv.global/ictv/proposals/2020.095B.R.Leviviricetes.zip","2020.095B.R.Leviviricetes.zip")</f>
        <v>2020.095B.R.Leviviricetes.zip</v>
      </c>
      <c r="U9077" s="29" t="str">
        <f>HYPERLINK("https://ictv.global/taxonomy/taxondetails?taxnode_id=202310557","ictv.global=202310557")</f>
        <v>ictv.global=202310557</v>
      </c>
    </row>
    <row r="9078" spans="1:21">
      <c r="A9078">
        <v>9077</v>
      </c>
      <c r="B9078" s="30" t="s">
        <v>1226</v>
      </c>
      <c r="D9078" s="30" t="s">
        <v>2024</v>
      </c>
      <c r="F9078" s="30" t="s">
        <v>2046</v>
      </c>
      <c r="H9078" s="30" t="s">
        <v>2859</v>
      </c>
      <c r="J9078" s="30" t="s">
        <v>2860</v>
      </c>
      <c r="L9078" s="30" t="s">
        <v>2990</v>
      </c>
      <c r="N9078" s="30" t="s">
        <v>3243</v>
      </c>
      <c r="P9078" s="30" t="s">
        <v>15580</v>
      </c>
      <c r="Q9078" t="s">
        <v>621</v>
      </c>
      <c r="R9078" t="s">
        <v>917</v>
      </c>
      <c r="S9078">
        <v>39</v>
      </c>
      <c r="T9078" s="29" t="str">
        <f>HYPERLINK("https://ictv.global/ictv/proposals/2023.001B.Leviviricetes_reorg.zip","2023.001B.Leviviricetes_reorg.zip")</f>
        <v>2023.001B.Leviviricetes_reorg.zip</v>
      </c>
      <c r="U9078" s="29" t="str">
        <f>HYPERLINK("https://ictv.global/taxonomy/taxondetails?taxnode_id=202316579","ictv.global=202316579")</f>
        <v>ictv.global=202316579</v>
      </c>
    </row>
    <row r="9079" spans="1:21">
      <c r="A9079">
        <v>9078</v>
      </c>
      <c r="B9079" s="30" t="s">
        <v>1226</v>
      </c>
      <c r="D9079" s="30" t="s">
        <v>2024</v>
      </c>
      <c r="F9079" s="30" t="s">
        <v>2046</v>
      </c>
      <c r="H9079" s="30" t="s">
        <v>2859</v>
      </c>
      <c r="J9079" s="30" t="s">
        <v>2860</v>
      </c>
      <c r="L9079" s="30" t="s">
        <v>2990</v>
      </c>
      <c r="N9079" s="30" t="s">
        <v>3246</v>
      </c>
      <c r="P9079" s="30" t="s">
        <v>3247</v>
      </c>
      <c r="Q9079" t="s">
        <v>621</v>
      </c>
      <c r="R9079" t="s">
        <v>917</v>
      </c>
      <c r="S9079">
        <v>36</v>
      </c>
      <c r="T9079" s="29" t="str">
        <f>HYPERLINK("https://ictv.global/ictv/proposals/2020.095B.R.Leviviricetes.zip","2020.095B.R.Leviviricetes.zip")</f>
        <v>2020.095B.R.Leviviricetes.zip</v>
      </c>
      <c r="U9079" s="29" t="str">
        <f>HYPERLINK("https://ictv.global/taxonomy/taxondetails?taxnode_id=202310566","ictv.global=202310566")</f>
        <v>ictv.global=202310566</v>
      </c>
    </row>
    <row r="9080" spans="1:21">
      <c r="A9080">
        <v>9079</v>
      </c>
      <c r="B9080" s="30" t="s">
        <v>1226</v>
      </c>
      <c r="D9080" s="30" t="s">
        <v>2024</v>
      </c>
      <c r="F9080" s="30" t="s">
        <v>2046</v>
      </c>
      <c r="H9080" s="30" t="s">
        <v>2859</v>
      </c>
      <c r="J9080" s="30" t="s">
        <v>2860</v>
      </c>
      <c r="L9080" s="30" t="s">
        <v>2990</v>
      </c>
      <c r="N9080" s="30" t="s">
        <v>3246</v>
      </c>
      <c r="P9080" s="30" t="s">
        <v>3248</v>
      </c>
      <c r="Q9080" t="s">
        <v>621</v>
      </c>
      <c r="R9080" t="s">
        <v>917</v>
      </c>
      <c r="S9080">
        <v>36</v>
      </c>
      <c r="T9080" s="29" t="str">
        <f>HYPERLINK("https://ictv.global/ictv/proposals/2020.095B.R.Leviviricetes.zip","2020.095B.R.Leviviricetes.zip")</f>
        <v>2020.095B.R.Leviviricetes.zip</v>
      </c>
      <c r="U9080" s="29" t="str">
        <f>HYPERLINK("https://ictv.global/taxonomy/taxondetails?taxnode_id=202310568","ictv.global=202310568")</f>
        <v>ictv.global=202310568</v>
      </c>
    </row>
    <row r="9081" spans="1:21">
      <c r="A9081">
        <v>9080</v>
      </c>
      <c r="B9081" s="30" t="s">
        <v>1226</v>
      </c>
      <c r="D9081" s="30" t="s">
        <v>2024</v>
      </c>
      <c r="F9081" s="30" t="s">
        <v>2046</v>
      </c>
      <c r="H9081" s="30" t="s">
        <v>2859</v>
      </c>
      <c r="J9081" s="30" t="s">
        <v>2860</v>
      </c>
      <c r="L9081" s="30" t="s">
        <v>2990</v>
      </c>
      <c r="N9081" s="30" t="s">
        <v>3246</v>
      </c>
      <c r="P9081" s="30" t="s">
        <v>3249</v>
      </c>
      <c r="Q9081" t="s">
        <v>621</v>
      </c>
      <c r="R9081" t="s">
        <v>917</v>
      </c>
      <c r="S9081">
        <v>36</v>
      </c>
      <c r="T9081" s="29" t="str">
        <f>HYPERLINK("https://ictv.global/ictv/proposals/2020.095B.R.Leviviricetes.zip","2020.095B.R.Leviviricetes.zip")</f>
        <v>2020.095B.R.Leviviricetes.zip</v>
      </c>
      <c r="U9081" s="29" t="str">
        <f>HYPERLINK("https://ictv.global/taxonomy/taxondetails?taxnode_id=202310564","ictv.global=202310564")</f>
        <v>ictv.global=202310564</v>
      </c>
    </row>
    <row r="9082" spans="1:21">
      <c r="A9082">
        <v>9081</v>
      </c>
      <c r="B9082" s="30" t="s">
        <v>1226</v>
      </c>
      <c r="D9082" s="30" t="s">
        <v>2024</v>
      </c>
      <c r="F9082" s="30" t="s">
        <v>2046</v>
      </c>
      <c r="H9082" s="30" t="s">
        <v>2859</v>
      </c>
      <c r="J9082" s="30" t="s">
        <v>2860</v>
      </c>
      <c r="L9082" s="30" t="s">
        <v>2990</v>
      </c>
      <c r="N9082" s="30" t="s">
        <v>3246</v>
      </c>
      <c r="P9082" s="30" t="s">
        <v>3250</v>
      </c>
      <c r="Q9082" t="s">
        <v>621</v>
      </c>
      <c r="R9082" t="s">
        <v>917</v>
      </c>
      <c r="S9082">
        <v>36</v>
      </c>
      <c r="T9082" s="29" t="str">
        <f>HYPERLINK("https://ictv.global/ictv/proposals/2020.095B.R.Leviviricetes.zip","2020.095B.R.Leviviricetes.zip")</f>
        <v>2020.095B.R.Leviviricetes.zip</v>
      </c>
      <c r="U9082" s="29" t="str">
        <f>HYPERLINK("https://ictv.global/taxonomy/taxondetails?taxnode_id=202310567","ictv.global=202310567")</f>
        <v>ictv.global=202310567</v>
      </c>
    </row>
    <row r="9083" spans="1:21">
      <c r="A9083">
        <v>9082</v>
      </c>
      <c r="B9083" s="30" t="s">
        <v>1226</v>
      </c>
      <c r="D9083" s="30" t="s">
        <v>2024</v>
      </c>
      <c r="F9083" s="30" t="s">
        <v>2046</v>
      </c>
      <c r="H9083" s="30" t="s">
        <v>2859</v>
      </c>
      <c r="J9083" s="30" t="s">
        <v>2860</v>
      </c>
      <c r="L9083" s="30" t="s">
        <v>2990</v>
      </c>
      <c r="N9083" s="30" t="s">
        <v>3246</v>
      </c>
      <c r="P9083" s="30" t="s">
        <v>3251</v>
      </c>
      <c r="Q9083" t="s">
        <v>621</v>
      </c>
      <c r="R9083" t="s">
        <v>917</v>
      </c>
      <c r="S9083">
        <v>36</v>
      </c>
      <c r="T9083" s="29" t="str">
        <f>HYPERLINK("https://ictv.global/ictv/proposals/2020.095B.R.Leviviricetes.zip","2020.095B.R.Leviviricetes.zip")</f>
        <v>2020.095B.R.Leviviricetes.zip</v>
      </c>
      <c r="U9083" s="29" t="str">
        <f>HYPERLINK("https://ictv.global/taxonomy/taxondetails?taxnode_id=202310565","ictv.global=202310565")</f>
        <v>ictv.global=202310565</v>
      </c>
    </row>
    <row r="9084" spans="1:21">
      <c r="A9084">
        <v>9083</v>
      </c>
      <c r="B9084" s="30" t="s">
        <v>1226</v>
      </c>
      <c r="D9084" s="30" t="s">
        <v>2024</v>
      </c>
      <c r="F9084" s="30" t="s">
        <v>2046</v>
      </c>
      <c r="H9084" s="30" t="s">
        <v>2859</v>
      </c>
      <c r="J9084" s="30" t="s">
        <v>2860</v>
      </c>
      <c r="L9084" s="30" t="s">
        <v>2990</v>
      </c>
      <c r="N9084" s="30" t="s">
        <v>3246</v>
      </c>
      <c r="P9084" s="30" t="s">
        <v>15581</v>
      </c>
      <c r="Q9084" t="s">
        <v>621</v>
      </c>
      <c r="R9084" t="s">
        <v>917</v>
      </c>
      <c r="S9084">
        <v>39</v>
      </c>
      <c r="T9084" s="29" t="str">
        <f t="shared" ref="T9084:T9089" si="384">HYPERLINK("https://ictv.global/ictv/proposals/2023.001B.Leviviricetes_reorg.zip","2023.001B.Leviviricetes_reorg.zip")</f>
        <v>2023.001B.Leviviricetes_reorg.zip</v>
      </c>
      <c r="U9084" s="29" t="str">
        <f>HYPERLINK("https://ictv.global/taxonomy/taxondetails?taxnode_id=202316580","ictv.global=202316580")</f>
        <v>ictv.global=202316580</v>
      </c>
    </row>
    <row r="9085" spans="1:21">
      <c r="A9085">
        <v>9084</v>
      </c>
      <c r="B9085" s="30" t="s">
        <v>1226</v>
      </c>
      <c r="D9085" s="30" t="s">
        <v>2024</v>
      </c>
      <c r="F9085" s="30" t="s">
        <v>2046</v>
      </c>
      <c r="H9085" s="30" t="s">
        <v>2859</v>
      </c>
      <c r="J9085" s="30" t="s">
        <v>2860</v>
      </c>
      <c r="L9085" s="30" t="s">
        <v>2990</v>
      </c>
      <c r="N9085" s="30" t="s">
        <v>3246</v>
      </c>
      <c r="P9085" s="30" t="s">
        <v>15582</v>
      </c>
      <c r="Q9085" t="s">
        <v>621</v>
      </c>
      <c r="R9085" t="s">
        <v>917</v>
      </c>
      <c r="S9085">
        <v>39</v>
      </c>
      <c r="T9085" s="29" t="str">
        <f t="shared" si="384"/>
        <v>2023.001B.Leviviricetes_reorg.zip</v>
      </c>
      <c r="U9085" s="29" t="str">
        <f>HYPERLINK("https://ictv.global/taxonomy/taxondetails?taxnode_id=202316581","ictv.global=202316581")</f>
        <v>ictv.global=202316581</v>
      </c>
    </row>
    <row r="9086" spans="1:21">
      <c r="A9086">
        <v>9085</v>
      </c>
      <c r="B9086" s="30" t="s">
        <v>1226</v>
      </c>
      <c r="D9086" s="30" t="s">
        <v>2024</v>
      </c>
      <c r="F9086" s="30" t="s">
        <v>2046</v>
      </c>
      <c r="H9086" s="30" t="s">
        <v>2859</v>
      </c>
      <c r="J9086" s="30" t="s">
        <v>2860</v>
      </c>
      <c r="L9086" s="30" t="s">
        <v>2990</v>
      </c>
      <c r="N9086" s="30" t="s">
        <v>3246</v>
      </c>
      <c r="P9086" s="30" t="s">
        <v>15583</v>
      </c>
      <c r="Q9086" t="s">
        <v>621</v>
      </c>
      <c r="R9086" t="s">
        <v>917</v>
      </c>
      <c r="S9086">
        <v>39</v>
      </c>
      <c r="T9086" s="29" t="str">
        <f t="shared" si="384"/>
        <v>2023.001B.Leviviricetes_reorg.zip</v>
      </c>
      <c r="U9086" s="29" t="str">
        <f>HYPERLINK("https://ictv.global/taxonomy/taxondetails?taxnode_id=202316582","ictv.global=202316582")</f>
        <v>ictv.global=202316582</v>
      </c>
    </row>
    <row r="9087" spans="1:21">
      <c r="A9087">
        <v>9086</v>
      </c>
      <c r="B9087" s="30" t="s">
        <v>1226</v>
      </c>
      <c r="D9087" s="30" t="s">
        <v>2024</v>
      </c>
      <c r="F9087" s="30" t="s">
        <v>2046</v>
      </c>
      <c r="H9087" s="30" t="s">
        <v>2859</v>
      </c>
      <c r="J9087" s="30" t="s">
        <v>2860</v>
      </c>
      <c r="L9087" s="30" t="s">
        <v>2990</v>
      </c>
      <c r="N9087" s="30" t="s">
        <v>3246</v>
      </c>
      <c r="P9087" s="30" t="s">
        <v>15584</v>
      </c>
      <c r="Q9087" t="s">
        <v>621</v>
      </c>
      <c r="R9087" t="s">
        <v>917</v>
      </c>
      <c r="S9087">
        <v>39</v>
      </c>
      <c r="T9087" s="29" t="str">
        <f t="shared" si="384"/>
        <v>2023.001B.Leviviricetes_reorg.zip</v>
      </c>
      <c r="U9087" s="29" t="str">
        <f>HYPERLINK("https://ictv.global/taxonomy/taxondetails?taxnode_id=202316583","ictv.global=202316583")</f>
        <v>ictv.global=202316583</v>
      </c>
    </row>
    <row r="9088" spans="1:21">
      <c r="A9088">
        <v>9087</v>
      </c>
      <c r="B9088" s="30" t="s">
        <v>1226</v>
      </c>
      <c r="D9088" s="30" t="s">
        <v>2024</v>
      </c>
      <c r="F9088" s="30" t="s">
        <v>2046</v>
      </c>
      <c r="H9088" s="30" t="s">
        <v>2859</v>
      </c>
      <c r="J9088" s="30" t="s">
        <v>2860</v>
      </c>
      <c r="L9088" s="30" t="s">
        <v>2990</v>
      </c>
      <c r="N9088" s="30" t="s">
        <v>3246</v>
      </c>
      <c r="P9088" s="30" t="s">
        <v>15585</v>
      </c>
      <c r="Q9088" t="s">
        <v>621</v>
      </c>
      <c r="R9088" t="s">
        <v>917</v>
      </c>
      <c r="S9088">
        <v>39</v>
      </c>
      <c r="T9088" s="29" t="str">
        <f t="shared" si="384"/>
        <v>2023.001B.Leviviricetes_reorg.zip</v>
      </c>
      <c r="U9088" s="29" t="str">
        <f>HYPERLINK("https://ictv.global/taxonomy/taxondetails?taxnode_id=202316584","ictv.global=202316584")</f>
        <v>ictv.global=202316584</v>
      </c>
    </row>
    <row r="9089" spans="1:21">
      <c r="A9089">
        <v>9088</v>
      </c>
      <c r="B9089" s="30" t="s">
        <v>1226</v>
      </c>
      <c r="D9089" s="30" t="s">
        <v>2024</v>
      </c>
      <c r="F9089" s="30" t="s">
        <v>2046</v>
      </c>
      <c r="H9089" s="30" t="s">
        <v>2859</v>
      </c>
      <c r="J9089" s="30" t="s">
        <v>2860</v>
      </c>
      <c r="L9089" s="30" t="s">
        <v>2990</v>
      </c>
      <c r="N9089" s="30" t="s">
        <v>3252</v>
      </c>
      <c r="P9089" s="30" t="s">
        <v>15586</v>
      </c>
      <c r="Q9089" t="s">
        <v>621</v>
      </c>
      <c r="R9089" t="s">
        <v>917</v>
      </c>
      <c r="S9089">
        <v>39</v>
      </c>
      <c r="T9089" s="29" t="str">
        <f t="shared" si="384"/>
        <v>2023.001B.Leviviricetes_reorg.zip</v>
      </c>
      <c r="U9089" s="29" t="str">
        <f>HYPERLINK("https://ictv.global/taxonomy/taxondetails?taxnode_id=202316585","ictv.global=202316585")</f>
        <v>ictv.global=202316585</v>
      </c>
    </row>
    <row r="9090" spans="1:21">
      <c r="A9090">
        <v>9089</v>
      </c>
      <c r="B9090" s="30" t="s">
        <v>1226</v>
      </c>
      <c r="D9090" s="30" t="s">
        <v>2024</v>
      </c>
      <c r="F9090" s="30" t="s">
        <v>2046</v>
      </c>
      <c r="H9090" s="30" t="s">
        <v>2859</v>
      </c>
      <c r="J9090" s="30" t="s">
        <v>2860</v>
      </c>
      <c r="L9090" s="30" t="s">
        <v>2990</v>
      </c>
      <c r="N9090" s="30" t="s">
        <v>3252</v>
      </c>
      <c r="P9090" s="30" t="s">
        <v>3253</v>
      </c>
      <c r="Q9090" t="s">
        <v>621</v>
      </c>
      <c r="R9090" t="s">
        <v>917</v>
      </c>
      <c r="S9090">
        <v>36</v>
      </c>
      <c r="T9090" s="29" t="str">
        <f>HYPERLINK("https://ictv.global/ictv/proposals/2020.095B.R.Leviviricetes.zip","2020.095B.R.Leviviricetes.zip")</f>
        <v>2020.095B.R.Leviviricetes.zip</v>
      </c>
      <c r="U9090" s="29" t="str">
        <f>HYPERLINK("https://ictv.global/taxonomy/taxondetails?taxnode_id=202310572","ictv.global=202310572")</f>
        <v>ictv.global=202310572</v>
      </c>
    </row>
    <row r="9091" spans="1:21">
      <c r="A9091">
        <v>9090</v>
      </c>
      <c r="B9091" s="30" t="s">
        <v>1226</v>
      </c>
      <c r="D9091" s="30" t="s">
        <v>2024</v>
      </c>
      <c r="F9091" s="30" t="s">
        <v>2046</v>
      </c>
      <c r="H9091" s="30" t="s">
        <v>2859</v>
      </c>
      <c r="J9091" s="30" t="s">
        <v>2860</v>
      </c>
      <c r="L9091" s="30" t="s">
        <v>2990</v>
      </c>
      <c r="N9091" s="30" t="s">
        <v>3252</v>
      </c>
      <c r="P9091" s="30" t="s">
        <v>15587</v>
      </c>
      <c r="Q9091" t="s">
        <v>621</v>
      </c>
      <c r="R9091" t="s">
        <v>917</v>
      </c>
      <c r="S9091">
        <v>39</v>
      </c>
      <c r="T9091" s="29" t="str">
        <f t="shared" ref="T9091:T9101" si="385">HYPERLINK("https://ictv.global/ictv/proposals/2023.001B.Leviviricetes_reorg.zip","2023.001B.Leviviricetes_reorg.zip")</f>
        <v>2023.001B.Leviviricetes_reorg.zip</v>
      </c>
      <c r="U9091" s="29" t="str">
        <f>HYPERLINK("https://ictv.global/taxonomy/taxondetails?taxnode_id=202316586","ictv.global=202316586")</f>
        <v>ictv.global=202316586</v>
      </c>
    </row>
    <row r="9092" spans="1:21">
      <c r="A9092">
        <v>9091</v>
      </c>
      <c r="B9092" s="30" t="s">
        <v>1226</v>
      </c>
      <c r="D9092" s="30" t="s">
        <v>2024</v>
      </c>
      <c r="F9092" s="30" t="s">
        <v>2046</v>
      </c>
      <c r="H9092" s="30" t="s">
        <v>2859</v>
      </c>
      <c r="J9092" s="30" t="s">
        <v>2860</v>
      </c>
      <c r="L9092" s="30" t="s">
        <v>2990</v>
      </c>
      <c r="N9092" s="30" t="s">
        <v>3252</v>
      </c>
      <c r="P9092" s="30" t="s">
        <v>15588</v>
      </c>
      <c r="Q9092" t="s">
        <v>621</v>
      </c>
      <c r="R9092" t="s">
        <v>917</v>
      </c>
      <c r="S9092">
        <v>39</v>
      </c>
      <c r="T9092" s="29" t="str">
        <f t="shared" si="385"/>
        <v>2023.001B.Leviviricetes_reorg.zip</v>
      </c>
      <c r="U9092" s="29" t="str">
        <f>HYPERLINK("https://ictv.global/taxonomy/taxondetails?taxnode_id=202316587","ictv.global=202316587")</f>
        <v>ictv.global=202316587</v>
      </c>
    </row>
    <row r="9093" spans="1:21">
      <c r="A9093">
        <v>9092</v>
      </c>
      <c r="B9093" s="30" t="s">
        <v>1226</v>
      </c>
      <c r="D9093" s="30" t="s">
        <v>2024</v>
      </c>
      <c r="F9093" s="30" t="s">
        <v>2046</v>
      </c>
      <c r="H9093" s="30" t="s">
        <v>2859</v>
      </c>
      <c r="J9093" s="30" t="s">
        <v>2860</v>
      </c>
      <c r="L9093" s="30" t="s">
        <v>2990</v>
      </c>
      <c r="N9093" s="30" t="s">
        <v>15589</v>
      </c>
      <c r="P9093" s="30" t="s">
        <v>15590</v>
      </c>
      <c r="Q9093" t="s">
        <v>621</v>
      </c>
      <c r="R9093" t="s">
        <v>917</v>
      </c>
      <c r="S9093">
        <v>39</v>
      </c>
      <c r="T9093" s="29" t="str">
        <f t="shared" si="385"/>
        <v>2023.001B.Leviviricetes_reorg.zip</v>
      </c>
      <c r="U9093" s="29" t="str">
        <f>HYPERLINK("https://ictv.global/taxonomy/taxondetails?taxnode_id=202316588","ictv.global=202316588")</f>
        <v>ictv.global=202316588</v>
      </c>
    </row>
    <row r="9094" spans="1:21">
      <c r="A9094">
        <v>9093</v>
      </c>
      <c r="B9094" s="30" t="s">
        <v>1226</v>
      </c>
      <c r="D9094" s="30" t="s">
        <v>2024</v>
      </c>
      <c r="F9094" s="30" t="s">
        <v>2046</v>
      </c>
      <c r="H9094" s="30" t="s">
        <v>2859</v>
      </c>
      <c r="J9094" s="30" t="s">
        <v>2860</v>
      </c>
      <c r="L9094" s="30" t="s">
        <v>2990</v>
      </c>
      <c r="N9094" s="30" t="s">
        <v>15589</v>
      </c>
      <c r="P9094" s="30" t="s">
        <v>15591</v>
      </c>
      <c r="Q9094" t="s">
        <v>621</v>
      </c>
      <c r="R9094" t="s">
        <v>917</v>
      </c>
      <c r="S9094">
        <v>39</v>
      </c>
      <c r="T9094" s="29" t="str">
        <f t="shared" si="385"/>
        <v>2023.001B.Leviviricetes_reorg.zip</v>
      </c>
      <c r="U9094" s="29" t="str">
        <f>HYPERLINK("https://ictv.global/taxonomy/taxondetails?taxnode_id=202316589","ictv.global=202316589")</f>
        <v>ictv.global=202316589</v>
      </c>
    </row>
    <row r="9095" spans="1:21">
      <c r="A9095">
        <v>9094</v>
      </c>
      <c r="B9095" s="30" t="s">
        <v>1226</v>
      </c>
      <c r="D9095" s="30" t="s">
        <v>2024</v>
      </c>
      <c r="F9095" s="30" t="s">
        <v>2046</v>
      </c>
      <c r="H9095" s="30" t="s">
        <v>2859</v>
      </c>
      <c r="J9095" s="30" t="s">
        <v>2860</v>
      </c>
      <c r="L9095" s="30" t="s">
        <v>2990</v>
      </c>
      <c r="N9095" s="30" t="s">
        <v>15589</v>
      </c>
      <c r="P9095" s="30" t="s">
        <v>15592</v>
      </c>
      <c r="Q9095" t="s">
        <v>621</v>
      </c>
      <c r="R9095" t="s">
        <v>917</v>
      </c>
      <c r="S9095">
        <v>39</v>
      </c>
      <c r="T9095" s="29" t="str">
        <f t="shared" si="385"/>
        <v>2023.001B.Leviviricetes_reorg.zip</v>
      </c>
      <c r="U9095" s="29" t="str">
        <f>HYPERLINK("https://ictv.global/taxonomy/taxondetails?taxnode_id=202316590","ictv.global=202316590")</f>
        <v>ictv.global=202316590</v>
      </c>
    </row>
    <row r="9096" spans="1:21">
      <c r="A9096">
        <v>9095</v>
      </c>
      <c r="B9096" s="30" t="s">
        <v>1226</v>
      </c>
      <c r="D9096" s="30" t="s">
        <v>2024</v>
      </c>
      <c r="F9096" s="30" t="s">
        <v>2046</v>
      </c>
      <c r="H9096" s="30" t="s">
        <v>2859</v>
      </c>
      <c r="J9096" s="30" t="s">
        <v>2860</v>
      </c>
      <c r="L9096" s="30" t="s">
        <v>2990</v>
      </c>
      <c r="N9096" s="30" t="s">
        <v>15589</v>
      </c>
      <c r="P9096" s="30" t="s">
        <v>15593</v>
      </c>
      <c r="Q9096" t="s">
        <v>621</v>
      </c>
      <c r="R9096" t="s">
        <v>917</v>
      </c>
      <c r="S9096">
        <v>39</v>
      </c>
      <c r="T9096" s="29" t="str">
        <f t="shared" si="385"/>
        <v>2023.001B.Leviviricetes_reorg.zip</v>
      </c>
      <c r="U9096" s="29" t="str">
        <f>HYPERLINK("https://ictv.global/taxonomy/taxondetails?taxnode_id=202316591","ictv.global=202316591")</f>
        <v>ictv.global=202316591</v>
      </c>
    </row>
    <row r="9097" spans="1:21">
      <c r="A9097">
        <v>9096</v>
      </c>
      <c r="B9097" s="30" t="s">
        <v>1226</v>
      </c>
      <c r="D9097" s="30" t="s">
        <v>2024</v>
      </c>
      <c r="F9097" s="30" t="s">
        <v>2046</v>
      </c>
      <c r="H9097" s="30" t="s">
        <v>2859</v>
      </c>
      <c r="J9097" s="30" t="s">
        <v>2860</v>
      </c>
      <c r="L9097" s="30" t="s">
        <v>2990</v>
      </c>
      <c r="N9097" s="30" t="s">
        <v>15589</v>
      </c>
      <c r="P9097" s="30" t="s">
        <v>15594</v>
      </c>
      <c r="Q9097" t="s">
        <v>621</v>
      </c>
      <c r="R9097" t="s">
        <v>917</v>
      </c>
      <c r="S9097">
        <v>39</v>
      </c>
      <c r="T9097" s="29" t="str">
        <f t="shared" si="385"/>
        <v>2023.001B.Leviviricetes_reorg.zip</v>
      </c>
      <c r="U9097" s="29" t="str">
        <f>HYPERLINK("https://ictv.global/taxonomy/taxondetails?taxnode_id=202316592","ictv.global=202316592")</f>
        <v>ictv.global=202316592</v>
      </c>
    </row>
    <row r="9098" spans="1:21">
      <c r="A9098">
        <v>9097</v>
      </c>
      <c r="B9098" s="30" t="s">
        <v>1226</v>
      </c>
      <c r="D9098" s="30" t="s">
        <v>2024</v>
      </c>
      <c r="F9098" s="30" t="s">
        <v>2046</v>
      </c>
      <c r="H9098" s="30" t="s">
        <v>2859</v>
      </c>
      <c r="J9098" s="30" t="s">
        <v>2860</v>
      </c>
      <c r="L9098" s="30" t="s">
        <v>2990</v>
      </c>
      <c r="N9098" s="30" t="s">
        <v>15595</v>
      </c>
      <c r="P9098" s="30" t="s">
        <v>15596</v>
      </c>
      <c r="Q9098" t="s">
        <v>621</v>
      </c>
      <c r="R9098" t="s">
        <v>917</v>
      </c>
      <c r="S9098">
        <v>39</v>
      </c>
      <c r="T9098" s="29" t="str">
        <f t="shared" si="385"/>
        <v>2023.001B.Leviviricetes_reorg.zip</v>
      </c>
      <c r="U9098" s="29" t="str">
        <f>HYPERLINK("https://ictv.global/taxonomy/taxondetails?taxnode_id=202316593","ictv.global=202316593")</f>
        <v>ictv.global=202316593</v>
      </c>
    </row>
    <row r="9099" spans="1:21">
      <c r="A9099">
        <v>9098</v>
      </c>
      <c r="B9099" s="30" t="s">
        <v>1226</v>
      </c>
      <c r="D9099" s="30" t="s">
        <v>2024</v>
      </c>
      <c r="F9099" s="30" t="s">
        <v>2046</v>
      </c>
      <c r="H9099" s="30" t="s">
        <v>2859</v>
      </c>
      <c r="J9099" s="30" t="s">
        <v>2860</v>
      </c>
      <c r="L9099" s="30" t="s">
        <v>2990</v>
      </c>
      <c r="N9099" s="30" t="s">
        <v>15597</v>
      </c>
      <c r="P9099" s="30" t="s">
        <v>15598</v>
      </c>
      <c r="Q9099" t="s">
        <v>621</v>
      </c>
      <c r="R9099" t="s">
        <v>917</v>
      </c>
      <c r="S9099">
        <v>39</v>
      </c>
      <c r="T9099" s="29" t="str">
        <f t="shared" si="385"/>
        <v>2023.001B.Leviviricetes_reorg.zip</v>
      </c>
      <c r="U9099" s="29" t="str">
        <f>HYPERLINK("https://ictv.global/taxonomy/taxondetails?taxnode_id=202316594","ictv.global=202316594")</f>
        <v>ictv.global=202316594</v>
      </c>
    </row>
    <row r="9100" spans="1:21">
      <c r="A9100">
        <v>9099</v>
      </c>
      <c r="B9100" s="30" t="s">
        <v>1226</v>
      </c>
      <c r="D9100" s="30" t="s">
        <v>2024</v>
      </c>
      <c r="F9100" s="30" t="s">
        <v>2046</v>
      </c>
      <c r="H9100" s="30" t="s">
        <v>2859</v>
      </c>
      <c r="J9100" s="30" t="s">
        <v>2860</v>
      </c>
      <c r="L9100" s="30" t="s">
        <v>2990</v>
      </c>
      <c r="N9100" s="30" t="s">
        <v>15599</v>
      </c>
      <c r="P9100" s="30" t="s">
        <v>15600</v>
      </c>
      <c r="Q9100" t="s">
        <v>621</v>
      </c>
      <c r="R9100" t="s">
        <v>917</v>
      </c>
      <c r="S9100">
        <v>39</v>
      </c>
      <c r="T9100" s="29" t="str">
        <f t="shared" si="385"/>
        <v>2023.001B.Leviviricetes_reorg.zip</v>
      </c>
      <c r="U9100" s="29" t="str">
        <f>HYPERLINK("https://ictv.global/taxonomy/taxondetails?taxnode_id=202316595","ictv.global=202316595")</f>
        <v>ictv.global=202316595</v>
      </c>
    </row>
    <row r="9101" spans="1:21">
      <c r="A9101">
        <v>9100</v>
      </c>
      <c r="B9101" s="30" t="s">
        <v>1226</v>
      </c>
      <c r="D9101" s="30" t="s">
        <v>2024</v>
      </c>
      <c r="F9101" s="30" t="s">
        <v>2046</v>
      </c>
      <c r="H9101" s="30" t="s">
        <v>2859</v>
      </c>
      <c r="J9101" s="30" t="s">
        <v>2860</v>
      </c>
      <c r="L9101" s="30" t="s">
        <v>2990</v>
      </c>
      <c r="N9101" s="30" t="s">
        <v>15601</v>
      </c>
      <c r="P9101" s="30" t="s">
        <v>15602</v>
      </c>
      <c r="Q9101" t="s">
        <v>621</v>
      </c>
      <c r="R9101" t="s">
        <v>917</v>
      </c>
      <c r="S9101">
        <v>39</v>
      </c>
      <c r="T9101" s="29" t="str">
        <f t="shared" si="385"/>
        <v>2023.001B.Leviviricetes_reorg.zip</v>
      </c>
      <c r="U9101" s="29" t="str">
        <f>HYPERLINK("https://ictv.global/taxonomy/taxondetails?taxnode_id=202316596","ictv.global=202316596")</f>
        <v>ictv.global=202316596</v>
      </c>
    </row>
    <row r="9102" spans="1:21">
      <c r="A9102">
        <v>9101</v>
      </c>
      <c r="B9102" s="30" t="s">
        <v>1226</v>
      </c>
      <c r="D9102" s="30" t="s">
        <v>2024</v>
      </c>
      <c r="F9102" s="30" t="s">
        <v>2046</v>
      </c>
      <c r="H9102" s="30" t="s">
        <v>2859</v>
      </c>
      <c r="J9102" s="30" t="s">
        <v>2860</v>
      </c>
      <c r="L9102" s="30" t="s">
        <v>2990</v>
      </c>
      <c r="N9102" s="30" t="s">
        <v>3254</v>
      </c>
      <c r="P9102" s="30" t="s">
        <v>3255</v>
      </c>
      <c r="Q9102" t="s">
        <v>621</v>
      </c>
      <c r="R9102" t="s">
        <v>917</v>
      </c>
      <c r="S9102">
        <v>36</v>
      </c>
      <c r="T9102" s="29" t="str">
        <f>HYPERLINK("https://ictv.global/ictv/proposals/2020.095B.R.Leviviricetes.zip","2020.095B.R.Leviviricetes.zip")</f>
        <v>2020.095B.R.Leviviricetes.zip</v>
      </c>
      <c r="U9102" s="29" t="str">
        <f>HYPERLINK("https://ictv.global/taxonomy/taxondetails?taxnode_id=202310582","ictv.global=202310582")</f>
        <v>ictv.global=202310582</v>
      </c>
    </row>
    <row r="9103" spans="1:21">
      <c r="A9103">
        <v>9102</v>
      </c>
      <c r="B9103" s="30" t="s">
        <v>1226</v>
      </c>
      <c r="D9103" s="30" t="s">
        <v>2024</v>
      </c>
      <c r="F9103" s="30" t="s">
        <v>2046</v>
      </c>
      <c r="H9103" s="30" t="s">
        <v>2859</v>
      </c>
      <c r="J9103" s="30" t="s">
        <v>2860</v>
      </c>
      <c r="L9103" s="30" t="s">
        <v>2990</v>
      </c>
      <c r="N9103" s="30" t="s">
        <v>3254</v>
      </c>
      <c r="P9103" s="30" t="s">
        <v>15603</v>
      </c>
      <c r="Q9103" t="s">
        <v>621</v>
      </c>
      <c r="R9103" t="s">
        <v>917</v>
      </c>
      <c r="S9103">
        <v>39</v>
      </c>
      <c r="T9103" s="29" t="str">
        <f>HYPERLINK("https://ictv.global/ictv/proposals/2023.001B.Leviviricetes_reorg.zip","2023.001B.Leviviricetes_reorg.zip")</f>
        <v>2023.001B.Leviviricetes_reorg.zip</v>
      </c>
      <c r="U9103" s="29" t="str">
        <f>HYPERLINK("https://ictv.global/taxonomy/taxondetails?taxnode_id=202316597","ictv.global=202316597")</f>
        <v>ictv.global=202316597</v>
      </c>
    </row>
    <row r="9104" spans="1:21">
      <c r="A9104">
        <v>9103</v>
      </c>
      <c r="B9104" s="30" t="s">
        <v>1226</v>
      </c>
      <c r="D9104" s="30" t="s">
        <v>2024</v>
      </c>
      <c r="F9104" s="30" t="s">
        <v>2046</v>
      </c>
      <c r="H9104" s="30" t="s">
        <v>2859</v>
      </c>
      <c r="J9104" s="30" t="s">
        <v>2860</v>
      </c>
      <c r="L9104" s="30" t="s">
        <v>2990</v>
      </c>
      <c r="N9104" s="30" t="s">
        <v>3254</v>
      </c>
      <c r="P9104" s="30" t="s">
        <v>3256</v>
      </c>
      <c r="Q9104" t="s">
        <v>621</v>
      </c>
      <c r="R9104" t="s">
        <v>917</v>
      </c>
      <c r="S9104">
        <v>36</v>
      </c>
      <c r="T9104" s="29" t="str">
        <f>HYPERLINK("https://ictv.global/ictv/proposals/2020.095B.R.Leviviricetes.zip","2020.095B.R.Leviviricetes.zip")</f>
        <v>2020.095B.R.Leviviricetes.zip</v>
      </c>
      <c r="U9104" s="29" t="str">
        <f>HYPERLINK("https://ictv.global/taxonomy/taxondetails?taxnode_id=202310581","ictv.global=202310581")</f>
        <v>ictv.global=202310581</v>
      </c>
    </row>
    <row r="9105" spans="1:21">
      <c r="A9105">
        <v>9104</v>
      </c>
      <c r="B9105" s="30" t="s">
        <v>1226</v>
      </c>
      <c r="D9105" s="30" t="s">
        <v>2024</v>
      </c>
      <c r="F9105" s="30" t="s">
        <v>2046</v>
      </c>
      <c r="H9105" s="30" t="s">
        <v>2859</v>
      </c>
      <c r="J9105" s="30" t="s">
        <v>2860</v>
      </c>
      <c r="L9105" s="30" t="s">
        <v>2990</v>
      </c>
      <c r="N9105" s="30" t="s">
        <v>3254</v>
      </c>
      <c r="P9105" s="30" t="s">
        <v>15604</v>
      </c>
      <c r="Q9105" t="s">
        <v>621</v>
      </c>
      <c r="R9105" t="s">
        <v>917</v>
      </c>
      <c r="S9105">
        <v>39</v>
      </c>
      <c r="T9105" s="29" t="str">
        <f>HYPERLINK("https://ictv.global/ictv/proposals/2023.001B.Leviviricetes_reorg.zip","2023.001B.Leviviricetes_reorg.zip")</f>
        <v>2023.001B.Leviviricetes_reorg.zip</v>
      </c>
      <c r="U9105" s="29" t="str">
        <f>HYPERLINK("https://ictv.global/taxonomy/taxondetails?taxnode_id=202316598","ictv.global=202316598")</f>
        <v>ictv.global=202316598</v>
      </c>
    </row>
    <row r="9106" spans="1:21">
      <c r="A9106">
        <v>9105</v>
      </c>
      <c r="B9106" s="30" t="s">
        <v>1226</v>
      </c>
      <c r="D9106" s="30" t="s">
        <v>2024</v>
      </c>
      <c r="F9106" s="30" t="s">
        <v>2046</v>
      </c>
      <c r="H9106" s="30" t="s">
        <v>2859</v>
      </c>
      <c r="J9106" s="30" t="s">
        <v>2860</v>
      </c>
      <c r="L9106" s="30" t="s">
        <v>2990</v>
      </c>
      <c r="N9106" s="30" t="s">
        <v>3257</v>
      </c>
      <c r="P9106" s="30" t="s">
        <v>3258</v>
      </c>
      <c r="Q9106" t="s">
        <v>621</v>
      </c>
      <c r="R9106" t="s">
        <v>917</v>
      </c>
      <c r="S9106">
        <v>36</v>
      </c>
      <c r="T9106" s="29" t="str">
        <f>HYPERLINK("https://ictv.global/ictv/proposals/2020.095B.R.Leviviricetes.zip","2020.095B.R.Leviviricetes.zip")</f>
        <v>2020.095B.R.Leviviricetes.zip</v>
      </c>
      <c r="U9106" s="29" t="str">
        <f>HYPERLINK("https://ictv.global/taxonomy/taxondetails?taxnode_id=202310584","ictv.global=202310584")</f>
        <v>ictv.global=202310584</v>
      </c>
    </row>
    <row r="9107" spans="1:21">
      <c r="A9107">
        <v>9106</v>
      </c>
      <c r="B9107" s="30" t="s">
        <v>1226</v>
      </c>
      <c r="D9107" s="30" t="s">
        <v>2024</v>
      </c>
      <c r="F9107" s="30" t="s">
        <v>2046</v>
      </c>
      <c r="H9107" s="30" t="s">
        <v>2859</v>
      </c>
      <c r="J9107" s="30" t="s">
        <v>2860</v>
      </c>
      <c r="L9107" s="30" t="s">
        <v>2990</v>
      </c>
      <c r="N9107" s="30" t="s">
        <v>15605</v>
      </c>
      <c r="P9107" s="30" t="s">
        <v>15606</v>
      </c>
      <c r="Q9107" t="s">
        <v>621</v>
      </c>
      <c r="R9107" t="s">
        <v>917</v>
      </c>
      <c r="S9107">
        <v>39</v>
      </c>
      <c r="T9107" s="29" t="str">
        <f>HYPERLINK("https://ictv.global/ictv/proposals/2023.001B.Leviviricetes_reorg.zip","2023.001B.Leviviricetes_reorg.zip")</f>
        <v>2023.001B.Leviviricetes_reorg.zip</v>
      </c>
      <c r="U9107" s="29" t="str">
        <f>HYPERLINK("https://ictv.global/taxonomy/taxondetails?taxnode_id=202316599","ictv.global=202316599")</f>
        <v>ictv.global=202316599</v>
      </c>
    </row>
    <row r="9108" spans="1:21">
      <c r="A9108">
        <v>9107</v>
      </c>
      <c r="B9108" s="30" t="s">
        <v>1226</v>
      </c>
      <c r="D9108" s="30" t="s">
        <v>2024</v>
      </c>
      <c r="F9108" s="30" t="s">
        <v>2046</v>
      </c>
      <c r="H9108" s="30" t="s">
        <v>2859</v>
      </c>
      <c r="J9108" s="30" t="s">
        <v>2860</v>
      </c>
      <c r="L9108" s="30" t="s">
        <v>2990</v>
      </c>
      <c r="N9108" s="30" t="s">
        <v>3259</v>
      </c>
      <c r="P9108" s="30" t="s">
        <v>3260</v>
      </c>
      <c r="Q9108" t="s">
        <v>621</v>
      </c>
      <c r="R9108" t="s">
        <v>3893</v>
      </c>
      <c r="S9108">
        <v>36</v>
      </c>
      <c r="T9108" s="29" t="str">
        <f>HYPERLINK("https://ictv.global/ictv/proposals/2020.095B.R.Leviviricetes.zip","2020.095B.R.Leviviricetes.zip;2020.001G.R.Abolish_type_species.pdf")</f>
        <v>2020.095B.R.Leviviricetes.zip;2020.001G.R.Abolish_type_species.pdf</v>
      </c>
      <c r="U9108" s="29" t="str">
        <f>HYPERLINK("https://ictv.global/taxonomy/taxondetails?taxnode_id=202303755","ictv.global=202303755")</f>
        <v>ictv.global=202303755</v>
      </c>
    </row>
    <row r="9109" spans="1:21">
      <c r="A9109">
        <v>9108</v>
      </c>
      <c r="B9109" s="30" t="s">
        <v>1226</v>
      </c>
      <c r="D9109" s="30" t="s">
        <v>2024</v>
      </c>
      <c r="F9109" s="30" t="s">
        <v>2046</v>
      </c>
      <c r="H9109" s="30" t="s">
        <v>2859</v>
      </c>
      <c r="J9109" s="30" t="s">
        <v>2860</v>
      </c>
      <c r="L9109" s="30" t="s">
        <v>2990</v>
      </c>
      <c r="N9109" s="30" t="s">
        <v>3259</v>
      </c>
      <c r="P9109" s="30" t="s">
        <v>15607</v>
      </c>
      <c r="Q9109" t="s">
        <v>621</v>
      </c>
      <c r="R9109" t="s">
        <v>917</v>
      </c>
      <c r="S9109">
        <v>39</v>
      </c>
      <c r="T9109" s="29" t="str">
        <f>HYPERLINK("https://ictv.global/ictv/proposals/2023.001B.Leviviricetes_reorg.zip","2023.001B.Leviviricetes_reorg.zip")</f>
        <v>2023.001B.Leviviricetes_reorg.zip</v>
      </c>
      <c r="U9109" s="29" t="str">
        <f>HYPERLINK("https://ictv.global/taxonomy/taxondetails?taxnode_id=202316600","ictv.global=202316600")</f>
        <v>ictv.global=202316600</v>
      </c>
    </row>
    <row r="9110" spans="1:21">
      <c r="A9110">
        <v>9109</v>
      </c>
      <c r="B9110" s="30" t="s">
        <v>1226</v>
      </c>
      <c r="D9110" s="30" t="s">
        <v>2024</v>
      </c>
      <c r="F9110" s="30" t="s">
        <v>2046</v>
      </c>
      <c r="H9110" s="30" t="s">
        <v>2859</v>
      </c>
      <c r="J9110" s="30" t="s">
        <v>2860</v>
      </c>
      <c r="L9110" s="30" t="s">
        <v>2990</v>
      </c>
      <c r="N9110" s="30" t="s">
        <v>3259</v>
      </c>
      <c r="P9110" s="30" t="s">
        <v>3261</v>
      </c>
      <c r="Q9110" t="s">
        <v>621</v>
      </c>
      <c r="R9110" t="s">
        <v>918</v>
      </c>
      <c r="S9110">
        <v>36</v>
      </c>
      <c r="T9110" s="29" t="str">
        <f>HYPERLINK("https://ictv.global/ictv/proposals/2020.095B.R.Leviviricetes.zip","2020.095B.R.Leviviricetes.zip")</f>
        <v>2020.095B.R.Leviviricetes.zip</v>
      </c>
      <c r="U9110" s="29" t="str">
        <f>HYPERLINK("https://ictv.global/taxonomy/taxondetails?taxnode_id=202303754","ictv.global=202303754")</f>
        <v>ictv.global=202303754</v>
      </c>
    </row>
    <row r="9111" spans="1:21">
      <c r="A9111">
        <v>9110</v>
      </c>
      <c r="B9111" s="30" t="s">
        <v>1226</v>
      </c>
      <c r="D9111" s="30" t="s">
        <v>2024</v>
      </c>
      <c r="F9111" s="30" t="s">
        <v>2046</v>
      </c>
      <c r="H9111" s="30" t="s">
        <v>2859</v>
      </c>
      <c r="J9111" s="30" t="s">
        <v>2860</v>
      </c>
      <c r="L9111" s="30" t="s">
        <v>2990</v>
      </c>
      <c r="N9111" s="30" t="s">
        <v>15608</v>
      </c>
      <c r="P9111" s="30" t="s">
        <v>15609</v>
      </c>
      <c r="Q9111" t="s">
        <v>621</v>
      </c>
      <c r="R9111" t="s">
        <v>917</v>
      </c>
      <c r="S9111">
        <v>39</v>
      </c>
      <c r="T9111" s="29" t="str">
        <f t="shared" ref="T9111:T9148" si="386">HYPERLINK("https://ictv.global/ictv/proposals/2023.001B.Leviviricetes_reorg.zip","2023.001B.Leviviricetes_reorg.zip")</f>
        <v>2023.001B.Leviviricetes_reorg.zip</v>
      </c>
      <c r="U9111" s="29" t="str">
        <f>HYPERLINK("https://ictv.global/taxonomy/taxondetails?taxnode_id=202316601","ictv.global=202316601")</f>
        <v>ictv.global=202316601</v>
      </c>
    </row>
    <row r="9112" spans="1:21">
      <c r="A9112">
        <v>9111</v>
      </c>
      <c r="B9112" s="30" t="s">
        <v>1226</v>
      </c>
      <c r="D9112" s="30" t="s">
        <v>2024</v>
      </c>
      <c r="F9112" s="30" t="s">
        <v>2046</v>
      </c>
      <c r="H9112" s="30" t="s">
        <v>2859</v>
      </c>
      <c r="J9112" s="30" t="s">
        <v>2860</v>
      </c>
      <c r="L9112" s="30" t="s">
        <v>2990</v>
      </c>
      <c r="N9112" s="30" t="s">
        <v>15608</v>
      </c>
      <c r="P9112" s="30" t="s">
        <v>15610</v>
      </c>
      <c r="Q9112" t="s">
        <v>621</v>
      </c>
      <c r="R9112" t="s">
        <v>917</v>
      </c>
      <c r="S9112">
        <v>39</v>
      </c>
      <c r="T9112" s="29" t="str">
        <f t="shared" si="386"/>
        <v>2023.001B.Leviviricetes_reorg.zip</v>
      </c>
      <c r="U9112" s="29" t="str">
        <f>HYPERLINK("https://ictv.global/taxonomy/taxondetails?taxnode_id=202316602","ictv.global=202316602")</f>
        <v>ictv.global=202316602</v>
      </c>
    </row>
    <row r="9113" spans="1:21">
      <c r="A9113">
        <v>9112</v>
      </c>
      <c r="B9113" s="30" t="s">
        <v>1226</v>
      </c>
      <c r="D9113" s="30" t="s">
        <v>2024</v>
      </c>
      <c r="F9113" s="30" t="s">
        <v>2046</v>
      </c>
      <c r="H9113" s="30" t="s">
        <v>2859</v>
      </c>
      <c r="J9113" s="30" t="s">
        <v>2860</v>
      </c>
      <c r="L9113" s="30" t="s">
        <v>2990</v>
      </c>
      <c r="N9113" s="30" t="s">
        <v>15608</v>
      </c>
      <c r="P9113" s="30" t="s">
        <v>15611</v>
      </c>
      <c r="Q9113" t="s">
        <v>621</v>
      </c>
      <c r="R9113" t="s">
        <v>917</v>
      </c>
      <c r="S9113">
        <v>39</v>
      </c>
      <c r="T9113" s="29" t="str">
        <f t="shared" si="386"/>
        <v>2023.001B.Leviviricetes_reorg.zip</v>
      </c>
      <c r="U9113" s="29" t="str">
        <f>HYPERLINK("https://ictv.global/taxonomy/taxondetails?taxnode_id=202316603","ictv.global=202316603")</f>
        <v>ictv.global=202316603</v>
      </c>
    </row>
    <row r="9114" spans="1:21">
      <c r="A9114">
        <v>9113</v>
      </c>
      <c r="B9114" s="30" t="s">
        <v>1226</v>
      </c>
      <c r="D9114" s="30" t="s">
        <v>2024</v>
      </c>
      <c r="F9114" s="30" t="s">
        <v>2046</v>
      </c>
      <c r="H9114" s="30" t="s">
        <v>2859</v>
      </c>
      <c r="J9114" s="30" t="s">
        <v>2860</v>
      </c>
      <c r="L9114" s="30" t="s">
        <v>2990</v>
      </c>
      <c r="N9114" s="30" t="s">
        <v>15608</v>
      </c>
      <c r="P9114" s="30" t="s">
        <v>15612</v>
      </c>
      <c r="Q9114" t="s">
        <v>621</v>
      </c>
      <c r="R9114" t="s">
        <v>917</v>
      </c>
      <c r="S9114">
        <v>39</v>
      </c>
      <c r="T9114" s="29" t="str">
        <f t="shared" si="386"/>
        <v>2023.001B.Leviviricetes_reorg.zip</v>
      </c>
      <c r="U9114" s="29" t="str">
        <f>HYPERLINK("https://ictv.global/taxonomy/taxondetails?taxnode_id=202316604","ictv.global=202316604")</f>
        <v>ictv.global=202316604</v>
      </c>
    </row>
    <row r="9115" spans="1:21">
      <c r="A9115">
        <v>9114</v>
      </c>
      <c r="B9115" s="30" t="s">
        <v>1226</v>
      </c>
      <c r="D9115" s="30" t="s">
        <v>2024</v>
      </c>
      <c r="F9115" s="30" t="s">
        <v>2046</v>
      </c>
      <c r="H9115" s="30" t="s">
        <v>2859</v>
      </c>
      <c r="J9115" s="30" t="s">
        <v>2860</v>
      </c>
      <c r="L9115" s="30" t="s">
        <v>2990</v>
      </c>
      <c r="N9115" s="30" t="s">
        <v>15608</v>
      </c>
      <c r="P9115" s="30" t="s">
        <v>15613</v>
      </c>
      <c r="Q9115" t="s">
        <v>621</v>
      </c>
      <c r="R9115" t="s">
        <v>917</v>
      </c>
      <c r="S9115">
        <v>39</v>
      </c>
      <c r="T9115" s="29" t="str">
        <f t="shared" si="386"/>
        <v>2023.001B.Leviviricetes_reorg.zip</v>
      </c>
      <c r="U9115" s="29" t="str">
        <f>HYPERLINK("https://ictv.global/taxonomy/taxondetails?taxnode_id=202316605","ictv.global=202316605")</f>
        <v>ictv.global=202316605</v>
      </c>
    </row>
    <row r="9116" spans="1:21">
      <c r="A9116">
        <v>9115</v>
      </c>
      <c r="B9116" s="30" t="s">
        <v>1226</v>
      </c>
      <c r="D9116" s="30" t="s">
        <v>2024</v>
      </c>
      <c r="F9116" s="30" t="s">
        <v>2046</v>
      </c>
      <c r="H9116" s="30" t="s">
        <v>2859</v>
      </c>
      <c r="J9116" s="30" t="s">
        <v>2860</v>
      </c>
      <c r="L9116" s="30" t="s">
        <v>2990</v>
      </c>
      <c r="N9116" s="30" t="s">
        <v>15608</v>
      </c>
      <c r="P9116" s="30" t="s">
        <v>15614</v>
      </c>
      <c r="Q9116" t="s">
        <v>621</v>
      </c>
      <c r="R9116" t="s">
        <v>917</v>
      </c>
      <c r="S9116">
        <v>39</v>
      </c>
      <c r="T9116" s="29" t="str">
        <f t="shared" si="386"/>
        <v>2023.001B.Leviviricetes_reorg.zip</v>
      </c>
      <c r="U9116" s="29" t="str">
        <f>HYPERLINK("https://ictv.global/taxonomy/taxondetails?taxnode_id=202316606","ictv.global=202316606")</f>
        <v>ictv.global=202316606</v>
      </c>
    </row>
    <row r="9117" spans="1:21">
      <c r="A9117">
        <v>9116</v>
      </c>
      <c r="B9117" s="30" t="s">
        <v>1226</v>
      </c>
      <c r="D9117" s="30" t="s">
        <v>2024</v>
      </c>
      <c r="F9117" s="30" t="s">
        <v>2046</v>
      </c>
      <c r="H9117" s="30" t="s">
        <v>2859</v>
      </c>
      <c r="J9117" s="30" t="s">
        <v>2860</v>
      </c>
      <c r="L9117" s="30" t="s">
        <v>2990</v>
      </c>
      <c r="N9117" s="30" t="s">
        <v>3262</v>
      </c>
      <c r="P9117" s="30" t="s">
        <v>15615</v>
      </c>
      <c r="Q9117" t="s">
        <v>621</v>
      </c>
      <c r="R9117" t="s">
        <v>917</v>
      </c>
      <c r="S9117">
        <v>39</v>
      </c>
      <c r="T9117" s="29" t="str">
        <f t="shared" si="386"/>
        <v>2023.001B.Leviviricetes_reorg.zip</v>
      </c>
      <c r="U9117" s="29" t="str">
        <f>HYPERLINK("https://ictv.global/taxonomy/taxondetails?taxnode_id=202316607","ictv.global=202316607")</f>
        <v>ictv.global=202316607</v>
      </c>
    </row>
    <row r="9118" spans="1:21">
      <c r="A9118">
        <v>9117</v>
      </c>
      <c r="B9118" s="30" t="s">
        <v>1226</v>
      </c>
      <c r="D9118" s="30" t="s">
        <v>2024</v>
      </c>
      <c r="F9118" s="30" t="s">
        <v>2046</v>
      </c>
      <c r="H9118" s="30" t="s">
        <v>2859</v>
      </c>
      <c r="J9118" s="30" t="s">
        <v>2860</v>
      </c>
      <c r="L9118" s="30" t="s">
        <v>2990</v>
      </c>
      <c r="N9118" s="30" t="s">
        <v>3262</v>
      </c>
      <c r="P9118" s="30" t="s">
        <v>15616</v>
      </c>
      <c r="Q9118" t="s">
        <v>621</v>
      </c>
      <c r="R9118" t="s">
        <v>917</v>
      </c>
      <c r="S9118">
        <v>39</v>
      </c>
      <c r="T9118" s="29" t="str">
        <f t="shared" si="386"/>
        <v>2023.001B.Leviviricetes_reorg.zip</v>
      </c>
      <c r="U9118" s="29" t="str">
        <f>HYPERLINK("https://ictv.global/taxonomy/taxondetails?taxnode_id=202316608","ictv.global=202316608")</f>
        <v>ictv.global=202316608</v>
      </c>
    </row>
    <row r="9119" spans="1:21">
      <c r="A9119">
        <v>9118</v>
      </c>
      <c r="B9119" s="30" t="s">
        <v>1226</v>
      </c>
      <c r="D9119" s="30" t="s">
        <v>2024</v>
      </c>
      <c r="F9119" s="30" t="s">
        <v>2046</v>
      </c>
      <c r="H9119" s="30" t="s">
        <v>2859</v>
      </c>
      <c r="J9119" s="30" t="s">
        <v>2860</v>
      </c>
      <c r="L9119" s="30" t="s">
        <v>2990</v>
      </c>
      <c r="N9119" s="30" t="s">
        <v>3262</v>
      </c>
      <c r="P9119" s="30" t="s">
        <v>15617</v>
      </c>
      <c r="Q9119" t="s">
        <v>621</v>
      </c>
      <c r="R9119" t="s">
        <v>917</v>
      </c>
      <c r="S9119">
        <v>39</v>
      </c>
      <c r="T9119" s="29" t="str">
        <f t="shared" si="386"/>
        <v>2023.001B.Leviviricetes_reorg.zip</v>
      </c>
      <c r="U9119" s="29" t="str">
        <f>HYPERLINK("https://ictv.global/taxonomy/taxondetails?taxnode_id=202316609","ictv.global=202316609")</f>
        <v>ictv.global=202316609</v>
      </c>
    </row>
    <row r="9120" spans="1:21">
      <c r="A9120">
        <v>9119</v>
      </c>
      <c r="B9120" s="30" t="s">
        <v>1226</v>
      </c>
      <c r="D9120" s="30" t="s">
        <v>2024</v>
      </c>
      <c r="F9120" s="30" t="s">
        <v>2046</v>
      </c>
      <c r="H9120" s="30" t="s">
        <v>2859</v>
      </c>
      <c r="J9120" s="30" t="s">
        <v>2860</v>
      </c>
      <c r="L9120" s="30" t="s">
        <v>2990</v>
      </c>
      <c r="N9120" s="30" t="s">
        <v>3262</v>
      </c>
      <c r="P9120" s="30" t="s">
        <v>15618</v>
      </c>
      <c r="Q9120" t="s">
        <v>621</v>
      </c>
      <c r="R9120" t="s">
        <v>917</v>
      </c>
      <c r="S9120">
        <v>39</v>
      </c>
      <c r="T9120" s="29" t="str">
        <f t="shared" si="386"/>
        <v>2023.001B.Leviviricetes_reorg.zip</v>
      </c>
      <c r="U9120" s="29" t="str">
        <f>HYPERLINK("https://ictv.global/taxonomy/taxondetails?taxnode_id=202316610","ictv.global=202316610")</f>
        <v>ictv.global=202316610</v>
      </c>
    </row>
    <row r="9121" spans="1:21">
      <c r="A9121">
        <v>9120</v>
      </c>
      <c r="B9121" s="30" t="s">
        <v>1226</v>
      </c>
      <c r="D9121" s="30" t="s">
        <v>2024</v>
      </c>
      <c r="F9121" s="30" t="s">
        <v>2046</v>
      </c>
      <c r="H9121" s="30" t="s">
        <v>2859</v>
      </c>
      <c r="J9121" s="30" t="s">
        <v>2860</v>
      </c>
      <c r="L9121" s="30" t="s">
        <v>2990</v>
      </c>
      <c r="N9121" s="30" t="s">
        <v>3262</v>
      </c>
      <c r="P9121" s="30" t="s">
        <v>15619</v>
      </c>
      <c r="Q9121" t="s">
        <v>621</v>
      </c>
      <c r="R9121" t="s">
        <v>917</v>
      </c>
      <c r="S9121">
        <v>39</v>
      </c>
      <c r="T9121" s="29" t="str">
        <f t="shared" si="386"/>
        <v>2023.001B.Leviviricetes_reorg.zip</v>
      </c>
      <c r="U9121" s="29" t="str">
        <f>HYPERLINK("https://ictv.global/taxonomy/taxondetails?taxnode_id=202316611","ictv.global=202316611")</f>
        <v>ictv.global=202316611</v>
      </c>
    </row>
    <row r="9122" spans="1:21">
      <c r="A9122">
        <v>9121</v>
      </c>
      <c r="B9122" s="30" t="s">
        <v>1226</v>
      </c>
      <c r="D9122" s="30" t="s">
        <v>2024</v>
      </c>
      <c r="F9122" s="30" t="s">
        <v>2046</v>
      </c>
      <c r="H9122" s="30" t="s">
        <v>2859</v>
      </c>
      <c r="J9122" s="30" t="s">
        <v>2860</v>
      </c>
      <c r="L9122" s="30" t="s">
        <v>2990</v>
      </c>
      <c r="N9122" s="30" t="s">
        <v>3262</v>
      </c>
      <c r="P9122" s="30" t="s">
        <v>15620</v>
      </c>
      <c r="Q9122" t="s">
        <v>621</v>
      </c>
      <c r="R9122" t="s">
        <v>917</v>
      </c>
      <c r="S9122">
        <v>39</v>
      </c>
      <c r="T9122" s="29" t="str">
        <f t="shared" si="386"/>
        <v>2023.001B.Leviviricetes_reorg.zip</v>
      </c>
      <c r="U9122" s="29" t="str">
        <f>HYPERLINK("https://ictv.global/taxonomy/taxondetails?taxnode_id=202316612","ictv.global=202316612")</f>
        <v>ictv.global=202316612</v>
      </c>
    </row>
    <row r="9123" spans="1:21">
      <c r="A9123">
        <v>9122</v>
      </c>
      <c r="B9123" s="30" t="s">
        <v>1226</v>
      </c>
      <c r="D9123" s="30" t="s">
        <v>2024</v>
      </c>
      <c r="F9123" s="30" t="s">
        <v>2046</v>
      </c>
      <c r="H9123" s="30" t="s">
        <v>2859</v>
      </c>
      <c r="J9123" s="30" t="s">
        <v>2860</v>
      </c>
      <c r="L9123" s="30" t="s">
        <v>2990</v>
      </c>
      <c r="N9123" s="30" t="s">
        <v>3262</v>
      </c>
      <c r="P9123" s="30" t="s">
        <v>15621</v>
      </c>
      <c r="Q9123" t="s">
        <v>621</v>
      </c>
      <c r="R9123" t="s">
        <v>917</v>
      </c>
      <c r="S9123">
        <v>39</v>
      </c>
      <c r="T9123" s="29" t="str">
        <f t="shared" si="386"/>
        <v>2023.001B.Leviviricetes_reorg.zip</v>
      </c>
      <c r="U9123" s="29" t="str">
        <f>HYPERLINK("https://ictv.global/taxonomy/taxondetails?taxnode_id=202316613","ictv.global=202316613")</f>
        <v>ictv.global=202316613</v>
      </c>
    </row>
    <row r="9124" spans="1:21">
      <c r="A9124">
        <v>9123</v>
      </c>
      <c r="B9124" s="30" t="s">
        <v>1226</v>
      </c>
      <c r="D9124" s="30" t="s">
        <v>2024</v>
      </c>
      <c r="F9124" s="30" t="s">
        <v>2046</v>
      </c>
      <c r="H9124" s="30" t="s">
        <v>2859</v>
      </c>
      <c r="J9124" s="30" t="s">
        <v>2860</v>
      </c>
      <c r="L9124" s="30" t="s">
        <v>2990</v>
      </c>
      <c r="N9124" s="30" t="s">
        <v>3262</v>
      </c>
      <c r="P9124" s="30" t="s">
        <v>15622</v>
      </c>
      <c r="Q9124" t="s">
        <v>621</v>
      </c>
      <c r="R9124" t="s">
        <v>917</v>
      </c>
      <c r="S9124">
        <v>39</v>
      </c>
      <c r="T9124" s="29" t="str">
        <f t="shared" si="386"/>
        <v>2023.001B.Leviviricetes_reorg.zip</v>
      </c>
      <c r="U9124" s="29" t="str">
        <f>HYPERLINK("https://ictv.global/taxonomy/taxondetails?taxnode_id=202316614","ictv.global=202316614")</f>
        <v>ictv.global=202316614</v>
      </c>
    </row>
    <row r="9125" spans="1:21">
      <c r="A9125">
        <v>9124</v>
      </c>
      <c r="B9125" s="30" t="s">
        <v>1226</v>
      </c>
      <c r="D9125" s="30" t="s">
        <v>2024</v>
      </c>
      <c r="F9125" s="30" t="s">
        <v>2046</v>
      </c>
      <c r="H9125" s="30" t="s">
        <v>2859</v>
      </c>
      <c r="J9125" s="30" t="s">
        <v>2860</v>
      </c>
      <c r="L9125" s="30" t="s">
        <v>2990</v>
      </c>
      <c r="N9125" s="30" t="s">
        <v>3262</v>
      </c>
      <c r="P9125" s="30" t="s">
        <v>15623</v>
      </c>
      <c r="Q9125" t="s">
        <v>621</v>
      </c>
      <c r="R9125" t="s">
        <v>917</v>
      </c>
      <c r="S9125">
        <v>39</v>
      </c>
      <c r="T9125" s="29" t="str">
        <f t="shared" si="386"/>
        <v>2023.001B.Leviviricetes_reorg.zip</v>
      </c>
      <c r="U9125" s="29" t="str">
        <f>HYPERLINK("https://ictv.global/taxonomy/taxondetails?taxnode_id=202316615","ictv.global=202316615")</f>
        <v>ictv.global=202316615</v>
      </c>
    </row>
    <row r="9126" spans="1:21">
      <c r="A9126">
        <v>9125</v>
      </c>
      <c r="B9126" s="30" t="s">
        <v>1226</v>
      </c>
      <c r="D9126" s="30" t="s">
        <v>2024</v>
      </c>
      <c r="F9126" s="30" t="s">
        <v>2046</v>
      </c>
      <c r="H9126" s="30" t="s">
        <v>2859</v>
      </c>
      <c r="J9126" s="30" t="s">
        <v>2860</v>
      </c>
      <c r="L9126" s="30" t="s">
        <v>2990</v>
      </c>
      <c r="N9126" s="30" t="s">
        <v>3262</v>
      </c>
      <c r="P9126" s="30" t="s">
        <v>15624</v>
      </c>
      <c r="Q9126" t="s">
        <v>621</v>
      </c>
      <c r="R9126" t="s">
        <v>917</v>
      </c>
      <c r="S9126">
        <v>39</v>
      </c>
      <c r="T9126" s="29" t="str">
        <f t="shared" si="386"/>
        <v>2023.001B.Leviviricetes_reorg.zip</v>
      </c>
      <c r="U9126" s="29" t="str">
        <f>HYPERLINK("https://ictv.global/taxonomy/taxondetails?taxnode_id=202316616","ictv.global=202316616")</f>
        <v>ictv.global=202316616</v>
      </c>
    </row>
    <row r="9127" spans="1:21">
      <c r="A9127">
        <v>9126</v>
      </c>
      <c r="B9127" s="30" t="s">
        <v>1226</v>
      </c>
      <c r="D9127" s="30" t="s">
        <v>2024</v>
      </c>
      <c r="F9127" s="30" t="s">
        <v>2046</v>
      </c>
      <c r="H9127" s="30" t="s">
        <v>2859</v>
      </c>
      <c r="J9127" s="30" t="s">
        <v>2860</v>
      </c>
      <c r="L9127" s="30" t="s">
        <v>2990</v>
      </c>
      <c r="N9127" s="30" t="s">
        <v>3262</v>
      </c>
      <c r="P9127" s="30" t="s">
        <v>15625</v>
      </c>
      <c r="Q9127" t="s">
        <v>621</v>
      </c>
      <c r="R9127" t="s">
        <v>917</v>
      </c>
      <c r="S9127">
        <v>39</v>
      </c>
      <c r="T9127" s="29" t="str">
        <f t="shared" si="386"/>
        <v>2023.001B.Leviviricetes_reorg.zip</v>
      </c>
      <c r="U9127" s="29" t="str">
        <f>HYPERLINK("https://ictv.global/taxonomy/taxondetails?taxnode_id=202316617","ictv.global=202316617")</f>
        <v>ictv.global=202316617</v>
      </c>
    </row>
    <row r="9128" spans="1:21">
      <c r="A9128">
        <v>9127</v>
      </c>
      <c r="B9128" s="30" t="s">
        <v>1226</v>
      </c>
      <c r="D9128" s="30" t="s">
        <v>2024</v>
      </c>
      <c r="F9128" s="30" t="s">
        <v>2046</v>
      </c>
      <c r="H9128" s="30" t="s">
        <v>2859</v>
      </c>
      <c r="J9128" s="30" t="s">
        <v>2860</v>
      </c>
      <c r="L9128" s="30" t="s">
        <v>2990</v>
      </c>
      <c r="N9128" s="30" t="s">
        <v>3262</v>
      </c>
      <c r="P9128" s="30" t="s">
        <v>15626</v>
      </c>
      <c r="Q9128" t="s">
        <v>621</v>
      </c>
      <c r="R9128" t="s">
        <v>918</v>
      </c>
      <c r="S9128">
        <v>39</v>
      </c>
      <c r="T9128" s="29" t="str">
        <f t="shared" si="386"/>
        <v>2023.001B.Leviviricetes_reorg.zip</v>
      </c>
      <c r="U9128" s="29" t="str">
        <f>HYPERLINK("https://ictv.global/taxonomy/taxondetails?taxnode_id=202310575","ictv.global=202310575")</f>
        <v>ictv.global=202310575</v>
      </c>
    </row>
    <row r="9129" spans="1:21">
      <c r="A9129">
        <v>9128</v>
      </c>
      <c r="B9129" s="30" t="s">
        <v>1226</v>
      </c>
      <c r="D9129" s="30" t="s">
        <v>2024</v>
      </c>
      <c r="F9129" s="30" t="s">
        <v>2046</v>
      </c>
      <c r="H9129" s="30" t="s">
        <v>2859</v>
      </c>
      <c r="J9129" s="30" t="s">
        <v>2860</v>
      </c>
      <c r="L9129" s="30" t="s">
        <v>2990</v>
      </c>
      <c r="N9129" s="30" t="s">
        <v>3262</v>
      </c>
      <c r="P9129" s="30" t="s">
        <v>15627</v>
      </c>
      <c r="Q9129" t="s">
        <v>621</v>
      </c>
      <c r="R9129" t="s">
        <v>918</v>
      </c>
      <c r="S9129">
        <v>39</v>
      </c>
      <c r="T9129" s="29" t="str">
        <f t="shared" si="386"/>
        <v>2023.001B.Leviviricetes_reorg.zip</v>
      </c>
      <c r="U9129" s="29" t="str">
        <f>HYPERLINK("https://ictv.global/taxonomy/taxondetails?taxnode_id=202310577","ictv.global=202310577")</f>
        <v>ictv.global=202310577</v>
      </c>
    </row>
    <row r="9130" spans="1:21">
      <c r="A9130">
        <v>9129</v>
      </c>
      <c r="B9130" s="30" t="s">
        <v>1226</v>
      </c>
      <c r="D9130" s="30" t="s">
        <v>2024</v>
      </c>
      <c r="F9130" s="30" t="s">
        <v>2046</v>
      </c>
      <c r="H9130" s="30" t="s">
        <v>2859</v>
      </c>
      <c r="J9130" s="30" t="s">
        <v>2860</v>
      </c>
      <c r="L9130" s="30" t="s">
        <v>2990</v>
      </c>
      <c r="N9130" s="30" t="s">
        <v>3262</v>
      </c>
      <c r="P9130" s="30" t="s">
        <v>15628</v>
      </c>
      <c r="Q9130" t="s">
        <v>621</v>
      </c>
      <c r="R9130" t="s">
        <v>918</v>
      </c>
      <c r="S9130">
        <v>39</v>
      </c>
      <c r="T9130" s="29" t="str">
        <f t="shared" si="386"/>
        <v>2023.001B.Leviviricetes_reorg.zip</v>
      </c>
      <c r="U9130" s="29" t="str">
        <f>HYPERLINK("https://ictv.global/taxonomy/taxondetails?taxnode_id=202310576","ictv.global=202310576")</f>
        <v>ictv.global=202310576</v>
      </c>
    </row>
    <row r="9131" spans="1:21">
      <c r="A9131">
        <v>9130</v>
      </c>
      <c r="B9131" s="30" t="s">
        <v>1226</v>
      </c>
      <c r="D9131" s="30" t="s">
        <v>2024</v>
      </c>
      <c r="F9131" s="30" t="s">
        <v>2046</v>
      </c>
      <c r="H9131" s="30" t="s">
        <v>2859</v>
      </c>
      <c r="J9131" s="30" t="s">
        <v>2860</v>
      </c>
      <c r="L9131" s="30" t="s">
        <v>2990</v>
      </c>
      <c r="N9131" s="30" t="s">
        <v>3262</v>
      </c>
      <c r="P9131" s="30" t="s">
        <v>15629</v>
      </c>
      <c r="Q9131" t="s">
        <v>621</v>
      </c>
      <c r="R9131" t="s">
        <v>918</v>
      </c>
      <c r="S9131">
        <v>39</v>
      </c>
      <c r="T9131" s="29" t="str">
        <f t="shared" si="386"/>
        <v>2023.001B.Leviviricetes_reorg.zip</v>
      </c>
      <c r="U9131" s="29" t="str">
        <f>HYPERLINK("https://ictv.global/taxonomy/taxondetails?taxnode_id=202310574","ictv.global=202310574")</f>
        <v>ictv.global=202310574</v>
      </c>
    </row>
    <row r="9132" spans="1:21">
      <c r="A9132">
        <v>9131</v>
      </c>
      <c r="B9132" s="30" t="s">
        <v>1226</v>
      </c>
      <c r="D9132" s="30" t="s">
        <v>2024</v>
      </c>
      <c r="F9132" s="30" t="s">
        <v>2046</v>
      </c>
      <c r="H9132" s="30" t="s">
        <v>2859</v>
      </c>
      <c r="J9132" s="30" t="s">
        <v>2860</v>
      </c>
      <c r="L9132" s="30" t="s">
        <v>2990</v>
      </c>
      <c r="N9132" s="30" t="s">
        <v>3262</v>
      </c>
      <c r="P9132" s="30" t="s">
        <v>15630</v>
      </c>
      <c r="Q9132" t="s">
        <v>621</v>
      </c>
      <c r="R9132" t="s">
        <v>918</v>
      </c>
      <c r="S9132">
        <v>39</v>
      </c>
      <c r="T9132" s="29" t="str">
        <f t="shared" si="386"/>
        <v>2023.001B.Leviviricetes_reorg.zip</v>
      </c>
      <c r="U9132" s="29" t="str">
        <f>HYPERLINK("https://ictv.global/taxonomy/taxondetails?taxnode_id=202310578","ictv.global=202310578")</f>
        <v>ictv.global=202310578</v>
      </c>
    </row>
    <row r="9133" spans="1:21">
      <c r="A9133">
        <v>9132</v>
      </c>
      <c r="B9133" s="30" t="s">
        <v>1226</v>
      </c>
      <c r="D9133" s="30" t="s">
        <v>2024</v>
      </c>
      <c r="F9133" s="30" t="s">
        <v>2046</v>
      </c>
      <c r="H9133" s="30" t="s">
        <v>2859</v>
      </c>
      <c r="J9133" s="30" t="s">
        <v>2860</v>
      </c>
      <c r="L9133" s="30" t="s">
        <v>2990</v>
      </c>
      <c r="N9133" s="30" t="s">
        <v>3262</v>
      </c>
      <c r="P9133" s="30" t="s">
        <v>15631</v>
      </c>
      <c r="Q9133" t="s">
        <v>621</v>
      </c>
      <c r="R9133" t="s">
        <v>918</v>
      </c>
      <c r="S9133">
        <v>39</v>
      </c>
      <c r="T9133" s="29" t="str">
        <f t="shared" si="386"/>
        <v>2023.001B.Leviviricetes_reorg.zip</v>
      </c>
      <c r="U9133" s="29" t="str">
        <f>HYPERLINK("https://ictv.global/taxonomy/taxondetails?taxnode_id=202310579","ictv.global=202310579")</f>
        <v>ictv.global=202310579</v>
      </c>
    </row>
    <row r="9134" spans="1:21">
      <c r="A9134">
        <v>9133</v>
      </c>
      <c r="B9134" s="30" t="s">
        <v>1226</v>
      </c>
      <c r="D9134" s="30" t="s">
        <v>2024</v>
      </c>
      <c r="F9134" s="30" t="s">
        <v>2046</v>
      </c>
      <c r="H9134" s="30" t="s">
        <v>2859</v>
      </c>
      <c r="J9134" s="30" t="s">
        <v>2860</v>
      </c>
      <c r="L9134" s="30" t="s">
        <v>2990</v>
      </c>
      <c r="N9134" s="30" t="s">
        <v>3262</v>
      </c>
      <c r="P9134" s="30" t="s">
        <v>15632</v>
      </c>
      <c r="Q9134" t="s">
        <v>621</v>
      </c>
      <c r="R9134" t="s">
        <v>917</v>
      </c>
      <c r="S9134">
        <v>39</v>
      </c>
      <c r="T9134" s="29" t="str">
        <f t="shared" si="386"/>
        <v>2023.001B.Leviviricetes_reorg.zip</v>
      </c>
      <c r="U9134" s="29" t="str">
        <f>HYPERLINK("https://ictv.global/taxonomy/taxondetails?taxnode_id=202316618","ictv.global=202316618")</f>
        <v>ictv.global=202316618</v>
      </c>
    </row>
    <row r="9135" spans="1:21">
      <c r="A9135">
        <v>9134</v>
      </c>
      <c r="B9135" s="30" t="s">
        <v>1226</v>
      </c>
      <c r="D9135" s="30" t="s">
        <v>2024</v>
      </c>
      <c r="F9135" s="30" t="s">
        <v>2046</v>
      </c>
      <c r="H9135" s="30" t="s">
        <v>2859</v>
      </c>
      <c r="J9135" s="30" t="s">
        <v>2860</v>
      </c>
      <c r="L9135" s="30" t="s">
        <v>2990</v>
      </c>
      <c r="N9135" s="30" t="s">
        <v>3262</v>
      </c>
      <c r="P9135" s="30" t="s">
        <v>15633</v>
      </c>
      <c r="Q9135" t="s">
        <v>621</v>
      </c>
      <c r="R9135" t="s">
        <v>917</v>
      </c>
      <c r="S9135">
        <v>39</v>
      </c>
      <c r="T9135" s="29" t="str">
        <f t="shared" si="386"/>
        <v>2023.001B.Leviviricetes_reorg.zip</v>
      </c>
      <c r="U9135" s="29" t="str">
        <f>HYPERLINK("https://ictv.global/taxonomy/taxondetails?taxnode_id=202316619","ictv.global=202316619")</f>
        <v>ictv.global=202316619</v>
      </c>
    </row>
    <row r="9136" spans="1:21">
      <c r="A9136">
        <v>9135</v>
      </c>
      <c r="B9136" s="30" t="s">
        <v>1226</v>
      </c>
      <c r="D9136" s="30" t="s">
        <v>2024</v>
      </c>
      <c r="F9136" s="30" t="s">
        <v>2046</v>
      </c>
      <c r="H9136" s="30" t="s">
        <v>2859</v>
      </c>
      <c r="J9136" s="30" t="s">
        <v>2860</v>
      </c>
      <c r="L9136" s="30" t="s">
        <v>2990</v>
      </c>
      <c r="N9136" s="30" t="s">
        <v>3262</v>
      </c>
      <c r="P9136" s="30" t="s">
        <v>15634</v>
      </c>
      <c r="Q9136" t="s">
        <v>621</v>
      </c>
      <c r="R9136" t="s">
        <v>917</v>
      </c>
      <c r="S9136">
        <v>39</v>
      </c>
      <c r="T9136" s="29" t="str">
        <f t="shared" si="386"/>
        <v>2023.001B.Leviviricetes_reorg.zip</v>
      </c>
      <c r="U9136" s="29" t="str">
        <f>HYPERLINK("https://ictv.global/taxonomy/taxondetails?taxnode_id=202316620","ictv.global=202316620")</f>
        <v>ictv.global=202316620</v>
      </c>
    </row>
    <row r="9137" spans="1:21">
      <c r="A9137">
        <v>9136</v>
      </c>
      <c r="B9137" s="30" t="s">
        <v>1226</v>
      </c>
      <c r="D9137" s="30" t="s">
        <v>2024</v>
      </c>
      <c r="F9137" s="30" t="s">
        <v>2046</v>
      </c>
      <c r="H9137" s="30" t="s">
        <v>2859</v>
      </c>
      <c r="J9137" s="30" t="s">
        <v>2860</v>
      </c>
      <c r="L9137" s="30" t="s">
        <v>2990</v>
      </c>
      <c r="N9137" s="30" t="s">
        <v>3262</v>
      </c>
      <c r="P9137" s="30" t="s">
        <v>15635</v>
      </c>
      <c r="Q9137" t="s">
        <v>621</v>
      </c>
      <c r="R9137" t="s">
        <v>917</v>
      </c>
      <c r="S9137">
        <v>39</v>
      </c>
      <c r="T9137" s="29" t="str">
        <f t="shared" si="386"/>
        <v>2023.001B.Leviviricetes_reorg.zip</v>
      </c>
      <c r="U9137" s="29" t="str">
        <f>HYPERLINK("https://ictv.global/taxonomy/taxondetails?taxnode_id=202316621","ictv.global=202316621")</f>
        <v>ictv.global=202316621</v>
      </c>
    </row>
    <row r="9138" spans="1:21">
      <c r="A9138">
        <v>9137</v>
      </c>
      <c r="B9138" s="30" t="s">
        <v>1226</v>
      </c>
      <c r="D9138" s="30" t="s">
        <v>2024</v>
      </c>
      <c r="F9138" s="30" t="s">
        <v>2046</v>
      </c>
      <c r="H9138" s="30" t="s">
        <v>2859</v>
      </c>
      <c r="J9138" s="30" t="s">
        <v>2860</v>
      </c>
      <c r="L9138" s="30" t="s">
        <v>2990</v>
      </c>
      <c r="N9138" s="30" t="s">
        <v>3262</v>
      </c>
      <c r="P9138" s="30" t="s">
        <v>15636</v>
      </c>
      <c r="Q9138" t="s">
        <v>621</v>
      </c>
      <c r="R9138" t="s">
        <v>917</v>
      </c>
      <c r="S9138">
        <v>39</v>
      </c>
      <c r="T9138" s="29" t="str">
        <f t="shared" si="386"/>
        <v>2023.001B.Leviviricetes_reorg.zip</v>
      </c>
      <c r="U9138" s="29" t="str">
        <f>HYPERLINK("https://ictv.global/taxonomy/taxondetails?taxnode_id=202316622","ictv.global=202316622")</f>
        <v>ictv.global=202316622</v>
      </c>
    </row>
    <row r="9139" spans="1:21">
      <c r="A9139">
        <v>9138</v>
      </c>
      <c r="B9139" s="30" t="s">
        <v>1226</v>
      </c>
      <c r="D9139" s="30" t="s">
        <v>2024</v>
      </c>
      <c r="F9139" s="30" t="s">
        <v>2046</v>
      </c>
      <c r="H9139" s="30" t="s">
        <v>2859</v>
      </c>
      <c r="J9139" s="30" t="s">
        <v>2860</v>
      </c>
      <c r="L9139" s="30" t="s">
        <v>2990</v>
      </c>
      <c r="N9139" s="30" t="s">
        <v>3262</v>
      </c>
      <c r="P9139" s="30" t="s">
        <v>15637</v>
      </c>
      <c r="Q9139" t="s">
        <v>621</v>
      </c>
      <c r="R9139" t="s">
        <v>917</v>
      </c>
      <c r="S9139">
        <v>39</v>
      </c>
      <c r="T9139" s="29" t="str">
        <f t="shared" si="386"/>
        <v>2023.001B.Leviviricetes_reorg.zip</v>
      </c>
      <c r="U9139" s="29" t="str">
        <f>HYPERLINK("https://ictv.global/taxonomy/taxondetails?taxnode_id=202316623","ictv.global=202316623")</f>
        <v>ictv.global=202316623</v>
      </c>
    </row>
    <row r="9140" spans="1:21">
      <c r="A9140">
        <v>9139</v>
      </c>
      <c r="B9140" s="30" t="s">
        <v>1226</v>
      </c>
      <c r="D9140" s="30" t="s">
        <v>2024</v>
      </c>
      <c r="F9140" s="30" t="s">
        <v>2046</v>
      </c>
      <c r="H9140" s="30" t="s">
        <v>2859</v>
      </c>
      <c r="J9140" s="30" t="s">
        <v>2860</v>
      </c>
      <c r="L9140" s="30" t="s">
        <v>2990</v>
      </c>
      <c r="N9140" s="30" t="s">
        <v>3262</v>
      </c>
      <c r="P9140" s="30" t="s">
        <v>15638</v>
      </c>
      <c r="Q9140" t="s">
        <v>621</v>
      </c>
      <c r="R9140" t="s">
        <v>917</v>
      </c>
      <c r="S9140">
        <v>39</v>
      </c>
      <c r="T9140" s="29" t="str">
        <f t="shared" si="386"/>
        <v>2023.001B.Leviviricetes_reorg.zip</v>
      </c>
      <c r="U9140" s="29" t="str">
        <f>HYPERLINK("https://ictv.global/taxonomy/taxondetails?taxnode_id=202316624","ictv.global=202316624")</f>
        <v>ictv.global=202316624</v>
      </c>
    </row>
    <row r="9141" spans="1:21">
      <c r="A9141">
        <v>9140</v>
      </c>
      <c r="B9141" s="30" t="s">
        <v>1226</v>
      </c>
      <c r="D9141" s="30" t="s">
        <v>2024</v>
      </c>
      <c r="F9141" s="30" t="s">
        <v>2046</v>
      </c>
      <c r="H9141" s="30" t="s">
        <v>2859</v>
      </c>
      <c r="J9141" s="30" t="s">
        <v>2860</v>
      </c>
      <c r="L9141" s="30" t="s">
        <v>2990</v>
      </c>
      <c r="N9141" s="30" t="s">
        <v>3262</v>
      </c>
      <c r="P9141" s="30" t="s">
        <v>15639</v>
      </c>
      <c r="Q9141" t="s">
        <v>621</v>
      </c>
      <c r="R9141" t="s">
        <v>917</v>
      </c>
      <c r="S9141">
        <v>39</v>
      </c>
      <c r="T9141" s="29" t="str">
        <f t="shared" si="386"/>
        <v>2023.001B.Leviviricetes_reorg.zip</v>
      </c>
      <c r="U9141" s="29" t="str">
        <f>HYPERLINK("https://ictv.global/taxonomy/taxondetails?taxnode_id=202316625","ictv.global=202316625")</f>
        <v>ictv.global=202316625</v>
      </c>
    </row>
    <row r="9142" spans="1:21">
      <c r="A9142">
        <v>9141</v>
      </c>
      <c r="B9142" s="30" t="s">
        <v>1226</v>
      </c>
      <c r="D9142" s="30" t="s">
        <v>2024</v>
      </c>
      <c r="F9142" s="30" t="s">
        <v>2046</v>
      </c>
      <c r="H9142" s="30" t="s">
        <v>2859</v>
      </c>
      <c r="J9142" s="30" t="s">
        <v>2860</v>
      </c>
      <c r="L9142" s="30" t="s">
        <v>2990</v>
      </c>
      <c r="N9142" s="30" t="s">
        <v>3262</v>
      </c>
      <c r="P9142" s="30" t="s">
        <v>15640</v>
      </c>
      <c r="Q9142" t="s">
        <v>621</v>
      </c>
      <c r="R9142" t="s">
        <v>917</v>
      </c>
      <c r="S9142">
        <v>39</v>
      </c>
      <c r="T9142" s="29" t="str">
        <f t="shared" si="386"/>
        <v>2023.001B.Leviviricetes_reorg.zip</v>
      </c>
      <c r="U9142" s="29" t="str">
        <f>HYPERLINK("https://ictv.global/taxonomy/taxondetails?taxnode_id=202316626","ictv.global=202316626")</f>
        <v>ictv.global=202316626</v>
      </c>
    </row>
    <row r="9143" spans="1:21">
      <c r="A9143">
        <v>9142</v>
      </c>
      <c r="B9143" s="30" t="s">
        <v>1226</v>
      </c>
      <c r="D9143" s="30" t="s">
        <v>2024</v>
      </c>
      <c r="F9143" s="30" t="s">
        <v>2046</v>
      </c>
      <c r="H9143" s="30" t="s">
        <v>2859</v>
      </c>
      <c r="J9143" s="30" t="s">
        <v>2860</v>
      </c>
      <c r="L9143" s="30" t="s">
        <v>2990</v>
      </c>
      <c r="N9143" s="30" t="s">
        <v>3262</v>
      </c>
      <c r="P9143" s="30" t="s">
        <v>15641</v>
      </c>
      <c r="Q9143" t="s">
        <v>621</v>
      </c>
      <c r="R9143" t="s">
        <v>917</v>
      </c>
      <c r="S9143">
        <v>39</v>
      </c>
      <c r="T9143" s="29" t="str">
        <f t="shared" si="386"/>
        <v>2023.001B.Leviviricetes_reorg.zip</v>
      </c>
      <c r="U9143" s="29" t="str">
        <f>HYPERLINK("https://ictv.global/taxonomy/taxondetails?taxnode_id=202316627","ictv.global=202316627")</f>
        <v>ictv.global=202316627</v>
      </c>
    </row>
    <row r="9144" spans="1:21">
      <c r="A9144">
        <v>9143</v>
      </c>
      <c r="B9144" s="30" t="s">
        <v>1226</v>
      </c>
      <c r="D9144" s="30" t="s">
        <v>2024</v>
      </c>
      <c r="F9144" s="30" t="s">
        <v>2046</v>
      </c>
      <c r="H9144" s="30" t="s">
        <v>2859</v>
      </c>
      <c r="J9144" s="30" t="s">
        <v>2860</v>
      </c>
      <c r="L9144" s="30" t="s">
        <v>2990</v>
      </c>
      <c r="N9144" s="30" t="s">
        <v>3262</v>
      </c>
      <c r="P9144" s="30" t="s">
        <v>15642</v>
      </c>
      <c r="Q9144" t="s">
        <v>621</v>
      </c>
      <c r="R9144" t="s">
        <v>917</v>
      </c>
      <c r="S9144">
        <v>39</v>
      </c>
      <c r="T9144" s="29" t="str">
        <f t="shared" si="386"/>
        <v>2023.001B.Leviviricetes_reorg.zip</v>
      </c>
      <c r="U9144" s="29" t="str">
        <f>HYPERLINK("https://ictv.global/taxonomy/taxondetails?taxnode_id=202316628","ictv.global=202316628")</f>
        <v>ictv.global=202316628</v>
      </c>
    </row>
    <row r="9145" spans="1:21">
      <c r="A9145">
        <v>9144</v>
      </c>
      <c r="B9145" s="30" t="s">
        <v>1226</v>
      </c>
      <c r="D9145" s="30" t="s">
        <v>2024</v>
      </c>
      <c r="F9145" s="30" t="s">
        <v>2046</v>
      </c>
      <c r="H9145" s="30" t="s">
        <v>2859</v>
      </c>
      <c r="J9145" s="30" t="s">
        <v>2860</v>
      </c>
      <c r="L9145" s="30" t="s">
        <v>2990</v>
      </c>
      <c r="N9145" s="30" t="s">
        <v>3262</v>
      </c>
      <c r="P9145" s="30" t="s">
        <v>15643</v>
      </c>
      <c r="Q9145" t="s">
        <v>621</v>
      </c>
      <c r="R9145" t="s">
        <v>917</v>
      </c>
      <c r="S9145">
        <v>39</v>
      </c>
      <c r="T9145" s="29" t="str">
        <f t="shared" si="386"/>
        <v>2023.001B.Leviviricetes_reorg.zip</v>
      </c>
      <c r="U9145" s="29" t="str">
        <f>HYPERLINK("https://ictv.global/taxonomy/taxondetails?taxnode_id=202316629","ictv.global=202316629")</f>
        <v>ictv.global=202316629</v>
      </c>
    </row>
    <row r="9146" spans="1:21">
      <c r="A9146">
        <v>9145</v>
      </c>
      <c r="B9146" s="30" t="s">
        <v>1226</v>
      </c>
      <c r="D9146" s="30" t="s">
        <v>2024</v>
      </c>
      <c r="F9146" s="30" t="s">
        <v>2046</v>
      </c>
      <c r="H9146" s="30" t="s">
        <v>2859</v>
      </c>
      <c r="J9146" s="30" t="s">
        <v>2860</v>
      </c>
      <c r="L9146" s="30" t="s">
        <v>2990</v>
      </c>
      <c r="N9146" s="30" t="s">
        <v>3262</v>
      </c>
      <c r="P9146" s="30" t="s">
        <v>15644</v>
      </c>
      <c r="Q9146" t="s">
        <v>621</v>
      </c>
      <c r="R9146" t="s">
        <v>917</v>
      </c>
      <c r="S9146">
        <v>39</v>
      </c>
      <c r="T9146" s="29" t="str">
        <f t="shared" si="386"/>
        <v>2023.001B.Leviviricetes_reorg.zip</v>
      </c>
      <c r="U9146" s="29" t="str">
        <f>HYPERLINK("https://ictv.global/taxonomy/taxondetails?taxnode_id=202316630","ictv.global=202316630")</f>
        <v>ictv.global=202316630</v>
      </c>
    </row>
    <row r="9147" spans="1:21">
      <c r="A9147">
        <v>9146</v>
      </c>
      <c r="B9147" s="30" t="s">
        <v>1226</v>
      </c>
      <c r="D9147" s="30" t="s">
        <v>2024</v>
      </c>
      <c r="F9147" s="30" t="s">
        <v>2046</v>
      </c>
      <c r="H9147" s="30" t="s">
        <v>2859</v>
      </c>
      <c r="J9147" s="30" t="s">
        <v>2860</v>
      </c>
      <c r="L9147" s="30" t="s">
        <v>2990</v>
      </c>
      <c r="N9147" s="30" t="s">
        <v>3262</v>
      </c>
      <c r="P9147" s="30" t="s">
        <v>15645</v>
      </c>
      <c r="Q9147" t="s">
        <v>621</v>
      </c>
      <c r="R9147" t="s">
        <v>917</v>
      </c>
      <c r="S9147">
        <v>39</v>
      </c>
      <c r="T9147" s="29" t="str">
        <f t="shared" si="386"/>
        <v>2023.001B.Leviviricetes_reorg.zip</v>
      </c>
      <c r="U9147" s="29" t="str">
        <f>HYPERLINK("https://ictv.global/taxonomy/taxondetails?taxnode_id=202316631","ictv.global=202316631")</f>
        <v>ictv.global=202316631</v>
      </c>
    </row>
    <row r="9148" spans="1:21">
      <c r="A9148">
        <v>9147</v>
      </c>
      <c r="B9148" s="30" t="s">
        <v>1226</v>
      </c>
      <c r="D9148" s="30" t="s">
        <v>2024</v>
      </c>
      <c r="F9148" s="30" t="s">
        <v>2046</v>
      </c>
      <c r="H9148" s="30" t="s">
        <v>2859</v>
      </c>
      <c r="J9148" s="30" t="s">
        <v>2860</v>
      </c>
      <c r="L9148" s="30" t="s">
        <v>2990</v>
      </c>
      <c r="N9148" s="30" t="s">
        <v>3262</v>
      </c>
      <c r="P9148" s="30" t="s">
        <v>15646</v>
      </c>
      <c r="Q9148" t="s">
        <v>621</v>
      </c>
      <c r="R9148" t="s">
        <v>917</v>
      </c>
      <c r="S9148">
        <v>39</v>
      </c>
      <c r="T9148" s="29" t="str">
        <f t="shared" si="386"/>
        <v>2023.001B.Leviviricetes_reorg.zip</v>
      </c>
      <c r="U9148" s="29" t="str">
        <f>HYPERLINK("https://ictv.global/taxonomy/taxondetails?taxnode_id=202316632","ictv.global=202316632")</f>
        <v>ictv.global=202316632</v>
      </c>
    </row>
    <row r="9149" spans="1:21">
      <c r="A9149">
        <v>9148</v>
      </c>
      <c r="B9149" s="30" t="s">
        <v>1226</v>
      </c>
      <c r="D9149" s="30" t="s">
        <v>2024</v>
      </c>
      <c r="F9149" s="30" t="s">
        <v>2046</v>
      </c>
      <c r="H9149" s="30" t="s">
        <v>2859</v>
      </c>
      <c r="J9149" s="30" t="s">
        <v>2860</v>
      </c>
      <c r="L9149" s="30" t="s">
        <v>2990</v>
      </c>
      <c r="N9149" s="30" t="s">
        <v>3262</v>
      </c>
      <c r="P9149" s="30" t="s">
        <v>3263</v>
      </c>
      <c r="Q9149" t="s">
        <v>621</v>
      </c>
      <c r="R9149" t="s">
        <v>917</v>
      </c>
      <c r="S9149">
        <v>36</v>
      </c>
      <c r="T9149" s="29" t="str">
        <f>HYPERLINK("https://ictv.global/ictv/proposals/2020.095B.R.Leviviricetes.zip","2020.095B.R.Leviviricetes.zip")</f>
        <v>2020.095B.R.Leviviricetes.zip</v>
      </c>
      <c r="U9149" s="29" t="str">
        <f>HYPERLINK("https://ictv.global/taxonomy/taxondetails?taxnode_id=202310586","ictv.global=202310586")</f>
        <v>ictv.global=202310586</v>
      </c>
    </row>
    <row r="9150" spans="1:21">
      <c r="A9150">
        <v>9149</v>
      </c>
      <c r="B9150" s="30" t="s">
        <v>1226</v>
      </c>
      <c r="D9150" s="30" t="s">
        <v>2024</v>
      </c>
      <c r="F9150" s="30" t="s">
        <v>2046</v>
      </c>
      <c r="H9150" s="30" t="s">
        <v>2859</v>
      </c>
      <c r="J9150" s="30" t="s">
        <v>2860</v>
      </c>
      <c r="L9150" s="30" t="s">
        <v>2990</v>
      </c>
      <c r="N9150" s="30" t="s">
        <v>3262</v>
      </c>
      <c r="P9150" s="30" t="s">
        <v>3264</v>
      </c>
      <c r="Q9150" t="s">
        <v>621</v>
      </c>
      <c r="R9150" t="s">
        <v>917</v>
      </c>
      <c r="S9150">
        <v>36</v>
      </c>
      <c r="T9150" s="29" t="str">
        <f>HYPERLINK("https://ictv.global/ictv/proposals/2020.095B.R.Leviviricetes.zip","2020.095B.R.Leviviricetes.zip")</f>
        <v>2020.095B.R.Leviviricetes.zip</v>
      </c>
      <c r="U9150" s="29" t="str">
        <f>HYPERLINK("https://ictv.global/taxonomy/taxondetails?taxnode_id=202310587","ictv.global=202310587")</f>
        <v>ictv.global=202310587</v>
      </c>
    </row>
    <row r="9151" spans="1:21">
      <c r="A9151">
        <v>9150</v>
      </c>
      <c r="B9151" s="30" t="s">
        <v>1226</v>
      </c>
      <c r="D9151" s="30" t="s">
        <v>2024</v>
      </c>
      <c r="F9151" s="30" t="s">
        <v>2046</v>
      </c>
      <c r="H9151" s="30" t="s">
        <v>2859</v>
      </c>
      <c r="J9151" s="30" t="s">
        <v>2860</v>
      </c>
      <c r="L9151" s="30" t="s">
        <v>2990</v>
      </c>
      <c r="N9151" s="30" t="s">
        <v>3262</v>
      </c>
      <c r="P9151" s="30" t="s">
        <v>3265</v>
      </c>
      <c r="Q9151" t="s">
        <v>621</v>
      </c>
      <c r="R9151" t="s">
        <v>917</v>
      </c>
      <c r="S9151">
        <v>36</v>
      </c>
      <c r="T9151" s="29" t="str">
        <f>HYPERLINK("https://ictv.global/ictv/proposals/2020.095B.R.Leviviricetes.zip","2020.095B.R.Leviviricetes.zip")</f>
        <v>2020.095B.R.Leviviricetes.zip</v>
      </c>
      <c r="U9151" s="29" t="str">
        <f>HYPERLINK("https://ictv.global/taxonomy/taxondetails?taxnode_id=202310588","ictv.global=202310588")</f>
        <v>ictv.global=202310588</v>
      </c>
    </row>
    <row r="9152" spans="1:21">
      <c r="A9152">
        <v>9151</v>
      </c>
      <c r="B9152" s="30" t="s">
        <v>1226</v>
      </c>
      <c r="D9152" s="30" t="s">
        <v>2024</v>
      </c>
      <c r="F9152" s="30" t="s">
        <v>2046</v>
      </c>
      <c r="H9152" s="30" t="s">
        <v>2859</v>
      </c>
      <c r="J9152" s="30" t="s">
        <v>2860</v>
      </c>
      <c r="L9152" s="30" t="s">
        <v>2990</v>
      </c>
      <c r="N9152" s="30" t="s">
        <v>15647</v>
      </c>
      <c r="P9152" s="30" t="s">
        <v>15648</v>
      </c>
      <c r="Q9152" t="s">
        <v>621</v>
      </c>
      <c r="R9152" t="s">
        <v>917</v>
      </c>
      <c r="S9152">
        <v>39</v>
      </c>
      <c r="T9152" s="29" t="str">
        <f>HYPERLINK("https://ictv.global/ictv/proposals/2023.001B.Leviviricetes_reorg.zip","2023.001B.Leviviricetes_reorg.zip")</f>
        <v>2023.001B.Leviviricetes_reorg.zip</v>
      </c>
      <c r="U9152" s="29" t="str">
        <f>HYPERLINK("https://ictv.global/taxonomy/taxondetails?taxnode_id=202316633","ictv.global=202316633")</f>
        <v>ictv.global=202316633</v>
      </c>
    </row>
    <row r="9153" spans="1:21">
      <c r="A9153">
        <v>9152</v>
      </c>
      <c r="B9153" s="30" t="s">
        <v>1226</v>
      </c>
      <c r="D9153" s="30" t="s">
        <v>2024</v>
      </c>
      <c r="F9153" s="30" t="s">
        <v>2046</v>
      </c>
      <c r="H9153" s="30" t="s">
        <v>2859</v>
      </c>
      <c r="J9153" s="30" t="s">
        <v>2860</v>
      </c>
      <c r="L9153" s="30" t="s">
        <v>2990</v>
      </c>
      <c r="N9153" s="30" t="s">
        <v>15649</v>
      </c>
      <c r="P9153" s="30" t="s">
        <v>15650</v>
      </c>
      <c r="Q9153" t="s">
        <v>621</v>
      </c>
      <c r="R9153" t="s">
        <v>917</v>
      </c>
      <c r="S9153">
        <v>39</v>
      </c>
      <c r="T9153" s="29" t="str">
        <f>HYPERLINK("https://ictv.global/ictv/proposals/2023.001B.Leviviricetes_reorg.zip","2023.001B.Leviviricetes_reorg.zip")</f>
        <v>2023.001B.Leviviricetes_reorg.zip</v>
      </c>
      <c r="U9153" s="29" t="str">
        <f>HYPERLINK("https://ictv.global/taxonomy/taxondetails?taxnode_id=202316634","ictv.global=202316634")</f>
        <v>ictv.global=202316634</v>
      </c>
    </row>
    <row r="9154" spans="1:21">
      <c r="A9154">
        <v>9153</v>
      </c>
      <c r="B9154" s="30" t="s">
        <v>1226</v>
      </c>
      <c r="D9154" s="30" t="s">
        <v>2024</v>
      </c>
      <c r="F9154" s="30" t="s">
        <v>2046</v>
      </c>
      <c r="H9154" s="30" t="s">
        <v>2859</v>
      </c>
      <c r="J9154" s="30" t="s">
        <v>2860</v>
      </c>
      <c r="L9154" s="30" t="s">
        <v>2990</v>
      </c>
      <c r="N9154" s="30" t="s">
        <v>15651</v>
      </c>
      <c r="P9154" s="30" t="s">
        <v>15652</v>
      </c>
      <c r="Q9154" t="s">
        <v>621</v>
      </c>
      <c r="R9154" t="s">
        <v>917</v>
      </c>
      <c r="S9154">
        <v>39</v>
      </c>
      <c r="T9154" s="29" t="str">
        <f>HYPERLINK("https://ictv.global/ictv/proposals/2023.001B.Leviviricetes_reorg.zip","2023.001B.Leviviricetes_reorg.zip")</f>
        <v>2023.001B.Leviviricetes_reorg.zip</v>
      </c>
      <c r="U9154" s="29" t="str">
        <f>HYPERLINK("https://ictv.global/taxonomy/taxondetails?taxnode_id=202316635","ictv.global=202316635")</f>
        <v>ictv.global=202316635</v>
      </c>
    </row>
    <row r="9155" spans="1:21">
      <c r="A9155">
        <v>9154</v>
      </c>
      <c r="B9155" s="30" t="s">
        <v>1226</v>
      </c>
      <c r="D9155" s="30" t="s">
        <v>2024</v>
      </c>
      <c r="F9155" s="30" t="s">
        <v>2046</v>
      </c>
      <c r="H9155" s="30" t="s">
        <v>2859</v>
      </c>
      <c r="J9155" s="30" t="s">
        <v>2860</v>
      </c>
      <c r="L9155" s="30" t="s">
        <v>2990</v>
      </c>
      <c r="N9155" s="30" t="s">
        <v>15651</v>
      </c>
      <c r="P9155" s="30" t="s">
        <v>15653</v>
      </c>
      <c r="Q9155" t="s">
        <v>621</v>
      </c>
      <c r="R9155" t="s">
        <v>917</v>
      </c>
      <c r="S9155">
        <v>39</v>
      </c>
      <c r="T9155" s="29" t="str">
        <f>HYPERLINK("https://ictv.global/ictv/proposals/2023.001B.Leviviricetes_reorg.zip","2023.001B.Leviviricetes_reorg.zip")</f>
        <v>2023.001B.Leviviricetes_reorg.zip</v>
      </c>
      <c r="U9155" s="29" t="str">
        <f>HYPERLINK("https://ictv.global/taxonomy/taxondetails?taxnode_id=202316636","ictv.global=202316636")</f>
        <v>ictv.global=202316636</v>
      </c>
    </row>
    <row r="9156" spans="1:21">
      <c r="A9156">
        <v>9155</v>
      </c>
      <c r="B9156" s="30" t="s">
        <v>1226</v>
      </c>
      <c r="D9156" s="30" t="s">
        <v>2024</v>
      </c>
      <c r="F9156" s="30" t="s">
        <v>2046</v>
      </c>
      <c r="H9156" s="30" t="s">
        <v>2859</v>
      </c>
      <c r="J9156" s="30" t="s">
        <v>2860</v>
      </c>
      <c r="L9156" s="30" t="s">
        <v>2990</v>
      </c>
      <c r="N9156" s="30" t="s">
        <v>3266</v>
      </c>
      <c r="P9156" s="30" t="s">
        <v>3267</v>
      </c>
      <c r="Q9156" t="s">
        <v>621</v>
      </c>
      <c r="R9156" t="s">
        <v>917</v>
      </c>
      <c r="S9156">
        <v>36</v>
      </c>
      <c r="T9156" s="29" t="str">
        <f>HYPERLINK("https://ictv.global/ictv/proposals/2020.095B.R.Leviviricetes.zip","2020.095B.R.Leviviricetes.zip")</f>
        <v>2020.095B.R.Leviviricetes.zip</v>
      </c>
      <c r="U9156" s="29" t="str">
        <f>HYPERLINK("https://ictv.global/taxonomy/taxondetails?taxnode_id=202310590","ictv.global=202310590")</f>
        <v>ictv.global=202310590</v>
      </c>
    </row>
    <row r="9157" spans="1:21">
      <c r="A9157">
        <v>9156</v>
      </c>
      <c r="B9157" s="30" t="s">
        <v>1226</v>
      </c>
      <c r="D9157" s="30" t="s">
        <v>2024</v>
      </c>
      <c r="F9157" s="30" t="s">
        <v>2046</v>
      </c>
      <c r="H9157" s="30" t="s">
        <v>2859</v>
      </c>
      <c r="J9157" s="30" t="s">
        <v>2860</v>
      </c>
      <c r="L9157" s="30" t="s">
        <v>2990</v>
      </c>
      <c r="N9157" s="30" t="s">
        <v>3268</v>
      </c>
      <c r="P9157" s="30" t="s">
        <v>3269</v>
      </c>
      <c r="Q9157" t="s">
        <v>621</v>
      </c>
      <c r="R9157" t="s">
        <v>917</v>
      </c>
      <c r="S9157">
        <v>36</v>
      </c>
      <c r="T9157" s="29" t="str">
        <f>HYPERLINK("https://ictv.global/ictv/proposals/2020.095B.R.Leviviricetes.zip","2020.095B.R.Leviviricetes.zip")</f>
        <v>2020.095B.R.Leviviricetes.zip</v>
      </c>
      <c r="U9157" s="29" t="str">
        <f>HYPERLINK("https://ictv.global/taxonomy/taxondetails?taxnode_id=202310592","ictv.global=202310592")</f>
        <v>ictv.global=202310592</v>
      </c>
    </row>
    <row r="9158" spans="1:21">
      <c r="A9158">
        <v>9157</v>
      </c>
      <c r="B9158" s="30" t="s">
        <v>1226</v>
      </c>
      <c r="D9158" s="30" t="s">
        <v>2024</v>
      </c>
      <c r="F9158" s="30" t="s">
        <v>2046</v>
      </c>
      <c r="H9158" s="30" t="s">
        <v>2859</v>
      </c>
      <c r="J9158" s="30" t="s">
        <v>2860</v>
      </c>
      <c r="L9158" s="30" t="s">
        <v>2990</v>
      </c>
      <c r="N9158" s="30" t="s">
        <v>15654</v>
      </c>
      <c r="P9158" s="30" t="s">
        <v>15655</v>
      </c>
      <c r="Q9158" t="s">
        <v>621</v>
      </c>
      <c r="R9158" t="s">
        <v>917</v>
      </c>
      <c r="S9158">
        <v>39</v>
      </c>
      <c r="T9158" s="29" t="str">
        <f>HYPERLINK("https://ictv.global/ictv/proposals/2023.001B.Leviviricetes_reorg.zip","2023.001B.Leviviricetes_reorg.zip")</f>
        <v>2023.001B.Leviviricetes_reorg.zip</v>
      </c>
      <c r="U9158" s="29" t="str">
        <f>HYPERLINK("https://ictv.global/taxonomy/taxondetails?taxnode_id=202316637","ictv.global=202316637")</f>
        <v>ictv.global=202316637</v>
      </c>
    </row>
    <row r="9159" spans="1:21">
      <c r="A9159">
        <v>9158</v>
      </c>
      <c r="B9159" s="30" t="s">
        <v>1226</v>
      </c>
      <c r="D9159" s="30" t="s">
        <v>2024</v>
      </c>
      <c r="F9159" s="30" t="s">
        <v>2046</v>
      </c>
      <c r="H9159" s="30" t="s">
        <v>2859</v>
      </c>
      <c r="J9159" s="30" t="s">
        <v>2860</v>
      </c>
      <c r="L9159" s="30" t="s">
        <v>2990</v>
      </c>
      <c r="N9159" s="30" t="s">
        <v>3270</v>
      </c>
      <c r="P9159" s="30" t="s">
        <v>3271</v>
      </c>
      <c r="Q9159" t="s">
        <v>621</v>
      </c>
      <c r="R9159" t="s">
        <v>917</v>
      </c>
      <c r="S9159">
        <v>36</v>
      </c>
      <c r="T9159" s="29" t="str">
        <f>HYPERLINK("https://ictv.global/ictv/proposals/2020.095B.R.Leviviricetes.zip","2020.095B.R.Leviviricetes.zip")</f>
        <v>2020.095B.R.Leviviricetes.zip</v>
      </c>
      <c r="U9159" s="29" t="str">
        <f>HYPERLINK("https://ictv.global/taxonomy/taxondetails?taxnode_id=202310594","ictv.global=202310594")</f>
        <v>ictv.global=202310594</v>
      </c>
    </row>
    <row r="9160" spans="1:21">
      <c r="A9160">
        <v>9159</v>
      </c>
      <c r="B9160" s="30" t="s">
        <v>1226</v>
      </c>
      <c r="D9160" s="30" t="s">
        <v>2024</v>
      </c>
      <c r="F9160" s="30" t="s">
        <v>2046</v>
      </c>
      <c r="H9160" s="30" t="s">
        <v>2859</v>
      </c>
      <c r="J9160" s="30" t="s">
        <v>2860</v>
      </c>
      <c r="L9160" s="30" t="s">
        <v>2990</v>
      </c>
      <c r="N9160" s="30" t="s">
        <v>3270</v>
      </c>
      <c r="P9160" s="30" t="s">
        <v>3272</v>
      </c>
      <c r="Q9160" t="s">
        <v>621</v>
      </c>
      <c r="R9160" t="s">
        <v>917</v>
      </c>
      <c r="S9160">
        <v>36</v>
      </c>
      <c r="T9160" s="29" t="str">
        <f>HYPERLINK("https://ictv.global/ictv/proposals/2020.095B.R.Leviviricetes.zip","2020.095B.R.Leviviricetes.zip")</f>
        <v>2020.095B.R.Leviviricetes.zip</v>
      </c>
      <c r="U9160" s="29" t="str">
        <f>HYPERLINK("https://ictv.global/taxonomy/taxondetails?taxnode_id=202310595","ictv.global=202310595")</f>
        <v>ictv.global=202310595</v>
      </c>
    </row>
    <row r="9161" spans="1:21">
      <c r="A9161">
        <v>9160</v>
      </c>
      <c r="B9161" s="30" t="s">
        <v>1226</v>
      </c>
      <c r="D9161" s="30" t="s">
        <v>2024</v>
      </c>
      <c r="F9161" s="30" t="s">
        <v>2046</v>
      </c>
      <c r="H9161" s="30" t="s">
        <v>2859</v>
      </c>
      <c r="J9161" s="30" t="s">
        <v>2860</v>
      </c>
      <c r="L9161" s="30" t="s">
        <v>2990</v>
      </c>
      <c r="N9161" s="30" t="s">
        <v>15656</v>
      </c>
      <c r="P9161" s="30" t="s">
        <v>15657</v>
      </c>
      <c r="Q9161" t="s">
        <v>621</v>
      </c>
      <c r="R9161" t="s">
        <v>917</v>
      </c>
      <c r="S9161">
        <v>39</v>
      </c>
      <c r="T9161" s="29" t="str">
        <f t="shared" ref="T9161:T9166" si="387">HYPERLINK("https://ictv.global/ictv/proposals/2023.001B.Leviviricetes_reorg.zip","2023.001B.Leviviricetes_reorg.zip")</f>
        <v>2023.001B.Leviviricetes_reorg.zip</v>
      </c>
      <c r="U9161" s="29" t="str">
        <f>HYPERLINK("https://ictv.global/taxonomy/taxondetails?taxnode_id=202316638","ictv.global=202316638")</f>
        <v>ictv.global=202316638</v>
      </c>
    </row>
    <row r="9162" spans="1:21">
      <c r="A9162">
        <v>9161</v>
      </c>
      <c r="B9162" s="30" t="s">
        <v>1226</v>
      </c>
      <c r="D9162" s="30" t="s">
        <v>2024</v>
      </c>
      <c r="F9162" s="30" t="s">
        <v>2046</v>
      </c>
      <c r="H9162" s="30" t="s">
        <v>2859</v>
      </c>
      <c r="J9162" s="30" t="s">
        <v>2860</v>
      </c>
      <c r="L9162" s="30" t="s">
        <v>2990</v>
      </c>
      <c r="N9162" s="30" t="s">
        <v>15658</v>
      </c>
      <c r="P9162" s="30" t="s">
        <v>15659</v>
      </c>
      <c r="Q9162" t="s">
        <v>621</v>
      </c>
      <c r="R9162" t="s">
        <v>917</v>
      </c>
      <c r="S9162">
        <v>39</v>
      </c>
      <c r="T9162" s="29" t="str">
        <f t="shared" si="387"/>
        <v>2023.001B.Leviviricetes_reorg.zip</v>
      </c>
      <c r="U9162" s="29" t="str">
        <f>HYPERLINK("https://ictv.global/taxonomy/taxondetails?taxnode_id=202316639","ictv.global=202316639")</f>
        <v>ictv.global=202316639</v>
      </c>
    </row>
    <row r="9163" spans="1:21">
      <c r="A9163">
        <v>9162</v>
      </c>
      <c r="B9163" s="30" t="s">
        <v>1226</v>
      </c>
      <c r="D9163" s="30" t="s">
        <v>2024</v>
      </c>
      <c r="F9163" s="30" t="s">
        <v>2046</v>
      </c>
      <c r="H9163" s="30" t="s">
        <v>2859</v>
      </c>
      <c r="J9163" s="30" t="s">
        <v>2860</v>
      </c>
      <c r="L9163" s="30" t="s">
        <v>2990</v>
      </c>
      <c r="N9163" s="30" t="s">
        <v>15660</v>
      </c>
      <c r="P9163" s="30" t="s">
        <v>15661</v>
      </c>
      <c r="Q9163" t="s">
        <v>621</v>
      </c>
      <c r="R9163" t="s">
        <v>917</v>
      </c>
      <c r="S9163">
        <v>39</v>
      </c>
      <c r="T9163" s="29" t="str">
        <f t="shared" si="387"/>
        <v>2023.001B.Leviviricetes_reorg.zip</v>
      </c>
      <c r="U9163" s="29" t="str">
        <f>HYPERLINK("https://ictv.global/taxonomy/taxondetails?taxnode_id=202316640","ictv.global=202316640")</f>
        <v>ictv.global=202316640</v>
      </c>
    </row>
    <row r="9164" spans="1:21">
      <c r="A9164">
        <v>9163</v>
      </c>
      <c r="B9164" s="30" t="s">
        <v>1226</v>
      </c>
      <c r="D9164" s="30" t="s">
        <v>2024</v>
      </c>
      <c r="F9164" s="30" t="s">
        <v>2046</v>
      </c>
      <c r="H9164" s="30" t="s">
        <v>2859</v>
      </c>
      <c r="J9164" s="30" t="s">
        <v>2860</v>
      </c>
      <c r="L9164" s="30" t="s">
        <v>2990</v>
      </c>
      <c r="N9164" s="30" t="s">
        <v>15660</v>
      </c>
      <c r="P9164" s="30" t="s">
        <v>15662</v>
      </c>
      <c r="Q9164" t="s">
        <v>621</v>
      </c>
      <c r="R9164" t="s">
        <v>917</v>
      </c>
      <c r="S9164">
        <v>39</v>
      </c>
      <c r="T9164" s="29" t="str">
        <f t="shared" si="387"/>
        <v>2023.001B.Leviviricetes_reorg.zip</v>
      </c>
      <c r="U9164" s="29" t="str">
        <f>HYPERLINK("https://ictv.global/taxonomy/taxondetails?taxnode_id=202316641","ictv.global=202316641")</f>
        <v>ictv.global=202316641</v>
      </c>
    </row>
    <row r="9165" spans="1:21">
      <c r="A9165">
        <v>9164</v>
      </c>
      <c r="B9165" s="30" t="s">
        <v>1226</v>
      </c>
      <c r="D9165" s="30" t="s">
        <v>2024</v>
      </c>
      <c r="F9165" s="30" t="s">
        <v>2046</v>
      </c>
      <c r="H9165" s="30" t="s">
        <v>2859</v>
      </c>
      <c r="J9165" s="30" t="s">
        <v>2860</v>
      </c>
      <c r="L9165" s="30" t="s">
        <v>2990</v>
      </c>
      <c r="N9165" s="30" t="s">
        <v>15663</v>
      </c>
      <c r="P9165" s="30" t="s">
        <v>15664</v>
      </c>
      <c r="Q9165" t="s">
        <v>621</v>
      </c>
      <c r="R9165" t="s">
        <v>918</v>
      </c>
      <c r="S9165">
        <v>39</v>
      </c>
      <c r="T9165" s="29" t="str">
        <f t="shared" si="387"/>
        <v>2023.001B.Leviviricetes_reorg.zip</v>
      </c>
      <c r="U9165" s="29" t="str">
        <f>HYPERLINK("https://ictv.global/taxonomy/taxondetails?taxnode_id=202310334","ictv.global=202310334")</f>
        <v>ictv.global=202310334</v>
      </c>
    </row>
    <row r="9166" spans="1:21">
      <c r="A9166">
        <v>9165</v>
      </c>
      <c r="B9166" s="30" t="s">
        <v>1226</v>
      </c>
      <c r="D9166" s="30" t="s">
        <v>2024</v>
      </c>
      <c r="F9166" s="30" t="s">
        <v>2046</v>
      </c>
      <c r="H9166" s="30" t="s">
        <v>2859</v>
      </c>
      <c r="J9166" s="30" t="s">
        <v>2860</v>
      </c>
      <c r="L9166" s="30" t="s">
        <v>2990</v>
      </c>
      <c r="N9166" s="30" t="s">
        <v>15665</v>
      </c>
      <c r="P9166" s="30" t="s">
        <v>15666</v>
      </c>
      <c r="Q9166" t="s">
        <v>621</v>
      </c>
      <c r="R9166" t="s">
        <v>917</v>
      </c>
      <c r="S9166">
        <v>39</v>
      </c>
      <c r="T9166" s="29" t="str">
        <f t="shared" si="387"/>
        <v>2023.001B.Leviviricetes_reorg.zip</v>
      </c>
      <c r="U9166" s="29" t="str">
        <f>HYPERLINK("https://ictv.global/taxonomy/taxondetails?taxnode_id=202316642","ictv.global=202316642")</f>
        <v>ictv.global=202316642</v>
      </c>
    </row>
    <row r="9167" spans="1:21">
      <c r="A9167">
        <v>9166</v>
      </c>
      <c r="B9167" s="30" t="s">
        <v>1226</v>
      </c>
      <c r="D9167" s="30" t="s">
        <v>2024</v>
      </c>
      <c r="F9167" s="30" t="s">
        <v>2046</v>
      </c>
      <c r="H9167" s="30" t="s">
        <v>2859</v>
      </c>
      <c r="J9167" s="30" t="s">
        <v>2860</v>
      </c>
      <c r="L9167" s="30" t="s">
        <v>2990</v>
      </c>
      <c r="N9167" s="30" t="s">
        <v>3273</v>
      </c>
      <c r="P9167" s="30" t="s">
        <v>3274</v>
      </c>
      <c r="Q9167" t="s">
        <v>621</v>
      </c>
      <c r="R9167" t="s">
        <v>917</v>
      </c>
      <c r="S9167">
        <v>36</v>
      </c>
      <c r="T9167" s="29" t="str">
        <f>HYPERLINK("https://ictv.global/ictv/proposals/2020.095B.R.Leviviricetes.zip","2020.095B.R.Leviviricetes.zip")</f>
        <v>2020.095B.R.Leviviricetes.zip</v>
      </c>
      <c r="U9167" s="29" t="str">
        <f>HYPERLINK("https://ictv.global/taxonomy/taxondetails?taxnode_id=202310597","ictv.global=202310597")</f>
        <v>ictv.global=202310597</v>
      </c>
    </row>
    <row r="9168" spans="1:21">
      <c r="A9168">
        <v>9167</v>
      </c>
      <c r="B9168" s="30" t="s">
        <v>1226</v>
      </c>
      <c r="D9168" s="30" t="s">
        <v>2024</v>
      </c>
      <c r="F9168" s="30" t="s">
        <v>2046</v>
      </c>
      <c r="H9168" s="30" t="s">
        <v>2859</v>
      </c>
      <c r="J9168" s="30" t="s">
        <v>2860</v>
      </c>
      <c r="L9168" s="30" t="s">
        <v>2990</v>
      </c>
      <c r="N9168" s="30" t="s">
        <v>15667</v>
      </c>
      <c r="P9168" s="30" t="s">
        <v>15668</v>
      </c>
      <c r="Q9168" t="s">
        <v>621</v>
      </c>
      <c r="R9168" t="s">
        <v>917</v>
      </c>
      <c r="S9168">
        <v>39</v>
      </c>
      <c r="T9168" s="29" t="str">
        <f t="shared" ref="T9168:T9176" si="388">HYPERLINK("https://ictv.global/ictv/proposals/2023.001B.Leviviricetes_reorg.zip","2023.001B.Leviviricetes_reorg.zip")</f>
        <v>2023.001B.Leviviricetes_reorg.zip</v>
      </c>
      <c r="U9168" s="29" t="str">
        <f>HYPERLINK("https://ictv.global/taxonomy/taxondetails?taxnode_id=202316643","ictv.global=202316643")</f>
        <v>ictv.global=202316643</v>
      </c>
    </row>
    <row r="9169" spans="1:21">
      <c r="A9169">
        <v>9168</v>
      </c>
      <c r="B9169" s="30" t="s">
        <v>1226</v>
      </c>
      <c r="D9169" s="30" t="s">
        <v>2024</v>
      </c>
      <c r="F9169" s="30" t="s">
        <v>2046</v>
      </c>
      <c r="H9169" s="30" t="s">
        <v>2859</v>
      </c>
      <c r="J9169" s="30" t="s">
        <v>2860</v>
      </c>
      <c r="L9169" s="30" t="s">
        <v>2990</v>
      </c>
      <c r="N9169" s="30" t="s">
        <v>15669</v>
      </c>
      <c r="P9169" s="30" t="s">
        <v>15670</v>
      </c>
      <c r="Q9169" t="s">
        <v>621</v>
      </c>
      <c r="R9169" t="s">
        <v>917</v>
      </c>
      <c r="S9169">
        <v>39</v>
      </c>
      <c r="T9169" s="29" t="str">
        <f t="shared" si="388"/>
        <v>2023.001B.Leviviricetes_reorg.zip</v>
      </c>
      <c r="U9169" s="29" t="str">
        <f>HYPERLINK("https://ictv.global/taxonomy/taxondetails?taxnode_id=202316644","ictv.global=202316644")</f>
        <v>ictv.global=202316644</v>
      </c>
    </row>
    <row r="9170" spans="1:21">
      <c r="A9170">
        <v>9169</v>
      </c>
      <c r="B9170" s="30" t="s">
        <v>1226</v>
      </c>
      <c r="D9170" s="30" t="s">
        <v>2024</v>
      </c>
      <c r="F9170" s="30" t="s">
        <v>2046</v>
      </c>
      <c r="H9170" s="30" t="s">
        <v>2859</v>
      </c>
      <c r="J9170" s="30" t="s">
        <v>2860</v>
      </c>
      <c r="L9170" s="30" t="s">
        <v>2990</v>
      </c>
      <c r="N9170" s="30" t="s">
        <v>15671</v>
      </c>
      <c r="P9170" s="30" t="s">
        <v>15672</v>
      </c>
      <c r="Q9170" t="s">
        <v>621</v>
      </c>
      <c r="R9170" t="s">
        <v>917</v>
      </c>
      <c r="S9170">
        <v>39</v>
      </c>
      <c r="T9170" s="29" t="str">
        <f t="shared" si="388"/>
        <v>2023.001B.Leviviricetes_reorg.zip</v>
      </c>
      <c r="U9170" s="29" t="str">
        <f>HYPERLINK("https://ictv.global/taxonomy/taxondetails?taxnode_id=202316645","ictv.global=202316645")</f>
        <v>ictv.global=202316645</v>
      </c>
    </row>
    <row r="9171" spans="1:21">
      <c r="A9171">
        <v>9170</v>
      </c>
      <c r="B9171" s="30" t="s">
        <v>1226</v>
      </c>
      <c r="D9171" s="30" t="s">
        <v>2024</v>
      </c>
      <c r="F9171" s="30" t="s">
        <v>2046</v>
      </c>
      <c r="H9171" s="30" t="s">
        <v>2859</v>
      </c>
      <c r="J9171" s="30" t="s">
        <v>2860</v>
      </c>
      <c r="L9171" s="30" t="s">
        <v>2990</v>
      </c>
      <c r="N9171" s="30" t="s">
        <v>15673</v>
      </c>
      <c r="P9171" s="30" t="s">
        <v>15674</v>
      </c>
      <c r="Q9171" t="s">
        <v>621</v>
      </c>
      <c r="R9171" t="s">
        <v>917</v>
      </c>
      <c r="S9171">
        <v>39</v>
      </c>
      <c r="T9171" s="29" t="str">
        <f t="shared" si="388"/>
        <v>2023.001B.Leviviricetes_reorg.zip</v>
      </c>
      <c r="U9171" s="29" t="str">
        <f>HYPERLINK("https://ictv.global/taxonomy/taxondetails?taxnode_id=202316646","ictv.global=202316646")</f>
        <v>ictv.global=202316646</v>
      </c>
    </row>
    <row r="9172" spans="1:21">
      <c r="A9172">
        <v>9171</v>
      </c>
      <c r="B9172" s="30" t="s">
        <v>1226</v>
      </c>
      <c r="D9172" s="30" t="s">
        <v>2024</v>
      </c>
      <c r="F9172" s="30" t="s">
        <v>2046</v>
      </c>
      <c r="H9172" s="30" t="s">
        <v>2859</v>
      </c>
      <c r="J9172" s="30" t="s">
        <v>2860</v>
      </c>
      <c r="L9172" s="30" t="s">
        <v>2990</v>
      </c>
      <c r="N9172" s="30" t="s">
        <v>15673</v>
      </c>
      <c r="P9172" s="30" t="s">
        <v>15675</v>
      </c>
      <c r="Q9172" t="s">
        <v>621</v>
      </c>
      <c r="R9172" t="s">
        <v>917</v>
      </c>
      <c r="S9172">
        <v>39</v>
      </c>
      <c r="T9172" s="29" t="str">
        <f t="shared" si="388"/>
        <v>2023.001B.Leviviricetes_reorg.zip</v>
      </c>
      <c r="U9172" s="29" t="str">
        <f>HYPERLINK("https://ictv.global/taxonomy/taxondetails?taxnode_id=202316647","ictv.global=202316647")</f>
        <v>ictv.global=202316647</v>
      </c>
    </row>
    <row r="9173" spans="1:21">
      <c r="A9173">
        <v>9172</v>
      </c>
      <c r="B9173" s="30" t="s">
        <v>1226</v>
      </c>
      <c r="D9173" s="30" t="s">
        <v>2024</v>
      </c>
      <c r="F9173" s="30" t="s">
        <v>2046</v>
      </c>
      <c r="H9173" s="30" t="s">
        <v>2859</v>
      </c>
      <c r="J9173" s="30" t="s">
        <v>2860</v>
      </c>
      <c r="L9173" s="30" t="s">
        <v>2990</v>
      </c>
      <c r="N9173" s="30" t="s">
        <v>15673</v>
      </c>
      <c r="P9173" s="30" t="s">
        <v>15676</v>
      </c>
      <c r="Q9173" t="s">
        <v>621</v>
      </c>
      <c r="R9173" t="s">
        <v>917</v>
      </c>
      <c r="S9173">
        <v>39</v>
      </c>
      <c r="T9173" s="29" t="str">
        <f t="shared" si="388"/>
        <v>2023.001B.Leviviricetes_reorg.zip</v>
      </c>
      <c r="U9173" s="29" t="str">
        <f>HYPERLINK("https://ictv.global/taxonomy/taxondetails?taxnode_id=202316648","ictv.global=202316648")</f>
        <v>ictv.global=202316648</v>
      </c>
    </row>
    <row r="9174" spans="1:21">
      <c r="A9174">
        <v>9173</v>
      </c>
      <c r="B9174" s="30" t="s">
        <v>1226</v>
      </c>
      <c r="D9174" s="30" t="s">
        <v>2024</v>
      </c>
      <c r="F9174" s="30" t="s">
        <v>2046</v>
      </c>
      <c r="H9174" s="30" t="s">
        <v>2859</v>
      </c>
      <c r="J9174" s="30" t="s">
        <v>2860</v>
      </c>
      <c r="L9174" s="30" t="s">
        <v>2990</v>
      </c>
      <c r="N9174" s="30" t="s">
        <v>15677</v>
      </c>
      <c r="P9174" s="30" t="s">
        <v>15678</v>
      </c>
      <c r="Q9174" t="s">
        <v>621</v>
      </c>
      <c r="R9174" t="s">
        <v>917</v>
      </c>
      <c r="S9174">
        <v>39</v>
      </c>
      <c r="T9174" s="29" t="str">
        <f t="shared" si="388"/>
        <v>2023.001B.Leviviricetes_reorg.zip</v>
      </c>
      <c r="U9174" s="29" t="str">
        <f>HYPERLINK("https://ictv.global/taxonomy/taxondetails?taxnode_id=202316649","ictv.global=202316649")</f>
        <v>ictv.global=202316649</v>
      </c>
    </row>
    <row r="9175" spans="1:21">
      <c r="A9175">
        <v>9174</v>
      </c>
      <c r="B9175" s="30" t="s">
        <v>1226</v>
      </c>
      <c r="D9175" s="30" t="s">
        <v>2024</v>
      </c>
      <c r="F9175" s="30" t="s">
        <v>2046</v>
      </c>
      <c r="H9175" s="30" t="s">
        <v>2859</v>
      </c>
      <c r="J9175" s="30" t="s">
        <v>2860</v>
      </c>
      <c r="L9175" s="30" t="s">
        <v>2990</v>
      </c>
      <c r="N9175" s="30" t="s">
        <v>15679</v>
      </c>
      <c r="P9175" s="30" t="s">
        <v>15680</v>
      </c>
      <c r="Q9175" t="s">
        <v>621</v>
      </c>
      <c r="R9175" t="s">
        <v>917</v>
      </c>
      <c r="S9175">
        <v>39</v>
      </c>
      <c r="T9175" s="29" t="str">
        <f t="shared" si="388"/>
        <v>2023.001B.Leviviricetes_reorg.zip</v>
      </c>
      <c r="U9175" s="29" t="str">
        <f>HYPERLINK("https://ictv.global/taxonomy/taxondetails?taxnode_id=202316650","ictv.global=202316650")</f>
        <v>ictv.global=202316650</v>
      </c>
    </row>
    <row r="9176" spans="1:21">
      <c r="A9176">
        <v>9175</v>
      </c>
      <c r="B9176" s="30" t="s">
        <v>1226</v>
      </c>
      <c r="D9176" s="30" t="s">
        <v>2024</v>
      </c>
      <c r="F9176" s="30" t="s">
        <v>2046</v>
      </c>
      <c r="H9176" s="30" t="s">
        <v>2859</v>
      </c>
      <c r="J9176" s="30" t="s">
        <v>2860</v>
      </c>
      <c r="L9176" s="30" t="s">
        <v>2990</v>
      </c>
      <c r="N9176" s="30" t="s">
        <v>15681</v>
      </c>
      <c r="P9176" s="30" t="s">
        <v>15682</v>
      </c>
      <c r="Q9176" t="s">
        <v>621</v>
      </c>
      <c r="R9176" t="s">
        <v>917</v>
      </c>
      <c r="S9176">
        <v>39</v>
      </c>
      <c r="T9176" s="29" t="str">
        <f t="shared" si="388"/>
        <v>2023.001B.Leviviricetes_reorg.zip</v>
      </c>
      <c r="U9176" s="29" t="str">
        <f>HYPERLINK("https://ictv.global/taxonomy/taxondetails?taxnode_id=202316651","ictv.global=202316651")</f>
        <v>ictv.global=202316651</v>
      </c>
    </row>
    <row r="9177" spans="1:21">
      <c r="A9177">
        <v>9176</v>
      </c>
      <c r="B9177" s="30" t="s">
        <v>1226</v>
      </c>
      <c r="D9177" s="30" t="s">
        <v>2024</v>
      </c>
      <c r="F9177" s="30" t="s">
        <v>2046</v>
      </c>
      <c r="H9177" s="30" t="s">
        <v>2859</v>
      </c>
      <c r="J9177" s="30" t="s">
        <v>2860</v>
      </c>
      <c r="L9177" s="30" t="s">
        <v>2990</v>
      </c>
      <c r="N9177" s="30" t="s">
        <v>3275</v>
      </c>
      <c r="P9177" s="30" t="s">
        <v>3276</v>
      </c>
      <c r="Q9177" t="s">
        <v>621</v>
      </c>
      <c r="R9177" t="s">
        <v>917</v>
      </c>
      <c r="S9177">
        <v>36</v>
      </c>
      <c r="T9177" s="29" t="str">
        <f>HYPERLINK("https://ictv.global/ictv/proposals/2020.095B.R.Leviviricetes.zip","2020.095B.R.Leviviricetes.zip")</f>
        <v>2020.095B.R.Leviviricetes.zip</v>
      </c>
      <c r="U9177" s="29" t="str">
        <f>HYPERLINK("https://ictv.global/taxonomy/taxondetails?taxnode_id=202310602","ictv.global=202310602")</f>
        <v>ictv.global=202310602</v>
      </c>
    </row>
    <row r="9178" spans="1:21">
      <c r="A9178">
        <v>9177</v>
      </c>
      <c r="B9178" s="30" t="s">
        <v>1226</v>
      </c>
      <c r="D9178" s="30" t="s">
        <v>2024</v>
      </c>
      <c r="F9178" s="30" t="s">
        <v>2046</v>
      </c>
      <c r="H9178" s="30" t="s">
        <v>2859</v>
      </c>
      <c r="J9178" s="30" t="s">
        <v>2860</v>
      </c>
      <c r="L9178" s="30" t="s">
        <v>2990</v>
      </c>
      <c r="N9178" s="30" t="s">
        <v>15683</v>
      </c>
      <c r="P9178" s="30" t="s">
        <v>15684</v>
      </c>
      <c r="Q9178" t="s">
        <v>621</v>
      </c>
      <c r="R9178" t="s">
        <v>917</v>
      </c>
      <c r="S9178">
        <v>39</v>
      </c>
      <c r="T9178" s="29" t="str">
        <f>HYPERLINK("https://ictv.global/ictv/proposals/2023.001B.Leviviricetes_reorg.zip","2023.001B.Leviviricetes_reorg.zip")</f>
        <v>2023.001B.Leviviricetes_reorg.zip</v>
      </c>
      <c r="U9178" s="29" t="str">
        <f>HYPERLINK("https://ictv.global/taxonomy/taxondetails?taxnode_id=202316652","ictv.global=202316652")</f>
        <v>ictv.global=202316652</v>
      </c>
    </row>
    <row r="9179" spans="1:21">
      <c r="A9179">
        <v>9178</v>
      </c>
      <c r="B9179" s="30" t="s">
        <v>1226</v>
      </c>
      <c r="D9179" s="30" t="s">
        <v>2024</v>
      </c>
      <c r="F9179" s="30" t="s">
        <v>2046</v>
      </c>
      <c r="H9179" s="30" t="s">
        <v>2859</v>
      </c>
      <c r="J9179" s="30" t="s">
        <v>2860</v>
      </c>
      <c r="L9179" s="30" t="s">
        <v>2990</v>
      </c>
      <c r="N9179" s="30" t="s">
        <v>15683</v>
      </c>
      <c r="P9179" s="30" t="s">
        <v>15685</v>
      </c>
      <c r="Q9179" t="s">
        <v>621</v>
      </c>
      <c r="R9179" t="s">
        <v>917</v>
      </c>
      <c r="S9179">
        <v>39</v>
      </c>
      <c r="T9179" s="29" t="str">
        <f>HYPERLINK("https://ictv.global/ictv/proposals/2023.001B.Leviviricetes_reorg.zip","2023.001B.Leviviricetes_reorg.zip")</f>
        <v>2023.001B.Leviviricetes_reorg.zip</v>
      </c>
      <c r="U9179" s="29" t="str">
        <f>HYPERLINK("https://ictv.global/taxonomy/taxondetails?taxnode_id=202316653","ictv.global=202316653")</f>
        <v>ictv.global=202316653</v>
      </c>
    </row>
    <row r="9180" spans="1:21">
      <c r="A9180">
        <v>9179</v>
      </c>
      <c r="B9180" s="30" t="s">
        <v>1226</v>
      </c>
      <c r="D9180" s="30" t="s">
        <v>2024</v>
      </c>
      <c r="F9180" s="30" t="s">
        <v>2046</v>
      </c>
      <c r="H9180" s="30" t="s">
        <v>2859</v>
      </c>
      <c r="J9180" s="30" t="s">
        <v>2860</v>
      </c>
      <c r="L9180" s="30" t="s">
        <v>2990</v>
      </c>
      <c r="N9180" s="30" t="s">
        <v>3277</v>
      </c>
      <c r="P9180" s="30" t="s">
        <v>3278</v>
      </c>
      <c r="Q9180" t="s">
        <v>621</v>
      </c>
      <c r="R9180" t="s">
        <v>917</v>
      </c>
      <c r="S9180">
        <v>36</v>
      </c>
      <c r="T9180" s="29" t="str">
        <f>HYPERLINK("https://ictv.global/ictv/proposals/2020.095B.R.Leviviricetes.zip","2020.095B.R.Leviviricetes.zip")</f>
        <v>2020.095B.R.Leviviricetes.zip</v>
      </c>
      <c r="U9180" s="29" t="str">
        <f>HYPERLINK("https://ictv.global/taxonomy/taxondetails?taxnode_id=202310604","ictv.global=202310604")</f>
        <v>ictv.global=202310604</v>
      </c>
    </row>
    <row r="9181" spans="1:21">
      <c r="A9181">
        <v>9180</v>
      </c>
      <c r="B9181" s="30" t="s">
        <v>1226</v>
      </c>
      <c r="D9181" s="30" t="s">
        <v>2024</v>
      </c>
      <c r="F9181" s="30" t="s">
        <v>2046</v>
      </c>
      <c r="H9181" s="30" t="s">
        <v>2859</v>
      </c>
      <c r="J9181" s="30" t="s">
        <v>2860</v>
      </c>
      <c r="L9181" s="30" t="s">
        <v>2990</v>
      </c>
      <c r="N9181" s="30" t="s">
        <v>3279</v>
      </c>
      <c r="P9181" s="30" t="s">
        <v>3280</v>
      </c>
      <c r="Q9181" t="s">
        <v>621</v>
      </c>
      <c r="R9181" t="s">
        <v>917</v>
      </c>
      <c r="S9181">
        <v>36</v>
      </c>
      <c r="T9181" s="29" t="str">
        <f>HYPERLINK("https://ictv.global/ictv/proposals/2020.095B.R.Leviviricetes.zip","2020.095B.R.Leviviricetes.zip")</f>
        <v>2020.095B.R.Leviviricetes.zip</v>
      </c>
      <c r="U9181" s="29" t="str">
        <f>HYPERLINK("https://ictv.global/taxonomy/taxondetails?taxnode_id=202310606","ictv.global=202310606")</f>
        <v>ictv.global=202310606</v>
      </c>
    </row>
    <row r="9182" spans="1:21">
      <c r="A9182">
        <v>9181</v>
      </c>
      <c r="B9182" s="30" t="s">
        <v>1226</v>
      </c>
      <c r="D9182" s="30" t="s">
        <v>2024</v>
      </c>
      <c r="F9182" s="30" t="s">
        <v>2046</v>
      </c>
      <c r="H9182" s="30" t="s">
        <v>2859</v>
      </c>
      <c r="J9182" s="30" t="s">
        <v>2860</v>
      </c>
      <c r="L9182" s="30" t="s">
        <v>2990</v>
      </c>
      <c r="N9182" s="30" t="s">
        <v>15686</v>
      </c>
      <c r="P9182" s="30" t="s">
        <v>15687</v>
      </c>
      <c r="Q9182" t="s">
        <v>621</v>
      </c>
      <c r="R9182" t="s">
        <v>917</v>
      </c>
      <c r="S9182">
        <v>39</v>
      </c>
      <c r="T9182" s="29" t="str">
        <f>HYPERLINK("https://ictv.global/ictv/proposals/2023.001B.Leviviricetes_reorg.zip","2023.001B.Leviviricetes_reorg.zip")</f>
        <v>2023.001B.Leviviricetes_reorg.zip</v>
      </c>
      <c r="U9182" s="29" t="str">
        <f>HYPERLINK("https://ictv.global/taxonomy/taxondetails?taxnode_id=202316654","ictv.global=202316654")</f>
        <v>ictv.global=202316654</v>
      </c>
    </row>
    <row r="9183" spans="1:21">
      <c r="A9183">
        <v>9182</v>
      </c>
      <c r="B9183" s="30" t="s">
        <v>1226</v>
      </c>
      <c r="D9183" s="30" t="s">
        <v>2024</v>
      </c>
      <c r="F9183" s="30" t="s">
        <v>2046</v>
      </c>
      <c r="H9183" s="30" t="s">
        <v>2859</v>
      </c>
      <c r="J9183" s="30" t="s">
        <v>2860</v>
      </c>
      <c r="L9183" s="30" t="s">
        <v>2990</v>
      </c>
      <c r="N9183" s="30" t="s">
        <v>15688</v>
      </c>
      <c r="P9183" s="30" t="s">
        <v>15689</v>
      </c>
      <c r="Q9183" t="s">
        <v>621</v>
      </c>
      <c r="R9183" t="s">
        <v>917</v>
      </c>
      <c r="S9183">
        <v>39</v>
      </c>
      <c r="T9183" s="29" t="str">
        <f>HYPERLINK("https://ictv.global/ictv/proposals/2023.001B.Leviviricetes_reorg.zip","2023.001B.Leviviricetes_reorg.zip")</f>
        <v>2023.001B.Leviviricetes_reorg.zip</v>
      </c>
      <c r="U9183" s="29" t="str">
        <f>HYPERLINK("https://ictv.global/taxonomy/taxondetails?taxnode_id=202316655","ictv.global=202316655")</f>
        <v>ictv.global=202316655</v>
      </c>
    </row>
    <row r="9184" spans="1:21">
      <c r="A9184">
        <v>9183</v>
      </c>
      <c r="B9184" s="30" t="s">
        <v>1226</v>
      </c>
      <c r="D9184" s="30" t="s">
        <v>2024</v>
      </c>
      <c r="F9184" s="30" t="s">
        <v>2046</v>
      </c>
      <c r="H9184" s="30" t="s">
        <v>2859</v>
      </c>
      <c r="J9184" s="30" t="s">
        <v>2860</v>
      </c>
      <c r="L9184" s="30" t="s">
        <v>2990</v>
      </c>
      <c r="N9184" s="30" t="s">
        <v>15688</v>
      </c>
      <c r="P9184" s="30" t="s">
        <v>15690</v>
      </c>
      <c r="Q9184" t="s">
        <v>621</v>
      </c>
      <c r="R9184" t="s">
        <v>917</v>
      </c>
      <c r="S9184">
        <v>39</v>
      </c>
      <c r="T9184" s="29" t="str">
        <f>HYPERLINK("https://ictv.global/ictv/proposals/2023.001B.Leviviricetes_reorg.zip","2023.001B.Leviviricetes_reorg.zip")</f>
        <v>2023.001B.Leviviricetes_reorg.zip</v>
      </c>
      <c r="U9184" s="29" t="str">
        <f>HYPERLINK("https://ictv.global/taxonomy/taxondetails?taxnode_id=202316656","ictv.global=202316656")</f>
        <v>ictv.global=202316656</v>
      </c>
    </row>
    <row r="9185" spans="1:21">
      <c r="A9185">
        <v>9184</v>
      </c>
      <c r="B9185" s="30" t="s">
        <v>1226</v>
      </c>
      <c r="D9185" s="30" t="s">
        <v>2024</v>
      </c>
      <c r="F9185" s="30" t="s">
        <v>2046</v>
      </c>
      <c r="H9185" s="30" t="s">
        <v>2859</v>
      </c>
      <c r="J9185" s="30" t="s">
        <v>2860</v>
      </c>
      <c r="L9185" s="30" t="s">
        <v>2990</v>
      </c>
      <c r="N9185" s="30" t="s">
        <v>3281</v>
      </c>
      <c r="P9185" s="30" t="s">
        <v>15691</v>
      </c>
      <c r="Q9185" t="s">
        <v>621</v>
      </c>
      <c r="R9185" t="s">
        <v>917</v>
      </c>
      <c r="S9185">
        <v>39</v>
      </c>
      <c r="T9185" s="29" t="str">
        <f>HYPERLINK("https://ictv.global/ictv/proposals/2023.001B.Leviviricetes_reorg.zip","2023.001B.Leviviricetes_reorg.zip")</f>
        <v>2023.001B.Leviviricetes_reorg.zip</v>
      </c>
      <c r="U9185" s="29" t="str">
        <f>HYPERLINK("https://ictv.global/taxonomy/taxondetails?taxnode_id=202316657","ictv.global=202316657")</f>
        <v>ictv.global=202316657</v>
      </c>
    </row>
    <row r="9186" spans="1:21">
      <c r="A9186">
        <v>9185</v>
      </c>
      <c r="B9186" s="30" t="s">
        <v>1226</v>
      </c>
      <c r="D9186" s="30" t="s">
        <v>2024</v>
      </c>
      <c r="F9186" s="30" t="s">
        <v>2046</v>
      </c>
      <c r="H9186" s="30" t="s">
        <v>2859</v>
      </c>
      <c r="J9186" s="30" t="s">
        <v>2860</v>
      </c>
      <c r="L9186" s="30" t="s">
        <v>2990</v>
      </c>
      <c r="N9186" s="30" t="s">
        <v>3281</v>
      </c>
      <c r="P9186" s="30" t="s">
        <v>3282</v>
      </c>
      <c r="Q9186" t="s">
        <v>621</v>
      </c>
      <c r="R9186" t="s">
        <v>917</v>
      </c>
      <c r="S9186">
        <v>36</v>
      </c>
      <c r="T9186" s="29" t="str">
        <f>HYPERLINK("https://ictv.global/ictv/proposals/2020.095B.R.Leviviricetes.zip","2020.095B.R.Leviviricetes.zip")</f>
        <v>2020.095B.R.Leviviricetes.zip</v>
      </c>
      <c r="U9186" s="29" t="str">
        <f>HYPERLINK("https://ictv.global/taxonomy/taxondetails?taxnode_id=202310608","ictv.global=202310608")</f>
        <v>ictv.global=202310608</v>
      </c>
    </row>
    <row r="9187" spans="1:21">
      <c r="A9187">
        <v>9186</v>
      </c>
      <c r="B9187" s="30" t="s">
        <v>1226</v>
      </c>
      <c r="D9187" s="30" t="s">
        <v>2024</v>
      </c>
      <c r="F9187" s="30" t="s">
        <v>2046</v>
      </c>
      <c r="H9187" s="30" t="s">
        <v>2859</v>
      </c>
      <c r="J9187" s="30" t="s">
        <v>2860</v>
      </c>
      <c r="L9187" s="30" t="s">
        <v>2990</v>
      </c>
      <c r="N9187" s="30" t="s">
        <v>3281</v>
      </c>
      <c r="P9187" s="30" t="s">
        <v>15692</v>
      </c>
      <c r="Q9187" t="s">
        <v>621</v>
      </c>
      <c r="R9187" t="s">
        <v>918</v>
      </c>
      <c r="S9187">
        <v>39</v>
      </c>
      <c r="T9187" s="29" t="str">
        <f t="shared" ref="T9187:T9193" si="389">HYPERLINK("https://ictv.global/ictv/proposals/2023.001B.Leviviricetes_reorg.zip","2023.001B.Leviviricetes_reorg.zip")</f>
        <v>2023.001B.Leviviricetes_reorg.zip</v>
      </c>
      <c r="U9187" s="29" t="str">
        <f>HYPERLINK("https://ictv.global/taxonomy/taxondetails?taxnode_id=202310439","ictv.global=202310439")</f>
        <v>ictv.global=202310439</v>
      </c>
    </row>
    <row r="9188" spans="1:21">
      <c r="A9188">
        <v>9187</v>
      </c>
      <c r="B9188" s="30" t="s">
        <v>1226</v>
      </c>
      <c r="D9188" s="30" t="s">
        <v>2024</v>
      </c>
      <c r="F9188" s="30" t="s">
        <v>2046</v>
      </c>
      <c r="H9188" s="30" t="s">
        <v>2859</v>
      </c>
      <c r="J9188" s="30" t="s">
        <v>2860</v>
      </c>
      <c r="L9188" s="30" t="s">
        <v>2990</v>
      </c>
      <c r="N9188" s="30" t="s">
        <v>3281</v>
      </c>
      <c r="P9188" s="30" t="s">
        <v>15693</v>
      </c>
      <c r="Q9188" t="s">
        <v>621</v>
      </c>
      <c r="R9188" t="s">
        <v>917</v>
      </c>
      <c r="S9188">
        <v>39</v>
      </c>
      <c r="T9188" s="29" t="str">
        <f t="shared" si="389"/>
        <v>2023.001B.Leviviricetes_reorg.zip</v>
      </c>
      <c r="U9188" s="29" t="str">
        <f>HYPERLINK("https://ictv.global/taxonomy/taxondetails?taxnode_id=202316658","ictv.global=202316658")</f>
        <v>ictv.global=202316658</v>
      </c>
    </row>
    <row r="9189" spans="1:21">
      <c r="A9189">
        <v>9188</v>
      </c>
      <c r="B9189" s="30" t="s">
        <v>1226</v>
      </c>
      <c r="D9189" s="30" t="s">
        <v>2024</v>
      </c>
      <c r="F9189" s="30" t="s">
        <v>2046</v>
      </c>
      <c r="H9189" s="30" t="s">
        <v>2859</v>
      </c>
      <c r="J9189" s="30" t="s">
        <v>2860</v>
      </c>
      <c r="L9189" s="30" t="s">
        <v>2990</v>
      </c>
      <c r="N9189" s="30" t="s">
        <v>3281</v>
      </c>
      <c r="P9189" s="30" t="s">
        <v>15694</v>
      </c>
      <c r="Q9189" t="s">
        <v>621</v>
      </c>
      <c r="R9189" t="s">
        <v>917</v>
      </c>
      <c r="S9189">
        <v>39</v>
      </c>
      <c r="T9189" s="29" t="str">
        <f t="shared" si="389"/>
        <v>2023.001B.Leviviricetes_reorg.zip</v>
      </c>
      <c r="U9189" s="29" t="str">
        <f>HYPERLINK("https://ictv.global/taxonomy/taxondetails?taxnode_id=202316659","ictv.global=202316659")</f>
        <v>ictv.global=202316659</v>
      </c>
    </row>
    <row r="9190" spans="1:21">
      <c r="A9190">
        <v>9189</v>
      </c>
      <c r="B9190" s="30" t="s">
        <v>1226</v>
      </c>
      <c r="D9190" s="30" t="s">
        <v>2024</v>
      </c>
      <c r="F9190" s="30" t="s">
        <v>2046</v>
      </c>
      <c r="H9190" s="30" t="s">
        <v>2859</v>
      </c>
      <c r="J9190" s="30" t="s">
        <v>2860</v>
      </c>
      <c r="L9190" s="30" t="s">
        <v>2990</v>
      </c>
      <c r="N9190" s="30" t="s">
        <v>3281</v>
      </c>
      <c r="P9190" s="30" t="s">
        <v>15695</v>
      </c>
      <c r="Q9190" t="s">
        <v>621</v>
      </c>
      <c r="R9190" t="s">
        <v>917</v>
      </c>
      <c r="S9190">
        <v>39</v>
      </c>
      <c r="T9190" s="29" t="str">
        <f t="shared" si="389"/>
        <v>2023.001B.Leviviricetes_reorg.zip</v>
      </c>
      <c r="U9190" s="29" t="str">
        <f>HYPERLINK("https://ictv.global/taxonomy/taxondetails?taxnode_id=202316660","ictv.global=202316660")</f>
        <v>ictv.global=202316660</v>
      </c>
    </row>
    <row r="9191" spans="1:21">
      <c r="A9191">
        <v>9190</v>
      </c>
      <c r="B9191" s="30" t="s">
        <v>1226</v>
      </c>
      <c r="D9191" s="30" t="s">
        <v>2024</v>
      </c>
      <c r="F9191" s="30" t="s">
        <v>2046</v>
      </c>
      <c r="H9191" s="30" t="s">
        <v>2859</v>
      </c>
      <c r="J9191" s="30" t="s">
        <v>2860</v>
      </c>
      <c r="L9191" s="30" t="s">
        <v>2990</v>
      </c>
      <c r="N9191" s="30" t="s">
        <v>3281</v>
      </c>
      <c r="P9191" s="30" t="s">
        <v>15696</v>
      </c>
      <c r="Q9191" t="s">
        <v>621</v>
      </c>
      <c r="R9191" t="s">
        <v>917</v>
      </c>
      <c r="S9191">
        <v>39</v>
      </c>
      <c r="T9191" s="29" t="str">
        <f t="shared" si="389"/>
        <v>2023.001B.Leviviricetes_reorg.zip</v>
      </c>
      <c r="U9191" s="29" t="str">
        <f>HYPERLINK("https://ictv.global/taxonomy/taxondetails?taxnode_id=202316661","ictv.global=202316661")</f>
        <v>ictv.global=202316661</v>
      </c>
    </row>
    <row r="9192" spans="1:21">
      <c r="A9192">
        <v>9191</v>
      </c>
      <c r="B9192" s="30" t="s">
        <v>1226</v>
      </c>
      <c r="D9192" s="30" t="s">
        <v>2024</v>
      </c>
      <c r="F9192" s="30" t="s">
        <v>2046</v>
      </c>
      <c r="H9192" s="30" t="s">
        <v>2859</v>
      </c>
      <c r="J9192" s="30" t="s">
        <v>2860</v>
      </c>
      <c r="L9192" s="30" t="s">
        <v>2990</v>
      </c>
      <c r="N9192" s="30" t="s">
        <v>15697</v>
      </c>
      <c r="P9192" s="30" t="s">
        <v>15698</v>
      </c>
      <c r="Q9192" t="s">
        <v>621</v>
      </c>
      <c r="R9192" t="s">
        <v>917</v>
      </c>
      <c r="S9192">
        <v>39</v>
      </c>
      <c r="T9192" s="29" t="str">
        <f t="shared" si="389"/>
        <v>2023.001B.Leviviricetes_reorg.zip</v>
      </c>
      <c r="U9192" s="29" t="str">
        <f>HYPERLINK("https://ictv.global/taxonomy/taxondetails?taxnode_id=202316662","ictv.global=202316662")</f>
        <v>ictv.global=202316662</v>
      </c>
    </row>
    <row r="9193" spans="1:21">
      <c r="A9193">
        <v>9192</v>
      </c>
      <c r="B9193" s="30" t="s">
        <v>1226</v>
      </c>
      <c r="D9193" s="30" t="s">
        <v>2024</v>
      </c>
      <c r="F9193" s="30" t="s">
        <v>2046</v>
      </c>
      <c r="H9193" s="30" t="s">
        <v>2859</v>
      </c>
      <c r="J9193" s="30" t="s">
        <v>2860</v>
      </c>
      <c r="L9193" s="30" t="s">
        <v>2990</v>
      </c>
      <c r="N9193" s="30" t="s">
        <v>15699</v>
      </c>
      <c r="P9193" s="30" t="s">
        <v>15700</v>
      </c>
      <c r="Q9193" t="s">
        <v>621</v>
      </c>
      <c r="R9193" t="s">
        <v>917</v>
      </c>
      <c r="S9193">
        <v>39</v>
      </c>
      <c r="T9193" s="29" t="str">
        <f t="shared" si="389"/>
        <v>2023.001B.Leviviricetes_reorg.zip</v>
      </c>
      <c r="U9193" s="29" t="str">
        <f>HYPERLINK("https://ictv.global/taxonomy/taxondetails?taxnode_id=202316663","ictv.global=202316663")</f>
        <v>ictv.global=202316663</v>
      </c>
    </row>
    <row r="9194" spans="1:21">
      <c r="A9194">
        <v>9193</v>
      </c>
      <c r="B9194" s="30" t="s">
        <v>1226</v>
      </c>
      <c r="D9194" s="30" t="s">
        <v>2024</v>
      </c>
      <c r="F9194" s="30" t="s">
        <v>2046</v>
      </c>
      <c r="H9194" s="30" t="s">
        <v>2859</v>
      </c>
      <c r="J9194" s="30" t="s">
        <v>2860</v>
      </c>
      <c r="L9194" s="30" t="s">
        <v>2990</v>
      </c>
      <c r="N9194" s="30" t="s">
        <v>3283</v>
      </c>
      <c r="P9194" s="30" t="s">
        <v>3284</v>
      </c>
      <c r="Q9194" t="s">
        <v>621</v>
      </c>
      <c r="R9194" t="s">
        <v>917</v>
      </c>
      <c r="S9194">
        <v>36</v>
      </c>
      <c r="T9194" s="29" t="str">
        <f>HYPERLINK("https://ictv.global/ictv/proposals/2020.095B.R.Leviviricetes.zip","2020.095B.R.Leviviricetes.zip")</f>
        <v>2020.095B.R.Leviviricetes.zip</v>
      </c>
      <c r="U9194" s="29" t="str">
        <f>HYPERLINK("https://ictv.global/taxonomy/taxondetails?taxnode_id=202310613","ictv.global=202310613")</f>
        <v>ictv.global=202310613</v>
      </c>
    </row>
    <row r="9195" spans="1:21">
      <c r="A9195">
        <v>9194</v>
      </c>
      <c r="B9195" s="30" t="s">
        <v>1226</v>
      </c>
      <c r="D9195" s="30" t="s">
        <v>2024</v>
      </c>
      <c r="F9195" s="30" t="s">
        <v>2046</v>
      </c>
      <c r="H9195" s="30" t="s">
        <v>2859</v>
      </c>
      <c r="J9195" s="30" t="s">
        <v>2860</v>
      </c>
      <c r="L9195" s="30" t="s">
        <v>2990</v>
      </c>
      <c r="N9195" s="30" t="s">
        <v>3285</v>
      </c>
      <c r="P9195" s="30" t="s">
        <v>3286</v>
      </c>
      <c r="Q9195" t="s">
        <v>621</v>
      </c>
      <c r="R9195" t="s">
        <v>917</v>
      </c>
      <c r="S9195">
        <v>36</v>
      </c>
      <c r="T9195" s="29" t="str">
        <f>HYPERLINK("https://ictv.global/ictv/proposals/2020.095B.R.Leviviricetes.zip","2020.095B.R.Leviviricetes.zip")</f>
        <v>2020.095B.R.Leviviricetes.zip</v>
      </c>
      <c r="U9195" s="29" t="str">
        <f>HYPERLINK("https://ictv.global/taxonomy/taxondetails?taxnode_id=202310615","ictv.global=202310615")</f>
        <v>ictv.global=202310615</v>
      </c>
    </row>
    <row r="9196" spans="1:21">
      <c r="A9196">
        <v>9195</v>
      </c>
      <c r="B9196" s="30" t="s">
        <v>1226</v>
      </c>
      <c r="D9196" s="30" t="s">
        <v>2024</v>
      </c>
      <c r="F9196" s="30" t="s">
        <v>2046</v>
      </c>
      <c r="H9196" s="30" t="s">
        <v>2859</v>
      </c>
      <c r="J9196" s="30" t="s">
        <v>2860</v>
      </c>
      <c r="L9196" s="30" t="s">
        <v>2990</v>
      </c>
      <c r="N9196" s="30" t="s">
        <v>15701</v>
      </c>
      <c r="P9196" s="30" t="s">
        <v>15702</v>
      </c>
      <c r="Q9196" t="s">
        <v>621</v>
      </c>
      <c r="R9196" t="s">
        <v>917</v>
      </c>
      <c r="S9196">
        <v>39</v>
      </c>
      <c r="T9196" s="29" t="str">
        <f t="shared" ref="T9196:T9204" si="390">HYPERLINK("https://ictv.global/ictv/proposals/2023.001B.Leviviricetes_reorg.zip","2023.001B.Leviviricetes_reorg.zip")</f>
        <v>2023.001B.Leviviricetes_reorg.zip</v>
      </c>
      <c r="U9196" s="29" t="str">
        <f>HYPERLINK("https://ictv.global/taxonomy/taxondetails?taxnode_id=202316664","ictv.global=202316664")</f>
        <v>ictv.global=202316664</v>
      </c>
    </row>
    <row r="9197" spans="1:21">
      <c r="A9197">
        <v>9196</v>
      </c>
      <c r="B9197" s="30" t="s">
        <v>1226</v>
      </c>
      <c r="D9197" s="30" t="s">
        <v>2024</v>
      </c>
      <c r="F9197" s="30" t="s">
        <v>2046</v>
      </c>
      <c r="H9197" s="30" t="s">
        <v>2859</v>
      </c>
      <c r="J9197" s="30" t="s">
        <v>2860</v>
      </c>
      <c r="L9197" s="30" t="s">
        <v>2990</v>
      </c>
      <c r="N9197" s="30" t="s">
        <v>15703</v>
      </c>
      <c r="P9197" s="30" t="s">
        <v>15704</v>
      </c>
      <c r="Q9197" t="s">
        <v>621</v>
      </c>
      <c r="R9197" t="s">
        <v>917</v>
      </c>
      <c r="S9197">
        <v>39</v>
      </c>
      <c r="T9197" s="29" t="str">
        <f t="shared" si="390"/>
        <v>2023.001B.Leviviricetes_reorg.zip</v>
      </c>
      <c r="U9197" s="29" t="str">
        <f>HYPERLINK("https://ictv.global/taxonomy/taxondetails?taxnode_id=202316665","ictv.global=202316665")</f>
        <v>ictv.global=202316665</v>
      </c>
    </row>
    <row r="9198" spans="1:21">
      <c r="A9198">
        <v>9197</v>
      </c>
      <c r="B9198" s="30" t="s">
        <v>1226</v>
      </c>
      <c r="D9198" s="30" t="s">
        <v>2024</v>
      </c>
      <c r="F9198" s="30" t="s">
        <v>2046</v>
      </c>
      <c r="H9198" s="30" t="s">
        <v>2859</v>
      </c>
      <c r="J9198" s="30" t="s">
        <v>2860</v>
      </c>
      <c r="L9198" s="30" t="s">
        <v>2990</v>
      </c>
      <c r="N9198" s="30" t="s">
        <v>15705</v>
      </c>
      <c r="P9198" s="30" t="s">
        <v>15706</v>
      </c>
      <c r="Q9198" t="s">
        <v>621</v>
      </c>
      <c r="R9198" t="s">
        <v>917</v>
      </c>
      <c r="S9198">
        <v>39</v>
      </c>
      <c r="T9198" s="29" t="str">
        <f t="shared" si="390"/>
        <v>2023.001B.Leviviricetes_reorg.zip</v>
      </c>
      <c r="U9198" s="29" t="str">
        <f>HYPERLINK("https://ictv.global/taxonomy/taxondetails?taxnode_id=202316666","ictv.global=202316666")</f>
        <v>ictv.global=202316666</v>
      </c>
    </row>
    <row r="9199" spans="1:21">
      <c r="A9199">
        <v>9198</v>
      </c>
      <c r="B9199" s="30" t="s">
        <v>1226</v>
      </c>
      <c r="D9199" s="30" t="s">
        <v>2024</v>
      </c>
      <c r="F9199" s="30" t="s">
        <v>2046</v>
      </c>
      <c r="H9199" s="30" t="s">
        <v>2859</v>
      </c>
      <c r="J9199" s="30" t="s">
        <v>2860</v>
      </c>
      <c r="L9199" s="30" t="s">
        <v>2990</v>
      </c>
      <c r="N9199" s="30" t="s">
        <v>15707</v>
      </c>
      <c r="P9199" s="30" t="s">
        <v>15708</v>
      </c>
      <c r="Q9199" t="s">
        <v>621</v>
      </c>
      <c r="R9199" t="s">
        <v>917</v>
      </c>
      <c r="S9199">
        <v>39</v>
      </c>
      <c r="T9199" s="29" t="str">
        <f t="shared" si="390"/>
        <v>2023.001B.Leviviricetes_reorg.zip</v>
      </c>
      <c r="U9199" s="29" t="str">
        <f>HYPERLINK("https://ictv.global/taxonomy/taxondetails?taxnode_id=202316667","ictv.global=202316667")</f>
        <v>ictv.global=202316667</v>
      </c>
    </row>
    <row r="9200" spans="1:21">
      <c r="A9200">
        <v>9199</v>
      </c>
      <c r="B9200" s="30" t="s">
        <v>1226</v>
      </c>
      <c r="D9200" s="30" t="s">
        <v>2024</v>
      </c>
      <c r="F9200" s="30" t="s">
        <v>2046</v>
      </c>
      <c r="H9200" s="30" t="s">
        <v>2859</v>
      </c>
      <c r="J9200" s="30" t="s">
        <v>2860</v>
      </c>
      <c r="L9200" s="30" t="s">
        <v>2990</v>
      </c>
      <c r="N9200" s="30" t="s">
        <v>15707</v>
      </c>
      <c r="P9200" s="30" t="s">
        <v>15709</v>
      </c>
      <c r="Q9200" t="s">
        <v>621</v>
      </c>
      <c r="R9200" t="s">
        <v>917</v>
      </c>
      <c r="S9200">
        <v>39</v>
      </c>
      <c r="T9200" s="29" t="str">
        <f t="shared" si="390"/>
        <v>2023.001B.Leviviricetes_reorg.zip</v>
      </c>
      <c r="U9200" s="29" t="str">
        <f>HYPERLINK("https://ictv.global/taxonomy/taxondetails?taxnode_id=202316668","ictv.global=202316668")</f>
        <v>ictv.global=202316668</v>
      </c>
    </row>
    <row r="9201" spans="1:21">
      <c r="A9201">
        <v>9200</v>
      </c>
      <c r="B9201" s="30" t="s">
        <v>1226</v>
      </c>
      <c r="D9201" s="30" t="s">
        <v>2024</v>
      </c>
      <c r="F9201" s="30" t="s">
        <v>2046</v>
      </c>
      <c r="H9201" s="30" t="s">
        <v>2859</v>
      </c>
      <c r="J9201" s="30" t="s">
        <v>2860</v>
      </c>
      <c r="L9201" s="30" t="s">
        <v>2990</v>
      </c>
      <c r="N9201" s="30" t="s">
        <v>15707</v>
      </c>
      <c r="P9201" s="30" t="s">
        <v>15710</v>
      </c>
      <c r="Q9201" t="s">
        <v>621</v>
      </c>
      <c r="R9201" t="s">
        <v>917</v>
      </c>
      <c r="S9201">
        <v>39</v>
      </c>
      <c r="T9201" s="29" t="str">
        <f t="shared" si="390"/>
        <v>2023.001B.Leviviricetes_reorg.zip</v>
      </c>
      <c r="U9201" s="29" t="str">
        <f>HYPERLINK("https://ictv.global/taxonomy/taxondetails?taxnode_id=202316669","ictv.global=202316669")</f>
        <v>ictv.global=202316669</v>
      </c>
    </row>
    <row r="9202" spans="1:21">
      <c r="A9202">
        <v>9201</v>
      </c>
      <c r="B9202" s="30" t="s">
        <v>1226</v>
      </c>
      <c r="D9202" s="30" t="s">
        <v>2024</v>
      </c>
      <c r="F9202" s="30" t="s">
        <v>2046</v>
      </c>
      <c r="H9202" s="30" t="s">
        <v>2859</v>
      </c>
      <c r="J9202" s="30" t="s">
        <v>2860</v>
      </c>
      <c r="L9202" s="30" t="s">
        <v>2990</v>
      </c>
      <c r="N9202" s="30" t="s">
        <v>15707</v>
      </c>
      <c r="P9202" s="30" t="s">
        <v>15711</v>
      </c>
      <c r="Q9202" t="s">
        <v>621</v>
      </c>
      <c r="R9202" t="s">
        <v>917</v>
      </c>
      <c r="S9202">
        <v>39</v>
      </c>
      <c r="T9202" s="29" t="str">
        <f t="shared" si="390"/>
        <v>2023.001B.Leviviricetes_reorg.zip</v>
      </c>
      <c r="U9202" s="29" t="str">
        <f>HYPERLINK("https://ictv.global/taxonomy/taxondetails?taxnode_id=202316670","ictv.global=202316670")</f>
        <v>ictv.global=202316670</v>
      </c>
    </row>
    <row r="9203" spans="1:21">
      <c r="A9203">
        <v>9202</v>
      </c>
      <c r="B9203" s="30" t="s">
        <v>1226</v>
      </c>
      <c r="D9203" s="30" t="s">
        <v>2024</v>
      </c>
      <c r="F9203" s="30" t="s">
        <v>2046</v>
      </c>
      <c r="H9203" s="30" t="s">
        <v>2859</v>
      </c>
      <c r="J9203" s="30" t="s">
        <v>2860</v>
      </c>
      <c r="L9203" s="30" t="s">
        <v>2990</v>
      </c>
      <c r="N9203" s="30" t="s">
        <v>15707</v>
      </c>
      <c r="P9203" s="30" t="s">
        <v>15712</v>
      </c>
      <c r="Q9203" t="s">
        <v>621</v>
      </c>
      <c r="R9203" t="s">
        <v>917</v>
      </c>
      <c r="S9203">
        <v>39</v>
      </c>
      <c r="T9203" s="29" t="str">
        <f t="shared" si="390"/>
        <v>2023.001B.Leviviricetes_reorg.zip</v>
      </c>
      <c r="U9203" s="29" t="str">
        <f>HYPERLINK("https://ictv.global/taxonomy/taxondetails?taxnode_id=202316671","ictv.global=202316671")</f>
        <v>ictv.global=202316671</v>
      </c>
    </row>
    <row r="9204" spans="1:21">
      <c r="A9204">
        <v>9203</v>
      </c>
      <c r="B9204" s="30" t="s">
        <v>1226</v>
      </c>
      <c r="D9204" s="30" t="s">
        <v>2024</v>
      </c>
      <c r="F9204" s="30" t="s">
        <v>2046</v>
      </c>
      <c r="H9204" s="30" t="s">
        <v>2859</v>
      </c>
      <c r="J9204" s="30" t="s">
        <v>2860</v>
      </c>
      <c r="L9204" s="30" t="s">
        <v>2990</v>
      </c>
      <c r="N9204" s="30" t="s">
        <v>3287</v>
      </c>
      <c r="P9204" s="30" t="s">
        <v>15713</v>
      </c>
      <c r="Q9204" t="s">
        <v>621</v>
      </c>
      <c r="R9204" t="s">
        <v>917</v>
      </c>
      <c r="S9204">
        <v>39</v>
      </c>
      <c r="T9204" s="29" t="str">
        <f t="shared" si="390"/>
        <v>2023.001B.Leviviricetes_reorg.zip</v>
      </c>
      <c r="U9204" s="29" t="str">
        <f>HYPERLINK("https://ictv.global/taxonomy/taxondetails?taxnode_id=202316672","ictv.global=202316672")</f>
        <v>ictv.global=202316672</v>
      </c>
    </row>
    <row r="9205" spans="1:21">
      <c r="A9205">
        <v>9204</v>
      </c>
      <c r="B9205" s="30" t="s">
        <v>1226</v>
      </c>
      <c r="D9205" s="30" t="s">
        <v>2024</v>
      </c>
      <c r="F9205" s="30" t="s">
        <v>2046</v>
      </c>
      <c r="H9205" s="30" t="s">
        <v>2859</v>
      </c>
      <c r="J9205" s="30" t="s">
        <v>2860</v>
      </c>
      <c r="L9205" s="30" t="s">
        <v>2990</v>
      </c>
      <c r="N9205" s="30" t="s">
        <v>3287</v>
      </c>
      <c r="P9205" s="30" t="s">
        <v>3288</v>
      </c>
      <c r="Q9205" t="s">
        <v>621</v>
      </c>
      <c r="R9205" t="s">
        <v>917</v>
      </c>
      <c r="S9205">
        <v>36</v>
      </c>
      <c r="T9205" s="29" t="str">
        <f>HYPERLINK("https://ictv.global/ictv/proposals/2020.095B.R.Leviviricetes.zip","2020.095B.R.Leviviricetes.zip")</f>
        <v>2020.095B.R.Leviviricetes.zip</v>
      </c>
      <c r="U9205" s="29" t="str">
        <f>HYPERLINK("https://ictv.global/taxonomy/taxondetails?taxnode_id=202310620","ictv.global=202310620")</f>
        <v>ictv.global=202310620</v>
      </c>
    </row>
    <row r="9206" spans="1:21">
      <c r="A9206">
        <v>9205</v>
      </c>
      <c r="B9206" s="30" t="s">
        <v>1226</v>
      </c>
      <c r="D9206" s="30" t="s">
        <v>2024</v>
      </c>
      <c r="F9206" s="30" t="s">
        <v>2046</v>
      </c>
      <c r="H9206" s="30" t="s">
        <v>2859</v>
      </c>
      <c r="J9206" s="30" t="s">
        <v>2860</v>
      </c>
      <c r="L9206" s="30" t="s">
        <v>2990</v>
      </c>
      <c r="N9206" s="30" t="s">
        <v>3289</v>
      </c>
      <c r="P9206" s="30" t="s">
        <v>3290</v>
      </c>
      <c r="Q9206" t="s">
        <v>621</v>
      </c>
      <c r="R9206" t="s">
        <v>917</v>
      </c>
      <c r="S9206">
        <v>36</v>
      </c>
      <c r="T9206" s="29" t="str">
        <f>HYPERLINK("https://ictv.global/ictv/proposals/2020.095B.R.Leviviricetes.zip","2020.095B.R.Leviviricetes.zip")</f>
        <v>2020.095B.R.Leviviricetes.zip</v>
      </c>
      <c r="U9206" s="29" t="str">
        <f>HYPERLINK("https://ictv.global/taxonomy/taxondetails?taxnode_id=202310622","ictv.global=202310622")</f>
        <v>ictv.global=202310622</v>
      </c>
    </row>
    <row r="9207" spans="1:21">
      <c r="A9207">
        <v>9206</v>
      </c>
      <c r="B9207" s="30" t="s">
        <v>1226</v>
      </c>
      <c r="D9207" s="30" t="s">
        <v>2024</v>
      </c>
      <c r="F9207" s="30" t="s">
        <v>2046</v>
      </c>
      <c r="H9207" s="30" t="s">
        <v>2859</v>
      </c>
      <c r="J9207" s="30" t="s">
        <v>2860</v>
      </c>
      <c r="L9207" s="30" t="s">
        <v>2990</v>
      </c>
      <c r="N9207" s="30" t="s">
        <v>3291</v>
      </c>
      <c r="P9207" s="30" t="s">
        <v>3292</v>
      </c>
      <c r="Q9207" t="s">
        <v>621</v>
      </c>
      <c r="R9207" t="s">
        <v>917</v>
      </c>
      <c r="S9207">
        <v>36</v>
      </c>
      <c r="T9207" s="29" t="str">
        <f>HYPERLINK("https://ictv.global/ictv/proposals/2020.095B.R.Leviviricetes.zip","2020.095B.R.Leviviricetes.zip")</f>
        <v>2020.095B.R.Leviviricetes.zip</v>
      </c>
      <c r="U9207" s="29" t="str">
        <f>HYPERLINK("https://ictv.global/taxonomy/taxondetails?taxnode_id=202310624","ictv.global=202310624")</f>
        <v>ictv.global=202310624</v>
      </c>
    </row>
    <row r="9208" spans="1:21">
      <c r="A9208">
        <v>9207</v>
      </c>
      <c r="B9208" s="30" t="s">
        <v>1226</v>
      </c>
      <c r="D9208" s="30" t="s">
        <v>2024</v>
      </c>
      <c r="F9208" s="30" t="s">
        <v>2046</v>
      </c>
      <c r="H9208" s="30" t="s">
        <v>2859</v>
      </c>
      <c r="J9208" s="30" t="s">
        <v>2860</v>
      </c>
      <c r="L9208" s="30" t="s">
        <v>2990</v>
      </c>
      <c r="N9208" s="30" t="s">
        <v>15714</v>
      </c>
      <c r="P9208" s="30" t="s">
        <v>15715</v>
      </c>
      <c r="Q9208" t="s">
        <v>621</v>
      </c>
      <c r="R9208" t="s">
        <v>917</v>
      </c>
      <c r="S9208">
        <v>39</v>
      </c>
      <c r="T9208" s="29" t="str">
        <f>HYPERLINK("https://ictv.global/ictv/proposals/2023.001B.Leviviricetes_reorg.zip","2023.001B.Leviviricetes_reorg.zip")</f>
        <v>2023.001B.Leviviricetes_reorg.zip</v>
      </c>
      <c r="U9208" s="29" t="str">
        <f>HYPERLINK("https://ictv.global/taxonomy/taxondetails?taxnode_id=202316673","ictv.global=202316673")</f>
        <v>ictv.global=202316673</v>
      </c>
    </row>
    <row r="9209" spans="1:21">
      <c r="A9209">
        <v>9208</v>
      </c>
      <c r="B9209" s="30" t="s">
        <v>1226</v>
      </c>
      <c r="D9209" s="30" t="s">
        <v>2024</v>
      </c>
      <c r="F9209" s="30" t="s">
        <v>2046</v>
      </c>
      <c r="H9209" s="30" t="s">
        <v>2859</v>
      </c>
      <c r="J9209" s="30" t="s">
        <v>2860</v>
      </c>
      <c r="L9209" s="30" t="s">
        <v>2990</v>
      </c>
      <c r="N9209" s="30" t="s">
        <v>15714</v>
      </c>
      <c r="P9209" s="30" t="s">
        <v>15716</v>
      </c>
      <c r="Q9209" t="s">
        <v>621</v>
      </c>
      <c r="R9209" t="s">
        <v>917</v>
      </c>
      <c r="S9209">
        <v>39</v>
      </c>
      <c r="T9209" s="29" t="str">
        <f>HYPERLINK("https://ictv.global/ictv/proposals/2023.001B.Leviviricetes_reorg.zip","2023.001B.Leviviricetes_reorg.zip")</f>
        <v>2023.001B.Leviviricetes_reorg.zip</v>
      </c>
      <c r="U9209" s="29" t="str">
        <f>HYPERLINK("https://ictv.global/taxonomy/taxondetails?taxnode_id=202316674","ictv.global=202316674")</f>
        <v>ictv.global=202316674</v>
      </c>
    </row>
    <row r="9210" spans="1:21">
      <c r="A9210">
        <v>9209</v>
      </c>
      <c r="B9210" s="30" t="s">
        <v>1226</v>
      </c>
      <c r="D9210" s="30" t="s">
        <v>2024</v>
      </c>
      <c r="F9210" s="30" t="s">
        <v>2046</v>
      </c>
      <c r="H9210" s="30" t="s">
        <v>2859</v>
      </c>
      <c r="J9210" s="30" t="s">
        <v>2860</v>
      </c>
      <c r="L9210" s="30" t="s">
        <v>2990</v>
      </c>
      <c r="N9210" s="30" t="s">
        <v>15714</v>
      </c>
      <c r="P9210" s="30" t="s">
        <v>15717</v>
      </c>
      <c r="Q9210" t="s">
        <v>621</v>
      </c>
      <c r="R9210" t="s">
        <v>917</v>
      </c>
      <c r="S9210">
        <v>39</v>
      </c>
      <c r="T9210" s="29" t="str">
        <f>HYPERLINK("https://ictv.global/ictv/proposals/2023.001B.Leviviricetes_reorg.zip","2023.001B.Leviviricetes_reorg.zip")</f>
        <v>2023.001B.Leviviricetes_reorg.zip</v>
      </c>
      <c r="U9210" s="29" t="str">
        <f>HYPERLINK("https://ictv.global/taxonomy/taxondetails?taxnode_id=202316675","ictv.global=202316675")</f>
        <v>ictv.global=202316675</v>
      </c>
    </row>
    <row r="9211" spans="1:21">
      <c r="A9211">
        <v>9210</v>
      </c>
      <c r="B9211" s="30" t="s">
        <v>1226</v>
      </c>
      <c r="D9211" s="30" t="s">
        <v>2024</v>
      </c>
      <c r="F9211" s="30" t="s">
        <v>2046</v>
      </c>
      <c r="H9211" s="30" t="s">
        <v>2859</v>
      </c>
      <c r="J9211" s="30" t="s">
        <v>2860</v>
      </c>
      <c r="L9211" s="30" t="s">
        <v>2990</v>
      </c>
      <c r="N9211" s="30" t="s">
        <v>15714</v>
      </c>
      <c r="P9211" s="30" t="s">
        <v>15718</v>
      </c>
      <c r="Q9211" t="s">
        <v>621</v>
      </c>
      <c r="R9211" t="s">
        <v>917</v>
      </c>
      <c r="S9211">
        <v>39</v>
      </c>
      <c r="T9211" s="29" t="str">
        <f>HYPERLINK("https://ictv.global/ictv/proposals/2023.001B.Leviviricetes_reorg.zip","2023.001B.Leviviricetes_reorg.zip")</f>
        <v>2023.001B.Leviviricetes_reorg.zip</v>
      </c>
      <c r="U9211" s="29" t="str">
        <f>HYPERLINK("https://ictv.global/taxonomy/taxondetails?taxnode_id=202316676","ictv.global=202316676")</f>
        <v>ictv.global=202316676</v>
      </c>
    </row>
    <row r="9212" spans="1:21">
      <c r="A9212">
        <v>9211</v>
      </c>
      <c r="B9212" s="30" t="s">
        <v>1226</v>
      </c>
      <c r="D9212" s="30" t="s">
        <v>2024</v>
      </c>
      <c r="F9212" s="30" t="s">
        <v>2046</v>
      </c>
      <c r="H9212" s="30" t="s">
        <v>2859</v>
      </c>
      <c r="J9212" s="30" t="s">
        <v>2860</v>
      </c>
      <c r="L9212" s="30" t="s">
        <v>2990</v>
      </c>
      <c r="N9212" s="30" t="s">
        <v>3293</v>
      </c>
      <c r="P9212" s="30" t="s">
        <v>3294</v>
      </c>
      <c r="Q9212" t="s">
        <v>621</v>
      </c>
      <c r="R9212" t="s">
        <v>917</v>
      </c>
      <c r="S9212">
        <v>36</v>
      </c>
      <c r="T9212" s="29" t="str">
        <f>HYPERLINK("https://ictv.global/ictv/proposals/2020.095B.R.Leviviricetes.zip","2020.095B.R.Leviviricetes.zip")</f>
        <v>2020.095B.R.Leviviricetes.zip</v>
      </c>
      <c r="U9212" s="29" t="str">
        <f>HYPERLINK("https://ictv.global/taxonomy/taxondetails?taxnode_id=202310626","ictv.global=202310626")</f>
        <v>ictv.global=202310626</v>
      </c>
    </row>
    <row r="9213" spans="1:21">
      <c r="A9213">
        <v>9212</v>
      </c>
      <c r="B9213" s="30" t="s">
        <v>1226</v>
      </c>
      <c r="D9213" s="30" t="s">
        <v>2024</v>
      </c>
      <c r="F9213" s="30" t="s">
        <v>2046</v>
      </c>
      <c r="H9213" s="30" t="s">
        <v>2859</v>
      </c>
      <c r="J9213" s="30" t="s">
        <v>2860</v>
      </c>
      <c r="L9213" s="30" t="s">
        <v>2990</v>
      </c>
      <c r="N9213" s="30" t="s">
        <v>15719</v>
      </c>
      <c r="P9213" s="30" t="s">
        <v>15720</v>
      </c>
      <c r="Q9213" t="s">
        <v>621</v>
      </c>
      <c r="R9213" t="s">
        <v>917</v>
      </c>
      <c r="S9213">
        <v>39</v>
      </c>
      <c r="T9213" s="29" t="str">
        <f>HYPERLINK("https://ictv.global/ictv/proposals/2023.001B.Leviviricetes_reorg.zip","2023.001B.Leviviricetes_reorg.zip")</f>
        <v>2023.001B.Leviviricetes_reorg.zip</v>
      </c>
      <c r="U9213" s="29" t="str">
        <f>HYPERLINK("https://ictv.global/taxonomy/taxondetails?taxnode_id=202316677","ictv.global=202316677")</f>
        <v>ictv.global=202316677</v>
      </c>
    </row>
    <row r="9214" spans="1:21">
      <c r="A9214">
        <v>9213</v>
      </c>
      <c r="B9214" s="30" t="s">
        <v>1226</v>
      </c>
      <c r="D9214" s="30" t="s">
        <v>2024</v>
      </c>
      <c r="F9214" s="30" t="s">
        <v>2046</v>
      </c>
      <c r="H9214" s="30" t="s">
        <v>2859</v>
      </c>
      <c r="J9214" s="30" t="s">
        <v>2860</v>
      </c>
      <c r="L9214" s="30" t="s">
        <v>2990</v>
      </c>
      <c r="N9214" s="30" t="s">
        <v>15719</v>
      </c>
      <c r="P9214" s="30" t="s">
        <v>15721</v>
      </c>
      <c r="Q9214" t="s">
        <v>621</v>
      </c>
      <c r="R9214" t="s">
        <v>917</v>
      </c>
      <c r="S9214">
        <v>39</v>
      </c>
      <c r="T9214" s="29" t="str">
        <f>HYPERLINK("https://ictv.global/ictv/proposals/2023.001B.Leviviricetes_reorg.zip","2023.001B.Leviviricetes_reorg.zip")</f>
        <v>2023.001B.Leviviricetes_reorg.zip</v>
      </c>
      <c r="U9214" s="29" t="str">
        <f>HYPERLINK("https://ictv.global/taxonomy/taxondetails?taxnode_id=202316678","ictv.global=202316678")</f>
        <v>ictv.global=202316678</v>
      </c>
    </row>
    <row r="9215" spans="1:21">
      <c r="A9215">
        <v>9214</v>
      </c>
      <c r="B9215" s="30" t="s">
        <v>1226</v>
      </c>
      <c r="D9215" s="30" t="s">
        <v>2024</v>
      </c>
      <c r="F9215" s="30" t="s">
        <v>2046</v>
      </c>
      <c r="H9215" s="30" t="s">
        <v>2859</v>
      </c>
      <c r="J9215" s="30" t="s">
        <v>2860</v>
      </c>
      <c r="L9215" s="30" t="s">
        <v>2990</v>
      </c>
      <c r="N9215" s="30" t="s">
        <v>15719</v>
      </c>
      <c r="P9215" s="30" t="s">
        <v>15722</v>
      </c>
      <c r="Q9215" t="s">
        <v>621</v>
      </c>
      <c r="R9215" t="s">
        <v>917</v>
      </c>
      <c r="S9215">
        <v>39</v>
      </c>
      <c r="T9215" s="29" t="str">
        <f>HYPERLINK("https://ictv.global/ictv/proposals/2023.001B.Leviviricetes_reorg.zip","2023.001B.Leviviricetes_reorg.zip")</f>
        <v>2023.001B.Leviviricetes_reorg.zip</v>
      </c>
      <c r="U9215" s="29" t="str">
        <f>HYPERLINK("https://ictv.global/taxonomy/taxondetails?taxnode_id=202316679","ictv.global=202316679")</f>
        <v>ictv.global=202316679</v>
      </c>
    </row>
    <row r="9216" spans="1:21">
      <c r="A9216">
        <v>9215</v>
      </c>
      <c r="B9216" s="30" t="s">
        <v>1226</v>
      </c>
      <c r="D9216" s="30" t="s">
        <v>2024</v>
      </c>
      <c r="F9216" s="30" t="s">
        <v>2046</v>
      </c>
      <c r="H9216" s="30" t="s">
        <v>2859</v>
      </c>
      <c r="J9216" s="30" t="s">
        <v>2860</v>
      </c>
      <c r="L9216" s="30" t="s">
        <v>2990</v>
      </c>
      <c r="N9216" s="30" t="s">
        <v>3295</v>
      </c>
      <c r="P9216" s="30" t="s">
        <v>3296</v>
      </c>
      <c r="Q9216" t="s">
        <v>621</v>
      </c>
      <c r="R9216" t="s">
        <v>917</v>
      </c>
      <c r="S9216">
        <v>36</v>
      </c>
      <c r="T9216" s="29" t="str">
        <f>HYPERLINK("https://ictv.global/ictv/proposals/2020.095B.R.Leviviricetes.zip","2020.095B.R.Leviviricetes.zip")</f>
        <v>2020.095B.R.Leviviricetes.zip</v>
      </c>
      <c r="U9216" s="29" t="str">
        <f>HYPERLINK("https://ictv.global/taxonomy/taxondetails?taxnode_id=202310632","ictv.global=202310632")</f>
        <v>ictv.global=202310632</v>
      </c>
    </row>
    <row r="9217" spans="1:21">
      <c r="A9217">
        <v>9216</v>
      </c>
      <c r="B9217" s="30" t="s">
        <v>1226</v>
      </c>
      <c r="D9217" s="30" t="s">
        <v>2024</v>
      </c>
      <c r="F9217" s="30" t="s">
        <v>2046</v>
      </c>
      <c r="H9217" s="30" t="s">
        <v>2859</v>
      </c>
      <c r="J9217" s="30" t="s">
        <v>2860</v>
      </c>
      <c r="L9217" s="30" t="s">
        <v>2990</v>
      </c>
      <c r="N9217" s="30" t="s">
        <v>3295</v>
      </c>
      <c r="P9217" s="30" t="s">
        <v>15723</v>
      </c>
      <c r="Q9217" t="s">
        <v>621</v>
      </c>
      <c r="R9217" t="s">
        <v>917</v>
      </c>
      <c r="S9217">
        <v>39</v>
      </c>
      <c r="T9217" s="29" t="str">
        <f t="shared" ref="T9217:T9227" si="391">HYPERLINK("https://ictv.global/ictv/proposals/2023.001B.Leviviricetes_reorg.zip","2023.001B.Leviviricetes_reorg.zip")</f>
        <v>2023.001B.Leviviricetes_reorg.zip</v>
      </c>
      <c r="U9217" s="29" t="str">
        <f>HYPERLINK("https://ictv.global/taxonomy/taxondetails?taxnode_id=202316680","ictv.global=202316680")</f>
        <v>ictv.global=202316680</v>
      </c>
    </row>
    <row r="9218" spans="1:21">
      <c r="A9218">
        <v>9217</v>
      </c>
      <c r="B9218" s="30" t="s">
        <v>1226</v>
      </c>
      <c r="D9218" s="30" t="s">
        <v>2024</v>
      </c>
      <c r="F9218" s="30" t="s">
        <v>2046</v>
      </c>
      <c r="H9218" s="30" t="s">
        <v>2859</v>
      </c>
      <c r="J9218" s="30" t="s">
        <v>2860</v>
      </c>
      <c r="L9218" s="30" t="s">
        <v>2990</v>
      </c>
      <c r="N9218" s="30" t="s">
        <v>15724</v>
      </c>
      <c r="P9218" s="30" t="s">
        <v>15725</v>
      </c>
      <c r="Q9218" t="s">
        <v>621</v>
      </c>
      <c r="R9218" t="s">
        <v>917</v>
      </c>
      <c r="S9218">
        <v>39</v>
      </c>
      <c r="T9218" s="29" t="str">
        <f t="shared" si="391"/>
        <v>2023.001B.Leviviricetes_reorg.zip</v>
      </c>
      <c r="U9218" s="29" t="str">
        <f>HYPERLINK("https://ictv.global/taxonomy/taxondetails?taxnode_id=202316681","ictv.global=202316681")</f>
        <v>ictv.global=202316681</v>
      </c>
    </row>
    <row r="9219" spans="1:21">
      <c r="A9219">
        <v>9218</v>
      </c>
      <c r="B9219" s="30" t="s">
        <v>1226</v>
      </c>
      <c r="D9219" s="30" t="s">
        <v>2024</v>
      </c>
      <c r="F9219" s="30" t="s">
        <v>2046</v>
      </c>
      <c r="H9219" s="30" t="s">
        <v>2859</v>
      </c>
      <c r="J9219" s="30" t="s">
        <v>2860</v>
      </c>
      <c r="L9219" s="30" t="s">
        <v>2990</v>
      </c>
      <c r="N9219" s="30" t="s">
        <v>15726</v>
      </c>
      <c r="P9219" s="30" t="s">
        <v>15727</v>
      </c>
      <c r="Q9219" t="s">
        <v>621</v>
      </c>
      <c r="R9219" t="s">
        <v>917</v>
      </c>
      <c r="S9219">
        <v>39</v>
      </c>
      <c r="T9219" s="29" t="str">
        <f t="shared" si="391"/>
        <v>2023.001B.Leviviricetes_reorg.zip</v>
      </c>
      <c r="U9219" s="29" t="str">
        <f>HYPERLINK("https://ictv.global/taxonomy/taxondetails?taxnode_id=202316682","ictv.global=202316682")</f>
        <v>ictv.global=202316682</v>
      </c>
    </row>
    <row r="9220" spans="1:21">
      <c r="A9220">
        <v>9219</v>
      </c>
      <c r="B9220" s="30" t="s">
        <v>1226</v>
      </c>
      <c r="D9220" s="30" t="s">
        <v>2024</v>
      </c>
      <c r="F9220" s="30" t="s">
        <v>2046</v>
      </c>
      <c r="H9220" s="30" t="s">
        <v>2859</v>
      </c>
      <c r="J9220" s="30" t="s">
        <v>2860</v>
      </c>
      <c r="L9220" s="30" t="s">
        <v>2990</v>
      </c>
      <c r="N9220" s="30" t="s">
        <v>15728</v>
      </c>
      <c r="P9220" s="30" t="s">
        <v>15729</v>
      </c>
      <c r="Q9220" t="s">
        <v>621</v>
      </c>
      <c r="R9220" t="s">
        <v>917</v>
      </c>
      <c r="S9220">
        <v>39</v>
      </c>
      <c r="T9220" s="29" t="str">
        <f t="shared" si="391"/>
        <v>2023.001B.Leviviricetes_reorg.zip</v>
      </c>
      <c r="U9220" s="29" t="str">
        <f>HYPERLINK("https://ictv.global/taxonomy/taxondetails?taxnode_id=202316683","ictv.global=202316683")</f>
        <v>ictv.global=202316683</v>
      </c>
    </row>
    <row r="9221" spans="1:21">
      <c r="A9221">
        <v>9220</v>
      </c>
      <c r="B9221" s="30" t="s">
        <v>1226</v>
      </c>
      <c r="D9221" s="30" t="s">
        <v>2024</v>
      </c>
      <c r="F9221" s="30" t="s">
        <v>2046</v>
      </c>
      <c r="H9221" s="30" t="s">
        <v>2859</v>
      </c>
      <c r="J9221" s="30" t="s">
        <v>2860</v>
      </c>
      <c r="L9221" s="30" t="s">
        <v>2990</v>
      </c>
      <c r="N9221" s="30" t="s">
        <v>15730</v>
      </c>
      <c r="P9221" s="30" t="s">
        <v>15731</v>
      </c>
      <c r="Q9221" t="s">
        <v>621</v>
      </c>
      <c r="R9221" t="s">
        <v>917</v>
      </c>
      <c r="S9221">
        <v>39</v>
      </c>
      <c r="T9221" s="29" t="str">
        <f t="shared" si="391"/>
        <v>2023.001B.Leviviricetes_reorg.zip</v>
      </c>
      <c r="U9221" s="29" t="str">
        <f>HYPERLINK("https://ictv.global/taxonomy/taxondetails?taxnode_id=202316684","ictv.global=202316684")</f>
        <v>ictv.global=202316684</v>
      </c>
    </row>
    <row r="9222" spans="1:21">
      <c r="A9222">
        <v>9221</v>
      </c>
      <c r="B9222" s="30" t="s">
        <v>1226</v>
      </c>
      <c r="D9222" s="30" t="s">
        <v>2024</v>
      </c>
      <c r="F9222" s="30" t="s">
        <v>2046</v>
      </c>
      <c r="H9222" s="30" t="s">
        <v>2859</v>
      </c>
      <c r="J9222" s="30" t="s">
        <v>2860</v>
      </c>
      <c r="L9222" s="30" t="s">
        <v>2990</v>
      </c>
      <c r="N9222" s="30" t="s">
        <v>15730</v>
      </c>
      <c r="P9222" s="30" t="s">
        <v>15732</v>
      </c>
      <c r="Q9222" t="s">
        <v>621</v>
      </c>
      <c r="R9222" t="s">
        <v>917</v>
      </c>
      <c r="S9222">
        <v>39</v>
      </c>
      <c r="T9222" s="29" t="str">
        <f t="shared" si="391"/>
        <v>2023.001B.Leviviricetes_reorg.zip</v>
      </c>
      <c r="U9222" s="29" t="str">
        <f>HYPERLINK("https://ictv.global/taxonomy/taxondetails?taxnode_id=202316685","ictv.global=202316685")</f>
        <v>ictv.global=202316685</v>
      </c>
    </row>
    <row r="9223" spans="1:21">
      <c r="A9223">
        <v>9222</v>
      </c>
      <c r="B9223" s="30" t="s">
        <v>1226</v>
      </c>
      <c r="D9223" s="30" t="s">
        <v>2024</v>
      </c>
      <c r="F9223" s="30" t="s">
        <v>2046</v>
      </c>
      <c r="H9223" s="30" t="s">
        <v>2859</v>
      </c>
      <c r="J9223" s="30" t="s">
        <v>2860</v>
      </c>
      <c r="L9223" s="30" t="s">
        <v>2990</v>
      </c>
      <c r="N9223" s="30" t="s">
        <v>15730</v>
      </c>
      <c r="P9223" s="30" t="s">
        <v>15733</v>
      </c>
      <c r="Q9223" t="s">
        <v>621</v>
      </c>
      <c r="R9223" t="s">
        <v>917</v>
      </c>
      <c r="S9223">
        <v>39</v>
      </c>
      <c r="T9223" s="29" t="str">
        <f t="shared" si="391"/>
        <v>2023.001B.Leviviricetes_reorg.zip</v>
      </c>
      <c r="U9223" s="29" t="str">
        <f>HYPERLINK("https://ictv.global/taxonomy/taxondetails?taxnode_id=202316686","ictv.global=202316686")</f>
        <v>ictv.global=202316686</v>
      </c>
    </row>
    <row r="9224" spans="1:21">
      <c r="A9224">
        <v>9223</v>
      </c>
      <c r="B9224" s="30" t="s">
        <v>1226</v>
      </c>
      <c r="D9224" s="30" t="s">
        <v>2024</v>
      </c>
      <c r="F9224" s="30" t="s">
        <v>2046</v>
      </c>
      <c r="H9224" s="30" t="s">
        <v>2859</v>
      </c>
      <c r="J9224" s="30" t="s">
        <v>2860</v>
      </c>
      <c r="L9224" s="30" t="s">
        <v>2990</v>
      </c>
      <c r="N9224" s="30" t="s">
        <v>15730</v>
      </c>
      <c r="P9224" s="30" t="s">
        <v>15734</v>
      </c>
      <c r="Q9224" t="s">
        <v>621</v>
      </c>
      <c r="R9224" t="s">
        <v>917</v>
      </c>
      <c r="S9224">
        <v>39</v>
      </c>
      <c r="T9224" s="29" t="str">
        <f t="shared" si="391"/>
        <v>2023.001B.Leviviricetes_reorg.zip</v>
      </c>
      <c r="U9224" s="29" t="str">
        <f>HYPERLINK("https://ictv.global/taxonomy/taxondetails?taxnode_id=202316687","ictv.global=202316687")</f>
        <v>ictv.global=202316687</v>
      </c>
    </row>
    <row r="9225" spans="1:21">
      <c r="A9225">
        <v>9224</v>
      </c>
      <c r="B9225" s="30" t="s">
        <v>1226</v>
      </c>
      <c r="D9225" s="30" t="s">
        <v>2024</v>
      </c>
      <c r="F9225" s="30" t="s">
        <v>2046</v>
      </c>
      <c r="H9225" s="30" t="s">
        <v>2859</v>
      </c>
      <c r="J9225" s="30" t="s">
        <v>2860</v>
      </c>
      <c r="L9225" s="30" t="s">
        <v>2990</v>
      </c>
      <c r="N9225" s="30" t="s">
        <v>15730</v>
      </c>
      <c r="P9225" s="30" t="s">
        <v>15735</v>
      </c>
      <c r="Q9225" t="s">
        <v>621</v>
      </c>
      <c r="R9225" t="s">
        <v>917</v>
      </c>
      <c r="S9225">
        <v>39</v>
      </c>
      <c r="T9225" s="29" t="str">
        <f t="shared" si="391"/>
        <v>2023.001B.Leviviricetes_reorg.zip</v>
      </c>
      <c r="U9225" s="29" t="str">
        <f>HYPERLINK("https://ictv.global/taxonomy/taxondetails?taxnode_id=202316688","ictv.global=202316688")</f>
        <v>ictv.global=202316688</v>
      </c>
    </row>
    <row r="9226" spans="1:21">
      <c r="A9226">
        <v>9225</v>
      </c>
      <c r="B9226" s="30" t="s">
        <v>1226</v>
      </c>
      <c r="D9226" s="30" t="s">
        <v>2024</v>
      </c>
      <c r="F9226" s="30" t="s">
        <v>2046</v>
      </c>
      <c r="H9226" s="30" t="s">
        <v>2859</v>
      </c>
      <c r="J9226" s="30" t="s">
        <v>2860</v>
      </c>
      <c r="L9226" s="30" t="s">
        <v>2990</v>
      </c>
      <c r="N9226" s="30" t="s">
        <v>15730</v>
      </c>
      <c r="P9226" s="30" t="s">
        <v>15736</v>
      </c>
      <c r="Q9226" t="s">
        <v>621</v>
      </c>
      <c r="R9226" t="s">
        <v>917</v>
      </c>
      <c r="S9226">
        <v>39</v>
      </c>
      <c r="T9226" s="29" t="str">
        <f t="shared" si="391"/>
        <v>2023.001B.Leviviricetes_reorg.zip</v>
      </c>
      <c r="U9226" s="29" t="str">
        <f>HYPERLINK("https://ictv.global/taxonomy/taxondetails?taxnode_id=202316689","ictv.global=202316689")</f>
        <v>ictv.global=202316689</v>
      </c>
    </row>
    <row r="9227" spans="1:21">
      <c r="A9227">
        <v>9226</v>
      </c>
      <c r="B9227" s="30" t="s">
        <v>1226</v>
      </c>
      <c r="D9227" s="30" t="s">
        <v>2024</v>
      </c>
      <c r="F9227" s="30" t="s">
        <v>2046</v>
      </c>
      <c r="H9227" s="30" t="s">
        <v>2859</v>
      </c>
      <c r="J9227" s="30" t="s">
        <v>2860</v>
      </c>
      <c r="L9227" s="30" t="s">
        <v>2990</v>
      </c>
      <c r="N9227" s="30" t="s">
        <v>15737</v>
      </c>
      <c r="P9227" s="30" t="s">
        <v>15738</v>
      </c>
      <c r="Q9227" t="s">
        <v>621</v>
      </c>
      <c r="R9227" t="s">
        <v>917</v>
      </c>
      <c r="S9227">
        <v>39</v>
      </c>
      <c r="T9227" s="29" t="str">
        <f t="shared" si="391"/>
        <v>2023.001B.Leviviricetes_reorg.zip</v>
      </c>
      <c r="U9227" s="29" t="str">
        <f>HYPERLINK("https://ictv.global/taxonomy/taxondetails?taxnode_id=202316690","ictv.global=202316690")</f>
        <v>ictv.global=202316690</v>
      </c>
    </row>
    <row r="9228" spans="1:21">
      <c r="A9228">
        <v>9227</v>
      </c>
      <c r="B9228" s="30" t="s">
        <v>1226</v>
      </c>
      <c r="D9228" s="30" t="s">
        <v>2024</v>
      </c>
      <c r="F9228" s="30" t="s">
        <v>2046</v>
      </c>
      <c r="H9228" s="30" t="s">
        <v>2859</v>
      </c>
      <c r="J9228" s="30" t="s">
        <v>2860</v>
      </c>
      <c r="L9228" s="30" t="s">
        <v>2990</v>
      </c>
      <c r="N9228" s="30" t="s">
        <v>3297</v>
      </c>
      <c r="P9228" s="30" t="s">
        <v>3298</v>
      </c>
      <c r="Q9228" t="s">
        <v>621</v>
      </c>
      <c r="R9228" t="s">
        <v>917</v>
      </c>
      <c r="S9228">
        <v>36</v>
      </c>
      <c r="T9228" s="29" t="str">
        <f>HYPERLINK("https://ictv.global/ictv/proposals/2020.095B.R.Leviviricetes.zip","2020.095B.R.Leviviricetes.zip")</f>
        <v>2020.095B.R.Leviviricetes.zip</v>
      </c>
      <c r="U9228" s="29" t="str">
        <f>HYPERLINK("https://ictv.global/taxonomy/taxondetails?taxnode_id=202310634","ictv.global=202310634")</f>
        <v>ictv.global=202310634</v>
      </c>
    </row>
    <row r="9229" spans="1:21">
      <c r="A9229">
        <v>9228</v>
      </c>
      <c r="B9229" s="30" t="s">
        <v>1226</v>
      </c>
      <c r="D9229" s="30" t="s">
        <v>2024</v>
      </c>
      <c r="F9229" s="30" t="s">
        <v>2046</v>
      </c>
      <c r="H9229" s="30" t="s">
        <v>2859</v>
      </c>
      <c r="J9229" s="30" t="s">
        <v>2860</v>
      </c>
      <c r="L9229" s="30" t="s">
        <v>2990</v>
      </c>
      <c r="N9229" s="30" t="s">
        <v>3299</v>
      </c>
      <c r="P9229" s="30" t="s">
        <v>3300</v>
      </c>
      <c r="Q9229" t="s">
        <v>621</v>
      </c>
      <c r="R9229" t="s">
        <v>917</v>
      </c>
      <c r="S9229">
        <v>36</v>
      </c>
      <c r="T9229" s="29" t="str">
        <f>HYPERLINK("https://ictv.global/ictv/proposals/2020.095B.R.Leviviricetes.zip","2020.095B.R.Leviviricetes.zip")</f>
        <v>2020.095B.R.Leviviricetes.zip</v>
      </c>
      <c r="U9229" s="29" t="str">
        <f>HYPERLINK("https://ictv.global/taxonomy/taxondetails?taxnode_id=202310636","ictv.global=202310636")</f>
        <v>ictv.global=202310636</v>
      </c>
    </row>
    <row r="9230" spans="1:21">
      <c r="A9230">
        <v>9229</v>
      </c>
      <c r="B9230" s="30" t="s">
        <v>1226</v>
      </c>
      <c r="D9230" s="30" t="s">
        <v>2024</v>
      </c>
      <c r="F9230" s="30" t="s">
        <v>2046</v>
      </c>
      <c r="H9230" s="30" t="s">
        <v>2859</v>
      </c>
      <c r="J9230" s="30" t="s">
        <v>2860</v>
      </c>
      <c r="L9230" s="30" t="s">
        <v>2990</v>
      </c>
      <c r="N9230" s="30" t="s">
        <v>3301</v>
      </c>
      <c r="P9230" s="30" t="s">
        <v>3302</v>
      </c>
      <c r="Q9230" t="s">
        <v>621</v>
      </c>
      <c r="R9230" t="s">
        <v>917</v>
      </c>
      <c r="S9230">
        <v>36</v>
      </c>
      <c r="T9230" s="29" t="str">
        <f>HYPERLINK("https://ictv.global/ictv/proposals/2020.095B.R.Leviviricetes.zip","2020.095B.R.Leviviricetes.zip")</f>
        <v>2020.095B.R.Leviviricetes.zip</v>
      </c>
      <c r="U9230" s="29" t="str">
        <f>HYPERLINK("https://ictv.global/taxonomy/taxondetails?taxnode_id=202310638","ictv.global=202310638")</f>
        <v>ictv.global=202310638</v>
      </c>
    </row>
    <row r="9231" spans="1:21">
      <c r="A9231">
        <v>9230</v>
      </c>
      <c r="B9231" s="30" t="s">
        <v>1226</v>
      </c>
      <c r="D9231" s="30" t="s">
        <v>2024</v>
      </c>
      <c r="F9231" s="30" t="s">
        <v>2046</v>
      </c>
      <c r="H9231" s="30" t="s">
        <v>2859</v>
      </c>
      <c r="J9231" s="30" t="s">
        <v>2860</v>
      </c>
      <c r="L9231" s="30" t="s">
        <v>2990</v>
      </c>
      <c r="N9231" s="30" t="s">
        <v>3301</v>
      </c>
      <c r="P9231" s="30" t="s">
        <v>15739</v>
      </c>
      <c r="Q9231" t="s">
        <v>621</v>
      </c>
      <c r="R9231" t="s">
        <v>917</v>
      </c>
      <c r="S9231">
        <v>39</v>
      </c>
      <c r="T9231" s="29" t="str">
        <f>HYPERLINK("https://ictv.global/ictv/proposals/2023.001B.Leviviricetes_reorg.zip","2023.001B.Leviviricetes_reorg.zip")</f>
        <v>2023.001B.Leviviricetes_reorg.zip</v>
      </c>
      <c r="U9231" s="29" t="str">
        <f>HYPERLINK("https://ictv.global/taxonomy/taxondetails?taxnode_id=202316691","ictv.global=202316691")</f>
        <v>ictv.global=202316691</v>
      </c>
    </row>
    <row r="9232" spans="1:21">
      <c r="A9232">
        <v>9231</v>
      </c>
      <c r="B9232" s="30" t="s">
        <v>1226</v>
      </c>
      <c r="D9232" s="30" t="s">
        <v>2024</v>
      </c>
      <c r="F9232" s="30" t="s">
        <v>2046</v>
      </c>
      <c r="H9232" s="30" t="s">
        <v>2859</v>
      </c>
      <c r="J9232" s="30" t="s">
        <v>2860</v>
      </c>
      <c r="L9232" s="30" t="s">
        <v>2990</v>
      </c>
      <c r="N9232" s="30" t="s">
        <v>3301</v>
      </c>
      <c r="P9232" s="30" t="s">
        <v>15740</v>
      </c>
      <c r="Q9232" t="s">
        <v>621</v>
      </c>
      <c r="R9232" t="s">
        <v>917</v>
      </c>
      <c r="S9232">
        <v>39</v>
      </c>
      <c r="T9232" s="29" t="str">
        <f>HYPERLINK("https://ictv.global/ictv/proposals/2023.001B.Leviviricetes_reorg.zip","2023.001B.Leviviricetes_reorg.zip")</f>
        <v>2023.001B.Leviviricetes_reorg.zip</v>
      </c>
      <c r="U9232" s="29" t="str">
        <f>HYPERLINK("https://ictv.global/taxonomy/taxondetails?taxnode_id=202316692","ictv.global=202316692")</f>
        <v>ictv.global=202316692</v>
      </c>
    </row>
    <row r="9233" spans="1:21">
      <c r="A9233">
        <v>9232</v>
      </c>
      <c r="B9233" s="30" t="s">
        <v>1226</v>
      </c>
      <c r="D9233" s="30" t="s">
        <v>2024</v>
      </c>
      <c r="F9233" s="30" t="s">
        <v>2046</v>
      </c>
      <c r="H9233" s="30" t="s">
        <v>2859</v>
      </c>
      <c r="J9233" s="30" t="s">
        <v>2860</v>
      </c>
      <c r="L9233" s="30" t="s">
        <v>2990</v>
      </c>
      <c r="N9233" s="30" t="s">
        <v>3303</v>
      </c>
      <c r="P9233" s="30" t="s">
        <v>3304</v>
      </c>
      <c r="Q9233" t="s">
        <v>621</v>
      </c>
      <c r="R9233" t="s">
        <v>917</v>
      </c>
      <c r="S9233">
        <v>36</v>
      </c>
      <c r="T9233" s="29" t="str">
        <f>HYPERLINK("https://ictv.global/ictv/proposals/2020.095B.R.Leviviricetes.zip","2020.095B.R.Leviviricetes.zip")</f>
        <v>2020.095B.R.Leviviricetes.zip</v>
      </c>
      <c r="U9233" s="29" t="str">
        <f>HYPERLINK("https://ictv.global/taxonomy/taxondetails?taxnode_id=202310640","ictv.global=202310640")</f>
        <v>ictv.global=202310640</v>
      </c>
    </row>
    <row r="9234" spans="1:21">
      <c r="A9234">
        <v>9233</v>
      </c>
      <c r="B9234" s="30" t="s">
        <v>1226</v>
      </c>
      <c r="D9234" s="30" t="s">
        <v>2024</v>
      </c>
      <c r="F9234" s="30" t="s">
        <v>2046</v>
      </c>
      <c r="H9234" s="30" t="s">
        <v>2859</v>
      </c>
      <c r="J9234" s="30" t="s">
        <v>2860</v>
      </c>
      <c r="L9234" s="30" t="s">
        <v>2990</v>
      </c>
      <c r="N9234" s="30" t="s">
        <v>3305</v>
      </c>
      <c r="P9234" s="30" t="s">
        <v>15741</v>
      </c>
      <c r="Q9234" t="s">
        <v>621</v>
      </c>
      <c r="R9234" t="s">
        <v>917</v>
      </c>
      <c r="S9234">
        <v>39</v>
      </c>
      <c r="T9234" s="29" t="str">
        <f>HYPERLINK("https://ictv.global/ictv/proposals/2023.001B.Leviviricetes_reorg.zip","2023.001B.Leviviricetes_reorg.zip")</f>
        <v>2023.001B.Leviviricetes_reorg.zip</v>
      </c>
      <c r="U9234" s="29" t="str">
        <f>HYPERLINK("https://ictv.global/taxonomy/taxondetails?taxnode_id=202316693","ictv.global=202316693")</f>
        <v>ictv.global=202316693</v>
      </c>
    </row>
    <row r="9235" spans="1:21">
      <c r="A9235">
        <v>9234</v>
      </c>
      <c r="B9235" s="30" t="s">
        <v>1226</v>
      </c>
      <c r="D9235" s="30" t="s">
        <v>2024</v>
      </c>
      <c r="F9235" s="30" t="s">
        <v>2046</v>
      </c>
      <c r="H9235" s="30" t="s">
        <v>2859</v>
      </c>
      <c r="J9235" s="30" t="s">
        <v>2860</v>
      </c>
      <c r="L9235" s="30" t="s">
        <v>2990</v>
      </c>
      <c r="N9235" s="30" t="s">
        <v>3305</v>
      </c>
      <c r="P9235" s="30" t="s">
        <v>15742</v>
      </c>
      <c r="Q9235" t="s">
        <v>621</v>
      </c>
      <c r="R9235" t="s">
        <v>917</v>
      </c>
      <c r="S9235">
        <v>39</v>
      </c>
      <c r="T9235" s="29" t="str">
        <f>HYPERLINK("https://ictv.global/ictv/proposals/2023.001B.Leviviricetes_reorg.zip","2023.001B.Leviviricetes_reorg.zip")</f>
        <v>2023.001B.Leviviricetes_reorg.zip</v>
      </c>
      <c r="U9235" s="29" t="str">
        <f>HYPERLINK("https://ictv.global/taxonomy/taxondetails?taxnode_id=202316694","ictv.global=202316694")</f>
        <v>ictv.global=202316694</v>
      </c>
    </row>
    <row r="9236" spans="1:21">
      <c r="A9236">
        <v>9235</v>
      </c>
      <c r="B9236" s="30" t="s">
        <v>1226</v>
      </c>
      <c r="D9236" s="30" t="s">
        <v>2024</v>
      </c>
      <c r="F9236" s="30" t="s">
        <v>2046</v>
      </c>
      <c r="H9236" s="30" t="s">
        <v>2859</v>
      </c>
      <c r="J9236" s="30" t="s">
        <v>2860</v>
      </c>
      <c r="L9236" s="30" t="s">
        <v>2990</v>
      </c>
      <c r="N9236" s="30" t="s">
        <v>3305</v>
      </c>
      <c r="P9236" s="30" t="s">
        <v>3306</v>
      </c>
      <c r="Q9236" t="s">
        <v>621</v>
      </c>
      <c r="R9236" t="s">
        <v>917</v>
      </c>
      <c r="S9236">
        <v>36</v>
      </c>
      <c r="T9236" s="29" t="str">
        <f>HYPERLINK("https://ictv.global/ictv/proposals/2020.095B.R.Leviviricetes.zip","2020.095B.R.Leviviricetes.zip")</f>
        <v>2020.095B.R.Leviviricetes.zip</v>
      </c>
      <c r="U9236" s="29" t="str">
        <f>HYPERLINK("https://ictv.global/taxonomy/taxondetails?taxnode_id=202310644","ictv.global=202310644")</f>
        <v>ictv.global=202310644</v>
      </c>
    </row>
    <row r="9237" spans="1:21">
      <c r="A9237">
        <v>9236</v>
      </c>
      <c r="B9237" s="30" t="s">
        <v>1226</v>
      </c>
      <c r="D9237" s="30" t="s">
        <v>2024</v>
      </c>
      <c r="F9237" s="30" t="s">
        <v>2046</v>
      </c>
      <c r="H9237" s="30" t="s">
        <v>2859</v>
      </c>
      <c r="J9237" s="30" t="s">
        <v>2860</v>
      </c>
      <c r="L9237" s="30" t="s">
        <v>2990</v>
      </c>
      <c r="N9237" s="30" t="s">
        <v>3305</v>
      </c>
      <c r="P9237" s="30" t="s">
        <v>15743</v>
      </c>
      <c r="Q9237" t="s">
        <v>621</v>
      </c>
      <c r="R9237" t="s">
        <v>917</v>
      </c>
      <c r="S9237">
        <v>39</v>
      </c>
      <c r="T9237" s="29" t="str">
        <f t="shared" ref="T9237:T9246" si="392">HYPERLINK("https://ictv.global/ictv/proposals/2023.001B.Leviviricetes_reorg.zip","2023.001B.Leviviricetes_reorg.zip")</f>
        <v>2023.001B.Leviviricetes_reorg.zip</v>
      </c>
      <c r="U9237" s="29" t="str">
        <f>HYPERLINK("https://ictv.global/taxonomy/taxondetails?taxnode_id=202316695","ictv.global=202316695")</f>
        <v>ictv.global=202316695</v>
      </c>
    </row>
    <row r="9238" spans="1:21">
      <c r="A9238">
        <v>9237</v>
      </c>
      <c r="B9238" s="30" t="s">
        <v>1226</v>
      </c>
      <c r="D9238" s="30" t="s">
        <v>2024</v>
      </c>
      <c r="F9238" s="30" t="s">
        <v>2046</v>
      </c>
      <c r="H9238" s="30" t="s">
        <v>2859</v>
      </c>
      <c r="J9238" s="30" t="s">
        <v>2860</v>
      </c>
      <c r="L9238" s="30" t="s">
        <v>2990</v>
      </c>
      <c r="N9238" s="30" t="s">
        <v>3305</v>
      </c>
      <c r="P9238" s="30" t="s">
        <v>15744</v>
      </c>
      <c r="Q9238" t="s">
        <v>621</v>
      </c>
      <c r="R9238" t="s">
        <v>917</v>
      </c>
      <c r="S9238">
        <v>39</v>
      </c>
      <c r="T9238" s="29" t="str">
        <f t="shared" si="392"/>
        <v>2023.001B.Leviviricetes_reorg.zip</v>
      </c>
      <c r="U9238" s="29" t="str">
        <f>HYPERLINK("https://ictv.global/taxonomy/taxondetails?taxnode_id=202316696","ictv.global=202316696")</f>
        <v>ictv.global=202316696</v>
      </c>
    </row>
    <row r="9239" spans="1:21">
      <c r="A9239">
        <v>9238</v>
      </c>
      <c r="B9239" s="30" t="s">
        <v>1226</v>
      </c>
      <c r="D9239" s="30" t="s">
        <v>2024</v>
      </c>
      <c r="F9239" s="30" t="s">
        <v>2046</v>
      </c>
      <c r="H9239" s="30" t="s">
        <v>2859</v>
      </c>
      <c r="J9239" s="30" t="s">
        <v>2860</v>
      </c>
      <c r="L9239" s="30" t="s">
        <v>2990</v>
      </c>
      <c r="N9239" s="30" t="s">
        <v>15745</v>
      </c>
      <c r="P9239" s="30" t="s">
        <v>15746</v>
      </c>
      <c r="Q9239" t="s">
        <v>621</v>
      </c>
      <c r="R9239" t="s">
        <v>917</v>
      </c>
      <c r="S9239">
        <v>39</v>
      </c>
      <c r="T9239" s="29" t="str">
        <f t="shared" si="392"/>
        <v>2023.001B.Leviviricetes_reorg.zip</v>
      </c>
      <c r="U9239" s="29" t="str">
        <f>HYPERLINK("https://ictv.global/taxonomy/taxondetails?taxnode_id=202316697","ictv.global=202316697")</f>
        <v>ictv.global=202316697</v>
      </c>
    </row>
    <row r="9240" spans="1:21">
      <c r="A9240">
        <v>9239</v>
      </c>
      <c r="B9240" s="30" t="s">
        <v>1226</v>
      </c>
      <c r="D9240" s="30" t="s">
        <v>2024</v>
      </c>
      <c r="F9240" s="30" t="s">
        <v>2046</v>
      </c>
      <c r="H9240" s="30" t="s">
        <v>2859</v>
      </c>
      <c r="J9240" s="30" t="s">
        <v>2860</v>
      </c>
      <c r="L9240" s="30" t="s">
        <v>2990</v>
      </c>
      <c r="N9240" s="30" t="s">
        <v>15745</v>
      </c>
      <c r="P9240" s="30" t="s">
        <v>15747</v>
      </c>
      <c r="Q9240" t="s">
        <v>621</v>
      </c>
      <c r="R9240" t="s">
        <v>917</v>
      </c>
      <c r="S9240">
        <v>39</v>
      </c>
      <c r="T9240" s="29" t="str">
        <f t="shared" si="392"/>
        <v>2023.001B.Leviviricetes_reorg.zip</v>
      </c>
      <c r="U9240" s="29" t="str">
        <f>HYPERLINK("https://ictv.global/taxonomy/taxondetails?taxnode_id=202316698","ictv.global=202316698")</f>
        <v>ictv.global=202316698</v>
      </c>
    </row>
    <row r="9241" spans="1:21">
      <c r="A9241">
        <v>9240</v>
      </c>
      <c r="B9241" s="30" t="s">
        <v>1226</v>
      </c>
      <c r="D9241" s="30" t="s">
        <v>2024</v>
      </c>
      <c r="F9241" s="30" t="s">
        <v>2046</v>
      </c>
      <c r="H9241" s="30" t="s">
        <v>2859</v>
      </c>
      <c r="J9241" s="30" t="s">
        <v>2860</v>
      </c>
      <c r="L9241" s="30" t="s">
        <v>2990</v>
      </c>
      <c r="N9241" s="30" t="s">
        <v>15745</v>
      </c>
      <c r="P9241" s="30" t="s">
        <v>15748</v>
      </c>
      <c r="Q9241" t="s">
        <v>621</v>
      </c>
      <c r="R9241" t="s">
        <v>917</v>
      </c>
      <c r="S9241">
        <v>39</v>
      </c>
      <c r="T9241" s="29" t="str">
        <f t="shared" si="392"/>
        <v>2023.001B.Leviviricetes_reorg.zip</v>
      </c>
      <c r="U9241" s="29" t="str">
        <f>HYPERLINK("https://ictv.global/taxonomy/taxondetails?taxnode_id=202316699","ictv.global=202316699")</f>
        <v>ictv.global=202316699</v>
      </c>
    </row>
    <row r="9242" spans="1:21">
      <c r="A9242">
        <v>9241</v>
      </c>
      <c r="B9242" s="30" t="s">
        <v>1226</v>
      </c>
      <c r="D9242" s="30" t="s">
        <v>2024</v>
      </c>
      <c r="F9242" s="30" t="s">
        <v>2046</v>
      </c>
      <c r="H9242" s="30" t="s">
        <v>2859</v>
      </c>
      <c r="J9242" s="30" t="s">
        <v>2860</v>
      </c>
      <c r="L9242" s="30" t="s">
        <v>2990</v>
      </c>
      <c r="N9242" s="30" t="s">
        <v>15745</v>
      </c>
      <c r="P9242" s="30" t="s">
        <v>15749</v>
      </c>
      <c r="Q9242" t="s">
        <v>621</v>
      </c>
      <c r="R9242" t="s">
        <v>917</v>
      </c>
      <c r="S9242">
        <v>39</v>
      </c>
      <c r="T9242" s="29" t="str">
        <f t="shared" si="392"/>
        <v>2023.001B.Leviviricetes_reorg.zip</v>
      </c>
      <c r="U9242" s="29" t="str">
        <f>HYPERLINK("https://ictv.global/taxonomy/taxondetails?taxnode_id=202316700","ictv.global=202316700")</f>
        <v>ictv.global=202316700</v>
      </c>
    </row>
    <row r="9243" spans="1:21">
      <c r="A9243">
        <v>9242</v>
      </c>
      <c r="B9243" s="30" t="s">
        <v>1226</v>
      </c>
      <c r="D9243" s="30" t="s">
        <v>2024</v>
      </c>
      <c r="F9243" s="30" t="s">
        <v>2046</v>
      </c>
      <c r="H9243" s="30" t="s">
        <v>2859</v>
      </c>
      <c r="J9243" s="30" t="s">
        <v>2860</v>
      </c>
      <c r="L9243" s="30" t="s">
        <v>2990</v>
      </c>
      <c r="N9243" s="30" t="s">
        <v>15750</v>
      </c>
      <c r="P9243" s="30" t="s">
        <v>15751</v>
      </c>
      <c r="Q9243" t="s">
        <v>621</v>
      </c>
      <c r="R9243" t="s">
        <v>917</v>
      </c>
      <c r="S9243">
        <v>39</v>
      </c>
      <c r="T9243" s="29" t="str">
        <f t="shared" si="392"/>
        <v>2023.001B.Leviviricetes_reorg.zip</v>
      </c>
      <c r="U9243" s="29" t="str">
        <f>HYPERLINK("https://ictv.global/taxonomy/taxondetails?taxnode_id=202316701","ictv.global=202316701")</f>
        <v>ictv.global=202316701</v>
      </c>
    </row>
    <row r="9244" spans="1:21">
      <c r="A9244">
        <v>9243</v>
      </c>
      <c r="B9244" s="30" t="s">
        <v>1226</v>
      </c>
      <c r="D9244" s="30" t="s">
        <v>2024</v>
      </c>
      <c r="F9244" s="30" t="s">
        <v>2046</v>
      </c>
      <c r="H9244" s="30" t="s">
        <v>2859</v>
      </c>
      <c r="J9244" s="30" t="s">
        <v>2860</v>
      </c>
      <c r="L9244" s="30" t="s">
        <v>2990</v>
      </c>
      <c r="N9244" s="30" t="s">
        <v>15752</v>
      </c>
      <c r="P9244" s="30" t="s">
        <v>15753</v>
      </c>
      <c r="Q9244" t="s">
        <v>621</v>
      </c>
      <c r="R9244" t="s">
        <v>917</v>
      </c>
      <c r="S9244">
        <v>39</v>
      </c>
      <c r="T9244" s="29" t="str">
        <f t="shared" si="392"/>
        <v>2023.001B.Leviviricetes_reorg.zip</v>
      </c>
      <c r="U9244" s="29" t="str">
        <f>HYPERLINK("https://ictv.global/taxonomy/taxondetails?taxnode_id=202316702","ictv.global=202316702")</f>
        <v>ictv.global=202316702</v>
      </c>
    </row>
    <row r="9245" spans="1:21">
      <c r="A9245">
        <v>9244</v>
      </c>
      <c r="B9245" s="30" t="s">
        <v>1226</v>
      </c>
      <c r="D9245" s="30" t="s">
        <v>2024</v>
      </c>
      <c r="F9245" s="30" t="s">
        <v>2046</v>
      </c>
      <c r="H9245" s="30" t="s">
        <v>2859</v>
      </c>
      <c r="J9245" s="30" t="s">
        <v>2860</v>
      </c>
      <c r="L9245" s="30" t="s">
        <v>2990</v>
      </c>
      <c r="N9245" s="30" t="s">
        <v>15754</v>
      </c>
      <c r="P9245" s="30" t="s">
        <v>15755</v>
      </c>
      <c r="Q9245" t="s">
        <v>621</v>
      </c>
      <c r="R9245" t="s">
        <v>918</v>
      </c>
      <c r="S9245">
        <v>39</v>
      </c>
      <c r="T9245" s="29" t="str">
        <f t="shared" si="392"/>
        <v>2023.001B.Leviviricetes_reorg.zip</v>
      </c>
      <c r="U9245" s="29" t="str">
        <f>HYPERLINK("https://ictv.global/taxonomy/taxondetails?taxnode_id=202310674","ictv.global=202310674")</f>
        <v>ictv.global=202310674</v>
      </c>
    </row>
    <row r="9246" spans="1:21">
      <c r="A9246">
        <v>9245</v>
      </c>
      <c r="B9246" s="30" t="s">
        <v>1226</v>
      </c>
      <c r="D9246" s="30" t="s">
        <v>2024</v>
      </c>
      <c r="F9246" s="30" t="s">
        <v>2046</v>
      </c>
      <c r="H9246" s="30" t="s">
        <v>2859</v>
      </c>
      <c r="J9246" s="30" t="s">
        <v>2860</v>
      </c>
      <c r="L9246" s="30" t="s">
        <v>2990</v>
      </c>
      <c r="N9246" s="30" t="s">
        <v>15754</v>
      </c>
      <c r="P9246" s="30" t="s">
        <v>15756</v>
      </c>
      <c r="Q9246" t="s">
        <v>621</v>
      </c>
      <c r="R9246" t="s">
        <v>918</v>
      </c>
      <c r="S9246">
        <v>39</v>
      </c>
      <c r="T9246" s="29" t="str">
        <f t="shared" si="392"/>
        <v>2023.001B.Leviviricetes_reorg.zip</v>
      </c>
      <c r="U9246" s="29" t="str">
        <f>HYPERLINK("https://ictv.global/taxonomy/taxondetails?taxnode_id=202310323","ictv.global=202310323")</f>
        <v>ictv.global=202310323</v>
      </c>
    </row>
    <row r="9247" spans="1:21">
      <c r="A9247">
        <v>9246</v>
      </c>
      <c r="B9247" s="30" t="s">
        <v>1226</v>
      </c>
      <c r="D9247" s="30" t="s">
        <v>2024</v>
      </c>
      <c r="F9247" s="30" t="s">
        <v>2046</v>
      </c>
      <c r="H9247" s="30" t="s">
        <v>2859</v>
      </c>
      <c r="J9247" s="30" t="s">
        <v>2860</v>
      </c>
      <c r="L9247" s="30" t="s">
        <v>2990</v>
      </c>
      <c r="N9247" s="30" t="s">
        <v>3307</v>
      </c>
      <c r="P9247" s="30" t="s">
        <v>3308</v>
      </c>
      <c r="Q9247" t="s">
        <v>621</v>
      </c>
      <c r="R9247" t="s">
        <v>917</v>
      </c>
      <c r="S9247">
        <v>36</v>
      </c>
      <c r="T9247" s="29" t="str">
        <f>HYPERLINK("https://ictv.global/ictv/proposals/2020.095B.R.Leviviricetes.zip","2020.095B.R.Leviviricetes.zip")</f>
        <v>2020.095B.R.Leviviricetes.zip</v>
      </c>
      <c r="U9247" s="29" t="str">
        <f>HYPERLINK("https://ictv.global/taxonomy/taxondetails?taxnode_id=202310648","ictv.global=202310648")</f>
        <v>ictv.global=202310648</v>
      </c>
    </row>
    <row r="9248" spans="1:21">
      <c r="A9248">
        <v>9247</v>
      </c>
      <c r="B9248" s="30" t="s">
        <v>1226</v>
      </c>
      <c r="D9248" s="30" t="s">
        <v>2024</v>
      </c>
      <c r="F9248" s="30" t="s">
        <v>2046</v>
      </c>
      <c r="H9248" s="30" t="s">
        <v>2859</v>
      </c>
      <c r="J9248" s="30" t="s">
        <v>2860</v>
      </c>
      <c r="L9248" s="30" t="s">
        <v>2990</v>
      </c>
      <c r="N9248" s="30" t="s">
        <v>3309</v>
      </c>
      <c r="P9248" s="30" t="s">
        <v>3310</v>
      </c>
      <c r="Q9248" t="s">
        <v>621</v>
      </c>
      <c r="R9248" t="s">
        <v>917</v>
      </c>
      <c r="S9248">
        <v>36</v>
      </c>
      <c r="T9248" s="29" t="str">
        <f>HYPERLINK("https://ictv.global/ictv/proposals/2020.095B.R.Leviviricetes.zip","2020.095B.R.Leviviricetes.zip")</f>
        <v>2020.095B.R.Leviviricetes.zip</v>
      </c>
      <c r="U9248" s="29" t="str">
        <f>HYPERLINK("https://ictv.global/taxonomy/taxondetails?taxnode_id=202310650","ictv.global=202310650")</f>
        <v>ictv.global=202310650</v>
      </c>
    </row>
    <row r="9249" spans="1:21">
      <c r="A9249">
        <v>9248</v>
      </c>
      <c r="B9249" s="30" t="s">
        <v>1226</v>
      </c>
      <c r="D9249" s="30" t="s">
        <v>2024</v>
      </c>
      <c r="F9249" s="30" t="s">
        <v>2046</v>
      </c>
      <c r="H9249" s="30" t="s">
        <v>2859</v>
      </c>
      <c r="J9249" s="30" t="s">
        <v>2860</v>
      </c>
      <c r="L9249" s="30" t="s">
        <v>2990</v>
      </c>
      <c r="N9249" s="30" t="s">
        <v>3311</v>
      </c>
      <c r="P9249" s="30" t="s">
        <v>3312</v>
      </c>
      <c r="Q9249" t="s">
        <v>621</v>
      </c>
      <c r="R9249" t="s">
        <v>917</v>
      </c>
      <c r="S9249">
        <v>36</v>
      </c>
      <c r="T9249" s="29" t="str">
        <f>HYPERLINK("https://ictv.global/ictv/proposals/2020.095B.R.Leviviricetes.zip","2020.095B.R.Leviviricetes.zip")</f>
        <v>2020.095B.R.Leviviricetes.zip</v>
      </c>
      <c r="U9249" s="29" t="str">
        <f>HYPERLINK("https://ictv.global/taxonomy/taxondetails?taxnode_id=202310652","ictv.global=202310652")</f>
        <v>ictv.global=202310652</v>
      </c>
    </row>
    <row r="9250" spans="1:21">
      <c r="A9250">
        <v>9249</v>
      </c>
      <c r="B9250" s="30" t="s">
        <v>1226</v>
      </c>
      <c r="D9250" s="30" t="s">
        <v>2024</v>
      </c>
      <c r="F9250" s="30" t="s">
        <v>2046</v>
      </c>
      <c r="H9250" s="30" t="s">
        <v>2859</v>
      </c>
      <c r="J9250" s="30" t="s">
        <v>2860</v>
      </c>
      <c r="L9250" s="30" t="s">
        <v>2990</v>
      </c>
      <c r="N9250" s="30" t="s">
        <v>15757</v>
      </c>
      <c r="P9250" s="30" t="s">
        <v>15758</v>
      </c>
      <c r="Q9250" t="s">
        <v>621</v>
      </c>
      <c r="R9250" t="s">
        <v>917</v>
      </c>
      <c r="S9250">
        <v>39</v>
      </c>
      <c r="T9250" s="29" t="str">
        <f>HYPERLINK("https://ictv.global/ictv/proposals/2023.001B.Leviviricetes_reorg.zip","2023.001B.Leviviricetes_reorg.zip")</f>
        <v>2023.001B.Leviviricetes_reorg.zip</v>
      </c>
      <c r="U9250" s="29" t="str">
        <f>HYPERLINK("https://ictv.global/taxonomy/taxondetails?taxnode_id=202316703","ictv.global=202316703")</f>
        <v>ictv.global=202316703</v>
      </c>
    </row>
    <row r="9251" spans="1:21">
      <c r="A9251">
        <v>9250</v>
      </c>
      <c r="B9251" s="30" t="s">
        <v>1226</v>
      </c>
      <c r="D9251" s="30" t="s">
        <v>2024</v>
      </c>
      <c r="F9251" s="30" t="s">
        <v>2046</v>
      </c>
      <c r="H9251" s="30" t="s">
        <v>2859</v>
      </c>
      <c r="J9251" s="30" t="s">
        <v>2860</v>
      </c>
      <c r="L9251" s="30" t="s">
        <v>2990</v>
      </c>
      <c r="N9251" s="30" t="s">
        <v>15757</v>
      </c>
      <c r="P9251" s="30" t="s">
        <v>15759</v>
      </c>
      <c r="Q9251" t="s">
        <v>621</v>
      </c>
      <c r="R9251" t="s">
        <v>917</v>
      </c>
      <c r="S9251">
        <v>39</v>
      </c>
      <c r="T9251" s="29" t="str">
        <f>HYPERLINK("https://ictv.global/ictv/proposals/2023.001B.Leviviricetes_reorg.zip","2023.001B.Leviviricetes_reorg.zip")</f>
        <v>2023.001B.Leviviricetes_reorg.zip</v>
      </c>
      <c r="U9251" s="29" t="str">
        <f>HYPERLINK("https://ictv.global/taxonomy/taxondetails?taxnode_id=202316704","ictv.global=202316704")</f>
        <v>ictv.global=202316704</v>
      </c>
    </row>
    <row r="9252" spans="1:21">
      <c r="A9252">
        <v>9251</v>
      </c>
      <c r="B9252" s="30" t="s">
        <v>1226</v>
      </c>
      <c r="D9252" s="30" t="s">
        <v>2024</v>
      </c>
      <c r="F9252" s="30" t="s">
        <v>2046</v>
      </c>
      <c r="H9252" s="30" t="s">
        <v>2859</v>
      </c>
      <c r="J9252" s="30" t="s">
        <v>2860</v>
      </c>
      <c r="L9252" s="30" t="s">
        <v>2990</v>
      </c>
      <c r="N9252" s="30" t="s">
        <v>15757</v>
      </c>
      <c r="P9252" s="30" t="s">
        <v>15760</v>
      </c>
      <c r="Q9252" t="s">
        <v>621</v>
      </c>
      <c r="R9252" t="s">
        <v>917</v>
      </c>
      <c r="S9252">
        <v>39</v>
      </c>
      <c r="T9252" s="29" t="str">
        <f>HYPERLINK("https://ictv.global/ictv/proposals/2023.001B.Leviviricetes_reorg.zip","2023.001B.Leviviricetes_reorg.zip")</f>
        <v>2023.001B.Leviviricetes_reorg.zip</v>
      </c>
      <c r="U9252" s="29" t="str">
        <f>HYPERLINK("https://ictv.global/taxonomy/taxondetails?taxnode_id=202316705","ictv.global=202316705")</f>
        <v>ictv.global=202316705</v>
      </c>
    </row>
    <row r="9253" spans="1:21">
      <c r="A9253">
        <v>9252</v>
      </c>
      <c r="B9253" s="30" t="s">
        <v>1226</v>
      </c>
      <c r="D9253" s="30" t="s">
        <v>2024</v>
      </c>
      <c r="F9253" s="30" t="s">
        <v>2046</v>
      </c>
      <c r="H9253" s="30" t="s">
        <v>2859</v>
      </c>
      <c r="J9253" s="30" t="s">
        <v>2860</v>
      </c>
      <c r="L9253" s="30" t="s">
        <v>2990</v>
      </c>
      <c r="N9253" s="30" t="s">
        <v>3313</v>
      </c>
      <c r="P9253" s="30" t="s">
        <v>3314</v>
      </c>
      <c r="Q9253" t="s">
        <v>621</v>
      </c>
      <c r="R9253" t="s">
        <v>917</v>
      </c>
      <c r="S9253">
        <v>36</v>
      </c>
      <c r="T9253" s="29" t="str">
        <f>HYPERLINK("https://ictv.global/ictv/proposals/2020.095B.R.Leviviricetes.zip","2020.095B.R.Leviviricetes.zip")</f>
        <v>2020.095B.R.Leviviricetes.zip</v>
      </c>
      <c r="U9253" s="29" t="str">
        <f>HYPERLINK("https://ictv.global/taxonomy/taxondetails?taxnode_id=202310654","ictv.global=202310654")</f>
        <v>ictv.global=202310654</v>
      </c>
    </row>
    <row r="9254" spans="1:21">
      <c r="A9254">
        <v>9253</v>
      </c>
      <c r="B9254" s="30" t="s">
        <v>1226</v>
      </c>
      <c r="D9254" s="30" t="s">
        <v>2024</v>
      </c>
      <c r="F9254" s="30" t="s">
        <v>2046</v>
      </c>
      <c r="H9254" s="30" t="s">
        <v>2859</v>
      </c>
      <c r="J9254" s="30" t="s">
        <v>2860</v>
      </c>
      <c r="L9254" s="30" t="s">
        <v>2990</v>
      </c>
      <c r="N9254" s="30" t="s">
        <v>15761</v>
      </c>
      <c r="P9254" s="30" t="s">
        <v>15762</v>
      </c>
      <c r="Q9254" t="s">
        <v>621</v>
      </c>
      <c r="R9254" t="s">
        <v>917</v>
      </c>
      <c r="S9254">
        <v>39</v>
      </c>
      <c r="T9254" s="29" t="str">
        <f>HYPERLINK("https://ictv.global/ictv/proposals/2023.001B.Leviviricetes_reorg.zip","2023.001B.Leviviricetes_reorg.zip")</f>
        <v>2023.001B.Leviviricetes_reorg.zip</v>
      </c>
      <c r="U9254" s="29" t="str">
        <f>HYPERLINK("https://ictv.global/taxonomy/taxondetails?taxnode_id=202316706","ictv.global=202316706")</f>
        <v>ictv.global=202316706</v>
      </c>
    </row>
    <row r="9255" spans="1:21">
      <c r="A9255">
        <v>9254</v>
      </c>
      <c r="B9255" s="30" t="s">
        <v>1226</v>
      </c>
      <c r="D9255" s="30" t="s">
        <v>2024</v>
      </c>
      <c r="F9255" s="30" t="s">
        <v>2046</v>
      </c>
      <c r="H9255" s="30" t="s">
        <v>2859</v>
      </c>
      <c r="J9255" s="30" t="s">
        <v>2860</v>
      </c>
      <c r="L9255" s="30" t="s">
        <v>2990</v>
      </c>
      <c r="N9255" s="30" t="s">
        <v>3315</v>
      </c>
      <c r="P9255" s="30" t="s">
        <v>3316</v>
      </c>
      <c r="Q9255" t="s">
        <v>621</v>
      </c>
      <c r="R9255" t="s">
        <v>917</v>
      </c>
      <c r="S9255">
        <v>36</v>
      </c>
      <c r="T9255" s="29" t="str">
        <f>HYPERLINK("https://ictv.global/ictv/proposals/2020.095B.R.Leviviricetes.zip","2020.095B.R.Leviviricetes.zip")</f>
        <v>2020.095B.R.Leviviricetes.zip</v>
      </c>
      <c r="U9255" s="29" t="str">
        <f>HYPERLINK("https://ictv.global/taxonomy/taxondetails?taxnode_id=202310656","ictv.global=202310656")</f>
        <v>ictv.global=202310656</v>
      </c>
    </row>
    <row r="9256" spans="1:21">
      <c r="A9256">
        <v>9255</v>
      </c>
      <c r="B9256" s="30" t="s">
        <v>1226</v>
      </c>
      <c r="D9256" s="30" t="s">
        <v>2024</v>
      </c>
      <c r="F9256" s="30" t="s">
        <v>2046</v>
      </c>
      <c r="H9256" s="30" t="s">
        <v>2859</v>
      </c>
      <c r="J9256" s="30" t="s">
        <v>2860</v>
      </c>
      <c r="L9256" s="30" t="s">
        <v>2990</v>
      </c>
      <c r="N9256" s="30" t="s">
        <v>3315</v>
      </c>
      <c r="P9256" s="30" t="s">
        <v>15763</v>
      </c>
      <c r="Q9256" t="s">
        <v>621</v>
      </c>
      <c r="R9256" t="s">
        <v>917</v>
      </c>
      <c r="S9256">
        <v>39</v>
      </c>
      <c r="T9256" s="29" t="str">
        <f t="shared" ref="T9256:T9270" si="393">HYPERLINK("https://ictv.global/ictv/proposals/2023.001B.Leviviricetes_reorg.zip","2023.001B.Leviviricetes_reorg.zip")</f>
        <v>2023.001B.Leviviricetes_reorg.zip</v>
      </c>
      <c r="U9256" s="29" t="str">
        <f>HYPERLINK("https://ictv.global/taxonomy/taxondetails?taxnode_id=202316707","ictv.global=202316707")</f>
        <v>ictv.global=202316707</v>
      </c>
    </row>
    <row r="9257" spans="1:21">
      <c r="A9257">
        <v>9256</v>
      </c>
      <c r="B9257" s="30" t="s">
        <v>1226</v>
      </c>
      <c r="D9257" s="30" t="s">
        <v>2024</v>
      </c>
      <c r="F9257" s="30" t="s">
        <v>2046</v>
      </c>
      <c r="H9257" s="30" t="s">
        <v>2859</v>
      </c>
      <c r="J9257" s="30" t="s">
        <v>2860</v>
      </c>
      <c r="L9257" s="30" t="s">
        <v>2990</v>
      </c>
      <c r="N9257" s="30" t="s">
        <v>3315</v>
      </c>
      <c r="P9257" s="30" t="s">
        <v>15764</v>
      </c>
      <c r="Q9257" t="s">
        <v>621</v>
      </c>
      <c r="R9257" t="s">
        <v>917</v>
      </c>
      <c r="S9257">
        <v>39</v>
      </c>
      <c r="T9257" s="29" t="str">
        <f t="shared" si="393"/>
        <v>2023.001B.Leviviricetes_reorg.zip</v>
      </c>
      <c r="U9257" s="29" t="str">
        <f>HYPERLINK("https://ictv.global/taxonomy/taxondetails?taxnode_id=202316708","ictv.global=202316708")</f>
        <v>ictv.global=202316708</v>
      </c>
    </row>
    <row r="9258" spans="1:21">
      <c r="A9258">
        <v>9257</v>
      </c>
      <c r="B9258" s="30" t="s">
        <v>1226</v>
      </c>
      <c r="D9258" s="30" t="s">
        <v>2024</v>
      </c>
      <c r="F9258" s="30" t="s">
        <v>2046</v>
      </c>
      <c r="H9258" s="30" t="s">
        <v>2859</v>
      </c>
      <c r="J9258" s="30" t="s">
        <v>2860</v>
      </c>
      <c r="L9258" s="30" t="s">
        <v>2990</v>
      </c>
      <c r="N9258" s="30" t="s">
        <v>3315</v>
      </c>
      <c r="P9258" s="30" t="s">
        <v>15765</v>
      </c>
      <c r="Q9258" t="s">
        <v>621</v>
      </c>
      <c r="R9258" t="s">
        <v>917</v>
      </c>
      <c r="S9258">
        <v>39</v>
      </c>
      <c r="T9258" s="29" t="str">
        <f t="shared" si="393"/>
        <v>2023.001B.Leviviricetes_reorg.zip</v>
      </c>
      <c r="U9258" s="29" t="str">
        <f>HYPERLINK("https://ictv.global/taxonomy/taxondetails?taxnode_id=202316709","ictv.global=202316709")</f>
        <v>ictv.global=202316709</v>
      </c>
    </row>
    <row r="9259" spans="1:21">
      <c r="A9259">
        <v>9258</v>
      </c>
      <c r="B9259" s="30" t="s">
        <v>1226</v>
      </c>
      <c r="D9259" s="30" t="s">
        <v>2024</v>
      </c>
      <c r="F9259" s="30" t="s">
        <v>2046</v>
      </c>
      <c r="H9259" s="30" t="s">
        <v>2859</v>
      </c>
      <c r="J9259" s="30" t="s">
        <v>2860</v>
      </c>
      <c r="L9259" s="30" t="s">
        <v>2990</v>
      </c>
      <c r="N9259" s="30" t="s">
        <v>3315</v>
      </c>
      <c r="P9259" s="30" t="s">
        <v>15766</v>
      </c>
      <c r="Q9259" t="s">
        <v>621</v>
      </c>
      <c r="R9259" t="s">
        <v>917</v>
      </c>
      <c r="S9259">
        <v>39</v>
      </c>
      <c r="T9259" s="29" t="str">
        <f t="shared" si="393"/>
        <v>2023.001B.Leviviricetes_reorg.zip</v>
      </c>
      <c r="U9259" s="29" t="str">
        <f>HYPERLINK("https://ictv.global/taxonomy/taxondetails?taxnode_id=202316710","ictv.global=202316710")</f>
        <v>ictv.global=202316710</v>
      </c>
    </row>
    <row r="9260" spans="1:21">
      <c r="A9260">
        <v>9259</v>
      </c>
      <c r="B9260" s="30" t="s">
        <v>1226</v>
      </c>
      <c r="D9260" s="30" t="s">
        <v>2024</v>
      </c>
      <c r="F9260" s="30" t="s">
        <v>2046</v>
      </c>
      <c r="H9260" s="30" t="s">
        <v>2859</v>
      </c>
      <c r="J9260" s="30" t="s">
        <v>2860</v>
      </c>
      <c r="L9260" s="30" t="s">
        <v>2990</v>
      </c>
      <c r="N9260" s="30" t="s">
        <v>15767</v>
      </c>
      <c r="P9260" s="30" t="s">
        <v>15768</v>
      </c>
      <c r="Q9260" t="s">
        <v>621</v>
      </c>
      <c r="R9260" t="s">
        <v>918</v>
      </c>
      <c r="S9260">
        <v>39</v>
      </c>
      <c r="T9260" s="29" t="str">
        <f t="shared" si="393"/>
        <v>2023.001B.Leviviricetes_reorg.zip</v>
      </c>
      <c r="U9260" s="29" t="str">
        <f>HYPERLINK("https://ictv.global/taxonomy/taxondetails?taxnode_id=202310336","ictv.global=202310336")</f>
        <v>ictv.global=202310336</v>
      </c>
    </row>
    <row r="9261" spans="1:21">
      <c r="A9261">
        <v>9260</v>
      </c>
      <c r="B9261" s="30" t="s">
        <v>1226</v>
      </c>
      <c r="D9261" s="30" t="s">
        <v>2024</v>
      </c>
      <c r="F9261" s="30" t="s">
        <v>2046</v>
      </c>
      <c r="H9261" s="30" t="s">
        <v>2859</v>
      </c>
      <c r="J9261" s="30" t="s">
        <v>2860</v>
      </c>
      <c r="L9261" s="30" t="s">
        <v>2990</v>
      </c>
      <c r="N9261" s="30" t="s">
        <v>15767</v>
      </c>
      <c r="P9261" s="30" t="s">
        <v>15769</v>
      </c>
      <c r="Q9261" t="s">
        <v>621</v>
      </c>
      <c r="R9261" t="s">
        <v>917</v>
      </c>
      <c r="S9261">
        <v>39</v>
      </c>
      <c r="T9261" s="29" t="str">
        <f t="shared" si="393"/>
        <v>2023.001B.Leviviricetes_reorg.zip</v>
      </c>
      <c r="U9261" s="29" t="str">
        <f>HYPERLINK("https://ictv.global/taxonomy/taxondetails?taxnode_id=202316711","ictv.global=202316711")</f>
        <v>ictv.global=202316711</v>
      </c>
    </row>
    <row r="9262" spans="1:21">
      <c r="A9262">
        <v>9261</v>
      </c>
      <c r="B9262" s="30" t="s">
        <v>1226</v>
      </c>
      <c r="D9262" s="30" t="s">
        <v>2024</v>
      </c>
      <c r="F9262" s="30" t="s">
        <v>2046</v>
      </c>
      <c r="H9262" s="30" t="s">
        <v>2859</v>
      </c>
      <c r="J9262" s="30" t="s">
        <v>2860</v>
      </c>
      <c r="L9262" s="30" t="s">
        <v>2990</v>
      </c>
      <c r="N9262" s="30" t="s">
        <v>15767</v>
      </c>
      <c r="P9262" s="30" t="s">
        <v>15770</v>
      </c>
      <c r="Q9262" t="s">
        <v>621</v>
      </c>
      <c r="R9262" t="s">
        <v>917</v>
      </c>
      <c r="S9262">
        <v>39</v>
      </c>
      <c r="T9262" s="29" t="str">
        <f t="shared" si="393"/>
        <v>2023.001B.Leviviricetes_reorg.zip</v>
      </c>
      <c r="U9262" s="29" t="str">
        <f>HYPERLINK("https://ictv.global/taxonomy/taxondetails?taxnode_id=202316712","ictv.global=202316712")</f>
        <v>ictv.global=202316712</v>
      </c>
    </row>
    <row r="9263" spans="1:21">
      <c r="A9263">
        <v>9262</v>
      </c>
      <c r="B9263" s="30" t="s">
        <v>1226</v>
      </c>
      <c r="D9263" s="30" t="s">
        <v>2024</v>
      </c>
      <c r="F9263" s="30" t="s">
        <v>2046</v>
      </c>
      <c r="H9263" s="30" t="s">
        <v>2859</v>
      </c>
      <c r="J9263" s="30" t="s">
        <v>2860</v>
      </c>
      <c r="L9263" s="30" t="s">
        <v>2990</v>
      </c>
      <c r="N9263" s="30" t="s">
        <v>15767</v>
      </c>
      <c r="P9263" s="30" t="s">
        <v>15771</v>
      </c>
      <c r="Q9263" t="s">
        <v>621</v>
      </c>
      <c r="R9263" t="s">
        <v>917</v>
      </c>
      <c r="S9263">
        <v>39</v>
      </c>
      <c r="T9263" s="29" t="str">
        <f t="shared" si="393"/>
        <v>2023.001B.Leviviricetes_reorg.zip</v>
      </c>
      <c r="U9263" s="29" t="str">
        <f>HYPERLINK("https://ictv.global/taxonomy/taxondetails?taxnode_id=202316713","ictv.global=202316713")</f>
        <v>ictv.global=202316713</v>
      </c>
    </row>
    <row r="9264" spans="1:21">
      <c r="A9264">
        <v>9263</v>
      </c>
      <c r="B9264" s="30" t="s">
        <v>1226</v>
      </c>
      <c r="D9264" s="30" t="s">
        <v>2024</v>
      </c>
      <c r="F9264" s="30" t="s">
        <v>2046</v>
      </c>
      <c r="H9264" s="30" t="s">
        <v>2859</v>
      </c>
      <c r="J9264" s="30" t="s">
        <v>2860</v>
      </c>
      <c r="L9264" s="30" t="s">
        <v>2990</v>
      </c>
      <c r="N9264" s="30" t="s">
        <v>15767</v>
      </c>
      <c r="P9264" s="30" t="s">
        <v>15772</v>
      </c>
      <c r="Q9264" t="s">
        <v>621</v>
      </c>
      <c r="R9264" t="s">
        <v>917</v>
      </c>
      <c r="S9264">
        <v>39</v>
      </c>
      <c r="T9264" s="29" t="str">
        <f t="shared" si="393"/>
        <v>2023.001B.Leviviricetes_reorg.zip</v>
      </c>
      <c r="U9264" s="29" t="str">
        <f>HYPERLINK("https://ictv.global/taxonomy/taxondetails?taxnode_id=202316714","ictv.global=202316714")</f>
        <v>ictv.global=202316714</v>
      </c>
    </row>
    <row r="9265" spans="1:21">
      <c r="A9265">
        <v>9264</v>
      </c>
      <c r="B9265" s="30" t="s">
        <v>1226</v>
      </c>
      <c r="D9265" s="30" t="s">
        <v>2024</v>
      </c>
      <c r="F9265" s="30" t="s">
        <v>2046</v>
      </c>
      <c r="H9265" s="30" t="s">
        <v>2859</v>
      </c>
      <c r="J9265" s="30" t="s">
        <v>2860</v>
      </c>
      <c r="L9265" s="30" t="s">
        <v>2990</v>
      </c>
      <c r="N9265" s="30" t="s">
        <v>15767</v>
      </c>
      <c r="P9265" s="30" t="s">
        <v>15773</v>
      </c>
      <c r="Q9265" t="s">
        <v>621</v>
      </c>
      <c r="R9265" t="s">
        <v>918</v>
      </c>
      <c r="S9265">
        <v>39</v>
      </c>
      <c r="T9265" s="29" t="str">
        <f t="shared" si="393"/>
        <v>2023.001B.Leviviricetes_reorg.zip</v>
      </c>
      <c r="U9265" s="29" t="str">
        <f>HYPERLINK("https://ictv.global/taxonomy/taxondetails?taxnode_id=202310478","ictv.global=202310478")</f>
        <v>ictv.global=202310478</v>
      </c>
    </row>
    <row r="9266" spans="1:21">
      <c r="A9266">
        <v>9265</v>
      </c>
      <c r="B9266" s="30" t="s">
        <v>1226</v>
      </c>
      <c r="D9266" s="30" t="s">
        <v>2024</v>
      </c>
      <c r="F9266" s="30" t="s">
        <v>2046</v>
      </c>
      <c r="H9266" s="30" t="s">
        <v>2859</v>
      </c>
      <c r="J9266" s="30" t="s">
        <v>2860</v>
      </c>
      <c r="L9266" s="30" t="s">
        <v>2990</v>
      </c>
      <c r="N9266" s="30" t="s">
        <v>15767</v>
      </c>
      <c r="P9266" s="30" t="s">
        <v>15774</v>
      </c>
      <c r="Q9266" t="s">
        <v>621</v>
      </c>
      <c r="R9266" t="s">
        <v>917</v>
      </c>
      <c r="S9266">
        <v>39</v>
      </c>
      <c r="T9266" s="29" t="str">
        <f t="shared" si="393"/>
        <v>2023.001B.Leviviricetes_reorg.zip</v>
      </c>
      <c r="U9266" s="29" t="str">
        <f>HYPERLINK("https://ictv.global/taxonomy/taxondetails?taxnode_id=202316715","ictv.global=202316715")</f>
        <v>ictv.global=202316715</v>
      </c>
    </row>
    <row r="9267" spans="1:21">
      <c r="A9267">
        <v>9266</v>
      </c>
      <c r="B9267" s="30" t="s">
        <v>1226</v>
      </c>
      <c r="D9267" s="30" t="s">
        <v>2024</v>
      </c>
      <c r="F9267" s="30" t="s">
        <v>2046</v>
      </c>
      <c r="H9267" s="30" t="s">
        <v>2859</v>
      </c>
      <c r="J9267" s="30" t="s">
        <v>2860</v>
      </c>
      <c r="L9267" s="30" t="s">
        <v>2990</v>
      </c>
      <c r="N9267" s="30" t="s">
        <v>15767</v>
      </c>
      <c r="P9267" s="30" t="s">
        <v>15775</v>
      </c>
      <c r="Q9267" t="s">
        <v>621</v>
      </c>
      <c r="R9267" t="s">
        <v>917</v>
      </c>
      <c r="S9267">
        <v>39</v>
      </c>
      <c r="T9267" s="29" t="str">
        <f t="shared" si="393"/>
        <v>2023.001B.Leviviricetes_reorg.zip</v>
      </c>
      <c r="U9267" s="29" t="str">
        <f>HYPERLINK("https://ictv.global/taxonomy/taxondetails?taxnode_id=202316716","ictv.global=202316716")</f>
        <v>ictv.global=202316716</v>
      </c>
    </row>
    <row r="9268" spans="1:21">
      <c r="A9268">
        <v>9267</v>
      </c>
      <c r="B9268" s="30" t="s">
        <v>1226</v>
      </c>
      <c r="D9268" s="30" t="s">
        <v>2024</v>
      </c>
      <c r="F9268" s="30" t="s">
        <v>2046</v>
      </c>
      <c r="H9268" s="30" t="s">
        <v>2859</v>
      </c>
      <c r="J9268" s="30" t="s">
        <v>2860</v>
      </c>
      <c r="L9268" s="30" t="s">
        <v>2990</v>
      </c>
      <c r="N9268" s="30" t="s">
        <v>15767</v>
      </c>
      <c r="P9268" s="30" t="s">
        <v>15776</v>
      </c>
      <c r="Q9268" t="s">
        <v>621</v>
      </c>
      <c r="R9268" t="s">
        <v>917</v>
      </c>
      <c r="S9268">
        <v>39</v>
      </c>
      <c r="T9268" s="29" t="str">
        <f t="shared" si="393"/>
        <v>2023.001B.Leviviricetes_reorg.zip</v>
      </c>
      <c r="U9268" s="29" t="str">
        <f>HYPERLINK("https://ictv.global/taxonomy/taxondetails?taxnode_id=202316717","ictv.global=202316717")</f>
        <v>ictv.global=202316717</v>
      </c>
    </row>
    <row r="9269" spans="1:21">
      <c r="A9269">
        <v>9268</v>
      </c>
      <c r="B9269" s="30" t="s">
        <v>1226</v>
      </c>
      <c r="D9269" s="30" t="s">
        <v>2024</v>
      </c>
      <c r="F9269" s="30" t="s">
        <v>2046</v>
      </c>
      <c r="H9269" s="30" t="s">
        <v>2859</v>
      </c>
      <c r="J9269" s="30" t="s">
        <v>2860</v>
      </c>
      <c r="L9269" s="30" t="s">
        <v>2990</v>
      </c>
      <c r="N9269" s="30" t="s">
        <v>15767</v>
      </c>
      <c r="P9269" s="30" t="s">
        <v>15777</v>
      </c>
      <c r="Q9269" t="s">
        <v>621</v>
      </c>
      <c r="R9269" t="s">
        <v>918</v>
      </c>
      <c r="S9269">
        <v>39</v>
      </c>
      <c r="T9269" s="29" t="str">
        <f t="shared" si="393"/>
        <v>2023.001B.Leviviricetes_reorg.zip</v>
      </c>
      <c r="U9269" s="29" t="str">
        <f>HYPERLINK("https://ictv.global/taxonomy/taxondetails?taxnode_id=202310335","ictv.global=202310335")</f>
        <v>ictv.global=202310335</v>
      </c>
    </row>
    <row r="9270" spans="1:21">
      <c r="A9270">
        <v>9269</v>
      </c>
      <c r="B9270" s="30" t="s">
        <v>1226</v>
      </c>
      <c r="D9270" s="30" t="s">
        <v>2024</v>
      </c>
      <c r="F9270" s="30" t="s">
        <v>2046</v>
      </c>
      <c r="H9270" s="30" t="s">
        <v>2859</v>
      </c>
      <c r="J9270" s="30" t="s">
        <v>2860</v>
      </c>
      <c r="L9270" s="30" t="s">
        <v>2990</v>
      </c>
      <c r="N9270" s="30" t="s">
        <v>3317</v>
      </c>
      <c r="P9270" s="30" t="s">
        <v>15778</v>
      </c>
      <c r="Q9270" t="s">
        <v>621</v>
      </c>
      <c r="R9270" t="s">
        <v>917</v>
      </c>
      <c r="S9270">
        <v>39</v>
      </c>
      <c r="T9270" s="29" t="str">
        <f t="shared" si="393"/>
        <v>2023.001B.Leviviricetes_reorg.zip</v>
      </c>
      <c r="U9270" s="29" t="str">
        <f>HYPERLINK("https://ictv.global/taxonomy/taxondetails?taxnode_id=202316718","ictv.global=202316718")</f>
        <v>ictv.global=202316718</v>
      </c>
    </row>
    <row r="9271" spans="1:21">
      <c r="A9271">
        <v>9270</v>
      </c>
      <c r="B9271" s="30" t="s">
        <v>1226</v>
      </c>
      <c r="D9271" s="30" t="s">
        <v>2024</v>
      </c>
      <c r="F9271" s="30" t="s">
        <v>2046</v>
      </c>
      <c r="H9271" s="30" t="s">
        <v>2859</v>
      </c>
      <c r="J9271" s="30" t="s">
        <v>2860</v>
      </c>
      <c r="L9271" s="30" t="s">
        <v>2990</v>
      </c>
      <c r="N9271" s="30" t="s">
        <v>3317</v>
      </c>
      <c r="P9271" s="30" t="s">
        <v>3318</v>
      </c>
      <c r="Q9271" t="s">
        <v>621</v>
      </c>
      <c r="R9271" t="s">
        <v>917</v>
      </c>
      <c r="S9271">
        <v>36</v>
      </c>
      <c r="T9271" s="29" t="str">
        <f>HYPERLINK("https://ictv.global/ictv/proposals/2020.095B.R.Leviviricetes.zip","2020.095B.R.Leviviricetes.zip")</f>
        <v>2020.095B.R.Leviviricetes.zip</v>
      </c>
      <c r="U9271" s="29" t="str">
        <f>HYPERLINK("https://ictv.global/taxonomy/taxondetails?taxnode_id=202310658","ictv.global=202310658")</f>
        <v>ictv.global=202310658</v>
      </c>
    </row>
    <row r="9272" spans="1:21">
      <c r="A9272">
        <v>9271</v>
      </c>
      <c r="B9272" s="30" t="s">
        <v>1226</v>
      </c>
      <c r="D9272" s="30" t="s">
        <v>2024</v>
      </c>
      <c r="F9272" s="30" t="s">
        <v>2046</v>
      </c>
      <c r="H9272" s="30" t="s">
        <v>2859</v>
      </c>
      <c r="J9272" s="30" t="s">
        <v>2860</v>
      </c>
      <c r="L9272" s="30" t="s">
        <v>2990</v>
      </c>
      <c r="N9272" s="30" t="s">
        <v>3317</v>
      </c>
      <c r="P9272" s="30" t="s">
        <v>15779</v>
      </c>
      <c r="Q9272" t="s">
        <v>621</v>
      </c>
      <c r="R9272" t="s">
        <v>917</v>
      </c>
      <c r="S9272">
        <v>39</v>
      </c>
      <c r="T9272" s="29" t="str">
        <f t="shared" ref="T9272:T9279" si="394">HYPERLINK("https://ictv.global/ictv/proposals/2023.001B.Leviviricetes_reorg.zip","2023.001B.Leviviricetes_reorg.zip")</f>
        <v>2023.001B.Leviviricetes_reorg.zip</v>
      </c>
      <c r="U9272" s="29" t="str">
        <f>HYPERLINK("https://ictv.global/taxonomy/taxondetails?taxnode_id=202316719","ictv.global=202316719")</f>
        <v>ictv.global=202316719</v>
      </c>
    </row>
    <row r="9273" spans="1:21">
      <c r="A9273">
        <v>9272</v>
      </c>
      <c r="B9273" s="30" t="s">
        <v>1226</v>
      </c>
      <c r="D9273" s="30" t="s">
        <v>2024</v>
      </c>
      <c r="F9273" s="30" t="s">
        <v>2046</v>
      </c>
      <c r="H9273" s="30" t="s">
        <v>2859</v>
      </c>
      <c r="J9273" s="30" t="s">
        <v>2860</v>
      </c>
      <c r="L9273" s="30" t="s">
        <v>2990</v>
      </c>
      <c r="N9273" s="30" t="s">
        <v>15780</v>
      </c>
      <c r="P9273" s="30" t="s">
        <v>15781</v>
      </c>
      <c r="Q9273" t="s">
        <v>621</v>
      </c>
      <c r="R9273" t="s">
        <v>917</v>
      </c>
      <c r="S9273">
        <v>39</v>
      </c>
      <c r="T9273" s="29" t="str">
        <f t="shared" si="394"/>
        <v>2023.001B.Leviviricetes_reorg.zip</v>
      </c>
      <c r="U9273" s="29" t="str">
        <f>HYPERLINK("https://ictv.global/taxonomy/taxondetails?taxnode_id=202316720","ictv.global=202316720")</f>
        <v>ictv.global=202316720</v>
      </c>
    </row>
    <row r="9274" spans="1:21">
      <c r="A9274">
        <v>9273</v>
      </c>
      <c r="B9274" s="30" t="s">
        <v>1226</v>
      </c>
      <c r="D9274" s="30" t="s">
        <v>2024</v>
      </c>
      <c r="F9274" s="30" t="s">
        <v>2046</v>
      </c>
      <c r="H9274" s="30" t="s">
        <v>2859</v>
      </c>
      <c r="J9274" s="30" t="s">
        <v>2860</v>
      </c>
      <c r="L9274" s="30" t="s">
        <v>2990</v>
      </c>
      <c r="N9274" s="30" t="s">
        <v>15782</v>
      </c>
      <c r="P9274" s="30" t="s">
        <v>15783</v>
      </c>
      <c r="Q9274" t="s">
        <v>621</v>
      </c>
      <c r="R9274" t="s">
        <v>918</v>
      </c>
      <c r="S9274">
        <v>39</v>
      </c>
      <c r="T9274" s="29" t="str">
        <f t="shared" si="394"/>
        <v>2023.001B.Leviviricetes_reorg.zip</v>
      </c>
      <c r="U9274" s="29" t="str">
        <f>HYPERLINK("https://ictv.global/taxonomy/taxondetails?taxnode_id=202310664","ictv.global=202310664")</f>
        <v>ictv.global=202310664</v>
      </c>
    </row>
    <row r="9275" spans="1:21">
      <c r="A9275">
        <v>9274</v>
      </c>
      <c r="B9275" s="30" t="s">
        <v>1226</v>
      </c>
      <c r="D9275" s="30" t="s">
        <v>2024</v>
      </c>
      <c r="F9275" s="30" t="s">
        <v>2046</v>
      </c>
      <c r="H9275" s="30" t="s">
        <v>2859</v>
      </c>
      <c r="J9275" s="30" t="s">
        <v>2860</v>
      </c>
      <c r="L9275" s="30" t="s">
        <v>2990</v>
      </c>
      <c r="N9275" s="30" t="s">
        <v>15784</v>
      </c>
      <c r="P9275" s="30" t="s">
        <v>15785</v>
      </c>
      <c r="Q9275" t="s">
        <v>621</v>
      </c>
      <c r="R9275" t="s">
        <v>918</v>
      </c>
      <c r="S9275">
        <v>39</v>
      </c>
      <c r="T9275" s="29" t="str">
        <f t="shared" si="394"/>
        <v>2023.001B.Leviviricetes_reorg.zip</v>
      </c>
      <c r="U9275" s="29" t="str">
        <f>HYPERLINK("https://ictv.global/taxonomy/taxondetails?taxnode_id=202310559","ictv.global=202310559")</f>
        <v>ictv.global=202310559</v>
      </c>
    </row>
    <row r="9276" spans="1:21">
      <c r="A9276">
        <v>9275</v>
      </c>
      <c r="B9276" s="30" t="s">
        <v>1226</v>
      </c>
      <c r="D9276" s="30" t="s">
        <v>2024</v>
      </c>
      <c r="F9276" s="30" t="s">
        <v>2046</v>
      </c>
      <c r="H9276" s="30" t="s">
        <v>2859</v>
      </c>
      <c r="J9276" s="30" t="s">
        <v>2860</v>
      </c>
      <c r="L9276" s="30" t="s">
        <v>2990</v>
      </c>
      <c r="N9276" s="30" t="s">
        <v>15784</v>
      </c>
      <c r="P9276" s="30" t="s">
        <v>15786</v>
      </c>
      <c r="Q9276" t="s">
        <v>621</v>
      </c>
      <c r="R9276" t="s">
        <v>918</v>
      </c>
      <c r="S9276">
        <v>39</v>
      </c>
      <c r="T9276" s="29" t="str">
        <f t="shared" si="394"/>
        <v>2023.001B.Leviviricetes_reorg.zip</v>
      </c>
      <c r="U9276" s="29" t="str">
        <f>HYPERLINK("https://ictv.global/taxonomy/taxondetails?taxnode_id=202310560","ictv.global=202310560")</f>
        <v>ictv.global=202310560</v>
      </c>
    </row>
    <row r="9277" spans="1:21">
      <c r="A9277">
        <v>9276</v>
      </c>
      <c r="B9277" s="30" t="s">
        <v>1226</v>
      </c>
      <c r="D9277" s="30" t="s">
        <v>2024</v>
      </c>
      <c r="F9277" s="30" t="s">
        <v>2046</v>
      </c>
      <c r="H9277" s="30" t="s">
        <v>2859</v>
      </c>
      <c r="J9277" s="30" t="s">
        <v>2860</v>
      </c>
      <c r="L9277" s="30" t="s">
        <v>2990</v>
      </c>
      <c r="N9277" s="30" t="s">
        <v>15784</v>
      </c>
      <c r="P9277" s="30" t="s">
        <v>15787</v>
      </c>
      <c r="Q9277" t="s">
        <v>621</v>
      </c>
      <c r="R9277" t="s">
        <v>918</v>
      </c>
      <c r="S9277">
        <v>39</v>
      </c>
      <c r="T9277" s="29" t="str">
        <f t="shared" si="394"/>
        <v>2023.001B.Leviviricetes_reorg.zip</v>
      </c>
      <c r="U9277" s="29" t="str">
        <f>HYPERLINK("https://ictv.global/taxonomy/taxondetails?taxnode_id=202310561","ictv.global=202310561")</f>
        <v>ictv.global=202310561</v>
      </c>
    </row>
    <row r="9278" spans="1:21">
      <c r="A9278">
        <v>9277</v>
      </c>
      <c r="B9278" s="30" t="s">
        <v>1226</v>
      </c>
      <c r="D9278" s="30" t="s">
        <v>2024</v>
      </c>
      <c r="F9278" s="30" t="s">
        <v>2046</v>
      </c>
      <c r="H9278" s="30" t="s">
        <v>2859</v>
      </c>
      <c r="J9278" s="30" t="s">
        <v>2860</v>
      </c>
      <c r="L9278" s="30" t="s">
        <v>2990</v>
      </c>
      <c r="N9278" s="30" t="s">
        <v>15788</v>
      </c>
      <c r="P9278" s="30" t="s">
        <v>15789</v>
      </c>
      <c r="Q9278" t="s">
        <v>621</v>
      </c>
      <c r="R9278" t="s">
        <v>918</v>
      </c>
      <c r="S9278">
        <v>39</v>
      </c>
      <c r="T9278" s="29" t="str">
        <f t="shared" si="394"/>
        <v>2023.001B.Leviviricetes_reorg.zip</v>
      </c>
      <c r="U9278" s="29" t="str">
        <f>HYPERLINK("https://ictv.global/taxonomy/taxondetails?taxnode_id=202310262","ictv.global=202310262")</f>
        <v>ictv.global=202310262</v>
      </c>
    </row>
    <row r="9279" spans="1:21">
      <c r="A9279">
        <v>9278</v>
      </c>
      <c r="B9279" s="30" t="s">
        <v>1226</v>
      </c>
      <c r="D9279" s="30" t="s">
        <v>2024</v>
      </c>
      <c r="F9279" s="30" t="s">
        <v>2046</v>
      </c>
      <c r="H9279" s="30" t="s">
        <v>2859</v>
      </c>
      <c r="J9279" s="30" t="s">
        <v>2860</v>
      </c>
      <c r="L9279" s="30" t="s">
        <v>2990</v>
      </c>
      <c r="N9279" s="30" t="s">
        <v>15788</v>
      </c>
      <c r="P9279" s="30" t="s">
        <v>15790</v>
      </c>
      <c r="Q9279" t="s">
        <v>621</v>
      </c>
      <c r="R9279" t="s">
        <v>918</v>
      </c>
      <c r="S9279">
        <v>39</v>
      </c>
      <c r="T9279" s="29" t="str">
        <f t="shared" si="394"/>
        <v>2023.001B.Leviviricetes_reorg.zip</v>
      </c>
      <c r="U9279" s="29" t="str">
        <f>HYPERLINK("https://ictv.global/taxonomy/taxondetails?taxnode_id=202310260","ictv.global=202310260")</f>
        <v>ictv.global=202310260</v>
      </c>
    </row>
    <row r="9280" spans="1:21">
      <c r="A9280">
        <v>9279</v>
      </c>
      <c r="B9280" s="30" t="s">
        <v>1226</v>
      </c>
      <c r="D9280" s="30" t="s">
        <v>2024</v>
      </c>
      <c r="F9280" s="30" t="s">
        <v>2046</v>
      </c>
      <c r="H9280" s="30" t="s">
        <v>2859</v>
      </c>
      <c r="J9280" s="30" t="s">
        <v>2860</v>
      </c>
      <c r="L9280" s="30" t="s">
        <v>2990</v>
      </c>
      <c r="N9280" s="30" t="s">
        <v>3319</v>
      </c>
      <c r="P9280" s="30" t="s">
        <v>3320</v>
      </c>
      <c r="Q9280" t="s">
        <v>621</v>
      </c>
      <c r="R9280" t="s">
        <v>917</v>
      </c>
      <c r="S9280">
        <v>36</v>
      </c>
      <c r="T9280" s="29" t="str">
        <f>HYPERLINK("https://ictv.global/ictv/proposals/2020.095B.R.Leviviricetes.zip","2020.095B.R.Leviviricetes.zip")</f>
        <v>2020.095B.R.Leviviricetes.zip</v>
      </c>
      <c r="U9280" s="29" t="str">
        <f>HYPERLINK("https://ictv.global/taxonomy/taxondetails?taxnode_id=202310660","ictv.global=202310660")</f>
        <v>ictv.global=202310660</v>
      </c>
    </row>
    <row r="9281" spans="1:21">
      <c r="A9281">
        <v>9280</v>
      </c>
      <c r="B9281" s="30" t="s">
        <v>1226</v>
      </c>
      <c r="D9281" s="30" t="s">
        <v>2024</v>
      </c>
      <c r="F9281" s="30" t="s">
        <v>2046</v>
      </c>
      <c r="H9281" s="30" t="s">
        <v>2859</v>
      </c>
      <c r="J9281" s="30" t="s">
        <v>2860</v>
      </c>
      <c r="L9281" s="30" t="s">
        <v>2990</v>
      </c>
      <c r="N9281" s="30" t="s">
        <v>3321</v>
      </c>
      <c r="P9281" s="30" t="s">
        <v>3322</v>
      </c>
      <c r="Q9281" t="s">
        <v>621</v>
      </c>
      <c r="R9281" t="s">
        <v>917</v>
      </c>
      <c r="S9281">
        <v>36</v>
      </c>
      <c r="T9281" s="29" t="str">
        <f>HYPERLINK("https://ictv.global/ictv/proposals/2020.095B.R.Leviviricetes.zip","2020.095B.R.Leviviricetes.zip")</f>
        <v>2020.095B.R.Leviviricetes.zip</v>
      </c>
      <c r="U9281" s="29" t="str">
        <f>HYPERLINK("https://ictv.global/taxonomy/taxondetails?taxnode_id=202310662","ictv.global=202310662")</f>
        <v>ictv.global=202310662</v>
      </c>
    </row>
    <row r="9282" spans="1:21">
      <c r="A9282">
        <v>9281</v>
      </c>
      <c r="B9282" s="30" t="s">
        <v>1226</v>
      </c>
      <c r="D9282" s="30" t="s">
        <v>2024</v>
      </c>
      <c r="F9282" s="30" t="s">
        <v>2046</v>
      </c>
      <c r="H9282" s="30" t="s">
        <v>2859</v>
      </c>
      <c r="J9282" s="30" t="s">
        <v>2860</v>
      </c>
      <c r="L9282" s="30" t="s">
        <v>2990</v>
      </c>
      <c r="N9282" s="30" t="s">
        <v>3323</v>
      </c>
      <c r="P9282" s="30" t="s">
        <v>15791</v>
      </c>
      <c r="Q9282" t="s">
        <v>621</v>
      </c>
      <c r="R9282" t="s">
        <v>917</v>
      </c>
      <c r="S9282">
        <v>39</v>
      </c>
      <c r="T9282" s="29" t="str">
        <f t="shared" ref="T9282:T9290" si="395">HYPERLINK("https://ictv.global/ictv/proposals/2023.001B.Leviviricetes_reorg.zip","2023.001B.Leviviricetes_reorg.zip")</f>
        <v>2023.001B.Leviviricetes_reorg.zip</v>
      </c>
      <c r="U9282" s="29" t="str">
        <f>HYPERLINK("https://ictv.global/taxonomy/taxondetails?taxnode_id=202316721","ictv.global=202316721")</f>
        <v>ictv.global=202316721</v>
      </c>
    </row>
    <row r="9283" spans="1:21">
      <c r="A9283">
        <v>9282</v>
      </c>
      <c r="B9283" s="30" t="s">
        <v>1226</v>
      </c>
      <c r="D9283" s="30" t="s">
        <v>2024</v>
      </c>
      <c r="F9283" s="30" t="s">
        <v>2046</v>
      </c>
      <c r="H9283" s="30" t="s">
        <v>2859</v>
      </c>
      <c r="J9283" s="30" t="s">
        <v>2860</v>
      </c>
      <c r="L9283" s="30" t="s">
        <v>2990</v>
      </c>
      <c r="N9283" s="30" t="s">
        <v>3323</v>
      </c>
      <c r="P9283" s="30" t="s">
        <v>15792</v>
      </c>
      <c r="Q9283" t="s">
        <v>621</v>
      </c>
      <c r="R9283" t="s">
        <v>917</v>
      </c>
      <c r="S9283">
        <v>39</v>
      </c>
      <c r="T9283" s="29" t="str">
        <f t="shared" si="395"/>
        <v>2023.001B.Leviviricetes_reorg.zip</v>
      </c>
      <c r="U9283" s="29" t="str">
        <f>HYPERLINK("https://ictv.global/taxonomy/taxondetails?taxnode_id=202316722","ictv.global=202316722")</f>
        <v>ictv.global=202316722</v>
      </c>
    </row>
    <row r="9284" spans="1:21">
      <c r="A9284">
        <v>9283</v>
      </c>
      <c r="B9284" s="30" t="s">
        <v>1226</v>
      </c>
      <c r="D9284" s="30" t="s">
        <v>2024</v>
      </c>
      <c r="F9284" s="30" t="s">
        <v>2046</v>
      </c>
      <c r="H9284" s="30" t="s">
        <v>2859</v>
      </c>
      <c r="J9284" s="30" t="s">
        <v>2860</v>
      </c>
      <c r="L9284" s="30" t="s">
        <v>2990</v>
      </c>
      <c r="N9284" s="30" t="s">
        <v>3323</v>
      </c>
      <c r="P9284" s="30" t="s">
        <v>15793</v>
      </c>
      <c r="Q9284" t="s">
        <v>621</v>
      </c>
      <c r="R9284" t="s">
        <v>917</v>
      </c>
      <c r="S9284">
        <v>39</v>
      </c>
      <c r="T9284" s="29" t="str">
        <f t="shared" si="395"/>
        <v>2023.001B.Leviviricetes_reorg.zip</v>
      </c>
      <c r="U9284" s="29" t="str">
        <f>HYPERLINK("https://ictv.global/taxonomy/taxondetails?taxnode_id=202316723","ictv.global=202316723")</f>
        <v>ictv.global=202316723</v>
      </c>
    </row>
    <row r="9285" spans="1:21">
      <c r="A9285">
        <v>9284</v>
      </c>
      <c r="B9285" s="30" t="s">
        <v>1226</v>
      </c>
      <c r="D9285" s="30" t="s">
        <v>2024</v>
      </c>
      <c r="F9285" s="30" t="s">
        <v>2046</v>
      </c>
      <c r="H9285" s="30" t="s">
        <v>2859</v>
      </c>
      <c r="J9285" s="30" t="s">
        <v>2860</v>
      </c>
      <c r="L9285" s="30" t="s">
        <v>2990</v>
      </c>
      <c r="N9285" s="30" t="s">
        <v>3323</v>
      </c>
      <c r="P9285" s="30" t="s">
        <v>15794</v>
      </c>
      <c r="Q9285" t="s">
        <v>621</v>
      </c>
      <c r="R9285" t="s">
        <v>917</v>
      </c>
      <c r="S9285">
        <v>39</v>
      </c>
      <c r="T9285" s="29" t="str">
        <f t="shared" si="395"/>
        <v>2023.001B.Leviviricetes_reorg.zip</v>
      </c>
      <c r="U9285" s="29" t="str">
        <f>HYPERLINK("https://ictv.global/taxonomy/taxondetails?taxnode_id=202316724","ictv.global=202316724")</f>
        <v>ictv.global=202316724</v>
      </c>
    </row>
    <row r="9286" spans="1:21">
      <c r="A9286">
        <v>9285</v>
      </c>
      <c r="B9286" s="30" t="s">
        <v>1226</v>
      </c>
      <c r="D9286" s="30" t="s">
        <v>2024</v>
      </c>
      <c r="F9286" s="30" t="s">
        <v>2046</v>
      </c>
      <c r="H9286" s="30" t="s">
        <v>2859</v>
      </c>
      <c r="J9286" s="30" t="s">
        <v>2860</v>
      </c>
      <c r="L9286" s="30" t="s">
        <v>2990</v>
      </c>
      <c r="N9286" s="30" t="s">
        <v>3323</v>
      </c>
      <c r="P9286" s="30" t="s">
        <v>15795</v>
      </c>
      <c r="Q9286" t="s">
        <v>621</v>
      </c>
      <c r="R9286" t="s">
        <v>917</v>
      </c>
      <c r="S9286">
        <v>39</v>
      </c>
      <c r="T9286" s="29" t="str">
        <f t="shared" si="395"/>
        <v>2023.001B.Leviviricetes_reorg.zip</v>
      </c>
      <c r="U9286" s="29" t="str">
        <f>HYPERLINK("https://ictv.global/taxonomy/taxondetails?taxnode_id=202316725","ictv.global=202316725")</f>
        <v>ictv.global=202316725</v>
      </c>
    </row>
    <row r="9287" spans="1:21">
      <c r="A9287">
        <v>9286</v>
      </c>
      <c r="B9287" s="30" t="s">
        <v>1226</v>
      </c>
      <c r="D9287" s="30" t="s">
        <v>2024</v>
      </c>
      <c r="F9287" s="30" t="s">
        <v>2046</v>
      </c>
      <c r="H9287" s="30" t="s">
        <v>2859</v>
      </c>
      <c r="J9287" s="30" t="s">
        <v>2860</v>
      </c>
      <c r="L9287" s="30" t="s">
        <v>2990</v>
      </c>
      <c r="N9287" s="30" t="s">
        <v>3323</v>
      </c>
      <c r="P9287" s="30" t="s">
        <v>15796</v>
      </c>
      <c r="Q9287" t="s">
        <v>621</v>
      </c>
      <c r="R9287" t="s">
        <v>917</v>
      </c>
      <c r="S9287">
        <v>39</v>
      </c>
      <c r="T9287" s="29" t="str">
        <f t="shared" si="395"/>
        <v>2023.001B.Leviviricetes_reorg.zip</v>
      </c>
      <c r="U9287" s="29" t="str">
        <f>HYPERLINK("https://ictv.global/taxonomy/taxondetails?taxnode_id=202316726","ictv.global=202316726")</f>
        <v>ictv.global=202316726</v>
      </c>
    </row>
    <row r="9288" spans="1:21">
      <c r="A9288">
        <v>9287</v>
      </c>
      <c r="B9288" s="30" t="s">
        <v>1226</v>
      </c>
      <c r="D9288" s="30" t="s">
        <v>2024</v>
      </c>
      <c r="F9288" s="30" t="s">
        <v>2046</v>
      </c>
      <c r="H9288" s="30" t="s">
        <v>2859</v>
      </c>
      <c r="J9288" s="30" t="s">
        <v>2860</v>
      </c>
      <c r="L9288" s="30" t="s">
        <v>2990</v>
      </c>
      <c r="N9288" s="30" t="s">
        <v>3323</v>
      </c>
      <c r="P9288" s="30" t="s">
        <v>15797</v>
      </c>
      <c r="Q9288" t="s">
        <v>621</v>
      </c>
      <c r="R9288" t="s">
        <v>917</v>
      </c>
      <c r="S9288">
        <v>39</v>
      </c>
      <c r="T9288" s="29" t="str">
        <f t="shared" si="395"/>
        <v>2023.001B.Leviviricetes_reorg.zip</v>
      </c>
      <c r="U9288" s="29" t="str">
        <f>HYPERLINK("https://ictv.global/taxonomy/taxondetails?taxnode_id=202316727","ictv.global=202316727")</f>
        <v>ictv.global=202316727</v>
      </c>
    </row>
    <row r="9289" spans="1:21">
      <c r="A9289">
        <v>9288</v>
      </c>
      <c r="B9289" s="30" t="s">
        <v>1226</v>
      </c>
      <c r="D9289" s="30" t="s">
        <v>2024</v>
      </c>
      <c r="F9289" s="30" t="s">
        <v>2046</v>
      </c>
      <c r="H9289" s="30" t="s">
        <v>2859</v>
      </c>
      <c r="J9289" s="30" t="s">
        <v>2860</v>
      </c>
      <c r="L9289" s="30" t="s">
        <v>2990</v>
      </c>
      <c r="N9289" s="30" t="s">
        <v>3323</v>
      </c>
      <c r="P9289" s="30" t="s">
        <v>15798</v>
      </c>
      <c r="Q9289" t="s">
        <v>621</v>
      </c>
      <c r="R9289" t="s">
        <v>917</v>
      </c>
      <c r="S9289">
        <v>39</v>
      </c>
      <c r="T9289" s="29" t="str">
        <f t="shared" si="395"/>
        <v>2023.001B.Leviviricetes_reorg.zip</v>
      </c>
      <c r="U9289" s="29" t="str">
        <f>HYPERLINK("https://ictv.global/taxonomy/taxondetails?taxnode_id=202316728","ictv.global=202316728")</f>
        <v>ictv.global=202316728</v>
      </c>
    </row>
    <row r="9290" spans="1:21">
      <c r="A9290">
        <v>9289</v>
      </c>
      <c r="B9290" s="30" t="s">
        <v>1226</v>
      </c>
      <c r="D9290" s="30" t="s">
        <v>2024</v>
      </c>
      <c r="F9290" s="30" t="s">
        <v>2046</v>
      </c>
      <c r="H9290" s="30" t="s">
        <v>2859</v>
      </c>
      <c r="J9290" s="30" t="s">
        <v>2860</v>
      </c>
      <c r="L9290" s="30" t="s">
        <v>2990</v>
      </c>
      <c r="N9290" s="30" t="s">
        <v>3323</v>
      </c>
      <c r="P9290" s="30" t="s">
        <v>15799</v>
      </c>
      <c r="Q9290" t="s">
        <v>621</v>
      </c>
      <c r="R9290" t="s">
        <v>917</v>
      </c>
      <c r="S9290">
        <v>39</v>
      </c>
      <c r="T9290" s="29" t="str">
        <f t="shared" si="395"/>
        <v>2023.001B.Leviviricetes_reorg.zip</v>
      </c>
      <c r="U9290" s="29" t="str">
        <f>HYPERLINK("https://ictv.global/taxonomy/taxondetails?taxnode_id=202316729","ictv.global=202316729")</f>
        <v>ictv.global=202316729</v>
      </c>
    </row>
    <row r="9291" spans="1:21">
      <c r="A9291">
        <v>9290</v>
      </c>
      <c r="B9291" s="30" t="s">
        <v>1226</v>
      </c>
      <c r="D9291" s="30" t="s">
        <v>2024</v>
      </c>
      <c r="F9291" s="30" t="s">
        <v>2046</v>
      </c>
      <c r="H9291" s="30" t="s">
        <v>2859</v>
      </c>
      <c r="J9291" s="30" t="s">
        <v>2860</v>
      </c>
      <c r="L9291" s="30" t="s">
        <v>2990</v>
      </c>
      <c r="N9291" s="30" t="s">
        <v>3323</v>
      </c>
      <c r="P9291" s="30" t="s">
        <v>3324</v>
      </c>
      <c r="Q9291" t="s">
        <v>621</v>
      </c>
      <c r="R9291" t="s">
        <v>917</v>
      </c>
      <c r="S9291">
        <v>36</v>
      </c>
      <c r="T9291" s="29" t="str">
        <f>HYPERLINK("https://ictv.global/ictv/proposals/2020.095B.R.Leviviricetes.zip","2020.095B.R.Leviviricetes.zip")</f>
        <v>2020.095B.R.Leviviricetes.zip</v>
      </c>
      <c r="U9291" s="29" t="str">
        <f>HYPERLINK("https://ictv.global/taxonomy/taxondetails?taxnode_id=202310671","ictv.global=202310671")</f>
        <v>ictv.global=202310671</v>
      </c>
    </row>
    <row r="9292" spans="1:21">
      <c r="A9292">
        <v>9291</v>
      </c>
      <c r="B9292" s="30" t="s">
        <v>1226</v>
      </c>
      <c r="D9292" s="30" t="s">
        <v>2024</v>
      </c>
      <c r="F9292" s="30" t="s">
        <v>2046</v>
      </c>
      <c r="H9292" s="30" t="s">
        <v>2859</v>
      </c>
      <c r="J9292" s="30" t="s">
        <v>2860</v>
      </c>
      <c r="L9292" s="30" t="s">
        <v>2990</v>
      </c>
      <c r="N9292" s="30" t="s">
        <v>3323</v>
      </c>
      <c r="P9292" s="30" t="s">
        <v>3325</v>
      </c>
      <c r="Q9292" t="s">
        <v>621</v>
      </c>
      <c r="R9292" t="s">
        <v>917</v>
      </c>
      <c r="S9292">
        <v>36</v>
      </c>
      <c r="T9292" s="29" t="str">
        <f>HYPERLINK("https://ictv.global/ictv/proposals/2020.095B.R.Leviviricetes.zip","2020.095B.R.Leviviricetes.zip")</f>
        <v>2020.095B.R.Leviviricetes.zip</v>
      </c>
      <c r="U9292" s="29" t="str">
        <f>HYPERLINK("https://ictv.global/taxonomy/taxondetails?taxnode_id=202310672","ictv.global=202310672")</f>
        <v>ictv.global=202310672</v>
      </c>
    </row>
    <row r="9293" spans="1:21">
      <c r="A9293">
        <v>9292</v>
      </c>
      <c r="B9293" s="30" t="s">
        <v>1226</v>
      </c>
      <c r="D9293" s="30" t="s">
        <v>2024</v>
      </c>
      <c r="F9293" s="30" t="s">
        <v>2046</v>
      </c>
      <c r="H9293" s="30" t="s">
        <v>2859</v>
      </c>
      <c r="J9293" s="30" t="s">
        <v>2860</v>
      </c>
      <c r="L9293" s="30" t="s">
        <v>2990</v>
      </c>
      <c r="N9293" s="30" t="s">
        <v>3323</v>
      </c>
      <c r="P9293" s="30" t="s">
        <v>15800</v>
      </c>
      <c r="Q9293" t="s">
        <v>621</v>
      </c>
      <c r="R9293" t="s">
        <v>917</v>
      </c>
      <c r="S9293">
        <v>39</v>
      </c>
      <c r="T9293" s="29" t="str">
        <f>HYPERLINK("https://ictv.global/ictv/proposals/2023.001B.Leviviricetes_reorg.zip","2023.001B.Leviviricetes_reorg.zip")</f>
        <v>2023.001B.Leviviricetes_reorg.zip</v>
      </c>
      <c r="U9293" s="29" t="str">
        <f>HYPERLINK("https://ictv.global/taxonomy/taxondetails?taxnode_id=202316730","ictv.global=202316730")</f>
        <v>ictv.global=202316730</v>
      </c>
    </row>
    <row r="9294" spans="1:21">
      <c r="A9294">
        <v>9293</v>
      </c>
      <c r="B9294" s="30" t="s">
        <v>1226</v>
      </c>
      <c r="D9294" s="30" t="s">
        <v>2024</v>
      </c>
      <c r="F9294" s="30" t="s">
        <v>2046</v>
      </c>
      <c r="H9294" s="30" t="s">
        <v>2859</v>
      </c>
      <c r="J9294" s="30" t="s">
        <v>2860</v>
      </c>
      <c r="L9294" s="30" t="s">
        <v>2990</v>
      </c>
      <c r="N9294" s="30" t="s">
        <v>3323</v>
      </c>
      <c r="P9294" s="30" t="s">
        <v>15801</v>
      </c>
      <c r="Q9294" t="s">
        <v>621</v>
      </c>
      <c r="R9294" t="s">
        <v>917</v>
      </c>
      <c r="S9294">
        <v>39</v>
      </c>
      <c r="T9294" s="29" t="str">
        <f>HYPERLINK("https://ictv.global/ictv/proposals/2023.001B.Leviviricetes_reorg.zip","2023.001B.Leviviricetes_reorg.zip")</f>
        <v>2023.001B.Leviviricetes_reorg.zip</v>
      </c>
      <c r="U9294" s="29" t="str">
        <f>HYPERLINK("https://ictv.global/taxonomy/taxondetails?taxnode_id=202316731","ictv.global=202316731")</f>
        <v>ictv.global=202316731</v>
      </c>
    </row>
    <row r="9295" spans="1:21">
      <c r="A9295">
        <v>9294</v>
      </c>
      <c r="B9295" s="30" t="s">
        <v>1226</v>
      </c>
      <c r="D9295" s="30" t="s">
        <v>2024</v>
      </c>
      <c r="F9295" s="30" t="s">
        <v>2046</v>
      </c>
      <c r="H9295" s="30" t="s">
        <v>2859</v>
      </c>
      <c r="J9295" s="30" t="s">
        <v>2860</v>
      </c>
      <c r="L9295" s="30" t="s">
        <v>2990</v>
      </c>
      <c r="N9295" s="30" t="s">
        <v>3323</v>
      </c>
      <c r="P9295" s="30" t="s">
        <v>15802</v>
      </c>
      <c r="Q9295" t="s">
        <v>621</v>
      </c>
      <c r="R9295" t="s">
        <v>917</v>
      </c>
      <c r="S9295">
        <v>39</v>
      </c>
      <c r="T9295" s="29" t="str">
        <f>HYPERLINK("https://ictv.global/ictv/proposals/2023.001B.Leviviricetes_reorg.zip","2023.001B.Leviviricetes_reorg.zip")</f>
        <v>2023.001B.Leviviricetes_reorg.zip</v>
      </c>
      <c r="U9295" s="29" t="str">
        <f>HYPERLINK("https://ictv.global/taxonomy/taxondetails?taxnode_id=202316732","ictv.global=202316732")</f>
        <v>ictv.global=202316732</v>
      </c>
    </row>
    <row r="9296" spans="1:21">
      <c r="A9296">
        <v>9295</v>
      </c>
      <c r="B9296" s="30" t="s">
        <v>1226</v>
      </c>
      <c r="D9296" s="30" t="s">
        <v>2024</v>
      </c>
      <c r="F9296" s="30" t="s">
        <v>2046</v>
      </c>
      <c r="H9296" s="30" t="s">
        <v>2859</v>
      </c>
      <c r="J9296" s="30" t="s">
        <v>2860</v>
      </c>
      <c r="L9296" s="30" t="s">
        <v>2990</v>
      </c>
      <c r="N9296" s="30" t="s">
        <v>3323</v>
      </c>
      <c r="P9296" s="30" t="s">
        <v>3326</v>
      </c>
      <c r="Q9296" t="s">
        <v>621</v>
      </c>
      <c r="R9296" t="s">
        <v>917</v>
      </c>
      <c r="S9296">
        <v>36</v>
      </c>
      <c r="T9296" s="29" t="str">
        <f>HYPERLINK("https://ictv.global/ictv/proposals/2020.095B.R.Leviviricetes.zip","2020.095B.R.Leviviricetes.zip")</f>
        <v>2020.095B.R.Leviviricetes.zip</v>
      </c>
      <c r="U9296" s="29" t="str">
        <f>HYPERLINK("https://ictv.global/taxonomy/taxondetails?taxnode_id=202310668","ictv.global=202310668")</f>
        <v>ictv.global=202310668</v>
      </c>
    </row>
    <row r="9297" spans="1:21">
      <c r="A9297">
        <v>9296</v>
      </c>
      <c r="B9297" s="30" t="s">
        <v>1226</v>
      </c>
      <c r="D9297" s="30" t="s">
        <v>2024</v>
      </c>
      <c r="F9297" s="30" t="s">
        <v>2046</v>
      </c>
      <c r="H9297" s="30" t="s">
        <v>2859</v>
      </c>
      <c r="J9297" s="30" t="s">
        <v>2860</v>
      </c>
      <c r="L9297" s="30" t="s">
        <v>2990</v>
      </c>
      <c r="N9297" s="30" t="s">
        <v>3323</v>
      </c>
      <c r="P9297" s="30" t="s">
        <v>15803</v>
      </c>
      <c r="Q9297" t="s">
        <v>621</v>
      </c>
      <c r="R9297" t="s">
        <v>917</v>
      </c>
      <c r="S9297">
        <v>39</v>
      </c>
      <c r="T9297" s="29" t="str">
        <f>HYPERLINK("https://ictv.global/ictv/proposals/2023.001B.Leviviricetes_reorg.zip","2023.001B.Leviviricetes_reorg.zip")</f>
        <v>2023.001B.Leviviricetes_reorg.zip</v>
      </c>
      <c r="U9297" s="29" t="str">
        <f>HYPERLINK("https://ictv.global/taxonomy/taxondetails?taxnode_id=202316733","ictv.global=202316733")</f>
        <v>ictv.global=202316733</v>
      </c>
    </row>
    <row r="9298" spans="1:21">
      <c r="A9298">
        <v>9297</v>
      </c>
      <c r="B9298" s="30" t="s">
        <v>1226</v>
      </c>
      <c r="D9298" s="30" t="s">
        <v>2024</v>
      </c>
      <c r="F9298" s="30" t="s">
        <v>2046</v>
      </c>
      <c r="H9298" s="30" t="s">
        <v>2859</v>
      </c>
      <c r="J9298" s="30" t="s">
        <v>2860</v>
      </c>
      <c r="L9298" s="30" t="s">
        <v>2990</v>
      </c>
      <c r="N9298" s="30" t="s">
        <v>3323</v>
      </c>
      <c r="P9298" s="30" t="s">
        <v>15804</v>
      </c>
      <c r="Q9298" t="s">
        <v>621</v>
      </c>
      <c r="R9298" t="s">
        <v>917</v>
      </c>
      <c r="S9298">
        <v>39</v>
      </c>
      <c r="T9298" s="29" t="str">
        <f>HYPERLINK("https://ictv.global/ictv/proposals/2023.001B.Leviviricetes_reorg.zip","2023.001B.Leviviricetes_reorg.zip")</f>
        <v>2023.001B.Leviviricetes_reorg.zip</v>
      </c>
      <c r="U9298" s="29" t="str">
        <f>HYPERLINK("https://ictv.global/taxonomy/taxondetails?taxnode_id=202316734","ictv.global=202316734")</f>
        <v>ictv.global=202316734</v>
      </c>
    </row>
    <row r="9299" spans="1:21">
      <c r="A9299">
        <v>9298</v>
      </c>
      <c r="B9299" s="30" t="s">
        <v>1226</v>
      </c>
      <c r="D9299" s="30" t="s">
        <v>2024</v>
      </c>
      <c r="F9299" s="30" t="s">
        <v>2046</v>
      </c>
      <c r="H9299" s="30" t="s">
        <v>2859</v>
      </c>
      <c r="J9299" s="30" t="s">
        <v>2860</v>
      </c>
      <c r="L9299" s="30" t="s">
        <v>2990</v>
      </c>
      <c r="N9299" s="30" t="s">
        <v>3323</v>
      </c>
      <c r="P9299" s="30" t="s">
        <v>3327</v>
      </c>
      <c r="Q9299" t="s">
        <v>621</v>
      </c>
      <c r="R9299" t="s">
        <v>917</v>
      </c>
      <c r="S9299">
        <v>36</v>
      </c>
      <c r="T9299" s="29" t="str">
        <f>HYPERLINK("https://ictv.global/ictv/proposals/2020.095B.R.Leviviricetes.zip","2020.095B.R.Leviviricetes.zip")</f>
        <v>2020.095B.R.Leviviricetes.zip</v>
      </c>
      <c r="U9299" s="29" t="str">
        <f>HYPERLINK("https://ictv.global/taxonomy/taxondetails?taxnode_id=202310669","ictv.global=202310669")</f>
        <v>ictv.global=202310669</v>
      </c>
    </row>
    <row r="9300" spans="1:21">
      <c r="A9300">
        <v>9299</v>
      </c>
      <c r="B9300" s="30" t="s">
        <v>1226</v>
      </c>
      <c r="D9300" s="30" t="s">
        <v>2024</v>
      </c>
      <c r="F9300" s="30" t="s">
        <v>2046</v>
      </c>
      <c r="H9300" s="30" t="s">
        <v>2859</v>
      </c>
      <c r="J9300" s="30" t="s">
        <v>2860</v>
      </c>
      <c r="L9300" s="30" t="s">
        <v>2990</v>
      </c>
      <c r="N9300" s="30" t="s">
        <v>3323</v>
      </c>
      <c r="P9300" s="30" t="s">
        <v>3328</v>
      </c>
      <c r="Q9300" t="s">
        <v>621</v>
      </c>
      <c r="R9300" t="s">
        <v>917</v>
      </c>
      <c r="S9300">
        <v>36</v>
      </c>
      <c r="T9300" s="29" t="str">
        <f>HYPERLINK("https://ictv.global/ictv/proposals/2020.095B.R.Leviviricetes.zip","2020.095B.R.Leviviricetes.zip")</f>
        <v>2020.095B.R.Leviviricetes.zip</v>
      </c>
      <c r="U9300" s="29" t="str">
        <f>HYPERLINK("https://ictv.global/taxonomy/taxondetails?taxnode_id=202310670","ictv.global=202310670")</f>
        <v>ictv.global=202310670</v>
      </c>
    </row>
    <row r="9301" spans="1:21">
      <c r="A9301">
        <v>9300</v>
      </c>
      <c r="B9301" s="30" t="s">
        <v>1226</v>
      </c>
      <c r="D9301" s="30" t="s">
        <v>2024</v>
      </c>
      <c r="F9301" s="30" t="s">
        <v>2046</v>
      </c>
      <c r="H9301" s="30" t="s">
        <v>2859</v>
      </c>
      <c r="J9301" s="30" t="s">
        <v>2860</v>
      </c>
      <c r="L9301" s="30" t="s">
        <v>2990</v>
      </c>
      <c r="N9301" s="30" t="s">
        <v>3323</v>
      </c>
      <c r="P9301" s="30" t="s">
        <v>3329</v>
      </c>
      <c r="Q9301" t="s">
        <v>621</v>
      </c>
      <c r="R9301" t="s">
        <v>917</v>
      </c>
      <c r="S9301">
        <v>36</v>
      </c>
      <c r="T9301" s="29" t="str">
        <f>HYPERLINK("https://ictv.global/ictv/proposals/2020.095B.R.Leviviricetes.zip","2020.095B.R.Leviviricetes.zip")</f>
        <v>2020.095B.R.Leviviricetes.zip</v>
      </c>
      <c r="U9301" s="29" t="str">
        <f>HYPERLINK("https://ictv.global/taxonomy/taxondetails?taxnode_id=202310667","ictv.global=202310667")</f>
        <v>ictv.global=202310667</v>
      </c>
    </row>
    <row r="9302" spans="1:21">
      <c r="A9302">
        <v>9301</v>
      </c>
      <c r="B9302" s="30" t="s">
        <v>1226</v>
      </c>
      <c r="D9302" s="30" t="s">
        <v>2024</v>
      </c>
      <c r="F9302" s="30" t="s">
        <v>2046</v>
      </c>
      <c r="H9302" s="30" t="s">
        <v>2859</v>
      </c>
      <c r="J9302" s="30" t="s">
        <v>2860</v>
      </c>
      <c r="L9302" s="30" t="s">
        <v>2990</v>
      </c>
      <c r="N9302" s="30" t="s">
        <v>3323</v>
      </c>
      <c r="P9302" s="30" t="s">
        <v>15805</v>
      </c>
      <c r="Q9302" t="s">
        <v>621</v>
      </c>
      <c r="R9302" t="s">
        <v>917</v>
      </c>
      <c r="S9302">
        <v>39</v>
      </c>
      <c r="T9302" s="29" t="str">
        <f>HYPERLINK("https://ictv.global/ictv/proposals/2023.001B.Leviviricetes_reorg.zip","2023.001B.Leviviricetes_reorg.zip")</f>
        <v>2023.001B.Leviviricetes_reorg.zip</v>
      </c>
      <c r="U9302" s="29" t="str">
        <f>HYPERLINK("https://ictv.global/taxonomy/taxondetails?taxnode_id=202316735","ictv.global=202316735")</f>
        <v>ictv.global=202316735</v>
      </c>
    </row>
    <row r="9303" spans="1:21">
      <c r="A9303">
        <v>9302</v>
      </c>
      <c r="B9303" s="30" t="s">
        <v>1226</v>
      </c>
      <c r="D9303" s="30" t="s">
        <v>2024</v>
      </c>
      <c r="F9303" s="30" t="s">
        <v>2046</v>
      </c>
      <c r="H9303" s="30" t="s">
        <v>2859</v>
      </c>
      <c r="J9303" s="30" t="s">
        <v>2860</v>
      </c>
      <c r="L9303" s="30" t="s">
        <v>2990</v>
      </c>
      <c r="N9303" s="30" t="s">
        <v>3323</v>
      </c>
      <c r="P9303" s="30" t="s">
        <v>15806</v>
      </c>
      <c r="Q9303" t="s">
        <v>621</v>
      </c>
      <c r="R9303" t="s">
        <v>917</v>
      </c>
      <c r="S9303">
        <v>39</v>
      </c>
      <c r="T9303" s="29" t="str">
        <f>HYPERLINK("https://ictv.global/ictv/proposals/2023.001B.Leviviricetes_reorg.zip","2023.001B.Leviviricetes_reorg.zip")</f>
        <v>2023.001B.Leviviricetes_reorg.zip</v>
      </c>
      <c r="U9303" s="29" t="str">
        <f>HYPERLINK("https://ictv.global/taxonomy/taxondetails?taxnode_id=202316736","ictv.global=202316736")</f>
        <v>ictv.global=202316736</v>
      </c>
    </row>
    <row r="9304" spans="1:21">
      <c r="A9304">
        <v>9303</v>
      </c>
      <c r="B9304" s="30" t="s">
        <v>1226</v>
      </c>
      <c r="D9304" s="30" t="s">
        <v>2024</v>
      </c>
      <c r="F9304" s="30" t="s">
        <v>2046</v>
      </c>
      <c r="H9304" s="30" t="s">
        <v>2859</v>
      </c>
      <c r="J9304" s="30" t="s">
        <v>2860</v>
      </c>
      <c r="L9304" s="30" t="s">
        <v>2990</v>
      </c>
      <c r="N9304" s="30" t="s">
        <v>3323</v>
      </c>
      <c r="P9304" s="30" t="s">
        <v>15807</v>
      </c>
      <c r="Q9304" t="s">
        <v>621</v>
      </c>
      <c r="R9304" t="s">
        <v>917</v>
      </c>
      <c r="S9304">
        <v>39</v>
      </c>
      <c r="T9304" s="29" t="str">
        <f>HYPERLINK("https://ictv.global/ictv/proposals/2023.001B.Leviviricetes_reorg.zip","2023.001B.Leviviricetes_reorg.zip")</f>
        <v>2023.001B.Leviviricetes_reorg.zip</v>
      </c>
      <c r="U9304" s="29" t="str">
        <f>HYPERLINK("https://ictv.global/taxonomy/taxondetails?taxnode_id=202316737","ictv.global=202316737")</f>
        <v>ictv.global=202316737</v>
      </c>
    </row>
    <row r="9305" spans="1:21">
      <c r="A9305">
        <v>9304</v>
      </c>
      <c r="B9305" s="30" t="s">
        <v>1226</v>
      </c>
      <c r="D9305" s="30" t="s">
        <v>2024</v>
      </c>
      <c r="F9305" s="30" t="s">
        <v>2046</v>
      </c>
      <c r="H9305" s="30" t="s">
        <v>2859</v>
      </c>
      <c r="J9305" s="30" t="s">
        <v>2860</v>
      </c>
      <c r="L9305" s="30" t="s">
        <v>2990</v>
      </c>
      <c r="N9305" s="30" t="s">
        <v>3330</v>
      </c>
      <c r="P9305" s="30" t="s">
        <v>3331</v>
      </c>
      <c r="Q9305" t="s">
        <v>621</v>
      </c>
      <c r="R9305" t="s">
        <v>917</v>
      </c>
      <c r="S9305">
        <v>36</v>
      </c>
      <c r="T9305" s="29" t="str">
        <f>HYPERLINK("https://ictv.global/ictv/proposals/2020.095B.R.Leviviricetes.zip","2020.095B.R.Leviviricetes.zip")</f>
        <v>2020.095B.R.Leviviricetes.zip</v>
      </c>
      <c r="U9305" s="29" t="str">
        <f>HYPERLINK("https://ictv.global/taxonomy/taxondetails?taxnode_id=202310676","ictv.global=202310676")</f>
        <v>ictv.global=202310676</v>
      </c>
    </row>
    <row r="9306" spans="1:21">
      <c r="A9306">
        <v>9305</v>
      </c>
      <c r="B9306" s="30" t="s">
        <v>1226</v>
      </c>
      <c r="D9306" s="30" t="s">
        <v>2024</v>
      </c>
      <c r="F9306" s="30" t="s">
        <v>2046</v>
      </c>
      <c r="H9306" s="30" t="s">
        <v>2859</v>
      </c>
      <c r="J9306" s="30" t="s">
        <v>2860</v>
      </c>
      <c r="L9306" s="30" t="s">
        <v>2990</v>
      </c>
      <c r="N9306" s="30" t="s">
        <v>3330</v>
      </c>
      <c r="P9306" s="30" t="s">
        <v>15808</v>
      </c>
      <c r="Q9306" t="s">
        <v>621</v>
      </c>
      <c r="R9306" t="s">
        <v>917</v>
      </c>
      <c r="S9306">
        <v>39</v>
      </c>
      <c r="T9306" s="29" t="str">
        <f>HYPERLINK("https://ictv.global/ictv/proposals/2023.001B.Leviviricetes_reorg.zip","2023.001B.Leviviricetes_reorg.zip")</f>
        <v>2023.001B.Leviviricetes_reorg.zip</v>
      </c>
      <c r="U9306" s="29" t="str">
        <f>HYPERLINK("https://ictv.global/taxonomy/taxondetails?taxnode_id=202316738","ictv.global=202316738")</f>
        <v>ictv.global=202316738</v>
      </c>
    </row>
    <row r="9307" spans="1:21">
      <c r="A9307">
        <v>9306</v>
      </c>
      <c r="B9307" s="30" t="s">
        <v>1226</v>
      </c>
      <c r="D9307" s="30" t="s">
        <v>2024</v>
      </c>
      <c r="F9307" s="30" t="s">
        <v>2046</v>
      </c>
      <c r="H9307" s="30" t="s">
        <v>2859</v>
      </c>
      <c r="J9307" s="30" t="s">
        <v>2860</v>
      </c>
      <c r="L9307" s="30" t="s">
        <v>2990</v>
      </c>
      <c r="N9307" s="30" t="s">
        <v>3332</v>
      </c>
      <c r="P9307" s="30" t="s">
        <v>3333</v>
      </c>
      <c r="Q9307" t="s">
        <v>621</v>
      </c>
      <c r="R9307" t="s">
        <v>917</v>
      </c>
      <c r="S9307">
        <v>36</v>
      </c>
      <c r="T9307" s="29" t="str">
        <f>HYPERLINK("https://ictv.global/ictv/proposals/2020.095B.R.Leviviricetes.zip","2020.095B.R.Leviviricetes.zip")</f>
        <v>2020.095B.R.Leviviricetes.zip</v>
      </c>
      <c r="U9307" s="29" t="str">
        <f>HYPERLINK("https://ictv.global/taxonomy/taxondetails?taxnode_id=202310678","ictv.global=202310678")</f>
        <v>ictv.global=202310678</v>
      </c>
    </row>
    <row r="9308" spans="1:21">
      <c r="A9308">
        <v>9307</v>
      </c>
      <c r="B9308" s="30" t="s">
        <v>1226</v>
      </c>
      <c r="D9308" s="30" t="s">
        <v>2024</v>
      </c>
      <c r="F9308" s="30" t="s">
        <v>2046</v>
      </c>
      <c r="H9308" s="30" t="s">
        <v>2859</v>
      </c>
      <c r="J9308" s="30" t="s">
        <v>2860</v>
      </c>
      <c r="L9308" s="30" t="s">
        <v>2990</v>
      </c>
      <c r="N9308" s="30" t="s">
        <v>3334</v>
      </c>
      <c r="P9308" s="30" t="s">
        <v>3335</v>
      </c>
      <c r="Q9308" t="s">
        <v>621</v>
      </c>
      <c r="R9308" t="s">
        <v>917</v>
      </c>
      <c r="S9308">
        <v>36</v>
      </c>
      <c r="T9308" s="29" t="str">
        <f>HYPERLINK("https://ictv.global/ictv/proposals/2020.095B.R.Leviviricetes.zip","2020.095B.R.Leviviricetes.zip")</f>
        <v>2020.095B.R.Leviviricetes.zip</v>
      </c>
      <c r="U9308" s="29" t="str">
        <f>HYPERLINK("https://ictv.global/taxonomy/taxondetails?taxnode_id=202310680","ictv.global=202310680")</f>
        <v>ictv.global=202310680</v>
      </c>
    </row>
    <row r="9309" spans="1:21">
      <c r="A9309">
        <v>9308</v>
      </c>
      <c r="B9309" s="30" t="s">
        <v>1226</v>
      </c>
      <c r="D9309" s="30" t="s">
        <v>2024</v>
      </c>
      <c r="F9309" s="30" t="s">
        <v>2046</v>
      </c>
      <c r="H9309" s="30" t="s">
        <v>2859</v>
      </c>
      <c r="J9309" s="30" t="s">
        <v>2860</v>
      </c>
      <c r="L9309" s="30" t="s">
        <v>2990</v>
      </c>
      <c r="N9309" s="30" t="s">
        <v>3336</v>
      </c>
      <c r="P9309" s="30" t="s">
        <v>3337</v>
      </c>
      <c r="Q9309" t="s">
        <v>621</v>
      </c>
      <c r="R9309" t="s">
        <v>917</v>
      </c>
      <c r="S9309">
        <v>36</v>
      </c>
      <c r="T9309" s="29" t="str">
        <f>HYPERLINK("https://ictv.global/ictv/proposals/2020.095B.R.Leviviricetes.zip","2020.095B.R.Leviviricetes.zip")</f>
        <v>2020.095B.R.Leviviricetes.zip</v>
      </c>
      <c r="U9309" s="29" t="str">
        <f>HYPERLINK("https://ictv.global/taxonomy/taxondetails?taxnode_id=202310682","ictv.global=202310682")</f>
        <v>ictv.global=202310682</v>
      </c>
    </row>
    <row r="9310" spans="1:21">
      <c r="A9310">
        <v>9309</v>
      </c>
      <c r="B9310" s="30" t="s">
        <v>1226</v>
      </c>
      <c r="D9310" s="30" t="s">
        <v>2024</v>
      </c>
      <c r="F9310" s="30" t="s">
        <v>2046</v>
      </c>
      <c r="H9310" s="30" t="s">
        <v>2859</v>
      </c>
      <c r="J9310" s="30" t="s">
        <v>2860</v>
      </c>
      <c r="L9310" s="30" t="s">
        <v>2990</v>
      </c>
      <c r="N9310" s="30" t="s">
        <v>3338</v>
      </c>
      <c r="P9310" s="30" t="s">
        <v>15809</v>
      </c>
      <c r="Q9310" t="s">
        <v>621</v>
      </c>
      <c r="R9310" t="s">
        <v>918</v>
      </c>
      <c r="S9310">
        <v>39</v>
      </c>
      <c r="T9310" s="29" t="str">
        <f>HYPERLINK("https://ictv.global/ictv/proposals/2023.001B.Leviviricetes_reorg.zip","2023.001B.Leviviricetes_reorg.zip")</f>
        <v>2023.001B.Leviviricetes_reorg.zip</v>
      </c>
      <c r="U9310" s="29" t="str">
        <f>HYPERLINK("https://ictv.global/taxonomy/taxondetails?taxnode_id=202310219","ictv.global=202310219")</f>
        <v>ictv.global=202310219</v>
      </c>
    </row>
    <row r="9311" spans="1:21">
      <c r="A9311">
        <v>9310</v>
      </c>
      <c r="B9311" s="30" t="s">
        <v>1226</v>
      </c>
      <c r="D9311" s="30" t="s">
        <v>2024</v>
      </c>
      <c r="F9311" s="30" t="s">
        <v>2046</v>
      </c>
      <c r="H9311" s="30" t="s">
        <v>2859</v>
      </c>
      <c r="J9311" s="30" t="s">
        <v>2860</v>
      </c>
      <c r="L9311" s="30" t="s">
        <v>2990</v>
      </c>
      <c r="N9311" s="30" t="s">
        <v>3338</v>
      </c>
      <c r="P9311" s="30" t="s">
        <v>3339</v>
      </c>
      <c r="Q9311" t="s">
        <v>621</v>
      </c>
      <c r="R9311" t="s">
        <v>917</v>
      </c>
      <c r="S9311">
        <v>36</v>
      </c>
      <c r="T9311" s="29" t="str">
        <f>HYPERLINK("https://ictv.global/ictv/proposals/2020.095B.R.Leviviricetes.zip","2020.095B.R.Leviviricetes.zip")</f>
        <v>2020.095B.R.Leviviricetes.zip</v>
      </c>
      <c r="U9311" s="29" t="str">
        <f>HYPERLINK("https://ictv.global/taxonomy/taxondetails?taxnode_id=202310684","ictv.global=202310684")</f>
        <v>ictv.global=202310684</v>
      </c>
    </row>
    <row r="9312" spans="1:21">
      <c r="A9312">
        <v>9311</v>
      </c>
      <c r="B9312" s="30" t="s">
        <v>1226</v>
      </c>
      <c r="D9312" s="30" t="s">
        <v>2024</v>
      </c>
      <c r="F9312" s="30" t="s">
        <v>2046</v>
      </c>
      <c r="H9312" s="30" t="s">
        <v>2859</v>
      </c>
      <c r="J9312" s="30" t="s">
        <v>2860</v>
      </c>
      <c r="L9312" s="30" t="s">
        <v>2990</v>
      </c>
      <c r="N9312" s="30" t="s">
        <v>3338</v>
      </c>
      <c r="P9312" s="30" t="s">
        <v>15810</v>
      </c>
      <c r="Q9312" t="s">
        <v>621</v>
      </c>
      <c r="R9312" t="s">
        <v>917</v>
      </c>
      <c r="S9312">
        <v>39</v>
      </c>
      <c r="T9312" s="29" t="str">
        <f>HYPERLINK("https://ictv.global/ictv/proposals/2023.001B.Leviviricetes_reorg.zip","2023.001B.Leviviricetes_reorg.zip")</f>
        <v>2023.001B.Leviviricetes_reorg.zip</v>
      </c>
      <c r="U9312" s="29" t="str">
        <f>HYPERLINK("https://ictv.global/taxonomy/taxondetails?taxnode_id=202316739","ictv.global=202316739")</f>
        <v>ictv.global=202316739</v>
      </c>
    </row>
    <row r="9313" spans="1:21">
      <c r="A9313">
        <v>9312</v>
      </c>
      <c r="B9313" s="30" t="s">
        <v>1226</v>
      </c>
      <c r="D9313" s="30" t="s">
        <v>2024</v>
      </c>
      <c r="F9313" s="30" t="s">
        <v>2046</v>
      </c>
      <c r="H9313" s="30" t="s">
        <v>2859</v>
      </c>
      <c r="J9313" s="30" t="s">
        <v>2860</v>
      </c>
      <c r="L9313" s="30" t="s">
        <v>2990</v>
      </c>
      <c r="N9313" s="30" t="s">
        <v>3340</v>
      </c>
      <c r="P9313" s="30" t="s">
        <v>3341</v>
      </c>
      <c r="Q9313" t="s">
        <v>621</v>
      </c>
      <c r="R9313" t="s">
        <v>917</v>
      </c>
      <c r="S9313">
        <v>36</v>
      </c>
      <c r="T9313" s="29" t="str">
        <f>HYPERLINK("https://ictv.global/ictv/proposals/2020.095B.R.Leviviricetes.zip","2020.095B.R.Leviviricetes.zip")</f>
        <v>2020.095B.R.Leviviricetes.zip</v>
      </c>
      <c r="U9313" s="29" t="str">
        <f>HYPERLINK("https://ictv.global/taxonomy/taxondetails?taxnode_id=202310686","ictv.global=202310686")</f>
        <v>ictv.global=202310686</v>
      </c>
    </row>
    <row r="9314" spans="1:21">
      <c r="A9314">
        <v>9313</v>
      </c>
      <c r="B9314" s="30" t="s">
        <v>1226</v>
      </c>
      <c r="D9314" s="30" t="s">
        <v>2024</v>
      </c>
      <c r="F9314" s="30" t="s">
        <v>2046</v>
      </c>
      <c r="H9314" s="30" t="s">
        <v>2859</v>
      </c>
      <c r="J9314" s="30" t="s">
        <v>2860</v>
      </c>
      <c r="L9314" s="30" t="s">
        <v>2990</v>
      </c>
      <c r="N9314" s="30" t="s">
        <v>3342</v>
      </c>
      <c r="P9314" s="30" t="s">
        <v>3343</v>
      </c>
      <c r="Q9314" t="s">
        <v>621</v>
      </c>
      <c r="R9314" t="s">
        <v>917</v>
      </c>
      <c r="S9314">
        <v>36</v>
      </c>
      <c r="T9314" s="29" t="str">
        <f>HYPERLINK("https://ictv.global/ictv/proposals/2020.095B.R.Leviviricetes.zip","2020.095B.R.Leviviricetes.zip")</f>
        <v>2020.095B.R.Leviviricetes.zip</v>
      </c>
      <c r="U9314" s="29" t="str">
        <f>HYPERLINK("https://ictv.global/taxonomy/taxondetails?taxnode_id=202310688","ictv.global=202310688")</f>
        <v>ictv.global=202310688</v>
      </c>
    </row>
    <row r="9315" spans="1:21">
      <c r="A9315">
        <v>9314</v>
      </c>
      <c r="B9315" s="30" t="s">
        <v>1226</v>
      </c>
      <c r="D9315" s="30" t="s">
        <v>2024</v>
      </c>
      <c r="F9315" s="30" t="s">
        <v>2046</v>
      </c>
      <c r="H9315" s="30" t="s">
        <v>2859</v>
      </c>
      <c r="J9315" s="30" t="s">
        <v>2860</v>
      </c>
      <c r="L9315" s="30" t="s">
        <v>2990</v>
      </c>
      <c r="N9315" s="30" t="s">
        <v>3344</v>
      </c>
      <c r="P9315" s="30" t="s">
        <v>15811</v>
      </c>
      <c r="Q9315" t="s">
        <v>621</v>
      </c>
      <c r="R9315" t="s">
        <v>917</v>
      </c>
      <c r="S9315">
        <v>39</v>
      </c>
      <c r="T9315" s="29" t="str">
        <f>HYPERLINK("https://ictv.global/ictv/proposals/2023.001B.Leviviricetes_reorg.zip","2023.001B.Leviviricetes_reorg.zip")</f>
        <v>2023.001B.Leviviricetes_reorg.zip</v>
      </c>
      <c r="U9315" s="29" t="str">
        <f>HYPERLINK("https://ictv.global/taxonomy/taxondetails?taxnode_id=202316740","ictv.global=202316740")</f>
        <v>ictv.global=202316740</v>
      </c>
    </row>
    <row r="9316" spans="1:21">
      <c r="A9316">
        <v>9315</v>
      </c>
      <c r="B9316" s="30" t="s">
        <v>1226</v>
      </c>
      <c r="D9316" s="30" t="s">
        <v>2024</v>
      </c>
      <c r="F9316" s="30" t="s">
        <v>2046</v>
      </c>
      <c r="H9316" s="30" t="s">
        <v>2859</v>
      </c>
      <c r="J9316" s="30" t="s">
        <v>2860</v>
      </c>
      <c r="L9316" s="30" t="s">
        <v>2990</v>
      </c>
      <c r="N9316" s="30" t="s">
        <v>3344</v>
      </c>
      <c r="P9316" s="30" t="s">
        <v>3345</v>
      </c>
      <c r="Q9316" t="s">
        <v>621</v>
      </c>
      <c r="R9316" t="s">
        <v>917</v>
      </c>
      <c r="S9316">
        <v>36</v>
      </c>
      <c r="T9316" s="29" t="str">
        <f>HYPERLINK("https://ictv.global/ictv/proposals/2020.095B.R.Leviviricetes.zip","2020.095B.R.Leviviricetes.zip")</f>
        <v>2020.095B.R.Leviviricetes.zip</v>
      </c>
      <c r="U9316" s="29" t="str">
        <f>HYPERLINK("https://ictv.global/taxonomy/taxondetails?taxnode_id=202310692","ictv.global=202310692")</f>
        <v>ictv.global=202310692</v>
      </c>
    </row>
    <row r="9317" spans="1:21">
      <c r="A9317">
        <v>9316</v>
      </c>
      <c r="B9317" s="30" t="s">
        <v>1226</v>
      </c>
      <c r="D9317" s="30" t="s">
        <v>2024</v>
      </c>
      <c r="F9317" s="30" t="s">
        <v>2046</v>
      </c>
      <c r="H9317" s="30" t="s">
        <v>2859</v>
      </c>
      <c r="J9317" s="30" t="s">
        <v>2860</v>
      </c>
      <c r="L9317" s="30" t="s">
        <v>2990</v>
      </c>
      <c r="N9317" s="30" t="s">
        <v>3344</v>
      </c>
      <c r="P9317" s="30" t="s">
        <v>3346</v>
      </c>
      <c r="Q9317" t="s">
        <v>621</v>
      </c>
      <c r="R9317" t="s">
        <v>917</v>
      </c>
      <c r="S9317">
        <v>36</v>
      </c>
      <c r="T9317" s="29" t="str">
        <f>HYPERLINK("https://ictv.global/ictv/proposals/2020.095B.R.Leviviricetes.zip","2020.095B.R.Leviviricetes.zip")</f>
        <v>2020.095B.R.Leviviricetes.zip</v>
      </c>
      <c r="U9317" s="29" t="str">
        <f>HYPERLINK("https://ictv.global/taxonomy/taxondetails?taxnode_id=202310693","ictv.global=202310693")</f>
        <v>ictv.global=202310693</v>
      </c>
    </row>
    <row r="9318" spans="1:21">
      <c r="A9318">
        <v>9317</v>
      </c>
      <c r="B9318" s="30" t="s">
        <v>1226</v>
      </c>
      <c r="D9318" s="30" t="s">
        <v>2024</v>
      </c>
      <c r="F9318" s="30" t="s">
        <v>2046</v>
      </c>
      <c r="H9318" s="30" t="s">
        <v>2859</v>
      </c>
      <c r="J9318" s="30" t="s">
        <v>2860</v>
      </c>
      <c r="L9318" s="30" t="s">
        <v>2990</v>
      </c>
      <c r="N9318" s="30" t="s">
        <v>3344</v>
      </c>
      <c r="P9318" s="30" t="s">
        <v>3347</v>
      </c>
      <c r="Q9318" t="s">
        <v>621</v>
      </c>
      <c r="R9318" t="s">
        <v>917</v>
      </c>
      <c r="S9318">
        <v>36</v>
      </c>
      <c r="T9318" s="29" t="str">
        <f>HYPERLINK("https://ictv.global/ictv/proposals/2020.095B.R.Leviviricetes.zip","2020.095B.R.Leviviricetes.zip")</f>
        <v>2020.095B.R.Leviviricetes.zip</v>
      </c>
      <c r="U9318" s="29" t="str">
        <f>HYPERLINK("https://ictv.global/taxonomy/taxondetails?taxnode_id=202310690","ictv.global=202310690")</f>
        <v>ictv.global=202310690</v>
      </c>
    </row>
    <row r="9319" spans="1:21">
      <c r="A9319">
        <v>9318</v>
      </c>
      <c r="B9319" s="30" t="s">
        <v>1226</v>
      </c>
      <c r="D9319" s="30" t="s">
        <v>2024</v>
      </c>
      <c r="F9319" s="30" t="s">
        <v>2046</v>
      </c>
      <c r="H9319" s="30" t="s">
        <v>2859</v>
      </c>
      <c r="J9319" s="30" t="s">
        <v>2860</v>
      </c>
      <c r="L9319" s="30" t="s">
        <v>2990</v>
      </c>
      <c r="N9319" s="30" t="s">
        <v>3344</v>
      </c>
      <c r="P9319" s="30" t="s">
        <v>15812</v>
      </c>
      <c r="Q9319" t="s">
        <v>621</v>
      </c>
      <c r="R9319" t="s">
        <v>917</v>
      </c>
      <c r="S9319">
        <v>39</v>
      </c>
      <c r="T9319" s="29" t="str">
        <f>HYPERLINK("https://ictv.global/ictv/proposals/2023.001B.Leviviricetes_reorg.zip","2023.001B.Leviviricetes_reorg.zip")</f>
        <v>2023.001B.Leviviricetes_reorg.zip</v>
      </c>
      <c r="U9319" s="29" t="str">
        <f>HYPERLINK("https://ictv.global/taxonomy/taxondetails?taxnode_id=202316741","ictv.global=202316741")</f>
        <v>ictv.global=202316741</v>
      </c>
    </row>
    <row r="9320" spans="1:21">
      <c r="A9320">
        <v>9319</v>
      </c>
      <c r="B9320" s="30" t="s">
        <v>1226</v>
      </c>
      <c r="D9320" s="30" t="s">
        <v>2024</v>
      </c>
      <c r="F9320" s="30" t="s">
        <v>2046</v>
      </c>
      <c r="H9320" s="30" t="s">
        <v>2859</v>
      </c>
      <c r="J9320" s="30" t="s">
        <v>2860</v>
      </c>
      <c r="L9320" s="30" t="s">
        <v>2990</v>
      </c>
      <c r="N9320" s="30" t="s">
        <v>3344</v>
      </c>
      <c r="P9320" s="30" t="s">
        <v>15813</v>
      </c>
      <c r="Q9320" t="s">
        <v>621</v>
      </c>
      <c r="R9320" t="s">
        <v>917</v>
      </c>
      <c r="S9320">
        <v>39</v>
      </c>
      <c r="T9320" s="29" t="str">
        <f>HYPERLINK("https://ictv.global/ictv/proposals/2023.001B.Leviviricetes_reorg.zip","2023.001B.Leviviricetes_reorg.zip")</f>
        <v>2023.001B.Leviviricetes_reorg.zip</v>
      </c>
      <c r="U9320" s="29" t="str">
        <f>HYPERLINK("https://ictv.global/taxonomy/taxondetails?taxnode_id=202316742","ictv.global=202316742")</f>
        <v>ictv.global=202316742</v>
      </c>
    </row>
    <row r="9321" spans="1:21">
      <c r="A9321">
        <v>9320</v>
      </c>
      <c r="B9321" s="30" t="s">
        <v>1226</v>
      </c>
      <c r="D9321" s="30" t="s">
        <v>2024</v>
      </c>
      <c r="F9321" s="30" t="s">
        <v>2046</v>
      </c>
      <c r="H9321" s="30" t="s">
        <v>2859</v>
      </c>
      <c r="J9321" s="30" t="s">
        <v>2860</v>
      </c>
      <c r="L9321" s="30" t="s">
        <v>2990</v>
      </c>
      <c r="N9321" s="30" t="s">
        <v>3344</v>
      </c>
      <c r="P9321" s="30" t="s">
        <v>15814</v>
      </c>
      <c r="Q9321" t="s">
        <v>621</v>
      </c>
      <c r="R9321" t="s">
        <v>917</v>
      </c>
      <c r="S9321">
        <v>39</v>
      </c>
      <c r="T9321" s="29" t="str">
        <f>HYPERLINK("https://ictv.global/ictv/proposals/2023.001B.Leviviricetes_reorg.zip","2023.001B.Leviviricetes_reorg.zip")</f>
        <v>2023.001B.Leviviricetes_reorg.zip</v>
      </c>
      <c r="U9321" s="29" t="str">
        <f>HYPERLINK("https://ictv.global/taxonomy/taxondetails?taxnode_id=202316743","ictv.global=202316743")</f>
        <v>ictv.global=202316743</v>
      </c>
    </row>
    <row r="9322" spans="1:21">
      <c r="A9322">
        <v>9321</v>
      </c>
      <c r="B9322" s="30" t="s">
        <v>1226</v>
      </c>
      <c r="D9322" s="30" t="s">
        <v>2024</v>
      </c>
      <c r="F9322" s="30" t="s">
        <v>2046</v>
      </c>
      <c r="H9322" s="30" t="s">
        <v>2859</v>
      </c>
      <c r="J9322" s="30" t="s">
        <v>2860</v>
      </c>
      <c r="L9322" s="30" t="s">
        <v>2990</v>
      </c>
      <c r="N9322" s="30" t="s">
        <v>3344</v>
      </c>
      <c r="P9322" s="30" t="s">
        <v>15815</v>
      </c>
      <c r="Q9322" t="s">
        <v>621</v>
      </c>
      <c r="R9322" t="s">
        <v>917</v>
      </c>
      <c r="S9322">
        <v>39</v>
      </c>
      <c r="T9322" s="29" t="str">
        <f>HYPERLINK("https://ictv.global/ictv/proposals/2023.001B.Leviviricetes_reorg.zip","2023.001B.Leviviricetes_reorg.zip")</f>
        <v>2023.001B.Leviviricetes_reorg.zip</v>
      </c>
      <c r="U9322" s="29" t="str">
        <f>HYPERLINK("https://ictv.global/taxonomy/taxondetails?taxnode_id=202316744","ictv.global=202316744")</f>
        <v>ictv.global=202316744</v>
      </c>
    </row>
    <row r="9323" spans="1:21">
      <c r="A9323">
        <v>9322</v>
      </c>
      <c r="B9323" s="30" t="s">
        <v>1226</v>
      </c>
      <c r="D9323" s="30" t="s">
        <v>2024</v>
      </c>
      <c r="F9323" s="30" t="s">
        <v>2046</v>
      </c>
      <c r="H9323" s="30" t="s">
        <v>2859</v>
      </c>
      <c r="J9323" s="30" t="s">
        <v>2860</v>
      </c>
      <c r="L9323" s="30" t="s">
        <v>2990</v>
      </c>
      <c r="N9323" s="30" t="s">
        <v>3344</v>
      </c>
      <c r="P9323" s="30" t="s">
        <v>15816</v>
      </c>
      <c r="Q9323" t="s">
        <v>621</v>
      </c>
      <c r="R9323" t="s">
        <v>917</v>
      </c>
      <c r="S9323">
        <v>39</v>
      </c>
      <c r="T9323" s="29" t="str">
        <f>HYPERLINK("https://ictv.global/ictv/proposals/2023.001B.Leviviricetes_reorg.zip","2023.001B.Leviviricetes_reorg.zip")</f>
        <v>2023.001B.Leviviricetes_reorg.zip</v>
      </c>
      <c r="U9323" s="29" t="str">
        <f>HYPERLINK("https://ictv.global/taxonomy/taxondetails?taxnode_id=202316745","ictv.global=202316745")</f>
        <v>ictv.global=202316745</v>
      </c>
    </row>
    <row r="9324" spans="1:21">
      <c r="A9324">
        <v>9323</v>
      </c>
      <c r="B9324" s="30" t="s">
        <v>1226</v>
      </c>
      <c r="D9324" s="30" t="s">
        <v>2024</v>
      </c>
      <c r="F9324" s="30" t="s">
        <v>2046</v>
      </c>
      <c r="H9324" s="30" t="s">
        <v>2859</v>
      </c>
      <c r="J9324" s="30" t="s">
        <v>2860</v>
      </c>
      <c r="L9324" s="30" t="s">
        <v>2990</v>
      </c>
      <c r="N9324" s="30" t="s">
        <v>3344</v>
      </c>
      <c r="P9324" s="30" t="s">
        <v>3348</v>
      </c>
      <c r="Q9324" t="s">
        <v>621</v>
      </c>
      <c r="R9324" t="s">
        <v>917</v>
      </c>
      <c r="S9324">
        <v>36</v>
      </c>
      <c r="T9324" s="29" t="str">
        <f>HYPERLINK("https://ictv.global/ictv/proposals/2020.095B.R.Leviviricetes.zip","2020.095B.R.Leviviricetes.zip")</f>
        <v>2020.095B.R.Leviviricetes.zip</v>
      </c>
      <c r="U9324" s="29" t="str">
        <f>HYPERLINK("https://ictv.global/taxonomy/taxondetails?taxnode_id=202310691","ictv.global=202310691")</f>
        <v>ictv.global=202310691</v>
      </c>
    </row>
    <row r="9325" spans="1:21">
      <c r="A9325">
        <v>9324</v>
      </c>
      <c r="B9325" s="30" t="s">
        <v>1226</v>
      </c>
      <c r="D9325" s="30" t="s">
        <v>2024</v>
      </c>
      <c r="F9325" s="30" t="s">
        <v>2046</v>
      </c>
      <c r="H9325" s="30" t="s">
        <v>2859</v>
      </c>
      <c r="J9325" s="30" t="s">
        <v>2860</v>
      </c>
      <c r="L9325" s="30" t="s">
        <v>2990</v>
      </c>
      <c r="N9325" s="30" t="s">
        <v>3344</v>
      </c>
      <c r="P9325" s="30" t="s">
        <v>15817</v>
      </c>
      <c r="Q9325" t="s">
        <v>621</v>
      </c>
      <c r="R9325" t="s">
        <v>917</v>
      </c>
      <c r="S9325">
        <v>39</v>
      </c>
      <c r="T9325" s="29" t="str">
        <f>HYPERLINK("https://ictv.global/ictv/proposals/2023.001B.Leviviricetes_reorg.zip","2023.001B.Leviviricetes_reorg.zip")</f>
        <v>2023.001B.Leviviricetes_reorg.zip</v>
      </c>
      <c r="U9325" s="29" t="str">
        <f>HYPERLINK("https://ictv.global/taxonomy/taxondetails?taxnode_id=202316746","ictv.global=202316746")</f>
        <v>ictv.global=202316746</v>
      </c>
    </row>
    <row r="9326" spans="1:21">
      <c r="A9326">
        <v>9325</v>
      </c>
      <c r="B9326" s="30" t="s">
        <v>1226</v>
      </c>
      <c r="D9326" s="30" t="s">
        <v>2024</v>
      </c>
      <c r="F9326" s="30" t="s">
        <v>2046</v>
      </c>
      <c r="H9326" s="30" t="s">
        <v>2859</v>
      </c>
      <c r="J9326" s="30" t="s">
        <v>2860</v>
      </c>
      <c r="L9326" s="30" t="s">
        <v>2990</v>
      </c>
      <c r="N9326" s="30" t="s">
        <v>3344</v>
      </c>
      <c r="P9326" s="30" t="s">
        <v>15818</v>
      </c>
      <c r="Q9326" t="s">
        <v>621</v>
      </c>
      <c r="R9326" t="s">
        <v>917</v>
      </c>
      <c r="S9326">
        <v>39</v>
      </c>
      <c r="T9326" s="29" t="str">
        <f>HYPERLINK("https://ictv.global/ictv/proposals/2023.001B.Leviviricetes_reorg.zip","2023.001B.Leviviricetes_reorg.zip")</f>
        <v>2023.001B.Leviviricetes_reorg.zip</v>
      </c>
      <c r="U9326" s="29" t="str">
        <f>HYPERLINK("https://ictv.global/taxonomy/taxondetails?taxnode_id=202316747","ictv.global=202316747")</f>
        <v>ictv.global=202316747</v>
      </c>
    </row>
    <row r="9327" spans="1:21">
      <c r="A9327">
        <v>9326</v>
      </c>
      <c r="B9327" s="30" t="s">
        <v>1226</v>
      </c>
      <c r="D9327" s="30" t="s">
        <v>2024</v>
      </c>
      <c r="F9327" s="30" t="s">
        <v>2046</v>
      </c>
      <c r="H9327" s="30" t="s">
        <v>2859</v>
      </c>
      <c r="J9327" s="30" t="s">
        <v>2860</v>
      </c>
      <c r="L9327" s="30" t="s">
        <v>2990</v>
      </c>
      <c r="N9327" s="30" t="s">
        <v>3344</v>
      </c>
      <c r="P9327" s="30" t="s">
        <v>15819</v>
      </c>
      <c r="Q9327" t="s">
        <v>621</v>
      </c>
      <c r="R9327" t="s">
        <v>917</v>
      </c>
      <c r="S9327">
        <v>39</v>
      </c>
      <c r="T9327" s="29" t="str">
        <f>HYPERLINK("https://ictv.global/ictv/proposals/2023.001B.Leviviricetes_reorg.zip","2023.001B.Leviviricetes_reorg.zip")</f>
        <v>2023.001B.Leviviricetes_reorg.zip</v>
      </c>
      <c r="U9327" s="29" t="str">
        <f>HYPERLINK("https://ictv.global/taxonomy/taxondetails?taxnode_id=202316748","ictv.global=202316748")</f>
        <v>ictv.global=202316748</v>
      </c>
    </row>
    <row r="9328" spans="1:21">
      <c r="A9328">
        <v>9327</v>
      </c>
      <c r="B9328" s="30" t="s">
        <v>1226</v>
      </c>
      <c r="D9328" s="30" t="s">
        <v>2024</v>
      </c>
      <c r="F9328" s="30" t="s">
        <v>2046</v>
      </c>
      <c r="H9328" s="30" t="s">
        <v>2859</v>
      </c>
      <c r="J9328" s="30" t="s">
        <v>2860</v>
      </c>
      <c r="L9328" s="30" t="s">
        <v>2990</v>
      </c>
      <c r="N9328" s="30" t="s">
        <v>3344</v>
      </c>
      <c r="P9328" s="30" t="s">
        <v>15820</v>
      </c>
      <c r="Q9328" t="s">
        <v>621</v>
      </c>
      <c r="R9328" t="s">
        <v>917</v>
      </c>
      <c r="S9328">
        <v>39</v>
      </c>
      <c r="T9328" s="29" t="str">
        <f>HYPERLINK("https://ictv.global/ictv/proposals/2023.001B.Leviviricetes_reorg.zip","2023.001B.Leviviricetes_reorg.zip")</f>
        <v>2023.001B.Leviviricetes_reorg.zip</v>
      </c>
      <c r="U9328" s="29" t="str">
        <f>HYPERLINK("https://ictv.global/taxonomy/taxondetails?taxnode_id=202316749","ictv.global=202316749")</f>
        <v>ictv.global=202316749</v>
      </c>
    </row>
    <row r="9329" spans="1:21">
      <c r="A9329">
        <v>9328</v>
      </c>
      <c r="B9329" s="30" t="s">
        <v>1226</v>
      </c>
      <c r="D9329" s="30" t="s">
        <v>2024</v>
      </c>
      <c r="F9329" s="30" t="s">
        <v>2046</v>
      </c>
      <c r="H9329" s="30" t="s">
        <v>2859</v>
      </c>
      <c r="J9329" s="30" t="s">
        <v>2860</v>
      </c>
      <c r="L9329" s="30" t="s">
        <v>2990</v>
      </c>
      <c r="N9329" s="30" t="s">
        <v>3344</v>
      </c>
      <c r="P9329" s="30" t="s">
        <v>15821</v>
      </c>
      <c r="Q9329" t="s">
        <v>621</v>
      </c>
      <c r="R9329" t="s">
        <v>917</v>
      </c>
      <c r="S9329">
        <v>39</v>
      </c>
      <c r="T9329" s="29" t="str">
        <f>HYPERLINK("https://ictv.global/ictv/proposals/2023.001B.Leviviricetes_reorg.zip","2023.001B.Leviviricetes_reorg.zip")</f>
        <v>2023.001B.Leviviricetes_reorg.zip</v>
      </c>
      <c r="U9329" s="29" t="str">
        <f>HYPERLINK("https://ictv.global/taxonomy/taxondetails?taxnode_id=202316750","ictv.global=202316750")</f>
        <v>ictv.global=202316750</v>
      </c>
    </row>
    <row r="9330" spans="1:21">
      <c r="A9330">
        <v>9329</v>
      </c>
      <c r="B9330" s="30" t="s">
        <v>1226</v>
      </c>
      <c r="D9330" s="30" t="s">
        <v>2024</v>
      </c>
      <c r="F9330" s="30" t="s">
        <v>2046</v>
      </c>
      <c r="H9330" s="30" t="s">
        <v>2859</v>
      </c>
      <c r="J9330" s="30" t="s">
        <v>2860</v>
      </c>
      <c r="L9330" s="30" t="s">
        <v>3349</v>
      </c>
      <c r="N9330" s="30" t="s">
        <v>3350</v>
      </c>
      <c r="P9330" s="30" t="s">
        <v>3351</v>
      </c>
      <c r="Q9330" t="s">
        <v>621</v>
      </c>
      <c r="R9330" t="s">
        <v>917</v>
      </c>
      <c r="S9330">
        <v>36</v>
      </c>
      <c r="T9330" s="29" t="str">
        <f>HYPERLINK("https://ictv.global/ictv/proposals/2020.095B.R.Leviviricetes.zip","2020.095B.R.Leviviricetes.zip")</f>
        <v>2020.095B.R.Leviviricetes.zip</v>
      </c>
      <c r="U9330" s="29" t="str">
        <f>HYPERLINK("https://ictv.global/taxonomy/taxondetails?taxnode_id=202310859","ictv.global=202310859")</f>
        <v>ictv.global=202310859</v>
      </c>
    </row>
    <row r="9331" spans="1:21">
      <c r="A9331">
        <v>9330</v>
      </c>
      <c r="B9331" s="30" t="s">
        <v>1226</v>
      </c>
      <c r="D9331" s="30" t="s">
        <v>2024</v>
      </c>
      <c r="F9331" s="30" t="s">
        <v>2046</v>
      </c>
      <c r="H9331" s="30" t="s">
        <v>2859</v>
      </c>
      <c r="J9331" s="30" t="s">
        <v>2860</v>
      </c>
      <c r="L9331" s="30" t="s">
        <v>3349</v>
      </c>
      <c r="N9331" s="30" t="s">
        <v>15822</v>
      </c>
      <c r="P9331" s="30" t="s">
        <v>15823</v>
      </c>
      <c r="Q9331" t="s">
        <v>621</v>
      </c>
      <c r="R9331" t="s">
        <v>917</v>
      </c>
      <c r="S9331">
        <v>39</v>
      </c>
      <c r="T9331" s="29" t="str">
        <f>HYPERLINK("https://ictv.global/ictv/proposals/2023.001B.Leviviricetes_reorg.zip","2023.001B.Leviviricetes_reorg.zip")</f>
        <v>2023.001B.Leviviricetes_reorg.zip</v>
      </c>
      <c r="U9331" s="29" t="str">
        <f>HYPERLINK("https://ictv.global/taxonomy/taxondetails?taxnode_id=202316751","ictv.global=202316751")</f>
        <v>ictv.global=202316751</v>
      </c>
    </row>
    <row r="9332" spans="1:21">
      <c r="A9332">
        <v>9331</v>
      </c>
      <c r="B9332" s="30" t="s">
        <v>1226</v>
      </c>
      <c r="D9332" s="30" t="s">
        <v>2024</v>
      </c>
      <c r="F9332" s="30" t="s">
        <v>2046</v>
      </c>
      <c r="H9332" s="30" t="s">
        <v>2859</v>
      </c>
      <c r="J9332" s="30" t="s">
        <v>2860</v>
      </c>
      <c r="L9332" s="30" t="s">
        <v>3349</v>
      </c>
      <c r="N9332" s="30" t="s">
        <v>3352</v>
      </c>
      <c r="P9332" s="30" t="s">
        <v>3353</v>
      </c>
      <c r="Q9332" t="s">
        <v>621</v>
      </c>
      <c r="R9332" t="s">
        <v>917</v>
      </c>
      <c r="S9332">
        <v>36</v>
      </c>
      <c r="T9332" s="29" t="str">
        <f>HYPERLINK("https://ictv.global/ictv/proposals/2020.095B.R.Leviviricetes.zip","2020.095B.R.Leviviricetes.zip")</f>
        <v>2020.095B.R.Leviviricetes.zip</v>
      </c>
      <c r="U9332" s="29" t="str">
        <f>HYPERLINK("https://ictv.global/taxonomy/taxondetails?taxnode_id=202310861","ictv.global=202310861")</f>
        <v>ictv.global=202310861</v>
      </c>
    </row>
    <row r="9333" spans="1:21">
      <c r="A9333">
        <v>9332</v>
      </c>
      <c r="B9333" s="30" t="s">
        <v>1226</v>
      </c>
      <c r="D9333" s="30" t="s">
        <v>2024</v>
      </c>
      <c r="F9333" s="30" t="s">
        <v>2046</v>
      </c>
      <c r="H9333" s="30" t="s">
        <v>2859</v>
      </c>
      <c r="J9333" s="30" t="s">
        <v>2860</v>
      </c>
      <c r="L9333" s="30" t="s">
        <v>3349</v>
      </c>
      <c r="N9333" s="30" t="s">
        <v>3354</v>
      </c>
      <c r="P9333" s="30" t="s">
        <v>3355</v>
      </c>
      <c r="Q9333" t="s">
        <v>621</v>
      </c>
      <c r="R9333" t="s">
        <v>917</v>
      </c>
      <c r="S9333">
        <v>36</v>
      </c>
      <c r="T9333" s="29" t="str">
        <f>HYPERLINK("https://ictv.global/ictv/proposals/2020.095B.R.Leviviricetes.zip","2020.095B.R.Leviviricetes.zip")</f>
        <v>2020.095B.R.Leviviricetes.zip</v>
      </c>
      <c r="U9333" s="29" t="str">
        <f>HYPERLINK("https://ictv.global/taxonomy/taxondetails?taxnode_id=202310863","ictv.global=202310863")</f>
        <v>ictv.global=202310863</v>
      </c>
    </row>
    <row r="9334" spans="1:21">
      <c r="A9334">
        <v>9333</v>
      </c>
      <c r="B9334" s="30" t="s">
        <v>1226</v>
      </c>
      <c r="D9334" s="30" t="s">
        <v>2024</v>
      </c>
      <c r="F9334" s="30" t="s">
        <v>2046</v>
      </c>
      <c r="H9334" s="30" t="s">
        <v>2859</v>
      </c>
      <c r="J9334" s="30" t="s">
        <v>2860</v>
      </c>
      <c r="L9334" s="30" t="s">
        <v>3349</v>
      </c>
      <c r="N9334" s="30" t="s">
        <v>15824</v>
      </c>
      <c r="P9334" s="30" t="s">
        <v>15825</v>
      </c>
      <c r="Q9334" t="s">
        <v>621</v>
      </c>
      <c r="R9334" t="s">
        <v>917</v>
      </c>
      <c r="S9334">
        <v>39</v>
      </c>
      <c r="T9334" s="29" t="str">
        <f>HYPERLINK("https://ictv.global/ictv/proposals/2023.001B.Leviviricetes_reorg.zip","2023.001B.Leviviricetes_reorg.zip")</f>
        <v>2023.001B.Leviviricetes_reorg.zip</v>
      </c>
      <c r="U9334" s="29" t="str">
        <f>HYPERLINK("https://ictv.global/taxonomy/taxondetails?taxnode_id=202316752","ictv.global=202316752")</f>
        <v>ictv.global=202316752</v>
      </c>
    </row>
    <row r="9335" spans="1:21">
      <c r="A9335">
        <v>9334</v>
      </c>
      <c r="B9335" s="30" t="s">
        <v>1226</v>
      </c>
      <c r="D9335" s="30" t="s">
        <v>2024</v>
      </c>
      <c r="F9335" s="30" t="s">
        <v>2046</v>
      </c>
      <c r="H9335" s="30" t="s">
        <v>2859</v>
      </c>
      <c r="J9335" s="30" t="s">
        <v>2860</v>
      </c>
      <c r="L9335" s="30" t="s">
        <v>3349</v>
      </c>
      <c r="N9335" s="30" t="s">
        <v>15824</v>
      </c>
      <c r="P9335" s="30" t="s">
        <v>15826</v>
      </c>
      <c r="Q9335" t="s">
        <v>621</v>
      </c>
      <c r="R9335" t="s">
        <v>917</v>
      </c>
      <c r="S9335">
        <v>39</v>
      </c>
      <c r="T9335" s="29" t="str">
        <f>HYPERLINK("https://ictv.global/ictv/proposals/2023.001B.Leviviricetes_reorg.zip","2023.001B.Leviviricetes_reorg.zip")</f>
        <v>2023.001B.Leviviricetes_reorg.zip</v>
      </c>
      <c r="U9335" s="29" t="str">
        <f>HYPERLINK("https://ictv.global/taxonomy/taxondetails?taxnode_id=202316753","ictv.global=202316753")</f>
        <v>ictv.global=202316753</v>
      </c>
    </row>
    <row r="9336" spans="1:21">
      <c r="A9336">
        <v>9335</v>
      </c>
      <c r="B9336" s="30" t="s">
        <v>1226</v>
      </c>
      <c r="D9336" s="30" t="s">
        <v>2024</v>
      </c>
      <c r="F9336" s="30" t="s">
        <v>2046</v>
      </c>
      <c r="H9336" s="30" t="s">
        <v>2859</v>
      </c>
      <c r="J9336" s="30" t="s">
        <v>2860</v>
      </c>
      <c r="L9336" s="30" t="s">
        <v>3349</v>
      </c>
      <c r="N9336" s="30" t="s">
        <v>3356</v>
      </c>
      <c r="P9336" s="30" t="s">
        <v>3357</v>
      </c>
      <c r="Q9336" t="s">
        <v>621</v>
      </c>
      <c r="R9336" t="s">
        <v>917</v>
      </c>
      <c r="S9336">
        <v>36</v>
      </c>
      <c r="T9336" s="29" t="str">
        <f>HYPERLINK("https://ictv.global/ictv/proposals/2020.095B.R.Leviviricetes.zip","2020.095B.R.Leviviricetes.zip")</f>
        <v>2020.095B.R.Leviviricetes.zip</v>
      </c>
      <c r="U9336" s="29" t="str">
        <f>HYPERLINK("https://ictv.global/taxonomy/taxondetails?taxnode_id=202310865","ictv.global=202310865")</f>
        <v>ictv.global=202310865</v>
      </c>
    </row>
    <row r="9337" spans="1:21">
      <c r="A9337">
        <v>9336</v>
      </c>
      <c r="B9337" s="30" t="s">
        <v>1226</v>
      </c>
      <c r="D9337" s="30" t="s">
        <v>2024</v>
      </c>
      <c r="F9337" s="30" t="s">
        <v>2046</v>
      </c>
      <c r="H9337" s="30" t="s">
        <v>2859</v>
      </c>
      <c r="J9337" s="30" t="s">
        <v>2860</v>
      </c>
      <c r="L9337" s="30" t="s">
        <v>3349</v>
      </c>
      <c r="N9337" s="30" t="s">
        <v>3358</v>
      </c>
      <c r="P9337" s="30" t="s">
        <v>3359</v>
      </c>
      <c r="Q9337" t="s">
        <v>621</v>
      </c>
      <c r="R9337" t="s">
        <v>917</v>
      </c>
      <c r="S9337">
        <v>36</v>
      </c>
      <c r="T9337" s="29" t="str">
        <f>HYPERLINK("https://ictv.global/ictv/proposals/2020.095B.R.Leviviricetes.zip","2020.095B.R.Leviviricetes.zip")</f>
        <v>2020.095B.R.Leviviricetes.zip</v>
      </c>
      <c r="U9337" s="29" t="str">
        <f>HYPERLINK("https://ictv.global/taxonomy/taxondetails?taxnode_id=202310867","ictv.global=202310867")</f>
        <v>ictv.global=202310867</v>
      </c>
    </row>
    <row r="9338" spans="1:21">
      <c r="A9338">
        <v>9337</v>
      </c>
      <c r="B9338" s="30" t="s">
        <v>1226</v>
      </c>
      <c r="D9338" s="30" t="s">
        <v>2024</v>
      </c>
      <c r="F9338" s="30" t="s">
        <v>2046</v>
      </c>
      <c r="H9338" s="30" t="s">
        <v>2859</v>
      </c>
      <c r="J9338" s="30" t="s">
        <v>2860</v>
      </c>
      <c r="L9338" s="30" t="s">
        <v>3349</v>
      </c>
      <c r="N9338" s="30" t="s">
        <v>3360</v>
      </c>
      <c r="P9338" s="30" t="s">
        <v>3361</v>
      </c>
      <c r="Q9338" t="s">
        <v>621</v>
      </c>
      <c r="R9338" t="s">
        <v>917</v>
      </c>
      <c r="S9338">
        <v>36</v>
      </c>
      <c r="T9338" s="29" t="str">
        <f>HYPERLINK("https://ictv.global/ictv/proposals/2020.095B.R.Leviviricetes.zip","2020.095B.R.Leviviricetes.zip")</f>
        <v>2020.095B.R.Leviviricetes.zip</v>
      </c>
      <c r="U9338" s="29" t="str">
        <f>HYPERLINK("https://ictv.global/taxonomy/taxondetails?taxnode_id=202310869","ictv.global=202310869")</f>
        <v>ictv.global=202310869</v>
      </c>
    </row>
    <row r="9339" spans="1:21">
      <c r="A9339">
        <v>9338</v>
      </c>
      <c r="B9339" s="30" t="s">
        <v>1226</v>
      </c>
      <c r="D9339" s="30" t="s">
        <v>2024</v>
      </c>
      <c r="F9339" s="30" t="s">
        <v>2046</v>
      </c>
      <c r="H9339" s="30" t="s">
        <v>2859</v>
      </c>
      <c r="J9339" s="30" t="s">
        <v>2860</v>
      </c>
      <c r="L9339" s="30" t="s">
        <v>3349</v>
      </c>
      <c r="N9339" s="30" t="s">
        <v>3360</v>
      </c>
      <c r="P9339" s="30" t="s">
        <v>15827</v>
      </c>
      <c r="Q9339" t="s">
        <v>621</v>
      </c>
      <c r="R9339" t="s">
        <v>917</v>
      </c>
      <c r="S9339">
        <v>39</v>
      </c>
      <c r="T9339" s="29" t="str">
        <f>HYPERLINK("https://ictv.global/ictv/proposals/2023.001B.Leviviricetes_reorg.zip","2023.001B.Leviviricetes_reorg.zip")</f>
        <v>2023.001B.Leviviricetes_reorg.zip</v>
      </c>
      <c r="U9339" s="29" t="str">
        <f>HYPERLINK("https://ictv.global/taxonomy/taxondetails?taxnode_id=202316754","ictv.global=202316754")</f>
        <v>ictv.global=202316754</v>
      </c>
    </row>
    <row r="9340" spans="1:21">
      <c r="A9340">
        <v>9339</v>
      </c>
      <c r="B9340" s="30" t="s">
        <v>1226</v>
      </c>
      <c r="D9340" s="30" t="s">
        <v>2024</v>
      </c>
      <c r="F9340" s="30" t="s">
        <v>2046</v>
      </c>
      <c r="H9340" s="30" t="s">
        <v>2859</v>
      </c>
      <c r="J9340" s="30" t="s">
        <v>2860</v>
      </c>
      <c r="L9340" s="30" t="s">
        <v>3349</v>
      </c>
      <c r="N9340" s="30" t="s">
        <v>3360</v>
      </c>
      <c r="P9340" s="30" t="s">
        <v>3362</v>
      </c>
      <c r="Q9340" t="s">
        <v>621</v>
      </c>
      <c r="R9340" t="s">
        <v>917</v>
      </c>
      <c r="S9340">
        <v>36</v>
      </c>
      <c r="T9340" s="29" t="str">
        <f>HYPERLINK("https://ictv.global/ictv/proposals/2020.095B.R.Leviviricetes.zip","2020.095B.R.Leviviricetes.zip")</f>
        <v>2020.095B.R.Leviviricetes.zip</v>
      </c>
      <c r="U9340" s="29" t="str">
        <f>HYPERLINK("https://ictv.global/taxonomy/taxondetails?taxnode_id=202310870","ictv.global=202310870")</f>
        <v>ictv.global=202310870</v>
      </c>
    </row>
    <row r="9341" spans="1:21">
      <c r="A9341">
        <v>9340</v>
      </c>
      <c r="B9341" s="30" t="s">
        <v>1226</v>
      </c>
      <c r="D9341" s="30" t="s">
        <v>2024</v>
      </c>
      <c r="F9341" s="30" t="s">
        <v>2046</v>
      </c>
      <c r="H9341" s="30" t="s">
        <v>2859</v>
      </c>
      <c r="J9341" s="30" t="s">
        <v>2860</v>
      </c>
      <c r="L9341" s="30" t="s">
        <v>3349</v>
      </c>
      <c r="N9341" s="30" t="s">
        <v>3363</v>
      </c>
      <c r="P9341" s="30" t="s">
        <v>3364</v>
      </c>
      <c r="Q9341" t="s">
        <v>621</v>
      </c>
      <c r="R9341" t="s">
        <v>917</v>
      </c>
      <c r="S9341">
        <v>36</v>
      </c>
      <c r="T9341" s="29" t="str">
        <f>HYPERLINK("https://ictv.global/ictv/proposals/2020.095B.R.Leviviricetes.zip","2020.095B.R.Leviviricetes.zip")</f>
        <v>2020.095B.R.Leviviricetes.zip</v>
      </c>
      <c r="U9341" s="29" t="str">
        <f>HYPERLINK("https://ictv.global/taxonomy/taxondetails?taxnode_id=202310872","ictv.global=202310872")</f>
        <v>ictv.global=202310872</v>
      </c>
    </row>
    <row r="9342" spans="1:21">
      <c r="A9342">
        <v>9341</v>
      </c>
      <c r="B9342" s="30" t="s">
        <v>1226</v>
      </c>
      <c r="D9342" s="30" t="s">
        <v>2024</v>
      </c>
      <c r="F9342" s="30" t="s">
        <v>2046</v>
      </c>
      <c r="H9342" s="30" t="s">
        <v>2859</v>
      </c>
      <c r="J9342" s="30" t="s">
        <v>2860</v>
      </c>
      <c r="L9342" s="30" t="s">
        <v>3349</v>
      </c>
      <c r="N9342" s="30" t="s">
        <v>3365</v>
      </c>
      <c r="P9342" s="30" t="s">
        <v>3366</v>
      </c>
      <c r="Q9342" t="s">
        <v>621</v>
      </c>
      <c r="R9342" t="s">
        <v>917</v>
      </c>
      <c r="S9342">
        <v>36</v>
      </c>
      <c r="T9342" s="29" t="str">
        <f>HYPERLINK("https://ictv.global/ictv/proposals/2020.095B.R.Leviviricetes.zip","2020.095B.R.Leviviricetes.zip")</f>
        <v>2020.095B.R.Leviviricetes.zip</v>
      </c>
      <c r="U9342" s="29" t="str">
        <f>HYPERLINK("https://ictv.global/taxonomy/taxondetails?taxnode_id=202310874","ictv.global=202310874")</f>
        <v>ictv.global=202310874</v>
      </c>
    </row>
    <row r="9343" spans="1:21">
      <c r="A9343">
        <v>9342</v>
      </c>
      <c r="B9343" s="30" t="s">
        <v>1226</v>
      </c>
      <c r="D9343" s="30" t="s">
        <v>2024</v>
      </c>
      <c r="F9343" s="30" t="s">
        <v>2046</v>
      </c>
      <c r="H9343" s="30" t="s">
        <v>2859</v>
      </c>
      <c r="J9343" s="30" t="s">
        <v>2860</v>
      </c>
      <c r="L9343" s="30" t="s">
        <v>3349</v>
      </c>
      <c r="N9343" s="30" t="s">
        <v>3367</v>
      </c>
      <c r="P9343" s="30" t="s">
        <v>3368</v>
      </c>
      <c r="Q9343" t="s">
        <v>621</v>
      </c>
      <c r="R9343" t="s">
        <v>917</v>
      </c>
      <c r="S9343">
        <v>36</v>
      </c>
      <c r="T9343" s="29" t="str">
        <f>HYPERLINK("https://ictv.global/ictv/proposals/2020.095B.R.Leviviricetes.zip","2020.095B.R.Leviviricetes.zip")</f>
        <v>2020.095B.R.Leviviricetes.zip</v>
      </c>
      <c r="U9343" s="29" t="str">
        <f>HYPERLINK("https://ictv.global/taxonomy/taxondetails?taxnode_id=202310882","ictv.global=202310882")</f>
        <v>ictv.global=202310882</v>
      </c>
    </row>
    <row r="9344" spans="1:21">
      <c r="A9344">
        <v>9343</v>
      </c>
      <c r="B9344" s="30" t="s">
        <v>1226</v>
      </c>
      <c r="D9344" s="30" t="s">
        <v>2024</v>
      </c>
      <c r="F9344" s="30" t="s">
        <v>2046</v>
      </c>
      <c r="H9344" s="30" t="s">
        <v>2859</v>
      </c>
      <c r="J9344" s="30" t="s">
        <v>2860</v>
      </c>
      <c r="L9344" s="30" t="s">
        <v>3349</v>
      </c>
      <c r="N9344" s="30" t="s">
        <v>15828</v>
      </c>
      <c r="P9344" s="30" t="s">
        <v>15829</v>
      </c>
      <c r="Q9344" t="s">
        <v>621</v>
      </c>
      <c r="R9344" t="s">
        <v>917</v>
      </c>
      <c r="S9344">
        <v>39</v>
      </c>
      <c r="T9344" s="29" t="str">
        <f>HYPERLINK("https://ictv.global/ictv/proposals/2023.001B.Leviviricetes_reorg.zip","2023.001B.Leviviricetes_reorg.zip")</f>
        <v>2023.001B.Leviviricetes_reorg.zip</v>
      </c>
      <c r="U9344" s="29" t="str">
        <f>HYPERLINK("https://ictv.global/taxonomy/taxondetails?taxnode_id=202316755","ictv.global=202316755")</f>
        <v>ictv.global=202316755</v>
      </c>
    </row>
    <row r="9345" spans="1:21">
      <c r="A9345">
        <v>9344</v>
      </c>
      <c r="B9345" s="30" t="s">
        <v>1226</v>
      </c>
      <c r="D9345" s="30" t="s">
        <v>2024</v>
      </c>
      <c r="F9345" s="30" t="s">
        <v>2046</v>
      </c>
      <c r="H9345" s="30" t="s">
        <v>2859</v>
      </c>
      <c r="J9345" s="30" t="s">
        <v>2860</v>
      </c>
      <c r="L9345" s="30" t="s">
        <v>3349</v>
      </c>
      <c r="N9345" s="30" t="s">
        <v>3369</v>
      </c>
      <c r="P9345" s="30" t="s">
        <v>3370</v>
      </c>
      <c r="Q9345" t="s">
        <v>621</v>
      </c>
      <c r="R9345" t="s">
        <v>917</v>
      </c>
      <c r="S9345">
        <v>36</v>
      </c>
      <c r="T9345" s="29" t="str">
        <f t="shared" ref="T9345:T9353" si="396">HYPERLINK("https://ictv.global/ictv/proposals/2020.095B.R.Leviviricetes.zip","2020.095B.R.Leviviricetes.zip")</f>
        <v>2020.095B.R.Leviviricetes.zip</v>
      </c>
      <c r="U9345" s="29" t="str">
        <f>HYPERLINK("https://ictv.global/taxonomy/taxondetails?taxnode_id=202310884","ictv.global=202310884")</f>
        <v>ictv.global=202310884</v>
      </c>
    </row>
    <row r="9346" spans="1:21">
      <c r="A9346">
        <v>9345</v>
      </c>
      <c r="B9346" s="30" t="s">
        <v>1226</v>
      </c>
      <c r="D9346" s="30" t="s">
        <v>2024</v>
      </c>
      <c r="F9346" s="30" t="s">
        <v>2046</v>
      </c>
      <c r="H9346" s="30" t="s">
        <v>2859</v>
      </c>
      <c r="J9346" s="30" t="s">
        <v>2860</v>
      </c>
      <c r="L9346" s="30" t="s">
        <v>3349</v>
      </c>
      <c r="N9346" s="30" t="s">
        <v>3371</v>
      </c>
      <c r="P9346" s="30" t="s">
        <v>3372</v>
      </c>
      <c r="Q9346" t="s">
        <v>621</v>
      </c>
      <c r="R9346" t="s">
        <v>917</v>
      </c>
      <c r="S9346">
        <v>36</v>
      </c>
      <c r="T9346" s="29" t="str">
        <f t="shared" si="396"/>
        <v>2020.095B.R.Leviviricetes.zip</v>
      </c>
      <c r="U9346" s="29" t="str">
        <f>HYPERLINK("https://ictv.global/taxonomy/taxondetails?taxnode_id=202310886","ictv.global=202310886")</f>
        <v>ictv.global=202310886</v>
      </c>
    </row>
    <row r="9347" spans="1:21">
      <c r="A9347">
        <v>9346</v>
      </c>
      <c r="B9347" s="30" t="s">
        <v>1226</v>
      </c>
      <c r="D9347" s="30" t="s">
        <v>2024</v>
      </c>
      <c r="F9347" s="30" t="s">
        <v>2046</v>
      </c>
      <c r="H9347" s="30" t="s">
        <v>2859</v>
      </c>
      <c r="J9347" s="30" t="s">
        <v>2860</v>
      </c>
      <c r="L9347" s="30" t="s">
        <v>3349</v>
      </c>
      <c r="N9347" s="30" t="s">
        <v>3371</v>
      </c>
      <c r="P9347" s="30" t="s">
        <v>3373</v>
      </c>
      <c r="Q9347" t="s">
        <v>621</v>
      </c>
      <c r="R9347" t="s">
        <v>917</v>
      </c>
      <c r="S9347">
        <v>36</v>
      </c>
      <c r="T9347" s="29" t="str">
        <f t="shared" si="396"/>
        <v>2020.095B.R.Leviviricetes.zip</v>
      </c>
      <c r="U9347" s="29" t="str">
        <f>HYPERLINK("https://ictv.global/taxonomy/taxondetails?taxnode_id=202310887","ictv.global=202310887")</f>
        <v>ictv.global=202310887</v>
      </c>
    </row>
    <row r="9348" spans="1:21">
      <c r="A9348">
        <v>9347</v>
      </c>
      <c r="B9348" s="30" t="s">
        <v>1226</v>
      </c>
      <c r="D9348" s="30" t="s">
        <v>2024</v>
      </c>
      <c r="F9348" s="30" t="s">
        <v>2046</v>
      </c>
      <c r="H9348" s="30" t="s">
        <v>2859</v>
      </c>
      <c r="J9348" s="30" t="s">
        <v>2860</v>
      </c>
      <c r="L9348" s="30" t="s">
        <v>3349</v>
      </c>
      <c r="N9348" s="30" t="s">
        <v>3374</v>
      </c>
      <c r="P9348" s="30" t="s">
        <v>3375</v>
      </c>
      <c r="Q9348" t="s">
        <v>621</v>
      </c>
      <c r="R9348" t="s">
        <v>917</v>
      </c>
      <c r="S9348">
        <v>36</v>
      </c>
      <c r="T9348" s="29" t="str">
        <f t="shared" si="396"/>
        <v>2020.095B.R.Leviviricetes.zip</v>
      </c>
      <c r="U9348" s="29" t="str">
        <f>HYPERLINK("https://ictv.global/taxonomy/taxondetails?taxnode_id=202310893","ictv.global=202310893")</f>
        <v>ictv.global=202310893</v>
      </c>
    </row>
    <row r="9349" spans="1:21">
      <c r="A9349">
        <v>9348</v>
      </c>
      <c r="B9349" s="30" t="s">
        <v>1226</v>
      </c>
      <c r="D9349" s="30" t="s">
        <v>2024</v>
      </c>
      <c r="F9349" s="30" t="s">
        <v>2046</v>
      </c>
      <c r="H9349" s="30" t="s">
        <v>2859</v>
      </c>
      <c r="J9349" s="30" t="s">
        <v>2860</v>
      </c>
      <c r="L9349" s="30" t="s">
        <v>3349</v>
      </c>
      <c r="N9349" s="30" t="s">
        <v>3376</v>
      </c>
      <c r="P9349" s="30" t="s">
        <v>3377</v>
      </c>
      <c r="Q9349" t="s">
        <v>621</v>
      </c>
      <c r="R9349" t="s">
        <v>917</v>
      </c>
      <c r="S9349">
        <v>36</v>
      </c>
      <c r="T9349" s="29" t="str">
        <f t="shared" si="396"/>
        <v>2020.095B.R.Leviviricetes.zip</v>
      </c>
      <c r="U9349" s="29" t="str">
        <f>HYPERLINK("https://ictv.global/taxonomy/taxondetails?taxnode_id=202310895","ictv.global=202310895")</f>
        <v>ictv.global=202310895</v>
      </c>
    </row>
    <row r="9350" spans="1:21">
      <c r="A9350">
        <v>9349</v>
      </c>
      <c r="B9350" s="30" t="s">
        <v>1226</v>
      </c>
      <c r="D9350" s="30" t="s">
        <v>2024</v>
      </c>
      <c r="F9350" s="30" t="s">
        <v>2046</v>
      </c>
      <c r="H9350" s="30" t="s">
        <v>2859</v>
      </c>
      <c r="J9350" s="30" t="s">
        <v>2860</v>
      </c>
      <c r="L9350" s="30" t="s">
        <v>3349</v>
      </c>
      <c r="N9350" s="30" t="s">
        <v>3378</v>
      </c>
      <c r="P9350" s="30" t="s">
        <v>3379</v>
      </c>
      <c r="Q9350" t="s">
        <v>621</v>
      </c>
      <c r="R9350" t="s">
        <v>917</v>
      </c>
      <c r="S9350">
        <v>36</v>
      </c>
      <c r="T9350" s="29" t="str">
        <f t="shared" si="396"/>
        <v>2020.095B.R.Leviviricetes.zip</v>
      </c>
      <c r="U9350" s="29" t="str">
        <f>HYPERLINK("https://ictv.global/taxonomy/taxondetails?taxnode_id=202310898","ictv.global=202310898")</f>
        <v>ictv.global=202310898</v>
      </c>
    </row>
    <row r="9351" spans="1:21">
      <c r="A9351">
        <v>9350</v>
      </c>
      <c r="B9351" s="30" t="s">
        <v>1226</v>
      </c>
      <c r="D9351" s="30" t="s">
        <v>2024</v>
      </c>
      <c r="F9351" s="30" t="s">
        <v>2046</v>
      </c>
      <c r="H9351" s="30" t="s">
        <v>2859</v>
      </c>
      <c r="J9351" s="30" t="s">
        <v>2860</v>
      </c>
      <c r="L9351" s="30" t="s">
        <v>3349</v>
      </c>
      <c r="N9351" s="30" t="s">
        <v>3380</v>
      </c>
      <c r="P9351" s="30" t="s">
        <v>3381</v>
      </c>
      <c r="Q9351" t="s">
        <v>621</v>
      </c>
      <c r="R9351" t="s">
        <v>917</v>
      </c>
      <c r="S9351">
        <v>36</v>
      </c>
      <c r="T9351" s="29" t="str">
        <f t="shared" si="396"/>
        <v>2020.095B.R.Leviviricetes.zip</v>
      </c>
      <c r="U9351" s="29" t="str">
        <f>HYPERLINK("https://ictv.global/taxonomy/taxondetails?taxnode_id=202310900","ictv.global=202310900")</f>
        <v>ictv.global=202310900</v>
      </c>
    </row>
    <row r="9352" spans="1:21">
      <c r="A9352">
        <v>9351</v>
      </c>
      <c r="B9352" s="30" t="s">
        <v>1226</v>
      </c>
      <c r="D9352" s="30" t="s">
        <v>2024</v>
      </c>
      <c r="F9352" s="30" t="s">
        <v>2046</v>
      </c>
      <c r="H9352" s="30" t="s">
        <v>2859</v>
      </c>
      <c r="J9352" s="30" t="s">
        <v>2860</v>
      </c>
      <c r="L9352" s="30" t="s">
        <v>3349</v>
      </c>
      <c r="N9352" s="30" t="s">
        <v>3382</v>
      </c>
      <c r="P9352" s="30" t="s">
        <v>3383</v>
      </c>
      <c r="Q9352" t="s">
        <v>621</v>
      </c>
      <c r="R9352" t="s">
        <v>917</v>
      </c>
      <c r="S9352">
        <v>36</v>
      </c>
      <c r="T9352" s="29" t="str">
        <f t="shared" si="396"/>
        <v>2020.095B.R.Leviviricetes.zip</v>
      </c>
      <c r="U9352" s="29" t="str">
        <f>HYPERLINK("https://ictv.global/taxonomy/taxondetails?taxnode_id=202310902","ictv.global=202310902")</f>
        <v>ictv.global=202310902</v>
      </c>
    </row>
    <row r="9353" spans="1:21">
      <c r="A9353">
        <v>9352</v>
      </c>
      <c r="B9353" s="30" t="s">
        <v>1226</v>
      </c>
      <c r="D9353" s="30" t="s">
        <v>2024</v>
      </c>
      <c r="F9353" s="30" t="s">
        <v>2046</v>
      </c>
      <c r="H9353" s="30" t="s">
        <v>2859</v>
      </c>
      <c r="J9353" s="30" t="s">
        <v>2860</v>
      </c>
      <c r="L9353" s="30" t="s">
        <v>3349</v>
      </c>
      <c r="N9353" s="30" t="s">
        <v>3384</v>
      </c>
      <c r="P9353" s="30" t="s">
        <v>3385</v>
      </c>
      <c r="Q9353" t="s">
        <v>621</v>
      </c>
      <c r="R9353" t="s">
        <v>917</v>
      </c>
      <c r="S9353">
        <v>36</v>
      </c>
      <c r="T9353" s="29" t="str">
        <f t="shared" si="396"/>
        <v>2020.095B.R.Leviviricetes.zip</v>
      </c>
      <c r="U9353" s="29" t="str">
        <f>HYPERLINK("https://ictv.global/taxonomy/taxondetails?taxnode_id=202310904","ictv.global=202310904")</f>
        <v>ictv.global=202310904</v>
      </c>
    </row>
    <row r="9354" spans="1:21">
      <c r="A9354">
        <v>9353</v>
      </c>
      <c r="B9354" s="30" t="s">
        <v>1226</v>
      </c>
      <c r="D9354" s="30" t="s">
        <v>2024</v>
      </c>
      <c r="F9354" s="30" t="s">
        <v>2046</v>
      </c>
      <c r="H9354" s="30" t="s">
        <v>2859</v>
      </c>
      <c r="J9354" s="30" t="s">
        <v>2860</v>
      </c>
      <c r="L9354" s="30" t="s">
        <v>3349</v>
      </c>
      <c r="N9354" s="30" t="s">
        <v>15830</v>
      </c>
      <c r="P9354" s="30" t="s">
        <v>15831</v>
      </c>
      <c r="Q9354" t="s">
        <v>621</v>
      </c>
      <c r="R9354" t="s">
        <v>918</v>
      </c>
      <c r="S9354">
        <v>39</v>
      </c>
      <c r="T9354" s="29" t="str">
        <f>HYPERLINK("https://ictv.global/ictv/proposals/2023.001B.Leviviricetes_reorg.zip","2023.001B.Leviviricetes_reorg.zip")</f>
        <v>2023.001B.Leviviricetes_reorg.zip</v>
      </c>
      <c r="U9354" s="29" t="str">
        <f>HYPERLINK("https://ictv.global/taxonomy/taxondetails?taxnode_id=202310877","ictv.global=202310877")</f>
        <v>ictv.global=202310877</v>
      </c>
    </row>
    <row r="9355" spans="1:21">
      <c r="A9355">
        <v>9354</v>
      </c>
      <c r="B9355" s="30" t="s">
        <v>1226</v>
      </c>
      <c r="D9355" s="30" t="s">
        <v>2024</v>
      </c>
      <c r="F9355" s="30" t="s">
        <v>2046</v>
      </c>
      <c r="H9355" s="30" t="s">
        <v>2859</v>
      </c>
      <c r="J9355" s="30" t="s">
        <v>2860</v>
      </c>
      <c r="L9355" s="30" t="s">
        <v>3349</v>
      </c>
      <c r="N9355" s="30" t="s">
        <v>15830</v>
      </c>
      <c r="P9355" s="30" t="s">
        <v>15832</v>
      </c>
      <c r="Q9355" t="s">
        <v>621</v>
      </c>
      <c r="R9355" t="s">
        <v>918</v>
      </c>
      <c r="S9355">
        <v>39</v>
      </c>
      <c r="T9355" s="29" t="str">
        <f>HYPERLINK("https://ictv.global/ictv/proposals/2023.001B.Leviviricetes_reorg.zip","2023.001B.Leviviricetes_reorg.zip")</f>
        <v>2023.001B.Leviviricetes_reorg.zip</v>
      </c>
      <c r="U9355" s="29" t="str">
        <f>HYPERLINK("https://ictv.global/taxonomy/taxondetails?taxnode_id=202310878","ictv.global=202310878")</f>
        <v>ictv.global=202310878</v>
      </c>
    </row>
    <row r="9356" spans="1:21">
      <c r="A9356">
        <v>9355</v>
      </c>
      <c r="B9356" s="30" t="s">
        <v>1226</v>
      </c>
      <c r="D9356" s="30" t="s">
        <v>2024</v>
      </c>
      <c r="F9356" s="30" t="s">
        <v>2046</v>
      </c>
      <c r="H9356" s="30" t="s">
        <v>2859</v>
      </c>
      <c r="J9356" s="30" t="s">
        <v>2860</v>
      </c>
      <c r="L9356" s="30" t="s">
        <v>3349</v>
      </c>
      <c r="N9356" s="30" t="s">
        <v>15830</v>
      </c>
      <c r="P9356" s="30" t="s">
        <v>15833</v>
      </c>
      <c r="Q9356" t="s">
        <v>621</v>
      </c>
      <c r="R9356" t="s">
        <v>918</v>
      </c>
      <c r="S9356">
        <v>39</v>
      </c>
      <c r="T9356" s="29" t="str">
        <f>HYPERLINK("https://ictv.global/ictv/proposals/2023.001B.Leviviricetes_reorg.zip","2023.001B.Leviviricetes_reorg.zip")</f>
        <v>2023.001B.Leviviricetes_reorg.zip</v>
      </c>
      <c r="U9356" s="29" t="str">
        <f>HYPERLINK("https://ictv.global/taxonomy/taxondetails?taxnode_id=202310879","ictv.global=202310879")</f>
        <v>ictv.global=202310879</v>
      </c>
    </row>
    <row r="9357" spans="1:21">
      <c r="A9357">
        <v>9356</v>
      </c>
      <c r="B9357" s="30" t="s">
        <v>1226</v>
      </c>
      <c r="D9357" s="30" t="s">
        <v>2024</v>
      </c>
      <c r="F9357" s="30" t="s">
        <v>2046</v>
      </c>
      <c r="H9357" s="30" t="s">
        <v>2859</v>
      </c>
      <c r="J9357" s="30" t="s">
        <v>2860</v>
      </c>
      <c r="L9357" s="30" t="s">
        <v>3349</v>
      </c>
      <c r="N9357" s="30" t="s">
        <v>3386</v>
      </c>
      <c r="P9357" s="30" t="s">
        <v>3387</v>
      </c>
      <c r="Q9357" t="s">
        <v>621</v>
      </c>
      <c r="R9357" t="s">
        <v>917</v>
      </c>
      <c r="S9357">
        <v>36</v>
      </c>
      <c r="T9357" s="29" t="str">
        <f>HYPERLINK("https://ictv.global/ictv/proposals/2020.095B.R.Leviviricetes.zip","2020.095B.R.Leviviricetes.zip")</f>
        <v>2020.095B.R.Leviviricetes.zip</v>
      </c>
      <c r="U9357" s="29" t="str">
        <f>HYPERLINK("https://ictv.global/taxonomy/taxondetails?taxnode_id=202310906","ictv.global=202310906")</f>
        <v>ictv.global=202310906</v>
      </c>
    </row>
    <row r="9358" spans="1:21">
      <c r="A9358">
        <v>9357</v>
      </c>
      <c r="B9358" s="30" t="s">
        <v>1226</v>
      </c>
      <c r="D9358" s="30" t="s">
        <v>2024</v>
      </c>
      <c r="F9358" s="30" t="s">
        <v>2046</v>
      </c>
      <c r="H9358" s="30" t="s">
        <v>2859</v>
      </c>
      <c r="J9358" s="30" t="s">
        <v>2860</v>
      </c>
      <c r="L9358" s="30" t="s">
        <v>3349</v>
      </c>
      <c r="N9358" s="30" t="s">
        <v>3388</v>
      </c>
      <c r="P9358" s="30" t="s">
        <v>15834</v>
      </c>
      <c r="Q9358" t="s">
        <v>621</v>
      </c>
      <c r="R9358" t="s">
        <v>917</v>
      </c>
      <c r="S9358">
        <v>39</v>
      </c>
      <c r="T9358" s="29" t="str">
        <f>HYPERLINK("https://ictv.global/ictv/proposals/2023.001B.Leviviricetes_reorg.zip","2023.001B.Leviviricetes_reorg.zip")</f>
        <v>2023.001B.Leviviricetes_reorg.zip</v>
      </c>
      <c r="U9358" s="29" t="str">
        <f>HYPERLINK("https://ictv.global/taxonomy/taxondetails?taxnode_id=202316756","ictv.global=202316756")</f>
        <v>ictv.global=202316756</v>
      </c>
    </row>
    <row r="9359" spans="1:21">
      <c r="A9359">
        <v>9358</v>
      </c>
      <c r="B9359" s="30" t="s">
        <v>1226</v>
      </c>
      <c r="D9359" s="30" t="s">
        <v>2024</v>
      </c>
      <c r="F9359" s="30" t="s">
        <v>2046</v>
      </c>
      <c r="H9359" s="30" t="s">
        <v>2859</v>
      </c>
      <c r="J9359" s="30" t="s">
        <v>2860</v>
      </c>
      <c r="L9359" s="30" t="s">
        <v>3349</v>
      </c>
      <c r="N9359" s="30" t="s">
        <v>3388</v>
      </c>
      <c r="P9359" s="30" t="s">
        <v>3389</v>
      </c>
      <c r="Q9359" t="s">
        <v>621</v>
      </c>
      <c r="R9359" t="s">
        <v>917</v>
      </c>
      <c r="S9359">
        <v>36</v>
      </c>
      <c r="T9359" s="29" t="str">
        <f>HYPERLINK("https://ictv.global/ictv/proposals/2020.095B.R.Leviviricetes.zip","2020.095B.R.Leviviricetes.zip")</f>
        <v>2020.095B.R.Leviviricetes.zip</v>
      </c>
      <c r="U9359" s="29" t="str">
        <f>HYPERLINK("https://ictv.global/taxonomy/taxondetails?taxnode_id=202310908","ictv.global=202310908")</f>
        <v>ictv.global=202310908</v>
      </c>
    </row>
    <row r="9360" spans="1:21">
      <c r="A9360">
        <v>9359</v>
      </c>
      <c r="B9360" s="30" t="s">
        <v>1226</v>
      </c>
      <c r="D9360" s="30" t="s">
        <v>2024</v>
      </c>
      <c r="F9360" s="30" t="s">
        <v>2046</v>
      </c>
      <c r="H9360" s="30" t="s">
        <v>2859</v>
      </c>
      <c r="J9360" s="30" t="s">
        <v>2860</v>
      </c>
      <c r="L9360" s="30" t="s">
        <v>3349</v>
      </c>
      <c r="N9360" s="30" t="s">
        <v>15835</v>
      </c>
      <c r="P9360" s="30" t="s">
        <v>15836</v>
      </c>
      <c r="Q9360" t="s">
        <v>621</v>
      </c>
      <c r="R9360" t="s">
        <v>917</v>
      </c>
      <c r="S9360">
        <v>39</v>
      </c>
      <c r="T9360" s="29" t="str">
        <f t="shared" ref="T9360:T9391" si="397">HYPERLINK("https://ictv.global/ictv/proposals/2023.001B.Leviviricetes_reorg.zip","2023.001B.Leviviricetes_reorg.zip")</f>
        <v>2023.001B.Leviviricetes_reorg.zip</v>
      </c>
      <c r="U9360" s="29" t="str">
        <f>HYPERLINK("https://ictv.global/taxonomy/taxondetails?taxnode_id=202316757","ictv.global=202316757")</f>
        <v>ictv.global=202316757</v>
      </c>
    </row>
    <row r="9361" spans="1:21">
      <c r="A9361">
        <v>9360</v>
      </c>
      <c r="B9361" s="30" t="s">
        <v>1226</v>
      </c>
      <c r="D9361" s="30" t="s">
        <v>2024</v>
      </c>
      <c r="F9361" s="30" t="s">
        <v>2046</v>
      </c>
      <c r="H9361" s="30" t="s">
        <v>2859</v>
      </c>
      <c r="J9361" s="30" t="s">
        <v>2860</v>
      </c>
      <c r="L9361" s="30" t="s">
        <v>3349</v>
      </c>
      <c r="N9361" s="30" t="s">
        <v>15835</v>
      </c>
      <c r="P9361" s="30" t="s">
        <v>15837</v>
      </c>
      <c r="Q9361" t="s">
        <v>621</v>
      </c>
      <c r="R9361" t="s">
        <v>917</v>
      </c>
      <c r="S9361">
        <v>39</v>
      </c>
      <c r="T9361" s="29" t="str">
        <f t="shared" si="397"/>
        <v>2023.001B.Leviviricetes_reorg.zip</v>
      </c>
      <c r="U9361" s="29" t="str">
        <f>HYPERLINK("https://ictv.global/taxonomy/taxondetails?taxnode_id=202316758","ictv.global=202316758")</f>
        <v>ictv.global=202316758</v>
      </c>
    </row>
    <row r="9362" spans="1:21">
      <c r="A9362">
        <v>9361</v>
      </c>
      <c r="B9362" s="30" t="s">
        <v>1226</v>
      </c>
      <c r="D9362" s="30" t="s">
        <v>2024</v>
      </c>
      <c r="F9362" s="30" t="s">
        <v>2046</v>
      </c>
      <c r="H9362" s="30" t="s">
        <v>2859</v>
      </c>
      <c r="J9362" s="30" t="s">
        <v>2860</v>
      </c>
      <c r="L9362" s="30" t="s">
        <v>3349</v>
      </c>
      <c r="N9362" s="30" t="s">
        <v>15835</v>
      </c>
      <c r="P9362" s="30" t="s">
        <v>15838</v>
      </c>
      <c r="Q9362" t="s">
        <v>621</v>
      </c>
      <c r="R9362" t="s">
        <v>918</v>
      </c>
      <c r="S9362">
        <v>39</v>
      </c>
      <c r="T9362" s="29" t="str">
        <f t="shared" si="397"/>
        <v>2023.001B.Leviviricetes_reorg.zip</v>
      </c>
      <c r="U9362" s="29" t="str">
        <f>HYPERLINK("https://ictv.global/taxonomy/taxondetails?taxnode_id=202310857","ictv.global=202310857")</f>
        <v>ictv.global=202310857</v>
      </c>
    </row>
    <row r="9363" spans="1:21">
      <c r="A9363">
        <v>9362</v>
      </c>
      <c r="B9363" s="30" t="s">
        <v>1226</v>
      </c>
      <c r="D9363" s="30" t="s">
        <v>2024</v>
      </c>
      <c r="F9363" s="30" t="s">
        <v>2046</v>
      </c>
      <c r="H9363" s="30" t="s">
        <v>2859</v>
      </c>
      <c r="J9363" s="30" t="s">
        <v>2860</v>
      </c>
      <c r="L9363" s="30" t="s">
        <v>3349</v>
      </c>
      <c r="N9363" s="30" t="s">
        <v>15835</v>
      </c>
      <c r="P9363" s="30" t="s">
        <v>15839</v>
      </c>
      <c r="Q9363" t="s">
        <v>621</v>
      </c>
      <c r="R9363" t="s">
        <v>917</v>
      </c>
      <c r="S9363">
        <v>39</v>
      </c>
      <c r="T9363" s="29" t="str">
        <f t="shared" si="397"/>
        <v>2023.001B.Leviviricetes_reorg.zip</v>
      </c>
      <c r="U9363" s="29" t="str">
        <f>HYPERLINK("https://ictv.global/taxonomy/taxondetails?taxnode_id=202316759","ictv.global=202316759")</f>
        <v>ictv.global=202316759</v>
      </c>
    </row>
    <row r="9364" spans="1:21">
      <c r="A9364">
        <v>9363</v>
      </c>
      <c r="B9364" s="30" t="s">
        <v>1226</v>
      </c>
      <c r="D9364" s="30" t="s">
        <v>2024</v>
      </c>
      <c r="F9364" s="30" t="s">
        <v>2046</v>
      </c>
      <c r="H9364" s="30" t="s">
        <v>2859</v>
      </c>
      <c r="J9364" s="30" t="s">
        <v>2860</v>
      </c>
      <c r="L9364" s="30" t="s">
        <v>3349</v>
      </c>
      <c r="N9364" s="30" t="s">
        <v>15835</v>
      </c>
      <c r="P9364" s="30" t="s">
        <v>15840</v>
      </c>
      <c r="Q9364" t="s">
        <v>621</v>
      </c>
      <c r="R9364" t="s">
        <v>917</v>
      </c>
      <c r="S9364">
        <v>39</v>
      </c>
      <c r="T9364" s="29" t="str">
        <f t="shared" si="397"/>
        <v>2023.001B.Leviviricetes_reorg.zip</v>
      </c>
      <c r="U9364" s="29" t="str">
        <f>HYPERLINK("https://ictv.global/taxonomy/taxondetails?taxnode_id=202316760","ictv.global=202316760")</f>
        <v>ictv.global=202316760</v>
      </c>
    </row>
    <row r="9365" spans="1:21">
      <c r="A9365">
        <v>9364</v>
      </c>
      <c r="B9365" s="30" t="s">
        <v>1226</v>
      </c>
      <c r="D9365" s="30" t="s">
        <v>2024</v>
      </c>
      <c r="F9365" s="30" t="s">
        <v>2046</v>
      </c>
      <c r="H9365" s="30" t="s">
        <v>2859</v>
      </c>
      <c r="J9365" s="30" t="s">
        <v>2860</v>
      </c>
      <c r="L9365" s="30" t="s">
        <v>3349</v>
      </c>
      <c r="N9365" s="30" t="s">
        <v>15835</v>
      </c>
      <c r="P9365" s="30" t="s">
        <v>15841</v>
      </c>
      <c r="Q9365" t="s">
        <v>621</v>
      </c>
      <c r="R9365" t="s">
        <v>917</v>
      </c>
      <c r="S9365">
        <v>39</v>
      </c>
      <c r="T9365" s="29" t="str">
        <f t="shared" si="397"/>
        <v>2023.001B.Leviviricetes_reorg.zip</v>
      </c>
      <c r="U9365" s="29" t="str">
        <f>HYPERLINK("https://ictv.global/taxonomy/taxondetails?taxnode_id=202316761","ictv.global=202316761")</f>
        <v>ictv.global=202316761</v>
      </c>
    </row>
    <row r="9366" spans="1:21">
      <c r="A9366">
        <v>9365</v>
      </c>
      <c r="B9366" s="30" t="s">
        <v>1226</v>
      </c>
      <c r="D9366" s="30" t="s">
        <v>2024</v>
      </c>
      <c r="F9366" s="30" t="s">
        <v>2046</v>
      </c>
      <c r="H9366" s="30" t="s">
        <v>2859</v>
      </c>
      <c r="J9366" s="30" t="s">
        <v>2860</v>
      </c>
      <c r="L9366" s="30" t="s">
        <v>3349</v>
      </c>
      <c r="N9366" s="30" t="s">
        <v>15835</v>
      </c>
      <c r="P9366" s="30" t="s">
        <v>15842</v>
      </c>
      <c r="Q9366" t="s">
        <v>621</v>
      </c>
      <c r="R9366" t="s">
        <v>917</v>
      </c>
      <c r="S9366">
        <v>39</v>
      </c>
      <c r="T9366" s="29" t="str">
        <f t="shared" si="397"/>
        <v>2023.001B.Leviviricetes_reorg.zip</v>
      </c>
      <c r="U9366" s="29" t="str">
        <f>HYPERLINK("https://ictv.global/taxonomy/taxondetails?taxnode_id=202316762","ictv.global=202316762")</f>
        <v>ictv.global=202316762</v>
      </c>
    </row>
    <row r="9367" spans="1:21">
      <c r="A9367">
        <v>9366</v>
      </c>
      <c r="B9367" s="30" t="s">
        <v>1226</v>
      </c>
      <c r="D9367" s="30" t="s">
        <v>2024</v>
      </c>
      <c r="F9367" s="30" t="s">
        <v>2046</v>
      </c>
      <c r="H9367" s="30" t="s">
        <v>2859</v>
      </c>
      <c r="J9367" s="30" t="s">
        <v>2860</v>
      </c>
      <c r="L9367" s="30" t="s">
        <v>3349</v>
      </c>
      <c r="N9367" s="30" t="s">
        <v>15835</v>
      </c>
      <c r="P9367" s="30" t="s">
        <v>15843</v>
      </c>
      <c r="Q9367" t="s">
        <v>621</v>
      </c>
      <c r="R9367" t="s">
        <v>917</v>
      </c>
      <c r="S9367">
        <v>39</v>
      </c>
      <c r="T9367" s="29" t="str">
        <f t="shared" si="397"/>
        <v>2023.001B.Leviviricetes_reorg.zip</v>
      </c>
      <c r="U9367" s="29" t="str">
        <f>HYPERLINK("https://ictv.global/taxonomy/taxondetails?taxnode_id=202316763","ictv.global=202316763")</f>
        <v>ictv.global=202316763</v>
      </c>
    </row>
    <row r="9368" spans="1:21">
      <c r="A9368">
        <v>9367</v>
      </c>
      <c r="B9368" s="30" t="s">
        <v>1226</v>
      </c>
      <c r="D9368" s="30" t="s">
        <v>2024</v>
      </c>
      <c r="F9368" s="30" t="s">
        <v>2046</v>
      </c>
      <c r="H9368" s="30" t="s">
        <v>2859</v>
      </c>
      <c r="J9368" s="30" t="s">
        <v>2860</v>
      </c>
      <c r="L9368" s="30" t="s">
        <v>3349</v>
      </c>
      <c r="N9368" s="30" t="s">
        <v>15835</v>
      </c>
      <c r="P9368" s="30" t="s">
        <v>15844</v>
      </c>
      <c r="Q9368" t="s">
        <v>621</v>
      </c>
      <c r="R9368" t="s">
        <v>918</v>
      </c>
      <c r="S9368">
        <v>39</v>
      </c>
      <c r="T9368" s="29" t="str">
        <f t="shared" si="397"/>
        <v>2023.001B.Leviviricetes_reorg.zip</v>
      </c>
      <c r="U9368" s="29" t="str">
        <f>HYPERLINK("https://ictv.global/taxonomy/taxondetails?taxnode_id=202310876","ictv.global=202310876")</f>
        <v>ictv.global=202310876</v>
      </c>
    </row>
    <row r="9369" spans="1:21">
      <c r="A9369">
        <v>9368</v>
      </c>
      <c r="B9369" s="30" t="s">
        <v>1226</v>
      </c>
      <c r="D9369" s="30" t="s">
        <v>2024</v>
      </c>
      <c r="F9369" s="30" t="s">
        <v>2046</v>
      </c>
      <c r="H9369" s="30" t="s">
        <v>2859</v>
      </c>
      <c r="J9369" s="30" t="s">
        <v>2860</v>
      </c>
      <c r="L9369" s="30" t="s">
        <v>3349</v>
      </c>
      <c r="N9369" s="30" t="s">
        <v>15845</v>
      </c>
      <c r="P9369" s="30" t="s">
        <v>15846</v>
      </c>
      <c r="Q9369" t="s">
        <v>621</v>
      </c>
      <c r="R9369" t="s">
        <v>917</v>
      </c>
      <c r="S9369">
        <v>39</v>
      </c>
      <c r="T9369" s="29" t="str">
        <f t="shared" si="397"/>
        <v>2023.001B.Leviviricetes_reorg.zip</v>
      </c>
      <c r="U9369" s="29" t="str">
        <f>HYPERLINK("https://ictv.global/taxonomy/taxondetails?taxnode_id=202316764","ictv.global=202316764")</f>
        <v>ictv.global=202316764</v>
      </c>
    </row>
    <row r="9370" spans="1:21">
      <c r="A9370">
        <v>9369</v>
      </c>
      <c r="B9370" s="30" t="s">
        <v>1226</v>
      </c>
      <c r="D9370" s="30" t="s">
        <v>2024</v>
      </c>
      <c r="F9370" s="30" t="s">
        <v>2046</v>
      </c>
      <c r="H9370" s="30" t="s">
        <v>2859</v>
      </c>
      <c r="J9370" s="30" t="s">
        <v>2860</v>
      </c>
      <c r="L9370" s="30" t="s">
        <v>3349</v>
      </c>
      <c r="N9370" s="30" t="s">
        <v>15845</v>
      </c>
      <c r="P9370" s="30" t="s">
        <v>15847</v>
      </c>
      <c r="Q9370" t="s">
        <v>621</v>
      </c>
      <c r="R9370" t="s">
        <v>917</v>
      </c>
      <c r="S9370">
        <v>39</v>
      </c>
      <c r="T9370" s="29" t="str">
        <f t="shared" si="397"/>
        <v>2023.001B.Leviviricetes_reorg.zip</v>
      </c>
      <c r="U9370" s="29" t="str">
        <f>HYPERLINK("https://ictv.global/taxonomy/taxondetails?taxnode_id=202316765","ictv.global=202316765")</f>
        <v>ictv.global=202316765</v>
      </c>
    </row>
    <row r="9371" spans="1:21">
      <c r="A9371">
        <v>9370</v>
      </c>
      <c r="B9371" s="30" t="s">
        <v>1226</v>
      </c>
      <c r="D9371" s="30" t="s">
        <v>2024</v>
      </c>
      <c r="F9371" s="30" t="s">
        <v>2046</v>
      </c>
      <c r="H9371" s="30" t="s">
        <v>2859</v>
      </c>
      <c r="J9371" s="30" t="s">
        <v>2860</v>
      </c>
      <c r="L9371" s="30" t="s">
        <v>3349</v>
      </c>
      <c r="N9371" s="30" t="s">
        <v>15848</v>
      </c>
      <c r="P9371" s="30" t="s">
        <v>15849</v>
      </c>
      <c r="Q9371" t="s">
        <v>621</v>
      </c>
      <c r="R9371" t="s">
        <v>917</v>
      </c>
      <c r="S9371">
        <v>39</v>
      </c>
      <c r="T9371" s="29" t="str">
        <f t="shared" si="397"/>
        <v>2023.001B.Leviviricetes_reorg.zip</v>
      </c>
      <c r="U9371" s="29" t="str">
        <f>HYPERLINK("https://ictv.global/taxonomy/taxondetails?taxnode_id=202316766","ictv.global=202316766")</f>
        <v>ictv.global=202316766</v>
      </c>
    </row>
    <row r="9372" spans="1:21">
      <c r="A9372">
        <v>9371</v>
      </c>
      <c r="B9372" s="30" t="s">
        <v>1226</v>
      </c>
      <c r="D9372" s="30" t="s">
        <v>2024</v>
      </c>
      <c r="F9372" s="30" t="s">
        <v>2046</v>
      </c>
      <c r="H9372" s="30" t="s">
        <v>2859</v>
      </c>
      <c r="J9372" s="30" t="s">
        <v>2860</v>
      </c>
      <c r="L9372" s="30" t="s">
        <v>3349</v>
      </c>
      <c r="N9372" s="30" t="s">
        <v>15848</v>
      </c>
      <c r="P9372" s="30" t="s">
        <v>15850</v>
      </c>
      <c r="Q9372" t="s">
        <v>621</v>
      </c>
      <c r="R9372" t="s">
        <v>917</v>
      </c>
      <c r="S9372">
        <v>39</v>
      </c>
      <c r="T9372" s="29" t="str">
        <f t="shared" si="397"/>
        <v>2023.001B.Leviviricetes_reorg.zip</v>
      </c>
      <c r="U9372" s="29" t="str">
        <f>HYPERLINK("https://ictv.global/taxonomy/taxondetails?taxnode_id=202316767","ictv.global=202316767")</f>
        <v>ictv.global=202316767</v>
      </c>
    </row>
    <row r="9373" spans="1:21">
      <c r="A9373">
        <v>9372</v>
      </c>
      <c r="B9373" s="30" t="s">
        <v>1226</v>
      </c>
      <c r="D9373" s="30" t="s">
        <v>2024</v>
      </c>
      <c r="F9373" s="30" t="s">
        <v>2046</v>
      </c>
      <c r="H9373" s="30" t="s">
        <v>2859</v>
      </c>
      <c r="J9373" s="30" t="s">
        <v>2860</v>
      </c>
      <c r="L9373" s="30" t="s">
        <v>3349</v>
      </c>
      <c r="N9373" s="30" t="s">
        <v>15848</v>
      </c>
      <c r="P9373" s="30" t="s">
        <v>15851</v>
      </c>
      <c r="Q9373" t="s">
        <v>621</v>
      </c>
      <c r="R9373" t="s">
        <v>917</v>
      </c>
      <c r="S9373">
        <v>39</v>
      </c>
      <c r="T9373" s="29" t="str">
        <f t="shared" si="397"/>
        <v>2023.001B.Leviviricetes_reorg.zip</v>
      </c>
      <c r="U9373" s="29" t="str">
        <f>HYPERLINK("https://ictv.global/taxonomy/taxondetails?taxnode_id=202316768","ictv.global=202316768")</f>
        <v>ictv.global=202316768</v>
      </c>
    </row>
    <row r="9374" spans="1:21">
      <c r="A9374">
        <v>9373</v>
      </c>
      <c r="B9374" s="30" t="s">
        <v>1226</v>
      </c>
      <c r="D9374" s="30" t="s">
        <v>2024</v>
      </c>
      <c r="F9374" s="30" t="s">
        <v>2046</v>
      </c>
      <c r="H9374" s="30" t="s">
        <v>2859</v>
      </c>
      <c r="J9374" s="30" t="s">
        <v>2860</v>
      </c>
      <c r="L9374" s="30" t="s">
        <v>3349</v>
      </c>
      <c r="N9374" s="30" t="s">
        <v>15848</v>
      </c>
      <c r="P9374" s="30" t="s">
        <v>15852</v>
      </c>
      <c r="Q9374" t="s">
        <v>621</v>
      </c>
      <c r="R9374" t="s">
        <v>917</v>
      </c>
      <c r="S9374">
        <v>39</v>
      </c>
      <c r="T9374" s="29" t="str">
        <f t="shared" si="397"/>
        <v>2023.001B.Leviviricetes_reorg.zip</v>
      </c>
      <c r="U9374" s="29" t="str">
        <f>HYPERLINK("https://ictv.global/taxonomy/taxondetails?taxnode_id=202316769","ictv.global=202316769")</f>
        <v>ictv.global=202316769</v>
      </c>
    </row>
    <row r="9375" spans="1:21">
      <c r="A9375">
        <v>9374</v>
      </c>
      <c r="B9375" s="30" t="s">
        <v>1226</v>
      </c>
      <c r="D9375" s="30" t="s">
        <v>2024</v>
      </c>
      <c r="F9375" s="30" t="s">
        <v>2046</v>
      </c>
      <c r="H9375" s="30" t="s">
        <v>2859</v>
      </c>
      <c r="J9375" s="30" t="s">
        <v>2860</v>
      </c>
      <c r="L9375" s="30" t="s">
        <v>3349</v>
      </c>
      <c r="N9375" s="30" t="s">
        <v>15848</v>
      </c>
      <c r="P9375" s="30" t="s">
        <v>15853</v>
      </c>
      <c r="Q9375" t="s">
        <v>621</v>
      </c>
      <c r="R9375" t="s">
        <v>917</v>
      </c>
      <c r="S9375">
        <v>39</v>
      </c>
      <c r="T9375" s="29" t="str">
        <f t="shared" si="397"/>
        <v>2023.001B.Leviviricetes_reorg.zip</v>
      </c>
      <c r="U9375" s="29" t="str">
        <f>HYPERLINK("https://ictv.global/taxonomy/taxondetails?taxnode_id=202316770","ictv.global=202316770")</f>
        <v>ictv.global=202316770</v>
      </c>
    </row>
    <row r="9376" spans="1:21">
      <c r="A9376">
        <v>9375</v>
      </c>
      <c r="B9376" s="30" t="s">
        <v>1226</v>
      </c>
      <c r="D9376" s="30" t="s">
        <v>2024</v>
      </c>
      <c r="F9376" s="30" t="s">
        <v>2046</v>
      </c>
      <c r="H9376" s="30" t="s">
        <v>2859</v>
      </c>
      <c r="J9376" s="30" t="s">
        <v>2860</v>
      </c>
      <c r="L9376" s="30" t="s">
        <v>3349</v>
      </c>
      <c r="N9376" s="30" t="s">
        <v>15848</v>
      </c>
      <c r="P9376" s="30" t="s">
        <v>15854</v>
      </c>
      <c r="Q9376" t="s">
        <v>621</v>
      </c>
      <c r="R9376" t="s">
        <v>917</v>
      </c>
      <c r="S9376">
        <v>39</v>
      </c>
      <c r="T9376" s="29" t="str">
        <f t="shared" si="397"/>
        <v>2023.001B.Leviviricetes_reorg.zip</v>
      </c>
      <c r="U9376" s="29" t="str">
        <f>HYPERLINK("https://ictv.global/taxonomy/taxondetails?taxnode_id=202316771","ictv.global=202316771")</f>
        <v>ictv.global=202316771</v>
      </c>
    </row>
    <row r="9377" spans="1:21">
      <c r="A9377">
        <v>9376</v>
      </c>
      <c r="B9377" s="30" t="s">
        <v>1226</v>
      </c>
      <c r="D9377" s="30" t="s">
        <v>2024</v>
      </c>
      <c r="F9377" s="30" t="s">
        <v>2046</v>
      </c>
      <c r="H9377" s="30" t="s">
        <v>2859</v>
      </c>
      <c r="J9377" s="30" t="s">
        <v>2860</v>
      </c>
      <c r="L9377" s="30" t="s">
        <v>3349</v>
      </c>
      <c r="N9377" s="30" t="s">
        <v>15848</v>
      </c>
      <c r="P9377" s="30" t="s">
        <v>15855</v>
      </c>
      <c r="Q9377" t="s">
        <v>621</v>
      </c>
      <c r="R9377" t="s">
        <v>917</v>
      </c>
      <c r="S9377">
        <v>39</v>
      </c>
      <c r="T9377" s="29" t="str">
        <f t="shared" si="397"/>
        <v>2023.001B.Leviviricetes_reorg.zip</v>
      </c>
      <c r="U9377" s="29" t="str">
        <f>HYPERLINK("https://ictv.global/taxonomy/taxondetails?taxnode_id=202316772","ictv.global=202316772")</f>
        <v>ictv.global=202316772</v>
      </c>
    </row>
    <row r="9378" spans="1:21">
      <c r="A9378">
        <v>9377</v>
      </c>
      <c r="B9378" s="30" t="s">
        <v>1226</v>
      </c>
      <c r="D9378" s="30" t="s">
        <v>2024</v>
      </c>
      <c r="F9378" s="30" t="s">
        <v>2046</v>
      </c>
      <c r="H9378" s="30" t="s">
        <v>2859</v>
      </c>
      <c r="J9378" s="30" t="s">
        <v>2860</v>
      </c>
      <c r="L9378" s="30" t="s">
        <v>3349</v>
      </c>
      <c r="N9378" s="30" t="s">
        <v>15848</v>
      </c>
      <c r="P9378" s="30" t="s">
        <v>15856</v>
      </c>
      <c r="Q9378" t="s">
        <v>621</v>
      </c>
      <c r="R9378" t="s">
        <v>917</v>
      </c>
      <c r="S9378">
        <v>39</v>
      </c>
      <c r="T9378" s="29" t="str">
        <f t="shared" si="397"/>
        <v>2023.001B.Leviviricetes_reorg.zip</v>
      </c>
      <c r="U9378" s="29" t="str">
        <f>HYPERLINK("https://ictv.global/taxonomy/taxondetails?taxnode_id=202316773","ictv.global=202316773")</f>
        <v>ictv.global=202316773</v>
      </c>
    </row>
    <row r="9379" spans="1:21">
      <c r="A9379">
        <v>9378</v>
      </c>
      <c r="B9379" s="30" t="s">
        <v>1226</v>
      </c>
      <c r="D9379" s="30" t="s">
        <v>2024</v>
      </c>
      <c r="F9379" s="30" t="s">
        <v>2046</v>
      </c>
      <c r="H9379" s="30" t="s">
        <v>2859</v>
      </c>
      <c r="J9379" s="30" t="s">
        <v>2860</v>
      </c>
      <c r="L9379" s="30" t="s">
        <v>3349</v>
      </c>
      <c r="N9379" s="30" t="s">
        <v>15848</v>
      </c>
      <c r="P9379" s="30" t="s">
        <v>15857</v>
      </c>
      <c r="Q9379" t="s">
        <v>621</v>
      </c>
      <c r="R9379" t="s">
        <v>917</v>
      </c>
      <c r="S9379">
        <v>39</v>
      </c>
      <c r="T9379" s="29" t="str">
        <f t="shared" si="397"/>
        <v>2023.001B.Leviviricetes_reorg.zip</v>
      </c>
      <c r="U9379" s="29" t="str">
        <f>HYPERLINK("https://ictv.global/taxonomy/taxondetails?taxnode_id=202316774","ictv.global=202316774")</f>
        <v>ictv.global=202316774</v>
      </c>
    </row>
    <row r="9380" spans="1:21">
      <c r="A9380">
        <v>9379</v>
      </c>
      <c r="B9380" s="30" t="s">
        <v>1226</v>
      </c>
      <c r="D9380" s="30" t="s">
        <v>2024</v>
      </c>
      <c r="F9380" s="30" t="s">
        <v>2046</v>
      </c>
      <c r="H9380" s="30" t="s">
        <v>2859</v>
      </c>
      <c r="J9380" s="30" t="s">
        <v>2860</v>
      </c>
      <c r="L9380" s="30" t="s">
        <v>3349</v>
      </c>
      <c r="N9380" s="30" t="s">
        <v>15848</v>
      </c>
      <c r="P9380" s="30" t="s">
        <v>15858</v>
      </c>
      <c r="Q9380" t="s">
        <v>621</v>
      </c>
      <c r="R9380" t="s">
        <v>917</v>
      </c>
      <c r="S9380">
        <v>39</v>
      </c>
      <c r="T9380" s="29" t="str">
        <f t="shared" si="397"/>
        <v>2023.001B.Leviviricetes_reorg.zip</v>
      </c>
      <c r="U9380" s="29" t="str">
        <f>HYPERLINK("https://ictv.global/taxonomy/taxondetails?taxnode_id=202316775","ictv.global=202316775")</f>
        <v>ictv.global=202316775</v>
      </c>
    </row>
    <row r="9381" spans="1:21">
      <c r="A9381">
        <v>9380</v>
      </c>
      <c r="B9381" s="30" t="s">
        <v>1226</v>
      </c>
      <c r="D9381" s="30" t="s">
        <v>2024</v>
      </c>
      <c r="F9381" s="30" t="s">
        <v>2046</v>
      </c>
      <c r="H9381" s="30" t="s">
        <v>2859</v>
      </c>
      <c r="J9381" s="30" t="s">
        <v>2860</v>
      </c>
      <c r="L9381" s="30" t="s">
        <v>3349</v>
      </c>
      <c r="N9381" s="30" t="s">
        <v>15848</v>
      </c>
      <c r="P9381" s="30" t="s">
        <v>15859</v>
      </c>
      <c r="Q9381" t="s">
        <v>621</v>
      </c>
      <c r="R9381" t="s">
        <v>917</v>
      </c>
      <c r="S9381">
        <v>39</v>
      </c>
      <c r="T9381" s="29" t="str">
        <f t="shared" si="397"/>
        <v>2023.001B.Leviviricetes_reorg.zip</v>
      </c>
      <c r="U9381" s="29" t="str">
        <f>HYPERLINK("https://ictv.global/taxonomy/taxondetails?taxnode_id=202316776","ictv.global=202316776")</f>
        <v>ictv.global=202316776</v>
      </c>
    </row>
    <row r="9382" spans="1:21">
      <c r="A9382">
        <v>9381</v>
      </c>
      <c r="B9382" s="30" t="s">
        <v>1226</v>
      </c>
      <c r="D9382" s="30" t="s">
        <v>2024</v>
      </c>
      <c r="F9382" s="30" t="s">
        <v>2046</v>
      </c>
      <c r="H9382" s="30" t="s">
        <v>2859</v>
      </c>
      <c r="J9382" s="30" t="s">
        <v>2860</v>
      </c>
      <c r="L9382" s="30" t="s">
        <v>3349</v>
      </c>
      <c r="N9382" s="30" t="s">
        <v>15848</v>
      </c>
      <c r="P9382" s="30" t="s">
        <v>15860</v>
      </c>
      <c r="Q9382" t="s">
        <v>621</v>
      </c>
      <c r="R9382" t="s">
        <v>917</v>
      </c>
      <c r="S9382">
        <v>39</v>
      </c>
      <c r="T9382" s="29" t="str">
        <f t="shared" si="397"/>
        <v>2023.001B.Leviviricetes_reorg.zip</v>
      </c>
      <c r="U9382" s="29" t="str">
        <f>HYPERLINK("https://ictv.global/taxonomy/taxondetails?taxnode_id=202316777","ictv.global=202316777")</f>
        <v>ictv.global=202316777</v>
      </c>
    </row>
    <row r="9383" spans="1:21">
      <c r="A9383">
        <v>9382</v>
      </c>
      <c r="B9383" s="30" t="s">
        <v>1226</v>
      </c>
      <c r="D9383" s="30" t="s">
        <v>2024</v>
      </c>
      <c r="F9383" s="30" t="s">
        <v>2046</v>
      </c>
      <c r="H9383" s="30" t="s">
        <v>2859</v>
      </c>
      <c r="J9383" s="30" t="s">
        <v>2860</v>
      </c>
      <c r="L9383" s="30" t="s">
        <v>3349</v>
      </c>
      <c r="N9383" s="30" t="s">
        <v>15848</v>
      </c>
      <c r="P9383" s="30" t="s">
        <v>15861</v>
      </c>
      <c r="Q9383" t="s">
        <v>621</v>
      </c>
      <c r="R9383" t="s">
        <v>917</v>
      </c>
      <c r="S9383">
        <v>39</v>
      </c>
      <c r="T9383" s="29" t="str">
        <f t="shared" si="397"/>
        <v>2023.001B.Leviviricetes_reorg.zip</v>
      </c>
      <c r="U9383" s="29" t="str">
        <f>HYPERLINK("https://ictv.global/taxonomy/taxondetails?taxnode_id=202316778","ictv.global=202316778")</f>
        <v>ictv.global=202316778</v>
      </c>
    </row>
    <row r="9384" spans="1:21">
      <c r="A9384">
        <v>9383</v>
      </c>
      <c r="B9384" s="30" t="s">
        <v>1226</v>
      </c>
      <c r="D9384" s="30" t="s">
        <v>2024</v>
      </c>
      <c r="F9384" s="30" t="s">
        <v>2046</v>
      </c>
      <c r="H9384" s="30" t="s">
        <v>2859</v>
      </c>
      <c r="J9384" s="30" t="s">
        <v>2860</v>
      </c>
      <c r="L9384" s="30" t="s">
        <v>3349</v>
      </c>
      <c r="N9384" s="30" t="s">
        <v>15862</v>
      </c>
      <c r="P9384" s="30" t="s">
        <v>15863</v>
      </c>
      <c r="Q9384" t="s">
        <v>621</v>
      </c>
      <c r="R9384" t="s">
        <v>917</v>
      </c>
      <c r="S9384">
        <v>39</v>
      </c>
      <c r="T9384" s="29" t="str">
        <f t="shared" si="397"/>
        <v>2023.001B.Leviviricetes_reorg.zip</v>
      </c>
      <c r="U9384" s="29" t="str">
        <f>HYPERLINK("https://ictv.global/taxonomy/taxondetails?taxnode_id=202316779","ictv.global=202316779")</f>
        <v>ictv.global=202316779</v>
      </c>
    </row>
    <row r="9385" spans="1:21">
      <c r="A9385">
        <v>9384</v>
      </c>
      <c r="B9385" s="30" t="s">
        <v>1226</v>
      </c>
      <c r="D9385" s="30" t="s">
        <v>2024</v>
      </c>
      <c r="F9385" s="30" t="s">
        <v>2046</v>
      </c>
      <c r="H9385" s="30" t="s">
        <v>2859</v>
      </c>
      <c r="J9385" s="30" t="s">
        <v>2860</v>
      </c>
      <c r="L9385" s="30" t="s">
        <v>3349</v>
      </c>
      <c r="N9385" s="30" t="s">
        <v>15862</v>
      </c>
      <c r="P9385" s="30" t="s">
        <v>15864</v>
      </c>
      <c r="Q9385" t="s">
        <v>621</v>
      </c>
      <c r="R9385" t="s">
        <v>917</v>
      </c>
      <c r="S9385">
        <v>39</v>
      </c>
      <c r="T9385" s="29" t="str">
        <f t="shared" si="397"/>
        <v>2023.001B.Leviviricetes_reorg.zip</v>
      </c>
      <c r="U9385" s="29" t="str">
        <f>HYPERLINK("https://ictv.global/taxonomy/taxondetails?taxnode_id=202316780","ictv.global=202316780")</f>
        <v>ictv.global=202316780</v>
      </c>
    </row>
    <row r="9386" spans="1:21">
      <c r="A9386">
        <v>9385</v>
      </c>
      <c r="B9386" s="30" t="s">
        <v>1226</v>
      </c>
      <c r="D9386" s="30" t="s">
        <v>2024</v>
      </c>
      <c r="F9386" s="30" t="s">
        <v>2046</v>
      </c>
      <c r="H9386" s="30" t="s">
        <v>2859</v>
      </c>
      <c r="J9386" s="30" t="s">
        <v>2860</v>
      </c>
      <c r="L9386" s="30" t="s">
        <v>3349</v>
      </c>
      <c r="N9386" s="30" t="s">
        <v>15865</v>
      </c>
      <c r="P9386" s="30" t="s">
        <v>15866</v>
      </c>
      <c r="Q9386" t="s">
        <v>621</v>
      </c>
      <c r="R9386" t="s">
        <v>917</v>
      </c>
      <c r="S9386">
        <v>39</v>
      </c>
      <c r="T9386" s="29" t="str">
        <f t="shared" si="397"/>
        <v>2023.001B.Leviviricetes_reorg.zip</v>
      </c>
      <c r="U9386" s="29" t="str">
        <f>HYPERLINK("https://ictv.global/taxonomy/taxondetails?taxnode_id=202316781","ictv.global=202316781")</f>
        <v>ictv.global=202316781</v>
      </c>
    </row>
    <row r="9387" spans="1:21">
      <c r="A9387">
        <v>9386</v>
      </c>
      <c r="B9387" s="30" t="s">
        <v>1226</v>
      </c>
      <c r="D9387" s="30" t="s">
        <v>2024</v>
      </c>
      <c r="F9387" s="30" t="s">
        <v>2046</v>
      </c>
      <c r="H9387" s="30" t="s">
        <v>2859</v>
      </c>
      <c r="J9387" s="30" t="s">
        <v>2860</v>
      </c>
      <c r="L9387" s="30" t="s">
        <v>3349</v>
      </c>
      <c r="N9387" s="30" t="s">
        <v>15867</v>
      </c>
      <c r="P9387" s="30" t="s">
        <v>15868</v>
      </c>
      <c r="Q9387" t="s">
        <v>621</v>
      </c>
      <c r="R9387" t="s">
        <v>917</v>
      </c>
      <c r="S9387">
        <v>39</v>
      </c>
      <c r="T9387" s="29" t="str">
        <f t="shared" si="397"/>
        <v>2023.001B.Leviviricetes_reorg.zip</v>
      </c>
      <c r="U9387" s="29" t="str">
        <f>HYPERLINK("https://ictv.global/taxonomy/taxondetails?taxnode_id=202316782","ictv.global=202316782")</f>
        <v>ictv.global=202316782</v>
      </c>
    </row>
    <row r="9388" spans="1:21">
      <c r="A9388">
        <v>9387</v>
      </c>
      <c r="B9388" s="30" t="s">
        <v>1226</v>
      </c>
      <c r="D9388" s="30" t="s">
        <v>2024</v>
      </c>
      <c r="F9388" s="30" t="s">
        <v>2046</v>
      </c>
      <c r="H9388" s="30" t="s">
        <v>2859</v>
      </c>
      <c r="J9388" s="30" t="s">
        <v>2860</v>
      </c>
      <c r="L9388" s="30" t="s">
        <v>3349</v>
      </c>
      <c r="N9388" s="30" t="s">
        <v>15869</v>
      </c>
      <c r="P9388" s="30" t="s">
        <v>15870</v>
      </c>
      <c r="Q9388" t="s">
        <v>621</v>
      </c>
      <c r="R9388" t="s">
        <v>917</v>
      </c>
      <c r="S9388">
        <v>39</v>
      </c>
      <c r="T9388" s="29" t="str">
        <f t="shared" si="397"/>
        <v>2023.001B.Leviviricetes_reorg.zip</v>
      </c>
      <c r="U9388" s="29" t="str">
        <f>HYPERLINK("https://ictv.global/taxonomy/taxondetails?taxnode_id=202316783","ictv.global=202316783")</f>
        <v>ictv.global=202316783</v>
      </c>
    </row>
    <row r="9389" spans="1:21">
      <c r="A9389">
        <v>9388</v>
      </c>
      <c r="B9389" s="30" t="s">
        <v>1226</v>
      </c>
      <c r="D9389" s="30" t="s">
        <v>2024</v>
      </c>
      <c r="F9389" s="30" t="s">
        <v>2046</v>
      </c>
      <c r="H9389" s="30" t="s">
        <v>2859</v>
      </c>
      <c r="J9389" s="30" t="s">
        <v>2860</v>
      </c>
      <c r="L9389" s="30" t="s">
        <v>3349</v>
      </c>
      <c r="N9389" s="30" t="s">
        <v>15871</v>
      </c>
      <c r="P9389" s="30" t="s">
        <v>15872</v>
      </c>
      <c r="Q9389" t="s">
        <v>621</v>
      </c>
      <c r="R9389" t="s">
        <v>917</v>
      </c>
      <c r="S9389">
        <v>39</v>
      </c>
      <c r="T9389" s="29" t="str">
        <f t="shared" si="397"/>
        <v>2023.001B.Leviviricetes_reorg.zip</v>
      </c>
      <c r="U9389" s="29" t="str">
        <f>HYPERLINK("https://ictv.global/taxonomy/taxondetails?taxnode_id=202316784","ictv.global=202316784")</f>
        <v>ictv.global=202316784</v>
      </c>
    </row>
    <row r="9390" spans="1:21">
      <c r="A9390">
        <v>9389</v>
      </c>
      <c r="B9390" s="30" t="s">
        <v>1226</v>
      </c>
      <c r="D9390" s="30" t="s">
        <v>2024</v>
      </c>
      <c r="F9390" s="30" t="s">
        <v>2046</v>
      </c>
      <c r="H9390" s="30" t="s">
        <v>2859</v>
      </c>
      <c r="J9390" s="30" t="s">
        <v>2860</v>
      </c>
      <c r="L9390" s="30" t="s">
        <v>3349</v>
      </c>
      <c r="N9390" s="30" t="s">
        <v>15871</v>
      </c>
      <c r="P9390" s="30" t="s">
        <v>15873</v>
      </c>
      <c r="Q9390" t="s">
        <v>621</v>
      </c>
      <c r="R9390" t="s">
        <v>917</v>
      </c>
      <c r="S9390">
        <v>39</v>
      </c>
      <c r="T9390" s="29" t="str">
        <f t="shared" si="397"/>
        <v>2023.001B.Leviviricetes_reorg.zip</v>
      </c>
      <c r="U9390" s="29" t="str">
        <f>HYPERLINK("https://ictv.global/taxonomy/taxondetails?taxnode_id=202316785","ictv.global=202316785")</f>
        <v>ictv.global=202316785</v>
      </c>
    </row>
    <row r="9391" spans="1:21">
      <c r="A9391">
        <v>9390</v>
      </c>
      <c r="B9391" s="30" t="s">
        <v>1226</v>
      </c>
      <c r="D9391" s="30" t="s">
        <v>2024</v>
      </c>
      <c r="F9391" s="30" t="s">
        <v>2046</v>
      </c>
      <c r="H9391" s="30" t="s">
        <v>2859</v>
      </c>
      <c r="J9391" s="30" t="s">
        <v>2860</v>
      </c>
      <c r="L9391" s="30" t="s">
        <v>3349</v>
      </c>
      <c r="N9391" s="30" t="s">
        <v>15874</v>
      </c>
      <c r="P9391" s="30" t="s">
        <v>15875</v>
      </c>
      <c r="Q9391" t="s">
        <v>621</v>
      </c>
      <c r="R9391" t="s">
        <v>917</v>
      </c>
      <c r="S9391">
        <v>39</v>
      </c>
      <c r="T9391" s="29" t="str">
        <f t="shared" si="397"/>
        <v>2023.001B.Leviviricetes_reorg.zip</v>
      </c>
      <c r="U9391" s="29" t="str">
        <f>HYPERLINK("https://ictv.global/taxonomy/taxondetails?taxnode_id=202316786","ictv.global=202316786")</f>
        <v>ictv.global=202316786</v>
      </c>
    </row>
    <row r="9392" spans="1:21">
      <c r="A9392">
        <v>9391</v>
      </c>
      <c r="B9392" s="30" t="s">
        <v>1226</v>
      </c>
      <c r="D9392" s="30" t="s">
        <v>2024</v>
      </c>
      <c r="F9392" s="30" t="s">
        <v>2046</v>
      </c>
      <c r="H9392" s="30" t="s">
        <v>2859</v>
      </c>
      <c r="J9392" s="30" t="s">
        <v>2860</v>
      </c>
      <c r="L9392" s="30" t="s">
        <v>3349</v>
      </c>
      <c r="N9392" s="30" t="s">
        <v>15876</v>
      </c>
      <c r="P9392" s="30" t="s">
        <v>15877</v>
      </c>
      <c r="Q9392" t="s">
        <v>621</v>
      </c>
      <c r="R9392" t="s">
        <v>917</v>
      </c>
      <c r="S9392">
        <v>39</v>
      </c>
      <c r="T9392" s="29" t="str">
        <f t="shared" ref="T9392:T9423" si="398">HYPERLINK("https://ictv.global/ictv/proposals/2023.001B.Leviviricetes_reorg.zip","2023.001B.Leviviricetes_reorg.zip")</f>
        <v>2023.001B.Leviviricetes_reorg.zip</v>
      </c>
      <c r="U9392" s="29" t="str">
        <f>HYPERLINK("https://ictv.global/taxonomy/taxondetails?taxnode_id=202316787","ictv.global=202316787")</f>
        <v>ictv.global=202316787</v>
      </c>
    </row>
    <row r="9393" spans="1:21">
      <c r="A9393">
        <v>9392</v>
      </c>
      <c r="B9393" s="30" t="s">
        <v>1226</v>
      </c>
      <c r="D9393" s="30" t="s">
        <v>2024</v>
      </c>
      <c r="F9393" s="30" t="s">
        <v>2046</v>
      </c>
      <c r="H9393" s="30" t="s">
        <v>2859</v>
      </c>
      <c r="J9393" s="30" t="s">
        <v>2860</v>
      </c>
      <c r="L9393" s="30" t="s">
        <v>3349</v>
      </c>
      <c r="N9393" s="30" t="s">
        <v>15878</v>
      </c>
      <c r="P9393" s="30" t="s">
        <v>15879</v>
      </c>
      <c r="Q9393" t="s">
        <v>621</v>
      </c>
      <c r="R9393" t="s">
        <v>917</v>
      </c>
      <c r="S9393">
        <v>39</v>
      </c>
      <c r="T9393" s="29" t="str">
        <f t="shared" si="398"/>
        <v>2023.001B.Leviviricetes_reorg.zip</v>
      </c>
      <c r="U9393" s="29" t="str">
        <f>HYPERLINK("https://ictv.global/taxonomy/taxondetails?taxnode_id=202316788","ictv.global=202316788")</f>
        <v>ictv.global=202316788</v>
      </c>
    </row>
    <row r="9394" spans="1:21">
      <c r="A9394">
        <v>9393</v>
      </c>
      <c r="B9394" s="30" t="s">
        <v>1226</v>
      </c>
      <c r="D9394" s="30" t="s">
        <v>2024</v>
      </c>
      <c r="F9394" s="30" t="s">
        <v>2046</v>
      </c>
      <c r="H9394" s="30" t="s">
        <v>2859</v>
      </c>
      <c r="J9394" s="30" t="s">
        <v>2860</v>
      </c>
      <c r="L9394" s="30" t="s">
        <v>3349</v>
      </c>
      <c r="N9394" s="30" t="s">
        <v>15880</v>
      </c>
      <c r="P9394" s="30" t="s">
        <v>15881</v>
      </c>
      <c r="Q9394" t="s">
        <v>621</v>
      </c>
      <c r="R9394" t="s">
        <v>917</v>
      </c>
      <c r="S9394">
        <v>39</v>
      </c>
      <c r="T9394" s="29" t="str">
        <f t="shared" si="398"/>
        <v>2023.001B.Leviviricetes_reorg.zip</v>
      </c>
      <c r="U9394" s="29" t="str">
        <f>HYPERLINK("https://ictv.global/taxonomy/taxondetails?taxnode_id=202316789","ictv.global=202316789")</f>
        <v>ictv.global=202316789</v>
      </c>
    </row>
    <row r="9395" spans="1:21">
      <c r="A9395">
        <v>9394</v>
      </c>
      <c r="B9395" s="30" t="s">
        <v>1226</v>
      </c>
      <c r="D9395" s="30" t="s">
        <v>2024</v>
      </c>
      <c r="F9395" s="30" t="s">
        <v>2046</v>
      </c>
      <c r="H9395" s="30" t="s">
        <v>2859</v>
      </c>
      <c r="J9395" s="30" t="s">
        <v>2860</v>
      </c>
      <c r="L9395" s="30" t="s">
        <v>3349</v>
      </c>
      <c r="N9395" s="30" t="s">
        <v>15880</v>
      </c>
      <c r="P9395" s="30" t="s">
        <v>15882</v>
      </c>
      <c r="Q9395" t="s">
        <v>621</v>
      </c>
      <c r="R9395" t="s">
        <v>917</v>
      </c>
      <c r="S9395">
        <v>39</v>
      </c>
      <c r="T9395" s="29" t="str">
        <f t="shared" si="398"/>
        <v>2023.001B.Leviviricetes_reorg.zip</v>
      </c>
      <c r="U9395" s="29" t="str">
        <f>HYPERLINK("https://ictv.global/taxonomy/taxondetails?taxnode_id=202316790","ictv.global=202316790")</f>
        <v>ictv.global=202316790</v>
      </c>
    </row>
    <row r="9396" spans="1:21">
      <c r="A9396">
        <v>9395</v>
      </c>
      <c r="B9396" s="30" t="s">
        <v>1226</v>
      </c>
      <c r="D9396" s="30" t="s">
        <v>2024</v>
      </c>
      <c r="F9396" s="30" t="s">
        <v>2046</v>
      </c>
      <c r="H9396" s="30" t="s">
        <v>2859</v>
      </c>
      <c r="J9396" s="30" t="s">
        <v>2860</v>
      </c>
      <c r="L9396" s="30" t="s">
        <v>3349</v>
      </c>
      <c r="N9396" s="30" t="s">
        <v>15880</v>
      </c>
      <c r="P9396" s="30" t="s">
        <v>15883</v>
      </c>
      <c r="Q9396" t="s">
        <v>621</v>
      </c>
      <c r="R9396" t="s">
        <v>917</v>
      </c>
      <c r="S9396">
        <v>39</v>
      </c>
      <c r="T9396" s="29" t="str">
        <f t="shared" si="398"/>
        <v>2023.001B.Leviviricetes_reorg.zip</v>
      </c>
      <c r="U9396" s="29" t="str">
        <f>HYPERLINK("https://ictv.global/taxonomy/taxondetails?taxnode_id=202316791","ictv.global=202316791")</f>
        <v>ictv.global=202316791</v>
      </c>
    </row>
    <row r="9397" spans="1:21">
      <c r="A9397">
        <v>9396</v>
      </c>
      <c r="B9397" s="30" t="s">
        <v>1226</v>
      </c>
      <c r="D9397" s="30" t="s">
        <v>2024</v>
      </c>
      <c r="F9397" s="30" t="s">
        <v>2046</v>
      </c>
      <c r="H9397" s="30" t="s">
        <v>2859</v>
      </c>
      <c r="J9397" s="30" t="s">
        <v>2860</v>
      </c>
      <c r="L9397" s="30" t="s">
        <v>3349</v>
      </c>
      <c r="N9397" s="30" t="s">
        <v>15880</v>
      </c>
      <c r="P9397" s="30" t="s">
        <v>15884</v>
      </c>
      <c r="Q9397" t="s">
        <v>621</v>
      </c>
      <c r="R9397" t="s">
        <v>918</v>
      </c>
      <c r="S9397">
        <v>39</v>
      </c>
      <c r="T9397" s="29" t="str">
        <f t="shared" si="398"/>
        <v>2023.001B.Leviviricetes_reorg.zip</v>
      </c>
      <c r="U9397" s="29" t="str">
        <f>HYPERLINK("https://ictv.global/taxonomy/taxondetails?taxnode_id=202310880","ictv.global=202310880")</f>
        <v>ictv.global=202310880</v>
      </c>
    </row>
    <row r="9398" spans="1:21">
      <c r="A9398">
        <v>9397</v>
      </c>
      <c r="B9398" s="30" t="s">
        <v>1226</v>
      </c>
      <c r="D9398" s="30" t="s">
        <v>2024</v>
      </c>
      <c r="F9398" s="30" t="s">
        <v>2046</v>
      </c>
      <c r="H9398" s="30" t="s">
        <v>2859</v>
      </c>
      <c r="J9398" s="30" t="s">
        <v>2860</v>
      </c>
      <c r="L9398" s="30" t="s">
        <v>3349</v>
      </c>
      <c r="N9398" s="30" t="s">
        <v>15880</v>
      </c>
      <c r="P9398" s="30" t="s">
        <v>15885</v>
      </c>
      <c r="Q9398" t="s">
        <v>621</v>
      </c>
      <c r="R9398" t="s">
        <v>917</v>
      </c>
      <c r="S9398">
        <v>39</v>
      </c>
      <c r="T9398" s="29" t="str">
        <f t="shared" si="398"/>
        <v>2023.001B.Leviviricetes_reorg.zip</v>
      </c>
      <c r="U9398" s="29" t="str">
        <f>HYPERLINK("https://ictv.global/taxonomy/taxondetails?taxnode_id=202316792","ictv.global=202316792")</f>
        <v>ictv.global=202316792</v>
      </c>
    </row>
    <row r="9399" spans="1:21">
      <c r="A9399">
        <v>9398</v>
      </c>
      <c r="B9399" s="30" t="s">
        <v>1226</v>
      </c>
      <c r="D9399" s="30" t="s">
        <v>2024</v>
      </c>
      <c r="F9399" s="30" t="s">
        <v>2046</v>
      </c>
      <c r="H9399" s="30" t="s">
        <v>2859</v>
      </c>
      <c r="J9399" s="30" t="s">
        <v>2860</v>
      </c>
      <c r="L9399" s="30" t="s">
        <v>3349</v>
      </c>
      <c r="N9399" s="30" t="s">
        <v>15886</v>
      </c>
      <c r="P9399" s="30" t="s">
        <v>15887</v>
      </c>
      <c r="Q9399" t="s">
        <v>621</v>
      </c>
      <c r="R9399" t="s">
        <v>917</v>
      </c>
      <c r="S9399">
        <v>39</v>
      </c>
      <c r="T9399" s="29" t="str">
        <f t="shared" si="398"/>
        <v>2023.001B.Leviviricetes_reorg.zip</v>
      </c>
      <c r="U9399" s="29" t="str">
        <f>HYPERLINK("https://ictv.global/taxonomy/taxondetails?taxnode_id=202316793","ictv.global=202316793")</f>
        <v>ictv.global=202316793</v>
      </c>
    </row>
    <row r="9400" spans="1:21">
      <c r="A9400">
        <v>9399</v>
      </c>
      <c r="B9400" s="30" t="s">
        <v>1226</v>
      </c>
      <c r="D9400" s="30" t="s">
        <v>2024</v>
      </c>
      <c r="F9400" s="30" t="s">
        <v>2046</v>
      </c>
      <c r="H9400" s="30" t="s">
        <v>2859</v>
      </c>
      <c r="J9400" s="30" t="s">
        <v>2860</v>
      </c>
      <c r="L9400" s="30" t="s">
        <v>3349</v>
      </c>
      <c r="N9400" s="30" t="s">
        <v>15886</v>
      </c>
      <c r="P9400" s="30" t="s">
        <v>15888</v>
      </c>
      <c r="Q9400" t="s">
        <v>621</v>
      </c>
      <c r="R9400" t="s">
        <v>917</v>
      </c>
      <c r="S9400">
        <v>39</v>
      </c>
      <c r="T9400" s="29" t="str">
        <f t="shared" si="398"/>
        <v>2023.001B.Leviviricetes_reorg.zip</v>
      </c>
      <c r="U9400" s="29" t="str">
        <f>HYPERLINK("https://ictv.global/taxonomy/taxondetails?taxnode_id=202316794","ictv.global=202316794")</f>
        <v>ictv.global=202316794</v>
      </c>
    </row>
    <row r="9401" spans="1:21">
      <c r="A9401">
        <v>9400</v>
      </c>
      <c r="B9401" s="30" t="s">
        <v>1226</v>
      </c>
      <c r="D9401" s="30" t="s">
        <v>2024</v>
      </c>
      <c r="F9401" s="30" t="s">
        <v>2046</v>
      </c>
      <c r="H9401" s="30" t="s">
        <v>2859</v>
      </c>
      <c r="J9401" s="30" t="s">
        <v>2860</v>
      </c>
      <c r="L9401" s="30" t="s">
        <v>3349</v>
      </c>
      <c r="N9401" s="30" t="s">
        <v>15889</v>
      </c>
      <c r="P9401" s="30" t="s">
        <v>15890</v>
      </c>
      <c r="Q9401" t="s">
        <v>621</v>
      </c>
      <c r="R9401" t="s">
        <v>917</v>
      </c>
      <c r="S9401">
        <v>39</v>
      </c>
      <c r="T9401" s="29" t="str">
        <f t="shared" si="398"/>
        <v>2023.001B.Leviviricetes_reorg.zip</v>
      </c>
      <c r="U9401" s="29" t="str">
        <f>HYPERLINK("https://ictv.global/taxonomy/taxondetails?taxnode_id=202316795","ictv.global=202316795")</f>
        <v>ictv.global=202316795</v>
      </c>
    </row>
    <row r="9402" spans="1:21">
      <c r="A9402">
        <v>9401</v>
      </c>
      <c r="B9402" s="30" t="s">
        <v>1226</v>
      </c>
      <c r="D9402" s="30" t="s">
        <v>2024</v>
      </c>
      <c r="F9402" s="30" t="s">
        <v>2046</v>
      </c>
      <c r="H9402" s="30" t="s">
        <v>2859</v>
      </c>
      <c r="J9402" s="30" t="s">
        <v>2860</v>
      </c>
      <c r="L9402" s="30" t="s">
        <v>3349</v>
      </c>
      <c r="N9402" s="30" t="s">
        <v>15891</v>
      </c>
      <c r="P9402" s="30" t="s">
        <v>15892</v>
      </c>
      <c r="Q9402" t="s">
        <v>621</v>
      </c>
      <c r="R9402" t="s">
        <v>917</v>
      </c>
      <c r="S9402">
        <v>39</v>
      </c>
      <c r="T9402" s="29" t="str">
        <f t="shared" si="398"/>
        <v>2023.001B.Leviviricetes_reorg.zip</v>
      </c>
      <c r="U9402" s="29" t="str">
        <f>HYPERLINK("https://ictv.global/taxonomy/taxondetails?taxnode_id=202316796","ictv.global=202316796")</f>
        <v>ictv.global=202316796</v>
      </c>
    </row>
    <row r="9403" spans="1:21">
      <c r="A9403">
        <v>9402</v>
      </c>
      <c r="B9403" s="30" t="s">
        <v>1226</v>
      </c>
      <c r="D9403" s="30" t="s">
        <v>2024</v>
      </c>
      <c r="F9403" s="30" t="s">
        <v>2046</v>
      </c>
      <c r="H9403" s="30" t="s">
        <v>2859</v>
      </c>
      <c r="J9403" s="30" t="s">
        <v>2860</v>
      </c>
      <c r="L9403" s="30" t="s">
        <v>3349</v>
      </c>
      <c r="N9403" s="30" t="s">
        <v>15893</v>
      </c>
      <c r="P9403" s="30" t="s">
        <v>15894</v>
      </c>
      <c r="Q9403" t="s">
        <v>621</v>
      </c>
      <c r="R9403" t="s">
        <v>917</v>
      </c>
      <c r="S9403">
        <v>39</v>
      </c>
      <c r="T9403" s="29" t="str">
        <f t="shared" si="398"/>
        <v>2023.001B.Leviviricetes_reorg.zip</v>
      </c>
      <c r="U9403" s="29" t="str">
        <f>HYPERLINK("https://ictv.global/taxonomy/taxondetails?taxnode_id=202316797","ictv.global=202316797")</f>
        <v>ictv.global=202316797</v>
      </c>
    </row>
    <row r="9404" spans="1:21">
      <c r="A9404">
        <v>9403</v>
      </c>
      <c r="B9404" s="30" t="s">
        <v>1226</v>
      </c>
      <c r="D9404" s="30" t="s">
        <v>2024</v>
      </c>
      <c r="F9404" s="30" t="s">
        <v>2046</v>
      </c>
      <c r="H9404" s="30" t="s">
        <v>2859</v>
      </c>
      <c r="J9404" s="30" t="s">
        <v>2860</v>
      </c>
      <c r="L9404" s="30" t="s">
        <v>3349</v>
      </c>
      <c r="N9404" s="30" t="s">
        <v>15895</v>
      </c>
      <c r="P9404" s="30" t="s">
        <v>15896</v>
      </c>
      <c r="Q9404" t="s">
        <v>621</v>
      </c>
      <c r="R9404" t="s">
        <v>917</v>
      </c>
      <c r="S9404">
        <v>39</v>
      </c>
      <c r="T9404" s="29" t="str">
        <f t="shared" si="398"/>
        <v>2023.001B.Leviviricetes_reorg.zip</v>
      </c>
      <c r="U9404" s="29" t="str">
        <f>HYPERLINK("https://ictv.global/taxonomy/taxondetails?taxnode_id=202316798","ictv.global=202316798")</f>
        <v>ictv.global=202316798</v>
      </c>
    </row>
    <row r="9405" spans="1:21">
      <c r="A9405">
        <v>9404</v>
      </c>
      <c r="B9405" s="30" t="s">
        <v>1226</v>
      </c>
      <c r="D9405" s="30" t="s">
        <v>2024</v>
      </c>
      <c r="F9405" s="30" t="s">
        <v>2046</v>
      </c>
      <c r="H9405" s="30" t="s">
        <v>2859</v>
      </c>
      <c r="J9405" s="30" t="s">
        <v>2860</v>
      </c>
      <c r="L9405" s="30" t="s">
        <v>3349</v>
      </c>
      <c r="N9405" s="30" t="s">
        <v>15897</v>
      </c>
      <c r="P9405" s="30" t="s">
        <v>15898</v>
      </c>
      <c r="Q9405" t="s">
        <v>621</v>
      </c>
      <c r="R9405" t="s">
        <v>917</v>
      </c>
      <c r="S9405">
        <v>39</v>
      </c>
      <c r="T9405" s="29" t="str">
        <f t="shared" si="398"/>
        <v>2023.001B.Leviviricetes_reorg.zip</v>
      </c>
      <c r="U9405" s="29" t="str">
        <f>HYPERLINK("https://ictv.global/taxonomy/taxondetails?taxnode_id=202316799","ictv.global=202316799")</f>
        <v>ictv.global=202316799</v>
      </c>
    </row>
    <row r="9406" spans="1:21">
      <c r="A9406">
        <v>9405</v>
      </c>
      <c r="B9406" s="30" t="s">
        <v>1226</v>
      </c>
      <c r="D9406" s="30" t="s">
        <v>2024</v>
      </c>
      <c r="F9406" s="30" t="s">
        <v>2046</v>
      </c>
      <c r="H9406" s="30" t="s">
        <v>2859</v>
      </c>
      <c r="J9406" s="30" t="s">
        <v>2860</v>
      </c>
      <c r="L9406" s="30" t="s">
        <v>3349</v>
      </c>
      <c r="N9406" s="30" t="s">
        <v>15899</v>
      </c>
      <c r="P9406" s="30" t="s">
        <v>15900</v>
      </c>
      <c r="Q9406" t="s">
        <v>621</v>
      </c>
      <c r="R9406" t="s">
        <v>917</v>
      </c>
      <c r="S9406">
        <v>39</v>
      </c>
      <c r="T9406" s="29" t="str">
        <f t="shared" si="398"/>
        <v>2023.001B.Leviviricetes_reorg.zip</v>
      </c>
      <c r="U9406" s="29" t="str">
        <f>HYPERLINK("https://ictv.global/taxonomy/taxondetails?taxnode_id=202316800","ictv.global=202316800")</f>
        <v>ictv.global=202316800</v>
      </c>
    </row>
    <row r="9407" spans="1:21">
      <c r="A9407">
        <v>9406</v>
      </c>
      <c r="B9407" s="30" t="s">
        <v>1226</v>
      </c>
      <c r="D9407" s="30" t="s">
        <v>2024</v>
      </c>
      <c r="F9407" s="30" t="s">
        <v>2046</v>
      </c>
      <c r="H9407" s="30" t="s">
        <v>2859</v>
      </c>
      <c r="J9407" s="30" t="s">
        <v>2860</v>
      </c>
      <c r="L9407" s="30" t="s">
        <v>3349</v>
      </c>
      <c r="N9407" s="30" t="s">
        <v>15899</v>
      </c>
      <c r="P9407" s="30" t="s">
        <v>15901</v>
      </c>
      <c r="Q9407" t="s">
        <v>621</v>
      </c>
      <c r="R9407" t="s">
        <v>917</v>
      </c>
      <c r="S9407">
        <v>39</v>
      </c>
      <c r="T9407" s="29" t="str">
        <f t="shared" si="398"/>
        <v>2023.001B.Leviviricetes_reorg.zip</v>
      </c>
      <c r="U9407" s="29" t="str">
        <f>HYPERLINK("https://ictv.global/taxonomy/taxondetails?taxnode_id=202316801","ictv.global=202316801")</f>
        <v>ictv.global=202316801</v>
      </c>
    </row>
    <row r="9408" spans="1:21">
      <c r="A9408">
        <v>9407</v>
      </c>
      <c r="B9408" s="30" t="s">
        <v>1226</v>
      </c>
      <c r="D9408" s="30" t="s">
        <v>2024</v>
      </c>
      <c r="F9408" s="30" t="s">
        <v>2046</v>
      </c>
      <c r="H9408" s="30" t="s">
        <v>2859</v>
      </c>
      <c r="J9408" s="30" t="s">
        <v>2860</v>
      </c>
      <c r="L9408" s="30" t="s">
        <v>3349</v>
      </c>
      <c r="N9408" s="30" t="s">
        <v>15902</v>
      </c>
      <c r="P9408" s="30" t="s">
        <v>15903</v>
      </c>
      <c r="Q9408" t="s">
        <v>621</v>
      </c>
      <c r="R9408" t="s">
        <v>917</v>
      </c>
      <c r="S9408">
        <v>39</v>
      </c>
      <c r="T9408" s="29" t="str">
        <f t="shared" si="398"/>
        <v>2023.001B.Leviviricetes_reorg.zip</v>
      </c>
      <c r="U9408" s="29" t="str">
        <f>HYPERLINK("https://ictv.global/taxonomy/taxondetails?taxnode_id=202316802","ictv.global=202316802")</f>
        <v>ictv.global=202316802</v>
      </c>
    </row>
    <row r="9409" spans="1:21">
      <c r="A9409">
        <v>9408</v>
      </c>
      <c r="B9409" s="30" t="s">
        <v>1226</v>
      </c>
      <c r="D9409" s="30" t="s">
        <v>2024</v>
      </c>
      <c r="F9409" s="30" t="s">
        <v>2046</v>
      </c>
      <c r="H9409" s="30" t="s">
        <v>2859</v>
      </c>
      <c r="J9409" s="30" t="s">
        <v>2860</v>
      </c>
      <c r="L9409" s="30" t="s">
        <v>3349</v>
      </c>
      <c r="N9409" s="30" t="s">
        <v>15904</v>
      </c>
      <c r="P9409" s="30" t="s">
        <v>15905</v>
      </c>
      <c r="Q9409" t="s">
        <v>621</v>
      </c>
      <c r="R9409" t="s">
        <v>917</v>
      </c>
      <c r="S9409">
        <v>39</v>
      </c>
      <c r="T9409" s="29" t="str">
        <f t="shared" si="398"/>
        <v>2023.001B.Leviviricetes_reorg.zip</v>
      </c>
      <c r="U9409" s="29" t="str">
        <f>HYPERLINK("https://ictv.global/taxonomy/taxondetails?taxnode_id=202316803","ictv.global=202316803")</f>
        <v>ictv.global=202316803</v>
      </c>
    </row>
    <row r="9410" spans="1:21">
      <c r="A9410">
        <v>9409</v>
      </c>
      <c r="B9410" s="30" t="s">
        <v>1226</v>
      </c>
      <c r="D9410" s="30" t="s">
        <v>2024</v>
      </c>
      <c r="F9410" s="30" t="s">
        <v>2046</v>
      </c>
      <c r="H9410" s="30" t="s">
        <v>2859</v>
      </c>
      <c r="J9410" s="30" t="s">
        <v>2860</v>
      </c>
      <c r="L9410" s="30" t="s">
        <v>3349</v>
      </c>
      <c r="N9410" s="30" t="s">
        <v>15906</v>
      </c>
      <c r="P9410" s="30" t="s">
        <v>15907</v>
      </c>
      <c r="Q9410" t="s">
        <v>621</v>
      </c>
      <c r="R9410" t="s">
        <v>917</v>
      </c>
      <c r="S9410">
        <v>39</v>
      </c>
      <c r="T9410" s="29" t="str">
        <f t="shared" si="398"/>
        <v>2023.001B.Leviviricetes_reorg.zip</v>
      </c>
      <c r="U9410" s="29" t="str">
        <f>HYPERLINK("https://ictv.global/taxonomy/taxondetails?taxnode_id=202316804","ictv.global=202316804")</f>
        <v>ictv.global=202316804</v>
      </c>
    </row>
    <row r="9411" spans="1:21">
      <c r="A9411">
        <v>9410</v>
      </c>
      <c r="B9411" s="30" t="s">
        <v>1226</v>
      </c>
      <c r="D9411" s="30" t="s">
        <v>2024</v>
      </c>
      <c r="F9411" s="30" t="s">
        <v>2046</v>
      </c>
      <c r="H9411" s="30" t="s">
        <v>2859</v>
      </c>
      <c r="J9411" s="30" t="s">
        <v>2860</v>
      </c>
      <c r="L9411" s="30" t="s">
        <v>3349</v>
      </c>
      <c r="N9411" s="30" t="s">
        <v>15908</v>
      </c>
      <c r="P9411" s="30" t="s">
        <v>15909</v>
      </c>
      <c r="Q9411" t="s">
        <v>621</v>
      </c>
      <c r="R9411" t="s">
        <v>917</v>
      </c>
      <c r="S9411">
        <v>39</v>
      </c>
      <c r="T9411" s="29" t="str">
        <f t="shared" si="398"/>
        <v>2023.001B.Leviviricetes_reorg.zip</v>
      </c>
      <c r="U9411" s="29" t="str">
        <f>HYPERLINK("https://ictv.global/taxonomy/taxondetails?taxnode_id=202316805","ictv.global=202316805")</f>
        <v>ictv.global=202316805</v>
      </c>
    </row>
    <row r="9412" spans="1:21">
      <c r="A9412">
        <v>9411</v>
      </c>
      <c r="B9412" s="30" t="s">
        <v>1226</v>
      </c>
      <c r="D9412" s="30" t="s">
        <v>2024</v>
      </c>
      <c r="F9412" s="30" t="s">
        <v>2046</v>
      </c>
      <c r="H9412" s="30" t="s">
        <v>2859</v>
      </c>
      <c r="J9412" s="30" t="s">
        <v>2860</v>
      </c>
      <c r="L9412" s="30" t="s">
        <v>3349</v>
      </c>
      <c r="N9412" s="30" t="s">
        <v>15908</v>
      </c>
      <c r="P9412" s="30" t="s">
        <v>15910</v>
      </c>
      <c r="Q9412" t="s">
        <v>621</v>
      </c>
      <c r="R9412" t="s">
        <v>917</v>
      </c>
      <c r="S9412">
        <v>39</v>
      </c>
      <c r="T9412" s="29" t="str">
        <f t="shared" si="398"/>
        <v>2023.001B.Leviviricetes_reorg.zip</v>
      </c>
      <c r="U9412" s="29" t="str">
        <f>HYPERLINK("https://ictv.global/taxonomy/taxondetails?taxnode_id=202316806","ictv.global=202316806")</f>
        <v>ictv.global=202316806</v>
      </c>
    </row>
    <row r="9413" spans="1:21">
      <c r="A9413">
        <v>9412</v>
      </c>
      <c r="B9413" s="30" t="s">
        <v>1226</v>
      </c>
      <c r="D9413" s="30" t="s">
        <v>2024</v>
      </c>
      <c r="F9413" s="30" t="s">
        <v>2046</v>
      </c>
      <c r="H9413" s="30" t="s">
        <v>2859</v>
      </c>
      <c r="J9413" s="30" t="s">
        <v>2860</v>
      </c>
      <c r="L9413" s="30" t="s">
        <v>3349</v>
      </c>
      <c r="N9413" s="30" t="s">
        <v>15908</v>
      </c>
      <c r="P9413" s="30" t="s">
        <v>15911</v>
      </c>
      <c r="Q9413" t="s">
        <v>621</v>
      </c>
      <c r="R9413" t="s">
        <v>917</v>
      </c>
      <c r="S9413">
        <v>39</v>
      </c>
      <c r="T9413" s="29" t="str">
        <f t="shared" si="398"/>
        <v>2023.001B.Leviviricetes_reorg.zip</v>
      </c>
      <c r="U9413" s="29" t="str">
        <f>HYPERLINK("https://ictv.global/taxonomy/taxondetails?taxnode_id=202316807","ictv.global=202316807")</f>
        <v>ictv.global=202316807</v>
      </c>
    </row>
    <row r="9414" spans="1:21">
      <c r="A9414">
        <v>9413</v>
      </c>
      <c r="B9414" s="30" t="s">
        <v>1226</v>
      </c>
      <c r="D9414" s="30" t="s">
        <v>2024</v>
      </c>
      <c r="F9414" s="30" t="s">
        <v>2046</v>
      </c>
      <c r="H9414" s="30" t="s">
        <v>2859</v>
      </c>
      <c r="J9414" s="30" t="s">
        <v>2860</v>
      </c>
      <c r="L9414" s="30" t="s">
        <v>3349</v>
      </c>
      <c r="N9414" s="30" t="s">
        <v>15908</v>
      </c>
      <c r="P9414" s="30" t="s">
        <v>15912</v>
      </c>
      <c r="Q9414" t="s">
        <v>621</v>
      </c>
      <c r="R9414" t="s">
        <v>917</v>
      </c>
      <c r="S9414">
        <v>39</v>
      </c>
      <c r="T9414" s="29" t="str">
        <f t="shared" si="398"/>
        <v>2023.001B.Leviviricetes_reorg.zip</v>
      </c>
      <c r="U9414" s="29" t="str">
        <f>HYPERLINK("https://ictv.global/taxonomy/taxondetails?taxnode_id=202316808","ictv.global=202316808")</f>
        <v>ictv.global=202316808</v>
      </c>
    </row>
    <row r="9415" spans="1:21">
      <c r="A9415">
        <v>9414</v>
      </c>
      <c r="B9415" s="30" t="s">
        <v>1226</v>
      </c>
      <c r="D9415" s="30" t="s">
        <v>2024</v>
      </c>
      <c r="F9415" s="30" t="s">
        <v>2046</v>
      </c>
      <c r="H9415" s="30" t="s">
        <v>2859</v>
      </c>
      <c r="J9415" s="30" t="s">
        <v>2860</v>
      </c>
      <c r="L9415" s="30" t="s">
        <v>3349</v>
      </c>
      <c r="N9415" s="30" t="s">
        <v>15908</v>
      </c>
      <c r="P9415" s="30" t="s">
        <v>15913</v>
      </c>
      <c r="Q9415" t="s">
        <v>621</v>
      </c>
      <c r="R9415" t="s">
        <v>917</v>
      </c>
      <c r="S9415">
        <v>39</v>
      </c>
      <c r="T9415" s="29" t="str">
        <f t="shared" si="398"/>
        <v>2023.001B.Leviviricetes_reorg.zip</v>
      </c>
      <c r="U9415" s="29" t="str">
        <f>HYPERLINK("https://ictv.global/taxonomy/taxondetails?taxnode_id=202316809","ictv.global=202316809")</f>
        <v>ictv.global=202316809</v>
      </c>
    </row>
    <row r="9416" spans="1:21">
      <c r="A9416">
        <v>9415</v>
      </c>
      <c r="B9416" s="30" t="s">
        <v>1226</v>
      </c>
      <c r="D9416" s="30" t="s">
        <v>2024</v>
      </c>
      <c r="F9416" s="30" t="s">
        <v>2046</v>
      </c>
      <c r="H9416" s="30" t="s">
        <v>2859</v>
      </c>
      <c r="J9416" s="30" t="s">
        <v>2860</v>
      </c>
      <c r="L9416" s="30" t="s">
        <v>3349</v>
      </c>
      <c r="N9416" s="30" t="s">
        <v>15908</v>
      </c>
      <c r="P9416" s="30" t="s">
        <v>15914</v>
      </c>
      <c r="Q9416" t="s">
        <v>621</v>
      </c>
      <c r="R9416" t="s">
        <v>917</v>
      </c>
      <c r="S9416">
        <v>39</v>
      </c>
      <c r="T9416" s="29" t="str">
        <f t="shared" si="398"/>
        <v>2023.001B.Leviviricetes_reorg.zip</v>
      </c>
      <c r="U9416" s="29" t="str">
        <f>HYPERLINK("https://ictv.global/taxonomy/taxondetails?taxnode_id=202316810","ictv.global=202316810")</f>
        <v>ictv.global=202316810</v>
      </c>
    </row>
    <row r="9417" spans="1:21">
      <c r="A9417">
        <v>9416</v>
      </c>
      <c r="B9417" s="30" t="s">
        <v>1226</v>
      </c>
      <c r="D9417" s="30" t="s">
        <v>2024</v>
      </c>
      <c r="F9417" s="30" t="s">
        <v>2046</v>
      </c>
      <c r="H9417" s="30" t="s">
        <v>2859</v>
      </c>
      <c r="J9417" s="30" t="s">
        <v>2860</v>
      </c>
      <c r="L9417" s="30" t="s">
        <v>3349</v>
      </c>
      <c r="N9417" s="30" t="s">
        <v>15908</v>
      </c>
      <c r="P9417" s="30" t="s">
        <v>15915</v>
      </c>
      <c r="Q9417" t="s">
        <v>621</v>
      </c>
      <c r="R9417" t="s">
        <v>917</v>
      </c>
      <c r="S9417">
        <v>39</v>
      </c>
      <c r="T9417" s="29" t="str">
        <f t="shared" si="398"/>
        <v>2023.001B.Leviviricetes_reorg.zip</v>
      </c>
      <c r="U9417" s="29" t="str">
        <f>HYPERLINK("https://ictv.global/taxonomy/taxondetails?taxnode_id=202316811","ictv.global=202316811")</f>
        <v>ictv.global=202316811</v>
      </c>
    </row>
    <row r="9418" spans="1:21">
      <c r="A9418">
        <v>9417</v>
      </c>
      <c r="B9418" s="30" t="s">
        <v>1226</v>
      </c>
      <c r="D9418" s="30" t="s">
        <v>2024</v>
      </c>
      <c r="F9418" s="30" t="s">
        <v>2046</v>
      </c>
      <c r="H9418" s="30" t="s">
        <v>2859</v>
      </c>
      <c r="J9418" s="30" t="s">
        <v>2860</v>
      </c>
      <c r="L9418" s="30" t="s">
        <v>3349</v>
      </c>
      <c r="N9418" s="30" t="s">
        <v>15908</v>
      </c>
      <c r="P9418" s="30" t="s">
        <v>15916</v>
      </c>
      <c r="Q9418" t="s">
        <v>621</v>
      </c>
      <c r="R9418" t="s">
        <v>917</v>
      </c>
      <c r="S9418">
        <v>39</v>
      </c>
      <c r="T9418" s="29" t="str">
        <f t="shared" si="398"/>
        <v>2023.001B.Leviviricetes_reorg.zip</v>
      </c>
      <c r="U9418" s="29" t="str">
        <f>HYPERLINK("https://ictv.global/taxonomy/taxondetails?taxnode_id=202316812","ictv.global=202316812")</f>
        <v>ictv.global=202316812</v>
      </c>
    </row>
    <row r="9419" spans="1:21">
      <c r="A9419">
        <v>9418</v>
      </c>
      <c r="B9419" s="30" t="s">
        <v>1226</v>
      </c>
      <c r="D9419" s="30" t="s">
        <v>2024</v>
      </c>
      <c r="F9419" s="30" t="s">
        <v>2046</v>
      </c>
      <c r="H9419" s="30" t="s">
        <v>2859</v>
      </c>
      <c r="J9419" s="30" t="s">
        <v>2860</v>
      </c>
      <c r="L9419" s="30" t="s">
        <v>3349</v>
      </c>
      <c r="N9419" s="30" t="s">
        <v>15908</v>
      </c>
      <c r="P9419" s="30" t="s">
        <v>15917</v>
      </c>
      <c r="Q9419" t="s">
        <v>621</v>
      </c>
      <c r="R9419" t="s">
        <v>917</v>
      </c>
      <c r="S9419">
        <v>39</v>
      </c>
      <c r="T9419" s="29" t="str">
        <f t="shared" si="398"/>
        <v>2023.001B.Leviviricetes_reorg.zip</v>
      </c>
      <c r="U9419" s="29" t="str">
        <f>HYPERLINK("https://ictv.global/taxonomy/taxondetails?taxnode_id=202316813","ictv.global=202316813")</f>
        <v>ictv.global=202316813</v>
      </c>
    </row>
    <row r="9420" spans="1:21">
      <c r="A9420">
        <v>9419</v>
      </c>
      <c r="B9420" s="30" t="s">
        <v>1226</v>
      </c>
      <c r="D9420" s="30" t="s">
        <v>2024</v>
      </c>
      <c r="F9420" s="30" t="s">
        <v>2046</v>
      </c>
      <c r="H9420" s="30" t="s">
        <v>2859</v>
      </c>
      <c r="J9420" s="30" t="s">
        <v>2860</v>
      </c>
      <c r="L9420" s="30" t="s">
        <v>3349</v>
      </c>
      <c r="N9420" s="30" t="s">
        <v>15908</v>
      </c>
      <c r="P9420" s="30" t="s">
        <v>15918</v>
      </c>
      <c r="Q9420" t="s">
        <v>621</v>
      </c>
      <c r="R9420" t="s">
        <v>917</v>
      </c>
      <c r="S9420">
        <v>39</v>
      </c>
      <c r="T9420" s="29" t="str">
        <f t="shared" si="398"/>
        <v>2023.001B.Leviviricetes_reorg.zip</v>
      </c>
      <c r="U9420" s="29" t="str">
        <f>HYPERLINK("https://ictv.global/taxonomy/taxondetails?taxnode_id=202316814","ictv.global=202316814")</f>
        <v>ictv.global=202316814</v>
      </c>
    </row>
    <row r="9421" spans="1:21">
      <c r="A9421">
        <v>9420</v>
      </c>
      <c r="B9421" s="30" t="s">
        <v>1226</v>
      </c>
      <c r="D9421" s="30" t="s">
        <v>2024</v>
      </c>
      <c r="F9421" s="30" t="s">
        <v>2046</v>
      </c>
      <c r="H9421" s="30" t="s">
        <v>2859</v>
      </c>
      <c r="J9421" s="30" t="s">
        <v>2860</v>
      </c>
      <c r="L9421" s="30" t="s">
        <v>3349</v>
      </c>
      <c r="N9421" s="30" t="s">
        <v>15919</v>
      </c>
      <c r="P9421" s="30" t="s">
        <v>15920</v>
      </c>
      <c r="Q9421" t="s">
        <v>621</v>
      </c>
      <c r="R9421" t="s">
        <v>917</v>
      </c>
      <c r="S9421">
        <v>39</v>
      </c>
      <c r="T9421" s="29" t="str">
        <f t="shared" si="398"/>
        <v>2023.001B.Leviviricetes_reorg.zip</v>
      </c>
      <c r="U9421" s="29" t="str">
        <f>HYPERLINK("https://ictv.global/taxonomy/taxondetails?taxnode_id=202316815","ictv.global=202316815")</f>
        <v>ictv.global=202316815</v>
      </c>
    </row>
    <row r="9422" spans="1:21">
      <c r="A9422">
        <v>9421</v>
      </c>
      <c r="B9422" s="30" t="s">
        <v>1226</v>
      </c>
      <c r="D9422" s="30" t="s">
        <v>2024</v>
      </c>
      <c r="F9422" s="30" t="s">
        <v>2046</v>
      </c>
      <c r="H9422" s="30" t="s">
        <v>2859</v>
      </c>
      <c r="J9422" s="30" t="s">
        <v>2860</v>
      </c>
      <c r="L9422" s="30" t="s">
        <v>3349</v>
      </c>
      <c r="N9422" s="30" t="s">
        <v>15921</v>
      </c>
      <c r="P9422" s="30" t="s">
        <v>15922</v>
      </c>
      <c r="Q9422" t="s">
        <v>621</v>
      </c>
      <c r="R9422" t="s">
        <v>917</v>
      </c>
      <c r="S9422">
        <v>39</v>
      </c>
      <c r="T9422" s="29" t="str">
        <f t="shared" si="398"/>
        <v>2023.001B.Leviviricetes_reorg.zip</v>
      </c>
      <c r="U9422" s="29" t="str">
        <f>HYPERLINK("https://ictv.global/taxonomy/taxondetails?taxnode_id=202316816","ictv.global=202316816")</f>
        <v>ictv.global=202316816</v>
      </c>
    </row>
    <row r="9423" spans="1:21">
      <c r="A9423">
        <v>9422</v>
      </c>
      <c r="B9423" s="30" t="s">
        <v>1226</v>
      </c>
      <c r="D9423" s="30" t="s">
        <v>2024</v>
      </c>
      <c r="F9423" s="30" t="s">
        <v>2046</v>
      </c>
      <c r="H9423" s="30" t="s">
        <v>2859</v>
      </c>
      <c r="J9423" s="30" t="s">
        <v>2860</v>
      </c>
      <c r="L9423" s="30" t="s">
        <v>3349</v>
      </c>
      <c r="N9423" s="30" t="s">
        <v>15923</v>
      </c>
      <c r="P9423" s="30" t="s">
        <v>15924</v>
      </c>
      <c r="Q9423" t="s">
        <v>621</v>
      </c>
      <c r="R9423" t="s">
        <v>917</v>
      </c>
      <c r="S9423">
        <v>39</v>
      </c>
      <c r="T9423" s="29" t="str">
        <f t="shared" si="398"/>
        <v>2023.001B.Leviviricetes_reorg.zip</v>
      </c>
      <c r="U9423" s="29" t="str">
        <f>HYPERLINK("https://ictv.global/taxonomy/taxondetails?taxnode_id=202316817","ictv.global=202316817")</f>
        <v>ictv.global=202316817</v>
      </c>
    </row>
    <row r="9424" spans="1:21">
      <c r="A9424">
        <v>9423</v>
      </c>
      <c r="B9424" s="30" t="s">
        <v>1226</v>
      </c>
      <c r="D9424" s="30" t="s">
        <v>2024</v>
      </c>
      <c r="F9424" s="30" t="s">
        <v>2046</v>
      </c>
      <c r="H9424" s="30" t="s">
        <v>2859</v>
      </c>
      <c r="J9424" s="30" t="s">
        <v>2860</v>
      </c>
      <c r="L9424" s="30" t="s">
        <v>3349</v>
      </c>
      <c r="N9424" s="30" t="s">
        <v>15925</v>
      </c>
      <c r="P9424" s="30" t="s">
        <v>15926</v>
      </c>
      <c r="Q9424" t="s">
        <v>621</v>
      </c>
      <c r="R9424" t="s">
        <v>917</v>
      </c>
      <c r="S9424">
        <v>39</v>
      </c>
      <c r="T9424" s="29" t="str">
        <f t="shared" ref="T9424:T9430" si="399">HYPERLINK("https://ictv.global/ictv/proposals/2023.001B.Leviviricetes_reorg.zip","2023.001B.Leviviricetes_reorg.zip")</f>
        <v>2023.001B.Leviviricetes_reorg.zip</v>
      </c>
      <c r="U9424" s="29" t="str">
        <f>HYPERLINK("https://ictv.global/taxonomy/taxondetails?taxnode_id=202316818","ictv.global=202316818")</f>
        <v>ictv.global=202316818</v>
      </c>
    </row>
    <row r="9425" spans="1:21">
      <c r="A9425">
        <v>9424</v>
      </c>
      <c r="B9425" s="30" t="s">
        <v>1226</v>
      </c>
      <c r="D9425" s="30" t="s">
        <v>2024</v>
      </c>
      <c r="F9425" s="30" t="s">
        <v>2046</v>
      </c>
      <c r="H9425" s="30" t="s">
        <v>2859</v>
      </c>
      <c r="J9425" s="30" t="s">
        <v>2860</v>
      </c>
      <c r="L9425" s="30" t="s">
        <v>3349</v>
      </c>
      <c r="N9425" s="30" t="s">
        <v>15925</v>
      </c>
      <c r="P9425" s="30" t="s">
        <v>15927</v>
      </c>
      <c r="Q9425" t="s">
        <v>621</v>
      </c>
      <c r="R9425" t="s">
        <v>917</v>
      </c>
      <c r="S9425">
        <v>39</v>
      </c>
      <c r="T9425" s="29" t="str">
        <f t="shared" si="399"/>
        <v>2023.001B.Leviviricetes_reorg.zip</v>
      </c>
      <c r="U9425" s="29" t="str">
        <f>HYPERLINK("https://ictv.global/taxonomy/taxondetails?taxnode_id=202316819","ictv.global=202316819")</f>
        <v>ictv.global=202316819</v>
      </c>
    </row>
    <row r="9426" spans="1:21">
      <c r="A9426">
        <v>9425</v>
      </c>
      <c r="B9426" s="30" t="s">
        <v>1226</v>
      </c>
      <c r="D9426" s="30" t="s">
        <v>2024</v>
      </c>
      <c r="F9426" s="30" t="s">
        <v>2046</v>
      </c>
      <c r="H9426" s="30" t="s">
        <v>2859</v>
      </c>
      <c r="J9426" s="30" t="s">
        <v>2860</v>
      </c>
      <c r="L9426" s="30" t="s">
        <v>3349</v>
      </c>
      <c r="N9426" s="30" t="s">
        <v>15928</v>
      </c>
      <c r="P9426" s="30" t="s">
        <v>15929</v>
      </c>
      <c r="Q9426" t="s">
        <v>621</v>
      </c>
      <c r="R9426" t="s">
        <v>917</v>
      </c>
      <c r="S9426">
        <v>39</v>
      </c>
      <c r="T9426" s="29" t="str">
        <f t="shared" si="399"/>
        <v>2023.001B.Leviviricetes_reorg.zip</v>
      </c>
      <c r="U9426" s="29" t="str">
        <f>HYPERLINK("https://ictv.global/taxonomy/taxondetails?taxnode_id=202316820","ictv.global=202316820")</f>
        <v>ictv.global=202316820</v>
      </c>
    </row>
    <row r="9427" spans="1:21">
      <c r="A9427">
        <v>9426</v>
      </c>
      <c r="B9427" s="30" t="s">
        <v>1226</v>
      </c>
      <c r="D9427" s="30" t="s">
        <v>2024</v>
      </c>
      <c r="F9427" s="30" t="s">
        <v>2046</v>
      </c>
      <c r="H9427" s="30" t="s">
        <v>2859</v>
      </c>
      <c r="J9427" s="30" t="s">
        <v>2860</v>
      </c>
      <c r="L9427" s="30" t="s">
        <v>3349</v>
      </c>
      <c r="N9427" s="30" t="s">
        <v>15930</v>
      </c>
      <c r="P9427" s="30" t="s">
        <v>15931</v>
      </c>
      <c r="Q9427" t="s">
        <v>621</v>
      </c>
      <c r="R9427" t="s">
        <v>917</v>
      </c>
      <c r="S9427">
        <v>39</v>
      </c>
      <c r="T9427" s="29" t="str">
        <f t="shared" si="399"/>
        <v>2023.001B.Leviviricetes_reorg.zip</v>
      </c>
      <c r="U9427" s="29" t="str">
        <f>HYPERLINK("https://ictv.global/taxonomy/taxondetails?taxnode_id=202316821","ictv.global=202316821")</f>
        <v>ictv.global=202316821</v>
      </c>
    </row>
    <row r="9428" spans="1:21">
      <c r="A9428">
        <v>9427</v>
      </c>
      <c r="B9428" s="30" t="s">
        <v>1226</v>
      </c>
      <c r="D9428" s="30" t="s">
        <v>2024</v>
      </c>
      <c r="F9428" s="30" t="s">
        <v>2046</v>
      </c>
      <c r="H9428" s="30" t="s">
        <v>2859</v>
      </c>
      <c r="J9428" s="30" t="s">
        <v>2860</v>
      </c>
      <c r="L9428" s="30" t="s">
        <v>3349</v>
      </c>
      <c r="N9428" s="30" t="s">
        <v>15932</v>
      </c>
      <c r="P9428" s="30" t="s">
        <v>15933</v>
      </c>
      <c r="Q9428" t="s">
        <v>621</v>
      </c>
      <c r="R9428" t="s">
        <v>917</v>
      </c>
      <c r="S9428">
        <v>39</v>
      </c>
      <c r="T9428" s="29" t="str">
        <f t="shared" si="399"/>
        <v>2023.001B.Leviviricetes_reorg.zip</v>
      </c>
      <c r="U9428" s="29" t="str">
        <f>HYPERLINK("https://ictv.global/taxonomy/taxondetails?taxnode_id=202316822","ictv.global=202316822")</f>
        <v>ictv.global=202316822</v>
      </c>
    </row>
    <row r="9429" spans="1:21">
      <c r="A9429">
        <v>9428</v>
      </c>
      <c r="B9429" s="30" t="s">
        <v>1226</v>
      </c>
      <c r="D9429" s="30" t="s">
        <v>2024</v>
      </c>
      <c r="F9429" s="30" t="s">
        <v>2046</v>
      </c>
      <c r="H9429" s="30" t="s">
        <v>2859</v>
      </c>
      <c r="J9429" s="30" t="s">
        <v>2860</v>
      </c>
      <c r="L9429" s="30" t="s">
        <v>3349</v>
      </c>
      <c r="N9429" s="30" t="s">
        <v>15934</v>
      </c>
      <c r="P9429" s="30" t="s">
        <v>15935</v>
      </c>
      <c r="Q9429" t="s">
        <v>621</v>
      </c>
      <c r="R9429" t="s">
        <v>917</v>
      </c>
      <c r="S9429">
        <v>39</v>
      </c>
      <c r="T9429" s="29" t="str">
        <f t="shared" si="399"/>
        <v>2023.001B.Leviviricetes_reorg.zip</v>
      </c>
      <c r="U9429" s="29" t="str">
        <f>HYPERLINK("https://ictv.global/taxonomy/taxondetails?taxnode_id=202316823","ictv.global=202316823")</f>
        <v>ictv.global=202316823</v>
      </c>
    </row>
    <row r="9430" spans="1:21">
      <c r="A9430">
        <v>9429</v>
      </c>
      <c r="B9430" s="30" t="s">
        <v>1226</v>
      </c>
      <c r="D9430" s="30" t="s">
        <v>2024</v>
      </c>
      <c r="F9430" s="30" t="s">
        <v>2046</v>
      </c>
      <c r="H9430" s="30" t="s">
        <v>2859</v>
      </c>
      <c r="J9430" s="30" t="s">
        <v>2860</v>
      </c>
      <c r="L9430" s="30" t="s">
        <v>3349</v>
      </c>
      <c r="N9430" s="30" t="s">
        <v>15936</v>
      </c>
      <c r="P9430" s="30" t="s">
        <v>15937</v>
      </c>
      <c r="Q9430" t="s">
        <v>621</v>
      </c>
      <c r="R9430" t="s">
        <v>917</v>
      </c>
      <c r="S9430">
        <v>39</v>
      </c>
      <c r="T9430" s="29" t="str">
        <f t="shared" si="399"/>
        <v>2023.001B.Leviviricetes_reorg.zip</v>
      </c>
      <c r="U9430" s="29" t="str">
        <f>HYPERLINK("https://ictv.global/taxonomy/taxondetails?taxnode_id=202316824","ictv.global=202316824")</f>
        <v>ictv.global=202316824</v>
      </c>
    </row>
    <row r="9431" spans="1:21">
      <c r="A9431">
        <v>9430</v>
      </c>
      <c r="B9431" s="30" t="s">
        <v>1226</v>
      </c>
      <c r="D9431" s="30" t="s">
        <v>2024</v>
      </c>
      <c r="F9431" s="30" t="s">
        <v>2046</v>
      </c>
      <c r="H9431" s="30" t="s">
        <v>2859</v>
      </c>
      <c r="J9431" s="30" t="s">
        <v>3390</v>
      </c>
      <c r="L9431" s="30" t="s">
        <v>3391</v>
      </c>
      <c r="N9431" s="30" t="s">
        <v>3392</v>
      </c>
      <c r="P9431" s="30" t="s">
        <v>3393</v>
      </c>
      <c r="Q9431" t="s">
        <v>621</v>
      </c>
      <c r="R9431" t="s">
        <v>917</v>
      </c>
      <c r="S9431">
        <v>36</v>
      </c>
      <c r="T9431" s="29" t="str">
        <f>HYPERLINK("https://ictv.global/ictv/proposals/2020.095B.R.Leviviricetes.zip","2020.095B.R.Leviviricetes.zip")</f>
        <v>2020.095B.R.Leviviricetes.zip</v>
      </c>
      <c r="U9431" s="29" t="str">
        <f>HYPERLINK("https://ictv.global/taxonomy/taxondetails?taxnode_id=202310914","ictv.global=202310914")</f>
        <v>ictv.global=202310914</v>
      </c>
    </row>
    <row r="9432" spans="1:21">
      <c r="A9432">
        <v>9431</v>
      </c>
      <c r="B9432" s="30" t="s">
        <v>1226</v>
      </c>
      <c r="D9432" s="30" t="s">
        <v>2024</v>
      </c>
      <c r="F9432" s="30" t="s">
        <v>2046</v>
      </c>
      <c r="H9432" s="30" t="s">
        <v>2859</v>
      </c>
      <c r="J9432" s="30" t="s">
        <v>3390</v>
      </c>
      <c r="L9432" s="30" t="s">
        <v>3391</v>
      </c>
      <c r="N9432" s="30" t="s">
        <v>3394</v>
      </c>
      <c r="P9432" s="30" t="s">
        <v>3395</v>
      </c>
      <c r="Q9432" t="s">
        <v>621</v>
      </c>
      <c r="R9432" t="s">
        <v>917</v>
      </c>
      <c r="S9432">
        <v>36</v>
      </c>
      <c r="T9432" s="29" t="str">
        <f>HYPERLINK("https://ictv.global/ictv/proposals/2020.095B.R.Leviviricetes.zip","2020.095B.R.Leviviricetes.zip")</f>
        <v>2020.095B.R.Leviviricetes.zip</v>
      </c>
      <c r="U9432" s="29" t="str">
        <f>HYPERLINK("https://ictv.global/taxonomy/taxondetails?taxnode_id=202310916","ictv.global=202310916")</f>
        <v>ictv.global=202310916</v>
      </c>
    </row>
    <row r="9433" spans="1:21">
      <c r="A9433">
        <v>9432</v>
      </c>
      <c r="B9433" s="30" t="s">
        <v>1226</v>
      </c>
      <c r="D9433" s="30" t="s">
        <v>2024</v>
      </c>
      <c r="F9433" s="30" t="s">
        <v>2046</v>
      </c>
      <c r="H9433" s="30" t="s">
        <v>2859</v>
      </c>
      <c r="J9433" s="30" t="s">
        <v>3390</v>
      </c>
      <c r="L9433" s="30" t="s">
        <v>3391</v>
      </c>
      <c r="N9433" s="30" t="s">
        <v>15938</v>
      </c>
      <c r="P9433" s="30" t="s">
        <v>15939</v>
      </c>
      <c r="Q9433" t="s">
        <v>621</v>
      </c>
      <c r="R9433" t="s">
        <v>917</v>
      </c>
      <c r="S9433">
        <v>39</v>
      </c>
      <c r="T9433" s="29" t="str">
        <f>HYPERLINK("https://ictv.global/ictv/proposals/2023.001B.Leviviricetes_reorg.zip","2023.001B.Leviviricetes_reorg.zip")</f>
        <v>2023.001B.Leviviricetes_reorg.zip</v>
      </c>
      <c r="U9433" s="29" t="str">
        <f>HYPERLINK("https://ictv.global/taxonomy/taxondetails?taxnode_id=202316825","ictv.global=202316825")</f>
        <v>ictv.global=202316825</v>
      </c>
    </row>
    <row r="9434" spans="1:21">
      <c r="A9434">
        <v>9433</v>
      </c>
      <c r="B9434" s="30" t="s">
        <v>1226</v>
      </c>
      <c r="D9434" s="30" t="s">
        <v>2024</v>
      </c>
      <c r="F9434" s="30" t="s">
        <v>2046</v>
      </c>
      <c r="H9434" s="30" t="s">
        <v>2859</v>
      </c>
      <c r="J9434" s="30" t="s">
        <v>3390</v>
      </c>
      <c r="L9434" s="30" t="s">
        <v>3391</v>
      </c>
      <c r="N9434" s="30" t="s">
        <v>3633</v>
      </c>
      <c r="P9434" s="30" t="s">
        <v>3634</v>
      </c>
      <c r="Q9434" t="s">
        <v>621</v>
      </c>
      <c r="R9434" t="s">
        <v>919</v>
      </c>
      <c r="S9434">
        <v>39</v>
      </c>
      <c r="T9434" s="29" t="str">
        <f>HYPERLINK("https://ictv.global/ictv/proposals/2023.001B.Leviviricetes_reorg.zip","2023.001B.Leviviricetes_reorg.zip")</f>
        <v>2023.001B.Leviviricetes_reorg.zip</v>
      </c>
      <c r="U9434" s="29" t="str">
        <f>HYPERLINK("https://ictv.global/taxonomy/taxondetails?taxnode_id=202311510","ictv.global=202311510")</f>
        <v>ictv.global=202311510</v>
      </c>
    </row>
    <row r="9435" spans="1:21">
      <c r="A9435">
        <v>9434</v>
      </c>
      <c r="B9435" s="30" t="s">
        <v>1226</v>
      </c>
      <c r="D9435" s="30" t="s">
        <v>2024</v>
      </c>
      <c r="F9435" s="30" t="s">
        <v>2046</v>
      </c>
      <c r="H9435" s="30" t="s">
        <v>2859</v>
      </c>
      <c r="J9435" s="30" t="s">
        <v>3390</v>
      </c>
      <c r="L9435" s="30" t="s">
        <v>3391</v>
      </c>
      <c r="N9435" s="30" t="s">
        <v>3396</v>
      </c>
      <c r="P9435" s="30" t="s">
        <v>3397</v>
      </c>
      <c r="Q9435" t="s">
        <v>621</v>
      </c>
      <c r="R9435" t="s">
        <v>917</v>
      </c>
      <c r="S9435">
        <v>36</v>
      </c>
      <c r="T9435" s="29" t="str">
        <f t="shared" ref="T9435:T9440" si="400">HYPERLINK("https://ictv.global/ictv/proposals/2020.095B.R.Leviviricetes.zip","2020.095B.R.Leviviricetes.zip")</f>
        <v>2020.095B.R.Leviviricetes.zip</v>
      </c>
      <c r="U9435" s="29" t="str">
        <f>HYPERLINK("https://ictv.global/taxonomy/taxondetails?taxnode_id=202310920","ictv.global=202310920")</f>
        <v>ictv.global=202310920</v>
      </c>
    </row>
    <row r="9436" spans="1:21">
      <c r="A9436">
        <v>9435</v>
      </c>
      <c r="B9436" s="30" t="s">
        <v>1226</v>
      </c>
      <c r="D9436" s="30" t="s">
        <v>2024</v>
      </c>
      <c r="F9436" s="30" t="s">
        <v>2046</v>
      </c>
      <c r="H9436" s="30" t="s">
        <v>2859</v>
      </c>
      <c r="J9436" s="30" t="s">
        <v>3390</v>
      </c>
      <c r="L9436" s="30" t="s">
        <v>3391</v>
      </c>
      <c r="N9436" s="30" t="s">
        <v>3398</v>
      </c>
      <c r="P9436" s="30" t="s">
        <v>3399</v>
      </c>
      <c r="Q9436" t="s">
        <v>621</v>
      </c>
      <c r="R9436" t="s">
        <v>917</v>
      </c>
      <c r="S9436">
        <v>36</v>
      </c>
      <c r="T9436" s="29" t="str">
        <f t="shared" si="400"/>
        <v>2020.095B.R.Leviviricetes.zip</v>
      </c>
      <c r="U9436" s="29" t="str">
        <f>HYPERLINK("https://ictv.global/taxonomy/taxondetails?taxnode_id=202310922","ictv.global=202310922")</f>
        <v>ictv.global=202310922</v>
      </c>
    </row>
    <row r="9437" spans="1:21">
      <c r="A9437">
        <v>9436</v>
      </c>
      <c r="B9437" s="30" t="s">
        <v>1226</v>
      </c>
      <c r="D9437" s="30" t="s">
        <v>2024</v>
      </c>
      <c r="F9437" s="30" t="s">
        <v>2046</v>
      </c>
      <c r="H9437" s="30" t="s">
        <v>2859</v>
      </c>
      <c r="J9437" s="30" t="s">
        <v>3390</v>
      </c>
      <c r="L9437" s="30" t="s">
        <v>3391</v>
      </c>
      <c r="N9437" s="30" t="s">
        <v>3400</v>
      </c>
      <c r="P9437" s="30" t="s">
        <v>3401</v>
      </c>
      <c r="Q9437" t="s">
        <v>621</v>
      </c>
      <c r="R9437" t="s">
        <v>917</v>
      </c>
      <c r="S9437">
        <v>36</v>
      </c>
      <c r="T9437" s="29" t="str">
        <f t="shared" si="400"/>
        <v>2020.095B.R.Leviviricetes.zip</v>
      </c>
      <c r="U9437" s="29" t="str">
        <f>HYPERLINK("https://ictv.global/taxonomy/taxondetails?taxnode_id=202310924","ictv.global=202310924")</f>
        <v>ictv.global=202310924</v>
      </c>
    </row>
    <row r="9438" spans="1:21">
      <c r="A9438">
        <v>9437</v>
      </c>
      <c r="B9438" s="30" t="s">
        <v>1226</v>
      </c>
      <c r="D9438" s="30" t="s">
        <v>2024</v>
      </c>
      <c r="F9438" s="30" t="s">
        <v>2046</v>
      </c>
      <c r="H9438" s="30" t="s">
        <v>2859</v>
      </c>
      <c r="J9438" s="30" t="s">
        <v>3390</v>
      </c>
      <c r="L9438" s="30" t="s">
        <v>3391</v>
      </c>
      <c r="N9438" s="30" t="s">
        <v>3402</v>
      </c>
      <c r="P9438" s="30" t="s">
        <v>3403</v>
      </c>
      <c r="Q9438" t="s">
        <v>621</v>
      </c>
      <c r="R9438" t="s">
        <v>917</v>
      </c>
      <c r="S9438">
        <v>36</v>
      </c>
      <c r="T9438" s="29" t="str">
        <f t="shared" si="400"/>
        <v>2020.095B.R.Leviviricetes.zip</v>
      </c>
      <c r="U9438" s="29" t="str">
        <f>HYPERLINK("https://ictv.global/taxonomy/taxondetails?taxnode_id=202310926","ictv.global=202310926")</f>
        <v>ictv.global=202310926</v>
      </c>
    </row>
    <row r="9439" spans="1:21">
      <c r="A9439">
        <v>9438</v>
      </c>
      <c r="B9439" s="30" t="s">
        <v>1226</v>
      </c>
      <c r="D9439" s="30" t="s">
        <v>2024</v>
      </c>
      <c r="F9439" s="30" t="s">
        <v>2046</v>
      </c>
      <c r="H9439" s="30" t="s">
        <v>2859</v>
      </c>
      <c r="J9439" s="30" t="s">
        <v>3390</v>
      </c>
      <c r="L9439" s="30" t="s">
        <v>3391</v>
      </c>
      <c r="N9439" s="30" t="s">
        <v>3404</v>
      </c>
      <c r="P9439" s="30" t="s">
        <v>3405</v>
      </c>
      <c r="Q9439" t="s">
        <v>621</v>
      </c>
      <c r="R9439" t="s">
        <v>917</v>
      </c>
      <c r="S9439">
        <v>36</v>
      </c>
      <c r="T9439" s="29" t="str">
        <f t="shared" si="400"/>
        <v>2020.095B.R.Leviviricetes.zip</v>
      </c>
      <c r="U9439" s="29" t="str">
        <f>HYPERLINK("https://ictv.global/taxonomy/taxondetails?taxnode_id=202310928","ictv.global=202310928")</f>
        <v>ictv.global=202310928</v>
      </c>
    </row>
    <row r="9440" spans="1:21">
      <c r="A9440">
        <v>9439</v>
      </c>
      <c r="B9440" s="30" t="s">
        <v>1226</v>
      </c>
      <c r="D9440" s="30" t="s">
        <v>2024</v>
      </c>
      <c r="F9440" s="30" t="s">
        <v>2046</v>
      </c>
      <c r="H9440" s="30" t="s">
        <v>2859</v>
      </c>
      <c r="J9440" s="30" t="s">
        <v>3390</v>
      </c>
      <c r="L9440" s="30" t="s">
        <v>3391</v>
      </c>
      <c r="N9440" s="30" t="s">
        <v>3406</v>
      </c>
      <c r="P9440" s="30" t="s">
        <v>3407</v>
      </c>
      <c r="Q9440" t="s">
        <v>621</v>
      </c>
      <c r="R9440" t="s">
        <v>917</v>
      </c>
      <c r="S9440">
        <v>36</v>
      </c>
      <c r="T9440" s="29" t="str">
        <f t="shared" si="400"/>
        <v>2020.095B.R.Leviviricetes.zip</v>
      </c>
      <c r="U9440" s="29" t="str">
        <f>HYPERLINK("https://ictv.global/taxonomy/taxondetails?taxnode_id=202310930","ictv.global=202310930")</f>
        <v>ictv.global=202310930</v>
      </c>
    </row>
    <row r="9441" spans="1:21">
      <c r="A9441">
        <v>9440</v>
      </c>
      <c r="B9441" s="30" t="s">
        <v>1226</v>
      </c>
      <c r="D9441" s="30" t="s">
        <v>2024</v>
      </c>
      <c r="F9441" s="30" t="s">
        <v>2046</v>
      </c>
      <c r="H9441" s="30" t="s">
        <v>2859</v>
      </c>
      <c r="J9441" s="30" t="s">
        <v>3390</v>
      </c>
      <c r="L9441" s="30" t="s">
        <v>3391</v>
      </c>
      <c r="N9441" s="30" t="s">
        <v>15940</v>
      </c>
      <c r="P9441" s="30" t="s">
        <v>15941</v>
      </c>
      <c r="Q9441" t="s">
        <v>621</v>
      </c>
      <c r="R9441" t="s">
        <v>917</v>
      </c>
      <c r="S9441">
        <v>39</v>
      </c>
      <c r="T9441" s="29" t="str">
        <f>HYPERLINK("https://ictv.global/ictv/proposals/2023.001B.Leviviricetes_reorg.zip","2023.001B.Leviviricetes_reorg.zip")</f>
        <v>2023.001B.Leviviricetes_reorg.zip</v>
      </c>
      <c r="U9441" s="29" t="str">
        <f>HYPERLINK("https://ictv.global/taxonomy/taxondetails?taxnode_id=202316826","ictv.global=202316826")</f>
        <v>ictv.global=202316826</v>
      </c>
    </row>
    <row r="9442" spans="1:21">
      <c r="A9442">
        <v>9441</v>
      </c>
      <c r="B9442" s="30" t="s">
        <v>1226</v>
      </c>
      <c r="D9442" s="30" t="s">
        <v>2024</v>
      </c>
      <c r="F9442" s="30" t="s">
        <v>2046</v>
      </c>
      <c r="H9442" s="30" t="s">
        <v>2859</v>
      </c>
      <c r="J9442" s="30" t="s">
        <v>3390</v>
      </c>
      <c r="L9442" s="30" t="s">
        <v>3391</v>
      </c>
      <c r="N9442" s="30" t="s">
        <v>3408</v>
      </c>
      <c r="P9442" s="30" t="s">
        <v>3409</v>
      </c>
      <c r="Q9442" t="s">
        <v>621</v>
      </c>
      <c r="R9442" t="s">
        <v>917</v>
      </c>
      <c r="S9442">
        <v>36</v>
      </c>
      <c r="T9442" s="29" t="str">
        <f t="shared" ref="T9442:T9452" si="401">HYPERLINK("https://ictv.global/ictv/proposals/2020.095B.R.Leviviricetes.zip","2020.095B.R.Leviviricetes.zip")</f>
        <v>2020.095B.R.Leviviricetes.zip</v>
      </c>
      <c r="U9442" s="29" t="str">
        <f>HYPERLINK("https://ictv.global/taxonomy/taxondetails?taxnode_id=202310932","ictv.global=202310932")</f>
        <v>ictv.global=202310932</v>
      </c>
    </row>
    <row r="9443" spans="1:21">
      <c r="A9443">
        <v>9442</v>
      </c>
      <c r="B9443" s="30" t="s">
        <v>1226</v>
      </c>
      <c r="D9443" s="30" t="s">
        <v>2024</v>
      </c>
      <c r="F9443" s="30" t="s">
        <v>2046</v>
      </c>
      <c r="H9443" s="30" t="s">
        <v>2859</v>
      </c>
      <c r="J9443" s="30" t="s">
        <v>3390</v>
      </c>
      <c r="L9443" s="30" t="s">
        <v>3391</v>
      </c>
      <c r="N9443" s="30" t="s">
        <v>3410</v>
      </c>
      <c r="P9443" s="30" t="s">
        <v>3411</v>
      </c>
      <c r="Q9443" t="s">
        <v>621</v>
      </c>
      <c r="R9443" t="s">
        <v>917</v>
      </c>
      <c r="S9443">
        <v>36</v>
      </c>
      <c r="T9443" s="29" t="str">
        <f t="shared" si="401"/>
        <v>2020.095B.R.Leviviricetes.zip</v>
      </c>
      <c r="U9443" s="29" t="str">
        <f>HYPERLINK("https://ictv.global/taxonomy/taxondetails?taxnode_id=202310934","ictv.global=202310934")</f>
        <v>ictv.global=202310934</v>
      </c>
    </row>
    <row r="9444" spans="1:21">
      <c r="A9444">
        <v>9443</v>
      </c>
      <c r="B9444" s="30" t="s">
        <v>1226</v>
      </c>
      <c r="D9444" s="30" t="s">
        <v>2024</v>
      </c>
      <c r="F9444" s="30" t="s">
        <v>2046</v>
      </c>
      <c r="H9444" s="30" t="s">
        <v>2859</v>
      </c>
      <c r="J9444" s="30" t="s">
        <v>3390</v>
      </c>
      <c r="L9444" s="30" t="s">
        <v>3391</v>
      </c>
      <c r="N9444" s="30" t="s">
        <v>3412</v>
      </c>
      <c r="P9444" s="30" t="s">
        <v>3413</v>
      </c>
      <c r="Q9444" t="s">
        <v>621</v>
      </c>
      <c r="R9444" t="s">
        <v>917</v>
      </c>
      <c r="S9444">
        <v>36</v>
      </c>
      <c r="T9444" s="29" t="str">
        <f t="shared" si="401"/>
        <v>2020.095B.R.Leviviricetes.zip</v>
      </c>
      <c r="U9444" s="29" t="str">
        <f>HYPERLINK("https://ictv.global/taxonomy/taxondetails?taxnode_id=202310936","ictv.global=202310936")</f>
        <v>ictv.global=202310936</v>
      </c>
    </row>
    <row r="9445" spans="1:21">
      <c r="A9445">
        <v>9444</v>
      </c>
      <c r="B9445" s="30" t="s">
        <v>1226</v>
      </c>
      <c r="D9445" s="30" t="s">
        <v>2024</v>
      </c>
      <c r="F9445" s="30" t="s">
        <v>2046</v>
      </c>
      <c r="H9445" s="30" t="s">
        <v>2859</v>
      </c>
      <c r="J9445" s="30" t="s">
        <v>3390</v>
      </c>
      <c r="L9445" s="30" t="s">
        <v>3391</v>
      </c>
      <c r="N9445" s="30" t="s">
        <v>3414</v>
      </c>
      <c r="P9445" s="30" t="s">
        <v>3415</v>
      </c>
      <c r="Q9445" t="s">
        <v>621</v>
      </c>
      <c r="R9445" t="s">
        <v>917</v>
      </c>
      <c r="S9445">
        <v>36</v>
      </c>
      <c r="T9445" s="29" t="str">
        <f t="shared" si="401"/>
        <v>2020.095B.R.Leviviricetes.zip</v>
      </c>
      <c r="U9445" s="29" t="str">
        <f>HYPERLINK("https://ictv.global/taxonomy/taxondetails?taxnode_id=202310938","ictv.global=202310938")</f>
        <v>ictv.global=202310938</v>
      </c>
    </row>
    <row r="9446" spans="1:21">
      <c r="A9446">
        <v>9445</v>
      </c>
      <c r="B9446" s="30" t="s">
        <v>1226</v>
      </c>
      <c r="D9446" s="30" t="s">
        <v>2024</v>
      </c>
      <c r="F9446" s="30" t="s">
        <v>2046</v>
      </c>
      <c r="H9446" s="30" t="s">
        <v>2859</v>
      </c>
      <c r="J9446" s="30" t="s">
        <v>3390</v>
      </c>
      <c r="L9446" s="30" t="s">
        <v>3391</v>
      </c>
      <c r="N9446" s="30" t="s">
        <v>3416</v>
      </c>
      <c r="P9446" s="30" t="s">
        <v>3417</v>
      </c>
      <c r="Q9446" t="s">
        <v>621</v>
      </c>
      <c r="R9446" t="s">
        <v>917</v>
      </c>
      <c r="S9446">
        <v>36</v>
      </c>
      <c r="T9446" s="29" t="str">
        <f t="shared" si="401"/>
        <v>2020.095B.R.Leviviricetes.zip</v>
      </c>
      <c r="U9446" s="29" t="str">
        <f>HYPERLINK("https://ictv.global/taxonomy/taxondetails?taxnode_id=202310940","ictv.global=202310940")</f>
        <v>ictv.global=202310940</v>
      </c>
    </row>
    <row r="9447" spans="1:21">
      <c r="A9447">
        <v>9446</v>
      </c>
      <c r="B9447" s="30" t="s">
        <v>1226</v>
      </c>
      <c r="D9447" s="30" t="s">
        <v>2024</v>
      </c>
      <c r="F9447" s="30" t="s">
        <v>2046</v>
      </c>
      <c r="H9447" s="30" t="s">
        <v>2859</v>
      </c>
      <c r="J9447" s="30" t="s">
        <v>3390</v>
      </c>
      <c r="L9447" s="30" t="s">
        <v>3391</v>
      </c>
      <c r="N9447" s="30" t="s">
        <v>3418</v>
      </c>
      <c r="P9447" s="30" t="s">
        <v>3419</v>
      </c>
      <c r="Q9447" t="s">
        <v>621</v>
      </c>
      <c r="R9447" t="s">
        <v>917</v>
      </c>
      <c r="S9447">
        <v>36</v>
      </c>
      <c r="T9447" s="29" t="str">
        <f t="shared" si="401"/>
        <v>2020.095B.R.Leviviricetes.zip</v>
      </c>
      <c r="U9447" s="29" t="str">
        <f>HYPERLINK("https://ictv.global/taxonomy/taxondetails?taxnode_id=202310942","ictv.global=202310942")</f>
        <v>ictv.global=202310942</v>
      </c>
    </row>
    <row r="9448" spans="1:21">
      <c r="A9448">
        <v>9447</v>
      </c>
      <c r="B9448" s="30" t="s">
        <v>1226</v>
      </c>
      <c r="D9448" s="30" t="s">
        <v>2024</v>
      </c>
      <c r="F9448" s="30" t="s">
        <v>2046</v>
      </c>
      <c r="H9448" s="30" t="s">
        <v>2859</v>
      </c>
      <c r="J9448" s="30" t="s">
        <v>3390</v>
      </c>
      <c r="L9448" s="30" t="s">
        <v>3391</v>
      </c>
      <c r="N9448" s="30" t="s">
        <v>3418</v>
      </c>
      <c r="P9448" s="30" t="s">
        <v>3420</v>
      </c>
      <c r="Q9448" t="s">
        <v>621</v>
      </c>
      <c r="R9448" t="s">
        <v>917</v>
      </c>
      <c r="S9448">
        <v>36</v>
      </c>
      <c r="T9448" s="29" t="str">
        <f t="shared" si="401"/>
        <v>2020.095B.R.Leviviricetes.zip</v>
      </c>
      <c r="U9448" s="29" t="str">
        <f>HYPERLINK("https://ictv.global/taxonomy/taxondetails?taxnode_id=202310943","ictv.global=202310943")</f>
        <v>ictv.global=202310943</v>
      </c>
    </row>
    <row r="9449" spans="1:21">
      <c r="A9449">
        <v>9448</v>
      </c>
      <c r="B9449" s="30" t="s">
        <v>1226</v>
      </c>
      <c r="D9449" s="30" t="s">
        <v>2024</v>
      </c>
      <c r="F9449" s="30" t="s">
        <v>2046</v>
      </c>
      <c r="H9449" s="30" t="s">
        <v>2859</v>
      </c>
      <c r="J9449" s="30" t="s">
        <v>3390</v>
      </c>
      <c r="L9449" s="30" t="s">
        <v>3391</v>
      </c>
      <c r="N9449" s="30" t="s">
        <v>3418</v>
      </c>
      <c r="P9449" s="30" t="s">
        <v>3421</v>
      </c>
      <c r="Q9449" t="s">
        <v>621</v>
      </c>
      <c r="R9449" t="s">
        <v>917</v>
      </c>
      <c r="S9449">
        <v>36</v>
      </c>
      <c r="T9449" s="29" t="str">
        <f t="shared" si="401"/>
        <v>2020.095B.R.Leviviricetes.zip</v>
      </c>
      <c r="U9449" s="29" t="str">
        <f>HYPERLINK("https://ictv.global/taxonomy/taxondetails?taxnode_id=202310944","ictv.global=202310944")</f>
        <v>ictv.global=202310944</v>
      </c>
    </row>
    <row r="9450" spans="1:21">
      <c r="A9450">
        <v>9449</v>
      </c>
      <c r="B9450" s="30" t="s">
        <v>1226</v>
      </c>
      <c r="D9450" s="30" t="s">
        <v>2024</v>
      </c>
      <c r="F9450" s="30" t="s">
        <v>2046</v>
      </c>
      <c r="H9450" s="30" t="s">
        <v>2859</v>
      </c>
      <c r="J9450" s="30" t="s">
        <v>3390</v>
      </c>
      <c r="L9450" s="30" t="s">
        <v>3391</v>
      </c>
      <c r="N9450" s="30" t="s">
        <v>3422</v>
      </c>
      <c r="P9450" s="30" t="s">
        <v>3423</v>
      </c>
      <c r="Q9450" t="s">
        <v>621</v>
      </c>
      <c r="R9450" t="s">
        <v>917</v>
      </c>
      <c r="S9450">
        <v>36</v>
      </c>
      <c r="T9450" s="29" t="str">
        <f t="shared" si="401"/>
        <v>2020.095B.R.Leviviricetes.zip</v>
      </c>
      <c r="U9450" s="29" t="str">
        <f>HYPERLINK("https://ictv.global/taxonomy/taxondetails?taxnode_id=202310946","ictv.global=202310946")</f>
        <v>ictv.global=202310946</v>
      </c>
    </row>
    <row r="9451" spans="1:21">
      <c r="A9451">
        <v>9450</v>
      </c>
      <c r="B9451" s="30" t="s">
        <v>1226</v>
      </c>
      <c r="D9451" s="30" t="s">
        <v>2024</v>
      </c>
      <c r="F9451" s="30" t="s">
        <v>2046</v>
      </c>
      <c r="H9451" s="30" t="s">
        <v>2859</v>
      </c>
      <c r="J9451" s="30" t="s">
        <v>3390</v>
      </c>
      <c r="L9451" s="30" t="s">
        <v>3391</v>
      </c>
      <c r="N9451" s="30" t="s">
        <v>3424</v>
      </c>
      <c r="P9451" s="30" t="s">
        <v>3425</v>
      </c>
      <c r="Q9451" t="s">
        <v>621</v>
      </c>
      <c r="R9451" t="s">
        <v>917</v>
      </c>
      <c r="S9451">
        <v>36</v>
      </c>
      <c r="T9451" s="29" t="str">
        <f t="shared" si="401"/>
        <v>2020.095B.R.Leviviricetes.zip</v>
      </c>
      <c r="U9451" s="29" t="str">
        <f>HYPERLINK("https://ictv.global/taxonomy/taxondetails?taxnode_id=202310950","ictv.global=202310950")</f>
        <v>ictv.global=202310950</v>
      </c>
    </row>
    <row r="9452" spans="1:21">
      <c r="A9452">
        <v>9451</v>
      </c>
      <c r="B9452" s="30" t="s">
        <v>1226</v>
      </c>
      <c r="D9452" s="30" t="s">
        <v>2024</v>
      </c>
      <c r="F9452" s="30" t="s">
        <v>2046</v>
      </c>
      <c r="H9452" s="30" t="s">
        <v>2859</v>
      </c>
      <c r="J9452" s="30" t="s">
        <v>3390</v>
      </c>
      <c r="L9452" s="30" t="s">
        <v>3391</v>
      </c>
      <c r="N9452" s="30" t="s">
        <v>3426</v>
      </c>
      <c r="P9452" s="30" t="s">
        <v>3427</v>
      </c>
      <c r="Q9452" t="s">
        <v>621</v>
      </c>
      <c r="R9452" t="s">
        <v>917</v>
      </c>
      <c r="S9452">
        <v>36</v>
      </c>
      <c r="T9452" s="29" t="str">
        <f t="shared" si="401"/>
        <v>2020.095B.R.Leviviricetes.zip</v>
      </c>
      <c r="U9452" s="29" t="str">
        <f>HYPERLINK("https://ictv.global/taxonomy/taxondetails?taxnode_id=202310954","ictv.global=202310954")</f>
        <v>ictv.global=202310954</v>
      </c>
    </row>
    <row r="9453" spans="1:21">
      <c r="A9453">
        <v>9452</v>
      </c>
      <c r="B9453" s="30" t="s">
        <v>1226</v>
      </c>
      <c r="D9453" s="30" t="s">
        <v>2024</v>
      </c>
      <c r="F9453" s="30" t="s">
        <v>2046</v>
      </c>
      <c r="H9453" s="30" t="s">
        <v>2859</v>
      </c>
      <c r="J9453" s="30" t="s">
        <v>3390</v>
      </c>
      <c r="L9453" s="30" t="s">
        <v>3391</v>
      </c>
      <c r="N9453" s="30" t="s">
        <v>15942</v>
      </c>
      <c r="P9453" s="30" t="s">
        <v>15943</v>
      </c>
      <c r="Q9453" t="s">
        <v>621</v>
      </c>
      <c r="R9453" t="s">
        <v>917</v>
      </c>
      <c r="S9453">
        <v>39</v>
      </c>
      <c r="T9453" s="29" t="str">
        <f>HYPERLINK("https://ictv.global/ictv/proposals/2023.001B.Leviviricetes_reorg.zip","2023.001B.Leviviricetes_reorg.zip")</f>
        <v>2023.001B.Leviviricetes_reorg.zip</v>
      </c>
      <c r="U9453" s="29" t="str">
        <f>HYPERLINK("https://ictv.global/taxonomy/taxondetails?taxnode_id=202316827","ictv.global=202316827")</f>
        <v>ictv.global=202316827</v>
      </c>
    </row>
    <row r="9454" spans="1:21">
      <c r="A9454">
        <v>9453</v>
      </c>
      <c r="B9454" s="30" t="s">
        <v>1226</v>
      </c>
      <c r="D9454" s="30" t="s">
        <v>2024</v>
      </c>
      <c r="F9454" s="30" t="s">
        <v>2046</v>
      </c>
      <c r="H9454" s="30" t="s">
        <v>2859</v>
      </c>
      <c r="J9454" s="30" t="s">
        <v>3390</v>
      </c>
      <c r="L9454" s="30" t="s">
        <v>3391</v>
      </c>
      <c r="N9454" s="30" t="s">
        <v>15942</v>
      </c>
      <c r="P9454" s="30" t="s">
        <v>15944</v>
      </c>
      <c r="Q9454" t="s">
        <v>621</v>
      </c>
      <c r="R9454" t="s">
        <v>917</v>
      </c>
      <c r="S9454">
        <v>39</v>
      </c>
      <c r="T9454" s="29" t="str">
        <f>HYPERLINK("https://ictv.global/ictv/proposals/2023.001B.Leviviricetes_reorg.zip","2023.001B.Leviviricetes_reorg.zip")</f>
        <v>2023.001B.Leviviricetes_reorg.zip</v>
      </c>
      <c r="U9454" s="29" t="str">
        <f>HYPERLINK("https://ictv.global/taxonomy/taxondetails?taxnode_id=202316828","ictv.global=202316828")</f>
        <v>ictv.global=202316828</v>
      </c>
    </row>
    <row r="9455" spans="1:21">
      <c r="A9455">
        <v>9454</v>
      </c>
      <c r="B9455" s="30" t="s">
        <v>1226</v>
      </c>
      <c r="D9455" s="30" t="s">
        <v>2024</v>
      </c>
      <c r="F9455" s="30" t="s">
        <v>2046</v>
      </c>
      <c r="H9455" s="30" t="s">
        <v>2859</v>
      </c>
      <c r="J9455" s="30" t="s">
        <v>3390</v>
      </c>
      <c r="L9455" s="30" t="s">
        <v>3391</v>
      </c>
      <c r="N9455" s="30" t="s">
        <v>15942</v>
      </c>
      <c r="P9455" s="30" t="s">
        <v>15945</v>
      </c>
      <c r="Q9455" t="s">
        <v>621</v>
      </c>
      <c r="R9455" t="s">
        <v>917</v>
      </c>
      <c r="S9455">
        <v>39</v>
      </c>
      <c r="T9455" s="29" t="str">
        <f>HYPERLINK("https://ictv.global/ictv/proposals/2023.001B.Leviviricetes_reorg.zip","2023.001B.Leviviricetes_reorg.zip")</f>
        <v>2023.001B.Leviviricetes_reorg.zip</v>
      </c>
      <c r="U9455" s="29" t="str">
        <f>HYPERLINK("https://ictv.global/taxonomy/taxondetails?taxnode_id=202316829","ictv.global=202316829")</f>
        <v>ictv.global=202316829</v>
      </c>
    </row>
    <row r="9456" spans="1:21">
      <c r="A9456">
        <v>9455</v>
      </c>
      <c r="B9456" s="30" t="s">
        <v>1226</v>
      </c>
      <c r="D9456" s="30" t="s">
        <v>2024</v>
      </c>
      <c r="F9456" s="30" t="s">
        <v>2046</v>
      </c>
      <c r="H9456" s="30" t="s">
        <v>2859</v>
      </c>
      <c r="J9456" s="30" t="s">
        <v>3390</v>
      </c>
      <c r="L9456" s="30" t="s">
        <v>3391</v>
      </c>
      <c r="N9456" s="30" t="s">
        <v>15942</v>
      </c>
      <c r="P9456" s="30" t="s">
        <v>15946</v>
      </c>
      <c r="Q9456" t="s">
        <v>621</v>
      </c>
      <c r="R9456" t="s">
        <v>917</v>
      </c>
      <c r="S9456">
        <v>39</v>
      </c>
      <c r="T9456" s="29" t="str">
        <f>HYPERLINK("https://ictv.global/ictv/proposals/2023.001B.Leviviricetes_reorg.zip","2023.001B.Leviviricetes_reorg.zip")</f>
        <v>2023.001B.Leviviricetes_reorg.zip</v>
      </c>
      <c r="U9456" s="29" t="str">
        <f>HYPERLINK("https://ictv.global/taxonomy/taxondetails?taxnode_id=202316830","ictv.global=202316830")</f>
        <v>ictv.global=202316830</v>
      </c>
    </row>
    <row r="9457" spans="1:21">
      <c r="A9457">
        <v>9456</v>
      </c>
      <c r="B9457" s="30" t="s">
        <v>1226</v>
      </c>
      <c r="D9457" s="30" t="s">
        <v>2024</v>
      </c>
      <c r="F9457" s="30" t="s">
        <v>2046</v>
      </c>
      <c r="H9457" s="30" t="s">
        <v>2859</v>
      </c>
      <c r="J9457" s="30" t="s">
        <v>3390</v>
      </c>
      <c r="L9457" s="30" t="s">
        <v>3391</v>
      </c>
      <c r="N9457" s="30" t="s">
        <v>3428</v>
      </c>
      <c r="P9457" s="30" t="s">
        <v>15947</v>
      </c>
      <c r="Q9457" t="s">
        <v>621</v>
      </c>
      <c r="R9457" t="s">
        <v>918</v>
      </c>
      <c r="S9457">
        <v>39</v>
      </c>
      <c r="T9457" s="29" t="str">
        <f>HYPERLINK("https://ictv.global/ictv/proposals/2023.001B.Leviviricetes_reorg.zip","2023.001B.Leviviricetes_reorg.zip")</f>
        <v>2023.001B.Leviviricetes_reorg.zip</v>
      </c>
      <c r="U9457" s="29" t="str">
        <f>HYPERLINK("https://ictv.global/taxonomy/taxondetails?taxnode_id=202310974","ictv.global=202310974")</f>
        <v>ictv.global=202310974</v>
      </c>
    </row>
    <row r="9458" spans="1:21">
      <c r="A9458">
        <v>9457</v>
      </c>
      <c r="B9458" s="30" t="s">
        <v>1226</v>
      </c>
      <c r="D9458" s="30" t="s">
        <v>2024</v>
      </c>
      <c r="F9458" s="30" t="s">
        <v>2046</v>
      </c>
      <c r="H9458" s="30" t="s">
        <v>2859</v>
      </c>
      <c r="J9458" s="30" t="s">
        <v>3390</v>
      </c>
      <c r="L9458" s="30" t="s">
        <v>3391</v>
      </c>
      <c r="N9458" s="30" t="s">
        <v>3428</v>
      </c>
      <c r="P9458" s="30" t="s">
        <v>3429</v>
      </c>
      <c r="Q9458" t="s">
        <v>621</v>
      </c>
      <c r="R9458" t="s">
        <v>917</v>
      </c>
      <c r="S9458">
        <v>36</v>
      </c>
      <c r="T9458" s="29" t="str">
        <f>HYPERLINK("https://ictv.global/ictv/proposals/2020.095B.R.Leviviricetes.zip","2020.095B.R.Leviviricetes.zip")</f>
        <v>2020.095B.R.Leviviricetes.zip</v>
      </c>
      <c r="U9458" s="29" t="str">
        <f>HYPERLINK("https://ictv.global/taxonomy/taxondetails?taxnode_id=202310959","ictv.global=202310959")</f>
        <v>ictv.global=202310959</v>
      </c>
    </row>
    <row r="9459" spans="1:21">
      <c r="A9459">
        <v>9458</v>
      </c>
      <c r="B9459" s="30" t="s">
        <v>1226</v>
      </c>
      <c r="D9459" s="30" t="s">
        <v>2024</v>
      </c>
      <c r="F9459" s="30" t="s">
        <v>2046</v>
      </c>
      <c r="H9459" s="30" t="s">
        <v>2859</v>
      </c>
      <c r="J9459" s="30" t="s">
        <v>3390</v>
      </c>
      <c r="L9459" s="30" t="s">
        <v>3391</v>
      </c>
      <c r="N9459" s="30" t="s">
        <v>3428</v>
      </c>
      <c r="P9459" s="30" t="s">
        <v>15948</v>
      </c>
      <c r="Q9459" t="s">
        <v>621</v>
      </c>
      <c r="R9459" t="s">
        <v>917</v>
      </c>
      <c r="S9459">
        <v>39</v>
      </c>
      <c r="T9459" s="29" t="str">
        <f>HYPERLINK("https://ictv.global/ictv/proposals/2023.001B.Leviviricetes_reorg.zip","2023.001B.Leviviricetes_reorg.zip")</f>
        <v>2023.001B.Leviviricetes_reorg.zip</v>
      </c>
      <c r="U9459" s="29" t="str">
        <f>HYPERLINK("https://ictv.global/taxonomy/taxondetails?taxnode_id=202316831","ictv.global=202316831")</f>
        <v>ictv.global=202316831</v>
      </c>
    </row>
    <row r="9460" spans="1:21">
      <c r="A9460">
        <v>9459</v>
      </c>
      <c r="B9460" s="30" t="s">
        <v>1226</v>
      </c>
      <c r="D9460" s="30" t="s">
        <v>2024</v>
      </c>
      <c r="F9460" s="30" t="s">
        <v>2046</v>
      </c>
      <c r="H9460" s="30" t="s">
        <v>2859</v>
      </c>
      <c r="J9460" s="30" t="s">
        <v>3390</v>
      </c>
      <c r="L9460" s="30" t="s">
        <v>3391</v>
      </c>
      <c r="N9460" s="30" t="s">
        <v>3428</v>
      </c>
      <c r="P9460" s="30" t="s">
        <v>3430</v>
      </c>
      <c r="Q9460" t="s">
        <v>621</v>
      </c>
      <c r="R9460" t="s">
        <v>917</v>
      </c>
      <c r="S9460">
        <v>36</v>
      </c>
      <c r="T9460" s="29" t="str">
        <f>HYPERLINK("https://ictv.global/ictv/proposals/2020.095B.R.Leviviricetes.zip","2020.095B.R.Leviviricetes.zip")</f>
        <v>2020.095B.R.Leviviricetes.zip</v>
      </c>
      <c r="U9460" s="29" t="str">
        <f>HYPERLINK("https://ictv.global/taxonomy/taxondetails?taxnode_id=202310960","ictv.global=202310960")</f>
        <v>ictv.global=202310960</v>
      </c>
    </row>
    <row r="9461" spans="1:21">
      <c r="A9461">
        <v>9460</v>
      </c>
      <c r="B9461" s="30" t="s">
        <v>1226</v>
      </c>
      <c r="D9461" s="30" t="s">
        <v>2024</v>
      </c>
      <c r="F9461" s="30" t="s">
        <v>2046</v>
      </c>
      <c r="H9461" s="30" t="s">
        <v>2859</v>
      </c>
      <c r="J9461" s="30" t="s">
        <v>3390</v>
      </c>
      <c r="L9461" s="30" t="s">
        <v>3391</v>
      </c>
      <c r="N9461" s="30" t="s">
        <v>3428</v>
      </c>
      <c r="P9461" s="30" t="s">
        <v>3431</v>
      </c>
      <c r="Q9461" t="s">
        <v>621</v>
      </c>
      <c r="R9461" t="s">
        <v>917</v>
      </c>
      <c r="S9461">
        <v>36</v>
      </c>
      <c r="T9461" s="29" t="str">
        <f>HYPERLINK("https://ictv.global/ictv/proposals/2020.095B.R.Leviviricetes.zip","2020.095B.R.Leviviricetes.zip")</f>
        <v>2020.095B.R.Leviviricetes.zip</v>
      </c>
      <c r="U9461" s="29" t="str">
        <f>HYPERLINK("https://ictv.global/taxonomy/taxondetails?taxnode_id=202310958","ictv.global=202310958")</f>
        <v>ictv.global=202310958</v>
      </c>
    </row>
    <row r="9462" spans="1:21">
      <c r="A9462">
        <v>9461</v>
      </c>
      <c r="B9462" s="30" t="s">
        <v>1226</v>
      </c>
      <c r="D9462" s="30" t="s">
        <v>2024</v>
      </c>
      <c r="F9462" s="30" t="s">
        <v>2046</v>
      </c>
      <c r="H9462" s="30" t="s">
        <v>2859</v>
      </c>
      <c r="J9462" s="30" t="s">
        <v>3390</v>
      </c>
      <c r="L9462" s="30" t="s">
        <v>3391</v>
      </c>
      <c r="N9462" s="30" t="s">
        <v>3432</v>
      </c>
      <c r="P9462" s="30" t="s">
        <v>3433</v>
      </c>
      <c r="Q9462" t="s">
        <v>621</v>
      </c>
      <c r="R9462" t="s">
        <v>917</v>
      </c>
      <c r="S9462">
        <v>36</v>
      </c>
      <c r="T9462" s="29" t="str">
        <f>HYPERLINK("https://ictv.global/ictv/proposals/2020.095B.R.Leviviricetes.zip","2020.095B.R.Leviviricetes.zip")</f>
        <v>2020.095B.R.Leviviricetes.zip</v>
      </c>
      <c r="U9462" s="29" t="str">
        <f>HYPERLINK("https://ictv.global/taxonomy/taxondetails?taxnode_id=202310962","ictv.global=202310962")</f>
        <v>ictv.global=202310962</v>
      </c>
    </row>
    <row r="9463" spans="1:21">
      <c r="A9463">
        <v>9462</v>
      </c>
      <c r="B9463" s="30" t="s">
        <v>1226</v>
      </c>
      <c r="D9463" s="30" t="s">
        <v>2024</v>
      </c>
      <c r="F9463" s="30" t="s">
        <v>2046</v>
      </c>
      <c r="H9463" s="30" t="s">
        <v>2859</v>
      </c>
      <c r="J9463" s="30" t="s">
        <v>3390</v>
      </c>
      <c r="L9463" s="30" t="s">
        <v>3391</v>
      </c>
      <c r="N9463" s="30" t="s">
        <v>15949</v>
      </c>
      <c r="P9463" s="30" t="s">
        <v>15950</v>
      </c>
      <c r="Q9463" t="s">
        <v>621</v>
      </c>
      <c r="R9463" t="s">
        <v>917</v>
      </c>
      <c r="S9463">
        <v>39</v>
      </c>
      <c r="T9463" s="29" t="str">
        <f>HYPERLINK("https://ictv.global/ictv/proposals/2023.001B.Leviviricetes_reorg.zip","2023.001B.Leviviricetes_reorg.zip")</f>
        <v>2023.001B.Leviviricetes_reorg.zip</v>
      </c>
      <c r="U9463" s="29" t="str">
        <f>HYPERLINK("https://ictv.global/taxonomy/taxondetails?taxnode_id=202316832","ictv.global=202316832")</f>
        <v>ictv.global=202316832</v>
      </c>
    </row>
    <row r="9464" spans="1:21">
      <c r="A9464">
        <v>9463</v>
      </c>
      <c r="B9464" s="30" t="s">
        <v>1226</v>
      </c>
      <c r="D9464" s="30" t="s">
        <v>2024</v>
      </c>
      <c r="F9464" s="30" t="s">
        <v>2046</v>
      </c>
      <c r="H9464" s="30" t="s">
        <v>2859</v>
      </c>
      <c r="J9464" s="30" t="s">
        <v>3390</v>
      </c>
      <c r="L9464" s="30" t="s">
        <v>3391</v>
      </c>
      <c r="N9464" s="30" t="s">
        <v>3434</v>
      </c>
      <c r="P9464" s="30" t="s">
        <v>3435</v>
      </c>
      <c r="Q9464" t="s">
        <v>621</v>
      </c>
      <c r="R9464" t="s">
        <v>917</v>
      </c>
      <c r="S9464">
        <v>36</v>
      </c>
      <c r="T9464" s="29" t="str">
        <f>HYPERLINK("https://ictv.global/ictv/proposals/2020.095B.R.Leviviricetes.zip","2020.095B.R.Leviviricetes.zip")</f>
        <v>2020.095B.R.Leviviricetes.zip</v>
      </c>
      <c r="U9464" s="29" t="str">
        <f>HYPERLINK("https://ictv.global/taxonomy/taxondetails?taxnode_id=202310966","ictv.global=202310966")</f>
        <v>ictv.global=202310966</v>
      </c>
    </row>
    <row r="9465" spans="1:21">
      <c r="A9465">
        <v>9464</v>
      </c>
      <c r="B9465" s="30" t="s">
        <v>1226</v>
      </c>
      <c r="D9465" s="30" t="s">
        <v>2024</v>
      </c>
      <c r="F9465" s="30" t="s">
        <v>2046</v>
      </c>
      <c r="H9465" s="30" t="s">
        <v>2859</v>
      </c>
      <c r="J9465" s="30" t="s">
        <v>3390</v>
      </c>
      <c r="L9465" s="30" t="s">
        <v>3391</v>
      </c>
      <c r="N9465" s="30" t="s">
        <v>3436</v>
      </c>
      <c r="P9465" s="30" t="s">
        <v>3437</v>
      </c>
      <c r="Q9465" t="s">
        <v>621</v>
      </c>
      <c r="R9465" t="s">
        <v>917</v>
      </c>
      <c r="S9465">
        <v>36</v>
      </c>
      <c r="T9465" s="29" t="str">
        <f>HYPERLINK("https://ictv.global/ictv/proposals/2020.095B.R.Leviviricetes.zip","2020.095B.R.Leviviricetes.zip")</f>
        <v>2020.095B.R.Leviviricetes.zip</v>
      </c>
      <c r="U9465" s="29" t="str">
        <f>HYPERLINK("https://ictv.global/taxonomy/taxondetails?taxnode_id=202310970","ictv.global=202310970")</f>
        <v>ictv.global=202310970</v>
      </c>
    </row>
    <row r="9466" spans="1:21">
      <c r="A9466">
        <v>9465</v>
      </c>
      <c r="B9466" s="30" t="s">
        <v>1226</v>
      </c>
      <c r="D9466" s="30" t="s">
        <v>2024</v>
      </c>
      <c r="F9466" s="30" t="s">
        <v>2046</v>
      </c>
      <c r="H9466" s="30" t="s">
        <v>2859</v>
      </c>
      <c r="J9466" s="30" t="s">
        <v>3390</v>
      </c>
      <c r="L9466" s="30" t="s">
        <v>3391</v>
      </c>
      <c r="N9466" s="30" t="s">
        <v>15951</v>
      </c>
      <c r="P9466" s="30" t="s">
        <v>15952</v>
      </c>
      <c r="Q9466" t="s">
        <v>621</v>
      </c>
      <c r="R9466" t="s">
        <v>917</v>
      </c>
      <c r="S9466">
        <v>39</v>
      </c>
      <c r="T9466" s="29" t="str">
        <f>HYPERLINK("https://ictv.global/ictv/proposals/2023.001B.Leviviricetes_reorg.zip","2023.001B.Leviviricetes_reorg.zip")</f>
        <v>2023.001B.Leviviricetes_reorg.zip</v>
      </c>
      <c r="U9466" s="29" t="str">
        <f>HYPERLINK("https://ictv.global/taxonomy/taxondetails?taxnode_id=202316833","ictv.global=202316833")</f>
        <v>ictv.global=202316833</v>
      </c>
    </row>
    <row r="9467" spans="1:21">
      <c r="A9467">
        <v>9466</v>
      </c>
      <c r="B9467" s="30" t="s">
        <v>1226</v>
      </c>
      <c r="D9467" s="30" t="s">
        <v>2024</v>
      </c>
      <c r="F9467" s="30" t="s">
        <v>2046</v>
      </c>
      <c r="H9467" s="30" t="s">
        <v>2859</v>
      </c>
      <c r="J9467" s="30" t="s">
        <v>3390</v>
      </c>
      <c r="L9467" s="30" t="s">
        <v>3391</v>
      </c>
      <c r="N9467" s="30" t="s">
        <v>3438</v>
      </c>
      <c r="P9467" s="30" t="s">
        <v>3439</v>
      </c>
      <c r="Q9467" t="s">
        <v>621</v>
      </c>
      <c r="R9467" t="s">
        <v>917</v>
      </c>
      <c r="S9467">
        <v>36</v>
      </c>
      <c r="T9467" s="29" t="str">
        <f>HYPERLINK("https://ictv.global/ictv/proposals/2020.095B.R.Leviviricetes.zip","2020.095B.R.Leviviricetes.zip")</f>
        <v>2020.095B.R.Leviviricetes.zip</v>
      </c>
      <c r="U9467" s="29" t="str">
        <f>HYPERLINK("https://ictv.global/taxonomy/taxondetails?taxnode_id=202310976","ictv.global=202310976")</f>
        <v>ictv.global=202310976</v>
      </c>
    </row>
    <row r="9468" spans="1:21">
      <c r="A9468">
        <v>9467</v>
      </c>
      <c r="B9468" s="30" t="s">
        <v>1226</v>
      </c>
      <c r="D9468" s="30" t="s">
        <v>2024</v>
      </c>
      <c r="F9468" s="30" t="s">
        <v>2046</v>
      </c>
      <c r="H9468" s="30" t="s">
        <v>2859</v>
      </c>
      <c r="J9468" s="30" t="s">
        <v>3390</v>
      </c>
      <c r="L9468" s="30" t="s">
        <v>3391</v>
      </c>
      <c r="N9468" s="30" t="s">
        <v>3440</v>
      </c>
      <c r="P9468" s="30" t="s">
        <v>3441</v>
      </c>
      <c r="Q9468" t="s">
        <v>621</v>
      </c>
      <c r="R9468" t="s">
        <v>917</v>
      </c>
      <c r="S9468">
        <v>36</v>
      </c>
      <c r="T9468" s="29" t="str">
        <f>HYPERLINK("https://ictv.global/ictv/proposals/2020.095B.R.Leviviricetes.zip","2020.095B.R.Leviviricetes.zip")</f>
        <v>2020.095B.R.Leviviricetes.zip</v>
      </c>
      <c r="U9468" s="29" t="str">
        <f>HYPERLINK("https://ictv.global/taxonomy/taxondetails?taxnode_id=202310978","ictv.global=202310978")</f>
        <v>ictv.global=202310978</v>
      </c>
    </row>
    <row r="9469" spans="1:21">
      <c r="A9469">
        <v>9468</v>
      </c>
      <c r="B9469" s="30" t="s">
        <v>1226</v>
      </c>
      <c r="D9469" s="30" t="s">
        <v>2024</v>
      </c>
      <c r="F9469" s="30" t="s">
        <v>2046</v>
      </c>
      <c r="H9469" s="30" t="s">
        <v>2859</v>
      </c>
      <c r="J9469" s="30" t="s">
        <v>3390</v>
      </c>
      <c r="L9469" s="30" t="s">
        <v>3442</v>
      </c>
      <c r="N9469" s="30" t="s">
        <v>3443</v>
      </c>
      <c r="P9469" s="30" t="s">
        <v>3444</v>
      </c>
      <c r="Q9469" t="s">
        <v>621</v>
      </c>
      <c r="R9469" t="s">
        <v>917</v>
      </c>
      <c r="S9469">
        <v>36</v>
      </c>
      <c r="T9469" s="29" t="str">
        <f>HYPERLINK("https://ictv.global/ictv/proposals/2020.095B.R.Leviviricetes.zip","2020.095B.R.Leviviricetes.zip")</f>
        <v>2020.095B.R.Leviviricetes.zip</v>
      </c>
      <c r="U9469" s="29" t="str">
        <f>HYPERLINK("https://ictv.global/taxonomy/taxondetails?taxnode_id=202310988","ictv.global=202310988")</f>
        <v>ictv.global=202310988</v>
      </c>
    </row>
    <row r="9470" spans="1:21">
      <c r="A9470">
        <v>9469</v>
      </c>
      <c r="B9470" s="30" t="s">
        <v>1226</v>
      </c>
      <c r="D9470" s="30" t="s">
        <v>2024</v>
      </c>
      <c r="F9470" s="30" t="s">
        <v>2046</v>
      </c>
      <c r="H9470" s="30" t="s">
        <v>2859</v>
      </c>
      <c r="J9470" s="30" t="s">
        <v>3390</v>
      </c>
      <c r="L9470" s="30" t="s">
        <v>3442</v>
      </c>
      <c r="N9470" s="30" t="s">
        <v>15953</v>
      </c>
      <c r="P9470" s="30" t="s">
        <v>15954</v>
      </c>
      <c r="Q9470" t="s">
        <v>621</v>
      </c>
      <c r="R9470" t="s">
        <v>917</v>
      </c>
      <c r="S9470">
        <v>39</v>
      </c>
      <c r="T9470" s="29" t="str">
        <f>HYPERLINK("https://ictv.global/ictv/proposals/2023.001B.Leviviricetes_reorg.zip","2023.001B.Leviviricetes_reorg.zip")</f>
        <v>2023.001B.Leviviricetes_reorg.zip</v>
      </c>
      <c r="U9470" s="29" t="str">
        <f>HYPERLINK("https://ictv.global/taxonomy/taxondetails?taxnode_id=202316834","ictv.global=202316834")</f>
        <v>ictv.global=202316834</v>
      </c>
    </row>
    <row r="9471" spans="1:21">
      <c r="A9471">
        <v>9470</v>
      </c>
      <c r="B9471" s="30" t="s">
        <v>1226</v>
      </c>
      <c r="D9471" s="30" t="s">
        <v>2024</v>
      </c>
      <c r="F9471" s="30" t="s">
        <v>2046</v>
      </c>
      <c r="H9471" s="30" t="s">
        <v>2859</v>
      </c>
      <c r="J9471" s="30" t="s">
        <v>3390</v>
      </c>
      <c r="L9471" s="30" t="s">
        <v>3442</v>
      </c>
      <c r="N9471" s="30" t="s">
        <v>3445</v>
      </c>
      <c r="P9471" s="30" t="s">
        <v>3446</v>
      </c>
      <c r="Q9471" t="s">
        <v>621</v>
      </c>
      <c r="R9471" t="s">
        <v>917</v>
      </c>
      <c r="S9471">
        <v>36</v>
      </c>
      <c r="T9471" s="29" t="str">
        <f>HYPERLINK("https://ictv.global/ictv/proposals/2020.095B.R.Leviviricetes.zip","2020.095B.R.Leviviricetes.zip")</f>
        <v>2020.095B.R.Leviviricetes.zip</v>
      </c>
      <c r="U9471" s="29" t="str">
        <f>HYPERLINK("https://ictv.global/taxonomy/taxondetails?taxnode_id=202310993","ictv.global=202310993")</f>
        <v>ictv.global=202310993</v>
      </c>
    </row>
    <row r="9472" spans="1:21">
      <c r="A9472">
        <v>9471</v>
      </c>
      <c r="B9472" s="30" t="s">
        <v>1226</v>
      </c>
      <c r="D9472" s="30" t="s">
        <v>2024</v>
      </c>
      <c r="F9472" s="30" t="s">
        <v>2046</v>
      </c>
      <c r="H9472" s="30" t="s">
        <v>2859</v>
      </c>
      <c r="J9472" s="30" t="s">
        <v>3390</v>
      </c>
      <c r="L9472" s="30" t="s">
        <v>3442</v>
      </c>
      <c r="N9472" s="30" t="s">
        <v>3445</v>
      </c>
      <c r="P9472" s="30" t="s">
        <v>3447</v>
      </c>
      <c r="Q9472" t="s">
        <v>621</v>
      </c>
      <c r="R9472" t="s">
        <v>917</v>
      </c>
      <c r="S9472">
        <v>36</v>
      </c>
      <c r="T9472" s="29" t="str">
        <f>HYPERLINK("https://ictv.global/ictv/proposals/2020.095B.R.Leviviricetes.zip","2020.095B.R.Leviviricetes.zip")</f>
        <v>2020.095B.R.Leviviricetes.zip</v>
      </c>
      <c r="U9472" s="29" t="str">
        <f>HYPERLINK("https://ictv.global/taxonomy/taxondetails?taxnode_id=202310998","ictv.global=202310998")</f>
        <v>ictv.global=202310998</v>
      </c>
    </row>
    <row r="9473" spans="1:21">
      <c r="A9473">
        <v>9472</v>
      </c>
      <c r="B9473" s="30" t="s">
        <v>1226</v>
      </c>
      <c r="D9473" s="30" t="s">
        <v>2024</v>
      </c>
      <c r="F9473" s="30" t="s">
        <v>2046</v>
      </c>
      <c r="H9473" s="30" t="s">
        <v>2859</v>
      </c>
      <c r="J9473" s="30" t="s">
        <v>3390</v>
      </c>
      <c r="L9473" s="30" t="s">
        <v>3442</v>
      </c>
      <c r="N9473" s="30" t="s">
        <v>3445</v>
      </c>
      <c r="P9473" s="30" t="s">
        <v>3448</v>
      </c>
      <c r="Q9473" t="s">
        <v>621</v>
      </c>
      <c r="R9473" t="s">
        <v>917</v>
      </c>
      <c r="S9473">
        <v>36</v>
      </c>
      <c r="T9473" s="29" t="str">
        <f>HYPERLINK("https://ictv.global/ictv/proposals/2020.095B.R.Leviviricetes.zip","2020.095B.R.Leviviricetes.zip")</f>
        <v>2020.095B.R.Leviviricetes.zip</v>
      </c>
      <c r="U9473" s="29" t="str">
        <f>HYPERLINK("https://ictv.global/taxonomy/taxondetails?taxnode_id=202310997","ictv.global=202310997")</f>
        <v>ictv.global=202310997</v>
      </c>
    </row>
    <row r="9474" spans="1:21">
      <c r="A9474">
        <v>9473</v>
      </c>
      <c r="B9474" s="30" t="s">
        <v>1226</v>
      </c>
      <c r="D9474" s="30" t="s">
        <v>2024</v>
      </c>
      <c r="F9474" s="30" t="s">
        <v>2046</v>
      </c>
      <c r="H9474" s="30" t="s">
        <v>2859</v>
      </c>
      <c r="J9474" s="30" t="s">
        <v>3390</v>
      </c>
      <c r="L9474" s="30" t="s">
        <v>3442</v>
      </c>
      <c r="N9474" s="30" t="s">
        <v>3445</v>
      </c>
      <c r="P9474" s="30" t="s">
        <v>3449</v>
      </c>
      <c r="Q9474" t="s">
        <v>621</v>
      </c>
      <c r="R9474" t="s">
        <v>917</v>
      </c>
      <c r="S9474">
        <v>36</v>
      </c>
      <c r="T9474" s="29" t="str">
        <f>HYPERLINK("https://ictv.global/ictv/proposals/2020.095B.R.Leviviricetes.zip","2020.095B.R.Leviviricetes.zip")</f>
        <v>2020.095B.R.Leviviricetes.zip</v>
      </c>
      <c r="U9474" s="29" t="str">
        <f>HYPERLINK("https://ictv.global/taxonomy/taxondetails?taxnode_id=202310999","ictv.global=202310999")</f>
        <v>ictv.global=202310999</v>
      </c>
    </row>
    <row r="9475" spans="1:21">
      <c r="A9475">
        <v>9474</v>
      </c>
      <c r="B9475" s="30" t="s">
        <v>1226</v>
      </c>
      <c r="D9475" s="30" t="s">
        <v>2024</v>
      </c>
      <c r="F9475" s="30" t="s">
        <v>2046</v>
      </c>
      <c r="H9475" s="30" t="s">
        <v>2859</v>
      </c>
      <c r="J9475" s="30" t="s">
        <v>3390</v>
      </c>
      <c r="L9475" s="30" t="s">
        <v>3442</v>
      </c>
      <c r="N9475" s="30" t="s">
        <v>3445</v>
      </c>
      <c r="P9475" s="30" t="s">
        <v>15955</v>
      </c>
      <c r="Q9475" t="s">
        <v>621</v>
      </c>
      <c r="R9475" t="s">
        <v>917</v>
      </c>
      <c r="S9475">
        <v>39</v>
      </c>
      <c r="T9475" s="29" t="str">
        <f t="shared" ref="T9475:T9486" si="402">HYPERLINK("https://ictv.global/ictv/proposals/2023.001B.Leviviricetes_reorg.zip","2023.001B.Leviviricetes_reorg.zip")</f>
        <v>2023.001B.Leviviricetes_reorg.zip</v>
      </c>
      <c r="U9475" s="29" t="str">
        <f>HYPERLINK("https://ictv.global/taxonomy/taxondetails?taxnode_id=202316835","ictv.global=202316835")</f>
        <v>ictv.global=202316835</v>
      </c>
    </row>
    <row r="9476" spans="1:21">
      <c r="A9476">
        <v>9475</v>
      </c>
      <c r="B9476" s="30" t="s">
        <v>1226</v>
      </c>
      <c r="D9476" s="30" t="s">
        <v>2024</v>
      </c>
      <c r="F9476" s="30" t="s">
        <v>2046</v>
      </c>
      <c r="H9476" s="30" t="s">
        <v>2859</v>
      </c>
      <c r="J9476" s="30" t="s">
        <v>3390</v>
      </c>
      <c r="L9476" s="30" t="s">
        <v>3442</v>
      </c>
      <c r="N9476" s="30" t="s">
        <v>3445</v>
      </c>
      <c r="P9476" s="30" t="s">
        <v>15956</v>
      </c>
      <c r="Q9476" t="s">
        <v>621</v>
      </c>
      <c r="R9476" t="s">
        <v>917</v>
      </c>
      <c r="S9476">
        <v>39</v>
      </c>
      <c r="T9476" s="29" t="str">
        <f t="shared" si="402"/>
        <v>2023.001B.Leviviricetes_reorg.zip</v>
      </c>
      <c r="U9476" s="29" t="str">
        <f>HYPERLINK("https://ictv.global/taxonomy/taxondetails?taxnode_id=202316836","ictv.global=202316836")</f>
        <v>ictv.global=202316836</v>
      </c>
    </row>
    <row r="9477" spans="1:21">
      <c r="A9477">
        <v>9476</v>
      </c>
      <c r="B9477" s="30" t="s">
        <v>1226</v>
      </c>
      <c r="D9477" s="30" t="s">
        <v>2024</v>
      </c>
      <c r="F9477" s="30" t="s">
        <v>2046</v>
      </c>
      <c r="H9477" s="30" t="s">
        <v>2859</v>
      </c>
      <c r="J9477" s="30" t="s">
        <v>3390</v>
      </c>
      <c r="L9477" s="30" t="s">
        <v>3442</v>
      </c>
      <c r="N9477" s="30" t="s">
        <v>3445</v>
      </c>
      <c r="P9477" s="30" t="s">
        <v>15957</v>
      </c>
      <c r="Q9477" t="s">
        <v>621</v>
      </c>
      <c r="R9477" t="s">
        <v>917</v>
      </c>
      <c r="S9477">
        <v>39</v>
      </c>
      <c r="T9477" s="29" t="str">
        <f t="shared" si="402"/>
        <v>2023.001B.Leviviricetes_reorg.zip</v>
      </c>
      <c r="U9477" s="29" t="str">
        <f>HYPERLINK("https://ictv.global/taxonomy/taxondetails?taxnode_id=202316837","ictv.global=202316837")</f>
        <v>ictv.global=202316837</v>
      </c>
    </row>
    <row r="9478" spans="1:21">
      <c r="A9478">
        <v>9477</v>
      </c>
      <c r="B9478" s="30" t="s">
        <v>1226</v>
      </c>
      <c r="D9478" s="30" t="s">
        <v>2024</v>
      </c>
      <c r="F9478" s="30" t="s">
        <v>2046</v>
      </c>
      <c r="H9478" s="30" t="s">
        <v>2859</v>
      </c>
      <c r="J9478" s="30" t="s">
        <v>3390</v>
      </c>
      <c r="L9478" s="30" t="s">
        <v>3442</v>
      </c>
      <c r="N9478" s="30" t="s">
        <v>3445</v>
      </c>
      <c r="P9478" s="30" t="s">
        <v>15958</v>
      </c>
      <c r="Q9478" t="s">
        <v>621</v>
      </c>
      <c r="R9478" t="s">
        <v>917</v>
      </c>
      <c r="S9478">
        <v>39</v>
      </c>
      <c r="T9478" s="29" t="str">
        <f t="shared" si="402"/>
        <v>2023.001B.Leviviricetes_reorg.zip</v>
      </c>
      <c r="U9478" s="29" t="str">
        <f>HYPERLINK("https://ictv.global/taxonomy/taxondetails?taxnode_id=202316838","ictv.global=202316838")</f>
        <v>ictv.global=202316838</v>
      </c>
    </row>
    <row r="9479" spans="1:21">
      <c r="A9479">
        <v>9478</v>
      </c>
      <c r="B9479" s="30" t="s">
        <v>1226</v>
      </c>
      <c r="D9479" s="30" t="s">
        <v>2024</v>
      </c>
      <c r="F9479" s="30" t="s">
        <v>2046</v>
      </c>
      <c r="H9479" s="30" t="s">
        <v>2859</v>
      </c>
      <c r="J9479" s="30" t="s">
        <v>3390</v>
      </c>
      <c r="L9479" s="30" t="s">
        <v>3442</v>
      </c>
      <c r="N9479" s="30" t="s">
        <v>3445</v>
      </c>
      <c r="P9479" s="30" t="s">
        <v>15959</v>
      </c>
      <c r="Q9479" t="s">
        <v>621</v>
      </c>
      <c r="R9479" t="s">
        <v>917</v>
      </c>
      <c r="S9479">
        <v>39</v>
      </c>
      <c r="T9479" s="29" t="str">
        <f t="shared" si="402"/>
        <v>2023.001B.Leviviricetes_reorg.zip</v>
      </c>
      <c r="U9479" s="29" t="str">
        <f>HYPERLINK("https://ictv.global/taxonomy/taxondetails?taxnode_id=202316839","ictv.global=202316839")</f>
        <v>ictv.global=202316839</v>
      </c>
    </row>
    <row r="9480" spans="1:21">
      <c r="A9480">
        <v>9479</v>
      </c>
      <c r="B9480" s="30" t="s">
        <v>1226</v>
      </c>
      <c r="D9480" s="30" t="s">
        <v>2024</v>
      </c>
      <c r="F9480" s="30" t="s">
        <v>2046</v>
      </c>
      <c r="H9480" s="30" t="s">
        <v>2859</v>
      </c>
      <c r="J9480" s="30" t="s">
        <v>3390</v>
      </c>
      <c r="L9480" s="30" t="s">
        <v>3442</v>
      </c>
      <c r="N9480" s="30" t="s">
        <v>3445</v>
      </c>
      <c r="P9480" s="30" t="s">
        <v>15960</v>
      </c>
      <c r="Q9480" t="s">
        <v>621</v>
      </c>
      <c r="R9480" t="s">
        <v>917</v>
      </c>
      <c r="S9480">
        <v>39</v>
      </c>
      <c r="T9480" s="29" t="str">
        <f t="shared" si="402"/>
        <v>2023.001B.Leviviricetes_reorg.zip</v>
      </c>
      <c r="U9480" s="29" t="str">
        <f>HYPERLINK("https://ictv.global/taxonomy/taxondetails?taxnode_id=202316840","ictv.global=202316840")</f>
        <v>ictv.global=202316840</v>
      </c>
    </row>
    <row r="9481" spans="1:21">
      <c r="A9481">
        <v>9480</v>
      </c>
      <c r="B9481" s="30" t="s">
        <v>1226</v>
      </c>
      <c r="D9481" s="30" t="s">
        <v>2024</v>
      </c>
      <c r="F9481" s="30" t="s">
        <v>2046</v>
      </c>
      <c r="H9481" s="30" t="s">
        <v>2859</v>
      </c>
      <c r="J9481" s="30" t="s">
        <v>3390</v>
      </c>
      <c r="L9481" s="30" t="s">
        <v>3442</v>
      </c>
      <c r="N9481" s="30" t="s">
        <v>3445</v>
      </c>
      <c r="P9481" s="30" t="s">
        <v>15961</v>
      </c>
      <c r="Q9481" t="s">
        <v>621</v>
      </c>
      <c r="R9481" t="s">
        <v>917</v>
      </c>
      <c r="S9481">
        <v>39</v>
      </c>
      <c r="T9481" s="29" t="str">
        <f t="shared" si="402"/>
        <v>2023.001B.Leviviricetes_reorg.zip</v>
      </c>
      <c r="U9481" s="29" t="str">
        <f>HYPERLINK("https://ictv.global/taxonomy/taxondetails?taxnode_id=202316841","ictv.global=202316841")</f>
        <v>ictv.global=202316841</v>
      </c>
    </row>
    <row r="9482" spans="1:21">
      <c r="A9482">
        <v>9481</v>
      </c>
      <c r="B9482" s="30" t="s">
        <v>1226</v>
      </c>
      <c r="D9482" s="30" t="s">
        <v>2024</v>
      </c>
      <c r="F9482" s="30" t="s">
        <v>2046</v>
      </c>
      <c r="H9482" s="30" t="s">
        <v>2859</v>
      </c>
      <c r="J9482" s="30" t="s">
        <v>3390</v>
      </c>
      <c r="L9482" s="30" t="s">
        <v>3442</v>
      </c>
      <c r="N9482" s="30" t="s">
        <v>3445</v>
      </c>
      <c r="P9482" s="30" t="s">
        <v>15962</v>
      </c>
      <c r="Q9482" t="s">
        <v>621</v>
      </c>
      <c r="R9482" t="s">
        <v>917</v>
      </c>
      <c r="S9482">
        <v>39</v>
      </c>
      <c r="T9482" s="29" t="str">
        <f t="shared" si="402"/>
        <v>2023.001B.Leviviricetes_reorg.zip</v>
      </c>
      <c r="U9482" s="29" t="str">
        <f>HYPERLINK("https://ictv.global/taxonomy/taxondetails?taxnode_id=202316842","ictv.global=202316842")</f>
        <v>ictv.global=202316842</v>
      </c>
    </row>
    <row r="9483" spans="1:21">
      <c r="A9483">
        <v>9482</v>
      </c>
      <c r="B9483" s="30" t="s">
        <v>1226</v>
      </c>
      <c r="D9483" s="30" t="s">
        <v>2024</v>
      </c>
      <c r="F9483" s="30" t="s">
        <v>2046</v>
      </c>
      <c r="H9483" s="30" t="s">
        <v>2859</v>
      </c>
      <c r="J9483" s="30" t="s">
        <v>3390</v>
      </c>
      <c r="L9483" s="30" t="s">
        <v>3442</v>
      </c>
      <c r="N9483" s="30" t="s">
        <v>3445</v>
      </c>
      <c r="P9483" s="30" t="s">
        <v>15963</v>
      </c>
      <c r="Q9483" t="s">
        <v>621</v>
      </c>
      <c r="R9483" t="s">
        <v>917</v>
      </c>
      <c r="S9483">
        <v>39</v>
      </c>
      <c r="T9483" s="29" t="str">
        <f t="shared" si="402"/>
        <v>2023.001B.Leviviricetes_reorg.zip</v>
      </c>
      <c r="U9483" s="29" t="str">
        <f>HYPERLINK("https://ictv.global/taxonomy/taxondetails?taxnode_id=202316843","ictv.global=202316843")</f>
        <v>ictv.global=202316843</v>
      </c>
    </row>
    <row r="9484" spans="1:21">
      <c r="A9484">
        <v>9483</v>
      </c>
      <c r="B9484" s="30" t="s">
        <v>1226</v>
      </c>
      <c r="D9484" s="30" t="s">
        <v>2024</v>
      </c>
      <c r="F9484" s="30" t="s">
        <v>2046</v>
      </c>
      <c r="H9484" s="30" t="s">
        <v>2859</v>
      </c>
      <c r="J9484" s="30" t="s">
        <v>3390</v>
      </c>
      <c r="L9484" s="30" t="s">
        <v>3442</v>
      </c>
      <c r="N9484" s="30" t="s">
        <v>3445</v>
      </c>
      <c r="P9484" s="30" t="s">
        <v>15964</v>
      </c>
      <c r="Q9484" t="s">
        <v>621</v>
      </c>
      <c r="R9484" t="s">
        <v>917</v>
      </c>
      <c r="S9484">
        <v>39</v>
      </c>
      <c r="T9484" s="29" t="str">
        <f t="shared" si="402"/>
        <v>2023.001B.Leviviricetes_reorg.zip</v>
      </c>
      <c r="U9484" s="29" t="str">
        <f>HYPERLINK("https://ictv.global/taxonomy/taxondetails?taxnode_id=202316844","ictv.global=202316844")</f>
        <v>ictv.global=202316844</v>
      </c>
    </row>
    <row r="9485" spans="1:21">
      <c r="A9485">
        <v>9484</v>
      </c>
      <c r="B9485" s="30" t="s">
        <v>1226</v>
      </c>
      <c r="D9485" s="30" t="s">
        <v>2024</v>
      </c>
      <c r="F9485" s="30" t="s">
        <v>2046</v>
      </c>
      <c r="H9485" s="30" t="s">
        <v>2859</v>
      </c>
      <c r="J9485" s="30" t="s">
        <v>3390</v>
      </c>
      <c r="L9485" s="30" t="s">
        <v>3442</v>
      </c>
      <c r="N9485" s="30" t="s">
        <v>3445</v>
      </c>
      <c r="P9485" s="30" t="s">
        <v>15965</v>
      </c>
      <c r="Q9485" t="s">
        <v>621</v>
      </c>
      <c r="R9485" t="s">
        <v>917</v>
      </c>
      <c r="S9485">
        <v>39</v>
      </c>
      <c r="T9485" s="29" t="str">
        <f t="shared" si="402"/>
        <v>2023.001B.Leviviricetes_reorg.zip</v>
      </c>
      <c r="U9485" s="29" t="str">
        <f>HYPERLINK("https://ictv.global/taxonomy/taxondetails?taxnode_id=202316845","ictv.global=202316845")</f>
        <v>ictv.global=202316845</v>
      </c>
    </row>
    <row r="9486" spans="1:21">
      <c r="A9486">
        <v>9485</v>
      </c>
      <c r="B9486" s="30" t="s">
        <v>1226</v>
      </c>
      <c r="D9486" s="30" t="s">
        <v>2024</v>
      </c>
      <c r="F9486" s="30" t="s">
        <v>2046</v>
      </c>
      <c r="H9486" s="30" t="s">
        <v>2859</v>
      </c>
      <c r="J9486" s="30" t="s">
        <v>3390</v>
      </c>
      <c r="L9486" s="30" t="s">
        <v>3442</v>
      </c>
      <c r="N9486" s="30" t="s">
        <v>3445</v>
      </c>
      <c r="P9486" s="30" t="s">
        <v>15966</v>
      </c>
      <c r="Q9486" t="s">
        <v>621</v>
      </c>
      <c r="R9486" t="s">
        <v>918</v>
      </c>
      <c r="S9486">
        <v>39</v>
      </c>
      <c r="T9486" s="29" t="str">
        <f t="shared" si="402"/>
        <v>2023.001B.Leviviricetes_reorg.zip</v>
      </c>
      <c r="U9486" s="29" t="str">
        <f>HYPERLINK("https://ictv.global/taxonomy/taxondetails?taxnode_id=202311306","ictv.global=202311306")</f>
        <v>ictv.global=202311306</v>
      </c>
    </row>
    <row r="9487" spans="1:21">
      <c r="A9487">
        <v>9486</v>
      </c>
      <c r="B9487" s="30" t="s">
        <v>1226</v>
      </c>
      <c r="D9487" s="30" t="s">
        <v>2024</v>
      </c>
      <c r="F9487" s="30" t="s">
        <v>2046</v>
      </c>
      <c r="H9487" s="30" t="s">
        <v>2859</v>
      </c>
      <c r="J9487" s="30" t="s">
        <v>3390</v>
      </c>
      <c r="L9487" s="30" t="s">
        <v>3442</v>
      </c>
      <c r="N9487" s="30" t="s">
        <v>3445</v>
      </c>
      <c r="P9487" s="30" t="s">
        <v>3450</v>
      </c>
      <c r="Q9487" t="s">
        <v>621</v>
      </c>
      <c r="R9487" t="s">
        <v>917</v>
      </c>
      <c r="S9487">
        <v>36</v>
      </c>
      <c r="T9487" s="29" t="str">
        <f>HYPERLINK("https://ictv.global/ictv/proposals/2020.095B.R.Leviviricetes.zip","2020.095B.R.Leviviricetes.zip")</f>
        <v>2020.095B.R.Leviviricetes.zip</v>
      </c>
      <c r="U9487" s="29" t="str">
        <f>HYPERLINK("https://ictv.global/taxonomy/taxondetails?taxnode_id=202310994","ictv.global=202310994")</f>
        <v>ictv.global=202310994</v>
      </c>
    </row>
    <row r="9488" spans="1:21">
      <c r="A9488">
        <v>9487</v>
      </c>
      <c r="B9488" s="30" t="s">
        <v>1226</v>
      </c>
      <c r="D9488" s="30" t="s">
        <v>2024</v>
      </c>
      <c r="F9488" s="30" t="s">
        <v>2046</v>
      </c>
      <c r="H9488" s="30" t="s">
        <v>2859</v>
      </c>
      <c r="J9488" s="30" t="s">
        <v>3390</v>
      </c>
      <c r="L9488" s="30" t="s">
        <v>3442</v>
      </c>
      <c r="N9488" s="30" t="s">
        <v>3445</v>
      </c>
      <c r="P9488" s="30" t="s">
        <v>3451</v>
      </c>
      <c r="Q9488" t="s">
        <v>621</v>
      </c>
      <c r="R9488" t="s">
        <v>917</v>
      </c>
      <c r="S9488">
        <v>36</v>
      </c>
      <c r="T9488" s="29" t="str">
        <f>HYPERLINK("https://ictv.global/ictv/proposals/2020.095B.R.Leviviricetes.zip","2020.095B.R.Leviviricetes.zip")</f>
        <v>2020.095B.R.Leviviricetes.zip</v>
      </c>
      <c r="U9488" s="29" t="str">
        <f>HYPERLINK("https://ictv.global/taxonomy/taxondetails?taxnode_id=202310995","ictv.global=202310995")</f>
        <v>ictv.global=202310995</v>
      </c>
    </row>
    <row r="9489" spans="1:21">
      <c r="A9489">
        <v>9488</v>
      </c>
      <c r="B9489" s="30" t="s">
        <v>1226</v>
      </c>
      <c r="D9489" s="30" t="s">
        <v>2024</v>
      </c>
      <c r="F9489" s="30" t="s">
        <v>2046</v>
      </c>
      <c r="H9489" s="30" t="s">
        <v>2859</v>
      </c>
      <c r="J9489" s="30" t="s">
        <v>3390</v>
      </c>
      <c r="L9489" s="30" t="s">
        <v>3442</v>
      </c>
      <c r="N9489" s="30" t="s">
        <v>3445</v>
      </c>
      <c r="P9489" s="30" t="s">
        <v>3452</v>
      </c>
      <c r="Q9489" t="s">
        <v>621</v>
      </c>
      <c r="R9489" t="s">
        <v>917</v>
      </c>
      <c r="S9489">
        <v>36</v>
      </c>
      <c r="T9489" s="29" t="str">
        <f>HYPERLINK("https://ictv.global/ictv/proposals/2020.095B.R.Leviviricetes.zip","2020.095B.R.Leviviricetes.zip")</f>
        <v>2020.095B.R.Leviviricetes.zip</v>
      </c>
      <c r="U9489" s="29" t="str">
        <f>HYPERLINK("https://ictv.global/taxonomy/taxondetails?taxnode_id=202310990","ictv.global=202310990")</f>
        <v>ictv.global=202310990</v>
      </c>
    </row>
    <row r="9490" spans="1:21">
      <c r="A9490">
        <v>9489</v>
      </c>
      <c r="B9490" s="30" t="s">
        <v>1226</v>
      </c>
      <c r="D9490" s="30" t="s">
        <v>2024</v>
      </c>
      <c r="F9490" s="30" t="s">
        <v>2046</v>
      </c>
      <c r="H9490" s="30" t="s">
        <v>2859</v>
      </c>
      <c r="J9490" s="30" t="s">
        <v>3390</v>
      </c>
      <c r="L9490" s="30" t="s">
        <v>3442</v>
      </c>
      <c r="N9490" s="30" t="s">
        <v>3445</v>
      </c>
      <c r="P9490" s="30" t="s">
        <v>3453</v>
      </c>
      <c r="Q9490" t="s">
        <v>621</v>
      </c>
      <c r="R9490" t="s">
        <v>917</v>
      </c>
      <c r="S9490">
        <v>36</v>
      </c>
      <c r="T9490" s="29" t="str">
        <f>HYPERLINK("https://ictv.global/ictv/proposals/2020.095B.R.Leviviricetes.zip","2020.095B.R.Leviviricetes.zip")</f>
        <v>2020.095B.R.Leviviricetes.zip</v>
      </c>
      <c r="U9490" s="29" t="str">
        <f>HYPERLINK("https://ictv.global/taxonomy/taxondetails?taxnode_id=202310996","ictv.global=202310996")</f>
        <v>ictv.global=202310996</v>
      </c>
    </row>
    <row r="9491" spans="1:21">
      <c r="A9491">
        <v>9490</v>
      </c>
      <c r="B9491" s="30" t="s">
        <v>1226</v>
      </c>
      <c r="D9491" s="30" t="s">
        <v>2024</v>
      </c>
      <c r="F9491" s="30" t="s">
        <v>2046</v>
      </c>
      <c r="H9491" s="30" t="s">
        <v>2859</v>
      </c>
      <c r="J9491" s="30" t="s">
        <v>3390</v>
      </c>
      <c r="L9491" s="30" t="s">
        <v>3442</v>
      </c>
      <c r="N9491" s="30" t="s">
        <v>3445</v>
      </c>
      <c r="P9491" s="30" t="s">
        <v>15967</v>
      </c>
      <c r="Q9491" t="s">
        <v>621</v>
      </c>
      <c r="R9491" t="s">
        <v>918</v>
      </c>
      <c r="S9491">
        <v>39</v>
      </c>
      <c r="T9491" s="29" t="str">
        <f t="shared" ref="T9491:T9505" si="403">HYPERLINK("https://ictv.global/ictv/proposals/2023.001B.Leviviricetes_reorg.zip","2023.001B.Leviviricetes_reorg.zip")</f>
        <v>2023.001B.Leviviricetes_reorg.zip</v>
      </c>
      <c r="U9491" s="29" t="str">
        <f>HYPERLINK("https://ictv.global/taxonomy/taxondetails?taxnode_id=202311105","ictv.global=202311105")</f>
        <v>ictv.global=202311105</v>
      </c>
    </row>
    <row r="9492" spans="1:21">
      <c r="A9492">
        <v>9491</v>
      </c>
      <c r="B9492" s="30" t="s">
        <v>1226</v>
      </c>
      <c r="D9492" s="30" t="s">
        <v>2024</v>
      </c>
      <c r="F9492" s="30" t="s">
        <v>2046</v>
      </c>
      <c r="H9492" s="30" t="s">
        <v>2859</v>
      </c>
      <c r="J9492" s="30" t="s">
        <v>3390</v>
      </c>
      <c r="L9492" s="30" t="s">
        <v>3442</v>
      </c>
      <c r="N9492" s="30" t="s">
        <v>3445</v>
      </c>
      <c r="P9492" s="30" t="s">
        <v>15968</v>
      </c>
      <c r="Q9492" t="s">
        <v>621</v>
      </c>
      <c r="R9492" t="s">
        <v>917</v>
      </c>
      <c r="S9492">
        <v>39</v>
      </c>
      <c r="T9492" s="29" t="str">
        <f t="shared" si="403"/>
        <v>2023.001B.Leviviricetes_reorg.zip</v>
      </c>
      <c r="U9492" s="29" t="str">
        <f>HYPERLINK("https://ictv.global/taxonomy/taxondetails?taxnode_id=202316846","ictv.global=202316846")</f>
        <v>ictv.global=202316846</v>
      </c>
    </row>
    <row r="9493" spans="1:21">
      <c r="A9493">
        <v>9492</v>
      </c>
      <c r="B9493" s="30" t="s">
        <v>1226</v>
      </c>
      <c r="D9493" s="30" t="s">
        <v>2024</v>
      </c>
      <c r="F9493" s="30" t="s">
        <v>2046</v>
      </c>
      <c r="H9493" s="30" t="s">
        <v>2859</v>
      </c>
      <c r="J9493" s="30" t="s">
        <v>3390</v>
      </c>
      <c r="L9493" s="30" t="s">
        <v>3442</v>
      </c>
      <c r="N9493" s="30" t="s">
        <v>3445</v>
      </c>
      <c r="P9493" s="30" t="s">
        <v>15969</v>
      </c>
      <c r="Q9493" t="s">
        <v>621</v>
      </c>
      <c r="R9493" t="s">
        <v>917</v>
      </c>
      <c r="S9493">
        <v>39</v>
      </c>
      <c r="T9493" s="29" t="str">
        <f t="shared" si="403"/>
        <v>2023.001B.Leviviricetes_reorg.zip</v>
      </c>
      <c r="U9493" s="29" t="str">
        <f>HYPERLINK("https://ictv.global/taxonomy/taxondetails?taxnode_id=202316847","ictv.global=202316847")</f>
        <v>ictv.global=202316847</v>
      </c>
    </row>
    <row r="9494" spans="1:21">
      <c r="A9494">
        <v>9493</v>
      </c>
      <c r="B9494" s="30" t="s">
        <v>1226</v>
      </c>
      <c r="D9494" s="30" t="s">
        <v>2024</v>
      </c>
      <c r="F9494" s="30" t="s">
        <v>2046</v>
      </c>
      <c r="H9494" s="30" t="s">
        <v>2859</v>
      </c>
      <c r="J9494" s="30" t="s">
        <v>3390</v>
      </c>
      <c r="L9494" s="30" t="s">
        <v>3442</v>
      </c>
      <c r="N9494" s="30" t="s">
        <v>3445</v>
      </c>
      <c r="P9494" s="30" t="s">
        <v>15970</v>
      </c>
      <c r="Q9494" t="s">
        <v>621</v>
      </c>
      <c r="R9494" t="s">
        <v>917</v>
      </c>
      <c r="S9494">
        <v>39</v>
      </c>
      <c r="T9494" s="29" t="str">
        <f t="shared" si="403"/>
        <v>2023.001B.Leviviricetes_reorg.zip</v>
      </c>
      <c r="U9494" s="29" t="str">
        <f>HYPERLINK("https://ictv.global/taxonomy/taxondetails?taxnode_id=202316848","ictv.global=202316848")</f>
        <v>ictv.global=202316848</v>
      </c>
    </row>
    <row r="9495" spans="1:21">
      <c r="A9495">
        <v>9494</v>
      </c>
      <c r="B9495" s="30" t="s">
        <v>1226</v>
      </c>
      <c r="D9495" s="30" t="s">
        <v>2024</v>
      </c>
      <c r="F9495" s="30" t="s">
        <v>2046</v>
      </c>
      <c r="H9495" s="30" t="s">
        <v>2859</v>
      </c>
      <c r="J9495" s="30" t="s">
        <v>3390</v>
      </c>
      <c r="L9495" s="30" t="s">
        <v>3442</v>
      </c>
      <c r="N9495" s="30" t="s">
        <v>3445</v>
      </c>
      <c r="P9495" s="30" t="s">
        <v>15971</v>
      </c>
      <c r="Q9495" t="s">
        <v>621</v>
      </c>
      <c r="R9495" t="s">
        <v>917</v>
      </c>
      <c r="S9495">
        <v>39</v>
      </c>
      <c r="T9495" s="29" t="str">
        <f t="shared" si="403"/>
        <v>2023.001B.Leviviricetes_reorg.zip</v>
      </c>
      <c r="U9495" s="29" t="str">
        <f>HYPERLINK("https://ictv.global/taxonomy/taxondetails?taxnode_id=202316849","ictv.global=202316849")</f>
        <v>ictv.global=202316849</v>
      </c>
    </row>
    <row r="9496" spans="1:21">
      <c r="A9496">
        <v>9495</v>
      </c>
      <c r="B9496" s="30" t="s">
        <v>1226</v>
      </c>
      <c r="D9496" s="30" t="s">
        <v>2024</v>
      </c>
      <c r="F9496" s="30" t="s">
        <v>2046</v>
      </c>
      <c r="H9496" s="30" t="s">
        <v>2859</v>
      </c>
      <c r="J9496" s="30" t="s">
        <v>3390</v>
      </c>
      <c r="L9496" s="30" t="s">
        <v>3442</v>
      </c>
      <c r="N9496" s="30" t="s">
        <v>3445</v>
      </c>
      <c r="P9496" s="30" t="s">
        <v>15972</v>
      </c>
      <c r="Q9496" t="s">
        <v>621</v>
      </c>
      <c r="R9496" t="s">
        <v>917</v>
      </c>
      <c r="S9496">
        <v>39</v>
      </c>
      <c r="T9496" s="29" t="str">
        <f t="shared" si="403"/>
        <v>2023.001B.Leviviricetes_reorg.zip</v>
      </c>
      <c r="U9496" s="29" t="str">
        <f>HYPERLINK("https://ictv.global/taxonomy/taxondetails?taxnode_id=202316850","ictv.global=202316850")</f>
        <v>ictv.global=202316850</v>
      </c>
    </row>
    <row r="9497" spans="1:21">
      <c r="A9497">
        <v>9496</v>
      </c>
      <c r="B9497" s="30" t="s">
        <v>1226</v>
      </c>
      <c r="D9497" s="30" t="s">
        <v>2024</v>
      </c>
      <c r="F9497" s="30" t="s">
        <v>2046</v>
      </c>
      <c r="H9497" s="30" t="s">
        <v>2859</v>
      </c>
      <c r="J9497" s="30" t="s">
        <v>3390</v>
      </c>
      <c r="L9497" s="30" t="s">
        <v>3442</v>
      </c>
      <c r="N9497" s="30" t="s">
        <v>3445</v>
      </c>
      <c r="P9497" s="30" t="s">
        <v>15973</v>
      </c>
      <c r="Q9497" t="s">
        <v>621</v>
      </c>
      <c r="R9497" t="s">
        <v>917</v>
      </c>
      <c r="S9497">
        <v>39</v>
      </c>
      <c r="T9497" s="29" t="str">
        <f t="shared" si="403"/>
        <v>2023.001B.Leviviricetes_reorg.zip</v>
      </c>
      <c r="U9497" s="29" t="str">
        <f>HYPERLINK("https://ictv.global/taxonomy/taxondetails?taxnode_id=202316851","ictv.global=202316851")</f>
        <v>ictv.global=202316851</v>
      </c>
    </row>
    <row r="9498" spans="1:21">
      <c r="A9498">
        <v>9497</v>
      </c>
      <c r="B9498" s="30" t="s">
        <v>1226</v>
      </c>
      <c r="D9498" s="30" t="s">
        <v>2024</v>
      </c>
      <c r="F9498" s="30" t="s">
        <v>2046</v>
      </c>
      <c r="H9498" s="30" t="s">
        <v>2859</v>
      </c>
      <c r="J9498" s="30" t="s">
        <v>3390</v>
      </c>
      <c r="L9498" s="30" t="s">
        <v>3442</v>
      </c>
      <c r="N9498" s="30" t="s">
        <v>3445</v>
      </c>
      <c r="P9498" s="30" t="s">
        <v>15974</v>
      </c>
      <c r="Q9498" t="s">
        <v>621</v>
      </c>
      <c r="R9498" t="s">
        <v>917</v>
      </c>
      <c r="S9498">
        <v>39</v>
      </c>
      <c r="T9498" s="29" t="str">
        <f t="shared" si="403"/>
        <v>2023.001B.Leviviricetes_reorg.zip</v>
      </c>
      <c r="U9498" s="29" t="str">
        <f>HYPERLINK("https://ictv.global/taxonomy/taxondetails?taxnode_id=202316852","ictv.global=202316852")</f>
        <v>ictv.global=202316852</v>
      </c>
    </row>
    <row r="9499" spans="1:21">
      <c r="A9499">
        <v>9498</v>
      </c>
      <c r="B9499" s="30" t="s">
        <v>1226</v>
      </c>
      <c r="D9499" s="30" t="s">
        <v>2024</v>
      </c>
      <c r="F9499" s="30" t="s">
        <v>2046</v>
      </c>
      <c r="H9499" s="30" t="s">
        <v>2859</v>
      </c>
      <c r="J9499" s="30" t="s">
        <v>3390</v>
      </c>
      <c r="L9499" s="30" t="s">
        <v>3442</v>
      </c>
      <c r="N9499" s="30" t="s">
        <v>3445</v>
      </c>
      <c r="P9499" s="30" t="s">
        <v>15975</v>
      </c>
      <c r="Q9499" t="s">
        <v>621</v>
      </c>
      <c r="R9499" t="s">
        <v>917</v>
      </c>
      <c r="S9499">
        <v>39</v>
      </c>
      <c r="T9499" s="29" t="str">
        <f t="shared" si="403"/>
        <v>2023.001B.Leviviricetes_reorg.zip</v>
      </c>
      <c r="U9499" s="29" t="str">
        <f>HYPERLINK("https://ictv.global/taxonomy/taxondetails?taxnode_id=202316853","ictv.global=202316853")</f>
        <v>ictv.global=202316853</v>
      </c>
    </row>
    <row r="9500" spans="1:21">
      <c r="A9500">
        <v>9499</v>
      </c>
      <c r="B9500" s="30" t="s">
        <v>1226</v>
      </c>
      <c r="D9500" s="30" t="s">
        <v>2024</v>
      </c>
      <c r="F9500" s="30" t="s">
        <v>2046</v>
      </c>
      <c r="H9500" s="30" t="s">
        <v>2859</v>
      </c>
      <c r="J9500" s="30" t="s">
        <v>3390</v>
      </c>
      <c r="L9500" s="30" t="s">
        <v>3442</v>
      </c>
      <c r="N9500" s="30" t="s">
        <v>3445</v>
      </c>
      <c r="P9500" s="30" t="s">
        <v>15976</v>
      </c>
      <c r="Q9500" t="s">
        <v>621</v>
      </c>
      <c r="R9500" t="s">
        <v>917</v>
      </c>
      <c r="S9500">
        <v>39</v>
      </c>
      <c r="T9500" s="29" t="str">
        <f t="shared" si="403"/>
        <v>2023.001B.Leviviricetes_reorg.zip</v>
      </c>
      <c r="U9500" s="29" t="str">
        <f>HYPERLINK("https://ictv.global/taxonomy/taxondetails?taxnode_id=202316854","ictv.global=202316854")</f>
        <v>ictv.global=202316854</v>
      </c>
    </row>
    <row r="9501" spans="1:21">
      <c r="A9501">
        <v>9500</v>
      </c>
      <c r="B9501" s="30" t="s">
        <v>1226</v>
      </c>
      <c r="D9501" s="30" t="s">
        <v>2024</v>
      </c>
      <c r="F9501" s="30" t="s">
        <v>2046</v>
      </c>
      <c r="H9501" s="30" t="s">
        <v>2859</v>
      </c>
      <c r="J9501" s="30" t="s">
        <v>3390</v>
      </c>
      <c r="L9501" s="30" t="s">
        <v>3442</v>
      </c>
      <c r="N9501" s="30" t="s">
        <v>3445</v>
      </c>
      <c r="P9501" s="30" t="s">
        <v>15977</v>
      </c>
      <c r="Q9501" t="s">
        <v>621</v>
      </c>
      <c r="R9501" t="s">
        <v>917</v>
      </c>
      <c r="S9501">
        <v>39</v>
      </c>
      <c r="T9501" s="29" t="str">
        <f t="shared" si="403"/>
        <v>2023.001B.Leviviricetes_reorg.zip</v>
      </c>
      <c r="U9501" s="29" t="str">
        <f>HYPERLINK("https://ictv.global/taxonomy/taxondetails?taxnode_id=202316855","ictv.global=202316855")</f>
        <v>ictv.global=202316855</v>
      </c>
    </row>
    <row r="9502" spans="1:21">
      <c r="A9502">
        <v>9501</v>
      </c>
      <c r="B9502" s="30" t="s">
        <v>1226</v>
      </c>
      <c r="D9502" s="30" t="s">
        <v>2024</v>
      </c>
      <c r="F9502" s="30" t="s">
        <v>2046</v>
      </c>
      <c r="H9502" s="30" t="s">
        <v>2859</v>
      </c>
      <c r="J9502" s="30" t="s">
        <v>3390</v>
      </c>
      <c r="L9502" s="30" t="s">
        <v>3442</v>
      </c>
      <c r="N9502" s="30" t="s">
        <v>3445</v>
      </c>
      <c r="P9502" s="30" t="s">
        <v>15978</v>
      </c>
      <c r="Q9502" t="s">
        <v>621</v>
      </c>
      <c r="R9502" t="s">
        <v>917</v>
      </c>
      <c r="S9502">
        <v>39</v>
      </c>
      <c r="T9502" s="29" t="str">
        <f t="shared" si="403"/>
        <v>2023.001B.Leviviricetes_reorg.zip</v>
      </c>
      <c r="U9502" s="29" t="str">
        <f>HYPERLINK("https://ictv.global/taxonomy/taxondetails?taxnode_id=202316856","ictv.global=202316856")</f>
        <v>ictv.global=202316856</v>
      </c>
    </row>
    <row r="9503" spans="1:21">
      <c r="A9503">
        <v>9502</v>
      </c>
      <c r="B9503" s="30" t="s">
        <v>1226</v>
      </c>
      <c r="D9503" s="30" t="s">
        <v>2024</v>
      </c>
      <c r="F9503" s="30" t="s">
        <v>2046</v>
      </c>
      <c r="H9503" s="30" t="s">
        <v>2859</v>
      </c>
      <c r="J9503" s="30" t="s">
        <v>3390</v>
      </c>
      <c r="L9503" s="30" t="s">
        <v>3442</v>
      </c>
      <c r="N9503" s="30" t="s">
        <v>3445</v>
      </c>
      <c r="P9503" s="30" t="s">
        <v>15979</v>
      </c>
      <c r="Q9503" t="s">
        <v>621</v>
      </c>
      <c r="R9503" t="s">
        <v>917</v>
      </c>
      <c r="S9503">
        <v>39</v>
      </c>
      <c r="T9503" s="29" t="str">
        <f t="shared" si="403"/>
        <v>2023.001B.Leviviricetes_reorg.zip</v>
      </c>
      <c r="U9503" s="29" t="str">
        <f>HYPERLINK("https://ictv.global/taxonomy/taxondetails?taxnode_id=202316857","ictv.global=202316857")</f>
        <v>ictv.global=202316857</v>
      </c>
    </row>
    <row r="9504" spans="1:21">
      <c r="A9504">
        <v>9503</v>
      </c>
      <c r="B9504" s="30" t="s">
        <v>1226</v>
      </c>
      <c r="D9504" s="30" t="s">
        <v>2024</v>
      </c>
      <c r="F9504" s="30" t="s">
        <v>2046</v>
      </c>
      <c r="H9504" s="30" t="s">
        <v>2859</v>
      </c>
      <c r="J9504" s="30" t="s">
        <v>3390</v>
      </c>
      <c r="L9504" s="30" t="s">
        <v>3442</v>
      </c>
      <c r="N9504" s="30" t="s">
        <v>3445</v>
      </c>
      <c r="P9504" s="30" t="s">
        <v>15980</v>
      </c>
      <c r="Q9504" t="s">
        <v>621</v>
      </c>
      <c r="R9504" t="s">
        <v>917</v>
      </c>
      <c r="S9504">
        <v>39</v>
      </c>
      <c r="T9504" s="29" t="str">
        <f t="shared" si="403"/>
        <v>2023.001B.Leviviricetes_reorg.zip</v>
      </c>
      <c r="U9504" s="29" t="str">
        <f>HYPERLINK("https://ictv.global/taxonomy/taxondetails?taxnode_id=202316858","ictv.global=202316858")</f>
        <v>ictv.global=202316858</v>
      </c>
    </row>
    <row r="9505" spans="1:21">
      <c r="A9505">
        <v>9504</v>
      </c>
      <c r="B9505" s="30" t="s">
        <v>1226</v>
      </c>
      <c r="D9505" s="30" t="s">
        <v>2024</v>
      </c>
      <c r="F9505" s="30" t="s">
        <v>2046</v>
      </c>
      <c r="H9505" s="30" t="s">
        <v>2859</v>
      </c>
      <c r="J9505" s="30" t="s">
        <v>3390</v>
      </c>
      <c r="L9505" s="30" t="s">
        <v>3442</v>
      </c>
      <c r="N9505" s="30" t="s">
        <v>3445</v>
      </c>
      <c r="P9505" s="30" t="s">
        <v>15981</v>
      </c>
      <c r="Q9505" t="s">
        <v>621</v>
      </c>
      <c r="R9505" t="s">
        <v>917</v>
      </c>
      <c r="S9505">
        <v>39</v>
      </c>
      <c r="T9505" s="29" t="str">
        <f t="shared" si="403"/>
        <v>2023.001B.Leviviricetes_reorg.zip</v>
      </c>
      <c r="U9505" s="29" t="str">
        <f>HYPERLINK("https://ictv.global/taxonomy/taxondetails?taxnode_id=202316859","ictv.global=202316859")</f>
        <v>ictv.global=202316859</v>
      </c>
    </row>
    <row r="9506" spans="1:21">
      <c r="A9506">
        <v>9505</v>
      </c>
      <c r="B9506" s="30" t="s">
        <v>1226</v>
      </c>
      <c r="D9506" s="30" t="s">
        <v>2024</v>
      </c>
      <c r="F9506" s="30" t="s">
        <v>2046</v>
      </c>
      <c r="H9506" s="30" t="s">
        <v>2859</v>
      </c>
      <c r="J9506" s="30" t="s">
        <v>3390</v>
      </c>
      <c r="L9506" s="30" t="s">
        <v>3442</v>
      </c>
      <c r="N9506" s="30" t="s">
        <v>3445</v>
      </c>
      <c r="P9506" s="30" t="s">
        <v>3454</v>
      </c>
      <c r="Q9506" t="s">
        <v>621</v>
      </c>
      <c r="R9506" t="s">
        <v>917</v>
      </c>
      <c r="S9506">
        <v>36</v>
      </c>
      <c r="T9506" s="29" t="str">
        <f>HYPERLINK("https://ictv.global/ictv/proposals/2020.095B.R.Leviviricetes.zip","2020.095B.R.Leviviricetes.zip")</f>
        <v>2020.095B.R.Leviviricetes.zip</v>
      </c>
      <c r="U9506" s="29" t="str">
        <f>HYPERLINK("https://ictv.global/taxonomy/taxondetails?taxnode_id=202310991","ictv.global=202310991")</f>
        <v>ictv.global=202310991</v>
      </c>
    </row>
    <row r="9507" spans="1:21">
      <c r="A9507">
        <v>9506</v>
      </c>
      <c r="B9507" s="30" t="s">
        <v>1226</v>
      </c>
      <c r="D9507" s="30" t="s">
        <v>2024</v>
      </c>
      <c r="F9507" s="30" t="s">
        <v>2046</v>
      </c>
      <c r="H9507" s="30" t="s">
        <v>2859</v>
      </c>
      <c r="J9507" s="30" t="s">
        <v>3390</v>
      </c>
      <c r="L9507" s="30" t="s">
        <v>3442</v>
      </c>
      <c r="N9507" s="30" t="s">
        <v>3445</v>
      </c>
      <c r="P9507" s="30" t="s">
        <v>3455</v>
      </c>
      <c r="Q9507" t="s">
        <v>621</v>
      </c>
      <c r="R9507" t="s">
        <v>917</v>
      </c>
      <c r="S9507">
        <v>36</v>
      </c>
      <c r="T9507" s="29" t="str">
        <f>HYPERLINK("https://ictv.global/ictv/proposals/2020.095B.R.Leviviricetes.zip","2020.095B.R.Leviviricetes.zip")</f>
        <v>2020.095B.R.Leviviricetes.zip</v>
      </c>
      <c r="U9507" s="29" t="str">
        <f>HYPERLINK("https://ictv.global/taxonomy/taxondetails?taxnode_id=202310992","ictv.global=202310992")</f>
        <v>ictv.global=202310992</v>
      </c>
    </row>
    <row r="9508" spans="1:21">
      <c r="A9508">
        <v>9507</v>
      </c>
      <c r="B9508" s="30" t="s">
        <v>1226</v>
      </c>
      <c r="D9508" s="30" t="s">
        <v>2024</v>
      </c>
      <c r="F9508" s="30" t="s">
        <v>2046</v>
      </c>
      <c r="H9508" s="30" t="s">
        <v>2859</v>
      </c>
      <c r="J9508" s="30" t="s">
        <v>3390</v>
      </c>
      <c r="L9508" s="30" t="s">
        <v>3442</v>
      </c>
      <c r="N9508" s="30" t="s">
        <v>3445</v>
      </c>
      <c r="P9508" s="30" t="s">
        <v>15982</v>
      </c>
      <c r="Q9508" t="s">
        <v>621</v>
      </c>
      <c r="R9508" t="s">
        <v>917</v>
      </c>
      <c r="S9508">
        <v>39</v>
      </c>
      <c r="T9508" s="29" t="str">
        <f t="shared" ref="T9508:T9536" si="404">HYPERLINK("https://ictv.global/ictv/proposals/2023.001B.Leviviricetes_reorg.zip","2023.001B.Leviviricetes_reorg.zip")</f>
        <v>2023.001B.Leviviricetes_reorg.zip</v>
      </c>
      <c r="U9508" s="29" t="str">
        <f>HYPERLINK("https://ictv.global/taxonomy/taxondetails?taxnode_id=202316860","ictv.global=202316860")</f>
        <v>ictv.global=202316860</v>
      </c>
    </row>
    <row r="9509" spans="1:21">
      <c r="A9509">
        <v>9508</v>
      </c>
      <c r="B9509" s="30" t="s">
        <v>1226</v>
      </c>
      <c r="D9509" s="30" t="s">
        <v>2024</v>
      </c>
      <c r="F9509" s="30" t="s">
        <v>2046</v>
      </c>
      <c r="H9509" s="30" t="s">
        <v>2859</v>
      </c>
      <c r="J9509" s="30" t="s">
        <v>3390</v>
      </c>
      <c r="L9509" s="30" t="s">
        <v>3442</v>
      </c>
      <c r="N9509" s="30" t="s">
        <v>3445</v>
      </c>
      <c r="P9509" s="30" t="s">
        <v>15983</v>
      </c>
      <c r="Q9509" t="s">
        <v>621</v>
      </c>
      <c r="R9509" t="s">
        <v>917</v>
      </c>
      <c r="S9509">
        <v>39</v>
      </c>
      <c r="T9509" s="29" t="str">
        <f t="shared" si="404"/>
        <v>2023.001B.Leviviricetes_reorg.zip</v>
      </c>
      <c r="U9509" s="29" t="str">
        <f>HYPERLINK("https://ictv.global/taxonomy/taxondetails?taxnode_id=202316861","ictv.global=202316861")</f>
        <v>ictv.global=202316861</v>
      </c>
    </row>
    <row r="9510" spans="1:21">
      <c r="A9510">
        <v>9509</v>
      </c>
      <c r="B9510" s="30" t="s">
        <v>1226</v>
      </c>
      <c r="D9510" s="30" t="s">
        <v>2024</v>
      </c>
      <c r="F9510" s="30" t="s">
        <v>2046</v>
      </c>
      <c r="H9510" s="30" t="s">
        <v>2859</v>
      </c>
      <c r="J9510" s="30" t="s">
        <v>3390</v>
      </c>
      <c r="L9510" s="30" t="s">
        <v>3442</v>
      </c>
      <c r="N9510" s="30" t="s">
        <v>3445</v>
      </c>
      <c r="P9510" s="30" t="s">
        <v>15984</v>
      </c>
      <c r="Q9510" t="s">
        <v>621</v>
      </c>
      <c r="R9510" t="s">
        <v>917</v>
      </c>
      <c r="S9510">
        <v>39</v>
      </c>
      <c r="T9510" s="29" t="str">
        <f t="shared" si="404"/>
        <v>2023.001B.Leviviricetes_reorg.zip</v>
      </c>
      <c r="U9510" s="29" t="str">
        <f>HYPERLINK("https://ictv.global/taxonomy/taxondetails?taxnode_id=202316862","ictv.global=202316862")</f>
        <v>ictv.global=202316862</v>
      </c>
    </row>
    <row r="9511" spans="1:21">
      <c r="A9511">
        <v>9510</v>
      </c>
      <c r="B9511" s="30" t="s">
        <v>1226</v>
      </c>
      <c r="D9511" s="30" t="s">
        <v>2024</v>
      </c>
      <c r="F9511" s="30" t="s">
        <v>2046</v>
      </c>
      <c r="H9511" s="30" t="s">
        <v>2859</v>
      </c>
      <c r="J9511" s="30" t="s">
        <v>3390</v>
      </c>
      <c r="L9511" s="30" t="s">
        <v>3442</v>
      </c>
      <c r="N9511" s="30" t="s">
        <v>3445</v>
      </c>
      <c r="P9511" s="30" t="s">
        <v>15985</v>
      </c>
      <c r="Q9511" t="s">
        <v>621</v>
      </c>
      <c r="R9511" t="s">
        <v>917</v>
      </c>
      <c r="S9511">
        <v>39</v>
      </c>
      <c r="T9511" s="29" t="str">
        <f t="shared" si="404"/>
        <v>2023.001B.Leviviricetes_reorg.zip</v>
      </c>
      <c r="U9511" s="29" t="str">
        <f>HYPERLINK("https://ictv.global/taxonomy/taxondetails?taxnode_id=202316863","ictv.global=202316863")</f>
        <v>ictv.global=202316863</v>
      </c>
    </row>
    <row r="9512" spans="1:21">
      <c r="A9512">
        <v>9511</v>
      </c>
      <c r="B9512" s="30" t="s">
        <v>1226</v>
      </c>
      <c r="D9512" s="30" t="s">
        <v>2024</v>
      </c>
      <c r="F9512" s="30" t="s">
        <v>2046</v>
      </c>
      <c r="H9512" s="30" t="s">
        <v>2859</v>
      </c>
      <c r="J9512" s="30" t="s">
        <v>3390</v>
      </c>
      <c r="L9512" s="30" t="s">
        <v>3442</v>
      </c>
      <c r="N9512" s="30" t="s">
        <v>3445</v>
      </c>
      <c r="P9512" s="30" t="s">
        <v>15986</v>
      </c>
      <c r="Q9512" t="s">
        <v>621</v>
      </c>
      <c r="R9512" t="s">
        <v>917</v>
      </c>
      <c r="S9512">
        <v>39</v>
      </c>
      <c r="T9512" s="29" t="str">
        <f t="shared" si="404"/>
        <v>2023.001B.Leviviricetes_reorg.zip</v>
      </c>
      <c r="U9512" s="29" t="str">
        <f>HYPERLINK("https://ictv.global/taxonomy/taxondetails?taxnode_id=202316864","ictv.global=202316864")</f>
        <v>ictv.global=202316864</v>
      </c>
    </row>
    <row r="9513" spans="1:21">
      <c r="A9513">
        <v>9512</v>
      </c>
      <c r="B9513" s="30" t="s">
        <v>1226</v>
      </c>
      <c r="D9513" s="30" t="s">
        <v>2024</v>
      </c>
      <c r="F9513" s="30" t="s">
        <v>2046</v>
      </c>
      <c r="H9513" s="30" t="s">
        <v>2859</v>
      </c>
      <c r="J9513" s="30" t="s">
        <v>3390</v>
      </c>
      <c r="L9513" s="30" t="s">
        <v>3442</v>
      </c>
      <c r="N9513" s="30" t="s">
        <v>3445</v>
      </c>
      <c r="P9513" s="30" t="s">
        <v>15987</v>
      </c>
      <c r="Q9513" t="s">
        <v>621</v>
      </c>
      <c r="R9513" t="s">
        <v>917</v>
      </c>
      <c r="S9513">
        <v>39</v>
      </c>
      <c r="T9513" s="29" t="str">
        <f t="shared" si="404"/>
        <v>2023.001B.Leviviricetes_reorg.zip</v>
      </c>
      <c r="U9513" s="29" t="str">
        <f>HYPERLINK("https://ictv.global/taxonomy/taxondetails?taxnode_id=202316865","ictv.global=202316865")</f>
        <v>ictv.global=202316865</v>
      </c>
    </row>
    <row r="9514" spans="1:21">
      <c r="A9514">
        <v>9513</v>
      </c>
      <c r="B9514" s="30" t="s">
        <v>1226</v>
      </c>
      <c r="D9514" s="30" t="s">
        <v>2024</v>
      </c>
      <c r="F9514" s="30" t="s">
        <v>2046</v>
      </c>
      <c r="H9514" s="30" t="s">
        <v>2859</v>
      </c>
      <c r="J9514" s="30" t="s">
        <v>3390</v>
      </c>
      <c r="L9514" s="30" t="s">
        <v>3442</v>
      </c>
      <c r="N9514" s="30" t="s">
        <v>3445</v>
      </c>
      <c r="P9514" s="30" t="s">
        <v>15988</v>
      </c>
      <c r="Q9514" t="s">
        <v>621</v>
      </c>
      <c r="R9514" t="s">
        <v>917</v>
      </c>
      <c r="S9514">
        <v>39</v>
      </c>
      <c r="T9514" s="29" t="str">
        <f t="shared" si="404"/>
        <v>2023.001B.Leviviricetes_reorg.zip</v>
      </c>
      <c r="U9514" s="29" t="str">
        <f>HYPERLINK("https://ictv.global/taxonomy/taxondetails?taxnode_id=202316866","ictv.global=202316866")</f>
        <v>ictv.global=202316866</v>
      </c>
    </row>
    <row r="9515" spans="1:21">
      <c r="A9515">
        <v>9514</v>
      </c>
      <c r="B9515" s="30" t="s">
        <v>1226</v>
      </c>
      <c r="D9515" s="30" t="s">
        <v>2024</v>
      </c>
      <c r="F9515" s="30" t="s">
        <v>2046</v>
      </c>
      <c r="H9515" s="30" t="s">
        <v>2859</v>
      </c>
      <c r="J9515" s="30" t="s">
        <v>3390</v>
      </c>
      <c r="L9515" s="30" t="s">
        <v>3442</v>
      </c>
      <c r="N9515" s="30" t="s">
        <v>3445</v>
      </c>
      <c r="P9515" s="30" t="s">
        <v>15989</v>
      </c>
      <c r="Q9515" t="s">
        <v>621</v>
      </c>
      <c r="R9515" t="s">
        <v>917</v>
      </c>
      <c r="S9515">
        <v>39</v>
      </c>
      <c r="T9515" s="29" t="str">
        <f t="shared" si="404"/>
        <v>2023.001B.Leviviricetes_reorg.zip</v>
      </c>
      <c r="U9515" s="29" t="str">
        <f>HYPERLINK("https://ictv.global/taxonomy/taxondetails?taxnode_id=202316867","ictv.global=202316867")</f>
        <v>ictv.global=202316867</v>
      </c>
    </row>
    <row r="9516" spans="1:21">
      <c r="A9516">
        <v>9515</v>
      </c>
      <c r="B9516" s="30" t="s">
        <v>1226</v>
      </c>
      <c r="D9516" s="30" t="s">
        <v>2024</v>
      </c>
      <c r="F9516" s="30" t="s">
        <v>2046</v>
      </c>
      <c r="H9516" s="30" t="s">
        <v>2859</v>
      </c>
      <c r="J9516" s="30" t="s">
        <v>3390</v>
      </c>
      <c r="L9516" s="30" t="s">
        <v>3442</v>
      </c>
      <c r="N9516" s="30" t="s">
        <v>3445</v>
      </c>
      <c r="P9516" s="30" t="s">
        <v>15990</v>
      </c>
      <c r="Q9516" t="s">
        <v>621</v>
      </c>
      <c r="R9516" t="s">
        <v>917</v>
      </c>
      <c r="S9516">
        <v>39</v>
      </c>
      <c r="T9516" s="29" t="str">
        <f t="shared" si="404"/>
        <v>2023.001B.Leviviricetes_reorg.zip</v>
      </c>
      <c r="U9516" s="29" t="str">
        <f>HYPERLINK("https://ictv.global/taxonomy/taxondetails?taxnode_id=202316868","ictv.global=202316868")</f>
        <v>ictv.global=202316868</v>
      </c>
    </row>
    <row r="9517" spans="1:21">
      <c r="A9517">
        <v>9516</v>
      </c>
      <c r="B9517" s="30" t="s">
        <v>1226</v>
      </c>
      <c r="D9517" s="30" t="s">
        <v>2024</v>
      </c>
      <c r="F9517" s="30" t="s">
        <v>2046</v>
      </c>
      <c r="H9517" s="30" t="s">
        <v>2859</v>
      </c>
      <c r="J9517" s="30" t="s">
        <v>3390</v>
      </c>
      <c r="L9517" s="30" t="s">
        <v>3442</v>
      </c>
      <c r="N9517" s="30" t="s">
        <v>3445</v>
      </c>
      <c r="P9517" s="30" t="s">
        <v>15991</v>
      </c>
      <c r="Q9517" t="s">
        <v>621</v>
      </c>
      <c r="R9517" t="s">
        <v>917</v>
      </c>
      <c r="S9517">
        <v>39</v>
      </c>
      <c r="T9517" s="29" t="str">
        <f t="shared" si="404"/>
        <v>2023.001B.Leviviricetes_reorg.zip</v>
      </c>
      <c r="U9517" s="29" t="str">
        <f>HYPERLINK("https://ictv.global/taxonomy/taxondetails?taxnode_id=202316869","ictv.global=202316869")</f>
        <v>ictv.global=202316869</v>
      </c>
    </row>
    <row r="9518" spans="1:21">
      <c r="A9518">
        <v>9517</v>
      </c>
      <c r="B9518" s="30" t="s">
        <v>1226</v>
      </c>
      <c r="D9518" s="30" t="s">
        <v>2024</v>
      </c>
      <c r="F9518" s="30" t="s">
        <v>2046</v>
      </c>
      <c r="H9518" s="30" t="s">
        <v>2859</v>
      </c>
      <c r="J9518" s="30" t="s">
        <v>3390</v>
      </c>
      <c r="L9518" s="30" t="s">
        <v>3442</v>
      </c>
      <c r="N9518" s="30" t="s">
        <v>3445</v>
      </c>
      <c r="P9518" s="30" t="s">
        <v>15992</v>
      </c>
      <c r="Q9518" t="s">
        <v>621</v>
      </c>
      <c r="R9518" t="s">
        <v>917</v>
      </c>
      <c r="S9518">
        <v>39</v>
      </c>
      <c r="T9518" s="29" t="str">
        <f t="shared" si="404"/>
        <v>2023.001B.Leviviricetes_reorg.zip</v>
      </c>
      <c r="U9518" s="29" t="str">
        <f>HYPERLINK("https://ictv.global/taxonomy/taxondetails?taxnode_id=202316870","ictv.global=202316870")</f>
        <v>ictv.global=202316870</v>
      </c>
    </row>
    <row r="9519" spans="1:21">
      <c r="A9519">
        <v>9518</v>
      </c>
      <c r="B9519" s="30" t="s">
        <v>1226</v>
      </c>
      <c r="D9519" s="30" t="s">
        <v>2024</v>
      </c>
      <c r="F9519" s="30" t="s">
        <v>2046</v>
      </c>
      <c r="H9519" s="30" t="s">
        <v>2859</v>
      </c>
      <c r="J9519" s="30" t="s">
        <v>3390</v>
      </c>
      <c r="L9519" s="30" t="s">
        <v>3442</v>
      </c>
      <c r="N9519" s="30" t="s">
        <v>3445</v>
      </c>
      <c r="P9519" s="30" t="s">
        <v>15993</v>
      </c>
      <c r="Q9519" t="s">
        <v>621</v>
      </c>
      <c r="R9519" t="s">
        <v>918</v>
      </c>
      <c r="S9519">
        <v>39</v>
      </c>
      <c r="T9519" s="29" t="str">
        <f t="shared" si="404"/>
        <v>2023.001B.Leviviricetes_reorg.zip</v>
      </c>
      <c r="U9519" s="29" t="str">
        <f>HYPERLINK("https://ictv.global/taxonomy/taxondetails?taxnode_id=202311018","ictv.global=202311018")</f>
        <v>ictv.global=202311018</v>
      </c>
    </row>
    <row r="9520" spans="1:21">
      <c r="A9520">
        <v>9519</v>
      </c>
      <c r="B9520" s="30" t="s">
        <v>1226</v>
      </c>
      <c r="D9520" s="30" t="s">
        <v>2024</v>
      </c>
      <c r="F9520" s="30" t="s">
        <v>2046</v>
      </c>
      <c r="H9520" s="30" t="s">
        <v>2859</v>
      </c>
      <c r="J9520" s="30" t="s">
        <v>3390</v>
      </c>
      <c r="L9520" s="30" t="s">
        <v>3442</v>
      </c>
      <c r="N9520" s="30" t="s">
        <v>3445</v>
      </c>
      <c r="P9520" s="30" t="s">
        <v>15994</v>
      </c>
      <c r="Q9520" t="s">
        <v>621</v>
      </c>
      <c r="R9520" t="s">
        <v>918</v>
      </c>
      <c r="S9520">
        <v>39</v>
      </c>
      <c r="T9520" s="29" t="str">
        <f t="shared" si="404"/>
        <v>2023.001B.Leviviricetes_reorg.zip</v>
      </c>
      <c r="U9520" s="29" t="str">
        <f>HYPERLINK("https://ictv.global/taxonomy/taxondetails?taxnode_id=202311019","ictv.global=202311019")</f>
        <v>ictv.global=202311019</v>
      </c>
    </row>
    <row r="9521" spans="1:21">
      <c r="A9521">
        <v>9520</v>
      </c>
      <c r="B9521" s="30" t="s">
        <v>1226</v>
      </c>
      <c r="D9521" s="30" t="s">
        <v>2024</v>
      </c>
      <c r="F9521" s="30" t="s">
        <v>2046</v>
      </c>
      <c r="H9521" s="30" t="s">
        <v>2859</v>
      </c>
      <c r="J9521" s="30" t="s">
        <v>3390</v>
      </c>
      <c r="L9521" s="30" t="s">
        <v>3442</v>
      </c>
      <c r="N9521" s="30" t="s">
        <v>3445</v>
      </c>
      <c r="P9521" s="30" t="s">
        <v>15995</v>
      </c>
      <c r="Q9521" t="s">
        <v>621</v>
      </c>
      <c r="R9521" t="s">
        <v>917</v>
      </c>
      <c r="S9521">
        <v>39</v>
      </c>
      <c r="T9521" s="29" t="str">
        <f t="shared" si="404"/>
        <v>2023.001B.Leviviricetes_reorg.zip</v>
      </c>
      <c r="U9521" s="29" t="str">
        <f>HYPERLINK("https://ictv.global/taxonomy/taxondetails?taxnode_id=202316871","ictv.global=202316871")</f>
        <v>ictv.global=202316871</v>
      </c>
    </row>
    <row r="9522" spans="1:21">
      <c r="A9522">
        <v>9521</v>
      </c>
      <c r="B9522" s="30" t="s">
        <v>1226</v>
      </c>
      <c r="D9522" s="30" t="s">
        <v>2024</v>
      </c>
      <c r="F9522" s="30" t="s">
        <v>2046</v>
      </c>
      <c r="H9522" s="30" t="s">
        <v>2859</v>
      </c>
      <c r="J9522" s="30" t="s">
        <v>3390</v>
      </c>
      <c r="L9522" s="30" t="s">
        <v>3442</v>
      </c>
      <c r="N9522" s="30" t="s">
        <v>3445</v>
      </c>
      <c r="P9522" s="30" t="s">
        <v>15996</v>
      </c>
      <c r="Q9522" t="s">
        <v>621</v>
      </c>
      <c r="R9522" t="s">
        <v>918</v>
      </c>
      <c r="S9522">
        <v>39</v>
      </c>
      <c r="T9522" s="29" t="str">
        <f t="shared" si="404"/>
        <v>2023.001B.Leviviricetes_reorg.zip</v>
      </c>
      <c r="U9522" s="29" t="str">
        <f>HYPERLINK("https://ictv.global/taxonomy/taxondetails?taxnode_id=202311305","ictv.global=202311305")</f>
        <v>ictv.global=202311305</v>
      </c>
    </row>
    <row r="9523" spans="1:21">
      <c r="A9523">
        <v>9522</v>
      </c>
      <c r="B9523" s="30" t="s">
        <v>1226</v>
      </c>
      <c r="D9523" s="30" t="s">
        <v>2024</v>
      </c>
      <c r="F9523" s="30" t="s">
        <v>2046</v>
      </c>
      <c r="H9523" s="30" t="s">
        <v>2859</v>
      </c>
      <c r="J9523" s="30" t="s">
        <v>3390</v>
      </c>
      <c r="L9523" s="30" t="s">
        <v>3442</v>
      </c>
      <c r="N9523" s="30" t="s">
        <v>3445</v>
      </c>
      <c r="P9523" s="30" t="s">
        <v>15997</v>
      </c>
      <c r="Q9523" t="s">
        <v>621</v>
      </c>
      <c r="R9523" t="s">
        <v>917</v>
      </c>
      <c r="S9523">
        <v>39</v>
      </c>
      <c r="T9523" s="29" t="str">
        <f t="shared" si="404"/>
        <v>2023.001B.Leviviricetes_reorg.zip</v>
      </c>
      <c r="U9523" s="29" t="str">
        <f>HYPERLINK("https://ictv.global/taxonomy/taxondetails?taxnode_id=202316872","ictv.global=202316872")</f>
        <v>ictv.global=202316872</v>
      </c>
    </row>
    <row r="9524" spans="1:21">
      <c r="A9524">
        <v>9523</v>
      </c>
      <c r="B9524" s="30" t="s">
        <v>1226</v>
      </c>
      <c r="D9524" s="30" t="s">
        <v>2024</v>
      </c>
      <c r="F9524" s="30" t="s">
        <v>2046</v>
      </c>
      <c r="H9524" s="30" t="s">
        <v>2859</v>
      </c>
      <c r="J9524" s="30" t="s">
        <v>3390</v>
      </c>
      <c r="L9524" s="30" t="s">
        <v>3442</v>
      </c>
      <c r="N9524" s="30" t="s">
        <v>3445</v>
      </c>
      <c r="P9524" s="30" t="s">
        <v>15998</v>
      </c>
      <c r="Q9524" t="s">
        <v>621</v>
      </c>
      <c r="R9524" t="s">
        <v>917</v>
      </c>
      <c r="S9524">
        <v>39</v>
      </c>
      <c r="T9524" s="29" t="str">
        <f t="shared" si="404"/>
        <v>2023.001B.Leviviricetes_reorg.zip</v>
      </c>
      <c r="U9524" s="29" t="str">
        <f>HYPERLINK("https://ictv.global/taxonomy/taxondetails?taxnode_id=202316873","ictv.global=202316873")</f>
        <v>ictv.global=202316873</v>
      </c>
    </row>
    <row r="9525" spans="1:21">
      <c r="A9525">
        <v>9524</v>
      </c>
      <c r="B9525" s="30" t="s">
        <v>1226</v>
      </c>
      <c r="D9525" s="30" t="s">
        <v>2024</v>
      </c>
      <c r="F9525" s="30" t="s">
        <v>2046</v>
      </c>
      <c r="H9525" s="30" t="s">
        <v>2859</v>
      </c>
      <c r="J9525" s="30" t="s">
        <v>3390</v>
      </c>
      <c r="L9525" s="30" t="s">
        <v>3442</v>
      </c>
      <c r="N9525" s="30" t="s">
        <v>3445</v>
      </c>
      <c r="P9525" s="30" t="s">
        <v>15999</v>
      </c>
      <c r="Q9525" t="s">
        <v>621</v>
      </c>
      <c r="R9525" t="s">
        <v>917</v>
      </c>
      <c r="S9525">
        <v>39</v>
      </c>
      <c r="T9525" s="29" t="str">
        <f t="shared" si="404"/>
        <v>2023.001B.Leviviricetes_reorg.zip</v>
      </c>
      <c r="U9525" s="29" t="str">
        <f>HYPERLINK("https://ictv.global/taxonomy/taxondetails?taxnode_id=202316874","ictv.global=202316874")</f>
        <v>ictv.global=202316874</v>
      </c>
    </row>
    <row r="9526" spans="1:21">
      <c r="A9526">
        <v>9525</v>
      </c>
      <c r="B9526" s="30" t="s">
        <v>1226</v>
      </c>
      <c r="D9526" s="30" t="s">
        <v>2024</v>
      </c>
      <c r="F9526" s="30" t="s">
        <v>2046</v>
      </c>
      <c r="H9526" s="30" t="s">
        <v>2859</v>
      </c>
      <c r="J9526" s="30" t="s">
        <v>3390</v>
      </c>
      <c r="L9526" s="30" t="s">
        <v>3442</v>
      </c>
      <c r="N9526" s="30" t="s">
        <v>3445</v>
      </c>
      <c r="P9526" s="30" t="s">
        <v>16000</v>
      </c>
      <c r="Q9526" t="s">
        <v>621</v>
      </c>
      <c r="R9526" t="s">
        <v>917</v>
      </c>
      <c r="S9526">
        <v>39</v>
      </c>
      <c r="T9526" s="29" t="str">
        <f t="shared" si="404"/>
        <v>2023.001B.Leviviricetes_reorg.zip</v>
      </c>
      <c r="U9526" s="29" t="str">
        <f>HYPERLINK("https://ictv.global/taxonomy/taxondetails?taxnode_id=202316875","ictv.global=202316875")</f>
        <v>ictv.global=202316875</v>
      </c>
    </row>
    <row r="9527" spans="1:21">
      <c r="A9527">
        <v>9526</v>
      </c>
      <c r="B9527" s="30" t="s">
        <v>1226</v>
      </c>
      <c r="D9527" s="30" t="s">
        <v>2024</v>
      </c>
      <c r="F9527" s="30" t="s">
        <v>2046</v>
      </c>
      <c r="H9527" s="30" t="s">
        <v>2859</v>
      </c>
      <c r="J9527" s="30" t="s">
        <v>3390</v>
      </c>
      <c r="L9527" s="30" t="s">
        <v>3442</v>
      </c>
      <c r="N9527" s="30" t="s">
        <v>3445</v>
      </c>
      <c r="P9527" s="30" t="s">
        <v>16001</v>
      </c>
      <c r="Q9527" t="s">
        <v>621</v>
      </c>
      <c r="R9527" t="s">
        <v>917</v>
      </c>
      <c r="S9527">
        <v>39</v>
      </c>
      <c r="T9527" s="29" t="str">
        <f t="shared" si="404"/>
        <v>2023.001B.Leviviricetes_reorg.zip</v>
      </c>
      <c r="U9527" s="29" t="str">
        <f>HYPERLINK("https://ictv.global/taxonomy/taxondetails?taxnode_id=202316876","ictv.global=202316876")</f>
        <v>ictv.global=202316876</v>
      </c>
    </row>
    <row r="9528" spans="1:21">
      <c r="A9528">
        <v>9527</v>
      </c>
      <c r="B9528" s="30" t="s">
        <v>1226</v>
      </c>
      <c r="D9528" s="30" t="s">
        <v>2024</v>
      </c>
      <c r="F9528" s="30" t="s">
        <v>2046</v>
      </c>
      <c r="H9528" s="30" t="s">
        <v>2859</v>
      </c>
      <c r="J9528" s="30" t="s">
        <v>3390</v>
      </c>
      <c r="L9528" s="30" t="s">
        <v>3442</v>
      </c>
      <c r="N9528" s="30" t="s">
        <v>3445</v>
      </c>
      <c r="P9528" s="30" t="s">
        <v>16002</v>
      </c>
      <c r="Q9528" t="s">
        <v>621</v>
      </c>
      <c r="R9528" t="s">
        <v>917</v>
      </c>
      <c r="S9528">
        <v>39</v>
      </c>
      <c r="T9528" s="29" t="str">
        <f t="shared" si="404"/>
        <v>2023.001B.Leviviricetes_reorg.zip</v>
      </c>
      <c r="U9528" s="29" t="str">
        <f>HYPERLINK("https://ictv.global/taxonomy/taxondetails?taxnode_id=202316877","ictv.global=202316877")</f>
        <v>ictv.global=202316877</v>
      </c>
    </row>
    <row r="9529" spans="1:21">
      <c r="A9529">
        <v>9528</v>
      </c>
      <c r="B9529" s="30" t="s">
        <v>1226</v>
      </c>
      <c r="D9529" s="30" t="s">
        <v>2024</v>
      </c>
      <c r="F9529" s="30" t="s">
        <v>2046</v>
      </c>
      <c r="H9529" s="30" t="s">
        <v>2859</v>
      </c>
      <c r="J9529" s="30" t="s">
        <v>3390</v>
      </c>
      <c r="L9529" s="30" t="s">
        <v>3442</v>
      </c>
      <c r="N9529" s="30" t="s">
        <v>3445</v>
      </c>
      <c r="P9529" s="30" t="s">
        <v>16003</v>
      </c>
      <c r="Q9529" t="s">
        <v>621</v>
      </c>
      <c r="R9529" t="s">
        <v>917</v>
      </c>
      <c r="S9529">
        <v>39</v>
      </c>
      <c r="T9529" s="29" t="str">
        <f t="shared" si="404"/>
        <v>2023.001B.Leviviricetes_reorg.zip</v>
      </c>
      <c r="U9529" s="29" t="str">
        <f>HYPERLINK("https://ictv.global/taxonomy/taxondetails?taxnode_id=202316878","ictv.global=202316878")</f>
        <v>ictv.global=202316878</v>
      </c>
    </row>
    <row r="9530" spans="1:21">
      <c r="A9530">
        <v>9529</v>
      </c>
      <c r="B9530" s="30" t="s">
        <v>1226</v>
      </c>
      <c r="D9530" s="30" t="s">
        <v>2024</v>
      </c>
      <c r="F9530" s="30" t="s">
        <v>2046</v>
      </c>
      <c r="H9530" s="30" t="s">
        <v>2859</v>
      </c>
      <c r="J9530" s="30" t="s">
        <v>3390</v>
      </c>
      <c r="L9530" s="30" t="s">
        <v>3442</v>
      </c>
      <c r="N9530" s="30" t="s">
        <v>3445</v>
      </c>
      <c r="P9530" s="30" t="s">
        <v>16004</v>
      </c>
      <c r="Q9530" t="s">
        <v>621</v>
      </c>
      <c r="R9530" t="s">
        <v>917</v>
      </c>
      <c r="S9530">
        <v>39</v>
      </c>
      <c r="T9530" s="29" t="str">
        <f t="shared" si="404"/>
        <v>2023.001B.Leviviricetes_reorg.zip</v>
      </c>
      <c r="U9530" s="29" t="str">
        <f>HYPERLINK("https://ictv.global/taxonomy/taxondetails?taxnode_id=202316879","ictv.global=202316879")</f>
        <v>ictv.global=202316879</v>
      </c>
    </row>
    <row r="9531" spans="1:21">
      <c r="A9531">
        <v>9530</v>
      </c>
      <c r="B9531" s="30" t="s">
        <v>1226</v>
      </c>
      <c r="D9531" s="30" t="s">
        <v>2024</v>
      </c>
      <c r="F9531" s="30" t="s">
        <v>2046</v>
      </c>
      <c r="H9531" s="30" t="s">
        <v>2859</v>
      </c>
      <c r="J9531" s="30" t="s">
        <v>3390</v>
      </c>
      <c r="L9531" s="30" t="s">
        <v>3442</v>
      </c>
      <c r="N9531" s="30" t="s">
        <v>3445</v>
      </c>
      <c r="P9531" s="30" t="s">
        <v>16005</v>
      </c>
      <c r="Q9531" t="s">
        <v>621</v>
      </c>
      <c r="R9531" t="s">
        <v>917</v>
      </c>
      <c r="S9531">
        <v>39</v>
      </c>
      <c r="T9531" s="29" t="str">
        <f t="shared" si="404"/>
        <v>2023.001B.Leviviricetes_reorg.zip</v>
      </c>
      <c r="U9531" s="29" t="str">
        <f>HYPERLINK("https://ictv.global/taxonomy/taxondetails?taxnode_id=202316880","ictv.global=202316880")</f>
        <v>ictv.global=202316880</v>
      </c>
    </row>
    <row r="9532" spans="1:21">
      <c r="A9532">
        <v>9531</v>
      </c>
      <c r="B9532" s="30" t="s">
        <v>1226</v>
      </c>
      <c r="D9532" s="30" t="s">
        <v>2024</v>
      </c>
      <c r="F9532" s="30" t="s">
        <v>2046</v>
      </c>
      <c r="H9532" s="30" t="s">
        <v>2859</v>
      </c>
      <c r="J9532" s="30" t="s">
        <v>3390</v>
      </c>
      <c r="L9532" s="30" t="s">
        <v>3442</v>
      </c>
      <c r="N9532" s="30" t="s">
        <v>3445</v>
      </c>
      <c r="P9532" s="30" t="s">
        <v>16006</v>
      </c>
      <c r="Q9532" t="s">
        <v>621</v>
      </c>
      <c r="R9532" t="s">
        <v>917</v>
      </c>
      <c r="S9532">
        <v>39</v>
      </c>
      <c r="T9532" s="29" t="str">
        <f t="shared" si="404"/>
        <v>2023.001B.Leviviricetes_reorg.zip</v>
      </c>
      <c r="U9532" s="29" t="str">
        <f>HYPERLINK("https://ictv.global/taxonomy/taxondetails?taxnode_id=202316881","ictv.global=202316881")</f>
        <v>ictv.global=202316881</v>
      </c>
    </row>
    <row r="9533" spans="1:21">
      <c r="A9533">
        <v>9532</v>
      </c>
      <c r="B9533" s="30" t="s">
        <v>1226</v>
      </c>
      <c r="D9533" s="30" t="s">
        <v>2024</v>
      </c>
      <c r="F9533" s="30" t="s">
        <v>2046</v>
      </c>
      <c r="H9533" s="30" t="s">
        <v>2859</v>
      </c>
      <c r="J9533" s="30" t="s">
        <v>3390</v>
      </c>
      <c r="L9533" s="30" t="s">
        <v>3442</v>
      </c>
      <c r="N9533" s="30" t="s">
        <v>3445</v>
      </c>
      <c r="P9533" s="30" t="s">
        <v>16007</v>
      </c>
      <c r="Q9533" t="s">
        <v>621</v>
      </c>
      <c r="R9533" t="s">
        <v>917</v>
      </c>
      <c r="S9533">
        <v>39</v>
      </c>
      <c r="T9533" s="29" t="str">
        <f t="shared" si="404"/>
        <v>2023.001B.Leviviricetes_reorg.zip</v>
      </c>
      <c r="U9533" s="29" t="str">
        <f>HYPERLINK("https://ictv.global/taxonomy/taxondetails?taxnode_id=202316882","ictv.global=202316882")</f>
        <v>ictv.global=202316882</v>
      </c>
    </row>
    <row r="9534" spans="1:21">
      <c r="A9534">
        <v>9533</v>
      </c>
      <c r="B9534" s="30" t="s">
        <v>1226</v>
      </c>
      <c r="D9534" s="30" t="s">
        <v>2024</v>
      </c>
      <c r="F9534" s="30" t="s">
        <v>2046</v>
      </c>
      <c r="H9534" s="30" t="s">
        <v>2859</v>
      </c>
      <c r="J9534" s="30" t="s">
        <v>3390</v>
      </c>
      <c r="L9534" s="30" t="s">
        <v>3442</v>
      </c>
      <c r="N9534" s="30" t="s">
        <v>3445</v>
      </c>
      <c r="P9534" s="30" t="s">
        <v>16008</v>
      </c>
      <c r="Q9534" t="s">
        <v>621</v>
      </c>
      <c r="R9534" t="s">
        <v>917</v>
      </c>
      <c r="S9534">
        <v>39</v>
      </c>
      <c r="T9534" s="29" t="str">
        <f t="shared" si="404"/>
        <v>2023.001B.Leviviricetes_reorg.zip</v>
      </c>
      <c r="U9534" s="29" t="str">
        <f>HYPERLINK("https://ictv.global/taxonomy/taxondetails?taxnode_id=202316883","ictv.global=202316883")</f>
        <v>ictv.global=202316883</v>
      </c>
    </row>
    <row r="9535" spans="1:21">
      <c r="A9535">
        <v>9534</v>
      </c>
      <c r="B9535" s="30" t="s">
        <v>1226</v>
      </c>
      <c r="D9535" s="30" t="s">
        <v>2024</v>
      </c>
      <c r="F9535" s="30" t="s">
        <v>2046</v>
      </c>
      <c r="H9535" s="30" t="s">
        <v>2859</v>
      </c>
      <c r="J9535" s="30" t="s">
        <v>3390</v>
      </c>
      <c r="L9535" s="30" t="s">
        <v>3442</v>
      </c>
      <c r="N9535" s="30" t="s">
        <v>16009</v>
      </c>
      <c r="P9535" s="30" t="s">
        <v>16010</v>
      </c>
      <c r="Q9535" t="s">
        <v>621</v>
      </c>
      <c r="R9535" t="s">
        <v>917</v>
      </c>
      <c r="S9535">
        <v>39</v>
      </c>
      <c r="T9535" s="29" t="str">
        <f t="shared" si="404"/>
        <v>2023.001B.Leviviricetes_reorg.zip</v>
      </c>
      <c r="U9535" s="29" t="str">
        <f>HYPERLINK("https://ictv.global/taxonomy/taxondetails?taxnode_id=202316884","ictv.global=202316884")</f>
        <v>ictv.global=202316884</v>
      </c>
    </row>
    <row r="9536" spans="1:21">
      <c r="A9536">
        <v>9535</v>
      </c>
      <c r="B9536" s="30" t="s">
        <v>1226</v>
      </c>
      <c r="D9536" s="30" t="s">
        <v>2024</v>
      </c>
      <c r="F9536" s="30" t="s">
        <v>2046</v>
      </c>
      <c r="H9536" s="30" t="s">
        <v>2859</v>
      </c>
      <c r="J9536" s="30" t="s">
        <v>3390</v>
      </c>
      <c r="L9536" s="30" t="s">
        <v>3442</v>
      </c>
      <c r="N9536" s="30" t="s">
        <v>16011</v>
      </c>
      <c r="P9536" s="30" t="s">
        <v>16012</v>
      </c>
      <c r="Q9536" t="s">
        <v>621</v>
      </c>
      <c r="R9536" t="s">
        <v>917</v>
      </c>
      <c r="S9536">
        <v>39</v>
      </c>
      <c r="T9536" s="29" t="str">
        <f t="shared" si="404"/>
        <v>2023.001B.Leviviricetes_reorg.zip</v>
      </c>
      <c r="U9536" s="29" t="str">
        <f>HYPERLINK("https://ictv.global/taxonomy/taxondetails?taxnode_id=202316885","ictv.global=202316885")</f>
        <v>ictv.global=202316885</v>
      </c>
    </row>
    <row r="9537" spans="1:21">
      <c r="A9537">
        <v>9536</v>
      </c>
      <c r="B9537" s="30" t="s">
        <v>1226</v>
      </c>
      <c r="D9537" s="30" t="s">
        <v>2024</v>
      </c>
      <c r="F9537" s="30" t="s">
        <v>2046</v>
      </c>
      <c r="H9537" s="30" t="s">
        <v>2859</v>
      </c>
      <c r="J9537" s="30" t="s">
        <v>3390</v>
      </c>
      <c r="L9537" s="30" t="s">
        <v>3442</v>
      </c>
      <c r="N9537" s="30" t="s">
        <v>3456</v>
      </c>
      <c r="P9537" s="30" t="s">
        <v>3457</v>
      </c>
      <c r="Q9537" t="s">
        <v>621</v>
      </c>
      <c r="R9537" t="s">
        <v>917</v>
      </c>
      <c r="S9537">
        <v>36</v>
      </c>
      <c r="T9537" s="29" t="str">
        <f>HYPERLINK("https://ictv.global/ictv/proposals/2020.095B.R.Leviviricetes.zip","2020.095B.R.Leviviricetes.zip")</f>
        <v>2020.095B.R.Leviviricetes.zip</v>
      </c>
      <c r="U9537" s="29" t="str">
        <f>HYPERLINK("https://ictv.global/taxonomy/taxondetails?taxnode_id=202311021","ictv.global=202311021")</f>
        <v>ictv.global=202311021</v>
      </c>
    </row>
    <row r="9538" spans="1:21">
      <c r="A9538">
        <v>9537</v>
      </c>
      <c r="B9538" s="30" t="s">
        <v>1226</v>
      </c>
      <c r="D9538" s="30" t="s">
        <v>2024</v>
      </c>
      <c r="F9538" s="30" t="s">
        <v>2046</v>
      </c>
      <c r="H9538" s="30" t="s">
        <v>2859</v>
      </c>
      <c r="J9538" s="30" t="s">
        <v>3390</v>
      </c>
      <c r="L9538" s="30" t="s">
        <v>3442</v>
      </c>
      <c r="N9538" s="30" t="s">
        <v>3456</v>
      </c>
      <c r="P9538" s="30" t="s">
        <v>16013</v>
      </c>
      <c r="Q9538" t="s">
        <v>621</v>
      </c>
      <c r="R9538" t="s">
        <v>917</v>
      </c>
      <c r="S9538">
        <v>39</v>
      </c>
      <c r="T9538" s="29" t="str">
        <f t="shared" ref="T9538:T9557" si="405">HYPERLINK("https://ictv.global/ictv/proposals/2023.001B.Leviviricetes_reorg.zip","2023.001B.Leviviricetes_reorg.zip")</f>
        <v>2023.001B.Leviviricetes_reorg.zip</v>
      </c>
      <c r="U9538" s="29" t="str">
        <f>HYPERLINK("https://ictv.global/taxonomy/taxondetails?taxnode_id=202316886","ictv.global=202316886")</f>
        <v>ictv.global=202316886</v>
      </c>
    </row>
    <row r="9539" spans="1:21">
      <c r="A9539">
        <v>9538</v>
      </c>
      <c r="B9539" s="30" t="s">
        <v>1226</v>
      </c>
      <c r="D9539" s="30" t="s">
        <v>2024</v>
      </c>
      <c r="F9539" s="30" t="s">
        <v>2046</v>
      </c>
      <c r="H9539" s="30" t="s">
        <v>2859</v>
      </c>
      <c r="J9539" s="30" t="s">
        <v>3390</v>
      </c>
      <c r="L9539" s="30" t="s">
        <v>3442</v>
      </c>
      <c r="N9539" s="30" t="s">
        <v>3456</v>
      </c>
      <c r="P9539" s="30" t="s">
        <v>16014</v>
      </c>
      <c r="Q9539" t="s">
        <v>621</v>
      </c>
      <c r="R9539" t="s">
        <v>917</v>
      </c>
      <c r="S9539">
        <v>39</v>
      </c>
      <c r="T9539" s="29" t="str">
        <f t="shared" si="405"/>
        <v>2023.001B.Leviviricetes_reorg.zip</v>
      </c>
      <c r="U9539" s="29" t="str">
        <f>HYPERLINK("https://ictv.global/taxonomy/taxondetails?taxnode_id=202316887","ictv.global=202316887")</f>
        <v>ictv.global=202316887</v>
      </c>
    </row>
    <row r="9540" spans="1:21">
      <c r="A9540">
        <v>9539</v>
      </c>
      <c r="B9540" s="30" t="s">
        <v>1226</v>
      </c>
      <c r="D9540" s="30" t="s">
        <v>2024</v>
      </c>
      <c r="F9540" s="30" t="s">
        <v>2046</v>
      </c>
      <c r="H9540" s="30" t="s">
        <v>2859</v>
      </c>
      <c r="J9540" s="30" t="s">
        <v>3390</v>
      </c>
      <c r="L9540" s="30" t="s">
        <v>3442</v>
      </c>
      <c r="N9540" s="30" t="s">
        <v>3456</v>
      </c>
      <c r="P9540" s="30" t="s">
        <v>16015</v>
      </c>
      <c r="Q9540" t="s">
        <v>621</v>
      </c>
      <c r="R9540" t="s">
        <v>917</v>
      </c>
      <c r="S9540">
        <v>39</v>
      </c>
      <c r="T9540" s="29" t="str">
        <f t="shared" si="405"/>
        <v>2023.001B.Leviviricetes_reorg.zip</v>
      </c>
      <c r="U9540" s="29" t="str">
        <f>HYPERLINK("https://ictv.global/taxonomy/taxondetails?taxnode_id=202316888","ictv.global=202316888")</f>
        <v>ictv.global=202316888</v>
      </c>
    </row>
    <row r="9541" spans="1:21">
      <c r="A9541">
        <v>9540</v>
      </c>
      <c r="B9541" s="30" t="s">
        <v>1226</v>
      </c>
      <c r="D9541" s="30" t="s">
        <v>2024</v>
      </c>
      <c r="F9541" s="30" t="s">
        <v>2046</v>
      </c>
      <c r="H9541" s="30" t="s">
        <v>2859</v>
      </c>
      <c r="J9541" s="30" t="s">
        <v>3390</v>
      </c>
      <c r="L9541" s="30" t="s">
        <v>3442</v>
      </c>
      <c r="N9541" s="30" t="s">
        <v>3456</v>
      </c>
      <c r="P9541" s="30" t="s">
        <v>16016</v>
      </c>
      <c r="Q9541" t="s">
        <v>621</v>
      </c>
      <c r="R9541" t="s">
        <v>917</v>
      </c>
      <c r="S9541">
        <v>39</v>
      </c>
      <c r="T9541" s="29" t="str">
        <f t="shared" si="405"/>
        <v>2023.001B.Leviviricetes_reorg.zip</v>
      </c>
      <c r="U9541" s="29" t="str">
        <f>HYPERLINK("https://ictv.global/taxonomy/taxondetails?taxnode_id=202316889","ictv.global=202316889")</f>
        <v>ictv.global=202316889</v>
      </c>
    </row>
    <row r="9542" spans="1:21">
      <c r="A9542">
        <v>9541</v>
      </c>
      <c r="B9542" s="30" t="s">
        <v>1226</v>
      </c>
      <c r="D9542" s="30" t="s">
        <v>2024</v>
      </c>
      <c r="F9542" s="30" t="s">
        <v>2046</v>
      </c>
      <c r="H9542" s="30" t="s">
        <v>2859</v>
      </c>
      <c r="J9542" s="30" t="s">
        <v>3390</v>
      </c>
      <c r="L9542" s="30" t="s">
        <v>3442</v>
      </c>
      <c r="N9542" s="30" t="s">
        <v>16017</v>
      </c>
      <c r="P9542" s="30" t="s">
        <v>16018</v>
      </c>
      <c r="Q9542" t="s">
        <v>621</v>
      </c>
      <c r="R9542" t="s">
        <v>918</v>
      </c>
      <c r="S9542">
        <v>39</v>
      </c>
      <c r="T9542" s="29" t="str">
        <f t="shared" si="405"/>
        <v>2023.001B.Leviviricetes_reorg.zip</v>
      </c>
      <c r="U9542" s="29" t="str">
        <f>HYPERLINK("https://ictv.global/taxonomy/taxondetails?taxnode_id=202311361","ictv.global=202311361")</f>
        <v>ictv.global=202311361</v>
      </c>
    </row>
    <row r="9543" spans="1:21">
      <c r="A9543">
        <v>9542</v>
      </c>
      <c r="B9543" s="30" t="s">
        <v>1226</v>
      </c>
      <c r="D9543" s="30" t="s">
        <v>2024</v>
      </c>
      <c r="F9543" s="30" t="s">
        <v>2046</v>
      </c>
      <c r="H9543" s="30" t="s">
        <v>2859</v>
      </c>
      <c r="J9543" s="30" t="s">
        <v>3390</v>
      </c>
      <c r="L9543" s="30" t="s">
        <v>3442</v>
      </c>
      <c r="N9543" s="30" t="s">
        <v>16019</v>
      </c>
      <c r="P9543" s="30" t="s">
        <v>16020</v>
      </c>
      <c r="Q9543" t="s">
        <v>621</v>
      </c>
      <c r="R9543" t="s">
        <v>917</v>
      </c>
      <c r="S9543">
        <v>39</v>
      </c>
      <c r="T9543" s="29" t="str">
        <f t="shared" si="405"/>
        <v>2023.001B.Leviviricetes_reorg.zip</v>
      </c>
      <c r="U9543" s="29" t="str">
        <f>HYPERLINK("https://ictv.global/taxonomy/taxondetails?taxnode_id=202316890","ictv.global=202316890")</f>
        <v>ictv.global=202316890</v>
      </c>
    </row>
    <row r="9544" spans="1:21">
      <c r="A9544">
        <v>9543</v>
      </c>
      <c r="B9544" s="30" t="s">
        <v>1226</v>
      </c>
      <c r="D9544" s="30" t="s">
        <v>2024</v>
      </c>
      <c r="F9544" s="30" t="s">
        <v>2046</v>
      </c>
      <c r="H9544" s="30" t="s">
        <v>2859</v>
      </c>
      <c r="J9544" s="30" t="s">
        <v>3390</v>
      </c>
      <c r="L9544" s="30" t="s">
        <v>3442</v>
      </c>
      <c r="N9544" s="30" t="s">
        <v>16021</v>
      </c>
      <c r="P9544" s="30" t="s">
        <v>16022</v>
      </c>
      <c r="Q9544" t="s">
        <v>621</v>
      </c>
      <c r="R9544" t="s">
        <v>917</v>
      </c>
      <c r="S9544">
        <v>39</v>
      </c>
      <c r="T9544" s="29" t="str">
        <f t="shared" si="405"/>
        <v>2023.001B.Leviviricetes_reorg.zip</v>
      </c>
      <c r="U9544" s="29" t="str">
        <f>HYPERLINK("https://ictv.global/taxonomy/taxondetails?taxnode_id=202316891","ictv.global=202316891")</f>
        <v>ictv.global=202316891</v>
      </c>
    </row>
    <row r="9545" spans="1:21">
      <c r="A9545">
        <v>9544</v>
      </c>
      <c r="B9545" s="30" t="s">
        <v>1226</v>
      </c>
      <c r="D9545" s="30" t="s">
        <v>2024</v>
      </c>
      <c r="F9545" s="30" t="s">
        <v>2046</v>
      </c>
      <c r="H9545" s="30" t="s">
        <v>2859</v>
      </c>
      <c r="J9545" s="30" t="s">
        <v>3390</v>
      </c>
      <c r="L9545" s="30" t="s">
        <v>3442</v>
      </c>
      <c r="N9545" s="30" t="s">
        <v>16021</v>
      </c>
      <c r="P9545" s="30" t="s">
        <v>16023</v>
      </c>
      <c r="Q9545" t="s">
        <v>621</v>
      </c>
      <c r="R9545" t="s">
        <v>917</v>
      </c>
      <c r="S9545">
        <v>39</v>
      </c>
      <c r="T9545" s="29" t="str">
        <f t="shared" si="405"/>
        <v>2023.001B.Leviviricetes_reorg.zip</v>
      </c>
      <c r="U9545" s="29" t="str">
        <f>HYPERLINK("https://ictv.global/taxonomy/taxondetails?taxnode_id=202316892","ictv.global=202316892")</f>
        <v>ictv.global=202316892</v>
      </c>
    </row>
    <row r="9546" spans="1:21">
      <c r="A9546">
        <v>9545</v>
      </c>
      <c r="B9546" s="30" t="s">
        <v>1226</v>
      </c>
      <c r="D9546" s="30" t="s">
        <v>2024</v>
      </c>
      <c r="F9546" s="30" t="s">
        <v>2046</v>
      </c>
      <c r="H9546" s="30" t="s">
        <v>2859</v>
      </c>
      <c r="J9546" s="30" t="s">
        <v>3390</v>
      </c>
      <c r="L9546" s="30" t="s">
        <v>3442</v>
      </c>
      <c r="N9546" s="30" t="s">
        <v>16021</v>
      </c>
      <c r="P9546" s="30" t="s">
        <v>16024</v>
      </c>
      <c r="Q9546" t="s">
        <v>621</v>
      </c>
      <c r="R9546" t="s">
        <v>917</v>
      </c>
      <c r="S9546">
        <v>39</v>
      </c>
      <c r="T9546" s="29" t="str">
        <f t="shared" si="405"/>
        <v>2023.001B.Leviviricetes_reorg.zip</v>
      </c>
      <c r="U9546" s="29" t="str">
        <f>HYPERLINK("https://ictv.global/taxonomy/taxondetails?taxnode_id=202316893","ictv.global=202316893")</f>
        <v>ictv.global=202316893</v>
      </c>
    </row>
    <row r="9547" spans="1:21">
      <c r="A9547">
        <v>9546</v>
      </c>
      <c r="B9547" s="30" t="s">
        <v>1226</v>
      </c>
      <c r="D9547" s="30" t="s">
        <v>2024</v>
      </c>
      <c r="F9547" s="30" t="s">
        <v>2046</v>
      </c>
      <c r="H9547" s="30" t="s">
        <v>2859</v>
      </c>
      <c r="J9547" s="30" t="s">
        <v>3390</v>
      </c>
      <c r="L9547" s="30" t="s">
        <v>3442</v>
      </c>
      <c r="N9547" s="30" t="s">
        <v>16021</v>
      </c>
      <c r="P9547" s="30" t="s">
        <v>16025</v>
      </c>
      <c r="Q9547" t="s">
        <v>621</v>
      </c>
      <c r="R9547" t="s">
        <v>917</v>
      </c>
      <c r="S9547">
        <v>39</v>
      </c>
      <c r="T9547" s="29" t="str">
        <f t="shared" si="405"/>
        <v>2023.001B.Leviviricetes_reorg.zip</v>
      </c>
      <c r="U9547" s="29" t="str">
        <f>HYPERLINK("https://ictv.global/taxonomy/taxondetails?taxnode_id=202316894","ictv.global=202316894")</f>
        <v>ictv.global=202316894</v>
      </c>
    </row>
    <row r="9548" spans="1:21">
      <c r="A9548">
        <v>9547</v>
      </c>
      <c r="B9548" s="30" t="s">
        <v>1226</v>
      </c>
      <c r="D9548" s="30" t="s">
        <v>2024</v>
      </c>
      <c r="F9548" s="30" t="s">
        <v>2046</v>
      </c>
      <c r="H9548" s="30" t="s">
        <v>2859</v>
      </c>
      <c r="J9548" s="30" t="s">
        <v>3390</v>
      </c>
      <c r="L9548" s="30" t="s">
        <v>3442</v>
      </c>
      <c r="N9548" s="30" t="s">
        <v>16021</v>
      </c>
      <c r="P9548" s="30" t="s">
        <v>16026</v>
      </c>
      <c r="Q9548" t="s">
        <v>621</v>
      </c>
      <c r="R9548" t="s">
        <v>917</v>
      </c>
      <c r="S9548">
        <v>39</v>
      </c>
      <c r="T9548" s="29" t="str">
        <f t="shared" si="405"/>
        <v>2023.001B.Leviviricetes_reorg.zip</v>
      </c>
      <c r="U9548" s="29" t="str">
        <f>HYPERLINK("https://ictv.global/taxonomy/taxondetails?taxnode_id=202316895","ictv.global=202316895")</f>
        <v>ictv.global=202316895</v>
      </c>
    </row>
    <row r="9549" spans="1:21">
      <c r="A9549">
        <v>9548</v>
      </c>
      <c r="B9549" s="30" t="s">
        <v>1226</v>
      </c>
      <c r="D9549" s="30" t="s">
        <v>2024</v>
      </c>
      <c r="F9549" s="30" t="s">
        <v>2046</v>
      </c>
      <c r="H9549" s="30" t="s">
        <v>2859</v>
      </c>
      <c r="J9549" s="30" t="s">
        <v>3390</v>
      </c>
      <c r="L9549" s="30" t="s">
        <v>3442</v>
      </c>
      <c r="N9549" s="30" t="s">
        <v>16021</v>
      </c>
      <c r="P9549" s="30" t="s">
        <v>16027</v>
      </c>
      <c r="Q9549" t="s">
        <v>621</v>
      </c>
      <c r="R9549" t="s">
        <v>917</v>
      </c>
      <c r="S9549">
        <v>39</v>
      </c>
      <c r="T9549" s="29" t="str">
        <f t="shared" si="405"/>
        <v>2023.001B.Leviviricetes_reorg.zip</v>
      </c>
      <c r="U9549" s="29" t="str">
        <f>HYPERLINK("https://ictv.global/taxonomy/taxondetails?taxnode_id=202316896","ictv.global=202316896")</f>
        <v>ictv.global=202316896</v>
      </c>
    </row>
    <row r="9550" spans="1:21">
      <c r="A9550">
        <v>9549</v>
      </c>
      <c r="B9550" s="30" t="s">
        <v>1226</v>
      </c>
      <c r="D9550" s="30" t="s">
        <v>2024</v>
      </c>
      <c r="F9550" s="30" t="s">
        <v>2046</v>
      </c>
      <c r="H9550" s="30" t="s">
        <v>2859</v>
      </c>
      <c r="J9550" s="30" t="s">
        <v>3390</v>
      </c>
      <c r="L9550" s="30" t="s">
        <v>3442</v>
      </c>
      <c r="N9550" s="30" t="s">
        <v>16028</v>
      </c>
      <c r="P9550" s="30" t="s">
        <v>16029</v>
      </c>
      <c r="Q9550" t="s">
        <v>621</v>
      </c>
      <c r="R9550" t="s">
        <v>917</v>
      </c>
      <c r="S9550">
        <v>39</v>
      </c>
      <c r="T9550" s="29" t="str">
        <f t="shared" si="405"/>
        <v>2023.001B.Leviviricetes_reorg.zip</v>
      </c>
      <c r="U9550" s="29" t="str">
        <f>HYPERLINK("https://ictv.global/taxonomy/taxondetails?taxnode_id=202316897","ictv.global=202316897")</f>
        <v>ictv.global=202316897</v>
      </c>
    </row>
    <row r="9551" spans="1:21">
      <c r="A9551">
        <v>9550</v>
      </c>
      <c r="B9551" s="30" t="s">
        <v>1226</v>
      </c>
      <c r="D9551" s="30" t="s">
        <v>2024</v>
      </c>
      <c r="F9551" s="30" t="s">
        <v>2046</v>
      </c>
      <c r="H9551" s="30" t="s">
        <v>2859</v>
      </c>
      <c r="J9551" s="30" t="s">
        <v>3390</v>
      </c>
      <c r="L9551" s="30" t="s">
        <v>3442</v>
      </c>
      <c r="N9551" s="30" t="s">
        <v>16030</v>
      </c>
      <c r="P9551" s="30" t="s">
        <v>16031</v>
      </c>
      <c r="Q9551" t="s">
        <v>621</v>
      </c>
      <c r="R9551" t="s">
        <v>917</v>
      </c>
      <c r="S9551">
        <v>39</v>
      </c>
      <c r="T9551" s="29" t="str">
        <f t="shared" si="405"/>
        <v>2023.001B.Leviviricetes_reorg.zip</v>
      </c>
      <c r="U9551" s="29" t="str">
        <f>HYPERLINK("https://ictv.global/taxonomy/taxondetails?taxnode_id=202316898","ictv.global=202316898")</f>
        <v>ictv.global=202316898</v>
      </c>
    </row>
    <row r="9552" spans="1:21">
      <c r="A9552">
        <v>9551</v>
      </c>
      <c r="B9552" s="30" t="s">
        <v>1226</v>
      </c>
      <c r="D9552" s="30" t="s">
        <v>2024</v>
      </c>
      <c r="F9552" s="30" t="s">
        <v>2046</v>
      </c>
      <c r="H9552" s="30" t="s">
        <v>2859</v>
      </c>
      <c r="J9552" s="30" t="s">
        <v>3390</v>
      </c>
      <c r="L9552" s="30" t="s">
        <v>3442</v>
      </c>
      <c r="N9552" s="30" t="s">
        <v>16030</v>
      </c>
      <c r="P9552" s="30" t="s">
        <v>16032</v>
      </c>
      <c r="Q9552" t="s">
        <v>621</v>
      </c>
      <c r="R9552" t="s">
        <v>917</v>
      </c>
      <c r="S9552">
        <v>39</v>
      </c>
      <c r="T9552" s="29" t="str">
        <f t="shared" si="405"/>
        <v>2023.001B.Leviviricetes_reorg.zip</v>
      </c>
      <c r="U9552" s="29" t="str">
        <f>HYPERLINK("https://ictv.global/taxonomy/taxondetails?taxnode_id=202316899","ictv.global=202316899")</f>
        <v>ictv.global=202316899</v>
      </c>
    </row>
    <row r="9553" spans="1:21">
      <c r="A9553">
        <v>9552</v>
      </c>
      <c r="B9553" s="30" t="s">
        <v>1226</v>
      </c>
      <c r="D9553" s="30" t="s">
        <v>2024</v>
      </c>
      <c r="F9553" s="30" t="s">
        <v>2046</v>
      </c>
      <c r="H9553" s="30" t="s">
        <v>2859</v>
      </c>
      <c r="J9553" s="30" t="s">
        <v>3390</v>
      </c>
      <c r="L9553" s="30" t="s">
        <v>3442</v>
      </c>
      <c r="N9553" s="30" t="s">
        <v>16033</v>
      </c>
      <c r="P9553" s="30" t="s">
        <v>16034</v>
      </c>
      <c r="Q9553" t="s">
        <v>621</v>
      </c>
      <c r="R9553" t="s">
        <v>917</v>
      </c>
      <c r="S9553">
        <v>39</v>
      </c>
      <c r="T9553" s="29" t="str">
        <f t="shared" si="405"/>
        <v>2023.001B.Leviviricetes_reorg.zip</v>
      </c>
      <c r="U9553" s="29" t="str">
        <f>HYPERLINK("https://ictv.global/taxonomy/taxondetails?taxnode_id=202316900","ictv.global=202316900")</f>
        <v>ictv.global=202316900</v>
      </c>
    </row>
    <row r="9554" spans="1:21">
      <c r="A9554">
        <v>9553</v>
      </c>
      <c r="B9554" s="30" t="s">
        <v>1226</v>
      </c>
      <c r="D9554" s="30" t="s">
        <v>2024</v>
      </c>
      <c r="F9554" s="30" t="s">
        <v>2046</v>
      </c>
      <c r="H9554" s="30" t="s">
        <v>2859</v>
      </c>
      <c r="J9554" s="30" t="s">
        <v>3390</v>
      </c>
      <c r="L9554" s="30" t="s">
        <v>3442</v>
      </c>
      <c r="N9554" s="30" t="s">
        <v>16033</v>
      </c>
      <c r="P9554" s="30" t="s">
        <v>16035</v>
      </c>
      <c r="Q9554" t="s">
        <v>621</v>
      </c>
      <c r="R9554" t="s">
        <v>917</v>
      </c>
      <c r="S9554">
        <v>39</v>
      </c>
      <c r="T9554" s="29" t="str">
        <f t="shared" si="405"/>
        <v>2023.001B.Leviviricetes_reorg.zip</v>
      </c>
      <c r="U9554" s="29" t="str">
        <f>HYPERLINK("https://ictv.global/taxonomy/taxondetails?taxnode_id=202316901","ictv.global=202316901")</f>
        <v>ictv.global=202316901</v>
      </c>
    </row>
    <row r="9555" spans="1:21">
      <c r="A9555">
        <v>9554</v>
      </c>
      <c r="B9555" s="30" t="s">
        <v>1226</v>
      </c>
      <c r="D9555" s="30" t="s">
        <v>2024</v>
      </c>
      <c r="F9555" s="30" t="s">
        <v>2046</v>
      </c>
      <c r="H9555" s="30" t="s">
        <v>2859</v>
      </c>
      <c r="J9555" s="30" t="s">
        <v>3390</v>
      </c>
      <c r="L9555" s="30" t="s">
        <v>3442</v>
      </c>
      <c r="N9555" s="30" t="s">
        <v>16036</v>
      </c>
      <c r="P9555" s="30" t="s">
        <v>16037</v>
      </c>
      <c r="Q9555" t="s">
        <v>621</v>
      </c>
      <c r="R9555" t="s">
        <v>917</v>
      </c>
      <c r="S9555">
        <v>39</v>
      </c>
      <c r="T9555" s="29" t="str">
        <f t="shared" si="405"/>
        <v>2023.001B.Leviviricetes_reorg.zip</v>
      </c>
      <c r="U9555" s="29" t="str">
        <f>HYPERLINK("https://ictv.global/taxonomy/taxondetails?taxnode_id=202316902","ictv.global=202316902")</f>
        <v>ictv.global=202316902</v>
      </c>
    </row>
    <row r="9556" spans="1:21">
      <c r="A9556">
        <v>9555</v>
      </c>
      <c r="B9556" s="30" t="s">
        <v>1226</v>
      </c>
      <c r="D9556" s="30" t="s">
        <v>2024</v>
      </c>
      <c r="F9556" s="30" t="s">
        <v>2046</v>
      </c>
      <c r="H9556" s="30" t="s">
        <v>2859</v>
      </c>
      <c r="J9556" s="30" t="s">
        <v>3390</v>
      </c>
      <c r="L9556" s="30" t="s">
        <v>3442</v>
      </c>
      <c r="N9556" s="30" t="s">
        <v>16038</v>
      </c>
      <c r="P9556" s="30" t="s">
        <v>16039</v>
      </c>
      <c r="Q9556" t="s">
        <v>621</v>
      </c>
      <c r="R9556" t="s">
        <v>917</v>
      </c>
      <c r="S9556">
        <v>39</v>
      </c>
      <c r="T9556" s="29" t="str">
        <f t="shared" si="405"/>
        <v>2023.001B.Leviviricetes_reorg.zip</v>
      </c>
      <c r="U9556" s="29" t="str">
        <f>HYPERLINK("https://ictv.global/taxonomy/taxondetails?taxnode_id=202316903","ictv.global=202316903")</f>
        <v>ictv.global=202316903</v>
      </c>
    </row>
    <row r="9557" spans="1:21">
      <c r="A9557">
        <v>9556</v>
      </c>
      <c r="B9557" s="30" t="s">
        <v>1226</v>
      </c>
      <c r="D9557" s="30" t="s">
        <v>2024</v>
      </c>
      <c r="F9557" s="30" t="s">
        <v>2046</v>
      </c>
      <c r="H9557" s="30" t="s">
        <v>2859</v>
      </c>
      <c r="J9557" s="30" t="s">
        <v>3390</v>
      </c>
      <c r="L9557" s="30" t="s">
        <v>3442</v>
      </c>
      <c r="N9557" s="30" t="s">
        <v>16040</v>
      </c>
      <c r="P9557" s="30" t="s">
        <v>16041</v>
      </c>
      <c r="Q9557" t="s">
        <v>621</v>
      </c>
      <c r="R9557" t="s">
        <v>917</v>
      </c>
      <c r="S9557">
        <v>39</v>
      </c>
      <c r="T9557" s="29" t="str">
        <f t="shared" si="405"/>
        <v>2023.001B.Leviviricetes_reorg.zip</v>
      </c>
      <c r="U9557" s="29" t="str">
        <f>HYPERLINK("https://ictv.global/taxonomy/taxondetails?taxnode_id=202316904","ictv.global=202316904")</f>
        <v>ictv.global=202316904</v>
      </c>
    </row>
    <row r="9558" spans="1:21">
      <c r="A9558">
        <v>9557</v>
      </c>
      <c r="B9558" s="30" t="s">
        <v>1226</v>
      </c>
      <c r="D9558" s="30" t="s">
        <v>2024</v>
      </c>
      <c r="F9558" s="30" t="s">
        <v>2046</v>
      </c>
      <c r="H9558" s="30" t="s">
        <v>2859</v>
      </c>
      <c r="J9558" s="30" t="s">
        <v>3390</v>
      </c>
      <c r="L9558" s="30" t="s">
        <v>3442</v>
      </c>
      <c r="N9558" s="30" t="s">
        <v>3458</v>
      </c>
      <c r="P9558" s="30" t="s">
        <v>3459</v>
      </c>
      <c r="Q9558" t="s">
        <v>621</v>
      </c>
      <c r="R9558" t="s">
        <v>917</v>
      </c>
      <c r="S9558">
        <v>36</v>
      </c>
      <c r="T9558" s="29" t="str">
        <f>HYPERLINK("https://ictv.global/ictv/proposals/2020.095B.R.Leviviricetes.zip","2020.095B.R.Leviviricetes.zip")</f>
        <v>2020.095B.R.Leviviricetes.zip</v>
      </c>
      <c r="U9558" s="29" t="str">
        <f>HYPERLINK("https://ictv.global/taxonomy/taxondetails?taxnode_id=202311058","ictv.global=202311058")</f>
        <v>ictv.global=202311058</v>
      </c>
    </row>
    <row r="9559" spans="1:21">
      <c r="A9559">
        <v>9558</v>
      </c>
      <c r="B9559" s="30" t="s">
        <v>1226</v>
      </c>
      <c r="D9559" s="30" t="s">
        <v>2024</v>
      </c>
      <c r="F9559" s="30" t="s">
        <v>2046</v>
      </c>
      <c r="H9559" s="30" t="s">
        <v>2859</v>
      </c>
      <c r="J9559" s="30" t="s">
        <v>3390</v>
      </c>
      <c r="L9559" s="30" t="s">
        <v>3442</v>
      </c>
      <c r="N9559" s="30" t="s">
        <v>16042</v>
      </c>
      <c r="P9559" s="30" t="s">
        <v>16043</v>
      </c>
      <c r="Q9559" t="s">
        <v>621</v>
      </c>
      <c r="R9559" t="s">
        <v>917</v>
      </c>
      <c r="S9559">
        <v>39</v>
      </c>
      <c r="T9559" s="29" t="str">
        <f t="shared" ref="T9559:T9579" si="406">HYPERLINK("https://ictv.global/ictv/proposals/2023.001B.Leviviricetes_reorg.zip","2023.001B.Leviviricetes_reorg.zip")</f>
        <v>2023.001B.Leviviricetes_reorg.zip</v>
      </c>
      <c r="U9559" s="29" t="str">
        <f>HYPERLINK("https://ictv.global/taxonomy/taxondetails?taxnode_id=202316905","ictv.global=202316905")</f>
        <v>ictv.global=202316905</v>
      </c>
    </row>
    <row r="9560" spans="1:21">
      <c r="A9560">
        <v>9559</v>
      </c>
      <c r="B9560" s="30" t="s">
        <v>1226</v>
      </c>
      <c r="D9560" s="30" t="s">
        <v>2024</v>
      </c>
      <c r="F9560" s="30" t="s">
        <v>2046</v>
      </c>
      <c r="H9560" s="30" t="s">
        <v>2859</v>
      </c>
      <c r="J9560" s="30" t="s">
        <v>3390</v>
      </c>
      <c r="L9560" s="30" t="s">
        <v>3442</v>
      </c>
      <c r="N9560" s="30" t="s">
        <v>16044</v>
      </c>
      <c r="P9560" s="30" t="s">
        <v>16045</v>
      </c>
      <c r="Q9560" t="s">
        <v>621</v>
      </c>
      <c r="R9560" t="s">
        <v>917</v>
      </c>
      <c r="S9560">
        <v>39</v>
      </c>
      <c r="T9560" s="29" t="str">
        <f t="shared" si="406"/>
        <v>2023.001B.Leviviricetes_reorg.zip</v>
      </c>
      <c r="U9560" s="29" t="str">
        <f>HYPERLINK("https://ictv.global/taxonomy/taxondetails?taxnode_id=202316906","ictv.global=202316906")</f>
        <v>ictv.global=202316906</v>
      </c>
    </row>
    <row r="9561" spans="1:21">
      <c r="A9561">
        <v>9560</v>
      </c>
      <c r="B9561" s="30" t="s">
        <v>1226</v>
      </c>
      <c r="D9561" s="30" t="s">
        <v>2024</v>
      </c>
      <c r="F9561" s="30" t="s">
        <v>2046</v>
      </c>
      <c r="H9561" s="30" t="s">
        <v>2859</v>
      </c>
      <c r="J9561" s="30" t="s">
        <v>3390</v>
      </c>
      <c r="L9561" s="30" t="s">
        <v>3442</v>
      </c>
      <c r="N9561" s="30" t="s">
        <v>16044</v>
      </c>
      <c r="P9561" s="30" t="s">
        <v>16046</v>
      </c>
      <c r="Q9561" t="s">
        <v>621</v>
      </c>
      <c r="R9561" t="s">
        <v>917</v>
      </c>
      <c r="S9561">
        <v>39</v>
      </c>
      <c r="T9561" s="29" t="str">
        <f t="shared" si="406"/>
        <v>2023.001B.Leviviricetes_reorg.zip</v>
      </c>
      <c r="U9561" s="29" t="str">
        <f>HYPERLINK("https://ictv.global/taxonomy/taxondetails?taxnode_id=202316907","ictv.global=202316907")</f>
        <v>ictv.global=202316907</v>
      </c>
    </row>
    <row r="9562" spans="1:21">
      <c r="A9562">
        <v>9561</v>
      </c>
      <c r="B9562" s="30" t="s">
        <v>1226</v>
      </c>
      <c r="D9562" s="30" t="s">
        <v>2024</v>
      </c>
      <c r="F9562" s="30" t="s">
        <v>2046</v>
      </c>
      <c r="H9562" s="30" t="s">
        <v>2859</v>
      </c>
      <c r="J9562" s="30" t="s">
        <v>3390</v>
      </c>
      <c r="L9562" s="30" t="s">
        <v>3442</v>
      </c>
      <c r="N9562" s="30" t="s">
        <v>3460</v>
      </c>
      <c r="P9562" s="30" t="s">
        <v>16047</v>
      </c>
      <c r="Q9562" t="s">
        <v>621</v>
      </c>
      <c r="R9562" t="s">
        <v>917</v>
      </c>
      <c r="S9562">
        <v>39</v>
      </c>
      <c r="T9562" s="29" t="str">
        <f t="shared" si="406"/>
        <v>2023.001B.Leviviricetes_reorg.zip</v>
      </c>
      <c r="U9562" s="29" t="str">
        <f>HYPERLINK("https://ictv.global/taxonomy/taxondetails?taxnode_id=202316908","ictv.global=202316908")</f>
        <v>ictv.global=202316908</v>
      </c>
    </row>
    <row r="9563" spans="1:21">
      <c r="A9563">
        <v>9562</v>
      </c>
      <c r="B9563" s="30" t="s">
        <v>1226</v>
      </c>
      <c r="D9563" s="30" t="s">
        <v>2024</v>
      </c>
      <c r="F9563" s="30" t="s">
        <v>2046</v>
      </c>
      <c r="H9563" s="30" t="s">
        <v>2859</v>
      </c>
      <c r="J9563" s="30" t="s">
        <v>3390</v>
      </c>
      <c r="L9563" s="30" t="s">
        <v>3442</v>
      </c>
      <c r="N9563" s="30" t="s">
        <v>3460</v>
      </c>
      <c r="P9563" s="30" t="s">
        <v>16048</v>
      </c>
      <c r="Q9563" t="s">
        <v>621</v>
      </c>
      <c r="R9563" t="s">
        <v>917</v>
      </c>
      <c r="S9563">
        <v>39</v>
      </c>
      <c r="T9563" s="29" t="str">
        <f t="shared" si="406"/>
        <v>2023.001B.Leviviricetes_reorg.zip</v>
      </c>
      <c r="U9563" s="29" t="str">
        <f>HYPERLINK("https://ictv.global/taxonomy/taxondetails?taxnode_id=202316909","ictv.global=202316909")</f>
        <v>ictv.global=202316909</v>
      </c>
    </row>
    <row r="9564" spans="1:21">
      <c r="A9564">
        <v>9563</v>
      </c>
      <c r="B9564" s="30" t="s">
        <v>1226</v>
      </c>
      <c r="D9564" s="30" t="s">
        <v>2024</v>
      </c>
      <c r="F9564" s="30" t="s">
        <v>2046</v>
      </c>
      <c r="H9564" s="30" t="s">
        <v>2859</v>
      </c>
      <c r="J9564" s="30" t="s">
        <v>3390</v>
      </c>
      <c r="L9564" s="30" t="s">
        <v>3442</v>
      </c>
      <c r="N9564" s="30" t="s">
        <v>3460</v>
      </c>
      <c r="P9564" s="30" t="s">
        <v>16049</v>
      </c>
      <c r="Q9564" t="s">
        <v>621</v>
      </c>
      <c r="R9564" t="s">
        <v>917</v>
      </c>
      <c r="S9564">
        <v>39</v>
      </c>
      <c r="T9564" s="29" t="str">
        <f t="shared" si="406"/>
        <v>2023.001B.Leviviricetes_reorg.zip</v>
      </c>
      <c r="U9564" s="29" t="str">
        <f>HYPERLINK("https://ictv.global/taxonomy/taxondetails?taxnode_id=202316910","ictv.global=202316910")</f>
        <v>ictv.global=202316910</v>
      </c>
    </row>
    <row r="9565" spans="1:21">
      <c r="A9565">
        <v>9564</v>
      </c>
      <c r="B9565" s="30" t="s">
        <v>1226</v>
      </c>
      <c r="D9565" s="30" t="s">
        <v>2024</v>
      </c>
      <c r="F9565" s="30" t="s">
        <v>2046</v>
      </c>
      <c r="H9565" s="30" t="s">
        <v>2859</v>
      </c>
      <c r="J9565" s="30" t="s">
        <v>3390</v>
      </c>
      <c r="L9565" s="30" t="s">
        <v>3442</v>
      </c>
      <c r="N9565" s="30" t="s">
        <v>3460</v>
      </c>
      <c r="P9565" s="30" t="s">
        <v>16050</v>
      </c>
      <c r="Q9565" t="s">
        <v>621</v>
      </c>
      <c r="R9565" t="s">
        <v>918</v>
      </c>
      <c r="S9565">
        <v>39</v>
      </c>
      <c r="T9565" s="29" t="str">
        <f t="shared" si="406"/>
        <v>2023.001B.Leviviricetes_reorg.zip</v>
      </c>
      <c r="U9565" s="29" t="str">
        <f>HYPERLINK("https://ictv.global/taxonomy/taxondetails?taxnode_id=202311285","ictv.global=202311285")</f>
        <v>ictv.global=202311285</v>
      </c>
    </row>
    <row r="9566" spans="1:21">
      <c r="A9566">
        <v>9565</v>
      </c>
      <c r="B9566" s="30" t="s">
        <v>1226</v>
      </c>
      <c r="D9566" s="30" t="s">
        <v>2024</v>
      </c>
      <c r="F9566" s="30" t="s">
        <v>2046</v>
      </c>
      <c r="H9566" s="30" t="s">
        <v>2859</v>
      </c>
      <c r="J9566" s="30" t="s">
        <v>3390</v>
      </c>
      <c r="L9566" s="30" t="s">
        <v>3442</v>
      </c>
      <c r="N9566" s="30" t="s">
        <v>3460</v>
      </c>
      <c r="P9566" s="30" t="s">
        <v>16051</v>
      </c>
      <c r="Q9566" t="s">
        <v>621</v>
      </c>
      <c r="R9566" t="s">
        <v>917</v>
      </c>
      <c r="S9566">
        <v>39</v>
      </c>
      <c r="T9566" s="29" t="str">
        <f t="shared" si="406"/>
        <v>2023.001B.Leviviricetes_reorg.zip</v>
      </c>
      <c r="U9566" s="29" t="str">
        <f>HYPERLINK("https://ictv.global/taxonomy/taxondetails?taxnode_id=202316911","ictv.global=202316911")</f>
        <v>ictv.global=202316911</v>
      </c>
    </row>
    <row r="9567" spans="1:21">
      <c r="A9567">
        <v>9566</v>
      </c>
      <c r="B9567" s="30" t="s">
        <v>1226</v>
      </c>
      <c r="D9567" s="30" t="s">
        <v>2024</v>
      </c>
      <c r="F9567" s="30" t="s">
        <v>2046</v>
      </c>
      <c r="H9567" s="30" t="s">
        <v>2859</v>
      </c>
      <c r="J9567" s="30" t="s">
        <v>3390</v>
      </c>
      <c r="L9567" s="30" t="s">
        <v>3442</v>
      </c>
      <c r="N9567" s="30" t="s">
        <v>3460</v>
      </c>
      <c r="P9567" s="30" t="s">
        <v>16052</v>
      </c>
      <c r="Q9567" t="s">
        <v>621</v>
      </c>
      <c r="R9567" t="s">
        <v>917</v>
      </c>
      <c r="S9567">
        <v>39</v>
      </c>
      <c r="T9567" s="29" t="str">
        <f t="shared" si="406"/>
        <v>2023.001B.Leviviricetes_reorg.zip</v>
      </c>
      <c r="U9567" s="29" t="str">
        <f>HYPERLINK("https://ictv.global/taxonomy/taxondetails?taxnode_id=202316912","ictv.global=202316912")</f>
        <v>ictv.global=202316912</v>
      </c>
    </row>
    <row r="9568" spans="1:21">
      <c r="A9568">
        <v>9567</v>
      </c>
      <c r="B9568" s="30" t="s">
        <v>1226</v>
      </c>
      <c r="D9568" s="30" t="s">
        <v>2024</v>
      </c>
      <c r="F9568" s="30" t="s">
        <v>2046</v>
      </c>
      <c r="H9568" s="30" t="s">
        <v>2859</v>
      </c>
      <c r="J9568" s="30" t="s">
        <v>3390</v>
      </c>
      <c r="L9568" s="30" t="s">
        <v>3442</v>
      </c>
      <c r="N9568" s="30" t="s">
        <v>3460</v>
      </c>
      <c r="P9568" s="30" t="s">
        <v>16053</v>
      </c>
      <c r="Q9568" t="s">
        <v>621</v>
      </c>
      <c r="R9568" t="s">
        <v>918</v>
      </c>
      <c r="S9568">
        <v>39</v>
      </c>
      <c r="T9568" s="29" t="str">
        <f t="shared" si="406"/>
        <v>2023.001B.Leviviricetes_reorg.zip</v>
      </c>
      <c r="U9568" s="29" t="str">
        <f>HYPERLINK("https://ictv.global/taxonomy/taxondetails?taxnode_id=202311384","ictv.global=202311384")</f>
        <v>ictv.global=202311384</v>
      </c>
    </row>
    <row r="9569" spans="1:21">
      <c r="A9569">
        <v>9568</v>
      </c>
      <c r="B9569" s="30" t="s">
        <v>1226</v>
      </c>
      <c r="D9569" s="30" t="s">
        <v>2024</v>
      </c>
      <c r="F9569" s="30" t="s">
        <v>2046</v>
      </c>
      <c r="H9569" s="30" t="s">
        <v>2859</v>
      </c>
      <c r="J9569" s="30" t="s">
        <v>3390</v>
      </c>
      <c r="L9569" s="30" t="s">
        <v>3442</v>
      </c>
      <c r="N9569" s="30" t="s">
        <v>3460</v>
      </c>
      <c r="P9569" s="30" t="s">
        <v>16054</v>
      </c>
      <c r="Q9569" t="s">
        <v>621</v>
      </c>
      <c r="R9569" t="s">
        <v>917</v>
      </c>
      <c r="S9569">
        <v>39</v>
      </c>
      <c r="T9569" s="29" t="str">
        <f t="shared" si="406"/>
        <v>2023.001B.Leviviricetes_reorg.zip</v>
      </c>
      <c r="U9569" s="29" t="str">
        <f>HYPERLINK("https://ictv.global/taxonomy/taxondetails?taxnode_id=202316913","ictv.global=202316913")</f>
        <v>ictv.global=202316913</v>
      </c>
    </row>
    <row r="9570" spans="1:21">
      <c r="A9570">
        <v>9569</v>
      </c>
      <c r="B9570" s="30" t="s">
        <v>1226</v>
      </c>
      <c r="D9570" s="30" t="s">
        <v>2024</v>
      </c>
      <c r="F9570" s="30" t="s">
        <v>2046</v>
      </c>
      <c r="H9570" s="30" t="s">
        <v>2859</v>
      </c>
      <c r="J9570" s="30" t="s">
        <v>3390</v>
      </c>
      <c r="L9570" s="30" t="s">
        <v>3442</v>
      </c>
      <c r="N9570" s="30" t="s">
        <v>3460</v>
      </c>
      <c r="P9570" s="30" t="s">
        <v>16055</v>
      </c>
      <c r="Q9570" t="s">
        <v>621</v>
      </c>
      <c r="R9570" t="s">
        <v>917</v>
      </c>
      <c r="S9570">
        <v>39</v>
      </c>
      <c r="T9570" s="29" t="str">
        <f t="shared" si="406"/>
        <v>2023.001B.Leviviricetes_reorg.zip</v>
      </c>
      <c r="U9570" s="29" t="str">
        <f>HYPERLINK("https://ictv.global/taxonomy/taxondetails?taxnode_id=202316914","ictv.global=202316914")</f>
        <v>ictv.global=202316914</v>
      </c>
    </row>
    <row r="9571" spans="1:21">
      <c r="A9571">
        <v>9570</v>
      </c>
      <c r="B9571" s="30" t="s">
        <v>1226</v>
      </c>
      <c r="D9571" s="30" t="s">
        <v>2024</v>
      </c>
      <c r="F9571" s="30" t="s">
        <v>2046</v>
      </c>
      <c r="H9571" s="30" t="s">
        <v>2859</v>
      </c>
      <c r="J9571" s="30" t="s">
        <v>3390</v>
      </c>
      <c r="L9571" s="30" t="s">
        <v>3442</v>
      </c>
      <c r="N9571" s="30" t="s">
        <v>3460</v>
      </c>
      <c r="P9571" s="30" t="s">
        <v>16056</v>
      </c>
      <c r="Q9571" t="s">
        <v>621</v>
      </c>
      <c r="R9571" t="s">
        <v>917</v>
      </c>
      <c r="S9571">
        <v>39</v>
      </c>
      <c r="T9571" s="29" t="str">
        <f t="shared" si="406"/>
        <v>2023.001B.Leviviricetes_reorg.zip</v>
      </c>
      <c r="U9571" s="29" t="str">
        <f>HYPERLINK("https://ictv.global/taxonomy/taxondetails?taxnode_id=202316915","ictv.global=202316915")</f>
        <v>ictv.global=202316915</v>
      </c>
    </row>
    <row r="9572" spans="1:21">
      <c r="A9572">
        <v>9571</v>
      </c>
      <c r="B9572" s="30" t="s">
        <v>1226</v>
      </c>
      <c r="D9572" s="30" t="s">
        <v>2024</v>
      </c>
      <c r="F9572" s="30" t="s">
        <v>2046</v>
      </c>
      <c r="H9572" s="30" t="s">
        <v>2859</v>
      </c>
      <c r="J9572" s="30" t="s">
        <v>3390</v>
      </c>
      <c r="L9572" s="30" t="s">
        <v>3442</v>
      </c>
      <c r="N9572" s="30" t="s">
        <v>3460</v>
      </c>
      <c r="P9572" s="30" t="s">
        <v>16057</v>
      </c>
      <c r="Q9572" t="s">
        <v>621</v>
      </c>
      <c r="R9572" t="s">
        <v>917</v>
      </c>
      <c r="S9572">
        <v>39</v>
      </c>
      <c r="T9572" s="29" t="str">
        <f t="shared" si="406"/>
        <v>2023.001B.Leviviricetes_reorg.zip</v>
      </c>
      <c r="U9572" s="29" t="str">
        <f>HYPERLINK("https://ictv.global/taxonomy/taxondetails?taxnode_id=202316916","ictv.global=202316916")</f>
        <v>ictv.global=202316916</v>
      </c>
    </row>
    <row r="9573" spans="1:21">
      <c r="A9573">
        <v>9572</v>
      </c>
      <c r="B9573" s="30" t="s">
        <v>1226</v>
      </c>
      <c r="D9573" s="30" t="s">
        <v>2024</v>
      </c>
      <c r="F9573" s="30" t="s">
        <v>2046</v>
      </c>
      <c r="H9573" s="30" t="s">
        <v>2859</v>
      </c>
      <c r="J9573" s="30" t="s">
        <v>3390</v>
      </c>
      <c r="L9573" s="30" t="s">
        <v>3442</v>
      </c>
      <c r="N9573" s="30" t="s">
        <v>3460</v>
      </c>
      <c r="P9573" s="30" t="s">
        <v>16058</v>
      </c>
      <c r="Q9573" t="s">
        <v>621</v>
      </c>
      <c r="R9573" t="s">
        <v>917</v>
      </c>
      <c r="S9573">
        <v>39</v>
      </c>
      <c r="T9573" s="29" t="str">
        <f t="shared" si="406"/>
        <v>2023.001B.Leviviricetes_reorg.zip</v>
      </c>
      <c r="U9573" s="29" t="str">
        <f>HYPERLINK("https://ictv.global/taxonomy/taxondetails?taxnode_id=202316917","ictv.global=202316917")</f>
        <v>ictv.global=202316917</v>
      </c>
    </row>
    <row r="9574" spans="1:21">
      <c r="A9574">
        <v>9573</v>
      </c>
      <c r="B9574" s="30" t="s">
        <v>1226</v>
      </c>
      <c r="D9574" s="30" t="s">
        <v>2024</v>
      </c>
      <c r="F9574" s="30" t="s">
        <v>2046</v>
      </c>
      <c r="H9574" s="30" t="s">
        <v>2859</v>
      </c>
      <c r="J9574" s="30" t="s">
        <v>3390</v>
      </c>
      <c r="L9574" s="30" t="s">
        <v>3442</v>
      </c>
      <c r="N9574" s="30" t="s">
        <v>3460</v>
      </c>
      <c r="P9574" s="30" t="s">
        <v>16059</v>
      </c>
      <c r="Q9574" t="s">
        <v>621</v>
      </c>
      <c r="R9574" t="s">
        <v>917</v>
      </c>
      <c r="S9574">
        <v>39</v>
      </c>
      <c r="T9574" s="29" t="str">
        <f t="shared" si="406"/>
        <v>2023.001B.Leviviricetes_reorg.zip</v>
      </c>
      <c r="U9574" s="29" t="str">
        <f>HYPERLINK("https://ictv.global/taxonomy/taxondetails?taxnode_id=202316918","ictv.global=202316918")</f>
        <v>ictv.global=202316918</v>
      </c>
    </row>
    <row r="9575" spans="1:21">
      <c r="A9575">
        <v>9574</v>
      </c>
      <c r="B9575" s="30" t="s">
        <v>1226</v>
      </c>
      <c r="D9575" s="30" t="s">
        <v>2024</v>
      </c>
      <c r="F9575" s="30" t="s">
        <v>2046</v>
      </c>
      <c r="H9575" s="30" t="s">
        <v>2859</v>
      </c>
      <c r="J9575" s="30" t="s">
        <v>3390</v>
      </c>
      <c r="L9575" s="30" t="s">
        <v>3442</v>
      </c>
      <c r="N9575" s="30" t="s">
        <v>3460</v>
      </c>
      <c r="P9575" s="30" t="s">
        <v>16060</v>
      </c>
      <c r="Q9575" t="s">
        <v>621</v>
      </c>
      <c r="R9575" t="s">
        <v>918</v>
      </c>
      <c r="S9575">
        <v>39</v>
      </c>
      <c r="T9575" s="29" t="str">
        <f t="shared" si="406"/>
        <v>2023.001B.Leviviricetes_reorg.zip</v>
      </c>
      <c r="U9575" s="29" t="str">
        <f>HYPERLINK("https://ictv.global/taxonomy/taxondetails?taxnode_id=202311385","ictv.global=202311385")</f>
        <v>ictv.global=202311385</v>
      </c>
    </row>
    <row r="9576" spans="1:21">
      <c r="A9576">
        <v>9575</v>
      </c>
      <c r="B9576" s="30" t="s">
        <v>1226</v>
      </c>
      <c r="D9576" s="30" t="s">
        <v>2024</v>
      </c>
      <c r="F9576" s="30" t="s">
        <v>2046</v>
      </c>
      <c r="H9576" s="30" t="s">
        <v>2859</v>
      </c>
      <c r="J9576" s="30" t="s">
        <v>3390</v>
      </c>
      <c r="L9576" s="30" t="s">
        <v>3442</v>
      </c>
      <c r="N9576" s="30" t="s">
        <v>3460</v>
      </c>
      <c r="P9576" s="30" t="s">
        <v>16061</v>
      </c>
      <c r="Q9576" t="s">
        <v>621</v>
      </c>
      <c r="R9576" t="s">
        <v>918</v>
      </c>
      <c r="S9576">
        <v>39</v>
      </c>
      <c r="T9576" s="29" t="str">
        <f t="shared" si="406"/>
        <v>2023.001B.Leviviricetes_reorg.zip</v>
      </c>
      <c r="U9576" s="29" t="str">
        <f>HYPERLINK("https://ictv.global/taxonomy/taxondetails?taxnode_id=202311386","ictv.global=202311386")</f>
        <v>ictv.global=202311386</v>
      </c>
    </row>
    <row r="9577" spans="1:21">
      <c r="A9577">
        <v>9576</v>
      </c>
      <c r="B9577" s="30" t="s">
        <v>1226</v>
      </c>
      <c r="D9577" s="30" t="s">
        <v>2024</v>
      </c>
      <c r="F9577" s="30" t="s">
        <v>2046</v>
      </c>
      <c r="H9577" s="30" t="s">
        <v>2859</v>
      </c>
      <c r="J9577" s="30" t="s">
        <v>3390</v>
      </c>
      <c r="L9577" s="30" t="s">
        <v>3442</v>
      </c>
      <c r="N9577" s="30" t="s">
        <v>3460</v>
      </c>
      <c r="P9577" s="30" t="s">
        <v>16062</v>
      </c>
      <c r="Q9577" t="s">
        <v>621</v>
      </c>
      <c r="R9577" t="s">
        <v>918</v>
      </c>
      <c r="S9577">
        <v>39</v>
      </c>
      <c r="T9577" s="29" t="str">
        <f t="shared" si="406"/>
        <v>2023.001B.Leviviricetes_reorg.zip</v>
      </c>
      <c r="U9577" s="29" t="str">
        <f>HYPERLINK("https://ictv.global/taxonomy/taxondetails?taxnode_id=202311387","ictv.global=202311387")</f>
        <v>ictv.global=202311387</v>
      </c>
    </row>
    <row r="9578" spans="1:21">
      <c r="A9578">
        <v>9577</v>
      </c>
      <c r="B9578" s="30" t="s">
        <v>1226</v>
      </c>
      <c r="D9578" s="30" t="s">
        <v>2024</v>
      </c>
      <c r="F9578" s="30" t="s">
        <v>2046</v>
      </c>
      <c r="H9578" s="30" t="s">
        <v>2859</v>
      </c>
      <c r="J9578" s="30" t="s">
        <v>3390</v>
      </c>
      <c r="L9578" s="30" t="s">
        <v>3442</v>
      </c>
      <c r="N9578" s="30" t="s">
        <v>3460</v>
      </c>
      <c r="P9578" s="30" t="s">
        <v>16063</v>
      </c>
      <c r="Q9578" t="s">
        <v>621</v>
      </c>
      <c r="R9578" t="s">
        <v>918</v>
      </c>
      <c r="S9578">
        <v>39</v>
      </c>
      <c r="T9578" s="29" t="str">
        <f t="shared" si="406"/>
        <v>2023.001B.Leviviricetes_reorg.zip</v>
      </c>
      <c r="U9578" s="29" t="str">
        <f>HYPERLINK("https://ictv.global/taxonomy/taxondetails?taxnode_id=202311388","ictv.global=202311388")</f>
        <v>ictv.global=202311388</v>
      </c>
    </row>
    <row r="9579" spans="1:21">
      <c r="A9579">
        <v>9578</v>
      </c>
      <c r="B9579" s="30" t="s">
        <v>1226</v>
      </c>
      <c r="D9579" s="30" t="s">
        <v>2024</v>
      </c>
      <c r="F9579" s="30" t="s">
        <v>2046</v>
      </c>
      <c r="H9579" s="30" t="s">
        <v>2859</v>
      </c>
      <c r="J9579" s="30" t="s">
        <v>3390</v>
      </c>
      <c r="L9579" s="30" t="s">
        <v>3442</v>
      </c>
      <c r="N9579" s="30" t="s">
        <v>3460</v>
      </c>
      <c r="P9579" s="30" t="s">
        <v>16064</v>
      </c>
      <c r="Q9579" t="s">
        <v>621</v>
      </c>
      <c r="R9579" t="s">
        <v>917</v>
      </c>
      <c r="S9579">
        <v>39</v>
      </c>
      <c r="T9579" s="29" t="str">
        <f t="shared" si="406"/>
        <v>2023.001B.Leviviricetes_reorg.zip</v>
      </c>
      <c r="U9579" s="29" t="str">
        <f>HYPERLINK("https://ictv.global/taxonomy/taxondetails?taxnode_id=202316919","ictv.global=202316919")</f>
        <v>ictv.global=202316919</v>
      </c>
    </row>
    <row r="9580" spans="1:21">
      <c r="A9580">
        <v>9579</v>
      </c>
      <c r="B9580" s="30" t="s">
        <v>1226</v>
      </c>
      <c r="D9580" s="30" t="s">
        <v>2024</v>
      </c>
      <c r="F9580" s="30" t="s">
        <v>2046</v>
      </c>
      <c r="H9580" s="30" t="s">
        <v>2859</v>
      </c>
      <c r="J9580" s="30" t="s">
        <v>3390</v>
      </c>
      <c r="L9580" s="30" t="s">
        <v>3442</v>
      </c>
      <c r="N9580" s="30" t="s">
        <v>3460</v>
      </c>
      <c r="P9580" s="30" t="s">
        <v>3461</v>
      </c>
      <c r="Q9580" t="s">
        <v>621</v>
      </c>
      <c r="R9580" t="s">
        <v>917</v>
      </c>
      <c r="S9580">
        <v>36</v>
      </c>
      <c r="T9580" s="29" t="str">
        <f>HYPERLINK("https://ictv.global/ictv/proposals/2020.095B.R.Leviviricetes.zip","2020.095B.R.Leviviricetes.zip")</f>
        <v>2020.095B.R.Leviviricetes.zip</v>
      </c>
      <c r="U9580" s="29" t="str">
        <f>HYPERLINK("https://ictv.global/taxonomy/taxondetails?taxnode_id=202311061","ictv.global=202311061")</f>
        <v>ictv.global=202311061</v>
      </c>
    </row>
    <row r="9581" spans="1:21">
      <c r="A9581">
        <v>9580</v>
      </c>
      <c r="B9581" s="30" t="s">
        <v>1226</v>
      </c>
      <c r="D9581" s="30" t="s">
        <v>2024</v>
      </c>
      <c r="F9581" s="30" t="s">
        <v>2046</v>
      </c>
      <c r="H9581" s="30" t="s">
        <v>2859</v>
      </c>
      <c r="J9581" s="30" t="s">
        <v>3390</v>
      </c>
      <c r="L9581" s="30" t="s">
        <v>3442</v>
      </c>
      <c r="N9581" s="30" t="s">
        <v>3460</v>
      </c>
      <c r="P9581" s="30" t="s">
        <v>16065</v>
      </c>
      <c r="Q9581" t="s">
        <v>621</v>
      </c>
      <c r="R9581" t="s">
        <v>917</v>
      </c>
      <c r="S9581">
        <v>39</v>
      </c>
      <c r="T9581" s="29" t="str">
        <f t="shared" ref="T9581:T9588" si="407">HYPERLINK("https://ictv.global/ictv/proposals/2023.001B.Leviviricetes_reorg.zip","2023.001B.Leviviricetes_reorg.zip")</f>
        <v>2023.001B.Leviviricetes_reorg.zip</v>
      </c>
      <c r="U9581" s="29" t="str">
        <f>HYPERLINK("https://ictv.global/taxonomy/taxondetails?taxnode_id=202316920","ictv.global=202316920")</f>
        <v>ictv.global=202316920</v>
      </c>
    </row>
    <row r="9582" spans="1:21">
      <c r="A9582">
        <v>9581</v>
      </c>
      <c r="B9582" s="30" t="s">
        <v>1226</v>
      </c>
      <c r="D9582" s="30" t="s">
        <v>2024</v>
      </c>
      <c r="F9582" s="30" t="s">
        <v>2046</v>
      </c>
      <c r="H9582" s="30" t="s">
        <v>2859</v>
      </c>
      <c r="J9582" s="30" t="s">
        <v>3390</v>
      </c>
      <c r="L9582" s="30" t="s">
        <v>3442</v>
      </c>
      <c r="N9582" s="30" t="s">
        <v>3460</v>
      </c>
      <c r="P9582" s="30" t="s">
        <v>16066</v>
      </c>
      <c r="Q9582" t="s">
        <v>621</v>
      </c>
      <c r="R9582" t="s">
        <v>917</v>
      </c>
      <c r="S9582">
        <v>39</v>
      </c>
      <c r="T9582" s="29" t="str">
        <f t="shared" si="407"/>
        <v>2023.001B.Leviviricetes_reorg.zip</v>
      </c>
      <c r="U9582" s="29" t="str">
        <f>HYPERLINK("https://ictv.global/taxonomy/taxondetails?taxnode_id=202316921","ictv.global=202316921")</f>
        <v>ictv.global=202316921</v>
      </c>
    </row>
    <row r="9583" spans="1:21">
      <c r="A9583">
        <v>9582</v>
      </c>
      <c r="B9583" s="30" t="s">
        <v>1226</v>
      </c>
      <c r="D9583" s="30" t="s">
        <v>2024</v>
      </c>
      <c r="F9583" s="30" t="s">
        <v>2046</v>
      </c>
      <c r="H9583" s="30" t="s">
        <v>2859</v>
      </c>
      <c r="J9583" s="30" t="s">
        <v>3390</v>
      </c>
      <c r="L9583" s="30" t="s">
        <v>3442</v>
      </c>
      <c r="N9583" s="30" t="s">
        <v>3460</v>
      </c>
      <c r="P9583" s="30" t="s">
        <v>16067</v>
      </c>
      <c r="Q9583" t="s">
        <v>621</v>
      </c>
      <c r="R9583" t="s">
        <v>917</v>
      </c>
      <c r="S9583">
        <v>39</v>
      </c>
      <c r="T9583" s="29" t="str">
        <f t="shared" si="407"/>
        <v>2023.001B.Leviviricetes_reorg.zip</v>
      </c>
      <c r="U9583" s="29" t="str">
        <f>HYPERLINK("https://ictv.global/taxonomy/taxondetails?taxnode_id=202316922","ictv.global=202316922")</f>
        <v>ictv.global=202316922</v>
      </c>
    </row>
    <row r="9584" spans="1:21">
      <c r="A9584">
        <v>9583</v>
      </c>
      <c r="B9584" s="30" t="s">
        <v>1226</v>
      </c>
      <c r="D9584" s="30" t="s">
        <v>2024</v>
      </c>
      <c r="F9584" s="30" t="s">
        <v>2046</v>
      </c>
      <c r="H9584" s="30" t="s">
        <v>2859</v>
      </c>
      <c r="J9584" s="30" t="s">
        <v>3390</v>
      </c>
      <c r="L9584" s="30" t="s">
        <v>3442</v>
      </c>
      <c r="N9584" s="30" t="s">
        <v>3460</v>
      </c>
      <c r="P9584" s="30" t="s">
        <v>16068</v>
      </c>
      <c r="Q9584" t="s">
        <v>621</v>
      </c>
      <c r="R9584" t="s">
        <v>918</v>
      </c>
      <c r="S9584">
        <v>39</v>
      </c>
      <c r="T9584" s="29" t="str">
        <f t="shared" si="407"/>
        <v>2023.001B.Leviviricetes_reorg.zip</v>
      </c>
      <c r="U9584" s="29" t="str">
        <f>HYPERLINK("https://ictv.global/taxonomy/taxondetails?taxnode_id=202311079","ictv.global=202311079")</f>
        <v>ictv.global=202311079</v>
      </c>
    </row>
    <row r="9585" spans="1:21">
      <c r="A9585">
        <v>9584</v>
      </c>
      <c r="B9585" s="30" t="s">
        <v>1226</v>
      </c>
      <c r="D9585" s="30" t="s">
        <v>2024</v>
      </c>
      <c r="F9585" s="30" t="s">
        <v>2046</v>
      </c>
      <c r="H9585" s="30" t="s">
        <v>2859</v>
      </c>
      <c r="J9585" s="30" t="s">
        <v>3390</v>
      </c>
      <c r="L9585" s="30" t="s">
        <v>3442</v>
      </c>
      <c r="N9585" s="30" t="s">
        <v>3460</v>
      </c>
      <c r="P9585" s="30" t="s">
        <v>16069</v>
      </c>
      <c r="Q9585" t="s">
        <v>621</v>
      </c>
      <c r="R9585" t="s">
        <v>917</v>
      </c>
      <c r="S9585">
        <v>39</v>
      </c>
      <c r="T9585" s="29" t="str">
        <f t="shared" si="407"/>
        <v>2023.001B.Leviviricetes_reorg.zip</v>
      </c>
      <c r="U9585" s="29" t="str">
        <f>HYPERLINK("https://ictv.global/taxonomy/taxondetails?taxnode_id=202316923","ictv.global=202316923")</f>
        <v>ictv.global=202316923</v>
      </c>
    </row>
    <row r="9586" spans="1:21">
      <c r="A9586">
        <v>9585</v>
      </c>
      <c r="B9586" s="30" t="s">
        <v>1226</v>
      </c>
      <c r="D9586" s="30" t="s">
        <v>2024</v>
      </c>
      <c r="F9586" s="30" t="s">
        <v>2046</v>
      </c>
      <c r="H9586" s="30" t="s">
        <v>2859</v>
      </c>
      <c r="J9586" s="30" t="s">
        <v>3390</v>
      </c>
      <c r="L9586" s="30" t="s">
        <v>3442</v>
      </c>
      <c r="N9586" s="30" t="s">
        <v>3460</v>
      </c>
      <c r="P9586" s="30" t="s">
        <v>16070</v>
      </c>
      <c r="Q9586" t="s">
        <v>621</v>
      </c>
      <c r="R9586" t="s">
        <v>918</v>
      </c>
      <c r="S9586">
        <v>39</v>
      </c>
      <c r="T9586" s="29" t="str">
        <f t="shared" si="407"/>
        <v>2023.001B.Leviviricetes_reorg.zip</v>
      </c>
      <c r="U9586" s="29" t="str">
        <f>HYPERLINK("https://ictv.global/taxonomy/taxondetails?taxnode_id=202311383","ictv.global=202311383")</f>
        <v>ictv.global=202311383</v>
      </c>
    </row>
    <row r="9587" spans="1:21">
      <c r="A9587">
        <v>9586</v>
      </c>
      <c r="B9587" s="30" t="s">
        <v>1226</v>
      </c>
      <c r="D9587" s="30" t="s">
        <v>2024</v>
      </c>
      <c r="F9587" s="30" t="s">
        <v>2046</v>
      </c>
      <c r="H9587" s="30" t="s">
        <v>2859</v>
      </c>
      <c r="J9587" s="30" t="s">
        <v>3390</v>
      </c>
      <c r="L9587" s="30" t="s">
        <v>3442</v>
      </c>
      <c r="N9587" s="30" t="s">
        <v>3460</v>
      </c>
      <c r="P9587" s="30" t="s">
        <v>16071</v>
      </c>
      <c r="Q9587" t="s">
        <v>621</v>
      </c>
      <c r="R9587" t="s">
        <v>918</v>
      </c>
      <c r="S9587">
        <v>39</v>
      </c>
      <c r="T9587" s="29" t="str">
        <f t="shared" si="407"/>
        <v>2023.001B.Leviviricetes_reorg.zip</v>
      </c>
      <c r="U9587" s="29" t="str">
        <f>HYPERLINK("https://ictv.global/taxonomy/taxondetails?taxnode_id=202311389","ictv.global=202311389")</f>
        <v>ictv.global=202311389</v>
      </c>
    </row>
    <row r="9588" spans="1:21">
      <c r="A9588">
        <v>9587</v>
      </c>
      <c r="B9588" s="30" t="s">
        <v>1226</v>
      </c>
      <c r="D9588" s="30" t="s">
        <v>2024</v>
      </c>
      <c r="F9588" s="30" t="s">
        <v>2046</v>
      </c>
      <c r="H9588" s="30" t="s">
        <v>2859</v>
      </c>
      <c r="J9588" s="30" t="s">
        <v>3390</v>
      </c>
      <c r="L9588" s="30" t="s">
        <v>3442</v>
      </c>
      <c r="N9588" s="30" t="s">
        <v>3460</v>
      </c>
      <c r="P9588" s="30" t="s">
        <v>16072</v>
      </c>
      <c r="Q9588" t="s">
        <v>621</v>
      </c>
      <c r="R9588" t="s">
        <v>917</v>
      </c>
      <c r="S9588">
        <v>39</v>
      </c>
      <c r="T9588" s="29" t="str">
        <f t="shared" si="407"/>
        <v>2023.001B.Leviviricetes_reorg.zip</v>
      </c>
      <c r="U9588" s="29" t="str">
        <f>HYPERLINK("https://ictv.global/taxonomy/taxondetails?taxnode_id=202316924","ictv.global=202316924")</f>
        <v>ictv.global=202316924</v>
      </c>
    </row>
    <row r="9589" spans="1:21">
      <c r="A9589">
        <v>9588</v>
      </c>
      <c r="B9589" s="30" t="s">
        <v>1226</v>
      </c>
      <c r="D9589" s="30" t="s">
        <v>2024</v>
      </c>
      <c r="F9589" s="30" t="s">
        <v>2046</v>
      </c>
      <c r="H9589" s="30" t="s">
        <v>2859</v>
      </c>
      <c r="J9589" s="30" t="s">
        <v>3390</v>
      </c>
      <c r="L9589" s="30" t="s">
        <v>3442</v>
      </c>
      <c r="N9589" s="30" t="s">
        <v>3460</v>
      </c>
      <c r="P9589" s="30" t="s">
        <v>3462</v>
      </c>
      <c r="Q9589" t="s">
        <v>621</v>
      </c>
      <c r="R9589" t="s">
        <v>917</v>
      </c>
      <c r="S9589">
        <v>36</v>
      </c>
      <c r="T9589" s="29" t="str">
        <f>HYPERLINK("https://ictv.global/ictv/proposals/2020.095B.R.Leviviricetes.zip","2020.095B.R.Leviviricetes.zip")</f>
        <v>2020.095B.R.Leviviricetes.zip</v>
      </c>
      <c r="U9589" s="29" t="str">
        <f>HYPERLINK("https://ictv.global/taxonomy/taxondetails?taxnode_id=202311060","ictv.global=202311060")</f>
        <v>ictv.global=202311060</v>
      </c>
    </row>
    <row r="9590" spans="1:21">
      <c r="A9590">
        <v>9589</v>
      </c>
      <c r="B9590" s="30" t="s">
        <v>1226</v>
      </c>
      <c r="D9590" s="30" t="s">
        <v>2024</v>
      </c>
      <c r="F9590" s="30" t="s">
        <v>2046</v>
      </c>
      <c r="H9590" s="30" t="s">
        <v>2859</v>
      </c>
      <c r="J9590" s="30" t="s">
        <v>3390</v>
      </c>
      <c r="L9590" s="30" t="s">
        <v>3442</v>
      </c>
      <c r="N9590" s="30" t="s">
        <v>3460</v>
      </c>
      <c r="P9590" s="30" t="s">
        <v>3463</v>
      </c>
      <c r="Q9590" t="s">
        <v>621</v>
      </c>
      <c r="R9590" t="s">
        <v>917</v>
      </c>
      <c r="S9590">
        <v>36</v>
      </c>
      <c r="T9590" s="29" t="str">
        <f>HYPERLINK("https://ictv.global/ictv/proposals/2020.095B.R.Leviviricetes.zip","2020.095B.R.Leviviricetes.zip")</f>
        <v>2020.095B.R.Leviviricetes.zip</v>
      </c>
      <c r="U9590" s="29" t="str">
        <f>HYPERLINK("https://ictv.global/taxonomy/taxondetails?taxnode_id=202311062","ictv.global=202311062")</f>
        <v>ictv.global=202311062</v>
      </c>
    </row>
    <row r="9591" spans="1:21">
      <c r="A9591">
        <v>9590</v>
      </c>
      <c r="B9591" s="30" t="s">
        <v>1226</v>
      </c>
      <c r="D9591" s="30" t="s">
        <v>2024</v>
      </c>
      <c r="F9591" s="30" t="s">
        <v>2046</v>
      </c>
      <c r="H9591" s="30" t="s">
        <v>2859</v>
      </c>
      <c r="J9591" s="30" t="s">
        <v>3390</v>
      </c>
      <c r="L9591" s="30" t="s">
        <v>3442</v>
      </c>
      <c r="N9591" s="30" t="s">
        <v>3460</v>
      </c>
      <c r="P9591" s="30" t="s">
        <v>16073</v>
      </c>
      <c r="Q9591" t="s">
        <v>621</v>
      </c>
      <c r="R9591" t="s">
        <v>917</v>
      </c>
      <c r="S9591">
        <v>39</v>
      </c>
      <c r="T9591" s="29" t="str">
        <f t="shared" ref="T9591:T9615" si="408">HYPERLINK("https://ictv.global/ictv/proposals/2023.001B.Leviviricetes_reorg.zip","2023.001B.Leviviricetes_reorg.zip")</f>
        <v>2023.001B.Leviviricetes_reorg.zip</v>
      </c>
      <c r="U9591" s="29" t="str">
        <f>HYPERLINK("https://ictv.global/taxonomy/taxondetails?taxnode_id=202316925","ictv.global=202316925")</f>
        <v>ictv.global=202316925</v>
      </c>
    </row>
    <row r="9592" spans="1:21">
      <c r="A9592">
        <v>9591</v>
      </c>
      <c r="B9592" s="30" t="s">
        <v>1226</v>
      </c>
      <c r="D9592" s="30" t="s">
        <v>2024</v>
      </c>
      <c r="F9592" s="30" t="s">
        <v>2046</v>
      </c>
      <c r="H9592" s="30" t="s">
        <v>2859</v>
      </c>
      <c r="J9592" s="30" t="s">
        <v>3390</v>
      </c>
      <c r="L9592" s="30" t="s">
        <v>3442</v>
      </c>
      <c r="N9592" s="30" t="s">
        <v>3460</v>
      </c>
      <c r="P9592" s="30" t="s">
        <v>16074</v>
      </c>
      <c r="Q9592" t="s">
        <v>621</v>
      </c>
      <c r="R9592" t="s">
        <v>917</v>
      </c>
      <c r="S9592">
        <v>39</v>
      </c>
      <c r="T9592" s="29" t="str">
        <f t="shared" si="408"/>
        <v>2023.001B.Leviviricetes_reorg.zip</v>
      </c>
      <c r="U9592" s="29" t="str">
        <f>HYPERLINK("https://ictv.global/taxonomy/taxondetails?taxnode_id=202316926","ictv.global=202316926")</f>
        <v>ictv.global=202316926</v>
      </c>
    </row>
    <row r="9593" spans="1:21">
      <c r="A9593">
        <v>9592</v>
      </c>
      <c r="B9593" s="30" t="s">
        <v>1226</v>
      </c>
      <c r="D9593" s="30" t="s">
        <v>2024</v>
      </c>
      <c r="F9593" s="30" t="s">
        <v>2046</v>
      </c>
      <c r="H9593" s="30" t="s">
        <v>2859</v>
      </c>
      <c r="J9593" s="30" t="s">
        <v>3390</v>
      </c>
      <c r="L9593" s="30" t="s">
        <v>3442</v>
      </c>
      <c r="N9593" s="30" t="s">
        <v>3460</v>
      </c>
      <c r="P9593" s="30" t="s">
        <v>16075</v>
      </c>
      <c r="Q9593" t="s">
        <v>621</v>
      </c>
      <c r="R9593" t="s">
        <v>917</v>
      </c>
      <c r="S9593">
        <v>39</v>
      </c>
      <c r="T9593" s="29" t="str">
        <f t="shared" si="408"/>
        <v>2023.001B.Leviviricetes_reorg.zip</v>
      </c>
      <c r="U9593" s="29" t="str">
        <f>HYPERLINK("https://ictv.global/taxonomy/taxondetails?taxnode_id=202316927","ictv.global=202316927")</f>
        <v>ictv.global=202316927</v>
      </c>
    </row>
    <row r="9594" spans="1:21">
      <c r="A9594">
        <v>9593</v>
      </c>
      <c r="B9594" s="30" t="s">
        <v>1226</v>
      </c>
      <c r="D9594" s="30" t="s">
        <v>2024</v>
      </c>
      <c r="F9594" s="30" t="s">
        <v>2046</v>
      </c>
      <c r="H9594" s="30" t="s">
        <v>2859</v>
      </c>
      <c r="J9594" s="30" t="s">
        <v>3390</v>
      </c>
      <c r="L9594" s="30" t="s">
        <v>3442</v>
      </c>
      <c r="N9594" s="30" t="s">
        <v>3460</v>
      </c>
      <c r="P9594" s="30" t="s">
        <v>16076</v>
      </c>
      <c r="Q9594" t="s">
        <v>621</v>
      </c>
      <c r="R9594" t="s">
        <v>917</v>
      </c>
      <c r="S9594">
        <v>39</v>
      </c>
      <c r="T9594" s="29" t="str">
        <f t="shared" si="408"/>
        <v>2023.001B.Leviviricetes_reorg.zip</v>
      </c>
      <c r="U9594" s="29" t="str">
        <f>HYPERLINK("https://ictv.global/taxonomy/taxondetails?taxnode_id=202316928","ictv.global=202316928")</f>
        <v>ictv.global=202316928</v>
      </c>
    </row>
    <row r="9595" spans="1:21">
      <c r="A9595">
        <v>9594</v>
      </c>
      <c r="B9595" s="30" t="s">
        <v>1226</v>
      </c>
      <c r="D9595" s="30" t="s">
        <v>2024</v>
      </c>
      <c r="F9595" s="30" t="s">
        <v>2046</v>
      </c>
      <c r="H9595" s="30" t="s">
        <v>2859</v>
      </c>
      <c r="J9595" s="30" t="s">
        <v>3390</v>
      </c>
      <c r="L9595" s="30" t="s">
        <v>3442</v>
      </c>
      <c r="N9595" s="30" t="s">
        <v>16077</v>
      </c>
      <c r="P9595" s="30" t="s">
        <v>16078</v>
      </c>
      <c r="Q9595" t="s">
        <v>621</v>
      </c>
      <c r="R9595" t="s">
        <v>917</v>
      </c>
      <c r="S9595">
        <v>39</v>
      </c>
      <c r="T9595" s="29" t="str">
        <f t="shared" si="408"/>
        <v>2023.001B.Leviviricetes_reorg.zip</v>
      </c>
      <c r="U9595" s="29" t="str">
        <f>HYPERLINK("https://ictv.global/taxonomy/taxondetails?taxnode_id=202316929","ictv.global=202316929")</f>
        <v>ictv.global=202316929</v>
      </c>
    </row>
    <row r="9596" spans="1:21">
      <c r="A9596">
        <v>9595</v>
      </c>
      <c r="B9596" s="30" t="s">
        <v>1226</v>
      </c>
      <c r="D9596" s="30" t="s">
        <v>2024</v>
      </c>
      <c r="F9596" s="30" t="s">
        <v>2046</v>
      </c>
      <c r="H9596" s="30" t="s">
        <v>2859</v>
      </c>
      <c r="J9596" s="30" t="s">
        <v>3390</v>
      </c>
      <c r="L9596" s="30" t="s">
        <v>3442</v>
      </c>
      <c r="N9596" s="30" t="s">
        <v>16079</v>
      </c>
      <c r="P9596" s="30" t="s">
        <v>16080</v>
      </c>
      <c r="Q9596" t="s">
        <v>621</v>
      </c>
      <c r="R9596" t="s">
        <v>918</v>
      </c>
      <c r="S9596">
        <v>39</v>
      </c>
      <c r="T9596" s="29" t="str">
        <f t="shared" si="408"/>
        <v>2023.001B.Leviviricetes_reorg.zip</v>
      </c>
      <c r="U9596" s="29" t="str">
        <f>HYPERLINK("https://ictv.global/taxonomy/taxondetails?taxnode_id=202310983","ictv.global=202310983")</f>
        <v>ictv.global=202310983</v>
      </c>
    </row>
    <row r="9597" spans="1:21">
      <c r="A9597">
        <v>9596</v>
      </c>
      <c r="B9597" s="30" t="s">
        <v>1226</v>
      </c>
      <c r="D9597" s="30" t="s">
        <v>2024</v>
      </c>
      <c r="F9597" s="30" t="s">
        <v>2046</v>
      </c>
      <c r="H9597" s="30" t="s">
        <v>2859</v>
      </c>
      <c r="J9597" s="30" t="s">
        <v>3390</v>
      </c>
      <c r="L9597" s="30" t="s">
        <v>3442</v>
      </c>
      <c r="N9597" s="30" t="s">
        <v>16081</v>
      </c>
      <c r="P9597" s="30" t="s">
        <v>16082</v>
      </c>
      <c r="Q9597" t="s">
        <v>621</v>
      </c>
      <c r="R9597" t="s">
        <v>917</v>
      </c>
      <c r="S9597">
        <v>39</v>
      </c>
      <c r="T9597" s="29" t="str">
        <f t="shared" si="408"/>
        <v>2023.001B.Leviviricetes_reorg.zip</v>
      </c>
      <c r="U9597" s="29" t="str">
        <f>HYPERLINK("https://ictv.global/taxonomy/taxondetails?taxnode_id=202316930","ictv.global=202316930")</f>
        <v>ictv.global=202316930</v>
      </c>
    </row>
    <row r="9598" spans="1:21">
      <c r="A9598">
        <v>9597</v>
      </c>
      <c r="B9598" s="30" t="s">
        <v>1226</v>
      </c>
      <c r="D9598" s="30" t="s">
        <v>2024</v>
      </c>
      <c r="F9598" s="30" t="s">
        <v>2046</v>
      </c>
      <c r="H9598" s="30" t="s">
        <v>2859</v>
      </c>
      <c r="J9598" s="30" t="s">
        <v>3390</v>
      </c>
      <c r="L9598" s="30" t="s">
        <v>3442</v>
      </c>
      <c r="N9598" s="30" t="s">
        <v>16083</v>
      </c>
      <c r="P9598" s="30" t="s">
        <v>16084</v>
      </c>
      <c r="Q9598" t="s">
        <v>621</v>
      </c>
      <c r="R9598" t="s">
        <v>917</v>
      </c>
      <c r="S9598">
        <v>39</v>
      </c>
      <c r="T9598" s="29" t="str">
        <f t="shared" si="408"/>
        <v>2023.001B.Leviviricetes_reorg.zip</v>
      </c>
      <c r="U9598" s="29" t="str">
        <f>HYPERLINK("https://ictv.global/taxonomy/taxondetails?taxnode_id=202316931","ictv.global=202316931")</f>
        <v>ictv.global=202316931</v>
      </c>
    </row>
    <row r="9599" spans="1:21">
      <c r="A9599">
        <v>9598</v>
      </c>
      <c r="B9599" s="30" t="s">
        <v>1226</v>
      </c>
      <c r="D9599" s="30" t="s">
        <v>2024</v>
      </c>
      <c r="F9599" s="30" t="s">
        <v>2046</v>
      </c>
      <c r="H9599" s="30" t="s">
        <v>2859</v>
      </c>
      <c r="J9599" s="30" t="s">
        <v>3390</v>
      </c>
      <c r="L9599" s="30" t="s">
        <v>3442</v>
      </c>
      <c r="N9599" s="30" t="s">
        <v>16085</v>
      </c>
      <c r="P9599" s="30" t="s">
        <v>16086</v>
      </c>
      <c r="Q9599" t="s">
        <v>621</v>
      </c>
      <c r="R9599" t="s">
        <v>917</v>
      </c>
      <c r="S9599">
        <v>39</v>
      </c>
      <c r="T9599" s="29" t="str">
        <f t="shared" si="408"/>
        <v>2023.001B.Leviviricetes_reorg.zip</v>
      </c>
      <c r="U9599" s="29" t="str">
        <f>HYPERLINK("https://ictv.global/taxonomy/taxondetails?taxnode_id=202316932","ictv.global=202316932")</f>
        <v>ictv.global=202316932</v>
      </c>
    </row>
    <row r="9600" spans="1:21">
      <c r="A9600">
        <v>9599</v>
      </c>
      <c r="B9600" s="30" t="s">
        <v>1226</v>
      </c>
      <c r="D9600" s="30" t="s">
        <v>2024</v>
      </c>
      <c r="F9600" s="30" t="s">
        <v>2046</v>
      </c>
      <c r="H9600" s="30" t="s">
        <v>2859</v>
      </c>
      <c r="J9600" s="30" t="s">
        <v>3390</v>
      </c>
      <c r="L9600" s="30" t="s">
        <v>3442</v>
      </c>
      <c r="N9600" s="30" t="s">
        <v>16087</v>
      </c>
      <c r="P9600" s="30" t="s">
        <v>16088</v>
      </c>
      <c r="Q9600" t="s">
        <v>621</v>
      </c>
      <c r="R9600" t="s">
        <v>917</v>
      </c>
      <c r="S9600">
        <v>39</v>
      </c>
      <c r="T9600" s="29" t="str">
        <f t="shared" si="408"/>
        <v>2023.001B.Leviviricetes_reorg.zip</v>
      </c>
      <c r="U9600" s="29" t="str">
        <f>HYPERLINK("https://ictv.global/taxonomy/taxondetails?taxnode_id=202316933","ictv.global=202316933")</f>
        <v>ictv.global=202316933</v>
      </c>
    </row>
    <row r="9601" spans="1:21">
      <c r="A9601">
        <v>9600</v>
      </c>
      <c r="B9601" s="30" t="s">
        <v>1226</v>
      </c>
      <c r="D9601" s="30" t="s">
        <v>2024</v>
      </c>
      <c r="F9601" s="30" t="s">
        <v>2046</v>
      </c>
      <c r="H9601" s="30" t="s">
        <v>2859</v>
      </c>
      <c r="J9601" s="30" t="s">
        <v>3390</v>
      </c>
      <c r="L9601" s="30" t="s">
        <v>3442</v>
      </c>
      <c r="N9601" s="30" t="s">
        <v>16089</v>
      </c>
      <c r="P9601" s="30" t="s">
        <v>16090</v>
      </c>
      <c r="Q9601" t="s">
        <v>621</v>
      </c>
      <c r="R9601" t="s">
        <v>917</v>
      </c>
      <c r="S9601">
        <v>39</v>
      </c>
      <c r="T9601" s="29" t="str">
        <f t="shared" si="408"/>
        <v>2023.001B.Leviviricetes_reorg.zip</v>
      </c>
      <c r="U9601" s="29" t="str">
        <f>HYPERLINK("https://ictv.global/taxonomy/taxondetails?taxnode_id=202316934","ictv.global=202316934")</f>
        <v>ictv.global=202316934</v>
      </c>
    </row>
    <row r="9602" spans="1:21">
      <c r="A9602">
        <v>9601</v>
      </c>
      <c r="B9602" s="30" t="s">
        <v>1226</v>
      </c>
      <c r="D9602" s="30" t="s">
        <v>2024</v>
      </c>
      <c r="F9602" s="30" t="s">
        <v>2046</v>
      </c>
      <c r="H9602" s="30" t="s">
        <v>2859</v>
      </c>
      <c r="J9602" s="30" t="s">
        <v>3390</v>
      </c>
      <c r="L9602" s="30" t="s">
        <v>3442</v>
      </c>
      <c r="N9602" s="30" t="s">
        <v>16089</v>
      </c>
      <c r="P9602" s="30" t="s">
        <v>16091</v>
      </c>
      <c r="Q9602" t="s">
        <v>621</v>
      </c>
      <c r="R9602" t="s">
        <v>917</v>
      </c>
      <c r="S9602">
        <v>39</v>
      </c>
      <c r="T9602" s="29" t="str">
        <f t="shared" si="408"/>
        <v>2023.001B.Leviviricetes_reorg.zip</v>
      </c>
      <c r="U9602" s="29" t="str">
        <f>HYPERLINK("https://ictv.global/taxonomy/taxondetails?taxnode_id=202316935","ictv.global=202316935")</f>
        <v>ictv.global=202316935</v>
      </c>
    </row>
    <row r="9603" spans="1:21">
      <c r="A9603">
        <v>9602</v>
      </c>
      <c r="B9603" s="30" t="s">
        <v>1226</v>
      </c>
      <c r="D9603" s="30" t="s">
        <v>2024</v>
      </c>
      <c r="F9603" s="30" t="s">
        <v>2046</v>
      </c>
      <c r="H9603" s="30" t="s">
        <v>2859</v>
      </c>
      <c r="J9603" s="30" t="s">
        <v>3390</v>
      </c>
      <c r="L9603" s="30" t="s">
        <v>3442</v>
      </c>
      <c r="N9603" s="30" t="s">
        <v>16092</v>
      </c>
      <c r="P9603" s="30" t="s">
        <v>16093</v>
      </c>
      <c r="Q9603" t="s">
        <v>621</v>
      </c>
      <c r="R9603" t="s">
        <v>917</v>
      </c>
      <c r="S9603">
        <v>39</v>
      </c>
      <c r="T9603" s="29" t="str">
        <f t="shared" si="408"/>
        <v>2023.001B.Leviviricetes_reorg.zip</v>
      </c>
      <c r="U9603" s="29" t="str">
        <f>HYPERLINK("https://ictv.global/taxonomy/taxondetails?taxnode_id=202316936","ictv.global=202316936")</f>
        <v>ictv.global=202316936</v>
      </c>
    </row>
    <row r="9604" spans="1:21">
      <c r="A9604">
        <v>9603</v>
      </c>
      <c r="B9604" s="30" t="s">
        <v>1226</v>
      </c>
      <c r="D9604" s="30" t="s">
        <v>2024</v>
      </c>
      <c r="F9604" s="30" t="s">
        <v>2046</v>
      </c>
      <c r="H9604" s="30" t="s">
        <v>2859</v>
      </c>
      <c r="J9604" s="30" t="s">
        <v>3390</v>
      </c>
      <c r="L9604" s="30" t="s">
        <v>3442</v>
      </c>
      <c r="N9604" s="30" t="s">
        <v>16094</v>
      </c>
      <c r="P9604" s="30" t="s">
        <v>16095</v>
      </c>
      <c r="Q9604" t="s">
        <v>621</v>
      </c>
      <c r="R9604" t="s">
        <v>917</v>
      </c>
      <c r="S9604">
        <v>39</v>
      </c>
      <c r="T9604" s="29" t="str">
        <f t="shared" si="408"/>
        <v>2023.001B.Leviviricetes_reorg.zip</v>
      </c>
      <c r="U9604" s="29" t="str">
        <f>HYPERLINK("https://ictv.global/taxonomy/taxondetails?taxnode_id=202316937","ictv.global=202316937")</f>
        <v>ictv.global=202316937</v>
      </c>
    </row>
    <row r="9605" spans="1:21">
      <c r="A9605">
        <v>9604</v>
      </c>
      <c r="B9605" s="30" t="s">
        <v>1226</v>
      </c>
      <c r="D9605" s="30" t="s">
        <v>2024</v>
      </c>
      <c r="F9605" s="30" t="s">
        <v>2046</v>
      </c>
      <c r="H9605" s="30" t="s">
        <v>2859</v>
      </c>
      <c r="J9605" s="30" t="s">
        <v>3390</v>
      </c>
      <c r="L9605" s="30" t="s">
        <v>3442</v>
      </c>
      <c r="N9605" s="30" t="s">
        <v>16096</v>
      </c>
      <c r="P9605" s="30" t="s">
        <v>16097</v>
      </c>
      <c r="Q9605" t="s">
        <v>621</v>
      </c>
      <c r="R9605" t="s">
        <v>917</v>
      </c>
      <c r="S9605">
        <v>39</v>
      </c>
      <c r="T9605" s="29" t="str">
        <f t="shared" si="408"/>
        <v>2023.001B.Leviviricetes_reorg.zip</v>
      </c>
      <c r="U9605" s="29" t="str">
        <f>HYPERLINK("https://ictv.global/taxonomy/taxondetails?taxnode_id=202316938","ictv.global=202316938")</f>
        <v>ictv.global=202316938</v>
      </c>
    </row>
    <row r="9606" spans="1:21">
      <c r="A9606">
        <v>9605</v>
      </c>
      <c r="B9606" s="30" t="s">
        <v>1226</v>
      </c>
      <c r="D9606" s="30" t="s">
        <v>2024</v>
      </c>
      <c r="F9606" s="30" t="s">
        <v>2046</v>
      </c>
      <c r="H9606" s="30" t="s">
        <v>2859</v>
      </c>
      <c r="J9606" s="30" t="s">
        <v>3390</v>
      </c>
      <c r="L9606" s="30" t="s">
        <v>3442</v>
      </c>
      <c r="N9606" s="30" t="s">
        <v>16098</v>
      </c>
      <c r="P9606" s="30" t="s">
        <v>16099</v>
      </c>
      <c r="Q9606" t="s">
        <v>621</v>
      </c>
      <c r="R9606" t="s">
        <v>917</v>
      </c>
      <c r="S9606">
        <v>39</v>
      </c>
      <c r="T9606" s="29" t="str">
        <f t="shared" si="408"/>
        <v>2023.001B.Leviviricetes_reorg.zip</v>
      </c>
      <c r="U9606" s="29" t="str">
        <f>HYPERLINK("https://ictv.global/taxonomy/taxondetails?taxnode_id=202316939","ictv.global=202316939")</f>
        <v>ictv.global=202316939</v>
      </c>
    </row>
    <row r="9607" spans="1:21">
      <c r="A9607">
        <v>9606</v>
      </c>
      <c r="B9607" s="30" t="s">
        <v>1226</v>
      </c>
      <c r="D9607" s="30" t="s">
        <v>2024</v>
      </c>
      <c r="F9607" s="30" t="s">
        <v>2046</v>
      </c>
      <c r="H9607" s="30" t="s">
        <v>2859</v>
      </c>
      <c r="J9607" s="30" t="s">
        <v>3390</v>
      </c>
      <c r="L9607" s="30" t="s">
        <v>3442</v>
      </c>
      <c r="N9607" s="30" t="s">
        <v>16098</v>
      </c>
      <c r="P9607" s="30" t="s">
        <v>16100</v>
      </c>
      <c r="Q9607" t="s">
        <v>621</v>
      </c>
      <c r="R9607" t="s">
        <v>917</v>
      </c>
      <c r="S9607">
        <v>39</v>
      </c>
      <c r="T9607" s="29" t="str">
        <f t="shared" si="408"/>
        <v>2023.001B.Leviviricetes_reorg.zip</v>
      </c>
      <c r="U9607" s="29" t="str">
        <f>HYPERLINK("https://ictv.global/taxonomy/taxondetails?taxnode_id=202316940","ictv.global=202316940")</f>
        <v>ictv.global=202316940</v>
      </c>
    </row>
    <row r="9608" spans="1:21">
      <c r="A9608">
        <v>9607</v>
      </c>
      <c r="B9608" s="30" t="s">
        <v>1226</v>
      </c>
      <c r="D9608" s="30" t="s">
        <v>2024</v>
      </c>
      <c r="F9608" s="30" t="s">
        <v>2046</v>
      </c>
      <c r="H9608" s="30" t="s">
        <v>2859</v>
      </c>
      <c r="J9608" s="30" t="s">
        <v>3390</v>
      </c>
      <c r="L9608" s="30" t="s">
        <v>3442</v>
      </c>
      <c r="N9608" s="30" t="s">
        <v>16101</v>
      </c>
      <c r="P9608" s="30" t="s">
        <v>16102</v>
      </c>
      <c r="Q9608" t="s">
        <v>621</v>
      </c>
      <c r="R9608" t="s">
        <v>917</v>
      </c>
      <c r="S9608">
        <v>39</v>
      </c>
      <c r="T9608" s="29" t="str">
        <f t="shared" si="408"/>
        <v>2023.001B.Leviviricetes_reorg.zip</v>
      </c>
      <c r="U9608" s="29" t="str">
        <f>HYPERLINK("https://ictv.global/taxonomy/taxondetails?taxnode_id=202316941","ictv.global=202316941")</f>
        <v>ictv.global=202316941</v>
      </c>
    </row>
    <row r="9609" spans="1:21">
      <c r="A9609">
        <v>9608</v>
      </c>
      <c r="B9609" s="30" t="s">
        <v>1226</v>
      </c>
      <c r="D9609" s="30" t="s">
        <v>2024</v>
      </c>
      <c r="F9609" s="30" t="s">
        <v>2046</v>
      </c>
      <c r="H9609" s="30" t="s">
        <v>2859</v>
      </c>
      <c r="J9609" s="30" t="s">
        <v>3390</v>
      </c>
      <c r="L9609" s="30" t="s">
        <v>3442</v>
      </c>
      <c r="N9609" s="30" t="s">
        <v>16101</v>
      </c>
      <c r="P9609" s="30" t="s">
        <v>16103</v>
      </c>
      <c r="Q9609" t="s">
        <v>621</v>
      </c>
      <c r="R9609" t="s">
        <v>917</v>
      </c>
      <c r="S9609">
        <v>39</v>
      </c>
      <c r="T9609" s="29" t="str">
        <f t="shared" si="408"/>
        <v>2023.001B.Leviviricetes_reorg.zip</v>
      </c>
      <c r="U9609" s="29" t="str">
        <f>HYPERLINK("https://ictv.global/taxonomy/taxondetails?taxnode_id=202316942","ictv.global=202316942")</f>
        <v>ictv.global=202316942</v>
      </c>
    </row>
    <row r="9610" spans="1:21">
      <c r="A9610">
        <v>9609</v>
      </c>
      <c r="B9610" s="30" t="s">
        <v>1226</v>
      </c>
      <c r="D9610" s="30" t="s">
        <v>2024</v>
      </c>
      <c r="F9610" s="30" t="s">
        <v>2046</v>
      </c>
      <c r="H9610" s="30" t="s">
        <v>2859</v>
      </c>
      <c r="J9610" s="30" t="s">
        <v>3390</v>
      </c>
      <c r="L9610" s="30" t="s">
        <v>3442</v>
      </c>
      <c r="N9610" s="30" t="s">
        <v>16101</v>
      </c>
      <c r="P9610" s="30" t="s">
        <v>16104</v>
      </c>
      <c r="Q9610" t="s">
        <v>621</v>
      </c>
      <c r="R9610" t="s">
        <v>917</v>
      </c>
      <c r="S9610">
        <v>39</v>
      </c>
      <c r="T9610" s="29" t="str">
        <f t="shared" si="408"/>
        <v>2023.001B.Leviviricetes_reorg.zip</v>
      </c>
      <c r="U9610" s="29" t="str">
        <f>HYPERLINK("https://ictv.global/taxonomy/taxondetails?taxnode_id=202316943","ictv.global=202316943")</f>
        <v>ictv.global=202316943</v>
      </c>
    </row>
    <row r="9611" spans="1:21">
      <c r="A9611">
        <v>9610</v>
      </c>
      <c r="B9611" s="30" t="s">
        <v>1226</v>
      </c>
      <c r="D9611" s="30" t="s">
        <v>2024</v>
      </c>
      <c r="F9611" s="30" t="s">
        <v>2046</v>
      </c>
      <c r="H9611" s="30" t="s">
        <v>2859</v>
      </c>
      <c r="J9611" s="30" t="s">
        <v>3390</v>
      </c>
      <c r="L9611" s="30" t="s">
        <v>3442</v>
      </c>
      <c r="N9611" s="30" t="s">
        <v>16101</v>
      </c>
      <c r="P9611" s="30" t="s">
        <v>16105</v>
      </c>
      <c r="Q9611" t="s">
        <v>621</v>
      </c>
      <c r="R9611" t="s">
        <v>917</v>
      </c>
      <c r="S9611">
        <v>39</v>
      </c>
      <c r="T9611" s="29" t="str">
        <f t="shared" si="408"/>
        <v>2023.001B.Leviviricetes_reorg.zip</v>
      </c>
      <c r="U9611" s="29" t="str">
        <f>HYPERLINK("https://ictv.global/taxonomy/taxondetails?taxnode_id=202316944","ictv.global=202316944")</f>
        <v>ictv.global=202316944</v>
      </c>
    </row>
    <row r="9612" spans="1:21">
      <c r="A9612">
        <v>9611</v>
      </c>
      <c r="B9612" s="30" t="s">
        <v>1226</v>
      </c>
      <c r="D9612" s="30" t="s">
        <v>2024</v>
      </c>
      <c r="F9612" s="30" t="s">
        <v>2046</v>
      </c>
      <c r="H9612" s="30" t="s">
        <v>2859</v>
      </c>
      <c r="J9612" s="30" t="s">
        <v>3390</v>
      </c>
      <c r="L9612" s="30" t="s">
        <v>3442</v>
      </c>
      <c r="N9612" s="30" t="s">
        <v>16106</v>
      </c>
      <c r="P9612" s="30" t="s">
        <v>16107</v>
      </c>
      <c r="Q9612" t="s">
        <v>621</v>
      </c>
      <c r="R9612" t="s">
        <v>917</v>
      </c>
      <c r="S9612">
        <v>39</v>
      </c>
      <c r="T9612" s="29" t="str">
        <f t="shared" si="408"/>
        <v>2023.001B.Leviviricetes_reorg.zip</v>
      </c>
      <c r="U9612" s="29" t="str">
        <f>HYPERLINK("https://ictv.global/taxonomy/taxondetails?taxnode_id=202316945","ictv.global=202316945")</f>
        <v>ictv.global=202316945</v>
      </c>
    </row>
    <row r="9613" spans="1:21">
      <c r="A9613">
        <v>9612</v>
      </c>
      <c r="B9613" s="30" t="s">
        <v>1226</v>
      </c>
      <c r="D9613" s="30" t="s">
        <v>2024</v>
      </c>
      <c r="F9613" s="30" t="s">
        <v>2046</v>
      </c>
      <c r="H9613" s="30" t="s">
        <v>2859</v>
      </c>
      <c r="J9613" s="30" t="s">
        <v>3390</v>
      </c>
      <c r="L9613" s="30" t="s">
        <v>3442</v>
      </c>
      <c r="N9613" s="30" t="s">
        <v>16106</v>
      </c>
      <c r="P9613" s="30" t="s">
        <v>16108</v>
      </c>
      <c r="Q9613" t="s">
        <v>621</v>
      </c>
      <c r="R9613" t="s">
        <v>917</v>
      </c>
      <c r="S9613">
        <v>39</v>
      </c>
      <c r="T9613" s="29" t="str">
        <f t="shared" si="408"/>
        <v>2023.001B.Leviviricetes_reorg.zip</v>
      </c>
      <c r="U9613" s="29" t="str">
        <f>HYPERLINK("https://ictv.global/taxonomy/taxondetails?taxnode_id=202316946","ictv.global=202316946")</f>
        <v>ictv.global=202316946</v>
      </c>
    </row>
    <row r="9614" spans="1:21">
      <c r="A9614">
        <v>9613</v>
      </c>
      <c r="B9614" s="30" t="s">
        <v>1226</v>
      </c>
      <c r="D9614" s="30" t="s">
        <v>2024</v>
      </c>
      <c r="F9614" s="30" t="s">
        <v>2046</v>
      </c>
      <c r="H9614" s="30" t="s">
        <v>2859</v>
      </c>
      <c r="J9614" s="30" t="s">
        <v>3390</v>
      </c>
      <c r="L9614" s="30" t="s">
        <v>3442</v>
      </c>
      <c r="N9614" s="30" t="s">
        <v>16106</v>
      </c>
      <c r="P9614" s="30" t="s">
        <v>16109</v>
      </c>
      <c r="Q9614" t="s">
        <v>621</v>
      </c>
      <c r="R9614" t="s">
        <v>917</v>
      </c>
      <c r="S9614">
        <v>39</v>
      </c>
      <c r="T9614" s="29" t="str">
        <f t="shared" si="408"/>
        <v>2023.001B.Leviviricetes_reorg.zip</v>
      </c>
      <c r="U9614" s="29" t="str">
        <f>HYPERLINK("https://ictv.global/taxonomy/taxondetails?taxnode_id=202316947","ictv.global=202316947")</f>
        <v>ictv.global=202316947</v>
      </c>
    </row>
    <row r="9615" spans="1:21">
      <c r="A9615">
        <v>9614</v>
      </c>
      <c r="B9615" s="30" t="s">
        <v>1226</v>
      </c>
      <c r="D9615" s="30" t="s">
        <v>2024</v>
      </c>
      <c r="F9615" s="30" t="s">
        <v>2046</v>
      </c>
      <c r="H9615" s="30" t="s">
        <v>2859</v>
      </c>
      <c r="J9615" s="30" t="s">
        <v>3390</v>
      </c>
      <c r="L9615" s="30" t="s">
        <v>3442</v>
      </c>
      <c r="N9615" s="30" t="s">
        <v>16106</v>
      </c>
      <c r="P9615" s="30" t="s">
        <v>16110</v>
      </c>
      <c r="Q9615" t="s">
        <v>621</v>
      </c>
      <c r="R9615" t="s">
        <v>917</v>
      </c>
      <c r="S9615">
        <v>39</v>
      </c>
      <c r="T9615" s="29" t="str">
        <f t="shared" si="408"/>
        <v>2023.001B.Leviviricetes_reorg.zip</v>
      </c>
      <c r="U9615" s="29" t="str">
        <f>HYPERLINK("https://ictv.global/taxonomy/taxondetails?taxnode_id=202316948","ictv.global=202316948")</f>
        <v>ictv.global=202316948</v>
      </c>
    </row>
    <row r="9616" spans="1:21">
      <c r="A9616">
        <v>9615</v>
      </c>
      <c r="B9616" s="30" t="s">
        <v>1226</v>
      </c>
      <c r="D9616" s="30" t="s">
        <v>2024</v>
      </c>
      <c r="F9616" s="30" t="s">
        <v>2046</v>
      </c>
      <c r="H9616" s="30" t="s">
        <v>2859</v>
      </c>
      <c r="J9616" s="30" t="s">
        <v>3390</v>
      </c>
      <c r="L9616" s="30" t="s">
        <v>3442</v>
      </c>
      <c r="N9616" s="30" t="s">
        <v>3464</v>
      </c>
      <c r="P9616" s="30" t="s">
        <v>3465</v>
      </c>
      <c r="Q9616" t="s">
        <v>621</v>
      </c>
      <c r="R9616" t="s">
        <v>917</v>
      </c>
      <c r="S9616">
        <v>36</v>
      </c>
      <c r="T9616" s="29" t="str">
        <f>HYPERLINK("https://ictv.global/ictv/proposals/2020.095B.R.Leviviricetes.zip","2020.095B.R.Leviviricetes.zip")</f>
        <v>2020.095B.R.Leviviricetes.zip</v>
      </c>
      <c r="U9616" s="29" t="str">
        <f>HYPERLINK("https://ictv.global/taxonomy/taxondetails?taxnode_id=202311066","ictv.global=202311066")</f>
        <v>ictv.global=202311066</v>
      </c>
    </row>
    <row r="9617" spans="1:21">
      <c r="A9617">
        <v>9616</v>
      </c>
      <c r="B9617" s="30" t="s">
        <v>1226</v>
      </c>
      <c r="D9617" s="30" t="s">
        <v>2024</v>
      </c>
      <c r="F9617" s="30" t="s">
        <v>2046</v>
      </c>
      <c r="H9617" s="30" t="s">
        <v>2859</v>
      </c>
      <c r="J9617" s="30" t="s">
        <v>3390</v>
      </c>
      <c r="L9617" s="30" t="s">
        <v>3442</v>
      </c>
      <c r="N9617" s="30" t="s">
        <v>16111</v>
      </c>
      <c r="P9617" s="30" t="s">
        <v>16112</v>
      </c>
      <c r="Q9617" t="s">
        <v>621</v>
      </c>
      <c r="R9617" t="s">
        <v>917</v>
      </c>
      <c r="S9617">
        <v>39</v>
      </c>
      <c r="T9617" s="29" t="str">
        <f t="shared" ref="T9617:T9628" si="409">HYPERLINK("https://ictv.global/ictv/proposals/2023.001B.Leviviricetes_reorg.zip","2023.001B.Leviviricetes_reorg.zip")</f>
        <v>2023.001B.Leviviricetes_reorg.zip</v>
      </c>
      <c r="U9617" s="29" t="str">
        <f>HYPERLINK("https://ictv.global/taxonomy/taxondetails?taxnode_id=202316949","ictv.global=202316949")</f>
        <v>ictv.global=202316949</v>
      </c>
    </row>
    <row r="9618" spans="1:21">
      <c r="A9618">
        <v>9617</v>
      </c>
      <c r="B9618" s="30" t="s">
        <v>1226</v>
      </c>
      <c r="D9618" s="30" t="s">
        <v>2024</v>
      </c>
      <c r="F9618" s="30" t="s">
        <v>2046</v>
      </c>
      <c r="H9618" s="30" t="s">
        <v>2859</v>
      </c>
      <c r="J9618" s="30" t="s">
        <v>3390</v>
      </c>
      <c r="L9618" s="30" t="s">
        <v>3442</v>
      </c>
      <c r="N9618" s="30" t="s">
        <v>16111</v>
      </c>
      <c r="P9618" s="30" t="s">
        <v>16113</v>
      </c>
      <c r="Q9618" t="s">
        <v>621</v>
      </c>
      <c r="R9618" t="s">
        <v>917</v>
      </c>
      <c r="S9618">
        <v>39</v>
      </c>
      <c r="T9618" s="29" t="str">
        <f t="shared" si="409"/>
        <v>2023.001B.Leviviricetes_reorg.zip</v>
      </c>
      <c r="U9618" s="29" t="str">
        <f>HYPERLINK("https://ictv.global/taxonomy/taxondetails?taxnode_id=202316950","ictv.global=202316950")</f>
        <v>ictv.global=202316950</v>
      </c>
    </row>
    <row r="9619" spans="1:21">
      <c r="A9619">
        <v>9618</v>
      </c>
      <c r="B9619" s="30" t="s">
        <v>1226</v>
      </c>
      <c r="D9619" s="30" t="s">
        <v>2024</v>
      </c>
      <c r="F9619" s="30" t="s">
        <v>2046</v>
      </c>
      <c r="H9619" s="30" t="s">
        <v>2859</v>
      </c>
      <c r="J9619" s="30" t="s">
        <v>3390</v>
      </c>
      <c r="L9619" s="30" t="s">
        <v>3442</v>
      </c>
      <c r="N9619" s="30" t="s">
        <v>16114</v>
      </c>
      <c r="P9619" s="30" t="s">
        <v>16115</v>
      </c>
      <c r="Q9619" t="s">
        <v>621</v>
      </c>
      <c r="R9619" t="s">
        <v>917</v>
      </c>
      <c r="S9619">
        <v>39</v>
      </c>
      <c r="T9619" s="29" t="str">
        <f t="shared" si="409"/>
        <v>2023.001B.Leviviricetes_reorg.zip</v>
      </c>
      <c r="U9619" s="29" t="str">
        <f>HYPERLINK("https://ictv.global/taxonomy/taxondetails?taxnode_id=202316951","ictv.global=202316951")</f>
        <v>ictv.global=202316951</v>
      </c>
    </row>
    <row r="9620" spans="1:21">
      <c r="A9620">
        <v>9619</v>
      </c>
      <c r="B9620" s="30" t="s">
        <v>1226</v>
      </c>
      <c r="D9620" s="30" t="s">
        <v>2024</v>
      </c>
      <c r="F9620" s="30" t="s">
        <v>2046</v>
      </c>
      <c r="H9620" s="30" t="s">
        <v>2859</v>
      </c>
      <c r="J9620" s="30" t="s">
        <v>3390</v>
      </c>
      <c r="L9620" s="30" t="s">
        <v>3442</v>
      </c>
      <c r="N9620" s="30" t="s">
        <v>16116</v>
      </c>
      <c r="P9620" s="30" t="s">
        <v>16117</v>
      </c>
      <c r="Q9620" t="s">
        <v>621</v>
      </c>
      <c r="R9620" t="s">
        <v>917</v>
      </c>
      <c r="S9620">
        <v>39</v>
      </c>
      <c r="T9620" s="29" t="str">
        <f t="shared" si="409"/>
        <v>2023.001B.Leviviricetes_reorg.zip</v>
      </c>
      <c r="U9620" s="29" t="str">
        <f>HYPERLINK("https://ictv.global/taxonomy/taxondetails?taxnode_id=202316952","ictv.global=202316952")</f>
        <v>ictv.global=202316952</v>
      </c>
    </row>
    <row r="9621" spans="1:21">
      <c r="A9621">
        <v>9620</v>
      </c>
      <c r="B9621" s="30" t="s">
        <v>1226</v>
      </c>
      <c r="D9621" s="30" t="s">
        <v>2024</v>
      </c>
      <c r="F9621" s="30" t="s">
        <v>2046</v>
      </c>
      <c r="H9621" s="30" t="s">
        <v>2859</v>
      </c>
      <c r="J9621" s="30" t="s">
        <v>3390</v>
      </c>
      <c r="L9621" s="30" t="s">
        <v>3442</v>
      </c>
      <c r="N9621" s="30" t="s">
        <v>16116</v>
      </c>
      <c r="P9621" s="30" t="s">
        <v>16118</v>
      </c>
      <c r="Q9621" t="s">
        <v>621</v>
      </c>
      <c r="R9621" t="s">
        <v>917</v>
      </c>
      <c r="S9621">
        <v>39</v>
      </c>
      <c r="T9621" s="29" t="str">
        <f t="shared" si="409"/>
        <v>2023.001B.Leviviricetes_reorg.zip</v>
      </c>
      <c r="U9621" s="29" t="str">
        <f>HYPERLINK("https://ictv.global/taxonomy/taxondetails?taxnode_id=202316953","ictv.global=202316953")</f>
        <v>ictv.global=202316953</v>
      </c>
    </row>
    <row r="9622" spans="1:21">
      <c r="A9622">
        <v>9621</v>
      </c>
      <c r="B9622" s="30" t="s">
        <v>1226</v>
      </c>
      <c r="D9622" s="30" t="s">
        <v>2024</v>
      </c>
      <c r="F9622" s="30" t="s">
        <v>2046</v>
      </c>
      <c r="H9622" s="30" t="s">
        <v>2859</v>
      </c>
      <c r="J9622" s="30" t="s">
        <v>3390</v>
      </c>
      <c r="L9622" s="30" t="s">
        <v>3442</v>
      </c>
      <c r="N9622" s="30" t="s">
        <v>16116</v>
      </c>
      <c r="P9622" s="30" t="s">
        <v>16119</v>
      </c>
      <c r="Q9622" t="s">
        <v>621</v>
      </c>
      <c r="R9622" t="s">
        <v>917</v>
      </c>
      <c r="S9622">
        <v>39</v>
      </c>
      <c r="T9622" s="29" t="str">
        <f t="shared" si="409"/>
        <v>2023.001B.Leviviricetes_reorg.zip</v>
      </c>
      <c r="U9622" s="29" t="str">
        <f>HYPERLINK("https://ictv.global/taxonomy/taxondetails?taxnode_id=202316954","ictv.global=202316954")</f>
        <v>ictv.global=202316954</v>
      </c>
    </row>
    <row r="9623" spans="1:21">
      <c r="A9623">
        <v>9622</v>
      </c>
      <c r="B9623" s="30" t="s">
        <v>1226</v>
      </c>
      <c r="D9623" s="30" t="s">
        <v>2024</v>
      </c>
      <c r="F9623" s="30" t="s">
        <v>2046</v>
      </c>
      <c r="H9623" s="30" t="s">
        <v>2859</v>
      </c>
      <c r="J9623" s="30" t="s">
        <v>3390</v>
      </c>
      <c r="L9623" s="30" t="s">
        <v>3442</v>
      </c>
      <c r="N9623" s="30" t="s">
        <v>16120</v>
      </c>
      <c r="P9623" s="30" t="s">
        <v>16121</v>
      </c>
      <c r="Q9623" t="s">
        <v>621</v>
      </c>
      <c r="R9623" t="s">
        <v>917</v>
      </c>
      <c r="S9623">
        <v>39</v>
      </c>
      <c r="T9623" s="29" t="str">
        <f t="shared" si="409"/>
        <v>2023.001B.Leviviricetes_reorg.zip</v>
      </c>
      <c r="U9623" s="29" t="str">
        <f>HYPERLINK("https://ictv.global/taxonomy/taxondetails?taxnode_id=202316955","ictv.global=202316955")</f>
        <v>ictv.global=202316955</v>
      </c>
    </row>
    <row r="9624" spans="1:21">
      <c r="A9624">
        <v>9623</v>
      </c>
      <c r="B9624" s="30" t="s">
        <v>1226</v>
      </c>
      <c r="D9624" s="30" t="s">
        <v>2024</v>
      </c>
      <c r="F9624" s="30" t="s">
        <v>2046</v>
      </c>
      <c r="H9624" s="30" t="s">
        <v>2859</v>
      </c>
      <c r="J9624" s="30" t="s">
        <v>3390</v>
      </c>
      <c r="L9624" s="30" t="s">
        <v>3442</v>
      </c>
      <c r="N9624" s="30" t="s">
        <v>16120</v>
      </c>
      <c r="P9624" s="30" t="s">
        <v>16122</v>
      </c>
      <c r="Q9624" t="s">
        <v>621</v>
      </c>
      <c r="R9624" t="s">
        <v>917</v>
      </c>
      <c r="S9624">
        <v>39</v>
      </c>
      <c r="T9624" s="29" t="str">
        <f t="shared" si="409"/>
        <v>2023.001B.Leviviricetes_reorg.zip</v>
      </c>
      <c r="U9624" s="29" t="str">
        <f>HYPERLINK("https://ictv.global/taxonomy/taxondetails?taxnode_id=202316956","ictv.global=202316956")</f>
        <v>ictv.global=202316956</v>
      </c>
    </row>
    <row r="9625" spans="1:21">
      <c r="A9625">
        <v>9624</v>
      </c>
      <c r="B9625" s="30" t="s">
        <v>1226</v>
      </c>
      <c r="D9625" s="30" t="s">
        <v>2024</v>
      </c>
      <c r="F9625" s="30" t="s">
        <v>2046</v>
      </c>
      <c r="H9625" s="30" t="s">
        <v>2859</v>
      </c>
      <c r="J9625" s="30" t="s">
        <v>3390</v>
      </c>
      <c r="L9625" s="30" t="s">
        <v>3442</v>
      </c>
      <c r="N9625" s="30" t="s">
        <v>16123</v>
      </c>
      <c r="P9625" s="30" t="s">
        <v>16124</v>
      </c>
      <c r="Q9625" t="s">
        <v>621</v>
      </c>
      <c r="R9625" t="s">
        <v>917</v>
      </c>
      <c r="S9625">
        <v>39</v>
      </c>
      <c r="T9625" s="29" t="str">
        <f t="shared" si="409"/>
        <v>2023.001B.Leviviricetes_reorg.zip</v>
      </c>
      <c r="U9625" s="29" t="str">
        <f>HYPERLINK("https://ictv.global/taxonomy/taxondetails?taxnode_id=202316957","ictv.global=202316957")</f>
        <v>ictv.global=202316957</v>
      </c>
    </row>
    <row r="9626" spans="1:21">
      <c r="A9626">
        <v>9625</v>
      </c>
      <c r="B9626" s="30" t="s">
        <v>1226</v>
      </c>
      <c r="D9626" s="30" t="s">
        <v>2024</v>
      </c>
      <c r="F9626" s="30" t="s">
        <v>2046</v>
      </c>
      <c r="H9626" s="30" t="s">
        <v>2859</v>
      </c>
      <c r="J9626" s="30" t="s">
        <v>3390</v>
      </c>
      <c r="L9626" s="30" t="s">
        <v>3442</v>
      </c>
      <c r="N9626" s="30" t="s">
        <v>16125</v>
      </c>
      <c r="P9626" s="30" t="s">
        <v>16126</v>
      </c>
      <c r="Q9626" t="s">
        <v>621</v>
      </c>
      <c r="R9626" t="s">
        <v>917</v>
      </c>
      <c r="S9626">
        <v>39</v>
      </c>
      <c r="T9626" s="29" t="str">
        <f t="shared" si="409"/>
        <v>2023.001B.Leviviricetes_reorg.zip</v>
      </c>
      <c r="U9626" s="29" t="str">
        <f>HYPERLINK("https://ictv.global/taxonomy/taxondetails?taxnode_id=202316958","ictv.global=202316958")</f>
        <v>ictv.global=202316958</v>
      </c>
    </row>
    <row r="9627" spans="1:21">
      <c r="A9627">
        <v>9626</v>
      </c>
      <c r="B9627" s="30" t="s">
        <v>1226</v>
      </c>
      <c r="D9627" s="30" t="s">
        <v>2024</v>
      </c>
      <c r="F9627" s="30" t="s">
        <v>2046</v>
      </c>
      <c r="H9627" s="30" t="s">
        <v>2859</v>
      </c>
      <c r="J9627" s="30" t="s">
        <v>3390</v>
      </c>
      <c r="L9627" s="30" t="s">
        <v>3442</v>
      </c>
      <c r="N9627" s="30" t="s">
        <v>16127</v>
      </c>
      <c r="P9627" s="30" t="s">
        <v>16128</v>
      </c>
      <c r="Q9627" t="s">
        <v>621</v>
      </c>
      <c r="R9627" t="s">
        <v>918</v>
      </c>
      <c r="S9627">
        <v>39</v>
      </c>
      <c r="T9627" s="29" t="str">
        <f t="shared" si="409"/>
        <v>2023.001B.Leviviricetes_reorg.zip</v>
      </c>
      <c r="U9627" s="29" t="str">
        <f>HYPERLINK("https://ictv.global/taxonomy/taxondetails?taxnode_id=202311094","ictv.global=202311094")</f>
        <v>ictv.global=202311094</v>
      </c>
    </row>
    <row r="9628" spans="1:21">
      <c r="A9628">
        <v>9627</v>
      </c>
      <c r="B9628" s="30" t="s">
        <v>1226</v>
      </c>
      <c r="D9628" s="30" t="s">
        <v>2024</v>
      </c>
      <c r="F9628" s="30" t="s">
        <v>2046</v>
      </c>
      <c r="H9628" s="30" t="s">
        <v>2859</v>
      </c>
      <c r="J9628" s="30" t="s">
        <v>3390</v>
      </c>
      <c r="L9628" s="30" t="s">
        <v>3442</v>
      </c>
      <c r="N9628" s="30" t="s">
        <v>16129</v>
      </c>
      <c r="P9628" s="30" t="s">
        <v>16130</v>
      </c>
      <c r="Q9628" t="s">
        <v>621</v>
      </c>
      <c r="R9628" t="s">
        <v>917</v>
      </c>
      <c r="S9628">
        <v>39</v>
      </c>
      <c r="T9628" s="29" t="str">
        <f t="shared" si="409"/>
        <v>2023.001B.Leviviricetes_reorg.zip</v>
      </c>
      <c r="U9628" s="29" t="str">
        <f>HYPERLINK("https://ictv.global/taxonomy/taxondetails?taxnode_id=202316959","ictv.global=202316959")</f>
        <v>ictv.global=202316959</v>
      </c>
    </row>
    <row r="9629" spans="1:21">
      <c r="A9629">
        <v>9628</v>
      </c>
      <c r="B9629" s="30" t="s">
        <v>1226</v>
      </c>
      <c r="D9629" s="30" t="s">
        <v>2024</v>
      </c>
      <c r="F9629" s="30" t="s">
        <v>2046</v>
      </c>
      <c r="H9629" s="30" t="s">
        <v>2859</v>
      </c>
      <c r="J9629" s="30" t="s">
        <v>3390</v>
      </c>
      <c r="L9629" s="30" t="s">
        <v>3442</v>
      </c>
      <c r="N9629" s="30" t="s">
        <v>3466</v>
      </c>
      <c r="P9629" s="30" t="s">
        <v>3467</v>
      </c>
      <c r="Q9629" t="s">
        <v>621</v>
      </c>
      <c r="R9629" t="s">
        <v>917</v>
      </c>
      <c r="S9629">
        <v>36</v>
      </c>
      <c r="T9629" s="29" t="str">
        <f>HYPERLINK("https://ictv.global/ictv/proposals/2020.095B.R.Leviviricetes.zip","2020.095B.R.Leviviricetes.zip")</f>
        <v>2020.095B.R.Leviviricetes.zip</v>
      </c>
      <c r="U9629" s="29" t="str">
        <f>HYPERLINK("https://ictv.global/taxonomy/taxondetails?taxnode_id=202311068","ictv.global=202311068")</f>
        <v>ictv.global=202311068</v>
      </c>
    </row>
    <row r="9630" spans="1:21">
      <c r="A9630">
        <v>9629</v>
      </c>
      <c r="B9630" s="30" t="s">
        <v>1226</v>
      </c>
      <c r="D9630" s="30" t="s">
        <v>2024</v>
      </c>
      <c r="F9630" s="30" t="s">
        <v>2046</v>
      </c>
      <c r="H9630" s="30" t="s">
        <v>2859</v>
      </c>
      <c r="J9630" s="30" t="s">
        <v>3390</v>
      </c>
      <c r="L9630" s="30" t="s">
        <v>3442</v>
      </c>
      <c r="N9630" s="30" t="s">
        <v>16131</v>
      </c>
      <c r="P9630" s="30" t="s">
        <v>16132</v>
      </c>
      <c r="Q9630" t="s">
        <v>621</v>
      </c>
      <c r="R9630" t="s">
        <v>917</v>
      </c>
      <c r="S9630">
        <v>39</v>
      </c>
      <c r="T9630" s="29" t="str">
        <f t="shared" ref="T9630:T9642" si="410">HYPERLINK("https://ictv.global/ictv/proposals/2023.001B.Leviviricetes_reorg.zip","2023.001B.Leviviricetes_reorg.zip")</f>
        <v>2023.001B.Leviviricetes_reorg.zip</v>
      </c>
      <c r="U9630" s="29" t="str">
        <f>HYPERLINK("https://ictv.global/taxonomy/taxondetails?taxnode_id=202316960","ictv.global=202316960")</f>
        <v>ictv.global=202316960</v>
      </c>
    </row>
    <row r="9631" spans="1:21">
      <c r="A9631">
        <v>9630</v>
      </c>
      <c r="B9631" s="30" t="s">
        <v>1226</v>
      </c>
      <c r="D9631" s="30" t="s">
        <v>2024</v>
      </c>
      <c r="F9631" s="30" t="s">
        <v>2046</v>
      </c>
      <c r="H9631" s="30" t="s">
        <v>2859</v>
      </c>
      <c r="J9631" s="30" t="s">
        <v>3390</v>
      </c>
      <c r="L9631" s="30" t="s">
        <v>3442</v>
      </c>
      <c r="N9631" s="30" t="s">
        <v>16131</v>
      </c>
      <c r="P9631" s="30" t="s">
        <v>16133</v>
      </c>
      <c r="Q9631" t="s">
        <v>621</v>
      </c>
      <c r="R9631" t="s">
        <v>917</v>
      </c>
      <c r="S9631">
        <v>39</v>
      </c>
      <c r="T9631" s="29" t="str">
        <f t="shared" si="410"/>
        <v>2023.001B.Leviviricetes_reorg.zip</v>
      </c>
      <c r="U9631" s="29" t="str">
        <f>HYPERLINK("https://ictv.global/taxonomy/taxondetails?taxnode_id=202316961","ictv.global=202316961")</f>
        <v>ictv.global=202316961</v>
      </c>
    </row>
    <row r="9632" spans="1:21">
      <c r="A9632">
        <v>9631</v>
      </c>
      <c r="B9632" s="30" t="s">
        <v>1226</v>
      </c>
      <c r="D9632" s="30" t="s">
        <v>2024</v>
      </c>
      <c r="F9632" s="30" t="s">
        <v>2046</v>
      </c>
      <c r="H9632" s="30" t="s">
        <v>2859</v>
      </c>
      <c r="J9632" s="30" t="s">
        <v>3390</v>
      </c>
      <c r="L9632" s="30" t="s">
        <v>3442</v>
      </c>
      <c r="N9632" s="30" t="s">
        <v>16131</v>
      </c>
      <c r="P9632" s="30" t="s">
        <v>16134</v>
      </c>
      <c r="Q9632" t="s">
        <v>621</v>
      </c>
      <c r="R9632" t="s">
        <v>917</v>
      </c>
      <c r="S9632">
        <v>39</v>
      </c>
      <c r="T9632" s="29" t="str">
        <f t="shared" si="410"/>
        <v>2023.001B.Leviviricetes_reorg.zip</v>
      </c>
      <c r="U9632" s="29" t="str">
        <f>HYPERLINK("https://ictv.global/taxonomy/taxondetails?taxnode_id=202316962","ictv.global=202316962")</f>
        <v>ictv.global=202316962</v>
      </c>
    </row>
    <row r="9633" spans="1:21">
      <c r="A9633">
        <v>9632</v>
      </c>
      <c r="B9633" s="30" t="s">
        <v>1226</v>
      </c>
      <c r="D9633" s="30" t="s">
        <v>2024</v>
      </c>
      <c r="F9633" s="30" t="s">
        <v>2046</v>
      </c>
      <c r="H9633" s="30" t="s">
        <v>2859</v>
      </c>
      <c r="J9633" s="30" t="s">
        <v>3390</v>
      </c>
      <c r="L9633" s="30" t="s">
        <v>3442</v>
      </c>
      <c r="N9633" s="30" t="s">
        <v>16131</v>
      </c>
      <c r="P9633" s="30" t="s">
        <v>16135</v>
      </c>
      <c r="Q9633" t="s">
        <v>621</v>
      </c>
      <c r="R9633" t="s">
        <v>917</v>
      </c>
      <c r="S9633">
        <v>39</v>
      </c>
      <c r="T9633" s="29" t="str">
        <f t="shared" si="410"/>
        <v>2023.001B.Leviviricetes_reorg.zip</v>
      </c>
      <c r="U9633" s="29" t="str">
        <f>HYPERLINK("https://ictv.global/taxonomy/taxondetails?taxnode_id=202316963","ictv.global=202316963")</f>
        <v>ictv.global=202316963</v>
      </c>
    </row>
    <row r="9634" spans="1:21">
      <c r="A9634">
        <v>9633</v>
      </c>
      <c r="B9634" s="30" t="s">
        <v>1226</v>
      </c>
      <c r="D9634" s="30" t="s">
        <v>2024</v>
      </c>
      <c r="F9634" s="30" t="s">
        <v>2046</v>
      </c>
      <c r="H9634" s="30" t="s">
        <v>2859</v>
      </c>
      <c r="J9634" s="30" t="s">
        <v>3390</v>
      </c>
      <c r="L9634" s="30" t="s">
        <v>3442</v>
      </c>
      <c r="N9634" s="30" t="s">
        <v>16131</v>
      </c>
      <c r="P9634" s="30" t="s">
        <v>16136</v>
      </c>
      <c r="Q9634" t="s">
        <v>621</v>
      </c>
      <c r="R9634" t="s">
        <v>917</v>
      </c>
      <c r="S9634">
        <v>39</v>
      </c>
      <c r="T9634" s="29" t="str">
        <f t="shared" si="410"/>
        <v>2023.001B.Leviviricetes_reorg.zip</v>
      </c>
      <c r="U9634" s="29" t="str">
        <f>HYPERLINK("https://ictv.global/taxonomy/taxondetails?taxnode_id=202316964","ictv.global=202316964")</f>
        <v>ictv.global=202316964</v>
      </c>
    </row>
    <row r="9635" spans="1:21">
      <c r="A9635">
        <v>9634</v>
      </c>
      <c r="B9635" s="30" t="s">
        <v>1226</v>
      </c>
      <c r="D9635" s="30" t="s">
        <v>2024</v>
      </c>
      <c r="F9635" s="30" t="s">
        <v>2046</v>
      </c>
      <c r="H9635" s="30" t="s">
        <v>2859</v>
      </c>
      <c r="J9635" s="30" t="s">
        <v>3390</v>
      </c>
      <c r="L9635" s="30" t="s">
        <v>3442</v>
      </c>
      <c r="N9635" s="30" t="s">
        <v>16131</v>
      </c>
      <c r="P9635" s="30" t="s">
        <v>16137</v>
      </c>
      <c r="Q9635" t="s">
        <v>621</v>
      </c>
      <c r="R9635" t="s">
        <v>917</v>
      </c>
      <c r="S9635">
        <v>39</v>
      </c>
      <c r="T9635" s="29" t="str">
        <f t="shared" si="410"/>
        <v>2023.001B.Leviviricetes_reorg.zip</v>
      </c>
      <c r="U9635" s="29" t="str">
        <f>HYPERLINK("https://ictv.global/taxonomy/taxondetails?taxnode_id=202316965","ictv.global=202316965")</f>
        <v>ictv.global=202316965</v>
      </c>
    </row>
    <row r="9636" spans="1:21">
      <c r="A9636">
        <v>9635</v>
      </c>
      <c r="B9636" s="30" t="s">
        <v>1226</v>
      </c>
      <c r="D9636" s="30" t="s">
        <v>2024</v>
      </c>
      <c r="F9636" s="30" t="s">
        <v>2046</v>
      </c>
      <c r="H9636" s="30" t="s">
        <v>2859</v>
      </c>
      <c r="J9636" s="30" t="s">
        <v>3390</v>
      </c>
      <c r="L9636" s="30" t="s">
        <v>3442</v>
      </c>
      <c r="N9636" s="30" t="s">
        <v>16131</v>
      </c>
      <c r="P9636" s="30" t="s">
        <v>16138</v>
      </c>
      <c r="Q9636" t="s">
        <v>621</v>
      </c>
      <c r="R9636" t="s">
        <v>917</v>
      </c>
      <c r="S9636">
        <v>39</v>
      </c>
      <c r="T9636" s="29" t="str">
        <f t="shared" si="410"/>
        <v>2023.001B.Leviviricetes_reorg.zip</v>
      </c>
      <c r="U9636" s="29" t="str">
        <f>HYPERLINK("https://ictv.global/taxonomy/taxondetails?taxnode_id=202316966","ictv.global=202316966")</f>
        <v>ictv.global=202316966</v>
      </c>
    </row>
    <row r="9637" spans="1:21">
      <c r="A9637">
        <v>9636</v>
      </c>
      <c r="B9637" s="30" t="s">
        <v>1226</v>
      </c>
      <c r="D9637" s="30" t="s">
        <v>2024</v>
      </c>
      <c r="F9637" s="30" t="s">
        <v>2046</v>
      </c>
      <c r="H9637" s="30" t="s">
        <v>2859</v>
      </c>
      <c r="J9637" s="30" t="s">
        <v>3390</v>
      </c>
      <c r="L9637" s="30" t="s">
        <v>3442</v>
      </c>
      <c r="N9637" s="30" t="s">
        <v>16139</v>
      </c>
      <c r="P9637" s="30" t="s">
        <v>16140</v>
      </c>
      <c r="Q9637" t="s">
        <v>621</v>
      </c>
      <c r="R9637" t="s">
        <v>917</v>
      </c>
      <c r="S9637">
        <v>39</v>
      </c>
      <c r="T9637" s="29" t="str">
        <f t="shared" si="410"/>
        <v>2023.001B.Leviviricetes_reorg.zip</v>
      </c>
      <c r="U9637" s="29" t="str">
        <f>HYPERLINK("https://ictv.global/taxonomy/taxondetails?taxnode_id=202316967","ictv.global=202316967")</f>
        <v>ictv.global=202316967</v>
      </c>
    </row>
    <row r="9638" spans="1:21">
      <c r="A9638">
        <v>9637</v>
      </c>
      <c r="B9638" s="30" t="s">
        <v>1226</v>
      </c>
      <c r="D9638" s="30" t="s">
        <v>2024</v>
      </c>
      <c r="F9638" s="30" t="s">
        <v>2046</v>
      </c>
      <c r="H9638" s="30" t="s">
        <v>2859</v>
      </c>
      <c r="J9638" s="30" t="s">
        <v>3390</v>
      </c>
      <c r="L9638" s="30" t="s">
        <v>3442</v>
      </c>
      <c r="N9638" s="30" t="s">
        <v>16141</v>
      </c>
      <c r="P9638" s="30" t="s">
        <v>16142</v>
      </c>
      <c r="Q9638" t="s">
        <v>621</v>
      </c>
      <c r="R9638" t="s">
        <v>917</v>
      </c>
      <c r="S9638">
        <v>39</v>
      </c>
      <c r="T9638" s="29" t="str">
        <f t="shared" si="410"/>
        <v>2023.001B.Leviviricetes_reorg.zip</v>
      </c>
      <c r="U9638" s="29" t="str">
        <f>HYPERLINK("https://ictv.global/taxonomy/taxondetails?taxnode_id=202316968","ictv.global=202316968")</f>
        <v>ictv.global=202316968</v>
      </c>
    </row>
    <row r="9639" spans="1:21">
      <c r="A9639">
        <v>9638</v>
      </c>
      <c r="B9639" s="30" t="s">
        <v>1226</v>
      </c>
      <c r="D9639" s="30" t="s">
        <v>2024</v>
      </c>
      <c r="F9639" s="30" t="s">
        <v>2046</v>
      </c>
      <c r="H9639" s="30" t="s">
        <v>2859</v>
      </c>
      <c r="J9639" s="30" t="s">
        <v>3390</v>
      </c>
      <c r="L9639" s="30" t="s">
        <v>3442</v>
      </c>
      <c r="N9639" s="30" t="s">
        <v>16141</v>
      </c>
      <c r="P9639" s="30" t="s">
        <v>16143</v>
      </c>
      <c r="Q9639" t="s">
        <v>621</v>
      </c>
      <c r="R9639" t="s">
        <v>917</v>
      </c>
      <c r="S9639">
        <v>39</v>
      </c>
      <c r="T9639" s="29" t="str">
        <f t="shared" si="410"/>
        <v>2023.001B.Leviviricetes_reorg.zip</v>
      </c>
      <c r="U9639" s="29" t="str">
        <f>HYPERLINK("https://ictv.global/taxonomy/taxondetails?taxnode_id=202316969","ictv.global=202316969")</f>
        <v>ictv.global=202316969</v>
      </c>
    </row>
    <row r="9640" spans="1:21">
      <c r="A9640">
        <v>9639</v>
      </c>
      <c r="B9640" s="30" t="s">
        <v>1226</v>
      </c>
      <c r="D9640" s="30" t="s">
        <v>2024</v>
      </c>
      <c r="F9640" s="30" t="s">
        <v>2046</v>
      </c>
      <c r="H9640" s="30" t="s">
        <v>2859</v>
      </c>
      <c r="J9640" s="30" t="s">
        <v>3390</v>
      </c>
      <c r="L9640" s="30" t="s">
        <v>3442</v>
      </c>
      <c r="N9640" s="30" t="s">
        <v>16141</v>
      </c>
      <c r="P9640" s="30" t="s">
        <v>16144</v>
      </c>
      <c r="Q9640" t="s">
        <v>621</v>
      </c>
      <c r="R9640" t="s">
        <v>917</v>
      </c>
      <c r="S9640">
        <v>39</v>
      </c>
      <c r="T9640" s="29" t="str">
        <f t="shared" si="410"/>
        <v>2023.001B.Leviviricetes_reorg.zip</v>
      </c>
      <c r="U9640" s="29" t="str">
        <f>HYPERLINK("https://ictv.global/taxonomy/taxondetails?taxnode_id=202316970","ictv.global=202316970")</f>
        <v>ictv.global=202316970</v>
      </c>
    </row>
    <row r="9641" spans="1:21">
      <c r="A9641">
        <v>9640</v>
      </c>
      <c r="B9641" s="30" t="s">
        <v>1226</v>
      </c>
      <c r="D9641" s="30" t="s">
        <v>2024</v>
      </c>
      <c r="F9641" s="30" t="s">
        <v>2046</v>
      </c>
      <c r="H9641" s="30" t="s">
        <v>2859</v>
      </c>
      <c r="J9641" s="30" t="s">
        <v>3390</v>
      </c>
      <c r="L9641" s="30" t="s">
        <v>3442</v>
      </c>
      <c r="N9641" s="30" t="s">
        <v>16141</v>
      </c>
      <c r="P9641" s="30" t="s">
        <v>16145</v>
      </c>
      <c r="Q9641" t="s">
        <v>621</v>
      </c>
      <c r="R9641" t="s">
        <v>917</v>
      </c>
      <c r="S9641">
        <v>39</v>
      </c>
      <c r="T9641" s="29" t="str">
        <f t="shared" si="410"/>
        <v>2023.001B.Leviviricetes_reorg.zip</v>
      </c>
      <c r="U9641" s="29" t="str">
        <f>HYPERLINK("https://ictv.global/taxonomy/taxondetails?taxnode_id=202316971","ictv.global=202316971")</f>
        <v>ictv.global=202316971</v>
      </c>
    </row>
    <row r="9642" spans="1:21">
      <c r="A9642">
        <v>9641</v>
      </c>
      <c r="B9642" s="30" t="s">
        <v>1226</v>
      </c>
      <c r="D9642" s="30" t="s">
        <v>2024</v>
      </c>
      <c r="F9642" s="30" t="s">
        <v>2046</v>
      </c>
      <c r="H9642" s="30" t="s">
        <v>2859</v>
      </c>
      <c r="J9642" s="30" t="s">
        <v>3390</v>
      </c>
      <c r="L9642" s="30" t="s">
        <v>3442</v>
      </c>
      <c r="N9642" s="30" t="s">
        <v>16146</v>
      </c>
      <c r="P9642" s="30" t="s">
        <v>16147</v>
      </c>
      <c r="Q9642" t="s">
        <v>621</v>
      </c>
      <c r="R9642" t="s">
        <v>917</v>
      </c>
      <c r="S9642">
        <v>39</v>
      </c>
      <c r="T9642" s="29" t="str">
        <f t="shared" si="410"/>
        <v>2023.001B.Leviviricetes_reorg.zip</v>
      </c>
      <c r="U9642" s="29" t="str">
        <f>HYPERLINK("https://ictv.global/taxonomy/taxondetails?taxnode_id=202316972","ictv.global=202316972")</f>
        <v>ictv.global=202316972</v>
      </c>
    </row>
    <row r="9643" spans="1:21">
      <c r="A9643">
        <v>9642</v>
      </c>
      <c r="B9643" s="30" t="s">
        <v>1226</v>
      </c>
      <c r="D9643" s="30" t="s">
        <v>2024</v>
      </c>
      <c r="F9643" s="30" t="s">
        <v>2046</v>
      </c>
      <c r="H9643" s="30" t="s">
        <v>2859</v>
      </c>
      <c r="J9643" s="30" t="s">
        <v>3390</v>
      </c>
      <c r="L9643" s="30" t="s">
        <v>3442</v>
      </c>
      <c r="N9643" s="30" t="s">
        <v>3468</v>
      </c>
      <c r="P9643" s="30" t="s">
        <v>3469</v>
      </c>
      <c r="Q9643" t="s">
        <v>621</v>
      </c>
      <c r="R9643" t="s">
        <v>917</v>
      </c>
      <c r="S9643">
        <v>36</v>
      </c>
      <c r="T9643" s="29" t="str">
        <f>HYPERLINK("https://ictv.global/ictv/proposals/2020.095B.R.Leviviricetes.zip","2020.095B.R.Leviviricetes.zip")</f>
        <v>2020.095B.R.Leviviricetes.zip</v>
      </c>
      <c r="U9643" s="29" t="str">
        <f>HYPERLINK("https://ictv.global/taxonomy/taxondetails?taxnode_id=202311075","ictv.global=202311075")</f>
        <v>ictv.global=202311075</v>
      </c>
    </row>
    <row r="9644" spans="1:21">
      <c r="A9644">
        <v>9643</v>
      </c>
      <c r="B9644" s="30" t="s">
        <v>1226</v>
      </c>
      <c r="D9644" s="30" t="s">
        <v>2024</v>
      </c>
      <c r="F9644" s="30" t="s">
        <v>2046</v>
      </c>
      <c r="H9644" s="30" t="s">
        <v>2859</v>
      </c>
      <c r="J9644" s="30" t="s">
        <v>3390</v>
      </c>
      <c r="L9644" s="30" t="s">
        <v>3442</v>
      </c>
      <c r="N9644" s="30" t="s">
        <v>3468</v>
      </c>
      <c r="P9644" s="30" t="s">
        <v>3470</v>
      </c>
      <c r="Q9644" t="s">
        <v>621</v>
      </c>
      <c r="R9644" t="s">
        <v>917</v>
      </c>
      <c r="S9644">
        <v>36</v>
      </c>
      <c r="T9644" s="29" t="str">
        <f>HYPERLINK("https://ictv.global/ictv/proposals/2020.095B.R.Leviviricetes.zip","2020.095B.R.Leviviricetes.zip")</f>
        <v>2020.095B.R.Leviviricetes.zip</v>
      </c>
      <c r="U9644" s="29" t="str">
        <f>HYPERLINK("https://ictv.global/taxonomy/taxondetails?taxnode_id=202311074","ictv.global=202311074")</f>
        <v>ictv.global=202311074</v>
      </c>
    </row>
    <row r="9645" spans="1:21">
      <c r="A9645">
        <v>9644</v>
      </c>
      <c r="B9645" s="30" t="s">
        <v>1226</v>
      </c>
      <c r="D9645" s="30" t="s">
        <v>2024</v>
      </c>
      <c r="F9645" s="30" t="s">
        <v>2046</v>
      </c>
      <c r="H9645" s="30" t="s">
        <v>2859</v>
      </c>
      <c r="J9645" s="30" t="s">
        <v>3390</v>
      </c>
      <c r="L9645" s="30" t="s">
        <v>3442</v>
      </c>
      <c r="N9645" s="30" t="s">
        <v>16148</v>
      </c>
      <c r="P9645" s="30" t="s">
        <v>16149</v>
      </c>
      <c r="Q9645" t="s">
        <v>621</v>
      </c>
      <c r="R9645" t="s">
        <v>917</v>
      </c>
      <c r="S9645">
        <v>39</v>
      </c>
      <c r="T9645" s="29" t="str">
        <f t="shared" ref="T9645:T9682" si="411">HYPERLINK("https://ictv.global/ictv/proposals/2023.001B.Leviviricetes_reorg.zip","2023.001B.Leviviricetes_reorg.zip")</f>
        <v>2023.001B.Leviviricetes_reorg.zip</v>
      </c>
      <c r="U9645" s="29" t="str">
        <f>HYPERLINK("https://ictv.global/taxonomy/taxondetails?taxnode_id=202316973","ictv.global=202316973")</f>
        <v>ictv.global=202316973</v>
      </c>
    </row>
    <row r="9646" spans="1:21">
      <c r="A9646">
        <v>9645</v>
      </c>
      <c r="B9646" s="30" t="s">
        <v>1226</v>
      </c>
      <c r="D9646" s="30" t="s">
        <v>2024</v>
      </c>
      <c r="F9646" s="30" t="s">
        <v>2046</v>
      </c>
      <c r="H9646" s="30" t="s">
        <v>2859</v>
      </c>
      <c r="J9646" s="30" t="s">
        <v>3390</v>
      </c>
      <c r="L9646" s="30" t="s">
        <v>3442</v>
      </c>
      <c r="N9646" s="30" t="s">
        <v>16150</v>
      </c>
      <c r="P9646" s="30" t="s">
        <v>16151</v>
      </c>
      <c r="Q9646" t="s">
        <v>621</v>
      </c>
      <c r="R9646" t="s">
        <v>917</v>
      </c>
      <c r="S9646">
        <v>39</v>
      </c>
      <c r="T9646" s="29" t="str">
        <f t="shared" si="411"/>
        <v>2023.001B.Leviviricetes_reorg.zip</v>
      </c>
      <c r="U9646" s="29" t="str">
        <f>HYPERLINK("https://ictv.global/taxonomy/taxondetails?taxnode_id=202316974","ictv.global=202316974")</f>
        <v>ictv.global=202316974</v>
      </c>
    </row>
    <row r="9647" spans="1:21">
      <c r="A9647">
        <v>9646</v>
      </c>
      <c r="B9647" s="30" t="s">
        <v>1226</v>
      </c>
      <c r="D9647" s="30" t="s">
        <v>2024</v>
      </c>
      <c r="F9647" s="30" t="s">
        <v>2046</v>
      </c>
      <c r="H9647" s="30" t="s">
        <v>2859</v>
      </c>
      <c r="J9647" s="30" t="s">
        <v>3390</v>
      </c>
      <c r="L9647" s="30" t="s">
        <v>3442</v>
      </c>
      <c r="N9647" s="30" t="s">
        <v>16150</v>
      </c>
      <c r="P9647" s="30" t="s">
        <v>16152</v>
      </c>
      <c r="Q9647" t="s">
        <v>621</v>
      </c>
      <c r="R9647" t="s">
        <v>917</v>
      </c>
      <c r="S9647">
        <v>39</v>
      </c>
      <c r="T9647" s="29" t="str">
        <f t="shared" si="411"/>
        <v>2023.001B.Leviviricetes_reorg.zip</v>
      </c>
      <c r="U9647" s="29" t="str">
        <f>HYPERLINK("https://ictv.global/taxonomy/taxondetails?taxnode_id=202316975","ictv.global=202316975")</f>
        <v>ictv.global=202316975</v>
      </c>
    </row>
    <row r="9648" spans="1:21">
      <c r="A9648">
        <v>9647</v>
      </c>
      <c r="B9648" s="30" t="s">
        <v>1226</v>
      </c>
      <c r="D9648" s="30" t="s">
        <v>2024</v>
      </c>
      <c r="F9648" s="30" t="s">
        <v>2046</v>
      </c>
      <c r="H9648" s="30" t="s">
        <v>2859</v>
      </c>
      <c r="J9648" s="30" t="s">
        <v>3390</v>
      </c>
      <c r="L9648" s="30" t="s">
        <v>3442</v>
      </c>
      <c r="N9648" s="30" t="s">
        <v>16150</v>
      </c>
      <c r="P9648" s="30" t="s">
        <v>16153</v>
      </c>
      <c r="Q9648" t="s">
        <v>621</v>
      </c>
      <c r="R9648" t="s">
        <v>917</v>
      </c>
      <c r="S9648">
        <v>39</v>
      </c>
      <c r="T9648" s="29" t="str">
        <f t="shared" si="411"/>
        <v>2023.001B.Leviviricetes_reorg.zip</v>
      </c>
      <c r="U9648" s="29" t="str">
        <f>HYPERLINK("https://ictv.global/taxonomy/taxondetails?taxnode_id=202316976","ictv.global=202316976")</f>
        <v>ictv.global=202316976</v>
      </c>
    </row>
    <row r="9649" spans="1:21">
      <c r="A9649">
        <v>9648</v>
      </c>
      <c r="B9649" s="30" t="s">
        <v>1226</v>
      </c>
      <c r="D9649" s="30" t="s">
        <v>2024</v>
      </c>
      <c r="F9649" s="30" t="s">
        <v>2046</v>
      </c>
      <c r="H9649" s="30" t="s">
        <v>2859</v>
      </c>
      <c r="J9649" s="30" t="s">
        <v>3390</v>
      </c>
      <c r="L9649" s="30" t="s">
        <v>3442</v>
      </c>
      <c r="N9649" s="30" t="s">
        <v>16150</v>
      </c>
      <c r="P9649" s="30" t="s">
        <v>16154</v>
      </c>
      <c r="Q9649" t="s">
        <v>621</v>
      </c>
      <c r="R9649" t="s">
        <v>917</v>
      </c>
      <c r="S9649">
        <v>39</v>
      </c>
      <c r="T9649" s="29" t="str">
        <f t="shared" si="411"/>
        <v>2023.001B.Leviviricetes_reorg.zip</v>
      </c>
      <c r="U9649" s="29" t="str">
        <f>HYPERLINK("https://ictv.global/taxonomy/taxondetails?taxnode_id=202316977","ictv.global=202316977")</f>
        <v>ictv.global=202316977</v>
      </c>
    </row>
    <row r="9650" spans="1:21">
      <c r="A9650">
        <v>9649</v>
      </c>
      <c r="B9650" s="30" t="s">
        <v>1226</v>
      </c>
      <c r="D9650" s="30" t="s">
        <v>2024</v>
      </c>
      <c r="F9650" s="30" t="s">
        <v>2046</v>
      </c>
      <c r="H9650" s="30" t="s">
        <v>2859</v>
      </c>
      <c r="J9650" s="30" t="s">
        <v>3390</v>
      </c>
      <c r="L9650" s="30" t="s">
        <v>3442</v>
      </c>
      <c r="N9650" s="30" t="s">
        <v>16150</v>
      </c>
      <c r="P9650" s="30" t="s">
        <v>16155</v>
      </c>
      <c r="Q9650" t="s">
        <v>621</v>
      </c>
      <c r="R9650" t="s">
        <v>917</v>
      </c>
      <c r="S9650">
        <v>39</v>
      </c>
      <c r="T9650" s="29" t="str">
        <f t="shared" si="411"/>
        <v>2023.001B.Leviviricetes_reorg.zip</v>
      </c>
      <c r="U9650" s="29" t="str">
        <f>HYPERLINK("https://ictv.global/taxonomy/taxondetails?taxnode_id=202316978","ictv.global=202316978")</f>
        <v>ictv.global=202316978</v>
      </c>
    </row>
    <row r="9651" spans="1:21">
      <c r="A9651">
        <v>9650</v>
      </c>
      <c r="B9651" s="30" t="s">
        <v>1226</v>
      </c>
      <c r="D9651" s="30" t="s">
        <v>2024</v>
      </c>
      <c r="F9651" s="30" t="s">
        <v>2046</v>
      </c>
      <c r="H9651" s="30" t="s">
        <v>2859</v>
      </c>
      <c r="J9651" s="30" t="s">
        <v>3390</v>
      </c>
      <c r="L9651" s="30" t="s">
        <v>3442</v>
      </c>
      <c r="N9651" s="30" t="s">
        <v>16150</v>
      </c>
      <c r="P9651" s="30" t="s">
        <v>16156</v>
      </c>
      <c r="Q9651" t="s">
        <v>621</v>
      </c>
      <c r="R9651" t="s">
        <v>917</v>
      </c>
      <c r="S9651">
        <v>39</v>
      </c>
      <c r="T9651" s="29" t="str">
        <f t="shared" si="411"/>
        <v>2023.001B.Leviviricetes_reorg.zip</v>
      </c>
      <c r="U9651" s="29" t="str">
        <f>HYPERLINK("https://ictv.global/taxonomy/taxondetails?taxnode_id=202316979","ictv.global=202316979")</f>
        <v>ictv.global=202316979</v>
      </c>
    </row>
    <row r="9652" spans="1:21">
      <c r="A9652">
        <v>9651</v>
      </c>
      <c r="B9652" s="30" t="s">
        <v>1226</v>
      </c>
      <c r="D9652" s="30" t="s">
        <v>2024</v>
      </c>
      <c r="F9652" s="30" t="s">
        <v>2046</v>
      </c>
      <c r="H9652" s="30" t="s">
        <v>2859</v>
      </c>
      <c r="J9652" s="30" t="s">
        <v>3390</v>
      </c>
      <c r="L9652" s="30" t="s">
        <v>3442</v>
      </c>
      <c r="N9652" s="30" t="s">
        <v>16157</v>
      </c>
      <c r="P9652" s="30" t="s">
        <v>16158</v>
      </c>
      <c r="Q9652" t="s">
        <v>621</v>
      </c>
      <c r="R9652" t="s">
        <v>917</v>
      </c>
      <c r="S9652">
        <v>39</v>
      </c>
      <c r="T9652" s="29" t="str">
        <f t="shared" si="411"/>
        <v>2023.001B.Leviviricetes_reorg.zip</v>
      </c>
      <c r="U9652" s="29" t="str">
        <f>HYPERLINK("https://ictv.global/taxonomy/taxondetails?taxnode_id=202316980","ictv.global=202316980")</f>
        <v>ictv.global=202316980</v>
      </c>
    </row>
    <row r="9653" spans="1:21">
      <c r="A9653">
        <v>9652</v>
      </c>
      <c r="B9653" s="30" t="s">
        <v>1226</v>
      </c>
      <c r="D9653" s="30" t="s">
        <v>2024</v>
      </c>
      <c r="F9653" s="30" t="s">
        <v>2046</v>
      </c>
      <c r="H9653" s="30" t="s">
        <v>2859</v>
      </c>
      <c r="J9653" s="30" t="s">
        <v>3390</v>
      </c>
      <c r="L9653" s="30" t="s">
        <v>3442</v>
      </c>
      <c r="N9653" s="30" t="s">
        <v>16159</v>
      </c>
      <c r="P9653" s="30" t="s">
        <v>16160</v>
      </c>
      <c r="Q9653" t="s">
        <v>621</v>
      </c>
      <c r="R9653" t="s">
        <v>918</v>
      </c>
      <c r="S9653">
        <v>39</v>
      </c>
      <c r="T9653" s="29" t="str">
        <f t="shared" si="411"/>
        <v>2023.001B.Leviviricetes_reorg.zip</v>
      </c>
      <c r="U9653" s="29" t="str">
        <f>HYPERLINK("https://ictv.global/taxonomy/taxondetails?taxnode_id=202311360","ictv.global=202311360")</f>
        <v>ictv.global=202311360</v>
      </c>
    </row>
    <row r="9654" spans="1:21">
      <c r="A9654">
        <v>9653</v>
      </c>
      <c r="B9654" s="30" t="s">
        <v>1226</v>
      </c>
      <c r="D9654" s="30" t="s">
        <v>2024</v>
      </c>
      <c r="F9654" s="30" t="s">
        <v>2046</v>
      </c>
      <c r="H9654" s="30" t="s">
        <v>2859</v>
      </c>
      <c r="J9654" s="30" t="s">
        <v>3390</v>
      </c>
      <c r="L9654" s="30" t="s">
        <v>3442</v>
      </c>
      <c r="N9654" s="30" t="s">
        <v>16161</v>
      </c>
      <c r="P9654" s="30" t="s">
        <v>16162</v>
      </c>
      <c r="Q9654" t="s">
        <v>621</v>
      </c>
      <c r="R9654" t="s">
        <v>917</v>
      </c>
      <c r="S9654">
        <v>39</v>
      </c>
      <c r="T9654" s="29" t="str">
        <f t="shared" si="411"/>
        <v>2023.001B.Leviviricetes_reorg.zip</v>
      </c>
      <c r="U9654" s="29" t="str">
        <f>HYPERLINK("https://ictv.global/taxonomy/taxondetails?taxnode_id=202316981","ictv.global=202316981")</f>
        <v>ictv.global=202316981</v>
      </c>
    </row>
    <row r="9655" spans="1:21">
      <c r="A9655">
        <v>9654</v>
      </c>
      <c r="B9655" s="30" t="s">
        <v>1226</v>
      </c>
      <c r="D9655" s="30" t="s">
        <v>2024</v>
      </c>
      <c r="F9655" s="30" t="s">
        <v>2046</v>
      </c>
      <c r="H9655" s="30" t="s">
        <v>2859</v>
      </c>
      <c r="J9655" s="30" t="s">
        <v>3390</v>
      </c>
      <c r="L9655" s="30" t="s">
        <v>3442</v>
      </c>
      <c r="N9655" s="30" t="s">
        <v>16161</v>
      </c>
      <c r="P9655" s="30" t="s">
        <v>16163</v>
      </c>
      <c r="Q9655" t="s">
        <v>621</v>
      </c>
      <c r="R9655" t="s">
        <v>917</v>
      </c>
      <c r="S9655">
        <v>39</v>
      </c>
      <c r="T9655" s="29" t="str">
        <f t="shared" si="411"/>
        <v>2023.001B.Leviviricetes_reorg.zip</v>
      </c>
      <c r="U9655" s="29" t="str">
        <f>HYPERLINK("https://ictv.global/taxonomy/taxondetails?taxnode_id=202316982","ictv.global=202316982")</f>
        <v>ictv.global=202316982</v>
      </c>
    </row>
    <row r="9656" spans="1:21">
      <c r="A9656">
        <v>9655</v>
      </c>
      <c r="B9656" s="30" t="s">
        <v>1226</v>
      </c>
      <c r="D9656" s="30" t="s">
        <v>2024</v>
      </c>
      <c r="F9656" s="30" t="s">
        <v>2046</v>
      </c>
      <c r="H9656" s="30" t="s">
        <v>2859</v>
      </c>
      <c r="J9656" s="30" t="s">
        <v>3390</v>
      </c>
      <c r="L9656" s="30" t="s">
        <v>3442</v>
      </c>
      <c r="N9656" s="30" t="s">
        <v>16161</v>
      </c>
      <c r="P9656" s="30" t="s">
        <v>16164</v>
      </c>
      <c r="Q9656" t="s">
        <v>621</v>
      </c>
      <c r="R9656" t="s">
        <v>917</v>
      </c>
      <c r="S9656">
        <v>39</v>
      </c>
      <c r="T9656" s="29" t="str">
        <f t="shared" si="411"/>
        <v>2023.001B.Leviviricetes_reorg.zip</v>
      </c>
      <c r="U9656" s="29" t="str">
        <f>HYPERLINK("https://ictv.global/taxonomy/taxondetails?taxnode_id=202316983","ictv.global=202316983")</f>
        <v>ictv.global=202316983</v>
      </c>
    </row>
    <row r="9657" spans="1:21">
      <c r="A9657">
        <v>9656</v>
      </c>
      <c r="B9657" s="30" t="s">
        <v>1226</v>
      </c>
      <c r="D9657" s="30" t="s">
        <v>2024</v>
      </c>
      <c r="F9657" s="30" t="s">
        <v>2046</v>
      </c>
      <c r="H9657" s="30" t="s">
        <v>2859</v>
      </c>
      <c r="J9657" s="30" t="s">
        <v>3390</v>
      </c>
      <c r="L9657" s="30" t="s">
        <v>3442</v>
      </c>
      <c r="N9657" s="30" t="s">
        <v>16161</v>
      </c>
      <c r="P9657" s="30" t="s">
        <v>16165</v>
      </c>
      <c r="Q9657" t="s">
        <v>621</v>
      </c>
      <c r="R9657" t="s">
        <v>917</v>
      </c>
      <c r="S9657">
        <v>39</v>
      </c>
      <c r="T9657" s="29" t="str">
        <f t="shared" si="411"/>
        <v>2023.001B.Leviviricetes_reorg.zip</v>
      </c>
      <c r="U9657" s="29" t="str">
        <f>HYPERLINK("https://ictv.global/taxonomy/taxondetails?taxnode_id=202316984","ictv.global=202316984")</f>
        <v>ictv.global=202316984</v>
      </c>
    </row>
    <row r="9658" spans="1:21">
      <c r="A9658">
        <v>9657</v>
      </c>
      <c r="B9658" s="30" t="s">
        <v>1226</v>
      </c>
      <c r="D9658" s="30" t="s">
        <v>2024</v>
      </c>
      <c r="F9658" s="30" t="s">
        <v>2046</v>
      </c>
      <c r="H9658" s="30" t="s">
        <v>2859</v>
      </c>
      <c r="J9658" s="30" t="s">
        <v>3390</v>
      </c>
      <c r="L9658" s="30" t="s">
        <v>3442</v>
      </c>
      <c r="N9658" s="30" t="s">
        <v>16161</v>
      </c>
      <c r="P9658" s="30" t="s">
        <v>16166</v>
      </c>
      <c r="Q9658" t="s">
        <v>621</v>
      </c>
      <c r="R9658" t="s">
        <v>917</v>
      </c>
      <c r="S9658">
        <v>39</v>
      </c>
      <c r="T9658" s="29" t="str">
        <f t="shared" si="411"/>
        <v>2023.001B.Leviviricetes_reorg.zip</v>
      </c>
      <c r="U9658" s="29" t="str">
        <f>HYPERLINK("https://ictv.global/taxonomy/taxondetails?taxnode_id=202316985","ictv.global=202316985")</f>
        <v>ictv.global=202316985</v>
      </c>
    </row>
    <row r="9659" spans="1:21">
      <c r="A9659">
        <v>9658</v>
      </c>
      <c r="B9659" s="30" t="s">
        <v>1226</v>
      </c>
      <c r="D9659" s="30" t="s">
        <v>2024</v>
      </c>
      <c r="F9659" s="30" t="s">
        <v>2046</v>
      </c>
      <c r="H9659" s="30" t="s">
        <v>2859</v>
      </c>
      <c r="J9659" s="30" t="s">
        <v>3390</v>
      </c>
      <c r="L9659" s="30" t="s">
        <v>3442</v>
      </c>
      <c r="N9659" s="30" t="s">
        <v>16161</v>
      </c>
      <c r="P9659" s="30" t="s">
        <v>16167</v>
      </c>
      <c r="Q9659" t="s">
        <v>621</v>
      </c>
      <c r="R9659" t="s">
        <v>917</v>
      </c>
      <c r="S9659">
        <v>39</v>
      </c>
      <c r="T9659" s="29" t="str">
        <f t="shared" si="411"/>
        <v>2023.001B.Leviviricetes_reorg.zip</v>
      </c>
      <c r="U9659" s="29" t="str">
        <f>HYPERLINK("https://ictv.global/taxonomy/taxondetails?taxnode_id=202316986","ictv.global=202316986")</f>
        <v>ictv.global=202316986</v>
      </c>
    </row>
    <row r="9660" spans="1:21">
      <c r="A9660">
        <v>9659</v>
      </c>
      <c r="B9660" s="30" t="s">
        <v>1226</v>
      </c>
      <c r="D9660" s="30" t="s">
        <v>2024</v>
      </c>
      <c r="F9660" s="30" t="s">
        <v>2046</v>
      </c>
      <c r="H9660" s="30" t="s">
        <v>2859</v>
      </c>
      <c r="J9660" s="30" t="s">
        <v>3390</v>
      </c>
      <c r="L9660" s="30" t="s">
        <v>3442</v>
      </c>
      <c r="N9660" s="30" t="s">
        <v>16161</v>
      </c>
      <c r="P9660" s="30" t="s">
        <v>16168</v>
      </c>
      <c r="Q9660" t="s">
        <v>621</v>
      </c>
      <c r="R9660" t="s">
        <v>917</v>
      </c>
      <c r="S9660">
        <v>39</v>
      </c>
      <c r="T9660" s="29" t="str">
        <f t="shared" si="411"/>
        <v>2023.001B.Leviviricetes_reorg.zip</v>
      </c>
      <c r="U9660" s="29" t="str">
        <f>HYPERLINK("https://ictv.global/taxonomy/taxondetails?taxnode_id=202316987","ictv.global=202316987")</f>
        <v>ictv.global=202316987</v>
      </c>
    </row>
    <row r="9661" spans="1:21">
      <c r="A9661">
        <v>9660</v>
      </c>
      <c r="B9661" s="30" t="s">
        <v>1226</v>
      </c>
      <c r="D9661" s="30" t="s">
        <v>2024</v>
      </c>
      <c r="F9661" s="30" t="s">
        <v>2046</v>
      </c>
      <c r="H9661" s="30" t="s">
        <v>2859</v>
      </c>
      <c r="J9661" s="30" t="s">
        <v>3390</v>
      </c>
      <c r="L9661" s="30" t="s">
        <v>3442</v>
      </c>
      <c r="N9661" s="30" t="s">
        <v>16169</v>
      </c>
      <c r="P9661" s="30" t="s">
        <v>16170</v>
      </c>
      <c r="Q9661" t="s">
        <v>621</v>
      </c>
      <c r="R9661" t="s">
        <v>917</v>
      </c>
      <c r="S9661">
        <v>39</v>
      </c>
      <c r="T9661" s="29" t="str">
        <f t="shared" si="411"/>
        <v>2023.001B.Leviviricetes_reorg.zip</v>
      </c>
      <c r="U9661" s="29" t="str">
        <f>HYPERLINK("https://ictv.global/taxonomy/taxondetails?taxnode_id=202316988","ictv.global=202316988")</f>
        <v>ictv.global=202316988</v>
      </c>
    </row>
    <row r="9662" spans="1:21">
      <c r="A9662">
        <v>9661</v>
      </c>
      <c r="B9662" s="30" t="s">
        <v>1226</v>
      </c>
      <c r="D9662" s="30" t="s">
        <v>2024</v>
      </c>
      <c r="F9662" s="30" t="s">
        <v>2046</v>
      </c>
      <c r="H9662" s="30" t="s">
        <v>2859</v>
      </c>
      <c r="J9662" s="30" t="s">
        <v>3390</v>
      </c>
      <c r="L9662" s="30" t="s">
        <v>3442</v>
      </c>
      <c r="N9662" s="30" t="s">
        <v>16171</v>
      </c>
      <c r="P9662" s="30" t="s">
        <v>16172</v>
      </c>
      <c r="Q9662" t="s">
        <v>621</v>
      </c>
      <c r="R9662" t="s">
        <v>917</v>
      </c>
      <c r="S9662">
        <v>39</v>
      </c>
      <c r="T9662" s="29" t="str">
        <f t="shared" si="411"/>
        <v>2023.001B.Leviviricetes_reorg.zip</v>
      </c>
      <c r="U9662" s="29" t="str">
        <f>HYPERLINK("https://ictv.global/taxonomy/taxondetails?taxnode_id=202316989","ictv.global=202316989")</f>
        <v>ictv.global=202316989</v>
      </c>
    </row>
    <row r="9663" spans="1:21">
      <c r="A9663">
        <v>9662</v>
      </c>
      <c r="B9663" s="30" t="s">
        <v>1226</v>
      </c>
      <c r="D9663" s="30" t="s">
        <v>2024</v>
      </c>
      <c r="F9663" s="30" t="s">
        <v>2046</v>
      </c>
      <c r="H9663" s="30" t="s">
        <v>2859</v>
      </c>
      <c r="J9663" s="30" t="s">
        <v>3390</v>
      </c>
      <c r="L9663" s="30" t="s">
        <v>3442</v>
      </c>
      <c r="N9663" s="30" t="s">
        <v>16173</v>
      </c>
      <c r="P9663" s="30" t="s">
        <v>16174</v>
      </c>
      <c r="Q9663" t="s">
        <v>621</v>
      </c>
      <c r="R9663" t="s">
        <v>917</v>
      </c>
      <c r="S9663">
        <v>39</v>
      </c>
      <c r="T9663" s="29" t="str">
        <f t="shared" si="411"/>
        <v>2023.001B.Leviviricetes_reorg.zip</v>
      </c>
      <c r="U9663" s="29" t="str">
        <f>HYPERLINK("https://ictv.global/taxonomy/taxondetails?taxnode_id=202316990","ictv.global=202316990")</f>
        <v>ictv.global=202316990</v>
      </c>
    </row>
    <row r="9664" spans="1:21">
      <c r="A9664">
        <v>9663</v>
      </c>
      <c r="B9664" s="30" t="s">
        <v>1226</v>
      </c>
      <c r="D9664" s="30" t="s">
        <v>2024</v>
      </c>
      <c r="F9664" s="30" t="s">
        <v>2046</v>
      </c>
      <c r="H9664" s="30" t="s">
        <v>2859</v>
      </c>
      <c r="J9664" s="30" t="s">
        <v>3390</v>
      </c>
      <c r="L9664" s="30" t="s">
        <v>3442</v>
      </c>
      <c r="N9664" s="30" t="s">
        <v>16175</v>
      </c>
      <c r="P9664" s="30" t="s">
        <v>16176</v>
      </c>
      <c r="Q9664" t="s">
        <v>621</v>
      </c>
      <c r="R9664" t="s">
        <v>917</v>
      </c>
      <c r="S9664">
        <v>39</v>
      </c>
      <c r="T9664" s="29" t="str">
        <f t="shared" si="411"/>
        <v>2023.001B.Leviviricetes_reorg.zip</v>
      </c>
      <c r="U9664" s="29" t="str">
        <f>HYPERLINK("https://ictv.global/taxonomy/taxondetails?taxnode_id=202316991","ictv.global=202316991")</f>
        <v>ictv.global=202316991</v>
      </c>
    </row>
    <row r="9665" spans="1:21">
      <c r="A9665">
        <v>9664</v>
      </c>
      <c r="B9665" s="30" t="s">
        <v>1226</v>
      </c>
      <c r="D9665" s="30" t="s">
        <v>2024</v>
      </c>
      <c r="F9665" s="30" t="s">
        <v>2046</v>
      </c>
      <c r="H9665" s="30" t="s">
        <v>2859</v>
      </c>
      <c r="J9665" s="30" t="s">
        <v>3390</v>
      </c>
      <c r="L9665" s="30" t="s">
        <v>3442</v>
      </c>
      <c r="N9665" s="30" t="s">
        <v>16177</v>
      </c>
      <c r="P9665" s="30" t="s">
        <v>16178</v>
      </c>
      <c r="Q9665" t="s">
        <v>621</v>
      </c>
      <c r="R9665" t="s">
        <v>917</v>
      </c>
      <c r="S9665">
        <v>39</v>
      </c>
      <c r="T9665" s="29" t="str">
        <f t="shared" si="411"/>
        <v>2023.001B.Leviviricetes_reorg.zip</v>
      </c>
      <c r="U9665" s="29" t="str">
        <f>HYPERLINK("https://ictv.global/taxonomy/taxondetails?taxnode_id=202316992","ictv.global=202316992")</f>
        <v>ictv.global=202316992</v>
      </c>
    </row>
    <row r="9666" spans="1:21">
      <c r="A9666">
        <v>9665</v>
      </c>
      <c r="B9666" s="30" t="s">
        <v>1226</v>
      </c>
      <c r="D9666" s="30" t="s">
        <v>2024</v>
      </c>
      <c r="F9666" s="30" t="s">
        <v>2046</v>
      </c>
      <c r="H9666" s="30" t="s">
        <v>2859</v>
      </c>
      <c r="J9666" s="30" t="s">
        <v>3390</v>
      </c>
      <c r="L9666" s="30" t="s">
        <v>3442</v>
      </c>
      <c r="N9666" s="30" t="s">
        <v>16177</v>
      </c>
      <c r="P9666" s="30" t="s">
        <v>16179</v>
      </c>
      <c r="Q9666" t="s">
        <v>621</v>
      </c>
      <c r="R9666" t="s">
        <v>917</v>
      </c>
      <c r="S9666">
        <v>39</v>
      </c>
      <c r="T9666" s="29" t="str">
        <f t="shared" si="411"/>
        <v>2023.001B.Leviviricetes_reorg.zip</v>
      </c>
      <c r="U9666" s="29" t="str">
        <f>HYPERLINK("https://ictv.global/taxonomy/taxondetails?taxnode_id=202316993","ictv.global=202316993")</f>
        <v>ictv.global=202316993</v>
      </c>
    </row>
    <row r="9667" spans="1:21">
      <c r="A9667">
        <v>9666</v>
      </c>
      <c r="B9667" s="30" t="s">
        <v>1226</v>
      </c>
      <c r="D9667" s="30" t="s">
        <v>2024</v>
      </c>
      <c r="F9667" s="30" t="s">
        <v>2046</v>
      </c>
      <c r="H9667" s="30" t="s">
        <v>2859</v>
      </c>
      <c r="J9667" s="30" t="s">
        <v>3390</v>
      </c>
      <c r="L9667" s="30" t="s">
        <v>3442</v>
      </c>
      <c r="N9667" s="30" t="s">
        <v>16180</v>
      </c>
      <c r="P9667" s="30" t="s">
        <v>16181</v>
      </c>
      <c r="Q9667" t="s">
        <v>621</v>
      </c>
      <c r="R9667" t="s">
        <v>917</v>
      </c>
      <c r="S9667">
        <v>39</v>
      </c>
      <c r="T9667" s="29" t="str">
        <f t="shared" si="411"/>
        <v>2023.001B.Leviviricetes_reorg.zip</v>
      </c>
      <c r="U9667" s="29" t="str">
        <f>HYPERLINK("https://ictv.global/taxonomy/taxondetails?taxnode_id=202316994","ictv.global=202316994")</f>
        <v>ictv.global=202316994</v>
      </c>
    </row>
    <row r="9668" spans="1:21">
      <c r="A9668">
        <v>9667</v>
      </c>
      <c r="B9668" s="30" t="s">
        <v>1226</v>
      </c>
      <c r="D9668" s="30" t="s">
        <v>2024</v>
      </c>
      <c r="F9668" s="30" t="s">
        <v>2046</v>
      </c>
      <c r="H9668" s="30" t="s">
        <v>2859</v>
      </c>
      <c r="J9668" s="30" t="s">
        <v>3390</v>
      </c>
      <c r="L9668" s="30" t="s">
        <v>3442</v>
      </c>
      <c r="N9668" s="30" t="s">
        <v>16180</v>
      </c>
      <c r="P9668" s="30" t="s">
        <v>16182</v>
      </c>
      <c r="Q9668" t="s">
        <v>621</v>
      </c>
      <c r="R9668" t="s">
        <v>917</v>
      </c>
      <c r="S9668">
        <v>39</v>
      </c>
      <c r="T9668" s="29" t="str">
        <f t="shared" si="411"/>
        <v>2023.001B.Leviviricetes_reorg.zip</v>
      </c>
      <c r="U9668" s="29" t="str">
        <f>HYPERLINK("https://ictv.global/taxonomy/taxondetails?taxnode_id=202316995","ictv.global=202316995")</f>
        <v>ictv.global=202316995</v>
      </c>
    </row>
    <row r="9669" spans="1:21">
      <c r="A9669">
        <v>9668</v>
      </c>
      <c r="B9669" s="30" t="s">
        <v>1226</v>
      </c>
      <c r="D9669" s="30" t="s">
        <v>2024</v>
      </c>
      <c r="F9669" s="30" t="s">
        <v>2046</v>
      </c>
      <c r="H9669" s="30" t="s">
        <v>2859</v>
      </c>
      <c r="J9669" s="30" t="s">
        <v>3390</v>
      </c>
      <c r="L9669" s="30" t="s">
        <v>3442</v>
      </c>
      <c r="N9669" s="30" t="s">
        <v>16183</v>
      </c>
      <c r="P9669" s="30" t="s">
        <v>16184</v>
      </c>
      <c r="Q9669" t="s">
        <v>621</v>
      </c>
      <c r="R9669" t="s">
        <v>917</v>
      </c>
      <c r="S9669">
        <v>39</v>
      </c>
      <c r="T9669" s="29" t="str">
        <f t="shared" si="411"/>
        <v>2023.001B.Leviviricetes_reorg.zip</v>
      </c>
      <c r="U9669" s="29" t="str">
        <f>HYPERLINK("https://ictv.global/taxonomy/taxondetails?taxnode_id=202316996","ictv.global=202316996")</f>
        <v>ictv.global=202316996</v>
      </c>
    </row>
    <row r="9670" spans="1:21">
      <c r="A9670">
        <v>9669</v>
      </c>
      <c r="B9670" s="30" t="s">
        <v>1226</v>
      </c>
      <c r="D9670" s="30" t="s">
        <v>2024</v>
      </c>
      <c r="F9670" s="30" t="s">
        <v>2046</v>
      </c>
      <c r="H9670" s="30" t="s">
        <v>2859</v>
      </c>
      <c r="J9670" s="30" t="s">
        <v>3390</v>
      </c>
      <c r="L9670" s="30" t="s">
        <v>3442</v>
      </c>
      <c r="N9670" s="30" t="s">
        <v>16183</v>
      </c>
      <c r="P9670" s="30" t="s">
        <v>16185</v>
      </c>
      <c r="Q9670" t="s">
        <v>621</v>
      </c>
      <c r="R9670" t="s">
        <v>917</v>
      </c>
      <c r="S9670">
        <v>39</v>
      </c>
      <c r="T9670" s="29" t="str">
        <f t="shared" si="411"/>
        <v>2023.001B.Leviviricetes_reorg.zip</v>
      </c>
      <c r="U9670" s="29" t="str">
        <f>HYPERLINK("https://ictv.global/taxonomy/taxondetails?taxnode_id=202316997","ictv.global=202316997")</f>
        <v>ictv.global=202316997</v>
      </c>
    </row>
    <row r="9671" spans="1:21">
      <c r="A9671">
        <v>9670</v>
      </c>
      <c r="B9671" s="30" t="s">
        <v>1226</v>
      </c>
      <c r="D9671" s="30" t="s">
        <v>2024</v>
      </c>
      <c r="F9671" s="30" t="s">
        <v>2046</v>
      </c>
      <c r="H9671" s="30" t="s">
        <v>2859</v>
      </c>
      <c r="J9671" s="30" t="s">
        <v>3390</v>
      </c>
      <c r="L9671" s="30" t="s">
        <v>3442</v>
      </c>
      <c r="N9671" s="30" t="s">
        <v>16183</v>
      </c>
      <c r="P9671" s="30" t="s">
        <v>16186</v>
      </c>
      <c r="Q9671" t="s">
        <v>621</v>
      </c>
      <c r="R9671" t="s">
        <v>917</v>
      </c>
      <c r="S9671">
        <v>39</v>
      </c>
      <c r="T9671" s="29" t="str">
        <f t="shared" si="411"/>
        <v>2023.001B.Leviviricetes_reorg.zip</v>
      </c>
      <c r="U9671" s="29" t="str">
        <f>HYPERLINK("https://ictv.global/taxonomy/taxondetails?taxnode_id=202316998","ictv.global=202316998")</f>
        <v>ictv.global=202316998</v>
      </c>
    </row>
    <row r="9672" spans="1:21">
      <c r="A9672">
        <v>9671</v>
      </c>
      <c r="B9672" s="30" t="s">
        <v>1226</v>
      </c>
      <c r="D9672" s="30" t="s">
        <v>2024</v>
      </c>
      <c r="F9672" s="30" t="s">
        <v>2046</v>
      </c>
      <c r="H9672" s="30" t="s">
        <v>2859</v>
      </c>
      <c r="J9672" s="30" t="s">
        <v>3390</v>
      </c>
      <c r="L9672" s="30" t="s">
        <v>3442</v>
      </c>
      <c r="N9672" s="30" t="s">
        <v>16187</v>
      </c>
      <c r="P9672" s="30" t="s">
        <v>16188</v>
      </c>
      <c r="Q9672" t="s">
        <v>621</v>
      </c>
      <c r="R9672" t="s">
        <v>917</v>
      </c>
      <c r="S9672">
        <v>39</v>
      </c>
      <c r="T9672" s="29" t="str">
        <f t="shared" si="411"/>
        <v>2023.001B.Leviviricetes_reorg.zip</v>
      </c>
      <c r="U9672" s="29" t="str">
        <f>HYPERLINK("https://ictv.global/taxonomy/taxondetails?taxnode_id=202316999","ictv.global=202316999")</f>
        <v>ictv.global=202316999</v>
      </c>
    </row>
    <row r="9673" spans="1:21">
      <c r="A9673">
        <v>9672</v>
      </c>
      <c r="B9673" s="30" t="s">
        <v>1226</v>
      </c>
      <c r="D9673" s="30" t="s">
        <v>2024</v>
      </c>
      <c r="F9673" s="30" t="s">
        <v>2046</v>
      </c>
      <c r="H9673" s="30" t="s">
        <v>2859</v>
      </c>
      <c r="J9673" s="30" t="s">
        <v>3390</v>
      </c>
      <c r="L9673" s="30" t="s">
        <v>3442</v>
      </c>
      <c r="N9673" s="30" t="s">
        <v>16189</v>
      </c>
      <c r="P9673" s="30" t="s">
        <v>16190</v>
      </c>
      <c r="Q9673" t="s">
        <v>621</v>
      </c>
      <c r="R9673" t="s">
        <v>917</v>
      </c>
      <c r="S9673">
        <v>39</v>
      </c>
      <c r="T9673" s="29" t="str">
        <f t="shared" si="411"/>
        <v>2023.001B.Leviviricetes_reorg.zip</v>
      </c>
      <c r="U9673" s="29" t="str">
        <f>HYPERLINK("https://ictv.global/taxonomy/taxondetails?taxnode_id=202317000","ictv.global=202317000")</f>
        <v>ictv.global=202317000</v>
      </c>
    </row>
    <row r="9674" spans="1:21">
      <c r="A9674">
        <v>9673</v>
      </c>
      <c r="B9674" s="30" t="s">
        <v>1226</v>
      </c>
      <c r="D9674" s="30" t="s">
        <v>2024</v>
      </c>
      <c r="F9674" s="30" t="s">
        <v>2046</v>
      </c>
      <c r="H9674" s="30" t="s">
        <v>2859</v>
      </c>
      <c r="J9674" s="30" t="s">
        <v>3390</v>
      </c>
      <c r="L9674" s="30" t="s">
        <v>3442</v>
      </c>
      <c r="N9674" s="30" t="s">
        <v>16191</v>
      </c>
      <c r="P9674" s="30" t="s">
        <v>16192</v>
      </c>
      <c r="Q9674" t="s">
        <v>621</v>
      </c>
      <c r="R9674" t="s">
        <v>917</v>
      </c>
      <c r="S9674">
        <v>39</v>
      </c>
      <c r="T9674" s="29" t="str">
        <f t="shared" si="411"/>
        <v>2023.001B.Leviviricetes_reorg.zip</v>
      </c>
      <c r="U9674" s="29" t="str">
        <f>HYPERLINK("https://ictv.global/taxonomy/taxondetails?taxnode_id=202317001","ictv.global=202317001")</f>
        <v>ictv.global=202317001</v>
      </c>
    </row>
    <row r="9675" spans="1:21">
      <c r="A9675">
        <v>9674</v>
      </c>
      <c r="B9675" s="30" t="s">
        <v>1226</v>
      </c>
      <c r="D9675" s="30" t="s">
        <v>2024</v>
      </c>
      <c r="F9675" s="30" t="s">
        <v>2046</v>
      </c>
      <c r="H9675" s="30" t="s">
        <v>2859</v>
      </c>
      <c r="J9675" s="30" t="s">
        <v>3390</v>
      </c>
      <c r="L9675" s="30" t="s">
        <v>3442</v>
      </c>
      <c r="N9675" s="30" t="s">
        <v>16193</v>
      </c>
      <c r="P9675" s="30" t="s">
        <v>16194</v>
      </c>
      <c r="Q9675" t="s">
        <v>621</v>
      </c>
      <c r="R9675" t="s">
        <v>918</v>
      </c>
      <c r="S9675">
        <v>39</v>
      </c>
      <c r="T9675" s="29" t="str">
        <f t="shared" si="411"/>
        <v>2023.001B.Leviviricetes_reorg.zip</v>
      </c>
      <c r="U9675" s="29" t="str">
        <f>HYPERLINK("https://ictv.global/taxonomy/taxondetails?taxnode_id=202311008","ictv.global=202311008")</f>
        <v>ictv.global=202311008</v>
      </c>
    </row>
    <row r="9676" spans="1:21">
      <c r="A9676">
        <v>9675</v>
      </c>
      <c r="B9676" s="30" t="s">
        <v>1226</v>
      </c>
      <c r="D9676" s="30" t="s">
        <v>2024</v>
      </c>
      <c r="F9676" s="30" t="s">
        <v>2046</v>
      </c>
      <c r="H9676" s="30" t="s">
        <v>2859</v>
      </c>
      <c r="J9676" s="30" t="s">
        <v>3390</v>
      </c>
      <c r="L9676" s="30" t="s">
        <v>3442</v>
      </c>
      <c r="N9676" s="30" t="s">
        <v>16193</v>
      </c>
      <c r="P9676" s="30" t="s">
        <v>16195</v>
      </c>
      <c r="Q9676" t="s">
        <v>621</v>
      </c>
      <c r="R9676" t="s">
        <v>918</v>
      </c>
      <c r="S9676">
        <v>39</v>
      </c>
      <c r="T9676" s="29" t="str">
        <f t="shared" si="411"/>
        <v>2023.001B.Leviviricetes_reorg.zip</v>
      </c>
      <c r="U9676" s="29" t="str">
        <f>HYPERLINK("https://ictv.global/taxonomy/taxondetails?taxnode_id=202311010","ictv.global=202311010")</f>
        <v>ictv.global=202311010</v>
      </c>
    </row>
    <row r="9677" spans="1:21">
      <c r="A9677">
        <v>9676</v>
      </c>
      <c r="B9677" s="30" t="s">
        <v>1226</v>
      </c>
      <c r="D9677" s="30" t="s">
        <v>2024</v>
      </c>
      <c r="F9677" s="30" t="s">
        <v>2046</v>
      </c>
      <c r="H9677" s="30" t="s">
        <v>2859</v>
      </c>
      <c r="J9677" s="30" t="s">
        <v>3390</v>
      </c>
      <c r="L9677" s="30" t="s">
        <v>3442</v>
      </c>
      <c r="N9677" s="30" t="s">
        <v>16193</v>
      </c>
      <c r="P9677" s="30" t="s">
        <v>16196</v>
      </c>
      <c r="Q9677" t="s">
        <v>621</v>
      </c>
      <c r="R9677" t="s">
        <v>918</v>
      </c>
      <c r="S9677">
        <v>39</v>
      </c>
      <c r="T9677" s="29" t="str">
        <f t="shared" si="411"/>
        <v>2023.001B.Leviviricetes_reorg.zip</v>
      </c>
      <c r="U9677" s="29" t="str">
        <f>HYPERLINK("https://ictv.global/taxonomy/taxondetails?taxnode_id=202311015","ictv.global=202311015")</f>
        <v>ictv.global=202311015</v>
      </c>
    </row>
    <row r="9678" spans="1:21">
      <c r="A9678">
        <v>9677</v>
      </c>
      <c r="B9678" s="30" t="s">
        <v>1226</v>
      </c>
      <c r="D9678" s="30" t="s">
        <v>2024</v>
      </c>
      <c r="F9678" s="30" t="s">
        <v>2046</v>
      </c>
      <c r="H9678" s="30" t="s">
        <v>2859</v>
      </c>
      <c r="J9678" s="30" t="s">
        <v>3390</v>
      </c>
      <c r="L9678" s="30" t="s">
        <v>3442</v>
      </c>
      <c r="N9678" s="30" t="s">
        <v>16197</v>
      </c>
      <c r="P9678" s="30" t="s">
        <v>16198</v>
      </c>
      <c r="Q9678" t="s">
        <v>621</v>
      </c>
      <c r="R9678" t="s">
        <v>917</v>
      </c>
      <c r="S9678">
        <v>39</v>
      </c>
      <c r="T9678" s="29" t="str">
        <f t="shared" si="411"/>
        <v>2023.001B.Leviviricetes_reorg.zip</v>
      </c>
      <c r="U9678" s="29" t="str">
        <f>HYPERLINK("https://ictv.global/taxonomy/taxondetails?taxnode_id=202317002","ictv.global=202317002")</f>
        <v>ictv.global=202317002</v>
      </c>
    </row>
    <row r="9679" spans="1:21">
      <c r="A9679">
        <v>9678</v>
      </c>
      <c r="B9679" s="30" t="s">
        <v>1226</v>
      </c>
      <c r="D9679" s="30" t="s">
        <v>2024</v>
      </c>
      <c r="F9679" s="30" t="s">
        <v>2046</v>
      </c>
      <c r="H9679" s="30" t="s">
        <v>2859</v>
      </c>
      <c r="J9679" s="30" t="s">
        <v>3390</v>
      </c>
      <c r="L9679" s="30" t="s">
        <v>3442</v>
      </c>
      <c r="N9679" s="30" t="s">
        <v>3471</v>
      </c>
      <c r="P9679" s="30" t="s">
        <v>16199</v>
      </c>
      <c r="Q9679" t="s">
        <v>621</v>
      </c>
      <c r="R9679" t="s">
        <v>917</v>
      </c>
      <c r="S9679">
        <v>39</v>
      </c>
      <c r="T9679" s="29" t="str">
        <f t="shared" si="411"/>
        <v>2023.001B.Leviviricetes_reorg.zip</v>
      </c>
      <c r="U9679" s="29" t="str">
        <f>HYPERLINK("https://ictv.global/taxonomy/taxondetails?taxnode_id=202317003","ictv.global=202317003")</f>
        <v>ictv.global=202317003</v>
      </c>
    </row>
    <row r="9680" spans="1:21">
      <c r="A9680">
        <v>9679</v>
      </c>
      <c r="B9680" s="30" t="s">
        <v>1226</v>
      </c>
      <c r="D9680" s="30" t="s">
        <v>2024</v>
      </c>
      <c r="F9680" s="30" t="s">
        <v>2046</v>
      </c>
      <c r="H9680" s="30" t="s">
        <v>2859</v>
      </c>
      <c r="J9680" s="30" t="s">
        <v>3390</v>
      </c>
      <c r="L9680" s="30" t="s">
        <v>3442</v>
      </c>
      <c r="N9680" s="30" t="s">
        <v>3471</v>
      </c>
      <c r="P9680" s="30" t="s">
        <v>16200</v>
      </c>
      <c r="Q9680" t="s">
        <v>621</v>
      </c>
      <c r="R9680" t="s">
        <v>917</v>
      </c>
      <c r="S9680">
        <v>39</v>
      </c>
      <c r="T9680" s="29" t="str">
        <f t="shared" si="411"/>
        <v>2023.001B.Leviviricetes_reorg.zip</v>
      </c>
      <c r="U9680" s="29" t="str">
        <f>HYPERLINK("https://ictv.global/taxonomy/taxondetails?taxnode_id=202317004","ictv.global=202317004")</f>
        <v>ictv.global=202317004</v>
      </c>
    </row>
    <row r="9681" spans="1:21">
      <c r="A9681">
        <v>9680</v>
      </c>
      <c r="B9681" s="30" t="s">
        <v>1226</v>
      </c>
      <c r="D9681" s="30" t="s">
        <v>2024</v>
      </c>
      <c r="F9681" s="30" t="s">
        <v>2046</v>
      </c>
      <c r="H9681" s="30" t="s">
        <v>2859</v>
      </c>
      <c r="J9681" s="30" t="s">
        <v>3390</v>
      </c>
      <c r="L9681" s="30" t="s">
        <v>3442</v>
      </c>
      <c r="N9681" s="30" t="s">
        <v>3471</v>
      </c>
      <c r="P9681" s="30" t="s">
        <v>16201</v>
      </c>
      <c r="Q9681" t="s">
        <v>621</v>
      </c>
      <c r="R9681" t="s">
        <v>917</v>
      </c>
      <c r="S9681">
        <v>39</v>
      </c>
      <c r="T9681" s="29" t="str">
        <f t="shared" si="411"/>
        <v>2023.001B.Leviviricetes_reorg.zip</v>
      </c>
      <c r="U9681" s="29" t="str">
        <f>HYPERLINK("https://ictv.global/taxonomy/taxondetails?taxnode_id=202317005","ictv.global=202317005")</f>
        <v>ictv.global=202317005</v>
      </c>
    </row>
    <row r="9682" spans="1:21">
      <c r="A9682">
        <v>9681</v>
      </c>
      <c r="B9682" s="30" t="s">
        <v>1226</v>
      </c>
      <c r="D9682" s="30" t="s">
        <v>2024</v>
      </c>
      <c r="F9682" s="30" t="s">
        <v>2046</v>
      </c>
      <c r="H9682" s="30" t="s">
        <v>2859</v>
      </c>
      <c r="J9682" s="30" t="s">
        <v>3390</v>
      </c>
      <c r="L9682" s="30" t="s">
        <v>3442</v>
      </c>
      <c r="N9682" s="30" t="s">
        <v>3471</v>
      </c>
      <c r="P9682" s="30" t="s">
        <v>16202</v>
      </c>
      <c r="Q9682" t="s">
        <v>621</v>
      </c>
      <c r="R9682" t="s">
        <v>917</v>
      </c>
      <c r="S9682">
        <v>39</v>
      </c>
      <c r="T9682" s="29" t="str">
        <f t="shared" si="411"/>
        <v>2023.001B.Leviviricetes_reorg.zip</v>
      </c>
      <c r="U9682" s="29" t="str">
        <f>HYPERLINK("https://ictv.global/taxonomy/taxondetails?taxnode_id=202317006","ictv.global=202317006")</f>
        <v>ictv.global=202317006</v>
      </c>
    </row>
    <row r="9683" spans="1:21">
      <c r="A9683">
        <v>9682</v>
      </c>
      <c r="B9683" s="30" t="s">
        <v>1226</v>
      </c>
      <c r="D9683" s="30" t="s">
        <v>2024</v>
      </c>
      <c r="F9683" s="30" t="s">
        <v>2046</v>
      </c>
      <c r="H9683" s="30" t="s">
        <v>2859</v>
      </c>
      <c r="J9683" s="30" t="s">
        <v>3390</v>
      </c>
      <c r="L9683" s="30" t="s">
        <v>3442</v>
      </c>
      <c r="N9683" s="30" t="s">
        <v>3471</v>
      </c>
      <c r="P9683" s="30" t="s">
        <v>3472</v>
      </c>
      <c r="Q9683" t="s">
        <v>621</v>
      </c>
      <c r="R9683" t="s">
        <v>917</v>
      </c>
      <c r="S9683">
        <v>36</v>
      </c>
      <c r="T9683" s="29" t="str">
        <f>HYPERLINK("https://ictv.global/ictv/proposals/2020.095B.R.Leviviricetes.zip","2020.095B.R.Leviviricetes.zip")</f>
        <v>2020.095B.R.Leviviricetes.zip</v>
      </c>
      <c r="U9683" s="29" t="str">
        <f>HYPERLINK("https://ictv.global/taxonomy/taxondetails?taxnode_id=202311101","ictv.global=202311101")</f>
        <v>ictv.global=202311101</v>
      </c>
    </row>
    <row r="9684" spans="1:21">
      <c r="A9684">
        <v>9683</v>
      </c>
      <c r="B9684" s="30" t="s">
        <v>1226</v>
      </c>
      <c r="D9684" s="30" t="s">
        <v>2024</v>
      </c>
      <c r="F9684" s="30" t="s">
        <v>2046</v>
      </c>
      <c r="H9684" s="30" t="s">
        <v>2859</v>
      </c>
      <c r="J9684" s="30" t="s">
        <v>3390</v>
      </c>
      <c r="L9684" s="30" t="s">
        <v>3442</v>
      </c>
      <c r="N9684" s="30" t="s">
        <v>3471</v>
      </c>
      <c r="P9684" s="30" t="s">
        <v>3473</v>
      </c>
      <c r="Q9684" t="s">
        <v>621</v>
      </c>
      <c r="R9684" t="s">
        <v>917</v>
      </c>
      <c r="S9684">
        <v>36</v>
      </c>
      <c r="T9684" s="29" t="str">
        <f>HYPERLINK("https://ictv.global/ictv/proposals/2020.095B.R.Leviviricetes.zip","2020.095B.R.Leviviricetes.zip")</f>
        <v>2020.095B.R.Leviviricetes.zip</v>
      </c>
      <c r="U9684" s="29" t="str">
        <f>HYPERLINK("https://ictv.global/taxonomy/taxondetails?taxnode_id=202311100","ictv.global=202311100")</f>
        <v>ictv.global=202311100</v>
      </c>
    </row>
    <row r="9685" spans="1:21">
      <c r="A9685">
        <v>9684</v>
      </c>
      <c r="B9685" s="30" t="s">
        <v>1226</v>
      </c>
      <c r="D9685" s="30" t="s">
        <v>2024</v>
      </c>
      <c r="F9685" s="30" t="s">
        <v>2046</v>
      </c>
      <c r="H9685" s="30" t="s">
        <v>2859</v>
      </c>
      <c r="J9685" s="30" t="s">
        <v>3390</v>
      </c>
      <c r="L9685" s="30" t="s">
        <v>3442</v>
      </c>
      <c r="N9685" s="30" t="s">
        <v>3471</v>
      </c>
      <c r="P9685" s="30" t="s">
        <v>16203</v>
      </c>
      <c r="Q9685" t="s">
        <v>621</v>
      </c>
      <c r="R9685" t="s">
        <v>917</v>
      </c>
      <c r="S9685">
        <v>39</v>
      </c>
      <c r="T9685" s="29" t="str">
        <f t="shared" ref="T9685:T9691" si="412">HYPERLINK("https://ictv.global/ictv/proposals/2023.001B.Leviviricetes_reorg.zip","2023.001B.Leviviricetes_reorg.zip")</f>
        <v>2023.001B.Leviviricetes_reorg.zip</v>
      </c>
      <c r="U9685" s="29" t="str">
        <f>HYPERLINK("https://ictv.global/taxonomy/taxondetails?taxnode_id=202317007","ictv.global=202317007")</f>
        <v>ictv.global=202317007</v>
      </c>
    </row>
    <row r="9686" spans="1:21">
      <c r="A9686">
        <v>9685</v>
      </c>
      <c r="B9686" s="30" t="s">
        <v>1226</v>
      </c>
      <c r="D9686" s="30" t="s">
        <v>2024</v>
      </c>
      <c r="F9686" s="30" t="s">
        <v>2046</v>
      </c>
      <c r="H9686" s="30" t="s">
        <v>2859</v>
      </c>
      <c r="J9686" s="30" t="s">
        <v>3390</v>
      </c>
      <c r="L9686" s="30" t="s">
        <v>3442</v>
      </c>
      <c r="N9686" s="30" t="s">
        <v>3471</v>
      </c>
      <c r="P9686" s="30" t="s">
        <v>16204</v>
      </c>
      <c r="Q9686" t="s">
        <v>621</v>
      </c>
      <c r="R9686" t="s">
        <v>917</v>
      </c>
      <c r="S9686">
        <v>39</v>
      </c>
      <c r="T9686" s="29" t="str">
        <f t="shared" si="412"/>
        <v>2023.001B.Leviviricetes_reorg.zip</v>
      </c>
      <c r="U9686" s="29" t="str">
        <f>HYPERLINK("https://ictv.global/taxonomy/taxondetails?taxnode_id=202317008","ictv.global=202317008")</f>
        <v>ictv.global=202317008</v>
      </c>
    </row>
    <row r="9687" spans="1:21">
      <c r="A9687">
        <v>9686</v>
      </c>
      <c r="B9687" s="30" t="s">
        <v>1226</v>
      </c>
      <c r="D9687" s="30" t="s">
        <v>2024</v>
      </c>
      <c r="F9687" s="30" t="s">
        <v>2046</v>
      </c>
      <c r="H9687" s="30" t="s">
        <v>2859</v>
      </c>
      <c r="J9687" s="30" t="s">
        <v>3390</v>
      </c>
      <c r="L9687" s="30" t="s">
        <v>3442</v>
      </c>
      <c r="N9687" s="30" t="s">
        <v>3471</v>
      </c>
      <c r="P9687" s="30" t="s">
        <v>16205</v>
      </c>
      <c r="Q9687" t="s">
        <v>621</v>
      </c>
      <c r="R9687" t="s">
        <v>917</v>
      </c>
      <c r="S9687">
        <v>39</v>
      </c>
      <c r="T9687" s="29" t="str">
        <f t="shared" si="412"/>
        <v>2023.001B.Leviviricetes_reorg.zip</v>
      </c>
      <c r="U9687" s="29" t="str">
        <f>HYPERLINK("https://ictv.global/taxonomy/taxondetails?taxnode_id=202317009","ictv.global=202317009")</f>
        <v>ictv.global=202317009</v>
      </c>
    </row>
    <row r="9688" spans="1:21">
      <c r="A9688">
        <v>9687</v>
      </c>
      <c r="B9688" s="30" t="s">
        <v>1226</v>
      </c>
      <c r="D9688" s="30" t="s">
        <v>2024</v>
      </c>
      <c r="F9688" s="30" t="s">
        <v>2046</v>
      </c>
      <c r="H9688" s="30" t="s">
        <v>2859</v>
      </c>
      <c r="J9688" s="30" t="s">
        <v>3390</v>
      </c>
      <c r="L9688" s="30" t="s">
        <v>3442</v>
      </c>
      <c r="N9688" s="30" t="s">
        <v>3471</v>
      </c>
      <c r="P9688" s="30" t="s">
        <v>16206</v>
      </c>
      <c r="Q9688" t="s">
        <v>621</v>
      </c>
      <c r="R9688" t="s">
        <v>917</v>
      </c>
      <c r="S9688">
        <v>39</v>
      </c>
      <c r="T9688" s="29" t="str">
        <f t="shared" si="412"/>
        <v>2023.001B.Leviviricetes_reorg.zip</v>
      </c>
      <c r="U9688" s="29" t="str">
        <f>HYPERLINK("https://ictv.global/taxonomy/taxondetails?taxnode_id=202317010","ictv.global=202317010")</f>
        <v>ictv.global=202317010</v>
      </c>
    </row>
    <row r="9689" spans="1:21">
      <c r="A9689">
        <v>9688</v>
      </c>
      <c r="B9689" s="30" t="s">
        <v>1226</v>
      </c>
      <c r="D9689" s="30" t="s">
        <v>2024</v>
      </c>
      <c r="F9689" s="30" t="s">
        <v>2046</v>
      </c>
      <c r="H9689" s="30" t="s">
        <v>2859</v>
      </c>
      <c r="J9689" s="30" t="s">
        <v>3390</v>
      </c>
      <c r="L9689" s="30" t="s">
        <v>3442</v>
      </c>
      <c r="N9689" s="30" t="s">
        <v>16207</v>
      </c>
      <c r="P9689" s="30" t="s">
        <v>16208</v>
      </c>
      <c r="Q9689" t="s">
        <v>621</v>
      </c>
      <c r="R9689" t="s">
        <v>917</v>
      </c>
      <c r="S9689">
        <v>39</v>
      </c>
      <c r="T9689" s="29" t="str">
        <f t="shared" si="412"/>
        <v>2023.001B.Leviviricetes_reorg.zip</v>
      </c>
      <c r="U9689" s="29" t="str">
        <f>HYPERLINK("https://ictv.global/taxonomy/taxondetails?taxnode_id=202317011","ictv.global=202317011")</f>
        <v>ictv.global=202317011</v>
      </c>
    </row>
    <row r="9690" spans="1:21">
      <c r="A9690">
        <v>9689</v>
      </c>
      <c r="B9690" s="30" t="s">
        <v>1226</v>
      </c>
      <c r="D9690" s="30" t="s">
        <v>2024</v>
      </c>
      <c r="F9690" s="30" t="s">
        <v>2046</v>
      </c>
      <c r="H9690" s="30" t="s">
        <v>2859</v>
      </c>
      <c r="J9690" s="30" t="s">
        <v>3390</v>
      </c>
      <c r="L9690" s="30" t="s">
        <v>3442</v>
      </c>
      <c r="N9690" s="30" t="s">
        <v>16207</v>
      </c>
      <c r="P9690" s="30" t="s">
        <v>16209</v>
      </c>
      <c r="Q9690" t="s">
        <v>621</v>
      </c>
      <c r="R9690" t="s">
        <v>917</v>
      </c>
      <c r="S9690">
        <v>39</v>
      </c>
      <c r="T9690" s="29" t="str">
        <f t="shared" si="412"/>
        <v>2023.001B.Leviviricetes_reorg.zip</v>
      </c>
      <c r="U9690" s="29" t="str">
        <f>HYPERLINK("https://ictv.global/taxonomy/taxondetails?taxnode_id=202317012","ictv.global=202317012")</f>
        <v>ictv.global=202317012</v>
      </c>
    </row>
    <row r="9691" spans="1:21">
      <c r="A9691">
        <v>9690</v>
      </c>
      <c r="B9691" s="30" t="s">
        <v>1226</v>
      </c>
      <c r="D9691" s="30" t="s">
        <v>2024</v>
      </c>
      <c r="F9691" s="30" t="s">
        <v>2046</v>
      </c>
      <c r="H9691" s="30" t="s">
        <v>2859</v>
      </c>
      <c r="J9691" s="30" t="s">
        <v>3390</v>
      </c>
      <c r="L9691" s="30" t="s">
        <v>3442</v>
      </c>
      <c r="N9691" s="30" t="s">
        <v>3474</v>
      </c>
      <c r="P9691" s="30" t="s">
        <v>16210</v>
      </c>
      <c r="Q9691" t="s">
        <v>621</v>
      </c>
      <c r="R9691" t="s">
        <v>917</v>
      </c>
      <c r="S9691">
        <v>39</v>
      </c>
      <c r="T9691" s="29" t="str">
        <f t="shared" si="412"/>
        <v>2023.001B.Leviviricetes_reorg.zip</v>
      </c>
      <c r="U9691" s="29" t="str">
        <f>HYPERLINK("https://ictv.global/taxonomy/taxondetails?taxnode_id=202317013","ictv.global=202317013")</f>
        <v>ictv.global=202317013</v>
      </c>
    </row>
    <row r="9692" spans="1:21">
      <c r="A9692">
        <v>9691</v>
      </c>
      <c r="B9692" s="30" t="s">
        <v>1226</v>
      </c>
      <c r="D9692" s="30" t="s">
        <v>2024</v>
      </c>
      <c r="F9692" s="30" t="s">
        <v>2046</v>
      </c>
      <c r="H9692" s="30" t="s">
        <v>2859</v>
      </c>
      <c r="J9692" s="30" t="s">
        <v>3390</v>
      </c>
      <c r="L9692" s="30" t="s">
        <v>3442</v>
      </c>
      <c r="N9692" s="30" t="s">
        <v>3474</v>
      </c>
      <c r="P9692" s="30" t="s">
        <v>3475</v>
      </c>
      <c r="Q9692" t="s">
        <v>621</v>
      </c>
      <c r="R9692" t="s">
        <v>917</v>
      </c>
      <c r="S9692">
        <v>36</v>
      </c>
      <c r="T9692" s="29" t="str">
        <f>HYPERLINK("https://ictv.global/ictv/proposals/2020.095B.R.Leviviricetes.zip","2020.095B.R.Leviviricetes.zip")</f>
        <v>2020.095B.R.Leviviricetes.zip</v>
      </c>
      <c r="U9692" s="29" t="str">
        <f>HYPERLINK("https://ictv.global/taxonomy/taxondetails?taxnode_id=202311107","ictv.global=202311107")</f>
        <v>ictv.global=202311107</v>
      </c>
    </row>
    <row r="9693" spans="1:21">
      <c r="A9693">
        <v>9692</v>
      </c>
      <c r="B9693" s="30" t="s">
        <v>1226</v>
      </c>
      <c r="D9693" s="30" t="s">
        <v>2024</v>
      </c>
      <c r="F9693" s="30" t="s">
        <v>2046</v>
      </c>
      <c r="H9693" s="30" t="s">
        <v>2859</v>
      </c>
      <c r="J9693" s="30" t="s">
        <v>3390</v>
      </c>
      <c r="L9693" s="30" t="s">
        <v>3442</v>
      </c>
      <c r="N9693" s="30" t="s">
        <v>3474</v>
      </c>
      <c r="P9693" s="30" t="s">
        <v>3476</v>
      </c>
      <c r="Q9693" t="s">
        <v>621</v>
      </c>
      <c r="R9693" t="s">
        <v>917</v>
      </c>
      <c r="S9693">
        <v>36</v>
      </c>
      <c r="T9693" s="29" t="str">
        <f>HYPERLINK("https://ictv.global/ictv/proposals/2020.095B.R.Leviviricetes.zip","2020.095B.R.Leviviricetes.zip")</f>
        <v>2020.095B.R.Leviviricetes.zip</v>
      </c>
      <c r="U9693" s="29" t="str">
        <f>HYPERLINK("https://ictv.global/taxonomy/taxondetails?taxnode_id=202311108","ictv.global=202311108")</f>
        <v>ictv.global=202311108</v>
      </c>
    </row>
    <row r="9694" spans="1:21">
      <c r="A9694">
        <v>9693</v>
      </c>
      <c r="B9694" s="30" t="s">
        <v>1226</v>
      </c>
      <c r="D9694" s="30" t="s">
        <v>2024</v>
      </c>
      <c r="F9694" s="30" t="s">
        <v>2046</v>
      </c>
      <c r="H9694" s="30" t="s">
        <v>2859</v>
      </c>
      <c r="J9694" s="30" t="s">
        <v>3390</v>
      </c>
      <c r="L9694" s="30" t="s">
        <v>3442</v>
      </c>
      <c r="N9694" s="30" t="s">
        <v>3474</v>
      </c>
      <c r="P9694" s="30" t="s">
        <v>16211</v>
      </c>
      <c r="Q9694" t="s">
        <v>621</v>
      </c>
      <c r="R9694" t="s">
        <v>917</v>
      </c>
      <c r="S9694">
        <v>39</v>
      </c>
      <c r="T9694" s="29" t="str">
        <f>HYPERLINK("https://ictv.global/ictv/proposals/2023.001B.Leviviricetes_reorg.zip","2023.001B.Leviviricetes_reorg.zip")</f>
        <v>2023.001B.Leviviricetes_reorg.zip</v>
      </c>
      <c r="U9694" s="29" t="str">
        <f>HYPERLINK("https://ictv.global/taxonomy/taxondetails?taxnode_id=202317014","ictv.global=202317014")</f>
        <v>ictv.global=202317014</v>
      </c>
    </row>
    <row r="9695" spans="1:21">
      <c r="A9695">
        <v>9694</v>
      </c>
      <c r="B9695" s="30" t="s">
        <v>1226</v>
      </c>
      <c r="D9695" s="30" t="s">
        <v>2024</v>
      </c>
      <c r="F9695" s="30" t="s">
        <v>2046</v>
      </c>
      <c r="H9695" s="30" t="s">
        <v>2859</v>
      </c>
      <c r="J9695" s="30" t="s">
        <v>3390</v>
      </c>
      <c r="L9695" s="30" t="s">
        <v>3442</v>
      </c>
      <c r="N9695" s="30" t="s">
        <v>3474</v>
      </c>
      <c r="P9695" s="30" t="s">
        <v>16212</v>
      </c>
      <c r="Q9695" t="s">
        <v>621</v>
      </c>
      <c r="R9695" t="s">
        <v>917</v>
      </c>
      <c r="S9695">
        <v>39</v>
      </c>
      <c r="T9695" s="29" t="str">
        <f>HYPERLINK("https://ictv.global/ictv/proposals/2023.001B.Leviviricetes_reorg.zip","2023.001B.Leviviricetes_reorg.zip")</f>
        <v>2023.001B.Leviviricetes_reorg.zip</v>
      </c>
      <c r="U9695" s="29" t="str">
        <f>HYPERLINK("https://ictv.global/taxonomy/taxondetails?taxnode_id=202317015","ictv.global=202317015")</f>
        <v>ictv.global=202317015</v>
      </c>
    </row>
    <row r="9696" spans="1:21">
      <c r="A9696">
        <v>9695</v>
      </c>
      <c r="B9696" s="30" t="s">
        <v>1226</v>
      </c>
      <c r="D9696" s="30" t="s">
        <v>2024</v>
      </c>
      <c r="F9696" s="30" t="s">
        <v>2046</v>
      </c>
      <c r="H9696" s="30" t="s">
        <v>2859</v>
      </c>
      <c r="J9696" s="30" t="s">
        <v>3390</v>
      </c>
      <c r="L9696" s="30" t="s">
        <v>3442</v>
      </c>
      <c r="N9696" s="30" t="s">
        <v>3477</v>
      </c>
      <c r="P9696" s="30" t="s">
        <v>3478</v>
      </c>
      <c r="Q9696" t="s">
        <v>621</v>
      </c>
      <c r="R9696" t="s">
        <v>917</v>
      </c>
      <c r="S9696">
        <v>36</v>
      </c>
      <c r="T9696" s="29" t="str">
        <f>HYPERLINK("https://ictv.global/ictv/proposals/2020.095B.R.Leviviricetes.zip","2020.095B.R.Leviviricetes.zip")</f>
        <v>2020.095B.R.Leviviricetes.zip</v>
      </c>
      <c r="U9696" s="29" t="str">
        <f>HYPERLINK("https://ictv.global/taxonomy/taxondetails?taxnode_id=202311110","ictv.global=202311110")</f>
        <v>ictv.global=202311110</v>
      </c>
    </row>
    <row r="9697" spans="1:21">
      <c r="A9697">
        <v>9696</v>
      </c>
      <c r="B9697" s="30" t="s">
        <v>1226</v>
      </c>
      <c r="D9697" s="30" t="s">
        <v>2024</v>
      </c>
      <c r="F9697" s="30" t="s">
        <v>2046</v>
      </c>
      <c r="H9697" s="30" t="s">
        <v>2859</v>
      </c>
      <c r="J9697" s="30" t="s">
        <v>3390</v>
      </c>
      <c r="L9697" s="30" t="s">
        <v>3442</v>
      </c>
      <c r="N9697" s="30" t="s">
        <v>3479</v>
      </c>
      <c r="P9697" s="30" t="s">
        <v>3480</v>
      </c>
      <c r="Q9697" t="s">
        <v>621</v>
      </c>
      <c r="R9697" t="s">
        <v>917</v>
      </c>
      <c r="S9697">
        <v>36</v>
      </c>
      <c r="T9697" s="29" t="str">
        <f>HYPERLINK("https://ictv.global/ictv/proposals/2020.095B.R.Leviviricetes.zip","2020.095B.R.Leviviricetes.zip")</f>
        <v>2020.095B.R.Leviviricetes.zip</v>
      </c>
      <c r="U9697" s="29" t="str">
        <f>HYPERLINK("https://ictv.global/taxonomy/taxondetails?taxnode_id=202311112","ictv.global=202311112")</f>
        <v>ictv.global=202311112</v>
      </c>
    </row>
    <row r="9698" spans="1:21">
      <c r="A9698">
        <v>9697</v>
      </c>
      <c r="B9698" s="30" t="s">
        <v>1226</v>
      </c>
      <c r="D9698" s="30" t="s">
        <v>2024</v>
      </c>
      <c r="F9698" s="30" t="s">
        <v>2046</v>
      </c>
      <c r="H9698" s="30" t="s">
        <v>2859</v>
      </c>
      <c r="J9698" s="30" t="s">
        <v>3390</v>
      </c>
      <c r="L9698" s="30" t="s">
        <v>3442</v>
      </c>
      <c r="N9698" s="30" t="s">
        <v>3481</v>
      </c>
      <c r="P9698" s="30" t="s">
        <v>16213</v>
      </c>
      <c r="Q9698" t="s">
        <v>621</v>
      </c>
      <c r="R9698" t="s">
        <v>917</v>
      </c>
      <c r="S9698">
        <v>39</v>
      </c>
      <c r="T9698" s="29" t="str">
        <f>HYPERLINK("https://ictv.global/ictv/proposals/2023.001B.Leviviricetes_reorg.zip","2023.001B.Leviviricetes_reorg.zip")</f>
        <v>2023.001B.Leviviricetes_reorg.zip</v>
      </c>
      <c r="U9698" s="29" t="str">
        <f>HYPERLINK("https://ictv.global/taxonomy/taxondetails?taxnode_id=202317016","ictv.global=202317016")</f>
        <v>ictv.global=202317016</v>
      </c>
    </row>
    <row r="9699" spans="1:21">
      <c r="A9699">
        <v>9698</v>
      </c>
      <c r="B9699" s="30" t="s">
        <v>1226</v>
      </c>
      <c r="D9699" s="30" t="s">
        <v>2024</v>
      </c>
      <c r="F9699" s="30" t="s">
        <v>2046</v>
      </c>
      <c r="H9699" s="30" t="s">
        <v>2859</v>
      </c>
      <c r="J9699" s="30" t="s">
        <v>3390</v>
      </c>
      <c r="L9699" s="30" t="s">
        <v>3442</v>
      </c>
      <c r="N9699" s="30" t="s">
        <v>3481</v>
      </c>
      <c r="P9699" s="30" t="s">
        <v>3482</v>
      </c>
      <c r="Q9699" t="s">
        <v>621</v>
      </c>
      <c r="R9699" t="s">
        <v>917</v>
      </c>
      <c r="S9699">
        <v>36</v>
      </c>
      <c r="T9699" s="29" t="str">
        <f>HYPERLINK("https://ictv.global/ictv/proposals/2020.095B.R.Leviviricetes.zip","2020.095B.R.Leviviricetes.zip")</f>
        <v>2020.095B.R.Leviviricetes.zip</v>
      </c>
      <c r="U9699" s="29" t="str">
        <f>HYPERLINK("https://ictv.global/taxonomy/taxondetails?taxnode_id=202311114","ictv.global=202311114")</f>
        <v>ictv.global=202311114</v>
      </c>
    </row>
    <row r="9700" spans="1:21">
      <c r="A9700">
        <v>9699</v>
      </c>
      <c r="B9700" s="30" t="s">
        <v>1226</v>
      </c>
      <c r="D9700" s="30" t="s">
        <v>2024</v>
      </c>
      <c r="F9700" s="30" t="s">
        <v>2046</v>
      </c>
      <c r="H9700" s="30" t="s">
        <v>2859</v>
      </c>
      <c r="J9700" s="30" t="s">
        <v>3390</v>
      </c>
      <c r="L9700" s="30" t="s">
        <v>3442</v>
      </c>
      <c r="N9700" s="30" t="s">
        <v>3481</v>
      </c>
      <c r="P9700" s="30" t="s">
        <v>16214</v>
      </c>
      <c r="Q9700" t="s">
        <v>621</v>
      </c>
      <c r="R9700" t="s">
        <v>917</v>
      </c>
      <c r="S9700">
        <v>39</v>
      </c>
      <c r="T9700" s="29" t="str">
        <f>HYPERLINK("https://ictv.global/ictv/proposals/2023.001B.Leviviricetes_reorg.zip","2023.001B.Leviviricetes_reorg.zip")</f>
        <v>2023.001B.Leviviricetes_reorg.zip</v>
      </c>
      <c r="U9700" s="29" t="str">
        <f>HYPERLINK("https://ictv.global/taxonomy/taxondetails?taxnode_id=202317017","ictv.global=202317017")</f>
        <v>ictv.global=202317017</v>
      </c>
    </row>
    <row r="9701" spans="1:21">
      <c r="A9701">
        <v>9700</v>
      </c>
      <c r="B9701" s="30" t="s">
        <v>1226</v>
      </c>
      <c r="D9701" s="30" t="s">
        <v>2024</v>
      </c>
      <c r="F9701" s="30" t="s">
        <v>2046</v>
      </c>
      <c r="H9701" s="30" t="s">
        <v>2859</v>
      </c>
      <c r="J9701" s="30" t="s">
        <v>3390</v>
      </c>
      <c r="L9701" s="30" t="s">
        <v>3442</v>
      </c>
      <c r="N9701" s="30" t="s">
        <v>3483</v>
      </c>
      <c r="P9701" s="30" t="s">
        <v>3484</v>
      </c>
      <c r="Q9701" t="s">
        <v>621</v>
      </c>
      <c r="R9701" t="s">
        <v>917</v>
      </c>
      <c r="S9701">
        <v>36</v>
      </c>
      <c r="T9701" s="29" t="str">
        <f>HYPERLINK("https://ictv.global/ictv/proposals/2020.095B.R.Leviviricetes.zip","2020.095B.R.Leviviricetes.zip")</f>
        <v>2020.095B.R.Leviviricetes.zip</v>
      </c>
      <c r="U9701" s="29" t="str">
        <f>HYPERLINK("https://ictv.global/taxonomy/taxondetails?taxnode_id=202311116","ictv.global=202311116")</f>
        <v>ictv.global=202311116</v>
      </c>
    </row>
    <row r="9702" spans="1:21">
      <c r="A9702">
        <v>9701</v>
      </c>
      <c r="B9702" s="30" t="s">
        <v>1226</v>
      </c>
      <c r="D9702" s="30" t="s">
        <v>2024</v>
      </c>
      <c r="F9702" s="30" t="s">
        <v>2046</v>
      </c>
      <c r="H9702" s="30" t="s">
        <v>2859</v>
      </c>
      <c r="J9702" s="30" t="s">
        <v>3390</v>
      </c>
      <c r="L9702" s="30" t="s">
        <v>3442</v>
      </c>
      <c r="N9702" s="30" t="s">
        <v>3483</v>
      </c>
      <c r="P9702" s="30" t="s">
        <v>16215</v>
      </c>
      <c r="Q9702" t="s">
        <v>621</v>
      </c>
      <c r="R9702" t="s">
        <v>917</v>
      </c>
      <c r="S9702">
        <v>39</v>
      </c>
      <c r="T9702" s="29" t="str">
        <f>HYPERLINK("https://ictv.global/ictv/proposals/2023.001B.Leviviricetes_reorg.zip","2023.001B.Leviviricetes_reorg.zip")</f>
        <v>2023.001B.Leviviricetes_reorg.zip</v>
      </c>
      <c r="U9702" s="29" t="str">
        <f>HYPERLINK("https://ictv.global/taxonomy/taxondetails?taxnode_id=202317018","ictv.global=202317018")</f>
        <v>ictv.global=202317018</v>
      </c>
    </row>
    <row r="9703" spans="1:21">
      <c r="A9703">
        <v>9702</v>
      </c>
      <c r="B9703" s="30" t="s">
        <v>1226</v>
      </c>
      <c r="D9703" s="30" t="s">
        <v>2024</v>
      </c>
      <c r="F9703" s="30" t="s">
        <v>2046</v>
      </c>
      <c r="H9703" s="30" t="s">
        <v>2859</v>
      </c>
      <c r="J9703" s="30" t="s">
        <v>3390</v>
      </c>
      <c r="L9703" s="30" t="s">
        <v>3442</v>
      </c>
      <c r="N9703" s="30" t="s">
        <v>3485</v>
      </c>
      <c r="P9703" s="30" t="s">
        <v>3486</v>
      </c>
      <c r="Q9703" t="s">
        <v>621</v>
      </c>
      <c r="R9703" t="s">
        <v>917</v>
      </c>
      <c r="S9703">
        <v>36</v>
      </c>
      <c r="T9703" s="29" t="str">
        <f>HYPERLINK("https://ictv.global/ictv/proposals/2020.095B.R.Leviviricetes.zip","2020.095B.R.Leviviricetes.zip")</f>
        <v>2020.095B.R.Leviviricetes.zip</v>
      </c>
      <c r="U9703" s="29" t="str">
        <f>HYPERLINK("https://ictv.global/taxonomy/taxondetails?taxnode_id=202311118","ictv.global=202311118")</f>
        <v>ictv.global=202311118</v>
      </c>
    </row>
    <row r="9704" spans="1:21">
      <c r="A9704">
        <v>9703</v>
      </c>
      <c r="B9704" s="30" t="s">
        <v>1226</v>
      </c>
      <c r="D9704" s="30" t="s">
        <v>2024</v>
      </c>
      <c r="F9704" s="30" t="s">
        <v>2046</v>
      </c>
      <c r="H9704" s="30" t="s">
        <v>2859</v>
      </c>
      <c r="J9704" s="30" t="s">
        <v>3390</v>
      </c>
      <c r="L9704" s="30" t="s">
        <v>3442</v>
      </c>
      <c r="N9704" s="30" t="s">
        <v>3485</v>
      </c>
      <c r="P9704" s="30" t="s">
        <v>3487</v>
      </c>
      <c r="Q9704" t="s">
        <v>621</v>
      </c>
      <c r="R9704" t="s">
        <v>917</v>
      </c>
      <c r="S9704">
        <v>36</v>
      </c>
      <c r="T9704" s="29" t="str">
        <f>HYPERLINK("https://ictv.global/ictv/proposals/2020.095B.R.Leviviricetes.zip","2020.095B.R.Leviviricetes.zip")</f>
        <v>2020.095B.R.Leviviricetes.zip</v>
      </c>
      <c r="U9704" s="29" t="str">
        <f>HYPERLINK("https://ictv.global/taxonomy/taxondetails?taxnode_id=202311119","ictv.global=202311119")</f>
        <v>ictv.global=202311119</v>
      </c>
    </row>
    <row r="9705" spans="1:21">
      <c r="A9705">
        <v>9704</v>
      </c>
      <c r="B9705" s="30" t="s">
        <v>1226</v>
      </c>
      <c r="D9705" s="30" t="s">
        <v>2024</v>
      </c>
      <c r="F9705" s="30" t="s">
        <v>2046</v>
      </c>
      <c r="H9705" s="30" t="s">
        <v>2859</v>
      </c>
      <c r="J9705" s="30" t="s">
        <v>3390</v>
      </c>
      <c r="L9705" s="30" t="s">
        <v>3442</v>
      </c>
      <c r="N9705" s="30" t="s">
        <v>3485</v>
      </c>
      <c r="P9705" s="30" t="s">
        <v>16216</v>
      </c>
      <c r="Q9705" t="s">
        <v>621</v>
      </c>
      <c r="R9705" t="s">
        <v>917</v>
      </c>
      <c r="S9705">
        <v>39</v>
      </c>
      <c r="T9705" s="29" t="str">
        <f>HYPERLINK("https://ictv.global/ictv/proposals/2023.001B.Leviviricetes_reorg.zip","2023.001B.Leviviricetes_reorg.zip")</f>
        <v>2023.001B.Leviviricetes_reorg.zip</v>
      </c>
      <c r="U9705" s="29" t="str">
        <f>HYPERLINK("https://ictv.global/taxonomy/taxondetails?taxnode_id=202317019","ictv.global=202317019")</f>
        <v>ictv.global=202317019</v>
      </c>
    </row>
    <row r="9706" spans="1:21">
      <c r="A9706">
        <v>9705</v>
      </c>
      <c r="B9706" s="30" t="s">
        <v>1226</v>
      </c>
      <c r="D9706" s="30" t="s">
        <v>2024</v>
      </c>
      <c r="F9706" s="30" t="s">
        <v>2046</v>
      </c>
      <c r="H9706" s="30" t="s">
        <v>2859</v>
      </c>
      <c r="J9706" s="30" t="s">
        <v>3390</v>
      </c>
      <c r="L9706" s="30" t="s">
        <v>3442</v>
      </c>
      <c r="N9706" s="30" t="s">
        <v>3485</v>
      </c>
      <c r="P9706" s="30" t="s">
        <v>16217</v>
      </c>
      <c r="Q9706" t="s">
        <v>621</v>
      </c>
      <c r="R9706" t="s">
        <v>917</v>
      </c>
      <c r="S9706">
        <v>39</v>
      </c>
      <c r="T9706" s="29" t="str">
        <f>HYPERLINK("https://ictv.global/ictv/proposals/2023.001B.Leviviricetes_reorg.zip","2023.001B.Leviviricetes_reorg.zip")</f>
        <v>2023.001B.Leviviricetes_reorg.zip</v>
      </c>
      <c r="U9706" s="29" t="str">
        <f>HYPERLINK("https://ictv.global/taxonomy/taxondetails?taxnode_id=202317020","ictv.global=202317020")</f>
        <v>ictv.global=202317020</v>
      </c>
    </row>
    <row r="9707" spans="1:21">
      <c r="A9707">
        <v>9706</v>
      </c>
      <c r="B9707" s="30" t="s">
        <v>1226</v>
      </c>
      <c r="D9707" s="30" t="s">
        <v>2024</v>
      </c>
      <c r="F9707" s="30" t="s">
        <v>2046</v>
      </c>
      <c r="H9707" s="30" t="s">
        <v>2859</v>
      </c>
      <c r="J9707" s="30" t="s">
        <v>3390</v>
      </c>
      <c r="L9707" s="30" t="s">
        <v>3442</v>
      </c>
      <c r="N9707" s="30" t="s">
        <v>3488</v>
      </c>
      <c r="P9707" s="30" t="s">
        <v>3489</v>
      </c>
      <c r="Q9707" t="s">
        <v>621</v>
      </c>
      <c r="R9707" t="s">
        <v>917</v>
      </c>
      <c r="S9707">
        <v>36</v>
      </c>
      <c r="T9707" s="29" t="str">
        <f>HYPERLINK("https://ictv.global/ictv/proposals/2020.095B.R.Leviviricetes.zip","2020.095B.R.Leviviricetes.zip")</f>
        <v>2020.095B.R.Leviviricetes.zip</v>
      </c>
      <c r="U9707" s="29" t="str">
        <f>HYPERLINK("https://ictv.global/taxonomy/taxondetails?taxnode_id=202311121","ictv.global=202311121")</f>
        <v>ictv.global=202311121</v>
      </c>
    </row>
    <row r="9708" spans="1:21">
      <c r="A9708">
        <v>9707</v>
      </c>
      <c r="B9708" s="30" t="s">
        <v>1226</v>
      </c>
      <c r="D9708" s="30" t="s">
        <v>2024</v>
      </c>
      <c r="F9708" s="30" t="s">
        <v>2046</v>
      </c>
      <c r="H9708" s="30" t="s">
        <v>2859</v>
      </c>
      <c r="J9708" s="30" t="s">
        <v>3390</v>
      </c>
      <c r="L9708" s="30" t="s">
        <v>3442</v>
      </c>
      <c r="N9708" s="30" t="s">
        <v>3490</v>
      </c>
      <c r="P9708" s="30" t="s">
        <v>16218</v>
      </c>
      <c r="Q9708" t="s">
        <v>621</v>
      </c>
      <c r="R9708" t="s">
        <v>918</v>
      </c>
      <c r="S9708">
        <v>39</v>
      </c>
      <c r="T9708" s="29" t="str">
        <f t="shared" ref="T9708:T9713" si="413">HYPERLINK("https://ictv.global/ictv/proposals/2023.001B.Leviviricetes_reorg.zip","2023.001B.Leviviricetes_reorg.zip")</f>
        <v>2023.001B.Leviviricetes_reorg.zip</v>
      </c>
      <c r="U9708" s="29" t="str">
        <f>HYPERLINK("https://ictv.global/taxonomy/taxondetails?taxnode_id=202311077","ictv.global=202311077")</f>
        <v>ictv.global=202311077</v>
      </c>
    </row>
    <row r="9709" spans="1:21">
      <c r="A9709">
        <v>9708</v>
      </c>
      <c r="B9709" s="30" t="s">
        <v>1226</v>
      </c>
      <c r="D9709" s="30" t="s">
        <v>2024</v>
      </c>
      <c r="F9709" s="30" t="s">
        <v>2046</v>
      </c>
      <c r="H9709" s="30" t="s">
        <v>2859</v>
      </c>
      <c r="J9709" s="30" t="s">
        <v>3390</v>
      </c>
      <c r="L9709" s="30" t="s">
        <v>3442</v>
      </c>
      <c r="N9709" s="30" t="s">
        <v>3490</v>
      </c>
      <c r="P9709" s="30" t="s">
        <v>16219</v>
      </c>
      <c r="Q9709" t="s">
        <v>621</v>
      </c>
      <c r="R9709" t="s">
        <v>917</v>
      </c>
      <c r="S9709">
        <v>39</v>
      </c>
      <c r="T9709" s="29" t="str">
        <f t="shared" si="413"/>
        <v>2023.001B.Leviviricetes_reorg.zip</v>
      </c>
      <c r="U9709" s="29" t="str">
        <f>HYPERLINK("https://ictv.global/taxonomy/taxondetails?taxnode_id=202317021","ictv.global=202317021")</f>
        <v>ictv.global=202317021</v>
      </c>
    </row>
    <row r="9710" spans="1:21">
      <c r="A9710">
        <v>9709</v>
      </c>
      <c r="B9710" s="30" t="s">
        <v>1226</v>
      </c>
      <c r="D9710" s="30" t="s">
        <v>2024</v>
      </c>
      <c r="F9710" s="30" t="s">
        <v>2046</v>
      </c>
      <c r="H9710" s="30" t="s">
        <v>2859</v>
      </c>
      <c r="J9710" s="30" t="s">
        <v>3390</v>
      </c>
      <c r="L9710" s="30" t="s">
        <v>3442</v>
      </c>
      <c r="N9710" s="30" t="s">
        <v>3490</v>
      </c>
      <c r="P9710" s="30" t="s">
        <v>16220</v>
      </c>
      <c r="Q9710" t="s">
        <v>621</v>
      </c>
      <c r="R9710" t="s">
        <v>917</v>
      </c>
      <c r="S9710">
        <v>39</v>
      </c>
      <c r="T9710" s="29" t="str">
        <f t="shared" si="413"/>
        <v>2023.001B.Leviviricetes_reorg.zip</v>
      </c>
      <c r="U9710" s="29" t="str">
        <f>HYPERLINK("https://ictv.global/taxonomy/taxondetails?taxnode_id=202317022","ictv.global=202317022")</f>
        <v>ictv.global=202317022</v>
      </c>
    </row>
    <row r="9711" spans="1:21">
      <c r="A9711">
        <v>9710</v>
      </c>
      <c r="B9711" s="30" t="s">
        <v>1226</v>
      </c>
      <c r="D9711" s="30" t="s">
        <v>2024</v>
      </c>
      <c r="F9711" s="30" t="s">
        <v>2046</v>
      </c>
      <c r="H9711" s="30" t="s">
        <v>2859</v>
      </c>
      <c r="J9711" s="30" t="s">
        <v>3390</v>
      </c>
      <c r="L9711" s="30" t="s">
        <v>3442</v>
      </c>
      <c r="N9711" s="30" t="s">
        <v>3490</v>
      </c>
      <c r="P9711" s="30" t="s">
        <v>16221</v>
      </c>
      <c r="Q9711" t="s">
        <v>621</v>
      </c>
      <c r="R9711" t="s">
        <v>917</v>
      </c>
      <c r="S9711">
        <v>39</v>
      </c>
      <c r="T9711" s="29" t="str">
        <f t="shared" si="413"/>
        <v>2023.001B.Leviviricetes_reorg.zip</v>
      </c>
      <c r="U9711" s="29" t="str">
        <f>HYPERLINK("https://ictv.global/taxonomy/taxondetails?taxnode_id=202317023","ictv.global=202317023")</f>
        <v>ictv.global=202317023</v>
      </c>
    </row>
    <row r="9712" spans="1:21">
      <c r="A9712">
        <v>9711</v>
      </c>
      <c r="B9712" s="30" t="s">
        <v>1226</v>
      </c>
      <c r="D9712" s="30" t="s">
        <v>2024</v>
      </c>
      <c r="F9712" s="30" t="s">
        <v>2046</v>
      </c>
      <c r="H9712" s="30" t="s">
        <v>2859</v>
      </c>
      <c r="J9712" s="30" t="s">
        <v>3390</v>
      </c>
      <c r="L9712" s="30" t="s">
        <v>3442</v>
      </c>
      <c r="N9712" s="30" t="s">
        <v>3490</v>
      </c>
      <c r="P9712" s="30" t="s">
        <v>16222</v>
      </c>
      <c r="Q9712" t="s">
        <v>621</v>
      </c>
      <c r="R9712" t="s">
        <v>917</v>
      </c>
      <c r="S9712">
        <v>39</v>
      </c>
      <c r="T9712" s="29" t="str">
        <f t="shared" si="413"/>
        <v>2023.001B.Leviviricetes_reorg.zip</v>
      </c>
      <c r="U9712" s="29" t="str">
        <f>HYPERLINK("https://ictv.global/taxonomy/taxondetails?taxnode_id=202317024","ictv.global=202317024")</f>
        <v>ictv.global=202317024</v>
      </c>
    </row>
    <row r="9713" spans="1:21">
      <c r="A9713">
        <v>9712</v>
      </c>
      <c r="B9713" s="30" t="s">
        <v>1226</v>
      </c>
      <c r="D9713" s="30" t="s">
        <v>2024</v>
      </c>
      <c r="F9713" s="30" t="s">
        <v>2046</v>
      </c>
      <c r="H9713" s="30" t="s">
        <v>2859</v>
      </c>
      <c r="J9713" s="30" t="s">
        <v>3390</v>
      </c>
      <c r="L9713" s="30" t="s">
        <v>3442</v>
      </c>
      <c r="N9713" s="30" t="s">
        <v>3490</v>
      </c>
      <c r="P9713" s="30" t="s">
        <v>16223</v>
      </c>
      <c r="Q9713" t="s">
        <v>621</v>
      </c>
      <c r="R9713" t="s">
        <v>918</v>
      </c>
      <c r="S9713">
        <v>39</v>
      </c>
      <c r="T9713" s="29" t="str">
        <f t="shared" si="413"/>
        <v>2023.001B.Leviviricetes_reorg.zip</v>
      </c>
      <c r="U9713" s="29" t="str">
        <f>HYPERLINK("https://ictv.global/taxonomy/taxondetails?taxnode_id=202311369","ictv.global=202311369")</f>
        <v>ictv.global=202311369</v>
      </c>
    </row>
    <row r="9714" spans="1:21">
      <c r="A9714">
        <v>9713</v>
      </c>
      <c r="B9714" s="30" t="s">
        <v>1226</v>
      </c>
      <c r="D9714" s="30" t="s">
        <v>2024</v>
      </c>
      <c r="F9714" s="30" t="s">
        <v>2046</v>
      </c>
      <c r="H9714" s="30" t="s">
        <v>2859</v>
      </c>
      <c r="J9714" s="30" t="s">
        <v>3390</v>
      </c>
      <c r="L9714" s="30" t="s">
        <v>3442</v>
      </c>
      <c r="N9714" s="30" t="s">
        <v>3490</v>
      </c>
      <c r="P9714" s="30" t="s">
        <v>3491</v>
      </c>
      <c r="Q9714" t="s">
        <v>621</v>
      </c>
      <c r="R9714" t="s">
        <v>917</v>
      </c>
      <c r="S9714">
        <v>36</v>
      </c>
      <c r="T9714" s="29" t="str">
        <f>HYPERLINK("https://ictv.global/ictv/proposals/2020.095B.R.Leviviricetes.zip","2020.095B.R.Leviviricetes.zip")</f>
        <v>2020.095B.R.Leviviricetes.zip</v>
      </c>
      <c r="U9714" s="29" t="str">
        <f>HYPERLINK("https://ictv.global/taxonomy/taxondetails?taxnode_id=202311123","ictv.global=202311123")</f>
        <v>ictv.global=202311123</v>
      </c>
    </row>
    <row r="9715" spans="1:21">
      <c r="A9715">
        <v>9714</v>
      </c>
      <c r="B9715" s="30" t="s">
        <v>1226</v>
      </c>
      <c r="D9715" s="30" t="s">
        <v>2024</v>
      </c>
      <c r="F9715" s="30" t="s">
        <v>2046</v>
      </c>
      <c r="H9715" s="30" t="s">
        <v>2859</v>
      </c>
      <c r="J9715" s="30" t="s">
        <v>3390</v>
      </c>
      <c r="L9715" s="30" t="s">
        <v>3442</v>
      </c>
      <c r="N9715" s="30" t="s">
        <v>3490</v>
      </c>
      <c r="P9715" s="30" t="s">
        <v>16224</v>
      </c>
      <c r="Q9715" t="s">
        <v>621</v>
      </c>
      <c r="R9715" t="s">
        <v>917</v>
      </c>
      <c r="S9715">
        <v>39</v>
      </c>
      <c r="T9715" s="29" t="str">
        <f>HYPERLINK("https://ictv.global/ictv/proposals/2023.001B.Leviviricetes_reorg.zip","2023.001B.Leviviricetes_reorg.zip")</f>
        <v>2023.001B.Leviviricetes_reorg.zip</v>
      </c>
      <c r="U9715" s="29" t="str">
        <f>HYPERLINK("https://ictv.global/taxonomy/taxondetails?taxnode_id=202317025","ictv.global=202317025")</f>
        <v>ictv.global=202317025</v>
      </c>
    </row>
    <row r="9716" spans="1:21">
      <c r="A9716">
        <v>9715</v>
      </c>
      <c r="B9716" s="30" t="s">
        <v>1226</v>
      </c>
      <c r="D9716" s="30" t="s">
        <v>2024</v>
      </c>
      <c r="F9716" s="30" t="s">
        <v>2046</v>
      </c>
      <c r="H9716" s="30" t="s">
        <v>2859</v>
      </c>
      <c r="J9716" s="30" t="s">
        <v>3390</v>
      </c>
      <c r="L9716" s="30" t="s">
        <v>3442</v>
      </c>
      <c r="N9716" s="30" t="s">
        <v>3490</v>
      </c>
      <c r="P9716" s="30" t="s">
        <v>16225</v>
      </c>
      <c r="Q9716" t="s">
        <v>621</v>
      </c>
      <c r="R9716" t="s">
        <v>917</v>
      </c>
      <c r="S9716">
        <v>39</v>
      </c>
      <c r="T9716" s="29" t="str">
        <f>HYPERLINK("https://ictv.global/ictv/proposals/2023.001B.Leviviricetes_reorg.zip","2023.001B.Leviviricetes_reorg.zip")</f>
        <v>2023.001B.Leviviricetes_reorg.zip</v>
      </c>
      <c r="U9716" s="29" t="str">
        <f>HYPERLINK("https://ictv.global/taxonomy/taxondetails?taxnode_id=202317026","ictv.global=202317026")</f>
        <v>ictv.global=202317026</v>
      </c>
    </row>
    <row r="9717" spans="1:21">
      <c r="A9717">
        <v>9716</v>
      </c>
      <c r="B9717" s="30" t="s">
        <v>1226</v>
      </c>
      <c r="D9717" s="30" t="s">
        <v>2024</v>
      </c>
      <c r="F9717" s="30" t="s">
        <v>2046</v>
      </c>
      <c r="H9717" s="30" t="s">
        <v>2859</v>
      </c>
      <c r="J9717" s="30" t="s">
        <v>3390</v>
      </c>
      <c r="L9717" s="30" t="s">
        <v>3442</v>
      </c>
      <c r="N9717" s="30" t="s">
        <v>3490</v>
      </c>
      <c r="P9717" s="30" t="s">
        <v>16226</v>
      </c>
      <c r="Q9717" t="s">
        <v>621</v>
      </c>
      <c r="R9717" t="s">
        <v>917</v>
      </c>
      <c r="S9717">
        <v>39</v>
      </c>
      <c r="T9717" s="29" t="str">
        <f>HYPERLINK("https://ictv.global/ictv/proposals/2023.001B.Leviviricetes_reorg.zip","2023.001B.Leviviricetes_reorg.zip")</f>
        <v>2023.001B.Leviviricetes_reorg.zip</v>
      </c>
      <c r="U9717" s="29" t="str">
        <f>HYPERLINK("https://ictv.global/taxonomy/taxondetails?taxnode_id=202317027","ictv.global=202317027")</f>
        <v>ictv.global=202317027</v>
      </c>
    </row>
    <row r="9718" spans="1:21">
      <c r="A9718">
        <v>9717</v>
      </c>
      <c r="B9718" s="30" t="s">
        <v>1226</v>
      </c>
      <c r="D9718" s="30" t="s">
        <v>2024</v>
      </c>
      <c r="F9718" s="30" t="s">
        <v>2046</v>
      </c>
      <c r="H9718" s="30" t="s">
        <v>2859</v>
      </c>
      <c r="J9718" s="30" t="s">
        <v>3390</v>
      </c>
      <c r="L9718" s="30" t="s">
        <v>3442</v>
      </c>
      <c r="N9718" s="30" t="s">
        <v>3492</v>
      </c>
      <c r="P9718" s="30" t="s">
        <v>16227</v>
      </c>
      <c r="Q9718" t="s">
        <v>621</v>
      </c>
      <c r="R9718" t="s">
        <v>917</v>
      </c>
      <c r="S9718">
        <v>39</v>
      </c>
      <c r="T9718" s="29" t="str">
        <f>HYPERLINK("https://ictv.global/ictv/proposals/2023.001B.Leviviricetes_reorg.zip","2023.001B.Leviviricetes_reorg.zip")</f>
        <v>2023.001B.Leviviricetes_reorg.zip</v>
      </c>
      <c r="U9718" s="29" t="str">
        <f>HYPERLINK("https://ictv.global/taxonomy/taxondetails?taxnode_id=202317028","ictv.global=202317028")</f>
        <v>ictv.global=202317028</v>
      </c>
    </row>
    <row r="9719" spans="1:21">
      <c r="A9719">
        <v>9718</v>
      </c>
      <c r="B9719" s="30" t="s">
        <v>1226</v>
      </c>
      <c r="D9719" s="30" t="s">
        <v>2024</v>
      </c>
      <c r="F9719" s="30" t="s">
        <v>2046</v>
      </c>
      <c r="H9719" s="30" t="s">
        <v>2859</v>
      </c>
      <c r="J9719" s="30" t="s">
        <v>3390</v>
      </c>
      <c r="L9719" s="30" t="s">
        <v>3442</v>
      </c>
      <c r="N9719" s="30" t="s">
        <v>3492</v>
      </c>
      <c r="P9719" s="30" t="s">
        <v>3493</v>
      </c>
      <c r="Q9719" t="s">
        <v>621</v>
      </c>
      <c r="R9719" t="s">
        <v>917</v>
      </c>
      <c r="S9719">
        <v>36</v>
      </c>
      <c r="T9719" s="29" t="str">
        <f>HYPERLINK("https://ictv.global/ictv/proposals/2020.095B.R.Leviviricetes.zip","2020.095B.R.Leviviricetes.zip")</f>
        <v>2020.095B.R.Leviviricetes.zip</v>
      </c>
      <c r="U9719" s="29" t="str">
        <f>HYPERLINK("https://ictv.global/taxonomy/taxondetails?taxnode_id=202311125","ictv.global=202311125")</f>
        <v>ictv.global=202311125</v>
      </c>
    </row>
    <row r="9720" spans="1:21">
      <c r="A9720">
        <v>9719</v>
      </c>
      <c r="B9720" s="30" t="s">
        <v>1226</v>
      </c>
      <c r="D9720" s="30" t="s">
        <v>2024</v>
      </c>
      <c r="F9720" s="30" t="s">
        <v>2046</v>
      </c>
      <c r="H9720" s="30" t="s">
        <v>2859</v>
      </c>
      <c r="J9720" s="30" t="s">
        <v>3390</v>
      </c>
      <c r="L9720" s="30" t="s">
        <v>3442</v>
      </c>
      <c r="N9720" s="30" t="s">
        <v>3492</v>
      </c>
      <c r="P9720" s="30" t="s">
        <v>16228</v>
      </c>
      <c r="Q9720" t="s">
        <v>621</v>
      </c>
      <c r="R9720" t="s">
        <v>917</v>
      </c>
      <c r="S9720">
        <v>39</v>
      </c>
      <c r="T9720" s="29" t="str">
        <f>HYPERLINK("https://ictv.global/ictv/proposals/2023.001B.Leviviricetes_reorg.zip","2023.001B.Leviviricetes_reorg.zip")</f>
        <v>2023.001B.Leviviricetes_reorg.zip</v>
      </c>
      <c r="U9720" s="29" t="str">
        <f>HYPERLINK("https://ictv.global/taxonomy/taxondetails?taxnode_id=202317029","ictv.global=202317029")</f>
        <v>ictv.global=202317029</v>
      </c>
    </row>
    <row r="9721" spans="1:21">
      <c r="A9721">
        <v>9720</v>
      </c>
      <c r="B9721" s="30" t="s">
        <v>1226</v>
      </c>
      <c r="D9721" s="30" t="s">
        <v>2024</v>
      </c>
      <c r="F9721" s="30" t="s">
        <v>2046</v>
      </c>
      <c r="H9721" s="30" t="s">
        <v>2859</v>
      </c>
      <c r="J9721" s="30" t="s">
        <v>3390</v>
      </c>
      <c r="L9721" s="30" t="s">
        <v>3442</v>
      </c>
      <c r="N9721" s="30" t="s">
        <v>3492</v>
      </c>
      <c r="P9721" s="30" t="s">
        <v>3494</v>
      </c>
      <c r="Q9721" t="s">
        <v>621</v>
      </c>
      <c r="R9721" t="s">
        <v>917</v>
      </c>
      <c r="S9721">
        <v>36</v>
      </c>
      <c r="T9721" s="29" t="str">
        <f>HYPERLINK("https://ictv.global/ictv/proposals/2020.095B.R.Leviviricetes.zip","2020.095B.R.Leviviricetes.zip")</f>
        <v>2020.095B.R.Leviviricetes.zip</v>
      </c>
      <c r="U9721" s="29" t="str">
        <f>HYPERLINK("https://ictv.global/taxonomy/taxondetails?taxnode_id=202311126","ictv.global=202311126")</f>
        <v>ictv.global=202311126</v>
      </c>
    </row>
    <row r="9722" spans="1:21">
      <c r="A9722">
        <v>9721</v>
      </c>
      <c r="B9722" s="30" t="s">
        <v>1226</v>
      </c>
      <c r="D9722" s="30" t="s">
        <v>2024</v>
      </c>
      <c r="F9722" s="30" t="s">
        <v>2046</v>
      </c>
      <c r="H9722" s="30" t="s">
        <v>2859</v>
      </c>
      <c r="J9722" s="30" t="s">
        <v>3390</v>
      </c>
      <c r="L9722" s="30" t="s">
        <v>3442</v>
      </c>
      <c r="N9722" s="30" t="s">
        <v>3492</v>
      </c>
      <c r="P9722" s="30" t="s">
        <v>16229</v>
      </c>
      <c r="Q9722" t="s">
        <v>621</v>
      </c>
      <c r="R9722" t="s">
        <v>917</v>
      </c>
      <c r="S9722">
        <v>39</v>
      </c>
      <c r="T9722" s="29" t="str">
        <f t="shared" ref="T9722:T9732" si="414">HYPERLINK("https://ictv.global/ictv/proposals/2023.001B.Leviviricetes_reorg.zip","2023.001B.Leviviricetes_reorg.zip")</f>
        <v>2023.001B.Leviviricetes_reorg.zip</v>
      </c>
      <c r="U9722" s="29" t="str">
        <f>HYPERLINK("https://ictv.global/taxonomy/taxondetails?taxnode_id=202317030","ictv.global=202317030")</f>
        <v>ictv.global=202317030</v>
      </c>
    </row>
    <row r="9723" spans="1:21">
      <c r="A9723">
        <v>9722</v>
      </c>
      <c r="B9723" s="30" t="s">
        <v>1226</v>
      </c>
      <c r="D9723" s="30" t="s">
        <v>2024</v>
      </c>
      <c r="F9723" s="30" t="s">
        <v>2046</v>
      </c>
      <c r="H9723" s="30" t="s">
        <v>2859</v>
      </c>
      <c r="J9723" s="30" t="s">
        <v>3390</v>
      </c>
      <c r="L9723" s="30" t="s">
        <v>3442</v>
      </c>
      <c r="N9723" s="30" t="s">
        <v>3495</v>
      </c>
      <c r="P9723" s="30" t="s">
        <v>16230</v>
      </c>
      <c r="Q9723" t="s">
        <v>621</v>
      </c>
      <c r="R9723" t="s">
        <v>918</v>
      </c>
      <c r="S9723">
        <v>39</v>
      </c>
      <c r="T9723" s="29" t="str">
        <f t="shared" si="414"/>
        <v>2023.001B.Leviviricetes_reorg.zip</v>
      </c>
      <c r="U9723" s="29" t="str">
        <f>HYPERLINK("https://ictv.global/taxonomy/taxondetails?taxnode_id=202311001","ictv.global=202311001")</f>
        <v>ictv.global=202311001</v>
      </c>
    </row>
    <row r="9724" spans="1:21">
      <c r="A9724">
        <v>9723</v>
      </c>
      <c r="B9724" s="30" t="s">
        <v>1226</v>
      </c>
      <c r="D9724" s="30" t="s">
        <v>2024</v>
      </c>
      <c r="F9724" s="30" t="s">
        <v>2046</v>
      </c>
      <c r="H9724" s="30" t="s">
        <v>2859</v>
      </c>
      <c r="J9724" s="30" t="s">
        <v>3390</v>
      </c>
      <c r="L9724" s="30" t="s">
        <v>3442</v>
      </c>
      <c r="N9724" s="30" t="s">
        <v>3495</v>
      </c>
      <c r="P9724" s="30" t="s">
        <v>16231</v>
      </c>
      <c r="Q9724" t="s">
        <v>621</v>
      </c>
      <c r="R9724" t="s">
        <v>918</v>
      </c>
      <c r="S9724">
        <v>39</v>
      </c>
      <c r="T9724" s="29" t="str">
        <f t="shared" si="414"/>
        <v>2023.001B.Leviviricetes_reorg.zip</v>
      </c>
      <c r="U9724" s="29" t="str">
        <f>HYPERLINK("https://ictv.global/taxonomy/taxondetails?taxnode_id=202311003","ictv.global=202311003")</f>
        <v>ictv.global=202311003</v>
      </c>
    </row>
    <row r="9725" spans="1:21">
      <c r="A9725">
        <v>9724</v>
      </c>
      <c r="B9725" s="30" t="s">
        <v>1226</v>
      </c>
      <c r="D9725" s="30" t="s">
        <v>2024</v>
      </c>
      <c r="F9725" s="30" t="s">
        <v>2046</v>
      </c>
      <c r="H9725" s="30" t="s">
        <v>2859</v>
      </c>
      <c r="J9725" s="30" t="s">
        <v>3390</v>
      </c>
      <c r="L9725" s="30" t="s">
        <v>3442</v>
      </c>
      <c r="N9725" s="30" t="s">
        <v>3495</v>
      </c>
      <c r="P9725" s="30" t="s">
        <v>16232</v>
      </c>
      <c r="Q9725" t="s">
        <v>621</v>
      </c>
      <c r="R9725" t="s">
        <v>917</v>
      </c>
      <c r="S9725">
        <v>39</v>
      </c>
      <c r="T9725" s="29" t="str">
        <f t="shared" si="414"/>
        <v>2023.001B.Leviviricetes_reorg.zip</v>
      </c>
      <c r="U9725" s="29" t="str">
        <f>HYPERLINK("https://ictv.global/taxonomy/taxondetails?taxnode_id=202317031","ictv.global=202317031")</f>
        <v>ictv.global=202317031</v>
      </c>
    </row>
    <row r="9726" spans="1:21">
      <c r="A9726">
        <v>9725</v>
      </c>
      <c r="B9726" s="30" t="s">
        <v>1226</v>
      </c>
      <c r="D9726" s="30" t="s">
        <v>2024</v>
      </c>
      <c r="F9726" s="30" t="s">
        <v>2046</v>
      </c>
      <c r="H9726" s="30" t="s">
        <v>2859</v>
      </c>
      <c r="J9726" s="30" t="s">
        <v>3390</v>
      </c>
      <c r="L9726" s="30" t="s">
        <v>3442</v>
      </c>
      <c r="N9726" s="30" t="s">
        <v>3495</v>
      </c>
      <c r="P9726" s="30" t="s">
        <v>16233</v>
      </c>
      <c r="Q9726" t="s">
        <v>621</v>
      </c>
      <c r="R9726" t="s">
        <v>917</v>
      </c>
      <c r="S9726">
        <v>39</v>
      </c>
      <c r="T9726" s="29" t="str">
        <f t="shared" si="414"/>
        <v>2023.001B.Leviviricetes_reorg.zip</v>
      </c>
      <c r="U9726" s="29" t="str">
        <f>HYPERLINK("https://ictv.global/taxonomy/taxondetails?taxnode_id=202317032","ictv.global=202317032")</f>
        <v>ictv.global=202317032</v>
      </c>
    </row>
    <row r="9727" spans="1:21">
      <c r="A9727">
        <v>9726</v>
      </c>
      <c r="B9727" s="30" t="s">
        <v>1226</v>
      </c>
      <c r="D9727" s="30" t="s">
        <v>2024</v>
      </c>
      <c r="F9727" s="30" t="s">
        <v>2046</v>
      </c>
      <c r="H9727" s="30" t="s">
        <v>2859</v>
      </c>
      <c r="J9727" s="30" t="s">
        <v>3390</v>
      </c>
      <c r="L9727" s="30" t="s">
        <v>3442</v>
      </c>
      <c r="N9727" s="30" t="s">
        <v>3495</v>
      </c>
      <c r="P9727" s="30" t="s">
        <v>16234</v>
      </c>
      <c r="Q9727" t="s">
        <v>621</v>
      </c>
      <c r="R9727" t="s">
        <v>917</v>
      </c>
      <c r="S9727">
        <v>39</v>
      </c>
      <c r="T9727" s="29" t="str">
        <f t="shared" si="414"/>
        <v>2023.001B.Leviviricetes_reorg.zip</v>
      </c>
      <c r="U9727" s="29" t="str">
        <f>HYPERLINK("https://ictv.global/taxonomy/taxondetails?taxnode_id=202317033","ictv.global=202317033")</f>
        <v>ictv.global=202317033</v>
      </c>
    </row>
    <row r="9728" spans="1:21">
      <c r="A9728">
        <v>9727</v>
      </c>
      <c r="B9728" s="30" t="s">
        <v>1226</v>
      </c>
      <c r="D9728" s="30" t="s">
        <v>2024</v>
      </c>
      <c r="F9728" s="30" t="s">
        <v>2046</v>
      </c>
      <c r="H9728" s="30" t="s">
        <v>2859</v>
      </c>
      <c r="J9728" s="30" t="s">
        <v>3390</v>
      </c>
      <c r="L9728" s="30" t="s">
        <v>3442</v>
      </c>
      <c r="N9728" s="30" t="s">
        <v>3495</v>
      </c>
      <c r="P9728" s="30" t="s">
        <v>16235</v>
      </c>
      <c r="Q9728" t="s">
        <v>621</v>
      </c>
      <c r="R9728" t="s">
        <v>917</v>
      </c>
      <c r="S9728">
        <v>39</v>
      </c>
      <c r="T9728" s="29" t="str">
        <f t="shared" si="414"/>
        <v>2023.001B.Leviviricetes_reorg.zip</v>
      </c>
      <c r="U9728" s="29" t="str">
        <f>HYPERLINK("https://ictv.global/taxonomy/taxondetails?taxnode_id=202317034","ictv.global=202317034")</f>
        <v>ictv.global=202317034</v>
      </c>
    </row>
    <row r="9729" spans="1:21">
      <c r="A9729">
        <v>9728</v>
      </c>
      <c r="B9729" s="30" t="s">
        <v>1226</v>
      </c>
      <c r="D9729" s="30" t="s">
        <v>2024</v>
      </c>
      <c r="F9729" s="30" t="s">
        <v>2046</v>
      </c>
      <c r="H9729" s="30" t="s">
        <v>2859</v>
      </c>
      <c r="J9729" s="30" t="s">
        <v>3390</v>
      </c>
      <c r="L9729" s="30" t="s">
        <v>3442</v>
      </c>
      <c r="N9729" s="30" t="s">
        <v>3495</v>
      </c>
      <c r="P9729" s="30" t="s">
        <v>16236</v>
      </c>
      <c r="Q9729" t="s">
        <v>621</v>
      </c>
      <c r="R9729" t="s">
        <v>917</v>
      </c>
      <c r="S9729">
        <v>39</v>
      </c>
      <c r="T9729" s="29" t="str">
        <f t="shared" si="414"/>
        <v>2023.001B.Leviviricetes_reorg.zip</v>
      </c>
      <c r="U9729" s="29" t="str">
        <f>HYPERLINK("https://ictv.global/taxonomy/taxondetails?taxnode_id=202317035","ictv.global=202317035")</f>
        <v>ictv.global=202317035</v>
      </c>
    </row>
    <row r="9730" spans="1:21">
      <c r="A9730">
        <v>9729</v>
      </c>
      <c r="B9730" s="30" t="s">
        <v>1226</v>
      </c>
      <c r="D9730" s="30" t="s">
        <v>2024</v>
      </c>
      <c r="F9730" s="30" t="s">
        <v>2046</v>
      </c>
      <c r="H9730" s="30" t="s">
        <v>2859</v>
      </c>
      <c r="J9730" s="30" t="s">
        <v>3390</v>
      </c>
      <c r="L9730" s="30" t="s">
        <v>3442</v>
      </c>
      <c r="N9730" s="30" t="s">
        <v>3495</v>
      </c>
      <c r="P9730" s="30" t="s">
        <v>16237</v>
      </c>
      <c r="Q9730" t="s">
        <v>621</v>
      </c>
      <c r="R9730" t="s">
        <v>918</v>
      </c>
      <c r="S9730">
        <v>39</v>
      </c>
      <c r="T9730" s="29" t="str">
        <f t="shared" si="414"/>
        <v>2023.001B.Leviviricetes_reorg.zip</v>
      </c>
      <c r="U9730" s="29" t="str">
        <f>HYPERLINK("https://ictv.global/taxonomy/taxondetails?taxnode_id=202311002","ictv.global=202311002")</f>
        <v>ictv.global=202311002</v>
      </c>
    </row>
    <row r="9731" spans="1:21">
      <c r="A9731">
        <v>9730</v>
      </c>
      <c r="B9731" s="30" t="s">
        <v>1226</v>
      </c>
      <c r="D9731" s="30" t="s">
        <v>2024</v>
      </c>
      <c r="F9731" s="30" t="s">
        <v>2046</v>
      </c>
      <c r="H9731" s="30" t="s">
        <v>2859</v>
      </c>
      <c r="J9731" s="30" t="s">
        <v>3390</v>
      </c>
      <c r="L9731" s="30" t="s">
        <v>3442</v>
      </c>
      <c r="N9731" s="30" t="s">
        <v>3495</v>
      </c>
      <c r="P9731" s="30" t="s">
        <v>16238</v>
      </c>
      <c r="Q9731" t="s">
        <v>621</v>
      </c>
      <c r="R9731" t="s">
        <v>917</v>
      </c>
      <c r="S9731">
        <v>39</v>
      </c>
      <c r="T9731" s="29" t="str">
        <f t="shared" si="414"/>
        <v>2023.001B.Leviviricetes_reorg.zip</v>
      </c>
      <c r="U9731" s="29" t="str">
        <f>HYPERLINK("https://ictv.global/taxonomy/taxondetails?taxnode_id=202317036","ictv.global=202317036")</f>
        <v>ictv.global=202317036</v>
      </c>
    </row>
    <row r="9732" spans="1:21">
      <c r="A9732">
        <v>9731</v>
      </c>
      <c r="B9732" s="30" t="s">
        <v>1226</v>
      </c>
      <c r="D9732" s="30" t="s">
        <v>2024</v>
      </c>
      <c r="F9732" s="30" t="s">
        <v>2046</v>
      </c>
      <c r="H9732" s="30" t="s">
        <v>2859</v>
      </c>
      <c r="J9732" s="30" t="s">
        <v>3390</v>
      </c>
      <c r="L9732" s="30" t="s">
        <v>3442</v>
      </c>
      <c r="N9732" s="30" t="s">
        <v>3495</v>
      </c>
      <c r="P9732" s="30" t="s">
        <v>16239</v>
      </c>
      <c r="Q9732" t="s">
        <v>621</v>
      </c>
      <c r="R9732" t="s">
        <v>917</v>
      </c>
      <c r="S9732">
        <v>39</v>
      </c>
      <c r="T9732" s="29" t="str">
        <f t="shared" si="414"/>
        <v>2023.001B.Leviviricetes_reorg.zip</v>
      </c>
      <c r="U9732" s="29" t="str">
        <f>HYPERLINK("https://ictv.global/taxonomy/taxondetails?taxnode_id=202317037","ictv.global=202317037")</f>
        <v>ictv.global=202317037</v>
      </c>
    </row>
    <row r="9733" spans="1:21">
      <c r="A9733">
        <v>9732</v>
      </c>
      <c r="B9733" s="30" t="s">
        <v>1226</v>
      </c>
      <c r="D9733" s="30" t="s">
        <v>2024</v>
      </c>
      <c r="F9733" s="30" t="s">
        <v>2046</v>
      </c>
      <c r="H9733" s="30" t="s">
        <v>2859</v>
      </c>
      <c r="J9733" s="30" t="s">
        <v>3390</v>
      </c>
      <c r="L9733" s="30" t="s">
        <v>3442</v>
      </c>
      <c r="N9733" s="30" t="s">
        <v>3495</v>
      </c>
      <c r="P9733" s="30" t="s">
        <v>3496</v>
      </c>
      <c r="Q9733" t="s">
        <v>621</v>
      </c>
      <c r="R9733" t="s">
        <v>917</v>
      </c>
      <c r="S9733">
        <v>36</v>
      </c>
      <c r="T9733" s="29" t="str">
        <f>HYPERLINK("https://ictv.global/ictv/proposals/2020.095B.R.Leviviricetes.zip","2020.095B.R.Leviviricetes.zip")</f>
        <v>2020.095B.R.Leviviricetes.zip</v>
      </c>
      <c r="U9733" s="29" t="str">
        <f>HYPERLINK("https://ictv.global/taxonomy/taxondetails?taxnode_id=202311131","ictv.global=202311131")</f>
        <v>ictv.global=202311131</v>
      </c>
    </row>
    <row r="9734" spans="1:21">
      <c r="A9734">
        <v>9733</v>
      </c>
      <c r="B9734" s="30" t="s">
        <v>1226</v>
      </c>
      <c r="D9734" s="30" t="s">
        <v>2024</v>
      </c>
      <c r="F9734" s="30" t="s">
        <v>2046</v>
      </c>
      <c r="H9734" s="30" t="s">
        <v>2859</v>
      </c>
      <c r="J9734" s="30" t="s">
        <v>3390</v>
      </c>
      <c r="L9734" s="30" t="s">
        <v>3442</v>
      </c>
      <c r="N9734" s="30" t="s">
        <v>3495</v>
      </c>
      <c r="P9734" s="30" t="s">
        <v>16240</v>
      </c>
      <c r="Q9734" t="s">
        <v>621</v>
      </c>
      <c r="R9734" t="s">
        <v>917</v>
      </c>
      <c r="S9734">
        <v>39</v>
      </c>
      <c r="T9734" s="29" t="str">
        <f>HYPERLINK("https://ictv.global/ictv/proposals/2023.001B.Leviviricetes_reorg.zip","2023.001B.Leviviricetes_reorg.zip")</f>
        <v>2023.001B.Leviviricetes_reorg.zip</v>
      </c>
      <c r="U9734" s="29" t="str">
        <f>HYPERLINK("https://ictv.global/taxonomy/taxondetails?taxnode_id=202317038","ictv.global=202317038")</f>
        <v>ictv.global=202317038</v>
      </c>
    </row>
    <row r="9735" spans="1:21">
      <c r="A9735">
        <v>9734</v>
      </c>
      <c r="B9735" s="30" t="s">
        <v>1226</v>
      </c>
      <c r="D9735" s="30" t="s">
        <v>2024</v>
      </c>
      <c r="F9735" s="30" t="s">
        <v>2046</v>
      </c>
      <c r="H9735" s="30" t="s">
        <v>2859</v>
      </c>
      <c r="J9735" s="30" t="s">
        <v>3390</v>
      </c>
      <c r="L9735" s="30" t="s">
        <v>3442</v>
      </c>
      <c r="N9735" s="30" t="s">
        <v>3495</v>
      </c>
      <c r="P9735" s="30" t="s">
        <v>16241</v>
      </c>
      <c r="Q9735" t="s">
        <v>621</v>
      </c>
      <c r="R9735" t="s">
        <v>917</v>
      </c>
      <c r="S9735">
        <v>39</v>
      </c>
      <c r="T9735" s="29" t="str">
        <f>HYPERLINK("https://ictv.global/ictv/proposals/2023.001B.Leviviricetes_reorg.zip","2023.001B.Leviviricetes_reorg.zip")</f>
        <v>2023.001B.Leviviricetes_reorg.zip</v>
      </c>
      <c r="U9735" s="29" t="str">
        <f>HYPERLINK("https://ictv.global/taxonomy/taxondetails?taxnode_id=202317039","ictv.global=202317039")</f>
        <v>ictv.global=202317039</v>
      </c>
    </row>
    <row r="9736" spans="1:21">
      <c r="A9736">
        <v>9735</v>
      </c>
      <c r="B9736" s="30" t="s">
        <v>1226</v>
      </c>
      <c r="D9736" s="30" t="s">
        <v>2024</v>
      </c>
      <c r="F9736" s="30" t="s">
        <v>2046</v>
      </c>
      <c r="H9736" s="30" t="s">
        <v>2859</v>
      </c>
      <c r="J9736" s="30" t="s">
        <v>3390</v>
      </c>
      <c r="L9736" s="30" t="s">
        <v>3442</v>
      </c>
      <c r="N9736" s="30" t="s">
        <v>3495</v>
      </c>
      <c r="P9736" s="30" t="s">
        <v>16242</v>
      </c>
      <c r="Q9736" t="s">
        <v>621</v>
      </c>
      <c r="R9736" t="s">
        <v>917</v>
      </c>
      <c r="S9736">
        <v>39</v>
      </c>
      <c r="T9736" s="29" t="str">
        <f>HYPERLINK("https://ictv.global/ictv/proposals/2023.001B.Leviviricetes_reorg.zip","2023.001B.Leviviricetes_reorg.zip")</f>
        <v>2023.001B.Leviviricetes_reorg.zip</v>
      </c>
      <c r="U9736" s="29" t="str">
        <f>HYPERLINK("https://ictv.global/taxonomy/taxondetails?taxnode_id=202317040","ictv.global=202317040")</f>
        <v>ictv.global=202317040</v>
      </c>
    </row>
    <row r="9737" spans="1:21">
      <c r="A9737">
        <v>9736</v>
      </c>
      <c r="B9737" s="30" t="s">
        <v>1226</v>
      </c>
      <c r="D9737" s="30" t="s">
        <v>2024</v>
      </c>
      <c r="F9737" s="30" t="s">
        <v>2046</v>
      </c>
      <c r="H9737" s="30" t="s">
        <v>2859</v>
      </c>
      <c r="J9737" s="30" t="s">
        <v>3390</v>
      </c>
      <c r="L9737" s="30" t="s">
        <v>3442</v>
      </c>
      <c r="N9737" s="30" t="s">
        <v>3495</v>
      </c>
      <c r="P9737" s="30" t="s">
        <v>3497</v>
      </c>
      <c r="Q9737" t="s">
        <v>621</v>
      </c>
      <c r="R9737" t="s">
        <v>917</v>
      </c>
      <c r="S9737">
        <v>36</v>
      </c>
      <c r="T9737" s="29" t="str">
        <f>HYPERLINK("https://ictv.global/ictv/proposals/2020.095B.R.Leviviricetes.zip","2020.095B.R.Leviviricetes.zip")</f>
        <v>2020.095B.R.Leviviricetes.zip</v>
      </c>
      <c r="U9737" s="29" t="str">
        <f>HYPERLINK("https://ictv.global/taxonomy/taxondetails?taxnode_id=202311130","ictv.global=202311130")</f>
        <v>ictv.global=202311130</v>
      </c>
    </row>
    <row r="9738" spans="1:21">
      <c r="A9738">
        <v>9737</v>
      </c>
      <c r="B9738" s="30" t="s">
        <v>1226</v>
      </c>
      <c r="D9738" s="30" t="s">
        <v>2024</v>
      </c>
      <c r="F9738" s="30" t="s">
        <v>2046</v>
      </c>
      <c r="H9738" s="30" t="s">
        <v>2859</v>
      </c>
      <c r="J9738" s="30" t="s">
        <v>3390</v>
      </c>
      <c r="L9738" s="30" t="s">
        <v>3442</v>
      </c>
      <c r="N9738" s="30" t="s">
        <v>3495</v>
      </c>
      <c r="P9738" s="30" t="s">
        <v>16243</v>
      </c>
      <c r="Q9738" t="s">
        <v>621</v>
      </c>
      <c r="R9738" t="s">
        <v>917</v>
      </c>
      <c r="S9738">
        <v>39</v>
      </c>
      <c r="T9738" s="29" t="str">
        <f t="shared" ref="T9738:T9769" si="415">HYPERLINK("https://ictv.global/ictv/proposals/2023.001B.Leviviricetes_reorg.zip","2023.001B.Leviviricetes_reorg.zip")</f>
        <v>2023.001B.Leviviricetes_reorg.zip</v>
      </c>
      <c r="U9738" s="29" t="str">
        <f>HYPERLINK("https://ictv.global/taxonomy/taxondetails?taxnode_id=202317041","ictv.global=202317041")</f>
        <v>ictv.global=202317041</v>
      </c>
    </row>
    <row r="9739" spans="1:21">
      <c r="A9739">
        <v>9738</v>
      </c>
      <c r="B9739" s="30" t="s">
        <v>1226</v>
      </c>
      <c r="D9739" s="30" t="s">
        <v>2024</v>
      </c>
      <c r="F9739" s="30" t="s">
        <v>2046</v>
      </c>
      <c r="H9739" s="30" t="s">
        <v>2859</v>
      </c>
      <c r="J9739" s="30" t="s">
        <v>3390</v>
      </c>
      <c r="L9739" s="30" t="s">
        <v>3442</v>
      </c>
      <c r="N9739" s="30" t="s">
        <v>3495</v>
      </c>
      <c r="P9739" s="30" t="s">
        <v>16244</v>
      </c>
      <c r="Q9739" t="s">
        <v>621</v>
      </c>
      <c r="R9739" t="s">
        <v>917</v>
      </c>
      <c r="S9739">
        <v>39</v>
      </c>
      <c r="T9739" s="29" t="str">
        <f t="shared" si="415"/>
        <v>2023.001B.Leviviricetes_reorg.zip</v>
      </c>
      <c r="U9739" s="29" t="str">
        <f>HYPERLINK("https://ictv.global/taxonomy/taxondetails?taxnode_id=202317042","ictv.global=202317042")</f>
        <v>ictv.global=202317042</v>
      </c>
    </row>
    <row r="9740" spans="1:21">
      <c r="A9740">
        <v>9739</v>
      </c>
      <c r="B9740" s="30" t="s">
        <v>1226</v>
      </c>
      <c r="D9740" s="30" t="s">
        <v>2024</v>
      </c>
      <c r="F9740" s="30" t="s">
        <v>2046</v>
      </c>
      <c r="H9740" s="30" t="s">
        <v>2859</v>
      </c>
      <c r="J9740" s="30" t="s">
        <v>3390</v>
      </c>
      <c r="L9740" s="30" t="s">
        <v>3442</v>
      </c>
      <c r="N9740" s="30" t="s">
        <v>3495</v>
      </c>
      <c r="P9740" s="30" t="s">
        <v>16245</v>
      </c>
      <c r="Q9740" t="s">
        <v>621</v>
      </c>
      <c r="R9740" t="s">
        <v>917</v>
      </c>
      <c r="S9740">
        <v>39</v>
      </c>
      <c r="T9740" s="29" t="str">
        <f t="shared" si="415"/>
        <v>2023.001B.Leviviricetes_reorg.zip</v>
      </c>
      <c r="U9740" s="29" t="str">
        <f>HYPERLINK("https://ictv.global/taxonomy/taxondetails?taxnode_id=202317043","ictv.global=202317043")</f>
        <v>ictv.global=202317043</v>
      </c>
    </row>
    <row r="9741" spans="1:21">
      <c r="A9741">
        <v>9740</v>
      </c>
      <c r="B9741" s="30" t="s">
        <v>1226</v>
      </c>
      <c r="D9741" s="30" t="s">
        <v>2024</v>
      </c>
      <c r="F9741" s="30" t="s">
        <v>2046</v>
      </c>
      <c r="H9741" s="30" t="s">
        <v>2859</v>
      </c>
      <c r="J9741" s="30" t="s">
        <v>3390</v>
      </c>
      <c r="L9741" s="30" t="s">
        <v>3442</v>
      </c>
      <c r="N9741" s="30" t="s">
        <v>3495</v>
      </c>
      <c r="P9741" s="30" t="s">
        <v>16246</v>
      </c>
      <c r="Q9741" t="s">
        <v>621</v>
      </c>
      <c r="R9741" t="s">
        <v>917</v>
      </c>
      <c r="S9741">
        <v>39</v>
      </c>
      <c r="T9741" s="29" t="str">
        <f t="shared" si="415"/>
        <v>2023.001B.Leviviricetes_reorg.zip</v>
      </c>
      <c r="U9741" s="29" t="str">
        <f>HYPERLINK("https://ictv.global/taxonomy/taxondetails?taxnode_id=202317044","ictv.global=202317044")</f>
        <v>ictv.global=202317044</v>
      </c>
    </row>
    <row r="9742" spans="1:21">
      <c r="A9742">
        <v>9741</v>
      </c>
      <c r="B9742" s="30" t="s">
        <v>1226</v>
      </c>
      <c r="D9742" s="30" t="s">
        <v>2024</v>
      </c>
      <c r="F9742" s="30" t="s">
        <v>2046</v>
      </c>
      <c r="H9742" s="30" t="s">
        <v>2859</v>
      </c>
      <c r="J9742" s="30" t="s">
        <v>3390</v>
      </c>
      <c r="L9742" s="30" t="s">
        <v>3442</v>
      </c>
      <c r="N9742" s="30" t="s">
        <v>3495</v>
      </c>
      <c r="P9742" s="30" t="s">
        <v>16247</v>
      </c>
      <c r="Q9742" t="s">
        <v>621</v>
      </c>
      <c r="R9742" t="s">
        <v>917</v>
      </c>
      <c r="S9742">
        <v>39</v>
      </c>
      <c r="T9742" s="29" t="str">
        <f t="shared" si="415"/>
        <v>2023.001B.Leviviricetes_reorg.zip</v>
      </c>
      <c r="U9742" s="29" t="str">
        <f>HYPERLINK("https://ictv.global/taxonomy/taxondetails?taxnode_id=202317045","ictv.global=202317045")</f>
        <v>ictv.global=202317045</v>
      </c>
    </row>
    <row r="9743" spans="1:21">
      <c r="A9743">
        <v>9742</v>
      </c>
      <c r="B9743" s="30" t="s">
        <v>1226</v>
      </c>
      <c r="D9743" s="30" t="s">
        <v>2024</v>
      </c>
      <c r="F9743" s="30" t="s">
        <v>2046</v>
      </c>
      <c r="H9743" s="30" t="s">
        <v>2859</v>
      </c>
      <c r="J9743" s="30" t="s">
        <v>3390</v>
      </c>
      <c r="L9743" s="30" t="s">
        <v>3442</v>
      </c>
      <c r="N9743" s="30" t="s">
        <v>3495</v>
      </c>
      <c r="P9743" s="30" t="s">
        <v>16248</v>
      </c>
      <c r="Q9743" t="s">
        <v>621</v>
      </c>
      <c r="R9743" t="s">
        <v>917</v>
      </c>
      <c r="S9743">
        <v>39</v>
      </c>
      <c r="T9743" s="29" t="str">
        <f t="shared" si="415"/>
        <v>2023.001B.Leviviricetes_reorg.zip</v>
      </c>
      <c r="U9743" s="29" t="str">
        <f>HYPERLINK("https://ictv.global/taxonomy/taxondetails?taxnode_id=202317046","ictv.global=202317046")</f>
        <v>ictv.global=202317046</v>
      </c>
    </row>
    <row r="9744" spans="1:21">
      <c r="A9744">
        <v>9743</v>
      </c>
      <c r="B9744" s="30" t="s">
        <v>1226</v>
      </c>
      <c r="D9744" s="30" t="s">
        <v>2024</v>
      </c>
      <c r="F9744" s="30" t="s">
        <v>2046</v>
      </c>
      <c r="H9744" s="30" t="s">
        <v>2859</v>
      </c>
      <c r="J9744" s="30" t="s">
        <v>3390</v>
      </c>
      <c r="L9744" s="30" t="s">
        <v>3442</v>
      </c>
      <c r="N9744" s="30" t="s">
        <v>3495</v>
      </c>
      <c r="P9744" s="30" t="s">
        <v>16249</v>
      </c>
      <c r="Q9744" t="s">
        <v>621</v>
      </c>
      <c r="R9744" t="s">
        <v>917</v>
      </c>
      <c r="S9744">
        <v>39</v>
      </c>
      <c r="T9744" s="29" t="str">
        <f t="shared" si="415"/>
        <v>2023.001B.Leviviricetes_reorg.zip</v>
      </c>
      <c r="U9744" s="29" t="str">
        <f>HYPERLINK("https://ictv.global/taxonomy/taxondetails?taxnode_id=202317047","ictv.global=202317047")</f>
        <v>ictv.global=202317047</v>
      </c>
    </row>
    <row r="9745" spans="1:21">
      <c r="A9745">
        <v>9744</v>
      </c>
      <c r="B9745" s="30" t="s">
        <v>1226</v>
      </c>
      <c r="D9745" s="30" t="s">
        <v>2024</v>
      </c>
      <c r="F9745" s="30" t="s">
        <v>2046</v>
      </c>
      <c r="H9745" s="30" t="s">
        <v>2859</v>
      </c>
      <c r="J9745" s="30" t="s">
        <v>3390</v>
      </c>
      <c r="L9745" s="30" t="s">
        <v>3442</v>
      </c>
      <c r="N9745" s="30" t="s">
        <v>3495</v>
      </c>
      <c r="P9745" s="30" t="s">
        <v>16250</v>
      </c>
      <c r="Q9745" t="s">
        <v>621</v>
      </c>
      <c r="R9745" t="s">
        <v>917</v>
      </c>
      <c r="S9745">
        <v>39</v>
      </c>
      <c r="T9745" s="29" t="str">
        <f t="shared" si="415"/>
        <v>2023.001B.Leviviricetes_reorg.zip</v>
      </c>
      <c r="U9745" s="29" t="str">
        <f>HYPERLINK("https://ictv.global/taxonomy/taxondetails?taxnode_id=202317048","ictv.global=202317048")</f>
        <v>ictv.global=202317048</v>
      </c>
    </row>
    <row r="9746" spans="1:21">
      <c r="A9746">
        <v>9745</v>
      </c>
      <c r="B9746" s="30" t="s">
        <v>1226</v>
      </c>
      <c r="D9746" s="30" t="s">
        <v>2024</v>
      </c>
      <c r="F9746" s="30" t="s">
        <v>2046</v>
      </c>
      <c r="H9746" s="30" t="s">
        <v>2859</v>
      </c>
      <c r="J9746" s="30" t="s">
        <v>3390</v>
      </c>
      <c r="L9746" s="30" t="s">
        <v>3442</v>
      </c>
      <c r="N9746" s="30" t="s">
        <v>16251</v>
      </c>
      <c r="P9746" s="30" t="s">
        <v>16252</v>
      </c>
      <c r="Q9746" t="s">
        <v>621</v>
      </c>
      <c r="R9746" t="s">
        <v>917</v>
      </c>
      <c r="S9746">
        <v>39</v>
      </c>
      <c r="T9746" s="29" t="str">
        <f t="shared" si="415"/>
        <v>2023.001B.Leviviricetes_reorg.zip</v>
      </c>
      <c r="U9746" s="29" t="str">
        <f>HYPERLINK("https://ictv.global/taxonomy/taxondetails?taxnode_id=202317049","ictv.global=202317049")</f>
        <v>ictv.global=202317049</v>
      </c>
    </row>
    <row r="9747" spans="1:21">
      <c r="A9747">
        <v>9746</v>
      </c>
      <c r="B9747" s="30" t="s">
        <v>1226</v>
      </c>
      <c r="D9747" s="30" t="s">
        <v>2024</v>
      </c>
      <c r="F9747" s="30" t="s">
        <v>2046</v>
      </c>
      <c r="H9747" s="30" t="s">
        <v>2859</v>
      </c>
      <c r="J9747" s="30" t="s">
        <v>3390</v>
      </c>
      <c r="L9747" s="30" t="s">
        <v>3442</v>
      </c>
      <c r="N9747" s="30" t="s">
        <v>16251</v>
      </c>
      <c r="P9747" s="30" t="s">
        <v>16253</v>
      </c>
      <c r="Q9747" t="s">
        <v>621</v>
      </c>
      <c r="R9747" t="s">
        <v>917</v>
      </c>
      <c r="S9747">
        <v>39</v>
      </c>
      <c r="T9747" s="29" t="str">
        <f t="shared" si="415"/>
        <v>2023.001B.Leviviricetes_reorg.zip</v>
      </c>
      <c r="U9747" s="29" t="str">
        <f>HYPERLINK("https://ictv.global/taxonomy/taxondetails?taxnode_id=202317050","ictv.global=202317050")</f>
        <v>ictv.global=202317050</v>
      </c>
    </row>
    <row r="9748" spans="1:21">
      <c r="A9748">
        <v>9747</v>
      </c>
      <c r="B9748" s="30" t="s">
        <v>1226</v>
      </c>
      <c r="D9748" s="30" t="s">
        <v>2024</v>
      </c>
      <c r="F9748" s="30" t="s">
        <v>2046</v>
      </c>
      <c r="H9748" s="30" t="s">
        <v>2859</v>
      </c>
      <c r="J9748" s="30" t="s">
        <v>3390</v>
      </c>
      <c r="L9748" s="30" t="s">
        <v>3442</v>
      </c>
      <c r="N9748" s="30" t="s">
        <v>16251</v>
      </c>
      <c r="P9748" s="30" t="s">
        <v>16254</v>
      </c>
      <c r="Q9748" t="s">
        <v>621</v>
      </c>
      <c r="R9748" t="s">
        <v>917</v>
      </c>
      <c r="S9748">
        <v>39</v>
      </c>
      <c r="T9748" s="29" t="str">
        <f t="shared" si="415"/>
        <v>2023.001B.Leviviricetes_reorg.zip</v>
      </c>
      <c r="U9748" s="29" t="str">
        <f>HYPERLINK("https://ictv.global/taxonomy/taxondetails?taxnode_id=202317051","ictv.global=202317051")</f>
        <v>ictv.global=202317051</v>
      </c>
    </row>
    <row r="9749" spans="1:21">
      <c r="A9749">
        <v>9748</v>
      </c>
      <c r="B9749" s="30" t="s">
        <v>1226</v>
      </c>
      <c r="D9749" s="30" t="s">
        <v>2024</v>
      </c>
      <c r="F9749" s="30" t="s">
        <v>2046</v>
      </c>
      <c r="H9749" s="30" t="s">
        <v>2859</v>
      </c>
      <c r="J9749" s="30" t="s">
        <v>3390</v>
      </c>
      <c r="L9749" s="30" t="s">
        <v>3442</v>
      </c>
      <c r="N9749" s="30" t="s">
        <v>16251</v>
      </c>
      <c r="P9749" s="30" t="s">
        <v>16255</v>
      </c>
      <c r="Q9749" t="s">
        <v>621</v>
      </c>
      <c r="R9749" t="s">
        <v>917</v>
      </c>
      <c r="S9749">
        <v>39</v>
      </c>
      <c r="T9749" s="29" t="str">
        <f t="shared" si="415"/>
        <v>2023.001B.Leviviricetes_reorg.zip</v>
      </c>
      <c r="U9749" s="29" t="str">
        <f>HYPERLINK("https://ictv.global/taxonomy/taxondetails?taxnode_id=202317052","ictv.global=202317052")</f>
        <v>ictv.global=202317052</v>
      </c>
    </row>
    <row r="9750" spans="1:21">
      <c r="A9750">
        <v>9749</v>
      </c>
      <c r="B9750" s="30" t="s">
        <v>1226</v>
      </c>
      <c r="D9750" s="30" t="s">
        <v>2024</v>
      </c>
      <c r="F9750" s="30" t="s">
        <v>2046</v>
      </c>
      <c r="H9750" s="30" t="s">
        <v>2859</v>
      </c>
      <c r="J9750" s="30" t="s">
        <v>3390</v>
      </c>
      <c r="L9750" s="30" t="s">
        <v>3442</v>
      </c>
      <c r="N9750" s="30" t="s">
        <v>16251</v>
      </c>
      <c r="P9750" s="30" t="s">
        <v>16256</v>
      </c>
      <c r="Q9750" t="s">
        <v>621</v>
      </c>
      <c r="R9750" t="s">
        <v>918</v>
      </c>
      <c r="S9750">
        <v>39</v>
      </c>
      <c r="T9750" s="29" t="str">
        <f t="shared" si="415"/>
        <v>2023.001B.Leviviricetes_reorg.zip</v>
      </c>
      <c r="U9750" s="29" t="str">
        <f>HYPERLINK("https://ictv.global/taxonomy/taxondetails?taxnode_id=202311473","ictv.global=202311473")</f>
        <v>ictv.global=202311473</v>
      </c>
    </row>
    <row r="9751" spans="1:21">
      <c r="A9751">
        <v>9750</v>
      </c>
      <c r="B9751" s="30" t="s">
        <v>1226</v>
      </c>
      <c r="D9751" s="30" t="s">
        <v>2024</v>
      </c>
      <c r="F9751" s="30" t="s">
        <v>2046</v>
      </c>
      <c r="H9751" s="30" t="s">
        <v>2859</v>
      </c>
      <c r="J9751" s="30" t="s">
        <v>3390</v>
      </c>
      <c r="L9751" s="30" t="s">
        <v>3442</v>
      </c>
      <c r="N9751" s="30" t="s">
        <v>16251</v>
      </c>
      <c r="P9751" s="30" t="s">
        <v>16257</v>
      </c>
      <c r="Q9751" t="s">
        <v>621</v>
      </c>
      <c r="R9751" t="s">
        <v>918</v>
      </c>
      <c r="S9751">
        <v>39</v>
      </c>
      <c r="T9751" s="29" t="str">
        <f t="shared" si="415"/>
        <v>2023.001B.Leviviricetes_reorg.zip</v>
      </c>
      <c r="U9751" s="29" t="str">
        <f>HYPERLINK("https://ictv.global/taxonomy/taxondetails?taxnode_id=202311475","ictv.global=202311475")</f>
        <v>ictv.global=202311475</v>
      </c>
    </row>
    <row r="9752" spans="1:21">
      <c r="A9752">
        <v>9751</v>
      </c>
      <c r="B9752" s="30" t="s">
        <v>1226</v>
      </c>
      <c r="D9752" s="30" t="s">
        <v>2024</v>
      </c>
      <c r="F9752" s="30" t="s">
        <v>2046</v>
      </c>
      <c r="H9752" s="30" t="s">
        <v>2859</v>
      </c>
      <c r="J9752" s="30" t="s">
        <v>3390</v>
      </c>
      <c r="L9752" s="30" t="s">
        <v>3442</v>
      </c>
      <c r="N9752" s="30" t="s">
        <v>16251</v>
      </c>
      <c r="P9752" s="30" t="s">
        <v>16258</v>
      </c>
      <c r="Q9752" t="s">
        <v>621</v>
      </c>
      <c r="R9752" t="s">
        <v>917</v>
      </c>
      <c r="S9752">
        <v>39</v>
      </c>
      <c r="T9752" s="29" t="str">
        <f t="shared" si="415"/>
        <v>2023.001B.Leviviricetes_reorg.zip</v>
      </c>
      <c r="U9752" s="29" t="str">
        <f>HYPERLINK("https://ictv.global/taxonomy/taxondetails?taxnode_id=202317053","ictv.global=202317053")</f>
        <v>ictv.global=202317053</v>
      </c>
    </row>
    <row r="9753" spans="1:21">
      <c r="A9753">
        <v>9752</v>
      </c>
      <c r="B9753" s="30" t="s">
        <v>1226</v>
      </c>
      <c r="D9753" s="30" t="s">
        <v>2024</v>
      </c>
      <c r="F9753" s="30" t="s">
        <v>2046</v>
      </c>
      <c r="H9753" s="30" t="s">
        <v>2859</v>
      </c>
      <c r="J9753" s="30" t="s">
        <v>3390</v>
      </c>
      <c r="L9753" s="30" t="s">
        <v>3442</v>
      </c>
      <c r="N9753" s="30" t="s">
        <v>16251</v>
      </c>
      <c r="P9753" s="30" t="s">
        <v>16259</v>
      </c>
      <c r="Q9753" t="s">
        <v>621</v>
      </c>
      <c r="R9753" t="s">
        <v>918</v>
      </c>
      <c r="S9753">
        <v>39</v>
      </c>
      <c r="T9753" s="29" t="str">
        <f t="shared" si="415"/>
        <v>2023.001B.Leviviricetes_reorg.zip</v>
      </c>
      <c r="U9753" s="29" t="str">
        <f>HYPERLINK("https://ictv.global/taxonomy/taxondetails?taxnode_id=202311476","ictv.global=202311476")</f>
        <v>ictv.global=202311476</v>
      </c>
    </row>
    <row r="9754" spans="1:21">
      <c r="A9754">
        <v>9753</v>
      </c>
      <c r="B9754" s="30" t="s">
        <v>1226</v>
      </c>
      <c r="D9754" s="30" t="s">
        <v>2024</v>
      </c>
      <c r="F9754" s="30" t="s">
        <v>2046</v>
      </c>
      <c r="H9754" s="30" t="s">
        <v>2859</v>
      </c>
      <c r="J9754" s="30" t="s">
        <v>3390</v>
      </c>
      <c r="L9754" s="30" t="s">
        <v>3442</v>
      </c>
      <c r="N9754" s="30" t="s">
        <v>16251</v>
      </c>
      <c r="P9754" s="30" t="s">
        <v>16260</v>
      </c>
      <c r="Q9754" t="s">
        <v>621</v>
      </c>
      <c r="R9754" t="s">
        <v>918</v>
      </c>
      <c r="S9754">
        <v>39</v>
      </c>
      <c r="T9754" s="29" t="str">
        <f t="shared" si="415"/>
        <v>2023.001B.Leviviricetes_reorg.zip</v>
      </c>
      <c r="U9754" s="29" t="str">
        <f>HYPERLINK("https://ictv.global/taxonomy/taxondetails?taxnode_id=202311477","ictv.global=202311477")</f>
        <v>ictv.global=202311477</v>
      </c>
    </row>
    <row r="9755" spans="1:21">
      <c r="A9755">
        <v>9754</v>
      </c>
      <c r="B9755" s="30" t="s">
        <v>1226</v>
      </c>
      <c r="D9755" s="30" t="s">
        <v>2024</v>
      </c>
      <c r="F9755" s="30" t="s">
        <v>2046</v>
      </c>
      <c r="H9755" s="30" t="s">
        <v>2859</v>
      </c>
      <c r="J9755" s="30" t="s">
        <v>3390</v>
      </c>
      <c r="L9755" s="30" t="s">
        <v>3442</v>
      </c>
      <c r="N9755" s="30" t="s">
        <v>16251</v>
      </c>
      <c r="P9755" s="30" t="s">
        <v>16261</v>
      </c>
      <c r="Q9755" t="s">
        <v>621</v>
      </c>
      <c r="R9755" t="s">
        <v>918</v>
      </c>
      <c r="S9755">
        <v>39</v>
      </c>
      <c r="T9755" s="29" t="str">
        <f t="shared" si="415"/>
        <v>2023.001B.Leviviricetes_reorg.zip</v>
      </c>
      <c r="U9755" s="29" t="str">
        <f>HYPERLINK("https://ictv.global/taxonomy/taxondetails?taxnode_id=202311478","ictv.global=202311478")</f>
        <v>ictv.global=202311478</v>
      </c>
    </row>
    <row r="9756" spans="1:21">
      <c r="A9756">
        <v>9755</v>
      </c>
      <c r="B9756" s="30" t="s">
        <v>1226</v>
      </c>
      <c r="D9756" s="30" t="s">
        <v>2024</v>
      </c>
      <c r="F9756" s="30" t="s">
        <v>2046</v>
      </c>
      <c r="H9756" s="30" t="s">
        <v>2859</v>
      </c>
      <c r="J9756" s="30" t="s">
        <v>3390</v>
      </c>
      <c r="L9756" s="30" t="s">
        <v>3442</v>
      </c>
      <c r="N9756" s="30" t="s">
        <v>16251</v>
      </c>
      <c r="P9756" s="30" t="s">
        <v>16262</v>
      </c>
      <c r="Q9756" t="s">
        <v>621</v>
      </c>
      <c r="R9756" t="s">
        <v>917</v>
      </c>
      <c r="S9756">
        <v>39</v>
      </c>
      <c r="T9756" s="29" t="str">
        <f t="shared" si="415"/>
        <v>2023.001B.Leviviricetes_reorg.zip</v>
      </c>
      <c r="U9756" s="29" t="str">
        <f>HYPERLINK("https://ictv.global/taxonomy/taxondetails?taxnode_id=202317054","ictv.global=202317054")</f>
        <v>ictv.global=202317054</v>
      </c>
    </row>
    <row r="9757" spans="1:21">
      <c r="A9757">
        <v>9756</v>
      </c>
      <c r="B9757" s="30" t="s">
        <v>1226</v>
      </c>
      <c r="D9757" s="30" t="s">
        <v>2024</v>
      </c>
      <c r="F9757" s="30" t="s">
        <v>2046</v>
      </c>
      <c r="H9757" s="30" t="s">
        <v>2859</v>
      </c>
      <c r="J9757" s="30" t="s">
        <v>3390</v>
      </c>
      <c r="L9757" s="30" t="s">
        <v>3442</v>
      </c>
      <c r="N9757" s="30" t="s">
        <v>16251</v>
      </c>
      <c r="P9757" s="30" t="s">
        <v>16263</v>
      </c>
      <c r="Q9757" t="s">
        <v>621</v>
      </c>
      <c r="R9757" t="s">
        <v>918</v>
      </c>
      <c r="S9757">
        <v>39</v>
      </c>
      <c r="T9757" s="29" t="str">
        <f t="shared" si="415"/>
        <v>2023.001B.Leviviricetes_reorg.zip</v>
      </c>
      <c r="U9757" s="29" t="str">
        <f>HYPERLINK("https://ictv.global/taxonomy/taxondetails?taxnode_id=202311479","ictv.global=202311479")</f>
        <v>ictv.global=202311479</v>
      </c>
    </row>
    <row r="9758" spans="1:21">
      <c r="A9758">
        <v>9757</v>
      </c>
      <c r="B9758" s="30" t="s">
        <v>1226</v>
      </c>
      <c r="D9758" s="30" t="s">
        <v>2024</v>
      </c>
      <c r="F9758" s="30" t="s">
        <v>2046</v>
      </c>
      <c r="H9758" s="30" t="s">
        <v>2859</v>
      </c>
      <c r="J9758" s="30" t="s">
        <v>3390</v>
      </c>
      <c r="L9758" s="30" t="s">
        <v>3442</v>
      </c>
      <c r="N9758" s="30" t="s">
        <v>16251</v>
      </c>
      <c r="P9758" s="30" t="s">
        <v>16264</v>
      </c>
      <c r="Q9758" t="s">
        <v>621</v>
      </c>
      <c r="R9758" t="s">
        <v>918</v>
      </c>
      <c r="S9758">
        <v>39</v>
      </c>
      <c r="T9758" s="29" t="str">
        <f t="shared" si="415"/>
        <v>2023.001B.Leviviricetes_reorg.zip</v>
      </c>
      <c r="U9758" s="29" t="str">
        <f>HYPERLINK("https://ictv.global/taxonomy/taxondetails?taxnode_id=202311480","ictv.global=202311480")</f>
        <v>ictv.global=202311480</v>
      </c>
    </row>
    <row r="9759" spans="1:21">
      <c r="A9759">
        <v>9758</v>
      </c>
      <c r="B9759" s="30" t="s">
        <v>1226</v>
      </c>
      <c r="D9759" s="30" t="s">
        <v>2024</v>
      </c>
      <c r="F9759" s="30" t="s">
        <v>2046</v>
      </c>
      <c r="H9759" s="30" t="s">
        <v>2859</v>
      </c>
      <c r="J9759" s="30" t="s">
        <v>3390</v>
      </c>
      <c r="L9759" s="30" t="s">
        <v>3442</v>
      </c>
      <c r="N9759" s="30" t="s">
        <v>16251</v>
      </c>
      <c r="P9759" s="30" t="s">
        <v>16265</v>
      </c>
      <c r="Q9759" t="s">
        <v>621</v>
      </c>
      <c r="R9759" t="s">
        <v>918</v>
      </c>
      <c r="S9759">
        <v>39</v>
      </c>
      <c r="T9759" s="29" t="str">
        <f t="shared" si="415"/>
        <v>2023.001B.Leviviricetes_reorg.zip</v>
      </c>
      <c r="U9759" s="29" t="str">
        <f>HYPERLINK("https://ictv.global/taxonomy/taxondetails?taxnode_id=202311482","ictv.global=202311482")</f>
        <v>ictv.global=202311482</v>
      </c>
    </row>
    <row r="9760" spans="1:21">
      <c r="A9760">
        <v>9759</v>
      </c>
      <c r="B9760" s="30" t="s">
        <v>1226</v>
      </c>
      <c r="D9760" s="30" t="s">
        <v>2024</v>
      </c>
      <c r="F9760" s="30" t="s">
        <v>2046</v>
      </c>
      <c r="H9760" s="30" t="s">
        <v>2859</v>
      </c>
      <c r="J9760" s="30" t="s">
        <v>3390</v>
      </c>
      <c r="L9760" s="30" t="s">
        <v>3442</v>
      </c>
      <c r="N9760" s="30" t="s">
        <v>16251</v>
      </c>
      <c r="P9760" s="30" t="s">
        <v>16266</v>
      </c>
      <c r="Q9760" t="s">
        <v>621</v>
      </c>
      <c r="R9760" t="s">
        <v>918</v>
      </c>
      <c r="S9760">
        <v>39</v>
      </c>
      <c r="T9760" s="29" t="str">
        <f t="shared" si="415"/>
        <v>2023.001B.Leviviricetes_reorg.zip</v>
      </c>
      <c r="U9760" s="29" t="str">
        <f>HYPERLINK("https://ictv.global/taxonomy/taxondetails?taxnode_id=202311483","ictv.global=202311483")</f>
        <v>ictv.global=202311483</v>
      </c>
    </row>
    <row r="9761" spans="1:21">
      <c r="A9761">
        <v>9760</v>
      </c>
      <c r="B9761" s="30" t="s">
        <v>1226</v>
      </c>
      <c r="D9761" s="30" t="s">
        <v>2024</v>
      </c>
      <c r="F9761" s="30" t="s">
        <v>2046</v>
      </c>
      <c r="H9761" s="30" t="s">
        <v>2859</v>
      </c>
      <c r="J9761" s="30" t="s">
        <v>3390</v>
      </c>
      <c r="L9761" s="30" t="s">
        <v>3442</v>
      </c>
      <c r="N9761" s="30" t="s">
        <v>16251</v>
      </c>
      <c r="P9761" s="30" t="s">
        <v>16267</v>
      </c>
      <c r="Q9761" t="s">
        <v>621</v>
      </c>
      <c r="R9761" t="s">
        <v>918</v>
      </c>
      <c r="S9761">
        <v>39</v>
      </c>
      <c r="T9761" s="29" t="str">
        <f t="shared" si="415"/>
        <v>2023.001B.Leviviricetes_reorg.zip</v>
      </c>
      <c r="U9761" s="29" t="str">
        <f>HYPERLINK("https://ictv.global/taxonomy/taxondetails?taxnode_id=202311484","ictv.global=202311484")</f>
        <v>ictv.global=202311484</v>
      </c>
    </row>
    <row r="9762" spans="1:21">
      <c r="A9762">
        <v>9761</v>
      </c>
      <c r="B9762" s="30" t="s">
        <v>1226</v>
      </c>
      <c r="D9762" s="30" t="s">
        <v>2024</v>
      </c>
      <c r="F9762" s="30" t="s">
        <v>2046</v>
      </c>
      <c r="H9762" s="30" t="s">
        <v>2859</v>
      </c>
      <c r="J9762" s="30" t="s">
        <v>3390</v>
      </c>
      <c r="L9762" s="30" t="s">
        <v>3442</v>
      </c>
      <c r="N9762" s="30" t="s">
        <v>16251</v>
      </c>
      <c r="P9762" s="30" t="s">
        <v>16268</v>
      </c>
      <c r="Q9762" t="s">
        <v>621</v>
      </c>
      <c r="R9762" t="s">
        <v>917</v>
      </c>
      <c r="S9762">
        <v>39</v>
      </c>
      <c r="T9762" s="29" t="str">
        <f t="shared" si="415"/>
        <v>2023.001B.Leviviricetes_reorg.zip</v>
      </c>
      <c r="U9762" s="29" t="str">
        <f>HYPERLINK("https://ictv.global/taxonomy/taxondetails?taxnode_id=202317055","ictv.global=202317055")</f>
        <v>ictv.global=202317055</v>
      </c>
    </row>
    <row r="9763" spans="1:21">
      <c r="A9763">
        <v>9762</v>
      </c>
      <c r="B9763" s="30" t="s">
        <v>1226</v>
      </c>
      <c r="D9763" s="30" t="s">
        <v>2024</v>
      </c>
      <c r="F9763" s="30" t="s">
        <v>2046</v>
      </c>
      <c r="H9763" s="30" t="s">
        <v>2859</v>
      </c>
      <c r="J9763" s="30" t="s">
        <v>3390</v>
      </c>
      <c r="L9763" s="30" t="s">
        <v>3442</v>
      </c>
      <c r="N9763" s="30" t="s">
        <v>16251</v>
      </c>
      <c r="P9763" s="30" t="s">
        <v>16269</v>
      </c>
      <c r="Q9763" t="s">
        <v>621</v>
      </c>
      <c r="R9763" t="s">
        <v>917</v>
      </c>
      <c r="S9763">
        <v>39</v>
      </c>
      <c r="T9763" s="29" t="str">
        <f t="shared" si="415"/>
        <v>2023.001B.Leviviricetes_reorg.zip</v>
      </c>
      <c r="U9763" s="29" t="str">
        <f>HYPERLINK("https://ictv.global/taxonomy/taxondetails?taxnode_id=202317056","ictv.global=202317056")</f>
        <v>ictv.global=202317056</v>
      </c>
    </row>
    <row r="9764" spans="1:21">
      <c r="A9764">
        <v>9763</v>
      </c>
      <c r="B9764" s="30" t="s">
        <v>1226</v>
      </c>
      <c r="D9764" s="30" t="s">
        <v>2024</v>
      </c>
      <c r="F9764" s="30" t="s">
        <v>2046</v>
      </c>
      <c r="H9764" s="30" t="s">
        <v>2859</v>
      </c>
      <c r="J9764" s="30" t="s">
        <v>3390</v>
      </c>
      <c r="L9764" s="30" t="s">
        <v>3442</v>
      </c>
      <c r="N9764" s="30" t="s">
        <v>16251</v>
      </c>
      <c r="P9764" s="30" t="s">
        <v>16270</v>
      </c>
      <c r="Q9764" t="s">
        <v>621</v>
      </c>
      <c r="R9764" t="s">
        <v>918</v>
      </c>
      <c r="S9764">
        <v>39</v>
      </c>
      <c r="T9764" s="29" t="str">
        <f t="shared" si="415"/>
        <v>2023.001B.Leviviricetes_reorg.zip</v>
      </c>
      <c r="U9764" s="29" t="str">
        <f>HYPERLINK("https://ictv.global/taxonomy/taxondetails?taxnode_id=202311491","ictv.global=202311491")</f>
        <v>ictv.global=202311491</v>
      </c>
    </row>
    <row r="9765" spans="1:21">
      <c r="A9765">
        <v>9764</v>
      </c>
      <c r="B9765" s="30" t="s">
        <v>1226</v>
      </c>
      <c r="D9765" s="30" t="s">
        <v>2024</v>
      </c>
      <c r="F9765" s="30" t="s">
        <v>2046</v>
      </c>
      <c r="H9765" s="30" t="s">
        <v>2859</v>
      </c>
      <c r="J9765" s="30" t="s">
        <v>3390</v>
      </c>
      <c r="L9765" s="30" t="s">
        <v>3442</v>
      </c>
      <c r="N9765" s="30" t="s">
        <v>16251</v>
      </c>
      <c r="P9765" s="30" t="s">
        <v>16271</v>
      </c>
      <c r="Q9765" t="s">
        <v>621</v>
      </c>
      <c r="R9765" t="s">
        <v>918</v>
      </c>
      <c r="S9765">
        <v>39</v>
      </c>
      <c r="T9765" s="29" t="str">
        <f t="shared" si="415"/>
        <v>2023.001B.Leviviricetes_reorg.zip</v>
      </c>
      <c r="U9765" s="29" t="str">
        <f>HYPERLINK("https://ictv.global/taxonomy/taxondetails?taxnode_id=202311492","ictv.global=202311492")</f>
        <v>ictv.global=202311492</v>
      </c>
    </row>
    <row r="9766" spans="1:21">
      <c r="A9766">
        <v>9765</v>
      </c>
      <c r="B9766" s="30" t="s">
        <v>1226</v>
      </c>
      <c r="D9766" s="30" t="s">
        <v>2024</v>
      </c>
      <c r="F9766" s="30" t="s">
        <v>2046</v>
      </c>
      <c r="H9766" s="30" t="s">
        <v>2859</v>
      </c>
      <c r="J9766" s="30" t="s">
        <v>3390</v>
      </c>
      <c r="L9766" s="30" t="s">
        <v>3442</v>
      </c>
      <c r="N9766" s="30" t="s">
        <v>16251</v>
      </c>
      <c r="P9766" s="30" t="s">
        <v>16272</v>
      </c>
      <c r="Q9766" t="s">
        <v>621</v>
      </c>
      <c r="R9766" t="s">
        <v>918</v>
      </c>
      <c r="S9766">
        <v>39</v>
      </c>
      <c r="T9766" s="29" t="str">
        <f t="shared" si="415"/>
        <v>2023.001B.Leviviricetes_reorg.zip</v>
      </c>
      <c r="U9766" s="29" t="str">
        <f>HYPERLINK("https://ictv.global/taxonomy/taxondetails?taxnode_id=202311469","ictv.global=202311469")</f>
        <v>ictv.global=202311469</v>
      </c>
    </row>
    <row r="9767" spans="1:21">
      <c r="A9767">
        <v>9766</v>
      </c>
      <c r="B9767" s="30" t="s">
        <v>1226</v>
      </c>
      <c r="D9767" s="30" t="s">
        <v>2024</v>
      </c>
      <c r="F9767" s="30" t="s">
        <v>2046</v>
      </c>
      <c r="H9767" s="30" t="s">
        <v>2859</v>
      </c>
      <c r="J9767" s="30" t="s">
        <v>3390</v>
      </c>
      <c r="L9767" s="30" t="s">
        <v>3442</v>
      </c>
      <c r="N9767" s="30" t="s">
        <v>16251</v>
      </c>
      <c r="P9767" s="30" t="s">
        <v>16273</v>
      </c>
      <c r="Q9767" t="s">
        <v>621</v>
      </c>
      <c r="R9767" t="s">
        <v>918</v>
      </c>
      <c r="S9767">
        <v>39</v>
      </c>
      <c r="T9767" s="29" t="str">
        <f t="shared" si="415"/>
        <v>2023.001B.Leviviricetes_reorg.zip</v>
      </c>
      <c r="U9767" s="29" t="str">
        <f>HYPERLINK("https://ictv.global/taxonomy/taxondetails?taxnode_id=202311493","ictv.global=202311493")</f>
        <v>ictv.global=202311493</v>
      </c>
    </row>
    <row r="9768" spans="1:21">
      <c r="A9768">
        <v>9767</v>
      </c>
      <c r="B9768" s="30" t="s">
        <v>1226</v>
      </c>
      <c r="D9768" s="30" t="s">
        <v>2024</v>
      </c>
      <c r="F9768" s="30" t="s">
        <v>2046</v>
      </c>
      <c r="H9768" s="30" t="s">
        <v>2859</v>
      </c>
      <c r="J9768" s="30" t="s">
        <v>3390</v>
      </c>
      <c r="L9768" s="30" t="s">
        <v>3442</v>
      </c>
      <c r="N9768" s="30" t="s">
        <v>16251</v>
      </c>
      <c r="P9768" s="30" t="s">
        <v>16274</v>
      </c>
      <c r="Q9768" t="s">
        <v>621</v>
      </c>
      <c r="R9768" t="s">
        <v>918</v>
      </c>
      <c r="S9768">
        <v>39</v>
      </c>
      <c r="T9768" s="29" t="str">
        <f t="shared" si="415"/>
        <v>2023.001B.Leviviricetes_reorg.zip</v>
      </c>
      <c r="U9768" s="29" t="str">
        <f>HYPERLINK("https://ictv.global/taxonomy/taxondetails?taxnode_id=202311494","ictv.global=202311494")</f>
        <v>ictv.global=202311494</v>
      </c>
    </row>
    <row r="9769" spans="1:21">
      <c r="A9769">
        <v>9768</v>
      </c>
      <c r="B9769" s="30" t="s">
        <v>1226</v>
      </c>
      <c r="D9769" s="30" t="s">
        <v>2024</v>
      </c>
      <c r="F9769" s="30" t="s">
        <v>2046</v>
      </c>
      <c r="H9769" s="30" t="s">
        <v>2859</v>
      </c>
      <c r="J9769" s="30" t="s">
        <v>3390</v>
      </c>
      <c r="L9769" s="30" t="s">
        <v>3442</v>
      </c>
      <c r="N9769" s="30" t="s">
        <v>16251</v>
      </c>
      <c r="P9769" s="30" t="s">
        <v>16275</v>
      </c>
      <c r="Q9769" t="s">
        <v>621</v>
      </c>
      <c r="R9769" t="s">
        <v>918</v>
      </c>
      <c r="S9769">
        <v>39</v>
      </c>
      <c r="T9769" s="29" t="str">
        <f t="shared" si="415"/>
        <v>2023.001B.Leviviricetes_reorg.zip</v>
      </c>
      <c r="U9769" s="29" t="str">
        <f>HYPERLINK("https://ictv.global/taxonomy/taxondetails?taxnode_id=202311495","ictv.global=202311495")</f>
        <v>ictv.global=202311495</v>
      </c>
    </row>
    <row r="9770" spans="1:21">
      <c r="A9770">
        <v>9769</v>
      </c>
      <c r="B9770" s="30" t="s">
        <v>1226</v>
      </c>
      <c r="D9770" s="30" t="s">
        <v>2024</v>
      </c>
      <c r="F9770" s="30" t="s">
        <v>2046</v>
      </c>
      <c r="H9770" s="30" t="s">
        <v>2859</v>
      </c>
      <c r="J9770" s="30" t="s">
        <v>3390</v>
      </c>
      <c r="L9770" s="30" t="s">
        <v>3442</v>
      </c>
      <c r="N9770" s="30" t="s">
        <v>16251</v>
      </c>
      <c r="P9770" s="30" t="s">
        <v>16276</v>
      </c>
      <c r="Q9770" t="s">
        <v>621</v>
      </c>
      <c r="R9770" t="s">
        <v>917</v>
      </c>
      <c r="S9770">
        <v>39</v>
      </c>
      <c r="T9770" s="29" t="str">
        <f t="shared" ref="T9770:T9786" si="416">HYPERLINK("https://ictv.global/ictv/proposals/2023.001B.Leviviricetes_reorg.zip","2023.001B.Leviviricetes_reorg.zip")</f>
        <v>2023.001B.Leviviricetes_reorg.zip</v>
      </c>
      <c r="U9770" s="29" t="str">
        <f>HYPERLINK("https://ictv.global/taxonomy/taxondetails?taxnode_id=202317057","ictv.global=202317057")</f>
        <v>ictv.global=202317057</v>
      </c>
    </row>
    <row r="9771" spans="1:21">
      <c r="A9771">
        <v>9770</v>
      </c>
      <c r="B9771" s="30" t="s">
        <v>1226</v>
      </c>
      <c r="D9771" s="30" t="s">
        <v>2024</v>
      </c>
      <c r="F9771" s="30" t="s">
        <v>2046</v>
      </c>
      <c r="H9771" s="30" t="s">
        <v>2859</v>
      </c>
      <c r="J9771" s="30" t="s">
        <v>3390</v>
      </c>
      <c r="L9771" s="30" t="s">
        <v>3442</v>
      </c>
      <c r="N9771" s="30" t="s">
        <v>16251</v>
      </c>
      <c r="P9771" s="30" t="s">
        <v>16277</v>
      </c>
      <c r="Q9771" t="s">
        <v>621</v>
      </c>
      <c r="R9771" t="s">
        <v>918</v>
      </c>
      <c r="S9771">
        <v>39</v>
      </c>
      <c r="T9771" s="29" t="str">
        <f t="shared" si="416"/>
        <v>2023.001B.Leviviricetes_reorg.zip</v>
      </c>
      <c r="U9771" s="29" t="str">
        <f>HYPERLINK("https://ictv.global/taxonomy/taxondetails?taxnode_id=202311470","ictv.global=202311470")</f>
        <v>ictv.global=202311470</v>
      </c>
    </row>
    <row r="9772" spans="1:21">
      <c r="A9772">
        <v>9771</v>
      </c>
      <c r="B9772" s="30" t="s">
        <v>1226</v>
      </c>
      <c r="D9772" s="30" t="s">
        <v>2024</v>
      </c>
      <c r="F9772" s="30" t="s">
        <v>2046</v>
      </c>
      <c r="H9772" s="30" t="s">
        <v>2859</v>
      </c>
      <c r="J9772" s="30" t="s">
        <v>3390</v>
      </c>
      <c r="L9772" s="30" t="s">
        <v>3442</v>
      </c>
      <c r="N9772" s="30" t="s">
        <v>16251</v>
      </c>
      <c r="P9772" s="30" t="s">
        <v>16278</v>
      </c>
      <c r="Q9772" t="s">
        <v>621</v>
      </c>
      <c r="R9772" t="s">
        <v>918</v>
      </c>
      <c r="S9772">
        <v>39</v>
      </c>
      <c r="T9772" s="29" t="str">
        <f t="shared" si="416"/>
        <v>2023.001B.Leviviricetes_reorg.zip</v>
      </c>
      <c r="U9772" s="29" t="str">
        <f>HYPERLINK("https://ictv.global/taxonomy/taxondetails?taxnode_id=202311472","ictv.global=202311472")</f>
        <v>ictv.global=202311472</v>
      </c>
    </row>
    <row r="9773" spans="1:21">
      <c r="A9773">
        <v>9772</v>
      </c>
      <c r="B9773" s="30" t="s">
        <v>1226</v>
      </c>
      <c r="D9773" s="30" t="s">
        <v>2024</v>
      </c>
      <c r="F9773" s="30" t="s">
        <v>2046</v>
      </c>
      <c r="H9773" s="30" t="s">
        <v>2859</v>
      </c>
      <c r="J9773" s="30" t="s">
        <v>3390</v>
      </c>
      <c r="L9773" s="30" t="s">
        <v>3442</v>
      </c>
      <c r="N9773" s="30" t="s">
        <v>16251</v>
      </c>
      <c r="P9773" s="30" t="s">
        <v>16279</v>
      </c>
      <c r="Q9773" t="s">
        <v>621</v>
      </c>
      <c r="R9773" t="s">
        <v>918</v>
      </c>
      <c r="S9773">
        <v>39</v>
      </c>
      <c r="T9773" s="29" t="str">
        <f t="shared" si="416"/>
        <v>2023.001B.Leviviricetes_reorg.zip</v>
      </c>
      <c r="U9773" s="29" t="str">
        <f>HYPERLINK("https://ictv.global/taxonomy/taxondetails?taxnode_id=202311485","ictv.global=202311485")</f>
        <v>ictv.global=202311485</v>
      </c>
    </row>
    <row r="9774" spans="1:21">
      <c r="A9774">
        <v>9773</v>
      </c>
      <c r="B9774" s="30" t="s">
        <v>1226</v>
      </c>
      <c r="D9774" s="30" t="s">
        <v>2024</v>
      </c>
      <c r="F9774" s="30" t="s">
        <v>2046</v>
      </c>
      <c r="H9774" s="30" t="s">
        <v>2859</v>
      </c>
      <c r="J9774" s="30" t="s">
        <v>3390</v>
      </c>
      <c r="L9774" s="30" t="s">
        <v>3442</v>
      </c>
      <c r="N9774" s="30" t="s">
        <v>16251</v>
      </c>
      <c r="P9774" s="30" t="s">
        <v>16280</v>
      </c>
      <c r="Q9774" t="s">
        <v>621</v>
      </c>
      <c r="R9774" t="s">
        <v>918</v>
      </c>
      <c r="S9774">
        <v>39</v>
      </c>
      <c r="T9774" s="29" t="str">
        <f t="shared" si="416"/>
        <v>2023.001B.Leviviricetes_reorg.zip</v>
      </c>
      <c r="U9774" s="29" t="str">
        <f>HYPERLINK("https://ictv.global/taxonomy/taxondetails?taxnode_id=202311487","ictv.global=202311487")</f>
        <v>ictv.global=202311487</v>
      </c>
    </row>
    <row r="9775" spans="1:21">
      <c r="A9775">
        <v>9774</v>
      </c>
      <c r="B9775" s="30" t="s">
        <v>1226</v>
      </c>
      <c r="D9775" s="30" t="s">
        <v>2024</v>
      </c>
      <c r="F9775" s="30" t="s">
        <v>2046</v>
      </c>
      <c r="H9775" s="30" t="s">
        <v>2859</v>
      </c>
      <c r="J9775" s="30" t="s">
        <v>3390</v>
      </c>
      <c r="L9775" s="30" t="s">
        <v>3442</v>
      </c>
      <c r="N9775" s="30" t="s">
        <v>16251</v>
      </c>
      <c r="P9775" s="30" t="s">
        <v>16281</v>
      </c>
      <c r="Q9775" t="s">
        <v>621</v>
      </c>
      <c r="R9775" t="s">
        <v>918</v>
      </c>
      <c r="S9775">
        <v>39</v>
      </c>
      <c r="T9775" s="29" t="str">
        <f t="shared" si="416"/>
        <v>2023.001B.Leviviricetes_reorg.zip</v>
      </c>
      <c r="U9775" s="29" t="str">
        <f>HYPERLINK("https://ictv.global/taxonomy/taxondetails?taxnode_id=202311486","ictv.global=202311486")</f>
        <v>ictv.global=202311486</v>
      </c>
    </row>
    <row r="9776" spans="1:21">
      <c r="A9776">
        <v>9775</v>
      </c>
      <c r="B9776" s="30" t="s">
        <v>1226</v>
      </c>
      <c r="D9776" s="30" t="s">
        <v>2024</v>
      </c>
      <c r="F9776" s="30" t="s">
        <v>2046</v>
      </c>
      <c r="H9776" s="30" t="s">
        <v>2859</v>
      </c>
      <c r="J9776" s="30" t="s">
        <v>3390</v>
      </c>
      <c r="L9776" s="30" t="s">
        <v>3442</v>
      </c>
      <c r="N9776" s="30" t="s">
        <v>16251</v>
      </c>
      <c r="P9776" s="30" t="s">
        <v>16282</v>
      </c>
      <c r="Q9776" t="s">
        <v>621</v>
      </c>
      <c r="R9776" t="s">
        <v>918</v>
      </c>
      <c r="S9776">
        <v>39</v>
      </c>
      <c r="T9776" s="29" t="str">
        <f t="shared" si="416"/>
        <v>2023.001B.Leviviricetes_reorg.zip</v>
      </c>
      <c r="U9776" s="29" t="str">
        <f>HYPERLINK("https://ictv.global/taxonomy/taxondetails?taxnode_id=202311488","ictv.global=202311488")</f>
        <v>ictv.global=202311488</v>
      </c>
    </row>
    <row r="9777" spans="1:21">
      <c r="A9777">
        <v>9776</v>
      </c>
      <c r="B9777" s="30" t="s">
        <v>1226</v>
      </c>
      <c r="D9777" s="30" t="s">
        <v>2024</v>
      </c>
      <c r="F9777" s="30" t="s">
        <v>2046</v>
      </c>
      <c r="H9777" s="30" t="s">
        <v>2859</v>
      </c>
      <c r="J9777" s="30" t="s">
        <v>3390</v>
      </c>
      <c r="L9777" s="30" t="s">
        <v>3442</v>
      </c>
      <c r="N9777" s="30" t="s">
        <v>16251</v>
      </c>
      <c r="P9777" s="30" t="s">
        <v>16283</v>
      </c>
      <c r="Q9777" t="s">
        <v>621</v>
      </c>
      <c r="R9777" t="s">
        <v>918</v>
      </c>
      <c r="S9777">
        <v>39</v>
      </c>
      <c r="T9777" s="29" t="str">
        <f t="shared" si="416"/>
        <v>2023.001B.Leviviricetes_reorg.zip</v>
      </c>
      <c r="U9777" s="29" t="str">
        <f>HYPERLINK("https://ictv.global/taxonomy/taxondetails?taxnode_id=202311489","ictv.global=202311489")</f>
        <v>ictv.global=202311489</v>
      </c>
    </row>
    <row r="9778" spans="1:21">
      <c r="A9778">
        <v>9777</v>
      </c>
      <c r="B9778" s="30" t="s">
        <v>1226</v>
      </c>
      <c r="D9778" s="30" t="s">
        <v>2024</v>
      </c>
      <c r="F9778" s="30" t="s">
        <v>2046</v>
      </c>
      <c r="H9778" s="30" t="s">
        <v>2859</v>
      </c>
      <c r="J9778" s="30" t="s">
        <v>3390</v>
      </c>
      <c r="L9778" s="30" t="s">
        <v>3442</v>
      </c>
      <c r="N9778" s="30" t="s">
        <v>16251</v>
      </c>
      <c r="P9778" s="30" t="s">
        <v>16284</v>
      </c>
      <c r="Q9778" t="s">
        <v>621</v>
      </c>
      <c r="R9778" t="s">
        <v>918</v>
      </c>
      <c r="S9778">
        <v>39</v>
      </c>
      <c r="T9778" s="29" t="str">
        <f t="shared" si="416"/>
        <v>2023.001B.Leviviricetes_reorg.zip</v>
      </c>
      <c r="U9778" s="29" t="str">
        <f>HYPERLINK("https://ictv.global/taxonomy/taxondetails?taxnode_id=202311490","ictv.global=202311490")</f>
        <v>ictv.global=202311490</v>
      </c>
    </row>
    <row r="9779" spans="1:21">
      <c r="A9779">
        <v>9778</v>
      </c>
      <c r="B9779" s="30" t="s">
        <v>1226</v>
      </c>
      <c r="D9779" s="30" t="s">
        <v>2024</v>
      </c>
      <c r="F9779" s="30" t="s">
        <v>2046</v>
      </c>
      <c r="H9779" s="30" t="s">
        <v>2859</v>
      </c>
      <c r="J9779" s="30" t="s">
        <v>3390</v>
      </c>
      <c r="L9779" s="30" t="s">
        <v>3442</v>
      </c>
      <c r="N9779" s="30" t="s">
        <v>16251</v>
      </c>
      <c r="P9779" s="30" t="s">
        <v>16285</v>
      </c>
      <c r="Q9779" t="s">
        <v>621</v>
      </c>
      <c r="R9779" t="s">
        <v>918</v>
      </c>
      <c r="S9779">
        <v>39</v>
      </c>
      <c r="T9779" s="29" t="str">
        <f t="shared" si="416"/>
        <v>2023.001B.Leviviricetes_reorg.zip</v>
      </c>
      <c r="U9779" s="29" t="str">
        <f>HYPERLINK("https://ictv.global/taxonomy/taxondetails?taxnode_id=202311496","ictv.global=202311496")</f>
        <v>ictv.global=202311496</v>
      </c>
    </row>
    <row r="9780" spans="1:21">
      <c r="A9780">
        <v>9779</v>
      </c>
      <c r="B9780" s="30" t="s">
        <v>1226</v>
      </c>
      <c r="D9780" s="30" t="s">
        <v>2024</v>
      </c>
      <c r="F9780" s="30" t="s">
        <v>2046</v>
      </c>
      <c r="H9780" s="30" t="s">
        <v>2859</v>
      </c>
      <c r="J9780" s="30" t="s">
        <v>3390</v>
      </c>
      <c r="L9780" s="30" t="s">
        <v>3442</v>
      </c>
      <c r="N9780" s="30" t="s">
        <v>16251</v>
      </c>
      <c r="P9780" s="30" t="s">
        <v>16286</v>
      </c>
      <c r="Q9780" t="s">
        <v>621</v>
      </c>
      <c r="R9780" t="s">
        <v>918</v>
      </c>
      <c r="S9780">
        <v>39</v>
      </c>
      <c r="T9780" s="29" t="str">
        <f t="shared" si="416"/>
        <v>2023.001B.Leviviricetes_reorg.zip</v>
      </c>
      <c r="U9780" s="29" t="str">
        <f>HYPERLINK("https://ictv.global/taxonomy/taxondetails?taxnode_id=202311498","ictv.global=202311498")</f>
        <v>ictv.global=202311498</v>
      </c>
    </row>
    <row r="9781" spans="1:21">
      <c r="A9781">
        <v>9780</v>
      </c>
      <c r="B9781" s="30" t="s">
        <v>1226</v>
      </c>
      <c r="D9781" s="30" t="s">
        <v>2024</v>
      </c>
      <c r="F9781" s="30" t="s">
        <v>2046</v>
      </c>
      <c r="H9781" s="30" t="s">
        <v>2859</v>
      </c>
      <c r="J9781" s="30" t="s">
        <v>3390</v>
      </c>
      <c r="L9781" s="30" t="s">
        <v>3442</v>
      </c>
      <c r="N9781" s="30" t="s">
        <v>16251</v>
      </c>
      <c r="P9781" s="30" t="s">
        <v>16287</v>
      </c>
      <c r="Q9781" t="s">
        <v>621</v>
      </c>
      <c r="R9781" t="s">
        <v>918</v>
      </c>
      <c r="S9781">
        <v>39</v>
      </c>
      <c r="T9781" s="29" t="str">
        <f t="shared" si="416"/>
        <v>2023.001B.Leviviricetes_reorg.zip</v>
      </c>
      <c r="U9781" s="29" t="str">
        <f>HYPERLINK("https://ictv.global/taxonomy/taxondetails?taxnode_id=202311497","ictv.global=202311497")</f>
        <v>ictv.global=202311497</v>
      </c>
    </row>
    <row r="9782" spans="1:21">
      <c r="A9782">
        <v>9781</v>
      </c>
      <c r="B9782" s="30" t="s">
        <v>1226</v>
      </c>
      <c r="D9782" s="30" t="s">
        <v>2024</v>
      </c>
      <c r="F9782" s="30" t="s">
        <v>2046</v>
      </c>
      <c r="H9782" s="30" t="s">
        <v>2859</v>
      </c>
      <c r="J9782" s="30" t="s">
        <v>3390</v>
      </c>
      <c r="L9782" s="30" t="s">
        <v>3442</v>
      </c>
      <c r="N9782" s="30" t="s">
        <v>16251</v>
      </c>
      <c r="P9782" s="30" t="s">
        <v>16288</v>
      </c>
      <c r="Q9782" t="s">
        <v>621</v>
      </c>
      <c r="R9782" t="s">
        <v>918</v>
      </c>
      <c r="S9782">
        <v>39</v>
      </c>
      <c r="T9782" s="29" t="str">
        <f t="shared" si="416"/>
        <v>2023.001B.Leviviricetes_reorg.zip</v>
      </c>
      <c r="U9782" s="29" t="str">
        <f>HYPERLINK("https://ictv.global/taxonomy/taxondetails?taxnode_id=202311499","ictv.global=202311499")</f>
        <v>ictv.global=202311499</v>
      </c>
    </row>
    <row r="9783" spans="1:21">
      <c r="A9783">
        <v>9782</v>
      </c>
      <c r="B9783" s="30" t="s">
        <v>1226</v>
      </c>
      <c r="D9783" s="30" t="s">
        <v>2024</v>
      </c>
      <c r="F9783" s="30" t="s">
        <v>2046</v>
      </c>
      <c r="H9783" s="30" t="s">
        <v>2859</v>
      </c>
      <c r="J9783" s="30" t="s">
        <v>3390</v>
      </c>
      <c r="L9783" s="30" t="s">
        <v>3442</v>
      </c>
      <c r="N9783" s="30" t="s">
        <v>16251</v>
      </c>
      <c r="P9783" s="30" t="s">
        <v>16289</v>
      </c>
      <c r="Q9783" t="s">
        <v>621</v>
      </c>
      <c r="R9783" t="s">
        <v>918</v>
      </c>
      <c r="S9783">
        <v>39</v>
      </c>
      <c r="T9783" s="29" t="str">
        <f t="shared" si="416"/>
        <v>2023.001B.Leviviricetes_reorg.zip</v>
      </c>
      <c r="U9783" s="29" t="str">
        <f>HYPERLINK("https://ictv.global/taxonomy/taxondetails?taxnode_id=202311500","ictv.global=202311500")</f>
        <v>ictv.global=202311500</v>
      </c>
    </row>
    <row r="9784" spans="1:21">
      <c r="A9784">
        <v>9783</v>
      </c>
      <c r="B9784" s="30" t="s">
        <v>1226</v>
      </c>
      <c r="D9784" s="30" t="s">
        <v>2024</v>
      </c>
      <c r="F9784" s="30" t="s">
        <v>2046</v>
      </c>
      <c r="H9784" s="30" t="s">
        <v>2859</v>
      </c>
      <c r="J9784" s="30" t="s">
        <v>3390</v>
      </c>
      <c r="L9784" s="30" t="s">
        <v>3442</v>
      </c>
      <c r="N9784" s="30" t="s">
        <v>16290</v>
      </c>
      <c r="P9784" s="30" t="s">
        <v>16291</v>
      </c>
      <c r="Q9784" t="s">
        <v>621</v>
      </c>
      <c r="R9784" t="s">
        <v>917</v>
      </c>
      <c r="S9784">
        <v>39</v>
      </c>
      <c r="T9784" s="29" t="str">
        <f t="shared" si="416"/>
        <v>2023.001B.Leviviricetes_reorg.zip</v>
      </c>
      <c r="U9784" s="29" t="str">
        <f>HYPERLINK("https://ictv.global/taxonomy/taxondetails?taxnode_id=202317058","ictv.global=202317058")</f>
        <v>ictv.global=202317058</v>
      </c>
    </row>
    <row r="9785" spans="1:21">
      <c r="A9785">
        <v>9784</v>
      </c>
      <c r="B9785" s="30" t="s">
        <v>1226</v>
      </c>
      <c r="D9785" s="30" t="s">
        <v>2024</v>
      </c>
      <c r="F9785" s="30" t="s">
        <v>2046</v>
      </c>
      <c r="H9785" s="30" t="s">
        <v>2859</v>
      </c>
      <c r="J9785" s="30" t="s">
        <v>3390</v>
      </c>
      <c r="L9785" s="30" t="s">
        <v>3442</v>
      </c>
      <c r="N9785" s="30" t="s">
        <v>16292</v>
      </c>
      <c r="P9785" s="30" t="s">
        <v>16293</v>
      </c>
      <c r="Q9785" t="s">
        <v>621</v>
      </c>
      <c r="R9785" t="s">
        <v>917</v>
      </c>
      <c r="S9785">
        <v>39</v>
      </c>
      <c r="T9785" s="29" t="str">
        <f t="shared" si="416"/>
        <v>2023.001B.Leviviricetes_reorg.zip</v>
      </c>
      <c r="U9785" s="29" t="str">
        <f>HYPERLINK("https://ictv.global/taxonomy/taxondetails?taxnode_id=202317059","ictv.global=202317059")</f>
        <v>ictv.global=202317059</v>
      </c>
    </row>
    <row r="9786" spans="1:21">
      <c r="A9786">
        <v>9785</v>
      </c>
      <c r="B9786" s="30" t="s">
        <v>1226</v>
      </c>
      <c r="D9786" s="30" t="s">
        <v>2024</v>
      </c>
      <c r="F9786" s="30" t="s">
        <v>2046</v>
      </c>
      <c r="H9786" s="30" t="s">
        <v>2859</v>
      </c>
      <c r="J9786" s="30" t="s">
        <v>3390</v>
      </c>
      <c r="L9786" s="30" t="s">
        <v>3442</v>
      </c>
      <c r="N9786" s="30" t="s">
        <v>16294</v>
      </c>
      <c r="P9786" s="30" t="s">
        <v>16295</v>
      </c>
      <c r="Q9786" t="s">
        <v>621</v>
      </c>
      <c r="R9786" t="s">
        <v>917</v>
      </c>
      <c r="S9786">
        <v>39</v>
      </c>
      <c r="T9786" s="29" t="str">
        <f t="shared" si="416"/>
        <v>2023.001B.Leviviricetes_reorg.zip</v>
      </c>
      <c r="U9786" s="29" t="str">
        <f>HYPERLINK("https://ictv.global/taxonomy/taxondetails?taxnode_id=202317060","ictv.global=202317060")</f>
        <v>ictv.global=202317060</v>
      </c>
    </row>
    <row r="9787" spans="1:21">
      <c r="A9787">
        <v>9786</v>
      </c>
      <c r="B9787" s="30" t="s">
        <v>1226</v>
      </c>
      <c r="D9787" s="30" t="s">
        <v>2024</v>
      </c>
      <c r="F9787" s="30" t="s">
        <v>2046</v>
      </c>
      <c r="H9787" s="30" t="s">
        <v>2859</v>
      </c>
      <c r="J9787" s="30" t="s">
        <v>3390</v>
      </c>
      <c r="L9787" s="30" t="s">
        <v>3442</v>
      </c>
      <c r="N9787" s="30" t="s">
        <v>3498</v>
      </c>
      <c r="P9787" s="30" t="s">
        <v>3499</v>
      </c>
      <c r="Q9787" t="s">
        <v>621</v>
      </c>
      <c r="R9787" t="s">
        <v>917</v>
      </c>
      <c r="S9787">
        <v>36</v>
      </c>
      <c r="T9787" s="29" t="str">
        <f t="shared" ref="T9787:T9794" si="417">HYPERLINK("https://ictv.global/ictv/proposals/2020.095B.R.Leviviricetes.zip","2020.095B.R.Leviviricetes.zip")</f>
        <v>2020.095B.R.Leviviricetes.zip</v>
      </c>
      <c r="U9787" s="29" t="str">
        <f>HYPERLINK("https://ictv.global/taxonomy/taxondetails?taxnode_id=202311231","ictv.global=202311231")</f>
        <v>ictv.global=202311231</v>
      </c>
    </row>
    <row r="9788" spans="1:21">
      <c r="A9788">
        <v>9787</v>
      </c>
      <c r="B9788" s="30" t="s">
        <v>1226</v>
      </c>
      <c r="D9788" s="30" t="s">
        <v>2024</v>
      </c>
      <c r="F9788" s="30" t="s">
        <v>2046</v>
      </c>
      <c r="H9788" s="30" t="s">
        <v>2859</v>
      </c>
      <c r="J9788" s="30" t="s">
        <v>3390</v>
      </c>
      <c r="L9788" s="30" t="s">
        <v>3442</v>
      </c>
      <c r="N9788" s="30" t="s">
        <v>3498</v>
      </c>
      <c r="P9788" s="30" t="s">
        <v>3500</v>
      </c>
      <c r="Q9788" t="s">
        <v>621</v>
      </c>
      <c r="R9788" t="s">
        <v>917</v>
      </c>
      <c r="S9788">
        <v>36</v>
      </c>
      <c r="T9788" s="29" t="str">
        <f t="shared" si="417"/>
        <v>2020.095B.R.Leviviricetes.zip</v>
      </c>
      <c r="U9788" s="29" t="str">
        <f>HYPERLINK("https://ictv.global/taxonomy/taxondetails?taxnode_id=202311233","ictv.global=202311233")</f>
        <v>ictv.global=202311233</v>
      </c>
    </row>
    <row r="9789" spans="1:21">
      <c r="A9789">
        <v>9788</v>
      </c>
      <c r="B9789" s="30" t="s">
        <v>1226</v>
      </c>
      <c r="D9789" s="30" t="s">
        <v>2024</v>
      </c>
      <c r="F9789" s="30" t="s">
        <v>2046</v>
      </c>
      <c r="H9789" s="30" t="s">
        <v>2859</v>
      </c>
      <c r="J9789" s="30" t="s">
        <v>3390</v>
      </c>
      <c r="L9789" s="30" t="s">
        <v>3442</v>
      </c>
      <c r="N9789" s="30" t="s">
        <v>3498</v>
      </c>
      <c r="P9789" s="30" t="s">
        <v>3501</v>
      </c>
      <c r="Q9789" t="s">
        <v>621</v>
      </c>
      <c r="R9789" t="s">
        <v>917</v>
      </c>
      <c r="S9789">
        <v>36</v>
      </c>
      <c r="T9789" s="29" t="str">
        <f t="shared" si="417"/>
        <v>2020.095B.R.Leviviricetes.zip</v>
      </c>
      <c r="U9789" s="29" t="str">
        <f>HYPERLINK("https://ictv.global/taxonomy/taxondetails?taxnode_id=202311232","ictv.global=202311232")</f>
        <v>ictv.global=202311232</v>
      </c>
    </row>
    <row r="9790" spans="1:21">
      <c r="A9790">
        <v>9789</v>
      </c>
      <c r="B9790" s="30" t="s">
        <v>1226</v>
      </c>
      <c r="D9790" s="30" t="s">
        <v>2024</v>
      </c>
      <c r="F9790" s="30" t="s">
        <v>2046</v>
      </c>
      <c r="H9790" s="30" t="s">
        <v>2859</v>
      </c>
      <c r="J9790" s="30" t="s">
        <v>3390</v>
      </c>
      <c r="L9790" s="30" t="s">
        <v>3442</v>
      </c>
      <c r="N9790" s="30" t="s">
        <v>3498</v>
      </c>
      <c r="P9790" s="30" t="s">
        <v>3502</v>
      </c>
      <c r="Q9790" t="s">
        <v>621</v>
      </c>
      <c r="R9790" t="s">
        <v>917</v>
      </c>
      <c r="S9790">
        <v>36</v>
      </c>
      <c r="T9790" s="29" t="str">
        <f t="shared" si="417"/>
        <v>2020.095B.R.Leviviricetes.zip</v>
      </c>
      <c r="U9790" s="29" t="str">
        <f>HYPERLINK("https://ictv.global/taxonomy/taxondetails?taxnode_id=202311236","ictv.global=202311236")</f>
        <v>ictv.global=202311236</v>
      </c>
    </row>
    <row r="9791" spans="1:21">
      <c r="A9791">
        <v>9790</v>
      </c>
      <c r="B9791" s="30" t="s">
        <v>1226</v>
      </c>
      <c r="D9791" s="30" t="s">
        <v>2024</v>
      </c>
      <c r="F9791" s="30" t="s">
        <v>2046</v>
      </c>
      <c r="H9791" s="30" t="s">
        <v>2859</v>
      </c>
      <c r="J9791" s="30" t="s">
        <v>3390</v>
      </c>
      <c r="L9791" s="30" t="s">
        <v>3442</v>
      </c>
      <c r="N9791" s="30" t="s">
        <v>3498</v>
      </c>
      <c r="P9791" s="30" t="s">
        <v>3503</v>
      </c>
      <c r="Q9791" t="s">
        <v>621</v>
      </c>
      <c r="R9791" t="s">
        <v>917</v>
      </c>
      <c r="S9791">
        <v>36</v>
      </c>
      <c r="T9791" s="29" t="str">
        <f t="shared" si="417"/>
        <v>2020.095B.R.Leviviricetes.zip</v>
      </c>
      <c r="U9791" s="29" t="str">
        <f>HYPERLINK("https://ictv.global/taxonomy/taxondetails?taxnode_id=202311237","ictv.global=202311237")</f>
        <v>ictv.global=202311237</v>
      </c>
    </row>
    <row r="9792" spans="1:21">
      <c r="A9792">
        <v>9791</v>
      </c>
      <c r="B9792" s="30" t="s">
        <v>1226</v>
      </c>
      <c r="D9792" s="30" t="s">
        <v>2024</v>
      </c>
      <c r="F9792" s="30" t="s">
        <v>2046</v>
      </c>
      <c r="H9792" s="30" t="s">
        <v>2859</v>
      </c>
      <c r="J9792" s="30" t="s">
        <v>3390</v>
      </c>
      <c r="L9792" s="30" t="s">
        <v>3442</v>
      </c>
      <c r="N9792" s="30" t="s">
        <v>3498</v>
      </c>
      <c r="P9792" s="30" t="s">
        <v>3504</v>
      </c>
      <c r="Q9792" t="s">
        <v>621</v>
      </c>
      <c r="R9792" t="s">
        <v>917</v>
      </c>
      <c r="S9792">
        <v>36</v>
      </c>
      <c r="T9792" s="29" t="str">
        <f t="shared" si="417"/>
        <v>2020.095B.R.Leviviricetes.zip</v>
      </c>
      <c r="U9792" s="29" t="str">
        <f>HYPERLINK("https://ictv.global/taxonomy/taxondetails?taxnode_id=202311234","ictv.global=202311234")</f>
        <v>ictv.global=202311234</v>
      </c>
    </row>
    <row r="9793" spans="1:21">
      <c r="A9793">
        <v>9792</v>
      </c>
      <c r="B9793" s="30" t="s">
        <v>1226</v>
      </c>
      <c r="D9793" s="30" t="s">
        <v>2024</v>
      </c>
      <c r="F9793" s="30" t="s">
        <v>2046</v>
      </c>
      <c r="H9793" s="30" t="s">
        <v>2859</v>
      </c>
      <c r="J9793" s="30" t="s">
        <v>3390</v>
      </c>
      <c r="L9793" s="30" t="s">
        <v>3442</v>
      </c>
      <c r="N9793" s="30" t="s">
        <v>3498</v>
      </c>
      <c r="P9793" s="30" t="s">
        <v>3505</v>
      </c>
      <c r="Q9793" t="s">
        <v>621</v>
      </c>
      <c r="R9793" t="s">
        <v>917</v>
      </c>
      <c r="S9793">
        <v>36</v>
      </c>
      <c r="T9793" s="29" t="str">
        <f t="shared" si="417"/>
        <v>2020.095B.R.Leviviricetes.zip</v>
      </c>
      <c r="U9793" s="29" t="str">
        <f>HYPERLINK("https://ictv.global/taxonomy/taxondetails?taxnode_id=202311235","ictv.global=202311235")</f>
        <v>ictv.global=202311235</v>
      </c>
    </row>
    <row r="9794" spans="1:21">
      <c r="A9794">
        <v>9793</v>
      </c>
      <c r="B9794" s="30" t="s">
        <v>1226</v>
      </c>
      <c r="D9794" s="30" t="s">
        <v>2024</v>
      </c>
      <c r="F9794" s="30" t="s">
        <v>2046</v>
      </c>
      <c r="H9794" s="30" t="s">
        <v>2859</v>
      </c>
      <c r="J9794" s="30" t="s">
        <v>3390</v>
      </c>
      <c r="L9794" s="30" t="s">
        <v>3442</v>
      </c>
      <c r="N9794" s="30" t="s">
        <v>3498</v>
      </c>
      <c r="P9794" s="30" t="s">
        <v>3506</v>
      </c>
      <c r="Q9794" t="s">
        <v>621</v>
      </c>
      <c r="R9794" t="s">
        <v>917</v>
      </c>
      <c r="S9794">
        <v>36</v>
      </c>
      <c r="T9794" s="29" t="str">
        <f t="shared" si="417"/>
        <v>2020.095B.R.Leviviricetes.zip</v>
      </c>
      <c r="U9794" s="29" t="str">
        <f>HYPERLINK("https://ictv.global/taxonomy/taxondetails?taxnode_id=202311230","ictv.global=202311230")</f>
        <v>ictv.global=202311230</v>
      </c>
    </row>
    <row r="9795" spans="1:21">
      <c r="A9795">
        <v>9794</v>
      </c>
      <c r="B9795" s="30" t="s">
        <v>1226</v>
      </c>
      <c r="D9795" s="30" t="s">
        <v>2024</v>
      </c>
      <c r="F9795" s="30" t="s">
        <v>2046</v>
      </c>
      <c r="H9795" s="30" t="s">
        <v>2859</v>
      </c>
      <c r="J9795" s="30" t="s">
        <v>3390</v>
      </c>
      <c r="L9795" s="30" t="s">
        <v>3442</v>
      </c>
      <c r="N9795" s="30" t="s">
        <v>3498</v>
      </c>
      <c r="P9795" s="30" t="s">
        <v>16296</v>
      </c>
      <c r="Q9795" t="s">
        <v>621</v>
      </c>
      <c r="R9795" t="s">
        <v>917</v>
      </c>
      <c r="S9795">
        <v>39</v>
      </c>
      <c r="T9795" s="29" t="str">
        <f t="shared" ref="T9795:T9800" si="418">HYPERLINK("https://ictv.global/ictv/proposals/2023.001B.Leviviricetes_reorg.zip","2023.001B.Leviviricetes_reorg.zip")</f>
        <v>2023.001B.Leviviricetes_reorg.zip</v>
      </c>
      <c r="U9795" s="29" t="str">
        <f>HYPERLINK("https://ictv.global/taxonomy/taxondetails?taxnode_id=202317061","ictv.global=202317061")</f>
        <v>ictv.global=202317061</v>
      </c>
    </row>
    <row r="9796" spans="1:21">
      <c r="A9796">
        <v>9795</v>
      </c>
      <c r="B9796" s="30" t="s">
        <v>1226</v>
      </c>
      <c r="D9796" s="30" t="s">
        <v>2024</v>
      </c>
      <c r="F9796" s="30" t="s">
        <v>2046</v>
      </c>
      <c r="H9796" s="30" t="s">
        <v>2859</v>
      </c>
      <c r="J9796" s="30" t="s">
        <v>3390</v>
      </c>
      <c r="L9796" s="30" t="s">
        <v>3442</v>
      </c>
      <c r="N9796" s="30" t="s">
        <v>3498</v>
      </c>
      <c r="P9796" s="30" t="s">
        <v>16297</v>
      </c>
      <c r="Q9796" t="s">
        <v>621</v>
      </c>
      <c r="R9796" t="s">
        <v>917</v>
      </c>
      <c r="S9796">
        <v>39</v>
      </c>
      <c r="T9796" s="29" t="str">
        <f t="shared" si="418"/>
        <v>2023.001B.Leviviricetes_reorg.zip</v>
      </c>
      <c r="U9796" s="29" t="str">
        <f>HYPERLINK("https://ictv.global/taxonomy/taxondetails?taxnode_id=202317062","ictv.global=202317062")</f>
        <v>ictv.global=202317062</v>
      </c>
    </row>
    <row r="9797" spans="1:21">
      <c r="A9797">
        <v>9796</v>
      </c>
      <c r="B9797" s="30" t="s">
        <v>1226</v>
      </c>
      <c r="D9797" s="30" t="s">
        <v>2024</v>
      </c>
      <c r="F9797" s="30" t="s">
        <v>2046</v>
      </c>
      <c r="H9797" s="30" t="s">
        <v>2859</v>
      </c>
      <c r="J9797" s="30" t="s">
        <v>3390</v>
      </c>
      <c r="L9797" s="30" t="s">
        <v>3442</v>
      </c>
      <c r="N9797" s="30" t="s">
        <v>3498</v>
      </c>
      <c r="P9797" s="30" t="s">
        <v>16298</v>
      </c>
      <c r="Q9797" t="s">
        <v>621</v>
      </c>
      <c r="R9797" t="s">
        <v>917</v>
      </c>
      <c r="S9797">
        <v>39</v>
      </c>
      <c r="T9797" s="29" t="str">
        <f t="shared" si="418"/>
        <v>2023.001B.Leviviricetes_reorg.zip</v>
      </c>
      <c r="U9797" s="29" t="str">
        <f>HYPERLINK("https://ictv.global/taxonomy/taxondetails?taxnode_id=202317063","ictv.global=202317063")</f>
        <v>ictv.global=202317063</v>
      </c>
    </row>
    <row r="9798" spans="1:21">
      <c r="A9798">
        <v>9797</v>
      </c>
      <c r="B9798" s="30" t="s">
        <v>1226</v>
      </c>
      <c r="D9798" s="30" t="s">
        <v>2024</v>
      </c>
      <c r="F9798" s="30" t="s">
        <v>2046</v>
      </c>
      <c r="H9798" s="30" t="s">
        <v>2859</v>
      </c>
      <c r="J9798" s="30" t="s">
        <v>3390</v>
      </c>
      <c r="L9798" s="30" t="s">
        <v>3442</v>
      </c>
      <c r="N9798" s="30" t="s">
        <v>3498</v>
      </c>
      <c r="P9798" s="30" t="s">
        <v>16299</v>
      </c>
      <c r="Q9798" t="s">
        <v>621</v>
      </c>
      <c r="R9798" t="s">
        <v>917</v>
      </c>
      <c r="S9798">
        <v>39</v>
      </c>
      <c r="T9798" s="29" t="str">
        <f t="shared" si="418"/>
        <v>2023.001B.Leviviricetes_reorg.zip</v>
      </c>
      <c r="U9798" s="29" t="str">
        <f>HYPERLINK("https://ictv.global/taxonomy/taxondetails?taxnode_id=202317064","ictv.global=202317064")</f>
        <v>ictv.global=202317064</v>
      </c>
    </row>
    <row r="9799" spans="1:21">
      <c r="A9799">
        <v>9798</v>
      </c>
      <c r="B9799" s="30" t="s">
        <v>1226</v>
      </c>
      <c r="D9799" s="30" t="s">
        <v>2024</v>
      </c>
      <c r="F9799" s="30" t="s">
        <v>2046</v>
      </c>
      <c r="H9799" s="30" t="s">
        <v>2859</v>
      </c>
      <c r="J9799" s="30" t="s">
        <v>3390</v>
      </c>
      <c r="L9799" s="30" t="s">
        <v>3442</v>
      </c>
      <c r="N9799" s="30" t="s">
        <v>3498</v>
      </c>
      <c r="P9799" s="30" t="s">
        <v>16300</v>
      </c>
      <c r="Q9799" t="s">
        <v>621</v>
      </c>
      <c r="R9799" t="s">
        <v>917</v>
      </c>
      <c r="S9799">
        <v>39</v>
      </c>
      <c r="T9799" s="29" t="str">
        <f t="shared" si="418"/>
        <v>2023.001B.Leviviricetes_reorg.zip</v>
      </c>
      <c r="U9799" s="29" t="str">
        <f>HYPERLINK("https://ictv.global/taxonomy/taxondetails?taxnode_id=202317065","ictv.global=202317065")</f>
        <v>ictv.global=202317065</v>
      </c>
    </row>
    <row r="9800" spans="1:21">
      <c r="A9800">
        <v>9799</v>
      </c>
      <c r="B9800" s="30" t="s">
        <v>1226</v>
      </c>
      <c r="D9800" s="30" t="s">
        <v>2024</v>
      </c>
      <c r="F9800" s="30" t="s">
        <v>2046</v>
      </c>
      <c r="H9800" s="30" t="s">
        <v>2859</v>
      </c>
      <c r="J9800" s="30" t="s">
        <v>3390</v>
      </c>
      <c r="L9800" s="30" t="s">
        <v>3442</v>
      </c>
      <c r="N9800" s="30" t="s">
        <v>3498</v>
      </c>
      <c r="P9800" s="30" t="s">
        <v>16301</v>
      </c>
      <c r="Q9800" t="s">
        <v>621</v>
      </c>
      <c r="R9800" t="s">
        <v>917</v>
      </c>
      <c r="S9800">
        <v>39</v>
      </c>
      <c r="T9800" s="29" t="str">
        <f t="shared" si="418"/>
        <v>2023.001B.Leviviricetes_reorg.zip</v>
      </c>
      <c r="U9800" s="29" t="str">
        <f>HYPERLINK("https://ictv.global/taxonomy/taxondetails?taxnode_id=202317066","ictv.global=202317066")</f>
        <v>ictv.global=202317066</v>
      </c>
    </row>
    <row r="9801" spans="1:21">
      <c r="A9801">
        <v>9800</v>
      </c>
      <c r="B9801" s="30" t="s">
        <v>1226</v>
      </c>
      <c r="D9801" s="30" t="s">
        <v>2024</v>
      </c>
      <c r="F9801" s="30" t="s">
        <v>2046</v>
      </c>
      <c r="H9801" s="30" t="s">
        <v>2859</v>
      </c>
      <c r="J9801" s="30" t="s">
        <v>3390</v>
      </c>
      <c r="L9801" s="30" t="s">
        <v>3442</v>
      </c>
      <c r="N9801" s="30" t="s">
        <v>3507</v>
      </c>
      <c r="P9801" s="30" t="s">
        <v>3508</v>
      </c>
      <c r="Q9801" t="s">
        <v>621</v>
      </c>
      <c r="R9801" t="s">
        <v>917</v>
      </c>
      <c r="S9801">
        <v>36</v>
      </c>
      <c r="T9801" s="29" t="str">
        <f>HYPERLINK("https://ictv.global/ictv/proposals/2020.095B.R.Leviviricetes.zip","2020.095B.R.Leviviricetes.zip")</f>
        <v>2020.095B.R.Leviviricetes.zip</v>
      </c>
      <c r="U9801" s="29" t="str">
        <f>HYPERLINK("https://ictv.global/taxonomy/taxondetails?taxnode_id=202311239","ictv.global=202311239")</f>
        <v>ictv.global=202311239</v>
      </c>
    </row>
    <row r="9802" spans="1:21">
      <c r="A9802">
        <v>9801</v>
      </c>
      <c r="B9802" s="30" t="s">
        <v>1226</v>
      </c>
      <c r="D9802" s="30" t="s">
        <v>2024</v>
      </c>
      <c r="F9802" s="30" t="s">
        <v>2046</v>
      </c>
      <c r="H9802" s="30" t="s">
        <v>2859</v>
      </c>
      <c r="J9802" s="30" t="s">
        <v>3390</v>
      </c>
      <c r="L9802" s="30" t="s">
        <v>3442</v>
      </c>
      <c r="N9802" s="30" t="s">
        <v>16302</v>
      </c>
      <c r="P9802" s="30" t="s">
        <v>16303</v>
      </c>
      <c r="Q9802" t="s">
        <v>621</v>
      </c>
      <c r="R9802" t="s">
        <v>917</v>
      </c>
      <c r="S9802">
        <v>39</v>
      </c>
      <c r="T9802" s="29" t="str">
        <f t="shared" ref="T9802:T9865" si="419">HYPERLINK("https://ictv.global/ictv/proposals/2023.001B.Leviviricetes_reorg.zip","2023.001B.Leviviricetes_reorg.zip")</f>
        <v>2023.001B.Leviviricetes_reorg.zip</v>
      </c>
      <c r="U9802" s="29" t="str">
        <f>HYPERLINK("https://ictv.global/taxonomy/taxondetails?taxnode_id=202317067","ictv.global=202317067")</f>
        <v>ictv.global=202317067</v>
      </c>
    </row>
    <row r="9803" spans="1:21">
      <c r="A9803">
        <v>9802</v>
      </c>
      <c r="B9803" s="30" t="s">
        <v>1226</v>
      </c>
      <c r="D9803" s="30" t="s">
        <v>2024</v>
      </c>
      <c r="F9803" s="30" t="s">
        <v>2046</v>
      </c>
      <c r="H9803" s="30" t="s">
        <v>2859</v>
      </c>
      <c r="J9803" s="30" t="s">
        <v>3390</v>
      </c>
      <c r="L9803" s="30" t="s">
        <v>3442</v>
      </c>
      <c r="N9803" s="30" t="s">
        <v>16304</v>
      </c>
      <c r="P9803" s="30" t="s">
        <v>16305</v>
      </c>
      <c r="Q9803" t="s">
        <v>621</v>
      </c>
      <c r="R9803" t="s">
        <v>917</v>
      </c>
      <c r="S9803">
        <v>39</v>
      </c>
      <c r="T9803" s="29" t="str">
        <f t="shared" si="419"/>
        <v>2023.001B.Leviviricetes_reorg.zip</v>
      </c>
      <c r="U9803" s="29" t="str">
        <f>HYPERLINK("https://ictv.global/taxonomy/taxondetails?taxnode_id=202317068","ictv.global=202317068")</f>
        <v>ictv.global=202317068</v>
      </c>
    </row>
    <row r="9804" spans="1:21">
      <c r="A9804">
        <v>9803</v>
      </c>
      <c r="B9804" s="30" t="s">
        <v>1226</v>
      </c>
      <c r="D9804" s="30" t="s">
        <v>2024</v>
      </c>
      <c r="F9804" s="30" t="s">
        <v>2046</v>
      </c>
      <c r="H9804" s="30" t="s">
        <v>2859</v>
      </c>
      <c r="J9804" s="30" t="s">
        <v>3390</v>
      </c>
      <c r="L9804" s="30" t="s">
        <v>3442</v>
      </c>
      <c r="N9804" s="30" t="s">
        <v>16304</v>
      </c>
      <c r="P9804" s="30" t="s">
        <v>16306</v>
      </c>
      <c r="Q9804" t="s">
        <v>621</v>
      </c>
      <c r="R9804" t="s">
        <v>917</v>
      </c>
      <c r="S9804">
        <v>39</v>
      </c>
      <c r="T9804" s="29" t="str">
        <f t="shared" si="419"/>
        <v>2023.001B.Leviviricetes_reorg.zip</v>
      </c>
      <c r="U9804" s="29" t="str">
        <f>HYPERLINK("https://ictv.global/taxonomy/taxondetails?taxnode_id=202317069","ictv.global=202317069")</f>
        <v>ictv.global=202317069</v>
      </c>
    </row>
    <row r="9805" spans="1:21">
      <c r="A9805">
        <v>9804</v>
      </c>
      <c r="B9805" s="30" t="s">
        <v>1226</v>
      </c>
      <c r="D9805" s="30" t="s">
        <v>2024</v>
      </c>
      <c r="F9805" s="30" t="s">
        <v>2046</v>
      </c>
      <c r="H9805" s="30" t="s">
        <v>2859</v>
      </c>
      <c r="J9805" s="30" t="s">
        <v>3390</v>
      </c>
      <c r="L9805" s="30" t="s">
        <v>3442</v>
      </c>
      <c r="N9805" s="30" t="s">
        <v>16304</v>
      </c>
      <c r="P9805" s="30" t="s">
        <v>16307</v>
      </c>
      <c r="Q9805" t="s">
        <v>621</v>
      </c>
      <c r="R9805" t="s">
        <v>917</v>
      </c>
      <c r="S9805">
        <v>39</v>
      </c>
      <c r="T9805" s="29" t="str">
        <f t="shared" si="419"/>
        <v>2023.001B.Leviviricetes_reorg.zip</v>
      </c>
      <c r="U9805" s="29" t="str">
        <f>HYPERLINK("https://ictv.global/taxonomy/taxondetails?taxnode_id=202317070","ictv.global=202317070")</f>
        <v>ictv.global=202317070</v>
      </c>
    </row>
    <row r="9806" spans="1:21">
      <c r="A9806">
        <v>9805</v>
      </c>
      <c r="B9806" s="30" t="s">
        <v>1226</v>
      </c>
      <c r="D9806" s="30" t="s">
        <v>2024</v>
      </c>
      <c r="F9806" s="30" t="s">
        <v>2046</v>
      </c>
      <c r="H9806" s="30" t="s">
        <v>2859</v>
      </c>
      <c r="J9806" s="30" t="s">
        <v>3390</v>
      </c>
      <c r="L9806" s="30" t="s">
        <v>3442</v>
      </c>
      <c r="N9806" s="30" t="s">
        <v>16304</v>
      </c>
      <c r="P9806" s="30" t="s">
        <v>16308</v>
      </c>
      <c r="Q9806" t="s">
        <v>621</v>
      </c>
      <c r="R9806" t="s">
        <v>917</v>
      </c>
      <c r="S9806">
        <v>39</v>
      </c>
      <c r="T9806" s="29" t="str">
        <f t="shared" si="419"/>
        <v>2023.001B.Leviviricetes_reorg.zip</v>
      </c>
      <c r="U9806" s="29" t="str">
        <f>HYPERLINK("https://ictv.global/taxonomy/taxondetails?taxnode_id=202317071","ictv.global=202317071")</f>
        <v>ictv.global=202317071</v>
      </c>
    </row>
    <row r="9807" spans="1:21">
      <c r="A9807">
        <v>9806</v>
      </c>
      <c r="B9807" s="30" t="s">
        <v>1226</v>
      </c>
      <c r="D9807" s="30" t="s">
        <v>2024</v>
      </c>
      <c r="F9807" s="30" t="s">
        <v>2046</v>
      </c>
      <c r="H9807" s="30" t="s">
        <v>2859</v>
      </c>
      <c r="J9807" s="30" t="s">
        <v>3390</v>
      </c>
      <c r="L9807" s="30" t="s">
        <v>3442</v>
      </c>
      <c r="N9807" s="30" t="s">
        <v>16304</v>
      </c>
      <c r="P9807" s="30" t="s">
        <v>16309</v>
      </c>
      <c r="Q9807" t="s">
        <v>621</v>
      </c>
      <c r="R9807" t="s">
        <v>917</v>
      </c>
      <c r="S9807">
        <v>39</v>
      </c>
      <c r="T9807" s="29" t="str">
        <f t="shared" si="419"/>
        <v>2023.001B.Leviviricetes_reorg.zip</v>
      </c>
      <c r="U9807" s="29" t="str">
        <f>HYPERLINK("https://ictv.global/taxonomy/taxondetails?taxnode_id=202317072","ictv.global=202317072")</f>
        <v>ictv.global=202317072</v>
      </c>
    </row>
    <row r="9808" spans="1:21">
      <c r="A9808">
        <v>9807</v>
      </c>
      <c r="B9808" s="30" t="s">
        <v>1226</v>
      </c>
      <c r="D9808" s="30" t="s">
        <v>2024</v>
      </c>
      <c r="F9808" s="30" t="s">
        <v>2046</v>
      </c>
      <c r="H9808" s="30" t="s">
        <v>2859</v>
      </c>
      <c r="J9808" s="30" t="s">
        <v>3390</v>
      </c>
      <c r="L9808" s="30" t="s">
        <v>3442</v>
      </c>
      <c r="N9808" s="30" t="s">
        <v>16304</v>
      </c>
      <c r="P9808" s="30" t="s">
        <v>16310</v>
      </c>
      <c r="Q9808" t="s">
        <v>621</v>
      </c>
      <c r="R9808" t="s">
        <v>917</v>
      </c>
      <c r="S9808">
        <v>39</v>
      </c>
      <c r="T9808" s="29" t="str">
        <f t="shared" si="419"/>
        <v>2023.001B.Leviviricetes_reorg.zip</v>
      </c>
      <c r="U9808" s="29" t="str">
        <f>HYPERLINK("https://ictv.global/taxonomy/taxondetails?taxnode_id=202317073","ictv.global=202317073")</f>
        <v>ictv.global=202317073</v>
      </c>
    </row>
    <row r="9809" spans="1:21">
      <c r="A9809">
        <v>9808</v>
      </c>
      <c r="B9809" s="30" t="s">
        <v>1226</v>
      </c>
      <c r="D9809" s="30" t="s">
        <v>2024</v>
      </c>
      <c r="F9809" s="30" t="s">
        <v>2046</v>
      </c>
      <c r="H9809" s="30" t="s">
        <v>2859</v>
      </c>
      <c r="J9809" s="30" t="s">
        <v>3390</v>
      </c>
      <c r="L9809" s="30" t="s">
        <v>3442</v>
      </c>
      <c r="N9809" s="30" t="s">
        <v>16304</v>
      </c>
      <c r="P9809" s="30" t="s">
        <v>16311</v>
      </c>
      <c r="Q9809" t="s">
        <v>621</v>
      </c>
      <c r="R9809" t="s">
        <v>917</v>
      </c>
      <c r="S9809">
        <v>39</v>
      </c>
      <c r="T9809" s="29" t="str">
        <f t="shared" si="419"/>
        <v>2023.001B.Leviviricetes_reorg.zip</v>
      </c>
      <c r="U9809" s="29" t="str">
        <f>HYPERLINK("https://ictv.global/taxonomy/taxondetails?taxnode_id=202317074","ictv.global=202317074")</f>
        <v>ictv.global=202317074</v>
      </c>
    </row>
    <row r="9810" spans="1:21">
      <c r="A9810">
        <v>9809</v>
      </c>
      <c r="B9810" s="30" t="s">
        <v>1226</v>
      </c>
      <c r="D9810" s="30" t="s">
        <v>2024</v>
      </c>
      <c r="F9810" s="30" t="s">
        <v>2046</v>
      </c>
      <c r="H9810" s="30" t="s">
        <v>2859</v>
      </c>
      <c r="J9810" s="30" t="s">
        <v>3390</v>
      </c>
      <c r="L9810" s="30" t="s">
        <v>3442</v>
      </c>
      <c r="N9810" s="30" t="s">
        <v>16312</v>
      </c>
      <c r="P9810" s="30" t="s">
        <v>16313</v>
      </c>
      <c r="Q9810" t="s">
        <v>621</v>
      </c>
      <c r="R9810" t="s">
        <v>917</v>
      </c>
      <c r="S9810">
        <v>39</v>
      </c>
      <c r="T9810" s="29" t="str">
        <f t="shared" si="419"/>
        <v>2023.001B.Leviviricetes_reorg.zip</v>
      </c>
      <c r="U9810" s="29" t="str">
        <f>HYPERLINK("https://ictv.global/taxonomy/taxondetails?taxnode_id=202317075","ictv.global=202317075")</f>
        <v>ictv.global=202317075</v>
      </c>
    </row>
    <row r="9811" spans="1:21">
      <c r="A9811">
        <v>9810</v>
      </c>
      <c r="B9811" s="30" t="s">
        <v>1226</v>
      </c>
      <c r="D9811" s="30" t="s">
        <v>2024</v>
      </c>
      <c r="F9811" s="30" t="s">
        <v>2046</v>
      </c>
      <c r="H9811" s="30" t="s">
        <v>2859</v>
      </c>
      <c r="J9811" s="30" t="s">
        <v>3390</v>
      </c>
      <c r="L9811" s="30" t="s">
        <v>3442</v>
      </c>
      <c r="N9811" s="30" t="s">
        <v>16314</v>
      </c>
      <c r="P9811" s="30" t="s">
        <v>16315</v>
      </c>
      <c r="Q9811" t="s">
        <v>621</v>
      </c>
      <c r="R9811" t="s">
        <v>917</v>
      </c>
      <c r="S9811">
        <v>39</v>
      </c>
      <c r="T9811" s="29" t="str">
        <f t="shared" si="419"/>
        <v>2023.001B.Leviviricetes_reorg.zip</v>
      </c>
      <c r="U9811" s="29" t="str">
        <f>HYPERLINK("https://ictv.global/taxonomy/taxondetails?taxnode_id=202317076","ictv.global=202317076")</f>
        <v>ictv.global=202317076</v>
      </c>
    </row>
    <row r="9812" spans="1:21">
      <c r="A9812">
        <v>9811</v>
      </c>
      <c r="B9812" s="30" t="s">
        <v>1226</v>
      </c>
      <c r="D9812" s="30" t="s">
        <v>2024</v>
      </c>
      <c r="F9812" s="30" t="s">
        <v>2046</v>
      </c>
      <c r="H9812" s="30" t="s">
        <v>2859</v>
      </c>
      <c r="J9812" s="30" t="s">
        <v>3390</v>
      </c>
      <c r="L9812" s="30" t="s">
        <v>3442</v>
      </c>
      <c r="N9812" s="30" t="s">
        <v>16314</v>
      </c>
      <c r="P9812" s="30" t="s">
        <v>16316</v>
      </c>
      <c r="Q9812" t="s">
        <v>621</v>
      </c>
      <c r="R9812" t="s">
        <v>917</v>
      </c>
      <c r="S9812">
        <v>39</v>
      </c>
      <c r="T9812" s="29" t="str">
        <f t="shared" si="419"/>
        <v>2023.001B.Leviviricetes_reorg.zip</v>
      </c>
      <c r="U9812" s="29" t="str">
        <f>HYPERLINK("https://ictv.global/taxonomy/taxondetails?taxnode_id=202317077","ictv.global=202317077")</f>
        <v>ictv.global=202317077</v>
      </c>
    </row>
    <row r="9813" spans="1:21">
      <c r="A9813">
        <v>9812</v>
      </c>
      <c r="B9813" s="30" t="s">
        <v>1226</v>
      </c>
      <c r="D9813" s="30" t="s">
        <v>2024</v>
      </c>
      <c r="F9813" s="30" t="s">
        <v>2046</v>
      </c>
      <c r="H9813" s="30" t="s">
        <v>2859</v>
      </c>
      <c r="J9813" s="30" t="s">
        <v>3390</v>
      </c>
      <c r="L9813" s="30" t="s">
        <v>3442</v>
      </c>
      <c r="N9813" s="30" t="s">
        <v>16314</v>
      </c>
      <c r="P9813" s="30" t="s">
        <v>16317</v>
      </c>
      <c r="Q9813" t="s">
        <v>621</v>
      </c>
      <c r="R9813" t="s">
        <v>917</v>
      </c>
      <c r="S9813">
        <v>39</v>
      </c>
      <c r="T9813" s="29" t="str">
        <f t="shared" si="419"/>
        <v>2023.001B.Leviviricetes_reorg.zip</v>
      </c>
      <c r="U9813" s="29" t="str">
        <f>HYPERLINK("https://ictv.global/taxonomy/taxondetails?taxnode_id=202317078","ictv.global=202317078")</f>
        <v>ictv.global=202317078</v>
      </c>
    </row>
    <row r="9814" spans="1:21">
      <c r="A9814">
        <v>9813</v>
      </c>
      <c r="B9814" s="30" t="s">
        <v>1226</v>
      </c>
      <c r="D9814" s="30" t="s">
        <v>2024</v>
      </c>
      <c r="F9814" s="30" t="s">
        <v>2046</v>
      </c>
      <c r="H9814" s="30" t="s">
        <v>2859</v>
      </c>
      <c r="J9814" s="30" t="s">
        <v>3390</v>
      </c>
      <c r="L9814" s="30" t="s">
        <v>3442</v>
      </c>
      <c r="N9814" s="30" t="s">
        <v>16314</v>
      </c>
      <c r="P9814" s="30" t="s">
        <v>16318</v>
      </c>
      <c r="Q9814" t="s">
        <v>621</v>
      </c>
      <c r="R9814" t="s">
        <v>917</v>
      </c>
      <c r="S9814">
        <v>39</v>
      </c>
      <c r="T9814" s="29" t="str">
        <f t="shared" si="419"/>
        <v>2023.001B.Leviviricetes_reorg.zip</v>
      </c>
      <c r="U9814" s="29" t="str">
        <f>HYPERLINK("https://ictv.global/taxonomy/taxondetails?taxnode_id=202317079","ictv.global=202317079")</f>
        <v>ictv.global=202317079</v>
      </c>
    </row>
    <row r="9815" spans="1:21">
      <c r="A9815">
        <v>9814</v>
      </c>
      <c r="B9815" s="30" t="s">
        <v>1226</v>
      </c>
      <c r="D9815" s="30" t="s">
        <v>2024</v>
      </c>
      <c r="F9815" s="30" t="s">
        <v>2046</v>
      </c>
      <c r="H9815" s="30" t="s">
        <v>2859</v>
      </c>
      <c r="J9815" s="30" t="s">
        <v>3390</v>
      </c>
      <c r="L9815" s="30" t="s">
        <v>3442</v>
      </c>
      <c r="N9815" s="30" t="s">
        <v>16319</v>
      </c>
      <c r="P9815" s="30" t="s">
        <v>16320</v>
      </c>
      <c r="Q9815" t="s">
        <v>621</v>
      </c>
      <c r="R9815" t="s">
        <v>917</v>
      </c>
      <c r="S9815">
        <v>39</v>
      </c>
      <c r="T9815" s="29" t="str">
        <f t="shared" si="419"/>
        <v>2023.001B.Leviviricetes_reorg.zip</v>
      </c>
      <c r="U9815" s="29" t="str">
        <f>HYPERLINK("https://ictv.global/taxonomy/taxondetails?taxnode_id=202317080","ictv.global=202317080")</f>
        <v>ictv.global=202317080</v>
      </c>
    </row>
    <row r="9816" spans="1:21">
      <c r="A9816">
        <v>9815</v>
      </c>
      <c r="B9816" s="30" t="s">
        <v>1226</v>
      </c>
      <c r="D9816" s="30" t="s">
        <v>2024</v>
      </c>
      <c r="F9816" s="30" t="s">
        <v>2046</v>
      </c>
      <c r="H9816" s="30" t="s">
        <v>2859</v>
      </c>
      <c r="J9816" s="30" t="s">
        <v>3390</v>
      </c>
      <c r="L9816" s="30" t="s">
        <v>3442</v>
      </c>
      <c r="N9816" s="30" t="s">
        <v>16319</v>
      </c>
      <c r="P9816" s="30" t="s">
        <v>16321</v>
      </c>
      <c r="Q9816" t="s">
        <v>621</v>
      </c>
      <c r="R9816" t="s">
        <v>917</v>
      </c>
      <c r="S9816">
        <v>39</v>
      </c>
      <c r="T9816" s="29" t="str">
        <f t="shared" si="419"/>
        <v>2023.001B.Leviviricetes_reorg.zip</v>
      </c>
      <c r="U9816" s="29" t="str">
        <f>HYPERLINK("https://ictv.global/taxonomy/taxondetails?taxnode_id=202317081","ictv.global=202317081")</f>
        <v>ictv.global=202317081</v>
      </c>
    </row>
    <row r="9817" spans="1:21">
      <c r="A9817">
        <v>9816</v>
      </c>
      <c r="B9817" s="30" t="s">
        <v>1226</v>
      </c>
      <c r="D9817" s="30" t="s">
        <v>2024</v>
      </c>
      <c r="F9817" s="30" t="s">
        <v>2046</v>
      </c>
      <c r="H9817" s="30" t="s">
        <v>2859</v>
      </c>
      <c r="J9817" s="30" t="s">
        <v>3390</v>
      </c>
      <c r="L9817" s="30" t="s">
        <v>3442</v>
      </c>
      <c r="N9817" s="30" t="s">
        <v>16319</v>
      </c>
      <c r="P9817" s="30" t="s">
        <v>16322</v>
      </c>
      <c r="Q9817" t="s">
        <v>621</v>
      </c>
      <c r="R9817" t="s">
        <v>917</v>
      </c>
      <c r="S9817">
        <v>39</v>
      </c>
      <c r="T9817" s="29" t="str">
        <f t="shared" si="419"/>
        <v>2023.001B.Leviviricetes_reorg.zip</v>
      </c>
      <c r="U9817" s="29" t="str">
        <f>HYPERLINK("https://ictv.global/taxonomy/taxondetails?taxnode_id=202317082","ictv.global=202317082")</f>
        <v>ictv.global=202317082</v>
      </c>
    </row>
    <row r="9818" spans="1:21">
      <c r="A9818">
        <v>9817</v>
      </c>
      <c r="B9818" s="30" t="s">
        <v>1226</v>
      </c>
      <c r="D9818" s="30" t="s">
        <v>2024</v>
      </c>
      <c r="F9818" s="30" t="s">
        <v>2046</v>
      </c>
      <c r="H9818" s="30" t="s">
        <v>2859</v>
      </c>
      <c r="J9818" s="30" t="s">
        <v>3390</v>
      </c>
      <c r="L9818" s="30" t="s">
        <v>3442</v>
      </c>
      <c r="N9818" s="30" t="s">
        <v>16323</v>
      </c>
      <c r="P9818" s="30" t="s">
        <v>16324</v>
      </c>
      <c r="Q9818" t="s">
        <v>621</v>
      </c>
      <c r="R9818" t="s">
        <v>917</v>
      </c>
      <c r="S9818">
        <v>39</v>
      </c>
      <c r="T9818" s="29" t="str">
        <f t="shared" si="419"/>
        <v>2023.001B.Leviviricetes_reorg.zip</v>
      </c>
      <c r="U9818" s="29" t="str">
        <f>HYPERLINK("https://ictv.global/taxonomy/taxondetails?taxnode_id=202317083","ictv.global=202317083")</f>
        <v>ictv.global=202317083</v>
      </c>
    </row>
    <row r="9819" spans="1:21">
      <c r="A9819">
        <v>9818</v>
      </c>
      <c r="B9819" s="30" t="s">
        <v>1226</v>
      </c>
      <c r="D9819" s="30" t="s">
        <v>2024</v>
      </c>
      <c r="F9819" s="30" t="s">
        <v>2046</v>
      </c>
      <c r="H9819" s="30" t="s">
        <v>2859</v>
      </c>
      <c r="J9819" s="30" t="s">
        <v>3390</v>
      </c>
      <c r="L9819" s="30" t="s">
        <v>3442</v>
      </c>
      <c r="N9819" s="30" t="s">
        <v>16323</v>
      </c>
      <c r="P9819" s="30" t="s">
        <v>16325</v>
      </c>
      <c r="Q9819" t="s">
        <v>621</v>
      </c>
      <c r="R9819" t="s">
        <v>917</v>
      </c>
      <c r="S9819">
        <v>39</v>
      </c>
      <c r="T9819" s="29" t="str">
        <f t="shared" si="419"/>
        <v>2023.001B.Leviviricetes_reorg.zip</v>
      </c>
      <c r="U9819" s="29" t="str">
        <f>HYPERLINK("https://ictv.global/taxonomy/taxondetails?taxnode_id=202317084","ictv.global=202317084")</f>
        <v>ictv.global=202317084</v>
      </c>
    </row>
    <row r="9820" spans="1:21">
      <c r="A9820">
        <v>9819</v>
      </c>
      <c r="B9820" s="30" t="s">
        <v>1226</v>
      </c>
      <c r="D9820" s="30" t="s">
        <v>2024</v>
      </c>
      <c r="F9820" s="30" t="s">
        <v>2046</v>
      </c>
      <c r="H9820" s="30" t="s">
        <v>2859</v>
      </c>
      <c r="J9820" s="30" t="s">
        <v>3390</v>
      </c>
      <c r="L9820" s="30" t="s">
        <v>3442</v>
      </c>
      <c r="N9820" s="30" t="s">
        <v>16323</v>
      </c>
      <c r="P9820" s="30" t="s">
        <v>16326</v>
      </c>
      <c r="Q9820" t="s">
        <v>621</v>
      </c>
      <c r="R9820" t="s">
        <v>917</v>
      </c>
      <c r="S9820">
        <v>39</v>
      </c>
      <c r="T9820" s="29" t="str">
        <f t="shared" si="419"/>
        <v>2023.001B.Leviviricetes_reorg.zip</v>
      </c>
      <c r="U9820" s="29" t="str">
        <f>HYPERLINK("https://ictv.global/taxonomy/taxondetails?taxnode_id=202317085","ictv.global=202317085")</f>
        <v>ictv.global=202317085</v>
      </c>
    </row>
    <row r="9821" spans="1:21">
      <c r="A9821">
        <v>9820</v>
      </c>
      <c r="B9821" s="30" t="s">
        <v>1226</v>
      </c>
      <c r="D9821" s="30" t="s">
        <v>2024</v>
      </c>
      <c r="F9821" s="30" t="s">
        <v>2046</v>
      </c>
      <c r="H9821" s="30" t="s">
        <v>2859</v>
      </c>
      <c r="J9821" s="30" t="s">
        <v>3390</v>
      </c>
      <c r="L9821" s="30" t="s">
        <v>3442</v>
      </c>
      <c r="N9821" s="30" t="s">
        <v>16323</v>
      </c>
      <c r="P9821" s="30" t="s">
        <v>16327</v>
      </c>
      <c r="Q9821" t="s">
        <v>621</v>
      </c>
      <c r="R9821" t="s">
        <v>917</v>
      </c>
      <c r="S9821">
        <v>39</v>
      </c>
      <c r="T9821" s="29" t="str">
        <f t="shared" si="419"/>
        <v>2023.001B.Leviviricetes_reorg.zip</v>
      </c>
      <c r="U9821" s="29" t="str">
        <f>HYPERLINK("https://ictv.global/taxonomy/taxondetails?taxnode_id=202317086","ictv.global=202317086")</f>
        <v>ictv.global=202317086</v>
      </c>
    </row>
    <row r="9822" spans="1:21">
      <c r="A9822">
        <v>9821</v>
      </c>
      <c r="B9822" s="30" t="s">
        <v>1226</v>
      </c>
      <c r="D9822" s="30" t="s">
        <v>2024</v>
      </c>
      <c r="F9822" s="30" t="s">
        <v>2046</v>
      </c>
      <c r="H9822" s="30" t="s">
        <v>2859</v>
      </c>
      <c r="J9822" s="30" t="s">
        <v>3390</v>
      </c>
      <c r="L9822" s="30" t="s">
        <v>3442</v>
      </c>
      <c r="N9822" s="30" t="s">
        <v>16323</v>
      </c>
      <c r="P9822" s="30" t="s">
        <v>16328</v>
      </c>
      <c r="Q9822" t="s">
        <v>621</v>
      </c>
      <c r="R9822" t="s">
        <v>917</v>
      </c>
      <c r="S9822">
        <v>39</v>
      </c>
      <c r="T9822" s="29" t="str">
        <f t="shared" si="419"/>
        <v>2023.001B.Leviviricetes_reorg.zip</v>
      </c>
      <c r="U9822" s="29" t="str">
        <f>HYPERLINK("https://ictv.global/taxonomy/taxondetails?taxnode_id=202317087","ictv.global=202317087")</f>
        <v>ictv.global=202317087</v>
      </c>
    </row>
    <row r="9823" spans="1:21">
      <c r="A9823">
        <v>9822</v>
      </c>
      <c r="B9823" s="30" t="s">
        <v>1226</v>
      </c>
      <c r="D9823" s="30" t="s">
        <v>2024</v>
      </c>
      <c r="F9823" s="30" t="s">
        <v>2046</v>
      </c>
      <c r="H9823" s="30" t="s">
        <v>2859</v>
      </c>
      <c r="J9823" s="30" t="s">
        <v>3390</v>
      </c>
      <c r="L9823" s="30" t="s">
        <v>3442</v>
      </c>
      <c r="N9823" s="30" t="s">
        <v>16323</v>
      </c>
      <c r="P9823" s="30" t="s">
        <v>16329</v>
      </c>
      <c r="Q9823" t="s">
        <v>621</v>
      </c>
      <c r="R9823" t="s">
        <v>917</v>
      </c>
      <c r="S9823">
        <v>39</v>
      </c>
      <c r="T9823" s="29" t="str">
        <f t="shared" si="419"/>
        <v>2023.001B.Leviviricetes_reorg.zip</v>
      </c>
      <c r="U9823" s="29" t="str">
        <f>HYPERLINK("https://ictv.global/taxonomy/taxondetails?taxnode_id=202317088","ictv.global=202317088")</f>
        <v>ictv.global=202317088</v>
      </c>
    </row>
    <row r="9824" spans="1:21">
      <c r="A9824">
        <v>9823</v>
      </c>
      <c r="B9824" s="30" t="s">
        <v>1226</v>
      </c>
      <c r="D9824" s="30" t="s">
        <v>2024</v>
      </c>
      <c r="F9824" s="30" t="s">
        <v>2046</v>
      </c>
      <c r="H9824" s="30" t="s">
        <v>2859</v>
      </c>
      <c r="J9824" s="30" t="s">
        <v>3390</v>
      </c>
      <c r="L9824" s="30" t="s">
        <v>3442</v>
      </c>
      <c r="N9824" s="30" t="s">
        <v>16323</v>
      </c>
      <c r="P9824" s="30" t="s">
        <v>16330</v>
      </c>
      <c r="Q9824" t="s">
        <v>621</v>
      </c>
      <c r="R9824" t="s">
        <v>917</v>
      </c>
      <c r="S9824">
        <v>39</v>
      </c>
      <c r="T9824" s="29" t="str">
        <f t="shared" si="419"/>
        <v>2023.001B.Leviviricetes_reorg.zip</v>
      </c>
      <c r="U9824" s="29" t="str">
        <f>HYPERLINK("https://ictv.global/taxonomy/taxondetails?taxnode_id=202317089","ictv.global=202317089")</f>
        <v>ictv.global=202317089</v>
      </c>
    </row>
    <row r="9825" spans="1:21">
      <c r="A9825">
        <v>9824</v>
      </c>
      <c r="B9825" s="30" t="s">
        <v>1226</v>
      </c>
      <c r="D9825" s="30" t="s">
        <v>2024</v>
      </c>
      <c r="F9825" s="30" t="s">
        <v>2046</v>
      </c>
      <c r="H9825" s="30" t="s">
        <v>2859</v>
      </c>
      <c r="J9825" s="30" t="s">
        <v>3390</v>
      </c>
      <c r="L9825" s="30" t="s">
        <v>3442</v>
      </c>
      <c r="N9825" s="30" t="s">
        <v>16323</v>
      </c>
      <c r="P9825" s="30" t="s">
        <v>16331</v>
      </c>
      <c r="Q9825" t="s">
        <v>621</v>
      </c>
      <c r="R9825" t="s">
        <v>917</v>
      </c>
      <c r="S9825">
        <v>39</v>
      </c>
      <c r="T9825" s="29" t="str">
        <f t="shared" si="419"/>
        <v>2023.001B.Leviviricetes_reorg.zip</v>
      </c>
      <c r="U9825" s="29" t="str">
        <f>HYPERLINK("https://ictv.global/taxonomy/taxondetails?taxnode_id=202317090","ictv.global=202317090")</f>
        <v>ictv.global=202317090</v>
      </c>
    </row>
    <row r="9826" spans="1:21">
      <c r="A9826">
        <v>9825</v>
      </c>
      <c r="B9826" s="30" t="s">
        <v>1226</v>
      </c>
      <c r="D9826" s="30" t="s">
        <v>2024</v>
      </c>
      <c r="F9826" s="30" t="s">
        <v>2046</v>
      </c>
      <c r="H9826" s="30" t="s">
        <v>2859</v>
      </c>
      <c r="J9826" s="30" t="s">
        <v>3390</v>
      </c>
      <c r="L9826" s="30" t="s">
        <v>3442</v>
      </c>
      <c r="N9826" s="30" t="s">
        <v>16323</v>
      </c>
      <c r="P9826" s="30" t="s">
        <v>16332</v>
      </c>
      <c r="Q9826" t="s">
        <v>621</v>
      </c>
      <c r="R9826" t="s">
        <v>917</v>
      </c>
      <c r="S9826">
        <v>39</v>
      </c>
      <c r="T9826" s="29" t="str">
        <f t="shared" si="419"/>
        <v>2023.001B.Leviviricetes_reorg.zip</v>
      </c>
      <c r="U9826" s="29" t="str">
        <f>HYPERLINK("https://ictv.global/taxonomy/taxondetails?taxnode_id=202317091","ictv.global=202317091")</f>
        <v>ictv.global=202317091</v>
      </c>
    </row>
    <row r="9827" spans="1:21">
      <c r="A9827">
        <v>9826</v>
      </c>
      <c r="B9827" s="30" t="s">
        <v>1226</v>
      </c>
      <c r="D9827" s="30" t="s">
        <v>2024</v>
      </c>
      <c r="F9827" s="30" t="s">
        <v>2046</v>
      </c>
      <c r="H9827" s="30" t="s">
        <v>2859</v>
      </c>
      <c r="J9827" s="30" t="s">
        <v>3390</v>
      </c>
      <c r="L9827" s="30" t="s">
        <v>3442</v>
      </c>
      <c r="N9827" s="30" t="s">
        <v>16323</v>
      </c>
      <c r="P9827" s="30" t="s">
        <v>16333</v>
      </c>
      <c r="Q9827" t="s">
        <v>621</v>
      </c>
      <c r="R9827" t="s">
        <v>917</v>
      </c>
      <c r="S9827">
        <v>39</v>
      </c>
      <c r="T9827" s="29" t="str">
        <f t="shared" si="419"/>
        <v>2023.001B.Leviviricetes_reorg.zip</v>
      </c>
      <c r="U9827" s="29" t="str">
        <f>HYPERLINK("https://ictv.global/taxonomy/taxondetails?taxnode_id=202317092","ictv.global=202317092")</f>
        <v>ictv.global=202317092</v>
      </c>
    </row>
    <row r="9828" spans="1:21">
      <c r="A9828">
        <v>9827</v>
      </c>
      <c r="B9828" s="30" t="s">
        <v>1226</v>
      </c>
      <c r="D9828" s="30" t="s">
        <v>2024</v>
      </c>
      <c r="F9828" s="30" t="s">
        <v>2046</v>
      </c>
      <c r="H9828" s="30" t="s">
        <v>2859</v>
      </c>
      <c r="J9828" s="30" t="s">
        <v>3390</v>
      </c>
      <c r="L9828" s="30" t="s">
        <v>3442</v>
      </c>
      <c r="N9828" s="30" t="s">
        <v>16323</v>
      </c>
      <c r="P9828" s="30" t="s">
        <v>16334</v>
      </c>
      <c r="Q9828" t="s">
        <v>621</v>
      </c>
      <c r="R9828" t="s">
        <v>917</v>
      </c>
      <c r="S9828">
        <v>39</v>
      </c>
      <c r="T9828" s="29" t="str">
        <f t="shared" si="419"/>
        <v>2023.001B.Leviviricetes_reorg.zip</v>
      </c>
      <c r="U9828" s="29" t="str">
        <f>HYPERLINK("https://ictv.global/taxonomy/taxondetails?taxnode_id=202317093","ictv.global=202317093")</f>
        <v>ictv.global=202317093</v>
      </c>
    </row>
    <row r="9829" spans="1:21">
      <c r="A9829">
        <v>9828</v>
      </c>
      <c r="B9829" s="30" t="s">
        <v>1226</v>
      </c>
      <c r="D9829" s="30" t="s">
        <v>2024</v>
      </c>
      <c r="F9829" s="30" t="s">
        <v>2046</v>
      </c>
      <c r="H9829" s="30" t="s">
        <v>2859</v>
      </c>
      <c r="J9829" s="30" t="s">
        <v>3390</v>
      </c>
      <c r="L9829" s="30" t="s">
        <v>3442</v>
      </c>
      <c r="N9829" s="30" t="s">
        <v>16323</v>
      </c>
      <c r="P9829" s="30" t="s">
        <v>16335</v>
      </c>
      <c r="Q9829" t="s">
        <v>621</v>
      </c>
      <c r="R9829" t="s">
        <v>917</v>
      </c>
      <c r="S9829">
        <v>39</v>
      </c>
      <c r="T9829" s="29" t="str">
        <f t="shared" si="419"/>
        <v>2023.001B.Leviviricetes_reorg.zip</v>
      </c>
      <c r="U9829" s="29" t="str">
        <f>HYPERLINK("https://ictv.global/taxonomy/taxondetails?taxnode_id=202317094","ictv.global=202317094")</f>
        <v>ictv.global=202317094</v>
      </c>
    </row>
    <row r="9830" spans="1:21">
      <c r="A9830">
        <v>9829</v>
      </c>
      <c r="B9830" s="30" t="s">
        <v>1226</v>
      </c>
      <c r="D9830" s="30" t="s">
        <v>2024</v>
      </c>
      <c r="F9830" s="30" t="s">
        <v>2046</v>
      </c>
      <c r="H9830" s="30" t="s">
        <v>2859</v>
      </c>
      <c r="J9830" s="30" t="s">
        <v>3390</v>
      </c>
      <c r="L9830" s="30" t="s">
        <v>3442</v>
      </c>
      <c r="N9830" s="30" t="s">
        <v>16323</v>
      </c>
      <c r="P9830" s="30" t="s">
        <v>16336</v>
      </c>
      <c r="Q9830" t="s">
        <v>621</v>
      </c>
      <c r="R9830" t="s">
        <v>917</v>
      </c>
      <c r="S9830">
        <v>39</v>
      </c>
      <c r="T9830" s="29" t="str">
        <f t="shared" si="419"/>
        <v>2023.001B.Leviviricetes_reorg.zip</v>
      </c>
      <c r="U9830" s="29" t="str">
        <f>HYPERLINK("https://ictv.global/taxonomy/taxondetails?taxnode_id=202317095","ictv.global=202317095")</f>
        <v>ictv.global=202317095</v>
      </c>
    </row>
    <row r="9831" spans="1:21">
      <c r="A9831">
        <v>9830</v>
      </c>
      <c r="B9831" s="30" t="s">
        <v>1226</v>
      </c>
      <c r="D9831" s="30" t="s">
        <v>2024</v>
      </c>
      <c r="F9831" s="30" t="s">
        <v>2046</v>
      </c>
      <c r="H9831" s="30" t="s">
        <v>2859</v>
      </c>
      <c r="J9831" s="30" t="s">
        <v>3390</v>
      </c>
      <c r="L9831" s="30" t="s">
        <v>3442</v>
      </c>
      <c r="N9831" s="30" t="s">
        <v>16323</v>
      </c>
      <c r="P9831" s="30" t="s">
        <v>16337</v>
      </c>
      <c r="Q9831" t="s">
        <v>621</v>
      </c>
      <c r="R9831" t="s">
        <v>917</v>
      </c>
      <c r="S9831">
        <v>39</v>
      </c>
      <c r="T9831" s="29" t="str">
        <f t="shared" si="419"/>
        <v>2023.001B.Leviviricetes_reorg.zip</v>
      </c>
      <c r="U9831" s="29" t="str">
        <f>HYPERLINK("https://ictv.global/taxonomy/taxondetails?taxnode_id=202317096","ictv.global=202317096")</f>
        <v>ictv.global=202317096</v>
      </c>
    </row>
    <row r="9832" spans="1:21">
      <c r="A9832">
        <v>9831</v>
      </c>
      <c r="B9832" s="30" t="s">
        <v>1226</v>
      </c>
      <c r="D9832" s="30" t="s">
        <v>2024</v>
      </c>
      <c r="F9832" s="30" t="s">
        <v>2046</v>
      </c>
      <c r="H9832" s="30" t="s">
        <v>2859</v>
      </c>
      <c r="J9832" s="30" t="s">
        <v>3390</v>
      </c>
      <c r="L9832" s="30" t="s">
        <v>3442</v>
      </c>
      <c r="N9832" s="30" t="s">
        <v>16323</v>
      </c>
      <c r="P9832" s="30" t="s">
        <v>16338</v>
      </c>
      <c r="Q9832" t="s">
        <v>621</v>
      </c>
      <c r="R9832" t="s">
        <v>917</v>
      </c>
      <c r="S9832">
        <v>39</v>
      </c>
      <c r="T9832" s="29" t="str">
        <f t="shared" si="419"/>
        <v>2023.001B.Leviviricetes_reorg.zip</v>
      </c>
      <c r="U9832" s="29" t="str">
        <f>HYPERLINK("https://ictv.global/taxonomy/taxondetails?taxnode_id=202317097","ictv.global=202317097")</f>
        <v>ictv.global=202317097</v>
      </c>
    </row>
    <row r="9833" spans="1:21">
      <c r="A9833">
        <v>9832</v>
      </c>
      <c r="B9833" s="30" t="s">
        <v>1226</v>
      </c>
      <c r="D9833" s="30" t="s">
        <v>2024</v>
      </c>
      <c r="F9833" s="30" t="s">
        <v>2046</v>
      </c>
      <c r="H9833" s="30" t="s">
        <v>2859</v>
      </c>
      <c r="J9833" s="30" t="s">
        <v>3390</v>
      </c>
      <c r="L9833" s="30" t="s">
        <v>3442</v>
      </c>
      <c r="N9833" s="30" t="s">
        <v>16323</v>
      </c>
      <c r="P9833" s="30" t="s">
        <v>16339</v>
      </c>
      <c r="Q9833" t="s">
        <v>621</v>
      </c>
      <c r="R9833" t="s">
        <v>917</v>
      </c>
      <c r="S9833">
        <v>39</v>
      </c>
      <c r="T9833" s="29" t="str">
        <f t="shared" si="419"/>
        <v>2023.001B.Leviviricetes_reorg.zip</v>
      </c>
      <c r="U9833" s="29" t="str">
        <f>HYPERLINK("https://ictv.global/taxonomy/taxondetails?taxnode_id=202317098","ictv.global=202317098")</f>
        <v>ictv.global=202317098</v>
      </c>
    </row>
    <row r="9834" spans="1:21">
      <c r="A9834">
        <v>9833</v>
      </c>
      <c r="B9834" s="30" t="s">
        <v>1226</v>
      </c>
      <c r="D9834" s="30" t="s">
        <v>2024</v>
      </c>
      <c r="F9834" s="30" t="s">
        <v>2046</v>
      </c>
      <c r="H9834" s="30" t="s">
        <v>2859</v>
      </c>
      <c r="J9834" s="30" t="s">
        <v>3390</v>
      </c>
      <c r="L9834" s="30" t="s">
        <v>3442</v>
      </c>
      <c r="N9834" s="30" t="s">
        <v>16323</v>
      </c>
      <c r="P9834" s="30" t="s">
        <v>16340</v>
      </c>
      <c r="Q9834" t="s">
        <v>621</v>
      </c>
      <c r="R9834" t="s">
        <v>917</v>
      </c>
      <c r="S9834">
        <v>39</v>
      </c>
      <c r="T9834" s="29" t="str">
        <f t="shared" si="419"/>
        <v>2023.001B.Leviviricetes_reorg.zip</v>
      </c>
      <c r="U9834" s="29" t="str">
        <f>HYPERLINK("https://ictv.global/taxonomy/taxondetails?taxnode_id=202317099","ictv.global=202317099")</f>
        <v>ictv.global=202317099</v>
      </c>
    </row>
    <row r="9835" spans="1:21">
      <c r="A9835">
        <v>9834</v>
      </c>
      <c r="B9835" s="30" t="s">
        <v>1226</v>
      </c>
      <c r="D9835" s="30" t="s">
        <v>2024</v>
      </c>
      <c r="F9835" s="30" t="s">
        <v>2046</v>
      </c>
      <c r="H9835" s="30" t="s">
        <v>2859</v>
      </c>
      <c r="J9835" s="30" t="s">
        <v>3390</v>
      </c>
      <c r="L9835" s="30" t="s">
        <v>3442</v>
      </c>
      <c r="N9835" s="30" t="s">
        <v>16323</v>
      </c>
      <c r="P9835" s="30" t="s">
        <v>16341</v>
      </c>
      <c r="Q9835" t="s">
        <v>621</v>
      </c>
      <c r="R9835" t="s">
        <v>917</v>
      </c>
      <c r="S9835">
        <v>39</v>
      </c>
      <c r="T9835" s="29" t="str">
        <f t="shared" si="419"/>
        <v>2023.001B.Leviviricetes_reorg.zip</v>
      </c>
      <c r="U9835" s="29" t="str">
        <f>HYPERLINK("https://ictv.global/taxonomy/taxondetails?taxnode_id=202317100","ictv.global=202317100")</f>
        <v>ictv.global=202317100</v>
      </c>
    </row>
    <row r="9836" spans="1:21">
      <c r="A9836">
        <v>9835</v>
      </c>
      <c r="B9836" s="30" t="s">
        <v>1226</v>
      </c>
      <c r="D9836" s="30" t="s">
        <v>2024</v>
      </c>
      <c r="F9836" s="30" t="s">
        <v>2046</v>
      </c>
      <c r="H9836" s="30" t="s">
        <v>2859</v>
      </c>
      <c r="J9836" s="30" t="s">
        <v>3390</v>
      </c>
      <c r="L9836" s="30" t="s">
        <v>3442</v>
      </c>
      <c r="N9836" s="30" t="s">
        <v>16323</v>
      </c>
      <c r="P9836" s="30" t="s">
        <v>16342</v>
      </c>
      <c r="Q9836" t="s">
        <v>621</v>
      </c>
      <c r="R9836" t="s">
        <v>917</v>
      </c>
      <c r="S9836">
        <v>39</v>
      </c>
      <c r="T9836" s="29" t="str">
        <f t="shared" si="419"/>
        <v>2023.001B.Leviviricetes_reorg.zip</v>
      </c>
      <c r="U9836" s="29" t="str">
        <f>HYPERLINK("https://ictv.global/taxonomy/taxondetails?taxnode_id=202317101","ictv.global=202317101")</f>
        <v>ictv.global=202317101</v>
      </c>
    </row>
    <row r="9837" spans="1:21">
      <c r="A9837">
        <v>9836</v>
      </c>
      <c r="B9837" s="30" t="s">
        <v>1226</v>
      </c>
      <c r="D9837" s="30" t="s">
        <v>2024</v>
      </c>
      <c r="F9837" s="30" t="s">
        <v>2046</v>
      </c>
      <c r="H9837" s="30" t="s">
        <v>2859</v>
      </c>
      <c r="J9837" s="30" t="s">
        <v>3390</v>
      </c>
      <c r="L9837" s="30" t="s">
        <v>3442</v>
      </c>
      <c r="N9837" s="30" t="s">
        <v>16323</v>
      </c>
      <c r="P9837" s="30" t="s">
        <v>16343</v>
      </c>
      <c r="Q9837" t="s">
        <v>621</v>
      </c>
      <c r="R9837" t="s">
        <v>917</v>
      </c>
      <c r="S9837">
        <v>39</v>
      </c>
      <c r="T9837" s="29" t="str">
        <f t="shared" si="419"/>
        <v>2023.001B.Leviviricetes_reorg.zip</v>
      </c>
      <c r="U9837" s="29" t="str">
        <f>HYPERLINK("https://ictv.global/taxonomy/taxondetails?taxnode_id=202317102","ictv.global=202317102")</f>
        <v>ictv.global=202317102</v>
      </c>
    </row>
    <row r="9838" spans="1:21">
      <c r="A9838">
        <v>9837</v>
      </c>
      <c r="B9838" s="30" t="s">
        <v>1226</v>
      </c>
      <c r="D9838" s="30" t="s">
        <v>2024</v>
      </c>
      <c r="F9838" s="30" t="s">
        <v>2046</v>
      </c>
      <c r="H9838" s="30" t="s">
        <v>2859</v>
      </c>
      <c r="J9838" s="30" t="s">
        <v>3390</v>
      </c>
      <c r="L9838" s="30" t="s">
        <v>3442</v>
      </c>
      <c r="N9838" s="30" t="s">
        <v>16323</v>
      </c>
      <c r="P9838" s="30" t="s">
        <v>16344</v>
      </c>
      <c r="Q9838" t="s">
        <v>621</v>
      </c>
      <c r="R9838" t="s">
        <v>917</v>
      </c>
      <c r="S9838">
        <v>39</v>
      </c>
      <c r="T9838" s="29" t="str">
        <f t="shared" si="419"/>
        <v>2023.001B.Leviviricetes_reorg.zip</v>
      </c>
      <c r="U9838" s="29" t="str">
        <f>HYPERLINK("https://ictv.global/taxonomy/taxondetails?taxnode_id=202317103","ictv.global=202317103")</f>
        <v>ictv.global=202317103</v>
      </c>
    </row>
    <row r="9839" spans="1:21">
      <c r="A9839">
        <v>9838</v>
      </c>
      <c r="B9839" s="30" t="s">
        <v>1226</v>
      </c>
      <c r="D9839" s="30" t="s">
        <v>2024</v>
      </c>
      <c r="F9839" s="30" t="s">
        <v>2046</v>
      </c>
      <c r="H9839" s="30" t="s">
        <v>2859</v>
      </c>
      <c r="J9839" s="30" t="s">
        <v>3390</v>
      </c>
      <c r="L9839" s="30" t="s">
        <v>3442</v>
      </c>
      <c r="N9839" s="30" t="s">
        <v>16323</v>
      </c>
      <c r="P9839" s="30" t="s">
        <v>16345</v>
      </c>
      <c r="Q9839" t="s">
        <v>621</v>
      </c>
      <c r="R9839" t="s">
        <v>917</v>
      </c>
      <c r="S9839">
        <v>39</v>
      </c>
      <c r="T9839" s="29" t="str">
        <f t="shared" si="419"/>
        <v>2023.001B.Leviviricetes_reorg.zip</v>
      </c>
      <c r="U9839" s="29" t="str">
        <f>HYPERLINK("https://ictv.global/taxonomy/taxondetails?taxnode_id=202317104","ictv.global=202317104")</f>
        <v>ictv.global=202317104</v>
      </c>
    </row>
    <row r="9840" spans="1:21">
      <c r="A9840">
        <v>9839</v>
      </c>
      <c r="B9840" s="30" t="s">
        <v>1226</v>
      </c>
      <c r="D9840" s="30" t="s">
        <v>2024</v>
      </c>
      <c r="F9840" s="30" t="s">
        <v>2046</v>
      </c>
      <c r="H9840" s="30" t="s">
        <v>2859</v>
      </c>
      <c r="J9840" s="30" t="s">
        <v>3390</v>
      </c>
      <c r="L9840" s="30" t="s">
        <v>3442</v>
      </c>
      <c r="N9840" s="30" t="s">
        <v>16346</v>
      </c>
      <c r="P9840" s="30" t="s">
        <v>16347</v>
      </c>
      <c r="Q9840" t="s">
        <v>621</v>
      </c>
      <c r="R9840" t="s">
        <v>917</v>
      </c>
      <c r="S9840">
        <v>39</v>
      </c>
      <c r="T9840" s="29" t="str">
        <f t="shared" si="419"/>
        <v>2023.001B.Leviviricetes_reorg.zip</v>
      </c>
      <c r="U9840" s="29" t="str">
        <f>HYPERLINK("https://ictv.global/taxonomy/taxondetails?taxnode_id=202317105","ictv.global=202317105")</f>
        <v>ictv.global=202317105</v>
      </c>
    </row>
    <row r="9841" spans="1:21">
      <c r="A9841">
        <v>9840</v>
      </c>
      <c r="B9841" s="30" t="s">
        <v>1226</v>
      </c>
      <c r="D9841" s="30" t="s">
        <v>2024</v>
      </c>
      <c r="F9841" s="30" t="s">
        <v>2046</v>
      </c>
      <c r="H9841" s="30" t="s">
        <v>2859</v>
      </c>
      <c r="J9841" s="30" t="s">
        <v>3390</v>
      </c>
      <c r="L9841" s="30" t="s">
        <v>3442</v>
      </c>
      <c r="N9841" s="30" t="s">
        <v>16348</v>
      </c>
      <c r="P9841" s="30" t="s">
        <v>16349</v>
      </c>
      <c r="Q9841" t="s">
        <v>621</v>
      </c>
      <c r="R9841" t="s">
        <v>917</v>
      </c>
      <c r="S9841">
        <v>39</v>
      </c>
      <c r="T9841" s="29" t="str">
        <f t="shared" si="419"/>
        <v>2023.001B.Leviviricetes_reorg.zip</v>
      </c>
      <c r="U9841" s="29" t="str">
        <f>HYPERLINK("https://ictv.global/taxonomy/taxondetails?taxnode_id=202317106","ictv.global=202317106")</f>
        <v>ictv.global=202317106</v>
      </c>
    </row>
    <row r="9842" spans="1:21">
      <c r="A9842">
        <v>9841</v>
      </c>
      <c r="B9842" s="30" t="s">
        <v>1226</v>
      </c>
      <c r="D9842" s="30" t="s">
        <v>2024</v>
      </c>
      <c r="F9842" s="30" t="s">
        <v>2046</v>
      </c>
      <c r="H9842" s="30" t="s">
        <v>2859</v>
      </c>
      <c r="J9842" s="30" t="s">
        <v>3390</v>
      </c>
      <c r="L9842" s="30" t="s">
        <v>3442</v>
      </c>
      <c r="N9842" s="30" t="s">
        <v>16348</v>
      </c>
      <c r="P9842" s="30" t="s">
        <v>16350</v>
      </c>
      <c r="Q9842" t="s">
        <v>621</v>
      </c>
      <c r="R9842" t="s">
        <v>917</v>
      </c>
      <c r="S9842">
        <v>39</v>
      </c>
      <c r="T9842" s="29" t="str">
        <f t="shared" si="419"/>
        <v>2023.001B.Leviviricetes_reorg.zip</v>
      </c>
      <c r="U9842" s="29" t="str">
        <f>HYPERLINK("https://ictv.global/taxonomy/taxondetails?taxnode_id=202317107","ictv.global=202317107")</f>
        <v>ictv.global=202317107</v>
      </c>
    </row>
    <row r="9843" spans="1:21">
      <c r="A9843">
        <v>9842</v>
      </c>
      <c r="B9843" s="30" t="s">
        <v>1226</v>
      </c>
      <c r="D9843" s="30" t="s">
        <v>2024</v>
      </c>
      <c r="F9843" s="30" t="s">
        <v>2046</v>
      </c>
      <c r="H9843" s="30" t="s">
        <v>2859</v>
      </c>
      <c r="J9843" s="30" t="s">
        <v>3390</v>
      </c>
      <c r="L9843" s="30" t="s">
        <v>3442</v>
      </c>
      <c r="N9843" s="30" t="s">
        <v>16348</v>
      </c>
      <c r="P9843" s="30" t="s">
        <v>16351</v>
      </c>
      <c r="Q9843" t="s">
        <v>621</v>
      </c>
      <c r="R9843" t="s">
        <v>917</v>
      </c>
      <c r="S9843">
        <v>39</v>
      </c>
      <c r="T9843" s="29" t="str">
        <f t="shared" si="419"/>
        <v>2023.001B.Leviviricetes_reorg.zip</v>
      </c>
      <c r="U9843" s="29" t="str">
        <f>HYPERLINK("https://ictv.global/taxonomy/taxondetails?taxnode_id=202317108","ictv.global=202317108")</f>
        <v>ictv.global=202317108</v>
      </c>
    </row>
    <row r="9844" spans="1:21">
      <c r="A9844">
        <v>9843</v>
      </c>
      <c r="B9844" s="30" t="s">
        <v>1226</v>
      </c>
      <c r="D9844" s="30" t="s">
        <v>2024</v>
      </c>
      <c r="F9844" s="30" t="s">
        <v>2046</v>
      </c>
      <c r="H9844" s="30" t="s">
        <v>2859</v>
      </c>
      <c r="J9844" s="30" t="s">
        <v>3390</v>
      </c>
      <c r="L9844" s="30" t="s">
        <v>3442</v>
      </c>
      <c r="N9844" s="30" t="s">
        <v>16352</v>
      </c>
      <c r="P9844" s="30" t="s">
        <v>16353</v>
      </c>
      <c r="Q9844" t="s">
        <v>621</v>
      </c>
      <c r="R9844" t="s">
        <v>917</v>
      </c>
      <c r="S9844">
        <v>39</v>
      </c>
      <c r="T9844" s="29" t="str">
        <f t="shared" si="419"/>
        <v>2023.001B.Leviviricetes_reorg.zip</v>
      </c>
      <c r="U9844" s="29" t="str">
        <f>HYPERLINK("https://ictv.global/taxonomy/taxondetails?taxnode_id=202317109","ictv.global=202317109")</f>
        <v>ictv.global=202317109</v>
      </c>
    </row>
    <row r="9845" spans="1:21">
      <c r="A9845">
        <v>9844</v>
      </c>
      <c r="B9845" s="30" t="s">
        <v>1226</v>
      </c>
      <c r="D9845" s="30" t="s">
        <v>2024</v>
      </c>
      <c r="F9845" s="30" t="s">
        <v>2046</v>
      </c>
      <c r="H9845" s="30" t="s">
        <v>2859</v>
      </c>
      <c r="J9845" s="30" t="s">
        <v>3390</v>
      </c>
      <c r="L9845" s="30" t="s">
        <v>3442</v>
      </c>
      <c r="N9845" s="30" t="s">
        <v>16354</v>
      </c>
      <c r="P9845" s="30" t="s">
        <v>16355</v>
      </c>
      <c r="Q9845" t="s">
        <v>621</v>
      </c>
      <c r="R9845" t="s">
        <v>918</v>
      </c>
      <c r="S9845">
        <v>39</v>
      </c>
      <c r="T9845" s="29" t="str">
        <f t="shared" si="419"/>
        <v>2023.001B.Leviviricetes_reorg.zip</v>
      </c>
      <c r="U9845" s="29" t="str">
        <f>HYPERLINK("https://ictv.global/taxonomy/taxondetails?taxnode_id=202311217","ictv.global=202311217")</f>
        <v>ictv.global=202311217</v>
      </c>
    </row>
    <row r="9846" spans="1:21">
      <c r="A9846">
        <v>9845</v>
      </c>
      <c r="B9846" s="30" t="s">
        <v>1226</v>
      </c>
      <c r="D9846" s="30" t="s">
        <v>2024</v>
      </c>
      <c r="F9846" s="30" t="s">
        <v>2046</v>
      </c>
      <c r="H9846" s="30" t="s">
        <v>2859</v>
      </c>
      <c r="J9846" s="30" t="s">
        <v>3390</v>
      </c>
      <c r="L9846" s="30" t="s">
        <v>3442</v>
      </c>
      <c r="N9846" s="30" t="s">
        <v>16354</v>
      </c>
      <c r="P9846" s="30" t="s">
        <v>16356</v>
      </c>
      <c r="Q9846" t="s">
        <v>621</v>
      </c>
      <c r="R9846" t="s">
        <v>918</v>
      </c>
      <c r="S9846">
        <v>39</v>
      </c>
      <c r="T9846" s="29" t="str">
        <f t="shared" si="419"/>
        <v>2023.001B.Leviviricetes_reorg.zip</v>
      </c>
      <c r="U9846" s="29" t="str">
        <f>HYPERLINK("https://ictv.global/taxonomy/taxondetails?taxnode_id=202311219","ictv.global=202311219")</f>
        <v>ictv.global=202311219</v>
      </c>
    </row>
    <row r="9847" spans="1:21">
      <c r="A9847">
        <v>9846</v>
      </c>
      <c r="B9847" s="30" t="s">
        <v>1226</v>
      </c>
      <c r="D9847" s="30" t="s">
        <v>2024</v>
      </c>
      <c r="F9847" s="30" t="s">
        <v>2046</v>
      </c>
      <c r="H9847" s="30" t="s">
        <v>2859</v>
      </c>
      <c r="J9847" s="30" t="s">
        <v>3390</v>
      </c>
      <c r="L9847" s="30" t="s">
        <v>3442</v>
      </c>
      <c r="N9847" s="30" t="s">
        <v>16354</v>
      </c>
      <c r="P9847" s="30" t="s">
        <v>16357</v>
      </c>
      <c r="Q9847" t="s">
        <v>621</v>
      </c>
      <c r="R9847" t="s">
        <v>918</v>
      </c>
      <c r="S9847">
        <v>39</v>
      </c>
      <c r="T9847" s="29" t="str">
        <f t="shared" si="419"/>
        <v>2023.001B.Leviviricetes_reorg.zip</v>
      </c>
      <c r="U9847" s="29" t="str">
        <f>HYPERLINK("https://ictv.global/taxonomy/taxondetails?taxnode_id=202311072","ictv.global=202311072")</f>
        <v>ictv.global=202311072</v>
      </c>
    </row>
    <row r="9848" spans="1:21">
      <c r="A9848">
        <v>9847</v>
      </c>
      <c r="B9848" s="30" t="s">
        <v>1226</v>
      </c>
      <c r="D9848" s="30" t="s">
        <v>2024</v>
      </c>
      <c r="F9848" s="30" t="s">
        <v>2046</v>
      </c>
      <c r="H9848" s="30" t="s">
        <v>2859</v>
      </c>
      <c r="J9848" s="30" t="s">
        <v>3390</v>
      </c>
      <c r="L9848" s="30" t="s">
        <v>3442</v>
      </c>
      <c r="N9848" s="30" t="s">
        <v>16354</v>
      </c>
      <c r="P9848" s="30" t="s">
        <v>16358</v>
      </c>
      <c r="Q9848" t="s">
        <v>621</v>
      </c>
      <c r="R9848" t="s">
        <v>918</v>
      </c>
      <c r="S9848">
        <v>39</v>
      </c>
      <c r="T9848" s="29" t="str">
        <f t="shared" si="419"/>
        <v>2023.001B.Leviviricetes_reorg.zip</v>
      </c>
      <c r="U9848" s="29" t="str">
        <f>HYPERLINK("https://ictv.global/taxonomy/taxondetails?taxnode_id=202311220","ictv.global=202311220")</f>
        <v>ictv.global=202311220</v>
      </c>
    </row>
    <row r="9849" spans="1:21">
      <c r="A9849">
        <v>9848</v>
      </c>
      <c r="B9849" s="30" t="s">
        <v>1226</v>
      </c>
      <c r="D9849" s="30" t="s">
        <v>2024</v>
      </c>
      <c r="F9849" s="30" t="s">
        <v>2046</v>
      </c>
      <c r="H9849" s="30" t="s">
        <v>2859</v>
      </c>
      <c r="J9849" s="30" t="s">
        <v>3390</v>
      </c>
      <c r="L9849" s="30" t="s">
        <v>3442</v>
      </c>
      <c r="N9849" s="30" t="s">
        <v>16354</v>
      </c>
      <c r="P9849" s="30" t="s">
        <v>16359</v>
      </c>
      <c r="Q9849" t="s">
        <v>621</v>
      </c>
      <c r="R9849" t="s">
        <v>918</v>
      </c>
      <c r="S9849">
        <v>39</v>
      </c>
      <c r="T9849" s="29" t="str">
        <f t="shared" si="419"/>
        <v>2023.001B.Leviviricetes_reorg.zip</v>
      </c>
      <c r="U9849" s="29" t="str">
        <f>HYPERLINK("https://ictv.global/taxonomy/taxondetails?taxnode_id=202311221","ictv.global=202311221")</f>
        <v>ictv.global=202311221</v>
      </c>
    </row>
    <row r="9850" spans="1:21">
      <c r="A9850">
        <v>9849</v>
      </c>
      <c r="B9850" s="30" t="s">
        <v>1226</v>
      </c>
      <c r="D9850" s="30" t="s">
        <v>2024</v>
      </c>
      <c r="F9850" s="30" t="s">
        <v>2046</v>
      </c>
      <c r="H9850" s="30" t="s">
        <v>2859</v>
      </c>
      <c r="J9850" s="30" t="s">
        <v>3390</v>
      </c>
      <c r="L9850" s="30" t="s">
        <v>3442</v>
      </c>
      <c r="N9850" s="30" t="s">
        <v>16354</v>
      </c>
      <c r="P9850" s="30" t="s">
        <v>16360</v>
      </c>
      <c r="Q9850" t="s">
        <v>621</v>
      </c>
      <c r="R9850" t="s">
        <v>918</v>
      </c>
      <c r="S9850">
        <v>39</v>
      </c>
      <c r="T9850" s="29" t="str">
        <f t="shared" si="419"/>
        <v>2023.001B.Leviviricetes_reorg.zip</v>
      </c>
      <c r="U9850" s="29" t="str">
        <f>HYPERLINK("https://ictv.global/taxonomy/taxondetails?taxnode_id=202311222","ictv.global=202311222")</f>
        <v>ictv.global=202311222</v>
      </c>
    </row>
    <row r="9851" spans="1:21">
      <c r="A9851">
        <v>9850</v>
      </c>
      <c r="B9851" s="30" t="s">
        <v>1226</v>
      </c>
      <c r="D9851" s="30" t="s">
        <v>2024</v>
      </c>
      <c r="F9851" s="30" t="s">
        <v>2046</v>
      </c>
      <c r="H9851" s="30" t="s">
        <v>2859</v>
      </c>
      <c r="J9851" s="30" t="s">
        <v>3390</v>
      </c>
      <c r="L9851" s="30" t="s">
        <v>3442</v>
      </c>
      <c r="N9851" s="30" t="s">
        <v>16354</v>
      </c>
      <c r="P9851" s="30" t="s">
        <v>16361</v>
      </c>
      <c r="Q9851" t="s">
        <v>621</v>
      </c>
      <c r="R9851" t="s">
        <v>917</v>
      </c>
      <c r="S9851">
        <v>39</v>
      </c>
      <c r="T9851" s="29" t="str">
        <f t="shared" si="419"/>
        <v>2023.001B.Leviviricetes_reorg.zip</v>
      </c>
      <c r="U9851" s="29" t="str">
        <f>HYPERLINK("https://ictv.global/taxonomy/taxondetails?taxnode_id=202317110","ictv.global=202317110")</f>
        <v>ictv.global=202317110</v>
      </c>
    </row>
    <row r="9852" spans="1:21">
      <c r="A9852">
        <v>9851</v>
      </c>
      <c r="B9852" s="30" t="s">
        <v>1226</v>
      </c>
      <c r="D9852" s="30" t="s">
        <v>2024</v>
      </c>
      <c r="F9852" s="30" t="s">
        <v>2046</v>
      </c>
      <c r="H9852" s="30" t="s">
        <v>2859</v>
      </c>
      <c r="J9852" s="30" t="s">
        <v>3390</v>
      </c>
      <c r="L9852" s="30" t="s">
        <v>3442</v>
      </c>
      <c r="N9852" s="30" t="s">
        <v>16354</v>
      </c>
      <c r="P9852" s="30" t="s">
        <v>16362</v>
      </c>
      <c r="Q9852" t="s">
        <v>621</v>
      </c>
      <c r="R9852" t="s">
        <v>917</v>
      </c>
      <c r="S9852">
        <v>39</v>
      </c>
      <c r="T9852" s="29" t="str">
        <f t="shared" si="419"/>
        <v>2023.001B.Leviviricetes_reorg.zip</v>
      </c>
      <c r="U9852" s="29" t="str">
        <f>HYPERLINK("https://ictv.global/taxonomy/taxondetails?taxnode_id=202317111","ictv.global=202317111")</f>
        <v>ictv.global=202317111</v>
      </c>
    </row>
    <row r="9853" spans="1:21">
      <c r="A9853">
        <v>9852</v>
      </c>
      <c r="B9853" s="30" t="s">
        <v>1226</v>
      </c>
      <c r="D9853" s="30" t="s">
        <v>2024</v>
      </c>
      <c r="F9853" s="30" t="s">
        <v>2046</v>
      </c>
      <c r="H9853" s="30" t="s">
        <v>2859</v>
      </c>
      <c r="J9853" s="30" t="s">
        <v>3390</v>
      </c>
      <c r="L9853" s="30" t="s">
        <v>3442</v>
      </c>
      <c r="N9853" s="30" t="s">
        <v>16354</v>
      </c>
      <c r="P9853" s="30" t="s">
        <v>16363</v>
      </c>
      <c r="Q9853" t="s">
        <v>621</v>
      </c>
      <c r="R9853" t="s">
        <v>917</v>
      </c>
      <c r="S9853">
        <v>39</v>
      </c>
      <c r="T9853" s="29" t="str">
        <f t="shared" si="419"/>
        <v>2023.001B.Leviviricetes_reorg.zip</v>
      </c>
      <c r="U9853" s="29" t="str">
        <f>HYPERLINK("https://ictv.global/taxonomy/taxondetails?taxnode_id=202317112","ictv.global=202317112")</f>
        <v>ictv.global=202317112</v>
      </c>
    </row>
    <row r="9854" spans="1:21">
      <c r="A9854">
        <v>9853</v>
      </c>
      <c r="B9854" s="30" t="s">
        <v>1226</v>
      </c>
      <c r="D9854" s="30" t="s">
        <v>2024</v>
      </c>
      <c r="F9854" s="30" t="s">
        <v>2046</v>
      </c>
      <c r="H9854" s="30" t="s">
        <v>2859</v>
      </c>
      <c r="J9854" s="30" t="s">
        <v>3390</v>
      </c>
      <c r="L9854" s="30" t="s">
        <v>3442</v>
      </c>
      <c r="N9854" s="30" t="s">
        <v>16354</v>
      </c>
      <c r="P9854" s="30" t="s">
        <v>16364</v>
      </c>
      <c r="Q9854" t="s">
        <v>621</v>
      </c>
      <c r="R9854" t="s">
        <v>917</v>
      </c>
      <c r="S9854">
        <v>39</v>
      </c>
      <c r="T9854" s="29" t="str">
        <f t="shared" si="419"/>
        <v>2023.001B.Leviviricetes_reorg.zip</v>
      </c>
      <c r="U9854" s="29" t="str">
        <f>HYPERLINK("https://ictv.global/taxonomy/taxondetails?taxnode_id=202317113","ictv.global=202317113")</f>
        <v>ictv.global=202317113</v>
      </c>
    </row>
    <row r="9855" spans="1:21">
      <c r="A9855">
        <v>9854</v>
      </c>
      <c r="B9855" s="30" t="s">
        <v>1226</v>
      </c>
      <c r="D9855" s="30" t="s">
        <v>2024</v>
      </c>
      <c r="F9855" s="30" t="s">
        <v>2046</v>
      </c>
      <c r="H9855" s="30" t="s">
        <v>2859</v>
      </c>
      <c r="J9855" s="30" t="s">
        <v>3390</v>
      </c>
      <c r="L9855" s="30" t="s">
        <v>3442</v>
      </c>
      <c r="N9855" s="30" t="s">
        <v>16354</v>
      </c>
      <c r="P9855" s="30" t="s">
        <v>16365</v>
      </c>
      <c r="Q9855" t="s">
        <v>621</v>
      </c>
      <c r="R9855" t="s">
        <v>917</v>
      </c>
      <c r="S9855">
        <v>39</v>
      </c>
      <c r="T9855" s="29" t="str">
        <f t="shared" si="419"/>
        <v>2023.001B.Leviviricetes_reorg.zip</v>
      </c>
      <c r="U9855" s="29" t="str">
        <f>HYPERLINK("https://ictv.global/taxonomy/taxondetails?taxnode_id=202317114","ictv.global=202317114")</f>
        <v>ictv.global=202317114</v>
      </c>
    </row>
    <row r="9856" spans="1:21">
      <c r="A9856">
        <v>9855</v>
      </c>
      <c r="B9856" s="30" t="s">
        <v>1226</v>
      </c>
      <c r="D9856" s="30" t="s">
        <v>2024</v>
      </c>
      <c r="F9856" s="30" t="s">
        <v>2046</v>
      </c>
      <c r="H9856" s="30" t="s">
        <v>2859</v>
      </c>
      <c r="J9856" s="30" t="s">
        <v>3390</v>
      </c>
      <c r="L9856" s="30" t="s">
        <v>3442</v>
      </c>
      <c r="N9856" s="30" t="s">
        <v>16354</v>
      </c>
      <c r="P9856" s="30" t="s">
        <v>16366</v>
      </c>
      <c r="Q9856" t="s">
        <v>621</v>
      </c>
      <c r="R9856" t="s">
        <v>917</v>
      </c>
      <c r="S9856">
        <v>39</v>
      </c>
      <c r="T9856" s="29" t="str">
        <f t="shared" si="419"/>
        <v>2023.001B.Leviviricetes_reorg.zip</v>
      </c>
      <c r="U9856" s="29" t="str">
        <f>HYPERLINK("https://ictv.global/taxonomy/taxondetails?taxnode_id=202317115","ictv.global=202317115")</f>
        <v>ictv.global=202317115</v>
      </c>
    </row>
    <row r="9857" spans="1:21">
      <c r="A9857">
        <v>9856</v>
      </c>
      <c r="B9857" s="30" t="s">
        <v>1226</v>
      </c>
      <c r="D9857" s="30" t="s">
        <v>2024</v>
      </c>
      <c r="F9857" s="30" t="s">
        <v>2046</v>
      </c>
      <c r="H9857" s="30" t="s">
        <v>2859</v>
      </c>
      <c r="J9857" s="30" t="s">
        <v>3390</v>
      </c>
      <c r="L9857" s="30" t="s">
        <v>3442</v>
      </c>
      <c r="N9857" s="30" t="s">
        <v>16354</v>
      </c>
      <c r="P9857" s="30" t="s">
        <v>16367</v>
      </c>
      <c r="Q9857" t="s">
        <v>621</v>
      </c>
      <c r="R9857" t="s">
        <v>917</v>
      </c>
      <c r="S9857">
        <v>39</v>
      </c>
      <c r="T9857" s="29" t="str">
        <f t="shared" si="419"/>
        <v>2023.001B.Leviviricetes_reorg.zip</v>
      </c>
      <c r="U9857" s="29" t="str">
        <f>HYPERLINK("https://ictv.global/taxonomy/taxondetails?taxnode_id=202317116","ictv.global=202317116")</f>
        <v>ictv.global=202317116</v>
      </c>
    </row>
    <row r="9858" spans="1:21">
      <c r="A9858">
        <v>9857</v>
      </c>
      <c r="B9858" s="30" t="s">
        <v>1226</v>
      </c>
      <c r="D9858" s="30" t="s">
        <v>2024</v>
      </c>
      <c r="F9858" s="30" t="s">
        <v>2046</v>
      </c>
      <c r="H9858" s="30" t="s">
        <v>2859</v>
      </c>
      <c r="J9858" s="30" t="s">
        <v>3390</v>
      </c>
      <c r="L9858" s="30" t="s">
        <v>3442</v>
      </c>
      <c r="N9858" s="30" t="s">
        <v>16354</v>
      </c>
      <c r="P9858" s="30" t="s">
        <v>16368</v>
      </c>
      <c r="Q9858" t="s">
        <v>621</v>
      </c>
      <c r="R9858" t="s">
        <v>917</v>
      </c>
      <c r="S9858">
        <v>39</v>
      </c>
      <c r="T9858" s="29" t="str">
        <f t="shared" si="419"/>
        <v>2023.001B.Leviviricetes_reorg.zip</v>
      </c>
      <c r="U9858" s="29" t="str">
        <f>HYPERLINK("https://ictv.global/taxonomy/taxondetails?taxnode_id=202317117","ictv.global=202317117")</f>
        <v>ictv.global=202317117</v>
      </c>
    </row>
    <row r="9859" spans="1:21">
      <c r="A9859">
        <v>9858</v>
      </c>
      <c r="B9859" s="30" t="s">
        <v>1226</v>
      </c>
      <c r="D9859" s="30" t="s">
        <v>2024</v>
      </c>
      <c r="F9859" s="30" t="s">
        <v>2046</v>
      </c>
      <c r="H9859" s="30" t="s">
        <v>2859</v>
      </c>
      <c r="J9859" s="30" t="s">
        <v>3390</v>
      </c>
      <c r="L9859" s="30" t="s">
        <v>3442</v>
      </c>
      <c r="N9859" s="30" t="s">
        <v>16354</v>
      </c>
      <c r="P9859" s="30" t="s">
        <v>16369</v>
      </c>
      <c r="Q9859" t="s">
        <v>621</v>
      </c>
      <c r="R9859" t="s">
        <v>917</v>
      </c>
      <c r="S9859">
        <v>39</v>
      </c>
      <c r="T9859" s="29" t="str">
        <f t="shared" si="419"/>
        <v>2023.001B.Leviviricetes_reorg.zip</v>
      </c>
      <c r="U9859" s="29" t="str">
        <f>HYPERLINK("https://ictv.global/taxonomy/taxondetails?taxnode_id=202317118","ictv.global=202317118")</f>
        <v>ictv.global=202317118</v>
      </c>
    </row>
    <row r="9860" spans="1:21">
      <c r="A9860">
        <v>9859</v>
      </c>
      <c r="B9860" s="30" t="s">
        <v>1226</v>
      </c>
      <c r="D9860" s="30" t="s">
        <v>2024</v>
      </c>
      <c r="F9860" s="30" t="s">
        <v>2046</v>
      </c>
      <c r="H9860" s="30" t="s">
        <v>2859</v>
      </c>
      <c r="J9860" s="30" t="s">
        <v>3390</v>
      </c>
      <c r="L9860" s="30" t="s">
        <v>3442</v>
      </c>
      <c r="N9860" s="30" t="s">
        <v>16354</v>
      </c>
      <c r="P9860" s="30" t="s">
        <v>16370</v>
      </c>
      <c r="Q9860" t="s">
        <v>621</v>
      </c>
      <c r="R9860" t="s">
        <v>917</v>
      </c>
      <c r="S9860">
        <v>39</v>
      </c>
      <c r="T9860" s="29" t="str">
        <f t="shared" si="419"/>
        <v>2023.001B.Leviviricetes_reorg.zip</v>
      </c>
      <c r="U9860" s="29" t="str">
        <f>HYPERLINK("https://ictv.global/taxonomy/taxondetails?taxnode_id=202317119","ictv.global=202317119")</f>
        <v>ictv.global=202317119</v>
      </c>
    </row>
    <row r="9861" spans="1:21">
      <c r="A9861">
        <v>9860</v>
      </c>
      <c r="B9861" s="30" t="s">
        <v>1226</v>
      </c>
      <c r="D9861" s="30" t="s">
        <v>2024</v>
      </c>
      <c r="F9861" s="30" t="s">
        <v>2046</v>
      </c>
      <c r="H9861" s="30" t="s">
        <v>2859</v>
      </c>
      <c r="J9861" s="30" t="s">
        <v>3390</v>
      </c>
      <c r="L9861" s="30" t="s">
        <v>3442</v>
      </c>
      <c r="N9861" s="30" t="s">
        <v>16354</v>
      </c>
      <c r="P9861" s="30" t="s">
        <v>16371</v>
      </c>
      <c r="Q9861" t="s">
        <v>621</v>
      </c>
      <c r="R9861" t="s">
        <v>917</v>
      </c>
      <c r="S9861">
        <v>39</v>
      </c>
      <c r="T9861" s="29" t="str">
        <f t="shared" si="419"/>
        <v>2023.001B.Leviviricetes_reorg.zip</v>
      </c>
      <c r="U9861" s="29" t="str">
        <f>HYPERLINK("https://ictv.global/taxonomy/taxondetails?taxnode_id=202317120","ictv.global=202317120")</f>
        <v>ictv.global=202317120</v>
      </c>
    </row>
    <row r="9862" spans="1:21">
      <c r="A9862">
        <v>9861</v>
      </c>
      <c r="B9862" s="30" t="s">
        <v>1226</v>
      </c>
      <c r="D9862" s="30" t="s">
        <v>2024</v>
      </c>
      <c r="F9862" s="30" t="s">
        <v>2046</v>
      </c>
      <c r="H9862" s="30" t="s">
        <v>2859</v>
      </c>
      <c r="J9862" s="30" t="s">
        <v>3390</v>
      </c>
      <c r="L9862" s="30" t="s">
        <v>3442</v>
      </c>
      <c r="N9862" s="30" t="s">
        <v>16354</v>
      </c>
      <c r="P9862" s="30" t="s">
        <v>16372</v>
      </c>
      <c r="Q9862" t="s">
        <v>621</v>
      </c>
      <c r="R9862" t="s">
        <v>917</v>
      </c>
      <c r="S9862">
        <v>39</v>
      </c>
      <c r="T9862" s="29" t="str">
        <f t="shared" si="419"/>
        <v>2023.001B.Leviviricetes_reorg.zip</v>
      </c>
      <c r="U9862" s="29" t="str">
        <f>HYPERLINK("https://ictv.global/taxonomy/taxondetails?taxnode_id=202317121","ictv.global=202317121")</f>
        <v>ictv.global=202317121</v>
      </c>
    </row>
    <row r="9863" spans="1:21">
      <c r="A9863">
        <v>9862</v>
      </c>
      <c r="B9863" s="30" t="s">
        <v>1226</v>
      </c>
      <c r="D9863" s="30" t="s">
        <v>2024</v>
      </c>
      <c r="F9863" s="30" t="s">
        <v>2046</v>
      </c>
      <c r="H9863" s="30" t="s">
        <v>2859</v>
      </c>
      <c r="J9863" s="30" t="s">
        <v>3390</v>
      </c>
      <c r="L9863" s="30" t="s">
        <v>3442</v>
      </c>
      <c r="N9863" s="30" t="s">
        <v>16354</v>
      </c>
      <c r="P9863" s="30" t="s">
        <v>16373</v>
      </c>
      <c r="Q9863" t="s">
        <v>621</v>
      </c>
      <c r="R9863" t="s">
        <v>917</v>
      </c>
      <c r="S9863">
        <v>39</v>
      </c>
      <c r="T9863" s="29" t="str">
        <f t="shared" si="419"/>
        <v>2023.001B.Leviviricetes_reorg.zip</v>
      </c>
      <c r="U9863" s="29" t="str">
        <f>HYPERLINK("https://ictv.global/taxonomy/taxondetails?taxnode_id=202317122","ictv.global=202317122")</f>
        <v>ictv.global=202317122</v>
      </c>
    </row>
    <row r="9864" spans="1:21">
      <c r="A9864">
        <v>9863</v>
      </c>
      <c r="B9864" s="30" t="s">
        <v>1226</v>
      </c>
      <c r="D9864" s="30" t="s">
        <v>2024</v>
      </c>
      <c r="F9864" s="30" t="s">
        <v>2046</v>
      </c>
      <c r="H9864" s="30" t="s">
        <v>2859</v>
      </c>
      <c r="J9864" s="30" t="s">
        <v>3390</v>
      </c>
      <c r="L9864" s="30" t="s">
        <v>3442</v>
      </c>
      <c r="N9864" s="30" t="s">
        <v>16354</v>
      </c>
      <c r="P9864" s="30" t="s">
        <v>16374</v>
      </c>
      <c r="Q9864" t="s">
        <v>621</v>
      </c>
      <c r="R9864" t="s">
        <v>917</v>
      </c>
      <c r="S9864">
        <v>39</v>
      </c>
      <c r="T9864" s="29" t="str">
        <f t="shared" si="419"/>
        <v>2023.001B.Leviviricetes_reorg.zip</v>
      </c>
      <c r="U9864" s="29" t="str">
        <f>HYPERLINK("https://ictv.global/taxonomy/taxondetails?taxnode_id=202317123","ictv.global=202317123")</f>
        <v>ictv.global=202317123</v>
      </c>
    </row>
    <row r="9865" spans="1:21">
      <c r="A9865">
        <v>9864</v>
      </c>
      <c r="B9865" s="30" t="s">
        <v>1226</v>
      </c>
      <c r="D9865" s="30" t="s">
        <v>2024</v>
      </c>
      <c r="F9865" s="30" t="s">
        <v>2046</v>
      </c>
      <c r="H9865" s="30" t="s">
        <v>2859</v>
      </c>
      <c r="J9865" s="30" t="s">
        <v>3390</v>
      </c>
      <c r="L9865" s="30" t="s">
        <v>3442</v>
      </c>
      <c r="N9865" s="30" t="s">
        <v>16354</v>
      </c>
      <c r="P9865" s="30" t="s">
        <v>16375</v>
      </c>
      <c r="Q9865" t="s">
        <v>621</v>
      </c>
      <c r="R9865" t="s">
        <v>917</v>
      </c>
      <c r="S9865">
        <v>39</v>
      </c>
      <c r="T9865" s="29" t="str">
        <f t="shared" si="419"/>
        <v>2023.001B.Leviviricetes_reorg.zip</v>
      </c>
      <c r="U9865" s="29" t="str">
        <f>HYPERLINK("https://ictv.global/taxonomy/taxondetails?taxnode_id=202317124","ictv.global=202317124")</f>
        <v>ictv.global=202317124</v>
      </c>
    </row>
    <row r="9866" spans="1:21">
      <c r="A9866">
        <v>9865</v>
      </c>
      <c r="B9866" s="30" t="s">
        <v>1226</v>
      </c>
      <c r="D9866" s="30" t="s">
        <v>2024</v>
      </c>
      <c r="F9866" s="30" t="s">
        <v>2046</v>
      </c>
      <c r="H9866" s="30" t="s">
        <v>2859</v>
      </c>
      <c r="J9866" s="30" t="s">
        <v>3390</v>
      </c>
      <c r="L9866" s="30" t="s">
        <v>3442</v>
      </c>
      <c r="N9866" s="30" t="s">
        <v>16354</v>
      </c>
      <c r="P9866" s="30" t="s">
        <v>16376</v>
      </c>
      <c r="Q9866" t="s">
        <v>621</v>
      </c>
      <c r="R9866" t="s">
        <v>917</v>
      </c>
      <c r="S9866">
        <v>39</v>
      </c>
      <c r="T9866" s="29" t="str">
        <f t="shared" ref="T9866:T9929" si="420">HYPERLINK("https://ictv.global/ictv/proposals/2023.001B.Leviviricetes_reorg.zip","2023.001B.Leviviricetes_reorg.zip")</f>
        <v>2023.001B.Leviviricetes_reorg.zip</v>
      </c>
      <c r="U9866" s="29" t="str">
        <f>HYPERLINK("https://ictv.global/taxonomy/taxondetails?taxnode_id=202317125","ictv.global=202317125")</f>
        <v>ictv.global=202317125</v>
      </c>
    </row>
    <row r="9867" spans="1:21">
      <c r="A9867">
        <v>9866</v>
      </c>
      <c r="B9867" s="30" t="s">
        <v>1226</v>
      </c>
      <c r="D9867" s="30" t="s">
        <v>2024</v>
      </c>
      <c r="F9867" s="30" t="s">
        <v>2046</v>
      </c>
      <c r="H9867" s="30" t="s">
        <v>2859</v>
      </c>
      <c r="J9867" s="30" t="s">
        <v>3390</v>
      </c>
      <c r="L9867" s="30" t="s">
        <v>3442</v>
      </c>
      <c r="N9867" s="30" t="s">
        <v>16354</v>
      </c>
      <c r="P9867" s="30" t="s">
        <v>16377</v>
      </c>
      <c r="Q9867" t="s">
        <v>621</v>
      </c>
      <c r="R9867" t="s">
        <v>917</v>
      </c>
      <c r="S9867">
        <v>39</v>
      </c>
      <c r="T9867" s="29" t="str">
        <f t="shared" si="420"/>
        <v>2023.001B.Leviviricetes_reorg.zip</v>
      </c>
      <c r="U9867" s="29" t="str">
        <f>HYPERLINK("https://ictv.global/taxonomy/taxondetails?taxnode_id=202317126","ictv.global=202317126")</f>
        <v>ictv.global=202317126</v>
      </c>
    </row>
    <row r="9868" spans="1:21">
      <c r="A9868">
        <v>9867</v>
      </c>
      <c r="B9868" s="30" t="s">
        <v>1226</v>
      </c>
      <c r="D9868" s="30" t="s">
        <v>2024</v>
      </c>
      <c r="F9868" s="30" t="s">
        <v>2046</v>
      </c>
      <c r="H9868" s="30" t="s">
        <v>2859</v>
      </c>
      <c r="J9868" s="30" t="s">
        <v>3390</v>
      </c>
      <c r="L9868" s="30" t="s">
        <v>3442</v>
      </c>
      <c r="N9868" s="30" t="s">
        <v>16354</v>
      </c>
      <c r="P9868" s="30" t="s">
        <v>16378</v>
      </c>
      <c r="Q9868" t="s">
        <v>621</v>
      </c>
      <c r="R9868" t="s">
        <v>917</v>
      </c>
      <c r="S9868">
        <v>39</v>
      </c>
      <c r="T9868" s="29" t="str">
        <f t="shared" si="420"/>
        <v>2023.001B.Leviviricetes_reorg.zip</v>
      </c>
      <c r="U9868" s="29" t="str">
        <f>HYPERLINK("https://ictv.global/taxonomy/taxondetails?taxnode_id=202317127","ictv.global=202317127")</f>
        <v>ictv.global=202317127</v>
      </c>
    </row>
    <row r="9869" spans="1:21">
      <c r="A9869">
        <v>9868</v>
      </c>
      <c r="B9869" s="30" t="s">
        <v>1226</v>
      </c>
      <c r="D9869" s="30" t="s">
        <v>2024</v>
      </c>
      <c r="F9869" s="30" t="s">
        <v>2046</v>
      </c>
      <c r="H9869" s="30" t="s">
        <v>2859</v>
      </c>
      <c r="J9869" s="30" t="s">
        <v>3390</v>
      </c>
      <c r="L9869" s="30" t="s">
        <v>3442</v>
      </c>
      <c r="N9869" s="30" t="s">
        <v>16354</v>
      </c>
      <c r="P9869" s="30" t="s">
        <v>16379</v>
      </c>
      <c r="Q9869" t="s">
        <v>621</v>
      </c>
      <c r="R9869" t="s">
        <v>917</v>
      </c>
      <c r="S9869">
        <v>39</v>
      </c>
      <c r="T9869" s="29" t="str">
        <f t="shared" si="420"/>
        <v>2023.001B.Leviviricetes_reorg.zip</v>
      </c>
      <c r="U9869" s="29" t="str">
        <f>HYPERLINK("https://ictv.global/taxonomy/taxondetails?taxnode_id=202317128","ictv.global=202317128")</f>
        <v>ictv.global=202317128</v>
      </c>
    </row>
    <row r="9870" spans="1:21">
      <c r="A9870">
        <v>9869</v>
      </c>
      <c r="B9870" s="30" t="s">
        <v>1226</v>
      </c>
      <c r="D9870" s="30" t="s">
        <v>2024</v>
      </c>
      <c r="F9870" s="30" t="s">
        <v>2046</v>
      </c>
      <c r="H9870" s="30" t="s">
        <v>2859</v>
      </c>
      <c r="J9870" s="30" t="s">
        <v>3390</v>
      </c>
      <c r="L9870" s="30" t="s">
        <v>3442</v>
      </c>
      <c r="N9870" s="30" t="s">
        <v>16354</v>
      </c>
      <c r="P9870" s="30" t="s">
        <v>16380</v>
      </c>
      <c r="Q9870" t="s">
        <v>621</v>
      </c>
      <c r="R9870" t="s">
        <v>917</v>
      </c>
      <c r="S9870">
        <v>39</v>
      </c>
      <c r="T9870" s="29" t="str">
        <f t="shared" si="420"/>
        <v>2023.001B.Leviviricetes_reorg.zip</v>
      </c>
      <c r="U9870" s="29" t="str">
        <f>HYPERLINK("https://ictv.global/taxonomy/taxondetails?taxnode_id=202317129","ictv.global=202317129")</f>
        <v>ictv.global=202317129</v>
      </c>
    </row>
    <row r="9871" spans="1:21">
      <c r="A9871">
        <v>9870</v>
      </c>
      <c r="B9871" s="30" t="s">
        <v>1226</v>
      </c>
      <c r="D9871" s="30" t="s">
        <v>2024</v>
      </c>
      <c r="F9871" s="30" t="s">
        <v>2046</v>
      </c>
      <c r="H9871" s="30" t="s">
        <v>2859</v>
      </c>
      <c r="J9871" s="30" t="s">
        <v>3390</v>
      </c>
      <c r="L9871" s="30" t="s">
        <v>3442</v>
      </c>
      <c r="N9871" s="30" t="s">
        <v>16354</v>
      </c>
      <c r="P9871" s="30" t="s">
        <v>16381</v>
      </c>
      <c r="Q9871" t="s">
        <v>621</v>
      </c>
      <c r="R9871" t="s">
        <v>917</v>
      </c>
      <c r="S9871">
        <v>39</v>
      </c>
      <c r="T9871" s="29" t="str">
        <f t="shared" si="420"/>
        <v>2023.001B.Leviviricetes_reorg.zip</v>
      </c>
      <c r="U9871" s="29" t="str">
        <f>HYPERLINK("https://ictv.global/taxonomy/taxondetails?taxnode_id=202317130","ictv.global=202317130")</f>
        <v>ictv.global=202317130</v>
      </c>
    </row>
    <row r="9872" spans="1:21">
      <c r="A9872">
        <v>9871</v>
      </c>
      <c r="B9872" s="30" t="s">
        <v>1226</v>
      </c>
      <c r="D9872" s="30" t="s">
        <v>2024</v>
      </c>
      <c r="F9872" s="30" t="s">
        <v>2046</v>
      </c>
      <c r="H9872" s="30" t="s">
        <v>2859</v>
      </c>
      <c r="J9872" s="30" t="s">
        <v>3390</v>
      </c>
      <c r="L9872" s="30" t="s">
        <v>3442</v>
      </c>
      <c r="N9872" s="30" t="s">
        <v>16354</v>
      </c>
      <c r="P9872" s="30" t="s">
        <v>16382</v>
      </c>
      <c r="Q9872" t="s">
        <v>621</v>
      </c>
      <c r="R9872" t="s">
        <v>917</v>
      </c>
      <c r="S9872">
        <v>39</v>
      </c>
      <c r="T9872" s="29" t="str">
        <f t="shared" si="420"/>
        <v>2023.001B.Leviviricetes_reorg.zip</v>
      </c>
      <c r="U9872" s="29" t="str">
        <f>HYPERLINK("https://ictv.global/taxonomy/taxondetails?taxnode_id=202317131","ictv.global=202317131")</f>
        <v>ictv.global=202317131</v>
      </c>
    </row>
    <row r="9873" spans="1:21">
      <c r="A9873">
        <v>9872</v>
      </c>
      <c r="B9873" s="30" t="s">
        <v>1226</v>
      </c>
      <c r="D9873" s="30" t="s">
        <v>2024</v>
      </c>
      <c r="F9873" s="30" t="s">
        <v>2046</v>
      </c>
      <c r="H9873" s="30" t="s">
        <v>2859</v>
      </c>
      <c r="J9873" s="30" t="s">
        <v>3390</v>
      </c>
      <c r="L9873" s="30" t="s">
        <v>3442</v>
      </c>
      <c r="N9873" s="30" t="s">
        <v>16354</v>
      </c>
      <c r="P9873" s="30" t="s">
        <v>16383</v>
      </c>
      <c r="Q9873" t="s">
        <v>621</v>
      </c>
      <c r="R9873" t="s">
        <v>917</v>
      </c>
      <c r="S9873">
        <v>39</v>
      </c>
      <c r="T9873" s="29" t="str">
        <f t="shared" si="420"/>
        <v>2023.001B.Leviviricetes_reorg.zip</v>
      </c>
      <c r="U9873" s="29" t="str">
        <f>HYPERLINK("https://ictv.global/taxonomy/taxondetails?taxnode_id=202317132","ictv.global=202317132")</f>
        <v>ictv.global=202317132</v>
      </c>
    </row>
    <row r="9874" spans="1:21">
      <c r="A9874">
        <v>9873</v>
      </c>
      <c r="B9874" s="30" t="s">
        <v>1226</v>
      </c>
      <c r="D9874" s="30" t="s">
        <v>2024</v>
      </c>
      <c r="F9874" s="30" t="s">
        <v>2046</v>
      </c>
      <c r="H9874" s="30" t="s">
        <v>2859</v>
      </c>
      <c r="J9874" s="30" t="s">
        <v>3390</v>
      </c>
      <c r="L9874" s="30" t="s">
        <v>3442</v>
      </c>
      <c r="N9874" s="30" t="s">
        <v>16354</v>
      </c>
      <c r="P9874" s="30" t="s">
        <v>16384</v>
      </c>
      <c r="Q9874" t="s">
        <v>621</v>
      </c>
      <c r="R9874" t="s">
        <v>917</v>
      </c>
      <c r="S9874">
        <v>39</v>
      </c>
      <c r="T9874" s="29" t="str">
        <f t="shared" si="420"/>
        <v>2023.001B.Leviviricetes_reorg.zip</v>
      </c>
      <c r="U9874" s="29" t="str">
        <f>HYPERLINK("https://ictv.global/taxonomy/taxondetails?taxnode_id=202317133","ictv.global=202317133")</f>
        <v>ictv.global=202317133</v>
      </c>
    </row>
    <row r="9875" spans="1:21">
      <c r="A9875">
        <v>9874</v>
      </c>
      <c r="B9875" s="30" t="s">
        <v>1226</v>
      </c>
      <c r="D9875" s="30" t="s">
        <v>2024</v>
      </c>
      <c r="F9875" s="30" t="s">
        <v>2046</v>
      </c>
      <c r="H9875" s="30" t="s">
        <v>2859</v>
      </c>
      <c r="J9875" s="30" t="s">
        <v>3390</v>
      </c>
      <c r="L9875" s="30" t="s">
        <v>3442</v>
      </c>
      <c r="N9875" s="30" t="s">
        <v>16354</v>
      </c>
      <c r="P9875" s="30" t="s">
        <v>16385</v>
      </c>
      <c r="Q9875" t="s">
        <v>621</v>
      </c>
      <c r="R9875" t="s">
        <v>917</v>
      </c>
      <c r="S9875">
        <v>39</v>
      </c>
      <c r="T9875" s="29" t="str">
        <f t="shared" si="420"/>
        <v>2023.001B.Leviviricetes_reorg.zip</v>
      </c>
      <c r="U9875" s="29" t="str">
        <f>HYPERLINK("https://ictv.global/taxonomy/taxondetails?taxnode_id=202317134","ictv.global=202317134")</f>
        <v>ictv.global=202317134</v>
      </c>
    </row>
    <row r="9876" spans="1:21">
      <c r="A9876">
        <v>9875</v>
      </c>
      <c r="B9876" s="30" t="s">
        <v>1226</v>
      </c>
      <c r="D9876" s="30" t="s">
        <v>2024</v>
      </c>
      <c r="F9876" s="30" t="s">
        <v>2046</v>
      </c>
      <c r="H9876" s="30" t="s">
        <v>2859</v>
      </c>
      <c r="J9876" s="30" t="s">
        <v>3390</v>
      </c>
      <c r="L9876" s="30" t="s">
        <v>3442</v>
      </c>
      <c r="N9876" s="30" t="s">
        <v>16354</v>
      </c>
      <c r="P9876" s="30" t="s">
        <v>16386</v>
      </c>
      <c r="Q9876" t="s">
        <v>621</v>
      </c>
      <c r="R9876" t="s">
        <v>917</v>
      </c>
      <c r="S9876">
        <v>39</v>
      </c>
      <c r="T9876" s="29" t="str">
        <f t="shared" si="420"/>
        <v>2023.001B.Leviviricetes_reorg.zip</v>
      </c>
      <c r="U9876" s="29" t="str">
        <f>HYPERLINK("https://ictv.global/taxonomy/taxondetails?taxnode_id=202317135","ictv.global=202317135")</f>
        <v>ictv.global=202317135</v>
      </c>
    </row>
    <row r="9877" spans="1:21">
      <c r="A9877">
        <v>9876</v>
      </c>
      <c r="B9877" s="30" t="s">
        <v>1226</v>
      </c>
      <c r="D9877" s="30" t="s">
        <v>2024</v>
      </c>
      <c r="F9877" s="30" t="s">
        <v>2046</v>
      </c>
      <c r="H9877" s="30" t="s">
        <v>2859</v>
      </c>
      <c r="J9877" s="30" t="s">
        <v>3390</v>
      </c>
      <c r="L9877" s="30" t="s">
        <v>3442</v>
      </c>
      <c r="N9877" s="30" t="s">
        <v>16354</v>
      </c>
      <c r="P9877" s="30" t="s">
        <v>16387</v>
      </c>
      <c r="Q9877" t="s">
        <v>621</v>
      </c>
      <c r="R9877" t="s">
        <v>917</v>
      </c>
      <c r="S9877">
        <v>39</v>
      </c>
      <c r="T9877" s="29" t="str">
        <f t="shared" si="420"/>
        <v>2023.001B.Leviviricetes_reorg.zip</v>
      </c>
      <c r="U9877" s="29" t="str">
        <f>HYPERLINK("https://ictv.global/taxonomy/taxondetails?taxnode_id=202317136","ictv.global=202317136")</f>
        <v>ictv.global=202317136</v>
      </c>
    </row>
    <row r="9878" spans="1:21">
      <c r="A9878">
        <v>9877</v>
      </c>
      <c r="B9878" s="30" t="s">
        <v>1226</v>
      </c>
      <c r="D9878" s="30" t="s">
        <v>2024</v>
      </c>
      <c r="F9878" s="30" t="s">
        <v>2046</v>
      </c>
      <c r="H9878" s="30" t="s">
        <v>2859</v>
      </c>
      <c r="J9878" s="30" t="s">
        <v>3390</v>
      </c>
      <c r="L9878" s="30" t="s">
        <v>3442</v>
      </c>
      <c r="N9878" s="30" t="s">
        <v>16354</v>
      </c>
      <c r="P9878" s="30" t="s">
        <v>16388</v>
      </c>
      <c r="Q9878" t="s">
        <v>621</v>
      </c>
      <c r="R9878" t="s">
        <v>917</v>
      </c>
      <c r="S9878">
        <v>39</v>
      </c>
      <c r="T9878" s="29" t="str">
        <f t="shared" si="420"/>
        <v>2023.001B.Leviviricetes_reorg.zip</v>
      </c>
      <c r="U9878" s="29" t="str">
        <f>HYPERLINK("https://ictv.global/taxonomy/taxondetails?taxnode_id=202317137","ictv.global=202317137")</f>
        <v>ictv.global=202317137</v>
      </c>
    </row>
    <row r="9879" spans="1:21">
      <c r="A9879">
        <v>9878</v>
      </c>
      <c r="B9879" s="30" t="s">
        <v>1226</v>
      </c>
      <c r="D9879" s="30" t="s">
        <v>2024</v>
      </c>
      <c r="F9879" s="30" t="s">
        <v>2046</v>
      </c>
      <c r="H9879" s="30" t="s">
        <v>2859</v>
      </c>
      <c r="J9879" s="30" t="s">
        <v>3390</v>
      </c>
      <c r="L9879" s="30" t="s">
        <v>3442</v>
      </c>
      <c r="N9879" s="30" t="s">
        <v>16354</v>
      </c>
      <c r="P9879" s="30" t="s">
        <v>16389</v>
      </c>
      <c r="Q9879" t="s">
        <v>621</v>
      </c>
      <c r="R9879" t="s">
        <v>917</v>
      </c>
      <c r="S9879">
        <v>39</v>
      </c>
      <c r="T9879" s="29" t="str">
        <f t="shared" si="420"/>
        <v>2023.001B.Leviviricetes_reorg.zip</v>
      </c>
      <c r="U9879" s="29" t="str">
        <f>HYPERLINK("https://ictv.global/taxonomy/taxondetails?taxnode_id=202317138","ictv.global=202317138")</f>
        <v>ictv.global=202317138</v>
      </c>
    </row>
    <row r="9880" spans="1:21">
      <c r="A9880">
        <v>9879</v>
      </c>
      <c r="B9880" s="30" t="s">
        <v>1226</v>
      </c>
      <c r="D9880" s="30" t="s">
        <v>2024</v>
      </c>
      <c r="F9880" s="30" t="s">
        <v>2046</v>
      </c>
      <c r="H9880" s="30" t="s">
        <v>2859</v>
      </c>
      <c r="J9880" s="30" t="s">
        <v>3390</v>
      </c>
      <c r="L9880" s="30" t="s">
        <v>3442</v>
      </c>
      <c r="N9880" s="30" t="s">
        <v>16354</v>
      </c>
      <c r="P9880" s="30" t="s">
        <v>16390</v>
      </c>
      <c r="Q9880" t="s">
        <v>621</v>
      </c>
      <c r="R9880" t="s">
        <v>917</v>
      </c>
      <c r="S9880">
        <v>39</v>
      </c>
      <c r="T9880" s="29" t="str">
        <f t="shared" si="420"/>
        <v>2023.001B.Leviviricetes_reorg.zip</v>
      </c>
      <c r="U9880" s="29" t="str">
        <f>HYPERLINK("https://ictv.global/taxonomy/taxondetails?taxnode_id=202317139","ictv.global=202317139")</f>
        <v>ictv.global=202317139</v>
      </c>
    </row>
    <row r="9881" spans="1:21">
      <c r="A9881">
        <v>9880</v>
      </c>
      <c r="B9881" s="30" t="s">
        <v>1226</v>
      </c>
      <c r="D9881" s="30" t="s">
        <v>2024</v>
      </c>
      <c r="F9881" s="30" t="s">
        <v>2046</v>
      </c>
      <c r="H9881" s="30" t="s">
        <v>2859</v>
      </c>
      <c r="J9881" s="30" t="s">
        <v>3390</v>
      </c>
      <c r="L9881" s="30" t="s">
        <v>3442</v>
      </c>
      <c r="N9881" s="30" t="s">
        <v>16354</v>
      </c>
      <c r="P9881" s="30" t="s">
        <v>16391</v>
      </c>
      <c r="Q9881" t="s">
        <v>621</v>
      </c>
      <c r="R9881" t="s">
        <v>917</v>
      </c>
      <c r="S9881">
        <v>39</v>
      </c>
      <c r="T9881" s="29" t="str">
        <f t="shared" si="420"/>
        <v>2023.001B.Leviviricetes_reorg.zip</v>
      </c>
      <c r="U9881" s="29" t="str">
        <f>HYPERLINK("https://ictv.global/taxonomy/taxondetails?taxnode_id=202317140","ictv.global=202317140")</f>
        <v>ictv.global=202317140</v>
      </c>
    </row>
    <row r="9882" spans="1:21">
      <c r="A9882">
        <v>9881</v>
      </c>
      <c r="B9882" s="30" t="s">
        <v>1226</v>
      </c>
      <c r="D9882" s="30" t="s">
        <v>2024</v>
      </c>
      <c r="F9882" s="30" t="s">
        <v>2046</v>
      </c>
      <c r="H9882" s="30" t="s">
        <v>2859</v>
      </c>
      <c r="J9882" s="30" t="s">
        <v>3390</v>
      </c>
      <c r="L9882" s="30" t="s">
        <v>3442</v>
      </c>
      <c r="N9882" s="30" t="s">
        <v>16354</v>
      </c>
      <c r="P9882" s="30" t="s">
        <v>16392</v>
      </c>
      <c r="Q9882" t="s">
        <v>621</v>
      </c>
      <c r="R9882" t="s">
        <v>917</v>
      </c>
      <c r="S9882">
        <v>39</v>
      </c>
      <c r="T9882" s="29" t="str">
        <f t="shared" si="420"/>
        <v>2023.001B.Leviviricetes_reorg.zip</v>
      </c>
      <c r="U9882" s="29" t="str">
        <f>HYPERLINK("https://ictv.global/taxonomy/taxondetails?taxnode_id=202317141","ictv.global=202317141")</f>
        <v>ictv.global=202317141</v>
      </c>
    </row>
    <row r="9883" spans="1:21">
      <c r="A9883">
        <v>9882</v>
      </c>
      <c r="B9883" s="30" t="s">
        <v>1226</v>
      </c>
      <c r="D9883" s="30" t="s">
        <v>2024</v>
      </c>
      <c r="F9883" s="30" t="s">
        <v>2046</v>
      </c>
      <c r="H9883" s="30" t="s">
        <v>2859</v>
      </c>
      <c r="J9883" s="30" t="s">
        <v>3390</v>
      </c>
      <c r="L9883" s="30" t="s">
        <v>3442</v>
      </c>
      <c r="N9883" s="30" t="s">
        <v>16354</v>
      </c>
      <c r="P9883" s="30" t="s">
        <v>16393</v>
      </c>
      <c r="Q9883" t="s">
        <v>621</v>
      </c>
      <c r="R9883" t="s">
        <v>917</v>
      </c>
      <c r="S9883">
        <v>39</v>
      </c>
      <c r="T9883" s="29" t="str">
        <f t="shared" si="420"/>
        <v>2023.001B.Leviviricetes_reorg.zip</v>
      </c>
      <c r="U9883" s="29" t="str">
        <f>HYPERLINK("https://ictv.global/taxonomy/taxondetails?taxnode_id=202317142","ictv.global=202317142")</f>
        <v>ictv.global=202317142</v>
      </c>
    </row>
    <row r="9884" spans="1:21">
      <c r="A9884">
        <v>9883</v>
      </c>
      <c r="B9884" s="30" t="s">
        <v>1226</v>
      </c>
      <c r="D9884" s="30" t="s">
        <v>2024</v>
      </c>
      <c r="F9884" s="30" t="s">
        <v>2046</v>
      </c>
      <c r="H9884" s="30" t="s">
        <v>2859</v>
      </c>
      <c r="J9884" s="30" t="s">
        <v>3390</v>
      </c>
      <c r="L9884" s="30" t="s">
        <v>3442</v>
      </c>
      <c r="N9884" s="30" t="s">
        <v>16354</v>
      </c>
      <c r="P9884" s="30" t="s">
        <v>16394</v>
      </c>
      <c r="Q9884" t="s">
        <v>621</v>
      </c>
      <c r="R9884" t="s">
        <v>917</v>
      </c>
      <c r="S9884">
        <v>39</v>
      </c>
      <c r="T9884" s="29" t="str">
        <f t="shared" si="420"/>
        <v>2023.001B.Leviviricetes_reorg.zip</v>
      </c>
      <c r="U9884" s="29" t="str">
        <f>HYPERLINK("https://ictv.global/taxonomy/taxondetails?taxnode_id=202317143","ictv.global=202317143")</f>
        <v>ictv.global=202317143</v>
      </c>
    </row>
    <row r="9885" spans="1:21">
      <c r="A9885">
        <v>9884</v>
      </c>
      <c r="B9885" s="30" t="s">
        <v>1226</v>
      </c>
      <c r="D9885" s="30" t="s">
        <v>2024</v>
      </c>
      <c r="F9885" s="30" t="s">
        <v>2046</v>
      </c>
      <c r="H9885" s="30" t="s">
        <v>2859</v>
      </c>
      <c r="J9885" s="30" t="s">
        <v>3390</v>
      </c>
      <c r="L9885" s="30" t="s">
        <v>3442</v>
      </c>
      <c r="N9885" s="30" t="s">
        <v>16354</v>
      </c>
      <c r="P9885" s="30" t="s">
        <v>16395</v>
      </c>
      <c r="Q9885" t="s">
        <v>621</v>
      </c>
      <c r="R9885" t="s">
        <v>917</v>
      </c>
      <c r="S9885">
        <v>39</v>
      </c>
      <c r="T9885" s="29" t="str">
        <f t="shared" si="420"/>
        <v>2023.001B.Leviviricetes_reorg.zip</v>
      </c>
      <c r="U9885" s="29" t="str">
        <f>HYPERLINK("https://ictv.global/taxonomy/taxondetails?taxnode_id=202317144","ictv.global=202317144")</f>
        <v>ictv.global=202317144</v>
      </c>
    </row>
    <row r="9886" spans="1:21">
      <c r="A9886">
        <v>9885</v>
      </c>
      <c r="B9886" s="30" t="s">
        <v>1226</v>
      </c>
      <c r="D9886" s="30" t="s">
        <v>2024</v>
      </c>
      <c r="F9886" s="30" t="s">
        <v>2046</v>
      </c>
      <c r="H9886" s="30" t="s">
        <v>2859</v>
      </c>
      <c r="J9886" s="30" t="s">
        <v>3390</v>
      </c>
      <c r="L9886" s="30" t="s">
        <v>3442</v>
      </c>
      <c r="N9886" s="30" t="s">
        <v>16354</v>
      </c>
      <c r="P9886" s="30" t="s">
        <v>16396</v>
      </c>
      <c r="Q9886" t="s">
        <v>621</v>
      </c>
      <c r="R9886" t="s">
        <v>917</v>
      </c>
      <c r="S9886">
        <v>39</v>
      </c>
      <c r="T9886" s="29" t="str">
        <f t="shared" si="420"/>
        <v>2023.001B.Leviviricetes_reorg.zip</v>
      </c>
      <c r="U9886" s="29" t="str">
        <f>HYPERLINK("https://ictv.global/taxonomy/taxondetails?taxnode_id=202317145","ictv.global=202317145")</f>
        <v>ictv.global=202317145</v>
      </c>
    </row>
    <row r="9887" spans="1:21">
      <c r="A9887">
        <v>9886</v>
      </c>
      <c r="B9887" s="30" t="s">
        <v>1226</v>
      </c>
      <c r="D9887" s="30" t="s">
        <v>2024</v>
      </c>
      <c r="F9887" s="30" t="s">
        <v>2046</v>
      </c>
      <c r="H9887" s="30" t="s">
        <v>2859</v>
      </c>
      <c r="J9887" s="30" t="s">
        <v>3390</v>
      </c>
      <c r="L9887" s="30" t="s">
        <v>3442</v>
      </c>
      <c r="N9887" s="30" t="s">
        <v>16354</v>
      </c>
      <c r="P9887" s="30" t="s">
        <v>16397</v>
      </c>
      <c r="Q9887" t="s">
        <v>621</v>
      </c>
      <c r="R9887" t="s">
        <v>917</v>
      </c>
      <c r="S9887">
        <v>39</v>
      </c>
      <c r="T9887" s="29" t="str">
        <f t="shared" si="420"/>
        <v>2023.001B.Leviviricetes_reorg.zip</v>
      </c>
      <c r="U9887" s="29" t="str">
        <f>HYPERLINK("https://ictv.global/taxonomy/taxondetails?taxnode_id=202317146","ictv.global=202317146")</f>
        <v>ictv.global=202317146</v>
      </c>
    </row>
    <row r="9888" spans="1:21">
      <c r="A9888">
        <v>9887</v>
      </c>
      <c r="B9888" s="30" t="s">
        <v>1226</v>
      </c>
      <c r="D9888" s="30" t="s">
        <v>2024</v>
      </c>
      <c r="F9888" s="30" t="s">
        <v>2046</v>
      </c>
      <c r="H9888" s="30" t="s">
        <v>2859</v>
      </c>
      <c r="J9888" s="30" t="s">
        <v>3390</v>
      </c>
      <c r="L9888" s="30" t="s">
        <v>3442</v>
      </c>
      <c r="N9888" s="30" t="s">
        <v>16354</v>
      </c>
      <c r="P9888" s="30" t="s">
        <v>16398</v>
      </c>
      <c r="Q9888" t="s">
        <v>621</v>
      </c>
      <c r="R9888" t="s">
        <v>917</v>
      </c>
      <c r="S9888">
        <v>39</v>
      </c>
      <c r="T9888" s="29" t="str">
        <f t="shared" si="420"/>
        <v>2023.001B.Leviviricetes_reorg.zip</v>
      </c>
      <c r="U9888" s="29" t="str">
        <f>HYPERLINK("https://ictv.global/taxonomy/taxondetails?taxnode_id=202317147","ictv.global=202317147")</f>
        <v>ictv.global=202317147</v>
      </c>
    </row>
    <row r="9889" spans="1:21">
      <c r="A9889">
        <v>9888</v>
      </c>
      <c r="B9889" s="30" t="s">
        <v>1226</v>
      </c>
      <c r="D9889" s="30" t="s">
        <v>2024</v>
      </c>
      <c r="F9889" s="30" t="s">
        <v>2046</v>
      </c>
      <c r="H9889" s="30" t="s">
        <v>2859</v>
      </c>
      <c r="J9889" s="30" t="s">
        <v>3390</v>
      </c>
      <c r="L9889" s="30" t="s">
        <v>3442</v>
      </c>
      <c r="N9889" s="30" t="s">
        <v>16354</v>
      </c>
      <c r="P9889" s="30" t="s">
        <v>16399</v>
      </c>
      <c r="Q9889" t="s">
        <v>621</v>
      </c>
      <c r="R9889" t="s">
        <v>917</v>
      </c>
      <c r="S9889">
        <v>39</v>
      </c>
      <c r="T9889" s="29" t="str">
        <f t="shared" si="420"/>
        <v>2023.001B.Leviviricetes_reorg.zip</v>
      </c>
      <c r="U9889" s="29" t="str">
        <f>HYPERLINK("https://ictv.global/taxonomy/taxondetails?taxnode_id=202317148","ictv.global=202317148")</f>
        <v>ictv.global=202317148</v>
      </c>
    </row>
    <row r="9890" spans="1:21">
      <c r="A9890">
        <v>9889</v>
      </c>
      <c r="B9890" s="30" t="s">
        <v>1226</v>
      </c>
      <c r="D9890" s="30" t="s">
        <v>2024</v>
      </c>
      <c r="F9890" s="30" t="s">
        <v>2046</v>
      </c>
      <c r="H9890" s="30" t="s">
        <v>2859</v>
      </c>
      <c r="J9890" s="30" t="s">
        <v>3390</v>
      </c>
      <c r="L9890" s="30" t="s">
        <v>3442</v>
      </c>
      <c r="N9890" s="30" t="s">
        <v>16354</v>
      </c>
      <c r="P9890" s="30" t="s">
        <v>16400</v>
      </c>
      <c r="Q9890" t="s">
        <v>621</v>
      </c>
      <c r="R9890" t="s">
        <v>917</v>
      </c>
      <c r="S9890">
        <v>39</v>
      </c>
      <c r="T9890" s="29" t="str">
        <f t="shared" si="420"/>
        <v>2023.001B.Leviviricetes_reorg.zip</v>
      </c>
      <c r="U9890" s="29" t="str">
        <f>HYPERLINK("https://ictv.global/taxonomy/taxondetails?taxnode_id=202317149","ictv.global=202317149")</f>
        <v>ictv.global=202317149</v>
      </c>
    </row>
    <row r="9891" spans="1:21">
      <c r="A9891">
        <v>9890</v>
      </c>
      <c r="B9891" s="30" t="s">
        <v>1226</v>
      </c>
      <c r="D9891" s="30" t="s">
        <v>2024</v>
      </c>
      <c r="F9891" s="30" t="s">
        <v>2046</v>
      </c>
      <c r="H9891" s="30" t="s">
        <v>2859</v>
      </c>
      <c r="J9891" s="30" t="s">
        <v>3390</v>
      </c>
      <c r="L9891" s="30" t="s">
        <v>3442</v>
      </c>
      <c r="N9891" s="30" t="s">
        <v>16354</v>
      </c>
      <c r="P9891" s="30" t="s">
        <v>16401</v>
      </c>
      <c r="Q9891" t="s">
        <v>621</v>
      </c>
      <c r="R9891" t="s">
        <v>917</v>
      </c>
      <c r="S9891">
        <v>39</v>
      </c>
      <c r="T9891" s="29" t="str">
        <f t="shared" si="420"/>
        <v>2023.001B.Leviviricetes_reorg.zip</v>
      </c>
      <c r="U9891" s="29" t="str">
        <f>HYPERLINK("https://ictv.global/taxonomy/taxondetails?taxnode_id=202317150","ictv.global=202317150")</f>
        <v>ictv.global=202317150</v>
      </c>
    </row>
    <row r="9892" spans="1:21">
      <c r="A9892">
        <v>9891</v>
      </c>
      <c r="B9892" s="30" t="s">
        <v>1226</v>
      </c>
      <c r="D9892" s="30" t="s">
        <v>2024</v>
      </c>
      <c r="F9892" s="30" t="s">
        <v>2046</v>
      </c>
      <c r="H9892" s="30" t="s">
        <v>2859</v>
      </c>
      <c r="J9892" s="30" t="s">
        <v>3390</v>
      </c>
      <c r="L9892" s="30" t="s">
        <v>3442</v>
      </c>
      <c r="N9892" s="30" t="s">
        <v>16354</v>
      </c>
      <c r="P9892" s="30" t="s">
        <v>16402</v>
      </c>
      <c r="Q9892" t="s">
        <v>621</v>
      </c>
      <c r="R9892" t="s">
        <v>917</v>
      </c>
      <c r="S9892">
        <v>39</v>
      </c>
      <c r="T9892" s="29" t="str">
        <f t="shared" si="420"/>
        <v>2023.001B.Leviviricetes_reorg.zip</v>
      </c>
      <c r="U9892" s="29" t="str">
        <f>HYPERLINK("https://ictv.global/taxonomy/taxondetails?taxnode_id=202317151","ictv.global=202317151")</f>
        <v>ictv.global=202317151</v>
      </c>
    </row>
    <row r="9893" spans="1:21">
      <c r="A9893">
        <v>9892</v>
      </c>
      <c r="B9893" s="30" t="s">
        <v>1226</v>
      </c>
      <c r="D9893" s="30" t="s">
        <v>2024</v>
      </c>
      <c r="F9893" s="30" t="s">
        <v>2046</v>
      </c>
      <c r="H9893" s="30" t="s">
        <v>2859</v>
      </c>
      <c r="J9893" s="30" t="s">
        <v>3390</v>
      </c>
      <c r="L9893" s="30" t="s">
        <v>3442</v>
      </c>
      <c r="N9893" s="30" t="s">
        <v>16354</v>
      </c>
      <c r="P9893" s="30" t="s">
        <v>16403</v>
      </c>
      <c r="Q9893" t="s">
        <v>621</v>
      </c>
      <c r="R9893" t="s">
        <v>917</v>
      </c>
      <c r="S9893">
        <v>39</v>
      </c>
      <c r="T9893" s="29" t="str">
        <f t="shared" si="420"/>
        <v>2023.001B.Leviviricetes_reorg.zip</v>
      </c>
      <c r="U9893" s="29" t="str">
        <f>HYPERLINK("https://ictv.global/taxonomy/taxondetails?taxnode_id=202317152","ictv.global=202317152")</f>
        <v>ictv.global=202317152</v>
      </c>
    </row>
    <row r="9894" spans="1:21">
      <c r="A9894">
        <v>9893</v>
      </c>
      <c r="B9894" s="30" t="s">
        <v>1226</v>
      </c>
      <c r="D9894" s="30" t="s">
        <v>2024</v>
      </c>
      <c r="F9894" s="30" t="s">
        <v>2046</v>
      </c>
      <c r="H9894" s="30" t="s">
        <v>2859</v>
      </c>
      <c r="J9894" s="30" t="s">
        <v>3390</v>
      </c>
      <c r="L9894" s="30" t="s">
        <v>3442</v>
      </c>
      <c r="N9894" s="30" t="s">
        <v>16354</v>
      </c>
      <c r="P9894" s="30" t="s">
        <v>16404</v>
      </c>
      <c r="Q9894" t="s">
        <v>621</v>
      </c>
      <c r="R9894" t="s">
        <v>917</v>
      </c>
      <c r="S9894">
        <v>39</v>
      </c>
      <c r="T9894" s="29" t="str">
        <f t="shared" si="420"/>
        <v>2023.001B.Leviviricetes_reorg.zip</v>
      </c>
      <c r="U9894" s="29" t="str">
        <f>HYPERLINK("https://ictv.global/taxonomy/taxondetails?taxnode_id=202317153","ictv.global=202317153")</f>
        <v>ictv.global=202317153</v>
      </c>
    </row>
    <row r="9895" spans="1:21">
      <c r="A9895">
        <v>9894</v>
      </c>
      <c r="B9895" s="30" t="s">
        <v>1226</v>
      </c>
      <c r="D9895" s="30" t="s">
        <v>2024</v>
      </c>
      <c r="F9895" s="30" t="s">
        <v>2046</v>
      </c>
      <c r="H9895" s="30" t="s">
        <v>2859</v>
      </c>
      <c r="J9895" s="30" t="s">
        <v>3390</v>
      </c>
      <c r="L9895" s="30" t="s">
        <v>3442</v>
      </c>
      <c r="N9895" s="30" t="s">
        <v>16354</v>
      </c>
      <c r="P9895" s="30" t="s">
        <v>16405</v>
      </c>
      <c r="Q9895" t="s">
        <v>621</v>
      </c>
      <c r="R9895" t="s">
        <v>917</v>
      </c>
      <c r="S9895">
        <v>39</v>
      </c>
      <c r="T9895" s="29" t="str">
        <f t="shared" si="420"/>
        <v>2023.001B.Leviviricetes_reorg.zip</v>
      </c>
      <c r="U9895" s="29" t="str">
        <f>HYPERLINK("https://ictv.global/taxonomy/taxondetails?taxnode_id=202317154","ictv.global=202317154")</f>
        <v>ictv.global=202317154</v>
      </c>
    </row>
    <row r="9896" spans="1:21">
      <c r="A9896">
        <v>9895</v>
      </c>
      <c r="B9896" s="30" t="s">
        <v>1226</v>
      </c>
      <c r="D9896" s="30" t="s">
        <v>2024</v>
      </c>
      <c r="F9896" s="30" t="s">
        <v>2046</v>
      </c>
      <c r="H9896" s="30" t="s">
        <v>2859</v>
      </c>
      <c r="J9896" s="30" t="s">
        <v>3390</v>
      </c>
      <c r="L9896" s="30" t="s">
        <v>3442</v>
      </c>
      <c r="N9896" s="30" t="s">
        <v>16354</v>
      </c>
      <c r="P9896" s="30" t="s">
        <v>16406</v>
      </c>
      <c r="Q9896" t="s">
        <v>621</v>
      </c>
      <c r="R9896" t="s">
        <v>917</v>
      </c>
      <c r="S9896">
        <v>39</v>
      </c>
      <c r="T9896" s="29" t="str">
        <f t="shared" si="420"/>
        <v>2023.001B.Leviviricetes_reorg.zip</v>
      </c>
      <c r="U9896" s="29" t="str">
        <f>HYPERLINK("https://ictv.global/taxonomy/taxondetails?taxnode_id=202317155","ictv.global=202317155")</f>
        <v>ictv.global=202317155</v>
      </c>
    </row>
    <row r="9897" spans="1:21">
      <c r="A9897">
        <v>9896</v>
      </c>
      <c r="B9897" s="30" t="s">
        <v>1226</v>
      </c>
      <c r="D9897" s="30" t="s">
        <v>2024</v>
      </c>
      <c r="F9897" s="30" t="s">
        <v>2046</v>
      </c>
      <c r="H9897" s="30" t="s">
        <v>2859</v>
      </c>
      <c r="J9897" s="30" t="s">
        <v>3390</v>
      </c>
      <c r="L9897" s="30" t="s">
        <v>3442</v>
      </c>
      <c r="N9897" s="30" t="s">
        <v>16354</v>
      </c>
      <c r="P9897" s="30" t="s">
        <v>16407</v>
      </c>
      <c r="Q9897" t="s">
        <v>621</v>
      </c>
      <c r="R9897" t="s">
        <v>917</v>
      </c>
      <c r="S9897">
        <v>39</v>
      </c>
      <c r="T9897" s="29" t="str">
        <f t="shared" si="420"/>
        <v>2023.001B.Leviviricetes_reorg.zip</v>
      </c>
      <c r="U9897" s="29" t="str">
        <f>HYPERLINK("https://ictv.global/taxonomy/taxondetails?taxnode_id=202317156","ictv.global=202317156")</f>
        <v>ictv.global=202317156</v>
      </c>
    </row>
    <row r="9898" spans="1:21">
      <c r="A9898">
        <v>9897</v>
      </c>
      <c r="B9898" s="30" t="s">
        <v>1226</v>
      </c>
      <c r="D9898" s="30" t="s">
        <v>2024</v>
      </c>
      <c r="F9898" s="30" t="s">
        <v>2046</v>
      </c>
      <c r="H9898" s="30" t="s">
        <v>2859</v>
      </c>
      <c r="J9898" s="30" t="s">
        <v>3390</v>
      </c>
      <c r="L9898" s="30" t="s">
        <v>3442</v>
      </c>
      <c r="N9898" s="30" t="s">
        <v>16354</v>
      </c>
      <c r="P9898" s="30" t="s">
        <v>16408</v>
      </c>
      <c r="Q9898" t="s">
        <v>621</v>
      </c>
      <c r="R9898" t="s">
        <v>917</v>
      </c>
      <c r="S9898">
        <v>39</v>
      </c>
      <c r="T9898" s="29" t="str">
        <f t="shared" si="420"/>
        <v>2023.001B.Leviviricetes_reorg.zip</v>
      </c>
      <c r="U9898" s="29" t="str">
        <f>HYPERLINK("https://ictv.global/taxonomy/taxondetails?taxnode_id=202317157","ictv.global=202317157")</f>
        <v>ictv.global=202317157</v>
      </c>
    </row>
    <row r="9899" spans="1:21">
      <c r="A9899">
        <v>9898</v>
      </c>
      <c r="B9899" s="30" t="s">
        <v>1226</v>
      </c>
      <c r="D9899" s="30" t="s">
        <v>2024</v>
      </c>
      <c r="F9899" s="30" t="s">
        <v>2046</v>
      </c>
      <c r="H9899" s="30" t="s">
        <v>2859</v>
      </c>
      <c r="J9899" s="30" t="s">
        <v>3390</v>
      </c>
      <c r="L9899" s="30" t="s">
        <v>3442</v>
      </c>
      <c r="N9899" s="30" t="s">
        <v>16354</v>
      </c>
      <c r="P9899" s="30" t="s">
        <v>16409</v>
      </c>
      <c r="Q9899" t="s">
        <v>621</v>
      </c>
      <c r="R9899" t="s">
        <v>917</v>
      </c>
      <c r="S9899">
        <v>39</v>
      </c>
      <c r="T9899" s="29" t="str">
        <f t="shared" si="420"/>
        <v>2023.001B.Leviviricetes_reorg.zip</v>
      </c>
      <c r="U9899" s="29" t="str">
        <f>HYPERLINK("https://ictv.global/taxonomy/taxondetails?taxnode_id=202317158","ictv.global=202317158")</f>
        <v>ictv.global=202317158</v>
      </c>
    </row>
    <row r="9900" spans="1:21">
      <c r="A9900">
        <v>9899</v>
      </c>
      <c r="B9900" s="30" t="s">
        <v>1226</v>
      </c>
      <c r="D9900" s="30" t="s">
        <v>2024</v>
      </c>
      <c r="F9900" s="30" t="s">
        <v>2046</v>
      </c>
      <c r="H9900" s="30" t="s">
        <v>2859</v>
      </c>
      <c r="J9900" s="30" t="s">
        <v>3390</v>
      </c>
      <c r="L9900" s="30" t="s">
        <v>3442</v>
      </c>
      <c r="N9900" s="30" t="s">
        <v>16354</v>
      </c>
      <c r="P9900" s="30" t="s">
        <v>16410</v>
      </c>
      <c r="Q9900" t="s">
        <v>621</v>
      </c>
      <c r="R9900" t="s">
        <v>917</v>
      </c>
      <c r="S9900">
        <v>39</v>
      </c>
      <c r="T9900" s="29" t="str">
        <f t="shared" si="420"/>
        <v>2023.001B.Leviviricetes_reorg.zip</v>
      </c>
      <c r="U9900" s="29" t="str">
        <f>HYPERLINK("https://ictv.global/taxonomy/taxondetails?taxnode_id=202317159","ictv.global=202317159")</f>
        <v>ictv.global=202317159</v>
      </c>
    </row>
    <row r="9901" spans="1:21">
      <c r="A9901">
        <v>9900</v>
      </c>
      <c r="B9901" s="30" t="s">
        <v>1226</v>
      </c>
      <c r="D9901" s="30" t="s">
        <v>2024</v>
      </c>
      <c r="F9901" s="30" t="s">
        <v>2046</v>
      </c>
      <c r="H9901" s="30" t="s">
        <v>2859</v>
      </c>
      <c r="J9901" s="30" t="s">
        <v>3390</v>
      </c>
      <c r="L9901" s="30" t="s">
        <v>3442</v>
      </c>
      <c r="N9901" s="30" t="s">
        <v>16354</v>
      </c>
      <c r="P9901" s="30" t="s">
        <v>16411</v>
      </c>
      <c r="Q9901" t="s">
        <v>621</v>
      </c>
      <c r="R9901" t="s">
        <v>917</v>
      </c>
      <c r="S9901">
        <v>39</v>
      </c>
      <c r="T9901" s="29" t="str">
        <f t="shared" si="420"/>
        <v>2023.001B.Leviviricetes_reorg.zip</v>
      </c>
      <c r="U9901" s="29" t="str">
        <f>HYPERLINK("https://ictv.global/taxonomy/taxondetails?taxnode_id=202317160","ictv.global=202317160")</f>
        <v>ictv.global=202317160</v>
      </c>
    </row>
    <row r="9902" spans="1:21">
      <c r="A9902">
        <v>9901</v>
      </c>
      <c r="B9902" s="30" t="s">
        <v>1226</v>
      </c>
      <c r="D9902" s="30" t="s">
        <v>2024</v>
      </c>
      <c r="F9902" s="30" t="s">
        <v>2046</v>
      </c>
      <c r="H9902" s="30" t="s">
        <v>2859</v>
      </c>
      <c r="J9902" s="30" t="s">
        <v>3390</v>
      </c>
      <c r="L9902" s="30" t="s">
        <v>3442</v>
      </c>
      <c r="N9902" s="30" t="s">
        <v>16354</v>
      </c>
      <c r="P9902" s="30" t="s">
        <v>16412</v>
      </c>
      <c r="Q9902" t="s">
        <v>621</v>
      </c>
      <c r="R9902" t="s">
        <v>917</v>
      </c>
      <c r="S9902">
        <v>39</v>
      </c>
      <c r="T9902" s="29" t="str">
        <f t="shared" si="420"/>
        <v>2023.001B.Leviviricetes_reorg.zip</v>
      </c>
      <c r="U9902" s="29" t="str">
        <f>HYPERLINK("https://ictv.global/taxonomy/taxondetails?taxnode_id=202317161","ictv.global=202317161")</f>
        <v>ictv.global=202317161</v>
      </c>
    </row>
    <row r="9903" spans="1:21">
      <c r="A9903">
        <v>9902</v>
      </c>
      <c r="B9903" s="30" t="s">
        <v>1226</v>
      </c>
      <c r="D9903" s="30" t="s">
        <v>2024</v>
      </c>
      <c r="F9903" s="30" t="s">
        <v>2046</v>
      </c>
      <c r="H9903" s="30" t="s">
        <v>2859</v>
      </c>
      <c r="J9903" s="30" t="s">
        <v>3390</v>
      </c>
      <c r="L9903" s="30" t="s">
        <v>3442</v>
      </c>
      <c r="N9903" s="30" t="s">
        <v>16354</v>
      </c>
      <c r="P9903" s="30" t="s">
        <v>16413</v>
      </c>
      <c r="Q9903" t="s">
        <v>621</v>
      </c>
      <c r="R9903" t="s">
        <v>917</v>
      </c>
      <c r="S9903">
        <v>39</v>
      </c>
      <c r="T9903" s="29" t="str">
        <f t="shared" si="420"/>
        <v>2023.001B.Leviviricetes_reorg.zip</v>
      </c>
      <c r="U9903" s="29" t="str">
        <f>HYPERLINK("https://ictv.global/taxonomy/taxondetails?taxnode_id=202317162","ictv.global=202317162")</f>
        <v>ictv.global=202317162</v>
      </c>
    </row>
    <row r="9904" spans="1:21">
      <c r="A9904">
        <v>9903</v>
      </c>
      <c r="B9904" s="30" t="s">
        <v>1226</v>
      </c>
      <c r="D9904" s="30" t="s">
        <v>2024</v>
      </c>
      <c r="F9904" s="30" t="s">
        <v>2046</v>
      </c>
      <c r="H9904" s="30" t="s">
        <v>2859</v>
      </c>
      <c r="J9904" s="30" t="s">
        <v>3390</v>
      </c>
      <c r="L9904" s="30" t="s">
        <v>3442</v>
      </c>
      <c r="N9904" s="30" t="s">
        <v>16354</v>
      </c>
      <c r="P9904" s="30" t="s">
        <v>16414</v>
      </c>
      <c r="Q9904" t="s">
        <v>621</v>
      </c>
      <c r="R9904" t="s">
        <v>917</v>
      </c>
      <c r="S9904">
        <v>39</v>
      </c>
      <c r="T9904" s="29" t="str">
        <f t="shared" si="420"/>
        <v>2023.001B.Leviviricetes_reorg.zip</v>
      </c>
      <c r="U9904" s="29" t="str">
        <f>HYPERLINK("https://ictv.global/taxonomy/taxondetails?taxnode_id=202317163","ictv.global=202317163")</f>
        <v>ictv.global=202317163</v>
      </c>
    </row>
    <row r="9905" spans="1:21">
      <c r="A9905">
        <v>9904</v>
      </c>
      <c r="B9905" s="30" t="s">
        <v>1226</v>
      </c>
      <c r="D9905" s="30" t="s">
        <v>2024</v>
      </c>
      <c r="F9905" s="30" t="s">
        <v>2046</v>
      </c>
      <c r="H9905" s="30" t="s">
        <v>2859</v>
      </c>
      <c r="J9905" s="30" t="s">
        <v>3390</v>
      </c>
      <c r="L9905" s="30" t="s">
        <v>3442</v>
      </c>
      <c r="N9905" s="30" t="s">
        <v>16354</v>
      </c>
      <c r="P9905" s="30" t="s">
        <v>16415</v>
      </c>
      <c r="Q9905" t="s">
        <v>621</v>
      </c>
      <c r="R9905" t="s">
        <v>917</v>
      </c>
      <c r="S9905">
        <v>39</v>
      </c>
      <c r="T9905" s="29" t="str">
        <f t="shared" si="420"/>
        <v>2023.001B.Leviviricetes_reorg.zip</v>
      </c>
      <c r="U9905" s="29" t="str">
        <f>HYPERLINK("https://ictv.global/taxonomy/taxondetails?taxnode_id=202317164","ictv.global=202317164")</f>
        <v>ictv.global=202317164</v>
      </c>
    </row>
    <row r="9906" spans="1:21">
      <c r="A9906">
        <v>9905</v>
      </c>
      <c r="B9906" s="30" t="s">
        <v>1226</v>
      </c>
      <c r="D9906" s="30" t="s">
        <v>2024</v>
      </c>
      <c r="F9906" s="30" t="s">
        <v>2046</v>
      </c>
      <c r="H9906" s="30" t="s">
        <v>2859</v>
      </c>
      <c r="J9906" s="30" t="s">
        <v>3390</v>
      </c>
      <c r="L9906" s="30" t="s">
        <v>3442</v>
      </c>
      <c r="N9906" s="30" t="s">
        <v>16354</v>
      </c>
      <c r="P9906" s="30" t="s">
        <v>16416</v>
      </c>
      <c r="Q9906" t="s">
        <v>621</v>
      </c>
      <c r="R9906" t="s">
        <v>917</v>
      </c>
      <c r="S9906">
        <v>39</v>
      </c>
      <c r="T9906" s="29" t="str">
        <f t="shared" si="420"/>
        <v>2023.001B.Leviviricetes_reorg.zip</v>
      </c>
      <c r="U9906" s="29" t="str">
        <f>HYPERLINK("https://ictv.global/taxonomy/taxondetails?taxnode_id=202317165","ictv.global=202317165")</f>
        <v>ictv.global=202317165</v>
      </c>
    </row>
    <row r="9907" spans="1:21">
      <c r="A9907">
        <v>9906</v>
      </c>
      <c r="B9907" s="30" t="s">
        <v>1226</v>
      </c>
      <c r="D9907" s="30" t="s">
        <v>2024</v>
      </c>
      <c r="F9907" s="30" t="s">
        <v>2046</v>
      </c>
      <c r="H9907" s="30" t="s">
        <v>2859</v>
      </c>
      <c r="J9907" s="30" t="s">
        <v>3390</v>
      </c>
      <c r="L9907" s="30" t="s">
        <v>3442</v>
      </c>
      <c r="N9907" s="30" t="s">
        <v>16354</v>
      </c>
      <c r="P9907" s="30" t="s">
        <v>16417</v>
      </c>
      <c r="Q9907" t="s">
        <v>621</v>
      </c>
      <c r="R9907" t="s">
        <v>917</v>
      </c>
      <c r="S9907">
        <v>39</v>
      </c>
      <c r="T9907" s="29" t="str">
        <f t="shared" si="420"/>
        <v>2023.001B.Leviviricetes_reorg.zip</v>
      </c>
      <c r="U9907" s="29" t="str">
        <f>HYPERLINK("https://ictv.global/taxonomy/taxondetails?taxnode_id=202317166","ictv.global=202317166")</f>
        <v>ictv.global=202317166</v>
      </c>
    </row>
    <row r="9908" spans="1:21">
      <c r="A9908">
        <v>9907</v>
      </c>
      <c r="B9908" s="30" t="s">
        <v>1226</v>
      </c>
      <c r="D9908" s="30" t="s">
        <v>2024</v>
      </c>
      <c r="F9908" s="30" t="s">
        <v>2046</v>
      </c>
      <c r="H9908" s="30" t="s">
        <v>2859</v>
      </c>
      <c r="J9908" s="30" t="s">
        <v>3390</v>
      </c>
      <c r="L9908" s="30" t="s">
        <v>3442</v>
      </c>
      <c r="N9908" s="30" t="s">
        <v>16354</v>
      </c>
      <c r="P9908" s="30" t="s">
        <v>16418</v>
      </c>
      <c r="Q9908" t="s">
        <v>621</v>
      </c>
      <c r="R9908" t="s">
        <v>917</v>
      </c>
      <c r="S9908">
        <v>39</v>
      </c>
      <c r="T9908" s="29" t="str">
        <f t="shared" si="420"/>
        <v>2023.001B.Leviviricetes_reorg.zip</v>
      </c>
      <c r="U9908" s="29" t="str">
        <f>HYPERLINK("https://ictv.global/taxonomy/taxondetails?taxnode_id=202317167","ictv.global=202317167")</f>
        <v>ictv.global=202317167</v>
      </c>
    </row>
    <row r="9909" spans="1:21">
      <c r="A9909">
        <v>9908</v>
      </c>
      <c r="B9909" s="30" t="s">
        <v>1226</v>
      </c>
      <c r="D9909" s="30" t="s">
        <v>2024</v>
      </c>
      <c r="F9909" s="30" t="s">
        <v>2046</v>
      </c>
      <c r="H9909" s="30" t="s">
        <v>2859</v>
      </c>
      <c r="J9909" s="30" t="s">
        <v>3390</v>
      </c>
      <c r="L9909" s="30" t="s">
        <v>3442</v>
      </c>
      <c r="N9909" s="30" t="s">
        <v>16354</v>
      </c>
      <c r="P9909" s="30" t="s">
        <v>16419</v>
      </c>
      <c r="Q9909" t="s">
        <v>621</v>
      </c>
      <c r="R9909" t="s">
        <v>917</v>
      </c>
      <c r="S9909">
        <v>39</v>
      </c>
      <c r="T9909" s="29" t="str">
        <f t="shared" si="420"/>
        <v>2023.001B.Leviviricetes_reorg.zip</v>
      </c>
      <c r="U9909" s="29" t="str">
        <f>HYPERLINK("https://ictv.global/taxonomy/taxondetails?taxnode_id=202317168","ictv.global=202317168")</f>
        <v>ictv.global=202317168</v>
      </c>
    </row>
    <row r="9910" spans="1:21">
      <c r="A9910">
        <v>9909</v>
      </c>
      <c r="B9910" s="30" t="s">
        <v>1226</v>
      </c>
      <c r="D9910" s="30" t="s">
        <v>2024</v>
      </c>
      <c r="F9910" s="30" t="s">
        <v>2046</v>
      </c>
      <c r="H9910" s="30" t="s">
        <v>2859</v>
      </c>
      <c r="J9910" s="30" t="s">
        <v>3390</v>
      </c>
      <c r="L9910" s="30" t="s">
        <v>3442</v>
      </c>
      <c r="N9910" s="30" t="s">
        <v>16354</v>
      </c>
      <c r="P9910" s="30" t="s">
        <v>16420</v>
      </c>
      <c r="Q9910" t="s">
        <v>621</v>
      </c>
      <c r="R9910" t="s">
        <v>917</v>
      </c>
      <c r="S9910">
        <v>39</v>
      </c>
      <c r="T9910" s="29" t="str">
        <f t="shared" si="420"/>
        <v>2023.001B.Leviviricetes_reorg.zip</v>
      </c>
      <c r="U9910" s="29" t="str">
        <f>HYPERLINK("https://ictv.global/taxonomy/taxondetails?taxnode_id=202317169","ictv.global=202317169")</f>
        <v>ictv.global=202317169</v>
      </c>
    </row>
    <row r="9911" spans="1:21">
      <c r="A9911">
        <v>9910</v>
      </c>
      <c r="B9911" s="30" t="s">
        <v>1226</v>
      </c>
      <c r="D9911" s="30" t="s">
        <v>2024</v>
      </c>
      <c r="F9911" s="30" t="s">
        <v>2046</v>
      </c>
      <c r="H9911" s="30" t="s">
        <v>2859</v>
      </c>
      <c r="J9911" s="30" t="s">
        <v>3390</v>
      </c>
      <c r="L9911" s="30" t="s">
        <v>3442</v>
      </c>
      <c r="N9911" s="30" t="s">
        <v>16354</v>
      </c>
      <c r="P9911" s="30" t="s">
        <v>16421</v>
      </c>
      <c r="Q9911" t="s">
        <v>621</v>
      </c>
      <c r="R9911" t="s">
        <v>917</v>
      </c>
      <c r="S9911">
        <v>39</v>
      </c>
      <c r="T9911" s="29" t="str">
        <f t="shared" si="420"/>
        <v>2023.001B.Leviviricetes_reorg.zip</v>
      </c>
      <c r="U9911" s="29" t="str">
        <f>HYPERLINK("https://ictv.global/taxonomy/taxondetails?taxnode_id=202317170","ictv.global=202317170")</f>
        <v>ictv.global=202317170</v>
      </c>
    </row>
    <row r="9912" spans="1:21">
      <c r="A9912">
        <v>9911</v>
      </c>
      <c r="B9912" s="30" t="s">
        <v>1226</v>
      </c>
      <c r="D9912" s="30" t="s">
        <v>2024</v>
      </c>
      <c r="F9912" s="30" t="s">
        <v>2046</v>
      </c>
      <c r="H9912" s="30" t="s">
        <v>2859</v>
      </c>
      <c r="J9912" s="30" t="s">
        <v>3390</v>
      </c>
      <c r="L9912" s="30" t="s">
        <v>3442</v>
      </c>
      <c r="N9912" s="30" t="s">
        <v>16354</v>
      </c>
      <c r="P9912" s="30" t="s">
        <v>16422</v>
      </c>
      <c r="Q9912" t="s">
        <v>621</v>
      </c>
      <c r="R9912" t="s">
        <v>917</v>
      </c>
      <c r="S9912">
        <v>39</v>
      </c>
      <c r="T9912" s="29" t="str">
        <f t="shared" si="420"/>
        <v>2023.001B.Leviviricetes_reorg.zip</v>
      </c>
      <c r="U9912" s="29" t="str">
        <f>HYPERLINK("https://ictv.global/taxonomy/taxondetails?taxnode_id=202317171","ictv.global=202317171")</f>
        <v>ictv.global=202317171</v>
      </c>
    </row>
    <row r="9913" spans="1:21">
      <c r="A9913">
        <v>9912</v>
      </c>
      <c r="B9913" s="30" t="s">
        <v>1226</v>
      </c>
      <c r="D9913" s="30" t="s">
        <v>2024</v>
      </c>
      <c r="F9913" s="30" t="s">
        <v>2046</v>
      </c>
      <c r="H9913" s="30" t="s">
        <v>2859</v>
      </c>
      <c r="J9913" s="30" t="s">
        <v>3390</v>
      </c>
      <c r="L9913" s="30" t="s">
        <v>3442</v>
      </c>
      <c r="N9913" s="30" t="s">
        <v>16354</v>
      </c>
      <c r="P9913" s="30" t="s">
        <v>16423</v>
      </c>
      <c r="Q9913" t="s">
        <v>621</v>
      </c>
      <c r="R9913" t="s">
        <v>917</v>
      </c>
      <c r="S9913">
        <v>39</v>
      </c>
      <c r="T9913" s="29" t="str">
        <f t="shared" si="420"/>
        <v>2023.001B.Leviviricetes_reorg.zip</v>
      </c>
      <c r="U9913" s="29" t="str">
        <f>HYPERLINK("https://ictv.global/taxonomy/taxondetails?taxnode_id=202317172","ictv.global=202317172")</f>
        <v>ictv.global=202317172</v>
      </c>
    </row>
    <row r="9914" spans="1:21">
      <c r="A9914">
        <v>9913</v>
      </c>
      <c r="B9914" s="30" t="s">
        <v>1226</v>
      </c>
      <c r="D9914" s="30" t="s">
        <v>2024</v>
      </c>
      <c r="F9914" s="30" t="s">
        <v>2046</v>
      </c>
      <c r="H9914" s="30" t="s">
        <v>2859</v>
      </c>
      <c r="J9914" s="30" t="s">
        <v>3390</v>
      </c>
      <c r="L9914" s="30" t="s">
        <v>3442</v>
      </c>
      <c r="N9914" s="30" t="s">
        <v>16354</v>
      </c>
      <c r="P9914" s="30" t="s">
        <v>16424</v>
      </c>
      <c r="Q9914" t="s">
        <v>621</v>
      </c>
      <c r="R9914" t="s">
        <v>917</v>
      </c>
      <c r="S9914">
        <v>39</v>
      </c>
      <c r="T9914" s="29" t="str">
        <f t="shared" si="420"/>
        <v>2023.001B.Leviviricetes_reorg.zip</v>
      </c>
      <c r="U9914" s="29" t="str">
        <f>HYPERLINK("https://ictv.global/taxonomy/taxondetails?taxnode_id=202317173","ictv.global=202317173")</f>
        <v>ictv.global=202317173</v>
      </c>
    </row>
    <row r="9915" spans="1:21">
      <c r="A9915">
        <v>9914</v>
      </c>
      <c r="B9915" s="30" t="s">
        <v>1226</v>
      </c>
      <c r="D9915" s="30" t="s">
        <v>2024</v>
      </c>
      <c r="F9915" s="30" t="s">
        <v>2046</v>
      </c>
      <c r="H9915" s="30" t="s">
        <v>2859</v>
      </c>
      <c r="J9915" s="30" t="s">
        <v>3390</v>
      </c>
      <c r="L9915" s="30" t="s">
        <v>3442</v>
      </c>
      <c r="N9915" s="30" t="s">
        <v>16354</v>
      </c>
      <c r="P9915" s="30" t="s">
        <v>16425</v>
      </c>
      <c r="Q9915" t="s">
        <v>621</v>
      </c>
      <c r="R9915" t="s">
        <v>917</v>
      </c>
      <c r="S9915">
        <v>39</v>
      </c>
      <c r="T9915" s="29" t="str">
        <f t="shared" si="420"/>
        <v>2023.001B.Leviviricetes_reorg.zip</v>
      </c>
      <c r="U9915" s="29" t="str">
        <f>HYPERLINK("https://ictv.global/taxonomy/taxondetails?taxnode_id=202317174","ictv.global=202317174")</f>
        <v>ictv.global=202317174</v>
      </c>
    </row>
    <row r="9916" spans="1:21">
      <c r="A9916">
        <v>9915</v>
      </c>
      <c r="B9916" s="30" t="s">
        <v>1226</v>
      </c>
      <c r="D9916" s="30" t="s">
        <v>2024</v>
      </c>
      <c r="F9916" s="30" t="s">
        <v>2046</v>
      </c>
      <c r="H9916" s="30" t="s">
        <v>2859</v>
      </c>
      <c r="J9916" s="30" t="s">
        <v>3390</v>
      </c>
      <c r="L9916" s="30" t="s">
        <v>3442</v>
      </c>
      <c r="N9916" s="30" t="s">
        <v>16354</v>
      </c>
      <c r="P9916" s="30" t="s">
        <v>16426</v>
      </c>
      <c r="Q9916" t="s">
        <v>621</v>
      </c>
      <c r="R9916" t="s">
        <v>917</v>
      </c>
      <c r="S9916">
        <v>39</v>
      </c>
      <c r="T9916" s="29" t="str">
        <f t="shared" si="420"/>
        <v>2023.001B.Leviviricetes_reorg.zip</v>
      </c>
      <c r="U9916" s="29" t="str">
        <f>HYPERLINK("https://ictv.global/taxonomy/taxondetails?taxnode_id=202317175","ictv.global=202317175")</f>
        <v>ictv.global=202317175</v>
      </c>
    </row>
    <row r="9917" spans="1:21">
      <c r="A9917">
        <v>9916</v>
      </c>
      <c r="B9917" s="30" t="s">
        <v>1226</v>
      </c>
      <c r="D9917" s="30" t="s">
        <v>2024</v>
      </c>
      <c r="F9917" s="30" t="s">
        <v>2046</v>
      </c>
      <c r="H9917" s="30" t="s">
        <v>2859</v>
      </c>
      <c r="J9917" s="30" t="s">
        <v>3390</v>
      </c>
      <c r="L9917" s="30" t="s">
        <v>3442</v>
      </c>
      <c r="N9917" s="30" t="s">
        <v>16354</v>
      </c>
      <c r="P9917" s="30" t="s">
        <v>16427</v>
      </c>
      <c r="Q9917" t="s">
        <v>621</v>
      </c>
      <c r="R9917" t="s">
        <v>917</v>
      </c>
      <c r="S9917">
        <v>39</v>
      </c>
      <c r="T9917" s="29" t="str">
        <f t="shared" si="420"/>
        <v>2023.001B.Leviviricetes_reorg.zip</v>
      </c>
      <c r="U9917" s="29" t="str">
        <f>HYPERLINK("https://ictv.global/taxonomy/taxondetails?taxnode_id=202317176","ictv.global=202317176")</f>
        <v>ictv.global=202317176</v>
      </c>
    </row>
    <row r="9918" spans="1:21">
      <c r="A9918">
        <v>9917</v>
      </c>
      <c r="B9918" s="30" t="s">
        <v>1226</v>
      </c>
      <c r="D9918" s="30" t="s">
        <v>2024</v>
      </c>
      <c r="F9918" s="30" t="s">
        <v>2046</v>
      </c>
      <c r="H9918" s="30" t="s">
        <v>2859</v>
      </c>
      <c r="J9918" s="30" t="s">
        <v>3390</v>
      </c>
      <c r="L9918" s="30" t="s">
        <v>3442</v>
      </c>
      <c r="N9918" s="30" t="s">
        <v>16354</v>
      </c>
      <c r="P9918" s="30" t="s">
        <v>16428</v>
      </c>
      <c r="Q9918" t="s">
        <v>621</v>
      </c>
      <c r="R9918" t="s">
        <v>917</v>
      </c>
      <c r="S9918">
        <v>39</v>
      </c>
      <c r="T9918" s="29" t="str">
        <f t="shared" si="420"/>
        <v>2023.001B.Leviviricetes_reorg.zip</v>
      </c>
      <c r="U9918" s="29" t="str">
        <f>HYPERLINK("https://ictv.global/taxonomy/taxondetails?taxnode_id=202317177","ictv.global=202317177")</f>
        <v>ictv.global=202317177</v>
      </c>
    </row>
    <row r="9919" spans="1:21">
      <c r="A9919">
        <v>9918</v>
      </c>
      <c r="B9919" s="30" t="s">
        <v>1226</v>
      </c>
      <c r="D9919" s="30" t="s">
        <v>2024</v>
      </c>
      <c r="F9919" s="30" t="s">
        <v>2046</v>
      </c>
      <c r="H9919" s="30" t="s">
        <v>2859</v>
      </c>
      <c r="J9919" s="30" t="s">
        <v>3390</v>
      </c>
      <c r="L9919" s="30" t="s">
        <v>3442</v>
      </c>
      <c r="N9919" s="30" t="s">
        <v>16354</v>
      </c>
      <c r="P9919" s="30" t="s">
        <v>16429</v>
      </c>
      <c r="Q9919" t="s">
        <v>621</v>
      </c>
      <c r="R9919" t="s">
        <v>917</v>
      </c>
      <c r="S9919">
        <v>39</v>
      </c>
      <c r="T9919" s="29" t="str">
        <f t="shared" si="420"/>
        <v>2023.001B.Leviviricetes_reorg.zip</v>
      </c>
      <c r="U9919" s="29" t="str">
        <f>HYPERLINK("https://ictv.global/taxonomy/taxondetails?taxnode_id=202317178","ictv.global=202317178")</f>
        <v>ictv.global=202317178</v>
      </c>
    </row>
    <row r="9920" spans="1:21">
      <c r="A9920">
        <v>9919</v>
      </c>
      <c r="B9920" s="30" t="s">
        <v>1226</v>
      </c>
      <c r="D9920" s="30" t="s">
        <v>2024</v>
      </c>
      <c r="F9920" s="30" t="s">
        <v>2046</v>
      </c>
      <c r="H9920" s="30" t="s">
        <v>2859</v>
      </c>
      <c r="J9920" s="30" t="s">
        <v>3390</v>
      </c>
      <c r="L9920" s="30" t="s">
        <v>3442</v>
      </c>
      <c r="N9920" s="30" t="s">
        <v>16354</v>
      </c>
      <c r="P9920" s="30" t="s">
        <v>16430</v>
      </c>
      <c r="Q9920" t="s">
        <v>621</v>
      </c>
      <c r="R9920" t="s">
        <v>917</v>
      </c>
      <c r="S9920">
        <v>39</v>
      </c>
      <c r="T9920" s="29" t="str">
        <f t="shared" si="420"/>
        <v>2023.001B.Leviviricetes_reorg.zip</v>
      </c>
      <c r="U9920" s="29" t="str">
        <f>HYPERLINK("https://ictv.global/taxonomy/taxondetails?taxnode_id=202317179","ictv.global=202317179")</f>
        <v>ictv.global=202317179</v>
      </c>
    </row>
    <row r="9921" spans="1:21">
      <c r="A9921">
        <v>9920</v>
      </c>
      <c r="B9921" s="30" t="s">
        <v>1226</v>
      </c>
      <c r="D9921" s="30" t="s">
        <v>2024</v>
      </c>
      <c r="F9921" s="30" t="s">
        <v>2046</v>
      </c>
      <c r="H9921" s="30" t="s">
        <v>2859</v>
      </c>
      <c r="J9921" s="30" t="s">
        <v>3390</v>
      </c>
      <c r="L9921" s="30" t="s">
        <v>3442</v>
      </c>
      <c r="N9921" s="30" t="s">
        <v>16354</v>
      </c>
      <c r="P9921" s="30" t="s">
        <v>16431</v>
      </c>
      <c r="Q9921" t="s">
        <v>621</v>
      </c>
      <c r="R9921" t="s">
        <v>917</v>
      </c>
      <c r="S9921">
        <v>39</v>
      </c>
      <c r="T9921" s="29" t="str">
        <f t="shared" si="420"/>
        <v>2023.001B.Leviviricetes_reorg.zip</v>
      </c>
      <c r="U9921" s="29" t="str">
        <f>HYPERLINK("https://ictv.global/taxonomy/taxondetails?taxnode_id=202317180","ictv.global=202317180")</f>
        <v>ictv.global=202317180</v>
      </c>
    </row>
    <row r="9922" spans="1:21">
      <c r="A9922">
        <v>9921</v>
      </c>
      <c r="B9922" s="30" t="s">
        <v>1226</v>
      </c>
      <c r="D9922" s="30" t="s">
        <v>2024</v>
      </c>
      <c r="F9922" s="30" t="s">
        <v>2046</v>
      </c>
      <c r="H9922" s="30" t="s">
        <v>2859</v>
      </c>
      <c r="J9922" s="30" t="s">
        <v>3390</v>
      </c>
      <c r="L9922" s="30" t="s">
        <v>3442</v>
      </c>
      <c r="N9922" s="30" t="s">
        <v>16354</v>
      </c>
      <c r="P9922" s="30" t="s">
        <v>16432</v>
      </c>
      <c r="Q9922" t="s">
        <v>621</v>
      </c>
      <c r="R9922" t="s">
        <v>917</v>
      </c>
      <c r="S9922">
        <v>39</v>
      </c>
      <c r="T9922" s="29" t="str">
        <f t="shared" si="420"/>
        <v>2023.001B.Leviviricetes_reorg.zip</v>
      </c>
      <c r="U9922" s="29" t="str">
        <f>HYPERLINK("https://ictv.global/taxonomy/taxondetails?taxnode_id=202317181","ictv.global=202317181")</f>
        <v>ictv.global=202317181</v>
      </c>
    </row>
    <row r="9923" spans="1:21">
      <c r="A9923">
        <v>9922</v>
      </c>
      <c r="B9923" s="30" t="s">
        <v>1226</v>
      </c>
      <c r="D9923" s="30" t="s">
        <v>2024</v>
      </c>
      <c r="F9923" s="30" t="s">
        <v>2046</v>
      </c>
      <c r="H9923" s="30" t="s">
        <v>2859</v>
      </c>
      <c r="J9923" s="30" t="s">
        <v>3390</v>
      </c>
      <c r="L9923" s="30" t="s">
        <v>3442</v>
      </c>
      <c r="N9923" s="30" t="s">
        <v>16354</v>
      </c>
      <c r="P9923" s="30" t="s">
        <v>16433</v>
      </c>
      <c r="Q9923" t="s">
        <v>621</v>
      </c>
      <c r="R9923" t="s">
        <v>917</v>
      </c>
      <c r="S9923">
        <v>39</v>
      </c>
      <c r="T9923" s="29" t="str">
        <f t="shared" si="420"/>
        <v>2023.001B.Leviviricetes_reorg.zip</v>
      </c>
      <c r="U9923" s="29" t="str">
        <f>HYPERLINK("https://ictv.global/taxonomy/taxondetails?taxnode_id=202317182","ictv.global=202317182")</f>
        <v>ictv.global=202317182</v>
      </c>
    </row>
    <row r="9924" spans="1:21">
      <c r="A9924">
        <v>9923</v>
      </c>
      <c r="B9924" s="30" t="s">
        <v>1226</v>
      </c>
      <c r="D9924" s="30" t="s">
        <v>2024</v>
      </c>
      <c r="F9924" s="30" t="s">
        <v>2046</v>
      </c>
      <c r="H9924" s="30" t="s">
        <v>2859</v>
      </c>
      <c r="J9924" s="30" t="s">
        <v>3390</v>
      </c>
      <c r="L9924" s="30" t="s">
        <v>3442</v>
      </c>
      <c r="N9924" s="30" t="s">
        <v>16354</v>
      </c>
      <c r="P9924" s="30" t="s">
        <v>16434</v>
      </c>
      <c r="Q9924" t="s">
        <v>621</v>
      </c>
      <c r="R9924" t="s">
        <v>917</v>
      </c>
      <c r="S9924">
        <v>39</v>
      </c>
      <c r="T9924" s="29" t="str">
        <f t="shared" si="420"/>
        <v>2023.001B.Leviviricetes_reorg.zip</v>
      </c>
      <c r="U9924" s="29" t="str">
        <f>HYPERLINK("https://ictv.global/taxonomy/taxondetails?taxnode_id=202317183","ictv.global=202317183")</f>
        <v>ictv.global=202317183</v>
      </c>
    </row>
    <row r="9925" spans="1:21">
      <c r="A9925">
        <v>9924</v>
      </c>
      <c r="B9925" s="30" t="s">
        <v>1226</v>
      </c>
      <c r="D9925" s="30" t="s">
        <v>2024</v>
      </c>
      <c r="F9925" s="30" t="s">
        <v>2046</v>
      </c>
      <c r="H9925" s="30" t="s">
        <v>2859</v>
      </c>
      <c r="J9925" s="30" t="s">
        <v>3390</v>
      </c>
      <c r="L9925" s="30" t="s">
        <v>3442</v>
      </c>
      <c r="N9925" s="30" t="s">
        <v>16354</v>
      </c>
      <c r="P9925" s="30" t="s">
        <v>16435</v>
      </c>
      <c r="Q9925" t="s">
        <v>621</v>
      </c>
      <c r="R9925" t="s">
        <v>917</v>
      </c>
      <c r="S9925">
        <v>39</v>
      </c>
      <c r="T9925" s="29" t="str">
        <f t="shared" si="420"/>
        <v>2023.001B.Leviviricetes_reorg.zip</v>
      </c>
      <c r="U9925" s="29" t="str">
        <f>HYPERLINK("https://ictv.global/taxonomy/taxondetails?taxnode_id=202317184","ictv.global=202317184")</f>
        <v>ictv.global=202317184</v>
      </c>
    </row>
    <row r="9926" spans="1:21">
      <c r="A9926">
        <v>9925</v>
      </c>
      <c r="B9926" s="30" t="s">
        <v>1226</v>
      </c>
      <c r="D9926" s="30" t="s">
        <v>2024</v>
      </c>
      <c r="F9926" s="30" t="s">
        <v>2046</v>
      </c>
      <c r="H9926" s="30" t="s">
        <v>2859</v>
      </c>
      <c r="J9926" s="30" t="s">
        <v>3390</v>
      </c>
      <c r="L9926" s="30" t="s">
        <v>3442</v>
      </c>
      <c r="N9926" s="30" t="s">
        <v>16354</v>
      </c>
      <c r="P9926" s="30" t="s">
        <v>16436</v>
      </c>
      <c r="Q9926" t="s">
        <v>621</v>
      </c>
      <c r="R9926" t="s">
        <v>917</v>
      </c>
      <c r="S9926">
        <v>39</v>
      </c>
      <c r="T9926" s="29" t="str">
        <f t="shared" si="420"/>
        <v>2023.001B.Leviviricetes_reorg.zip</v>
      </c>
      <c r="U9926" s="29" t="str">
        <f>HYPERLINK("https://ictv.global/taxonomy/taxondetails?taxnode_id=202317185","ictv.global=202317185")</f>
        <v>ictv.global=202317185</v>
      </c>
    </row>
    <row r="9927" spans="1:21">
      <c r="A9927">
        <v>9926</v>
      </c>
      <c r="B9927" s="30" t="s">
        <v>1226</v>
      </c>
      <c r="D9927" s="30" t="s">
        <v>2024</v>
      </c>
      <c r="F9927" s="30" t="s">
        <v>2046</v>
      </c>
      <c r="H9927" s="30" t="s">
        <v>2859</v>
      </c>
      <c r="J9927" s="30" t="s">
        <v>3390</v>
      </c>
      <c r="L9927" s="30" t="s">
        <v>3442</v>
      </c>
      <c r="N9927" s="30" t="s">
        <v>16354</v>
      </c>
      <c r="P9927" s="30" t="s">
        <v>16437</v>
      </c>
      <c r="Q9927" t="s">
        <v>621</v>
      </c>
      <c r="R9927" t="s">
        <v>917</v>
      </c>
      <c r="S9927">
        <v>39</v>
      </c>
      <c r="T9927" s="29" t="str">
        <f t="shared" si="420"/>
        <v>2023.001B.Leviviricetes_reorg.zip</v>
      </c>
      <c r="U9927" s="29" t="str">
        <f>HYPERLINK("https://ictv.global/taxonomy/taxondetails?taxnode_id=202317186","ictv.global=202317186")</f>
        <v>ictv.global=202317186</v>
      </c>
    </row>
    <row r="9928" spans="1:21">
      <c r="A9928">
        <v>9927</v>
      </c>
      <c r="B9928" s="30" t="s">
        <v>1226</v>
      </c>
      <c r="D9928" s="30" t="s">
        <v>2024</v>
      </c>
      <c r="F9928" s="30" t="s">
        <v>2046</v>
      </c>
      <c r="H9928" s="30" t="s">
        <v>2859</v>
      </c>
      <c r="J9928" s="30" t="s">
        <v>3390</v>
      </c>
      <c r="L9928" s="30" t="s">
        <v>3442</v>
      </c>
      <c r="N9928" s="30" t="s">
        <v>16354</v>
      </c>
      <c r="P9928" s="30" t="s">
        <v>16438</v>
      </c>
      <c r="Q9928" t="s">
        <v>621</v>
      </c>
      <c r="R9928" t="s">
        <v>917</v>
      </c>
      <c r="S9928">
        <v>39</v>
      </c>
      <c r="T9928" s="29" t="str">
        <f t="shared" si="420"/>
        <v>2023.001B.Leviviricetes_reorg.zip</v>
      </c>
      <c r="U9928" s="29" t="str">
        <f>HYPERLINK("https://ictv.global/taxonomy/taxondetails?taxnode_id=202317187","ictv.global=202317187")</f>
        <v>ictv.global=202317187</v>
      </c>
    </row>
    <row r="9929" spans="1:21">
      <c r="A9929">
        <v>9928</v>
      </c>
      <c r="B9929" s="30" t="s">
        <v>1226</v>
      </c>
      <c r="D9929" s="30" t="s">
        <v>2024</v>
      </c>
      <c r="F9929" s="30" t="s">
        <v>2046</v>
      </c>
      <c r="H9929" s="30" t="s">
        <v>2859</v>
      </c>
      <c r="J9929" s="30" t="s">
        <v>3390</v>
      </c>
      <c r="L9929" s="30" t="s">
        <v>3442</v>
      </c>
      <c r="N9929" s="30" t="s">
        <v>16354</v>
      </c>
      <c r="P9929" s="30" t="s">
        <v>16439</v>
      </c>
      <c r="Q9929" t="s">
        <v>621</v>
      </c>
      <c r="R9929" t="s">
        <v>917</v>
      </c>
      <c r="S9929">
        <v>39</v>
      </c>
      <c r="T9929" s="29" t="str">
        <f t="shared" si="420"/>
        <v>2023.001B.Leviviricetes_reorg.zip</v>
      </c>
      <c r="U9929" s="29" t="str">
        <f>HYPERLINK("https://ictv.global/taxonomy/taxondetails?taxnode_id=202317188","ictv.global=202317188")</f>
        <v>ictv.global=202317188</v>
      </c>
    </row>
    <row r="9930" spans="1:21">
      <c r="A9930">
        <v>9929</v>
      </c>
      <c r="B9930" s="30" t="s">
        <v>1226</v>
      </c>
      <c r="D9930" s="30" t="s">
        <v>2024</v>
      </c>
      <c r="F9930" s="30" t="s">
        <v>2046</v>
      </c>
      <c r="H9930" s="30" t="s">
        <v>2859</v>
      </c>
      <c r="J9930" s="30" t="s">
        <v>3390</v>
      </c>
      <c r="L9930" s="30" t="s">
        <v>3442</v>
      </c>
      <c r="N9930" s="30" t="s">
        <v>16354</v>
      </c>
      <c r="P9930" s="30" t="s">
        <v>16440</v>
      </c>
      <c r="Q9930" t="s">
        <v>621</v>
      </c>
      <c r="R9930" t="s">
        <v>917</v>
      </c>
      <c r="S9930">
        <v>39</v>
      </c>
      <c r="T9930" s="29" t="str">
        <f t="shared" ref="T9930:T9993" si="421">HYPERLINK("https://ictv.global/ictv/proposals/2023.001B.Leviviricetes_reorg.zip","2023.001B.Leviviricetes_reorg.zip")</f>
        <v>2023.001B.Leviviricetes_reorg.zip</v>
      </c>
      <c r="U9930" s="29" t="str">
        <f>HYPERLINK("https://ictv.global/taxonomy/taxondetails?taxnode_id=202317189","ictv.global=202317189")</f>
        <v>ictv.global=202317189</v>
      </c>
    </row>
    <row r="9931" spans="1:21">
      <c r="A9931">
        <v>9930</v>
      </c>
      <c r="B9931" s="30" t="s">
        <v>1226</v>
      </c>
      <c r="D9931" s="30" t="s">
        <v>2024</v>
      </c>
      <c r="F9931" s="30" t="s">
        <v>2046</v>
      </c>
      <c r="H9931" s="30" t="s">
        <v>2859</v>
      </c>
      <c r="J9931" s="30" t="s">
        <v>3390</v>
      </c>
      <c r="L9931" s="30" t="s">
        <v>3442</v>
      </c>
      <c r="N9931" s="30" t="s">
        <v>16354</v>
      </c>
      <c r="P9931" s="30" t="s">
        <v>16441</v>
      </c>
      <c r="Q9931" t="s">
        <v>621</v>
      </c>
      <c r="R9931" t="s">
        <v>917</v>
      </c>
      <c r="S9931">
        <v>39</v>
      </c>
      <c r="T9931" s="29" t="str">
        <f t="shared" si="421"/>
        <v>2023.001B.Leviviricetes_reorg.zip</v>
      </c>
      <c r="U9931" s="29" t="str">
        <f>HYPERLINK("https://ictv.global/taxonomy/taxondetails?taxnode_id=202317190","ictv.global=202317190")</f>
        <v>ictv.global=202317190</v>
      </c>
    </row>
    <row r="9932" spans="1:21">
      <c r="A9932">
        <v>9931</v>
      </c>
      <c r="B9932" s="30" t="s">
        <v>1226</v>
      </c>
      <c r="D9932" s="30" t="s">
        <v>2024</v>
      </c>
      <c r="F9932" s="30" t="s">
        <v>2046</v>
      </c>
      <c r="H9932" s="30" t="s">
        <v>2859</v>
      </c>
      <c r="J9932" s="30" t="s">
        <v>3390</v>
      </c>
      <c r="L9932" s="30" t="s">
        <v>3442</v>
      </c>
      <c r="N9932" s="30" t="s">
        <v>16354</v>
      </c>
      <c r="P9932" s="30" t="s">
        <v>16442</v>
      </c>
      <c r="Q9932" t="s">
        <v>621</v>
      </c>
      <c r="R9932" t="s">
        <v>917</v>
      </c>
      <c r="S9932">
        <v>39</v>
      </c>
      <c r="T9932" s="29" t="str">
        <f t="shared" si="421"/>
        <v>2023.001B.Leviviricetes_reorg.zip</v>
      </c>
      <c r="U9932" s="29" t="str">
        <f>HYPERLINK("https://ictv.global/taxonomy/taxondetails?taxnode_id=202317191","ictv.global=202317191")</f>
        <v>ictv.global=202317191</v>
      </c>
    </row>
    <row r="9933" spans="1:21">
      <c r="A9933">
        <v>9932</v>
      </c>
      <c r="B9933" s="30" t="s">
        <v>1226</v>
      </c>
      <c r="D9933" s="30" t="s">
        <v>2024</v>
      </c>
      <c r="F9933" s="30" t="s">
        <v>2046</v>
      </c>
      <c r="H9933" s="30" t="s">
        <v>2859</v>
      </c>
      <c r="J9933" s="30" t="s">
        <v>3390</v>
      </c>
      <c r="L9933" s="30" t="s">
        <v>3442</v>
      </c>
      <c r="N9933" s="30" t="s">
        <v>16354</v>
      </c>
      <c r="P9933" s="30" t="s">
        <v>16443</v>
      </c>
      <c r="Q9933" t="s">
        <v>621</v>
      </c>
      <c r="R9933" t="s">
        <v>917</v>
      </c>
      <c r="S9933">
        <v>39</v>
      </c>
      <c r="T9933" s="29" t="str">
        <f t="shared" si="421"/>
        <v>2023.001B.Leviviricetes_reorg.zip</v>
      </c>
      <c r="U9933" s="29" t="str">
        <f>HYPERLINK("https://ictv.global/taxonomy/taxondetails?taxnode_id=202317192","ictv.global=202317192")</f>
        <v>ictv.global=202317192</v>
      </c>
    </row>
    <row r="9934" spans="1:21">
      <c r="A9934">
        <v>9933</v>
      </c>
      <c r="B9934" s="30" t="s">
        <v>1226</v>
      </c>
      <c r="D9934" s="30" t="s">
        <v>2024</v>
      </c>
      <c r="F9934" s="30" t="s">
        <v>2046</v>
      </c>
      <c r="H9934" s="30" t="s">
        <v>2859</v>
      </c>
      <c r="J9934" s="30" t="s">
        <v>3390</v>
      </c>
      <c r="L9934" s="30" t="s">
        <v>3442</v>
      </c>
      <c r="N9934" s="30" t="s">
        <v>16354</v>
      </c>
      <c r="P9934" s="30" t="s">
        <v>16444</v>
      </c>
      <c r="Q9934" t="s">
        <v>621</v>
      </c>
      <c r="R9934" t="s">
        <v>917</v>
      </c>
      <c r="S9934">
        <v>39</v>
      </c>
      <c r="T9934" s="29" t="str">
        <f t="shared" si="421"/>
        <v>2023.001B.Leviviricetes_reorg.zip</v>
      </c>
      <c r="U9934" s="29" t="str">
        <f>HYPERLINK("https://ictv.global/taxonomy/taxondetails?taxnode_id=202317193","ictv.global=202317193")</f>
        <v>ictv.global=202317193</v>
      </c>
    </row>
    <row r="9935" spans="1:21">
      <c r="A9935">
        <v>9934</v>
      </c>
      <c r="B9935" s="30" t="s">
        <v>1226</v>
      </c>
      <c r="D9935" s="30" t="s">
        <v>2024</v>
      </c>
      <c r="F9935" s="30" t="s">
        <v>2046</v>
      </c>
      <c r="H9935" s="30" t="s">
        <v>2859</v>
      </c>
      <c r="J9935" s="30" t="s">
        <v>3390</v>
      </c>
      <c r="L9935" s="30" t="s">
        <v>3442</v>
      </c>
      <c r="N9935" s="30" t="s">
        <v>16354</v>
      </c>
      <c r="P9935" s="30" t="s">
        <v>16445</v>
      </c>
      <c r="Q9935" t="s">
        <v>621</v>
      </c>
      <c r="R9935" t="s">
        <v>917</v>
      </c>
      <c r="S9935">
        <v>39</v>
      </c>
      <c r="T9935" s="29" t="str">
        <f t="shared" si="421"/>
        <v>2023.001B.Leviviricetes_reorg.zip</v>
      </c>
      <c r="U9935" s="29" t="str">
        <f>HYPERLINK("https://ictv.global/taxonomy/taxondetails?taxnode_id=202317194","ictv.global=202317194")</f>
        <v>ictv.global=202317194</v>
      </c>
    </row>
    <row r="9936" spans="1:21">
      <c r="A9936">
        <v>9935</v>
      </c>
      <c r="B9936" s="30" t="s">
        <v>1226</v>
      </c>
      <c r="D9936" s="30" t="s">
        <v>2024</v>
      </c>
      <c r="F9936" s="30" t="s">
        <v>2046</v>
      </c>
      <c r="H9936" s="30" t="s">
        <v>2859</v>
      </c>
      <c r="J9936" s="30" t="s">
        <v>3390</v>
      </c>
      <c r="L9936" s="30" t="s">
        <v>3442</v>
      </c>
      <c r="N9936" s="30" t="s">
        <v>16354</v>
      </c>
      <c r="P9936" s="30" t="s">
        <v>16446</v>
      </c>
      <c r="Q9936" t="s">
        <v>621</v>
      </c>
      <c r="R9936" t="s">
        <v>917</v>
      </c>
      <c r="S9936">
        <v>39</v>
      </c>
      <c r="T9936" s="29" t="str">
        <f t="shared" si="421"/>
        <v>2023.001B.Leviviricetes_reorg.zip</v>
      </c>
      <c r="U9936" s="29" t="str">
        <f>HYPERLINK("https://ictv.global/taxonomy/taxondetails?taxnode_id=202317195","ictv.global=202317195")</f>
        <v>ictv.global=202317195</v>
      </c>
    </row>
    <row r="9937" spans="1:21">
      <c r="A9937">
        <v>9936</v>
      </c>
      <c r="B9937" s="30" t="s">
        <v>1226</v>
      </c>
      <c r="D9937" s="30" t="s">
        <v>2024</v>
      </c>
      <c r="F9937" s="30" t="s">
        <v>2046</v>
      </c>
      <c r="H9937" s="30" t="s">
        <v>2859</v>
      </c>
      <c r="J9937" s="30" t="s">
        <v>3390</v>
      </c>
      <c r="L9937" s="30" t="s">
        <v>3442</v>
      </c>
      <c r="N9937" s="30" t="s">
        <v>16354</v>
      </c>
      <c r="P9937" s="30" t="s">
        <v>16447</v>
      </c>
      <c r="Q9937" t="s">
        <v>621</v>
      </c>
      <c r="R9937" t="s">
        <v>917</v>
      </c>
      <c r="S9937">
        <v>39</v>
      </c>
      <c r="T9937" s="29" t="str">
        <f t="shared" si="421"/>
        <v>2023.001B.Leviviricetes_reorg.zip</v>
      </c>
      <c r="U9937" s="29" t="str">
        <f>HYPERLINK("https://ictv.global/taxonomy/taxondetails?taxnode_id=202317196","ictv.global=202317196")</f>
        <v>ictv.global=202317196</v>
      </c>
    </row>
    <row r="9938" spans="1:21">
      <c r="A9938">
        <v>9937</v>
      </c>
      <c r="B9938" s="30" t="s">
        <v>1226</v>
      </c>
      <c r="D9938" s="30" t="s">
        <v>2024</v>
      </c>
      <c r="F9938" s="30" t="s">
        <v>2046</v>
      </c>
      <c r="H9938" s="30" t="s">
        <v>2859</v>
      </c>
      <c r="J9938" s="30" t="s">
        <v>3390</v>
      </c>
      <c r="L9938" s="30" t="s">
        <v>3442</v>
      </c>
      <c r="N9938" s="30" t="s">
        <v>16354</v>
      </c>
      <c r="P9938" s="30" t="s">
        <v>16448</v>
      </c>
      <c r="Q9938" t="s">
        <v>621</v>
      </c>
      <c r="R9938" t="s">
        <v>917</v>
      </c>
      <c r="S9938">
        <v>39</v>
      </c>
      <c r="T9938" s="29" t="str">
        <f t="shared" si="421"/>
        <v>2023.001B.Leviviricetes_reorg.zip</v>
      </c>
      <c r="U9938" s="29" t="str">
        <f>HYPERLINK("https://ictv.global/taxonomy/taxondetails?taxnode_id=202317197","ictv.global=202317197")</f>
        <v>ictv.global=202317197</v>
      </c>
    </row>
    <row r="9939" spans="1:21">
      <c r="A9939">
        <v>9938</v>
      </c>
      <c r="B9939" s="30" t="s">
        <v>1226</v>
      </c>
      <c r="D9939" s="30" t="s">
        <v>2024</v>
      </c>
      <c r="F9939" s="30" t="s">
        <v>2046</v>
      </c>
      <c r="H9939" s="30" t="s">
        <v>2859</v>
      </c>
      <c r="J9939" s="30" t="s">
        <v>3390</v>
      </c>
      <c r="L9939" s="30" t="s">
        <v>3442</v>
      </c>
      <c r="N9939" s="30" t="s">
        <v>16354</v>
      </c>
      <c r="P9939" s="30" t="s">
        <v>16449</v>
      </c>
      <c r="Q9939" t="s">
        <v>621</v>
      </c>
      <c r="R9939" t="s">
        <v>917</v>
      </c>
      <c r="S9939">
        <v>39</v>
      </c>
      <c r="T9939" s="29" t="str">
        <f t="shared" si="421"/>
        <v>2023.001B.Leviviricetes_reorg.zip</v>
      </c>
      <c r="U9939" s="29" t="str">
        <f>HYPERLINK("https://ictv.global/taxonomy/taxondetails?taxnode_id=202317198","ictv.global=202317198")</f>
        <v>ictv.global=202317198</v>
      </c>
    </row>
    <row r="9940" spans="1:21">
      <c r="A9940">
        <v>9939</v>
      </c>
      <c r="B9940" s="30" t="s">
        <v>1226</v>
      </c>
      <c r="D9940" s="30" t="s">
        <v>2024</v>
      </c>
      <c r="F9940" s="30" t="s">
        <v>2046</v>
      </c>
      <c r="H9940" s="30" t="s">
        <v>2859</v>
      </c>
      <c r="J9940" s="30" t="s">
        <v>3390</v>
      </c>
      <c r="L9940" s="30" t="s">
        <v>3442</v>
      </c>
      <c r="N9940" s="30" t="s">
        <v>16354</v>
      </c>
      <c r="P9940" s="30" t="s">
        <v>16450</v>
      </c>
      <c r="Q9940" t="s">
        <v>621</v>
      </c>
      <c r="R9940" t="s">
        <v>917</v>
      </c>
      <c r="S9940">
        <v>39</v>
      </c>
      <c r="T9940" s="29" t="str">
        <f t="shared" si="421"/>
        <v>2023.001B.Leviviricetes_reorg.zip</v>
      </c>
      <c r="U9940" s="29" t="str">
        <f>HYPERLINK("https://ictv.global/taxonomy/taxondetails?taxnode_id=202317199","ictv.global=202317199")</f>
        <v>ictv.global=202317199</v>
      </c>
    </row>
    <row r="9941" spans="1:21">
      <c r="A9941">
        <v>9940</v>
      </c>
      <c r="B9941" s="30" t="s">
        <v>1226</v>
      </c>
      <c r="D9941" s="30" t="s">
        <v>2024</v>
      </c>
      <c r="F9941" s="30" t="s">
        <v>2046</v>
      </c>
      <c r="H9941" s="30" t="s">
        <v>2859</v>
      </c>
      <c r="J9941" s="30" t="s">
        <v>3390</v>
      </c>
      <c r="L9941" s="30" t="s">
        <v>3442</v>
      </c>
      <c r="N9941" s="30" t="s">
        <v>16354</v>
      </c>
      <c r="P9941" s="30" t="s">
        <v>16451</v>
      </c>
      <c r="Q9941" t="s">
        <v>621</v>
      </c>
      <c r="R9941" t="s">
        <v>917</v>
      </c>
      <c r="S9941">
        <v>39</v>
      </c>
      <c r="T9941" s="29" t="str">
        <f t="shared" si="421"/>
        <v>2023.001B.Leviviricetes_reorg.zip</v>
      </c>
      <c r="U9941" s="29" t="str">
        <f>HYPERLINK("https://ictv.global/taxonomy/taxondetails?taxnode_id=202317200","ictv.global=202317200")</f>
        <v>ictv.global=202317200</v>
      </c>
    </row>
    <row r="9942" spans="1:21">
      <c r="A9942">
        <v>9941</v>
      </c>
      <c r="B9942" s="30" t="s">
        <v>1226</v>
      </c>
      <c r="D9942" s="30" t="s">
        <v>2024</v>
      </c>
      <c r="F9942" s="30" t="s">
        <v>2046</v>
      </c>
      <c r="H9942" s="30" t="s">
        <v>2859</v>
      </c>
      <c r="J9942" s="30" t="s">
        <v>3390</v>
      </c>
      <c r="L9942" s="30" t="s">
        <v>3442</v>
      </c>
      <c r="N9942" s="30" t="s">
        <v>16354</v>
      </c>
      <c r="P9942" s="30" t="s">
        <v>16452</v>
      </c>
      <c r="Q9942" t="s">
        <v>621</v>
      </c>
      <c r="R9942" t="s">
        <v>917</v>
      </c>
      <c r="S9942">
        <v>39</v>
      </c>
      <c r="T9942" s="29" t="str">
        <f t="shared" si="421"/>
        <v>2023.001B.Leviviricetes_reorg.zip</v>
      </c>
      <c r="U9942" s="29" t="str">
        <f>HYPERLINK("https://ictv.global/taxonomy/taxondetails?taxnode_id=202317201","ictv.global=202317201")</f>
        <v>ictv.global=202317201</v>
      </c>
    </row>
    <row r="9943" spans="1:21">
      <c r="A9943">
        <v>9942</v>
      </c>
      <c r="B9943" s="30" t="s">
        <v>1226</v>
      </c>
      <c r="D9943" s="30" t="s">
        <v>2024</v>
      </c>
      <c r="F9943" s="30" t="s">
        <v>2046</v>
      </c>
      <c r="H9943" s="30" t="s">
        <v>2859</v>
      </c>
      <c r="J9943" s="30" t="s">
        <v>3390</v>
      </c>
      <c r="L9943" s="30" t="s">
        <v>3442</v>
      </c>
      <c r="N9943" s="30" t="s">
        <v>16354</v>
      </c>
      <c r="P9943" s="30" t="s">
        <v>16453</v>
      </c>
      <c r="Q9943" t="s">
        <v>621</v>
      </c>
      <c r="R9943" t="s">
        <v>917</v>
      </c>
      <c r="S9943">
        <v>39</v>
      </c>
      <c r="T9943" s="29" t="str">
        <f t="shared" si="421"/>
        <v>2023.001B.Leviviricetes_reorg.zip</v>
      </c>
      <c r="U9943" s="29" t="str">
        <f>HYPERLINK("https://ictv.global/taxonomy/taxondetails?taxnode_id=202317202","ictv.global=202317202")</f>
        <v>ictv.global=202317202</v>
      </c>
    </row>
    <row r="9944" spans="1:21">
      <c r="A9944">
        <v>9943</v>
      </c>
      <c r="B9944" s="30" t="s">
        <v>1226</v>
      </c>
      <c r="D9944" s="30" t="s">
        <v>2024</v>
      </c>
      <c r="F9944" s="30" t="s">
        <v>2046</v>
      </c>
      <c r="H9944" s="30" t="s">
        <v>2859</v>
      </c>
      <c r="J9944" s="30" t="s">
        <v>3390</v>
      </c>
      <c r="L9944" s="30" t="s">
        <v>3442</v>
      </c>
      <c r="N9944" s="30" t="s">
        <v>16354</v>
      </c>
      <c r="P9944" s="30" t="s">
        <v>16454</v>
      </c>
      <c r="Q9944" t="s">
        <v>621</v>
      </c>
      <c r="R9944" t="s">
        <v>917</v>
      </c>
      <c r="S9944">
        <v>39</v>
      </c>
      <c r="T9944" s="29" t="str">
        <f t="shared" si="421"/>
        <v>2023.001B.Leviviricetes_reorg.zip</v>
      </c>
      <c r="U9944" s="29" t="str">
        <f>HYPERLINK("https://ictv.global/taxonomy/taxondetails?taxnode_id=202317203","ictv.global=202317203")</f>
        <v>ictv.global=202317203</v>
      </c>
    </row>
    <row r="9945" spans="1:21">
      <c r="A9945">
        <v>9944</v>
      </c>
      <c r="B9945" s="30" t="s">
        <v>1226</v>
      </c>
      <c r="D9945" s="30" t="s">
        <v>2024</v>
      </c>
      <c r="F9945" s="30" t="s">
        <v>2046</v>
      </c>
      <c r="H9945" s="30" t="s">
        <v>2859</v>
      </c>
      <c r="J9945" s="30" t="s">
        <v>3390</v>
      </c>
      <c r="L9945" s="30" t="s">
        <v>3442</v>
      </c>
      <c r="N9945" s="30" t="s">
        <v>16354</v>
      </c>
      <c r="P9945" s="30" t="s">
        <v>16455</v>
      </c>
      <c r="Q9945" t="s">
        <v>621</v>
      </c>
      <c r="R9945" t="s">
        <v>917</v>
      </c>
      <c r="S9945">
        <v>39</v>
      </c>
      <c r="T9945" s="29" t="str">
        <f t="shared" si="421"/>
        <v>2023.001B.Leviviricetes_reorg.zip</v>
      </c>
      <c r="U9945" s="29" t="str">
        <f>HYPERLINK("https://ictv.global/taxonomy/taxondetails?taxnode_id=202317204","ictv.global=202317204")</f>
        <v>ictv.global=202317204</v>
      </c>
    </row>
    <row r="9946" spans="1:21">
      <c r="A9946">
        <v>9945</v>
      </c>
      <c r="B9946" s="30" t="s">
        <v>1226</v>
      </c>
      <c r="D9946" s="30" t="s">
        <v>2024</v>
      </c>
      <c r="F9946" s="30" t="s">
        <v>2046</v>
      </c>
      <c r="H9946" s="30" t="s">
        <v>2859</v>
      </c>
      <c r="J9946" s="30" t="s">
        <v>3390</v>
      </c>
      <c r="L9946" s="30" t="s">
        <v>3442</v>
      </c>
      <c r="N9946" s="30" t="s">
        <v>16354</v>
      </c>
      <c r="P9946" s="30" t="s">
        <v>16456</v>
      </c>
      <c r="Q9946" t="s">
        <v>621</v>
      </c>
      <c r="R9946" t="s">
        <v>917</v>
      </c>
      <c r="S9946">
        <v>39</v>
      </c>
      <c r="T9946" s="29" t="str">
        <f t="shared" si="421"/>
        <v>2023.001B.Leviviricetes_reorg.zip</v>
      </c>
      <c r="U9946" s="29" t="str">
        <f>HYPERLINK("https://ictv.global/taxonomy/taxondetails?taxnode_id=202317205","ictv.global=202317205")</f>
        <v>ictv.global=202317205</v>
      </c>
    </row>
    <row r="9947" spans="1:21">
      <c r="A9947">
        <v>9946</v>
      </c>
      <c r="B9947" s="30" t="s">
        <v>1226</v>
      </c>
      <c r="D9947" s="30" t="s">
        <v>2024</v>
      </c>
      <c r="F9947" s="30" t="s">
        <v>2046</v>
      </c>
      <c r="H9947" s="30" t="s">
        <v>2859</v>
      </c>
      <c r="J9947" s="30" t="s">
        <v>3390</v>
      </c>
      <c r="L9947" s="30" t="s">
        <v>3442</v>
      </c>
      <c r="N9947" s="30" t="s">
        <v>16354</v>
      </c>
      <c r="P9947" s="30" t="s">
        <v>16457</v>
      </c>
      <c r="Q9947" t="s">
        <v>621</v>
      </c>
      <c r="R9947" t="s">
        <v>917</v>
      </c>
      <c r="S9947">
        <v>39</v>
      </c>
      <c r="T9947" s="29" t="str">
        <f t="shared" si="421"/>
        <v>2023.001B.Leviviricetes_reorg.zip</v>
      </c>
      <c r="U9947" s="29" t="str">
        <f>HYPERLINK("https://ictv.global/taxonomy/taxondetails?taxnode_id=202317206","ictv.global=202317206")</f>
        <v>ictv.global=202317206</v>
      </c>
    </row>
    <row r="9948" spans="1:21">
      <c r="A9948">
        <v>9947</v>
      </c>
      <c r="B9948" s="30" t="s">
        <v>1226</v>
      </c>
      <c r="D9948" s="30" t="s">
        <v>2024</v>
      </c>
      <c r="F9948" s="30" t="s">
        <v>2046</v>
      </c>
      <c r="H9948" s="30" t="s">
        <v>2859</v>
      </c>
      <c r="J9948" s="30" t="s">
        <v>3390</v>
      </c>
      <c r="L9948" s="30" t="s">
        <v>3442</v>
      </c>
      <c r="N9948" s="30" t="s">
        <v>16354</v>
      </c>
      <c r="P9948" s="30" t="s">
        <v>16458</v>
      </c>
      <c r="Q9948" t="s">
        <v>621</v>
      </c>
      <c r="R9948" t="s">
        <v>917</v>
      </c>
      <c r="S9948">
        <v>39</v>
      </c>
      <c r="T9948" s="29" t="str">
        <f t="shared" si="421"/>
        <v>2023.001B.Leviviricetes_reorg.zip</v>
      </c>
      <c r="U9948" s="29" t="str">
        <f>HYPERLINK("https://ictv.global/taxonomy/taxondetails?taxnode_id=202317207","ictv.global=202317207")</f>
        <v>ictv.global=202317207</v>
      </c>
    </row>
    <row r="9949" spans="1:21">
      <c r="A9949">
        <v>9948</v>
      </c>
      <c r="B9949" s="30" t="s">
        <v>1226</v>
      </c>
      <c r="D9949" s="30" t="s">
        <v>2024</v>
      </c>
      <c r="F9949" s="30" t="s">
        <v>2046</v>
      </c>
      <c r="H9949" s="30" t="s">
        <v>2859</v>
      </c>
      <c r="J9949" s="30" t="s">
        <v>3390</v>
      </c>
      <c r="L9949" s="30" t="s">
        <v>3442</v>
      </c>
      <c r="N9949" s="30" t="s">
        <v>16354</v>
      </c>
      <c r="P9949" s="30" t="s">
        <v>16459</v>
      </c>
      <c r="Q9949" t="s">
        <v>621</v>
      </c>
      <c r="R9949" t="s">
        <v>917</v>
      </c>
      <c r="S9949">
        <v>39</v>
      </c>
      <c r="T9949" s="29" t="str">
        <f t="shared" si="421"/>
        <v>2023.001B.Leviviricetes_reorg.zip</v>
      </c>
      <c r="U9949" s="29" t="str">
        <f>HYPERLINK("https://ictv.global/taxonomy/taxondetails?taxnode_id=202317208","ictv.global=202317208")</f>
        <v>ictv.global=202317208</v>
      </c>
    </row>
    <row r="9950" spans="1:21">
      <c r="A9950">
        <v>9949</v>
      </c>
      <c r="B9950" s="30" t="s">
        <v>1226</v>
      </c>
      <c r="D9950" s="30" t="s">
        <v>2024</v>
      </c>
      <c r="F9950" s="30" t="s">
        <v>2046</v>
      </c>
      <c r="H9950" s="30" t="s">
        <v>2859</v>
      </c>
      <c r="J9950" s="30" t="s">
        <v>3390</v>
      </c>
      <c r="L9950" s="30" t="s">
        <v>3442</v>
      </c>
      <c r="N9950" s="30" t="s">
        <v>16354</v>
      </c>
      <c r="P9950" s="30" t="s">
        <v>16460</v>
      </c>
      <c r="Q9950" t="s">
        <v>621</v>
      </c>
      <c r="R9950" t="s">
        <v>917</v>
      </c>
      <c r="S9950">
        <v>39</v>
      </c>
      <c r="T9950" s="29" t="str">
        <f t="shared" si="421"/>
        <v>2023.001B.Leviviricetes_reorg.zip</v>
      </c>
      <c r="U9950" s="29" t="str">
        <f>HYPERLINK("https://ictv.global/taxonomy/taxondetails?taxnode_id=202317209","ictv.global=202317209")</f>
        <v>ictv.global=202317209</v>
      </c>
    </row>
    <row r="9951" spans="1:21">
      <c r="A9951">
        <v>9950</v>
      </c>
      <c r="B9951" s="30" t="s">
        <v>1226</v>
      </c>
      <c r="D9951" s="30" t="s">
        <v>2024</v>
      </c>
      <c r="F9951" s="30" t="s">
        <v>2046</v>
      </c>
      <c r="H9951" s="30" t="s">
        <v>2859</v>
      </c>
      <c r="J9951" s="30" t="s">
        <v>3390</v>
      </c>
      <c r="L9951" s="30" t="s">
        <v>3442</v>
      </c>
      <c r="N9951" s="30" t="s">
        <v>16354</v>
      </c>
      <c r="P9951" s="30" t="s">
        <v>16461</v>
      </c>
      <c r="Q9951" t="s">
        <v>621</v>
      </c>
      <c r="R9951" t="s">
        <v>917</v>
      </c>
      <c r="S9951">
        <v>39</v>
      </c>
      <c r="T9951" s="29" t="str">
        <f t="shared" si="421"/>
        <v>2023.001B.Leviviricetes_reorg.zip</v>
      </c>
      <c r="U9951" s="29" t="str">
        <f>HYPERLINK("https://ictv.global/taxonomy/taxondetails?taxnode_id=202317210","ictv.global=202317210")</f>
        <v>ictv.global=202317210</v>
      </c>
    </row>
    <row r="9952" spans="1:21">
      <c r="A9952">
        <v>9951</v>
      </c>
      <c r="B9952" s="30" t="s">
        <v>1226</v>
      </c>
      <c r="D9952" s="30" t="s">
        <v>2024</v>
      </c>
      <c r="F9952" s="30" t="s">
        <v>2046</v>
      </c>
      <c r="H9952" s="30" t="s">
        <v>2859</v>
      </c>
      <c r="J9952" s="30" t="s">
        <v>3390</v>
      </c>
      <c r="L9952" s="30" t="s">
        <v>3442</v>
      </c>
      <c r="N9952" s="30" t="s">
        <v>16354</v>
      </c>
      <c r="P9952" s="30" t="s">
        <v>16462</v>
      </c>
      <c r="Q9952" t="s">
        <v>621</v>
      </c>
      <c r="R9952" t="s">
        <v>917</v>
      </c>
      <c r="S9952">
        <v>39</v>
      </c>
      <c r="T9952" s="29" t="str">
        <f t="shared" si="421"/>
        <v>2023.001B.Leviviricetes_reorg.zip</v>
      </c>
      <c r="U9952" s="29" t="str">
        <f>HYPERLINK("https://ictv.global/taxonomy/taxondetails?taxnode_id=202317211","ictv.global=202317211")</f>
        <v>ictv.global=202317211</v>
      </c>
    </row>
    <row r="9953" spans="1:21">
      <c r="A9953">
        <v>9952</v>
      </c>
      <c r="B9953" s="30" t="s">
        <v>1226</v>
      </c>
      <c r="D9953" s="30" t="s">
        <v>2024</v>
      </c>
      <c r="F9953" s="30" t="s">
        <v>2046</v>
      </c>
      <c r="H9953" s="30" t="s">
        <v>2859</v>
      </c>
      <c r="J9953" s="30" t="s">
        <v>3390</v>
      </c>
      <c r="L9953" s="30" t="s">
        <v>3442</v>
      </c>
      <c r="N9953" s="30" t="s">
        <v>16354</v>
      </c>
      <c r="P9953" s="30" t="s">
        <v>16463</v>
      </c>
      <c r="Q9953" t="s">
        <v>621</v>
      </c>
      <c r="R9953" t="s">
        <v>917</v>
      </c>
      <c r="S9953">
        <v>39</v>
      </c>
      <c r="T9953" s="29" t="str">
        <f t="shared" si="421"/>
        <v>2023.001B.Leviviricetes_reorg.zip</v>
      </c>
      <c r="U9953" s="29" t="str">
        <f>HYPERLINK("https://ictv.global/taxonomy/taxondetails?taxnode_id=202317212","ictv.global=202317212")</f>
        <v>ictv.global=202317212</v>
      </c>
    </row>
    <row r="9954" spans="1:21">
      <c r="A9954">
        <v>9953</v>
      </c>
      <c r="B9954" s="30" t="s">
        <v>1226</v>
      </c>
      <c r="D9954" s="30" t="s">
        <v>2024</v>
      </c>
      <c r="F9954" s="30" t="s">
        <v>2046</v>
      </c>
      <c r="H9954" s="30" t="s">
        <v>2859</v>
      </c>
      <c r="J9954" s="30" t="s">
        <v>3390</v>
      </c>
      <c r="L9954" s="30" t="s">
        <v>3442</v>
      </c>
      <c r="N9954" s="30" t="s">
        <v>16354</v>
      </c>
      <c r="P9954" s="30" t="s">
        <v>16464</v>
      </c>
      <c r="Q9954" t="s">
        <v>621</v>
      </c>
      <c r="R9954" t="s">
        <v>917</v>
      </c>
      <c r="S9954">
        <v>39</v>
      </c>
      <c r="T9954" s="29" t="str">
        <f t="shared" si="421"/>
        <v>2023.001B.Leviviricetes_reorg.zip</v>
      </c>
      <c r="U9954" s="29" t="str">
        <f>HYPERLINK("https://ictv.global/taxonomy/taxondetails?taxnode_id=202317213","ictv.global=202317213")</f>
        <v>ictv.global=202317213</v>
      </c>
    </row>
    <row r="9955" spans="1:21">
      <c r="A9955">
        <v>9954</v>
      </c>
      <c r="B9955" s="30" t="s">
        <v>1226</v>
      </c>
      <c r="D9955" s="30" t="s">
        <v>2024</v>
      </c>
      <c r="F9955" s="30" t="s">
        <v>2046</v>
      </c>
      <c r="H9955" s="30" t="s">
        <v>2859</v>
      </c>
      <c r="J9955" s="30" t="s">
        <v>3390</v>
      </c>
      <c r="L9955" s="30" t="s">
        <v>3442</v>
      </c>
      <c r="N9955" s="30" t="s">
        <v>16354</v>
      </c>
      <c r="P9955" s="30" t="s">
        <v>16465</v>
      </c>
      <c r="Q9955" t="s">
        <v>621</v>
      </c>
      <c r="R9955" t="s">
        <v>917</v>
      </c>
      <c r="S9955">
        <v>39</v>
      </c>
      <c r="T9955" s="29" t="str">
        <f t="shared" si="421"/>
        <v>2023.001B.Leviviricetes_reorg.zip</v>
      </c>
      <c r="U9955" s="29" t="str">
        <f>HYPERLINK("https://ictv.global/taxonomy/taxondetails?taxnode_id=202317214","ictv.global=202317214")</f>
        <v>ictv.global=202317214</v>
      </c>
    </row>
    <row r="9956" spans="1:21">
      <c r="A9956">
        <v>9955</v>
      </c>
      <c r="B9956" s="30" t="s">
        <v>1226</v>
      </c>
      <c r="D9956" s="30" t="s">
        <v>2024</v>
      </c>
      <c r="F9956" s="30" t="s">
        <v>2046</v>
      </c>
      <c r="H9956" s="30" t="s">
        <v>2859</v>
      </c>
      <c r="J9956" s="30" t="s">
        <v>3390</v>
      </c>
      <c r="L9956" s="30" t="s">
        <v>3442</v>
      </c>
      <c r="N9956" s="30" t="s">
        <v>16354</v>
      </c>
      <c r="P9956" s="30" t="s">
        <v>16466</v>
      </c>
      <c r="Q9956" t="s">
        <v>621</v>
      </c>
      <c r="R9956" t="s">
        <v>917</v>
      </c>
      <c r="S9956">
        <v>39</v>
      </c>
      <c r="T9956" s="29" t="str">
        <f t="shared" si="421"/>
        <v>2023.001B.Leviviricetes_reorg.zip</v>
      </c>
      <c r="U9956" s="29" t="str">
        <f>HYPERLINK("https://ictv.global/taxonomy/taxondetails?taxnode_id=202317215","ictv.global=202317215")</f>
        <v>ictv.global=202317215</v>
      </c>
    </row>
    <row r="9957" spans="1:21">
      <c r="A9957">
        <v>9956</v>
      </c>
      <c r="B9957" s="30" t="s">
        <v>1226</v>
      </c>
      <c r="D9957" s="30" t="s">
        <v>2024</v>
      </c>
      <c r="F9957" s="30" t="s">
        <v>2046</v>
      </c>
      <c r="H9957" s="30" t="s">
        <v>2859</v>
      </c>
      <c r="J9957" s="30" t="s">
        <v>3390</v>
      </c>
      <c r="L9957" s="30" t="s">
        <v>3442</v>
      </c>
      <c r="N9957" s="30" t="s">
        <v>16354</v>
      </c>
      <c r="P9957" s="30" t="s">
        <v>16467</v>
      </c>
      <c r="Q9957" t="s">
        <v>621</v>
      </c>
      <c r="R9957" t="s">
        <v>917</v>
      </c>
      <c r="S9957">
        <v>39</v>
      </c>
      <c r="T9957" s="29" t="str">
        <f t="shared" si="421"/>
        <v>2023.001B.Leviviricetes_reorg.zip</v>
      </c>
      <c r="U9957" s="29" t="str">
        <f>HYPERLINK("https://ictv.global/taxonomy/taxondetails?taxnode_id=202317216","ictv.global=202317216")</f>
        <v>ictv.global=202317216</v>
      </c>
    </row>
    <row r="9958" spans="1:21">
      <c r="A9958">
        <v>9957</v>
      </c>
      <c r="B9958" s="30" t="s">
        <v>1226</v>
      </c>
      <c r="D9958" s="30" t="s">
        <v>2024</v>
      </c>
      <c r="F9958" s="30" t="s">
        <v>2046</v>
      </c>
      <c r="H9958" s="30" t="s">
        <v>2859</v>
      </c>
      <c r="J9958" s="30" t="s">
        <v>3390</v>
      </c>
      <c r="L9958" s="30" t="s">
        <v>3442</v>
      </c>
      <c r="N9958" s="30" t="s">
        <v>16354</v>
      </c>
      <c r="P9958" s="30" t="s">
        <v>16468</v>
      </c>
      <c r="Q9958" t="s">
        <v>621</v>
      </c>
      <c r="R9958" t="s">
        <v>917</v>
      </c>
      <c r="S9958">
        <v>39</v>
      </c>
      <c r="T9958" s="29" t="str">
        <f t="shared" si="421"/>
        <v>2023.001B.Leviviricetes_reorg.zip</v>
      </c>
      <c r="U9958" s="29" t="str">
        <f>HYPERLINK("https://ictv.global/taxonomy/taxondetails?taxnode_id=202317217","ictv.global=202317217")</f>
        <v>ictv.global=202317217</v>
      </c>
    </row>
    <row r="9959" spans="1:21">
      <c r="A9959">
        <v>9958</v>
      </c>
      <c r="B9959" s="30" t="s">
        <v>1226</v>
      </c>
      <c r="D9959" s="30" t="s">
        <v>2024</v>
      </c>
      <c r="F9959" s="30" t="s">
        <v>2046</v>
      </c>
      <c r="H9959" s="30" t="s">
        <v>2859</v>
      </c>
      <c r="J9959" s="30" t="s">
        <v>3390</v>
      </c>
      <c r="L9959" s="30" t="s">
        <v>3442</v>
      </c>
      <c r="N9959" s="30" t="s">
        <v>16354</v>
      </c>
      <c r="P9959" s="30" t="s">
        <v>16469</v>
      </c>
      <c r="Q9959" t="s">
        <v>621</v>
      </c>
      <c r="R9959" t="s">
        <v>917</v>
      </c>
      <c r="S9959">
        <v>39</v>
      </c>
      <c r="T9959" s="29" t="str">
        <f t="shared" si="421"/>
        <v>2023.001B.Leviviricetes_reorg.zip</v>
      </c>
      <c r="U9959" s="29" t="str">
        <f>HYPERLINK("https://ictv.global/taxonomy/taxondetails?taxnode_id=202317218","ictv.global=202317218")</f>
        <v>ictv.global=202317218</v>
      </c>
    </row>
    <row r="9960" spans="1:21">
      <c r="A9960">
        <v>9959</v>
      </c>
      <c r="B9960" s="30" t="s">
        <v>1226</v>
      </c>
      <c r="D9960" s="30" t="s">
        <v>2024</v>
      </c>
      <c r="F9960" s="30" t="s">
        <v>2046</v>
      </c>
      <c r="H9960" s="30" t="s">
        <v>2859</v>
      </c>
      <c r="J9960" s="30" t="s">
        <v>3390</v>
      </c>
      <c r="L9960" s="30" t="s">
        <v>3442</v>
      </c>
      <c r="N9960" s="30" t="s">
        <v>16354</v>
      </c>
      <c r="P9960" s="30" t="s">
        <v>16470</v>
      </c>
      <c r="Q9960" t="s">
        <v>621</v>
      </c>
      <c r="R9960" t="s">
        <v>917</v>
      </c>
      <c r="S9960">
        <v>39</v>
      </c>
      <c r="T9960" s="29" t="str">
        <f t="shared" si="421"/>
        <v>2023.001B.Leviviricetes_reorg.zip</v>
      </c>
      <c r="U9960" s="29" t="str">
        <f>HYPERLINK("https://ictv.global/taxonomy/taxondetails?taxnode_id=202317219","ictv.global=202317219")</f>
        <v>ictv.global=202317219</v>
      </c>
    </row>
    <row r="9961" spans="1:21">
      <c r="A9961">
        <v>9960</v>
      </c>
      <c r="B9961" s="30" t="s">
        <v>1226</v>
      </c>
      <c r="D9961" s="30" t="s">
        <v>2024</v>
      </c>
      <c r="F9961" s="30" t="s">
        <v>2046</v>
      </c>
      <c r="H9961" s="30" t="s">
        <v>2859</v>
      </c>
      <c r="J9961" s="30" t="s">
        <v>3390</v>
      </c>
      <c r="L9961" s="30" t="s">
        <v>3442</v>
      </c>
      <c r="N9961" s="30" t="s">
        <v>16354</v>
      </c>
      <c r="P9961" s="30" t="s">
        <v>16471</v>
      </c>
      <c r="Q9961" t="s">
        <v>621</v>
      </c>
      <c r="R9961" t="s">
        <v>917</v>
      </c>
      <c r="S9961">
        <v>39</v>
      </c>
      <c r="T9961" s="29" t="str">
        <f t="shared" si="421"/>
        <v>2023.001B.Leviviricetes_reorg.zip</v>
      </c>
      <c r="U9961" s="29" t="str">
        <f>HYPERLINK("https://ictv.global/taxonomy/taxondetails?taxnode_id=202317220","ictv.global=202317220")</f>
        <v>ictv.global=202317220</v>
      </c>
    </row>
    <row r="9962" spans="1:21">
      <c r="A9962">
        <v>9961</v>
      </c>
      <c r="B9962" s="30" t="s">
        <v>1226</v>
      </c>
      <c r="D9962" s="30" t="s">
        <v>2024</v>
      </c>
      <c r="F9962" s="30" t="s">
        <v>2046</v>
      </c>
      <c r="H9962" s="30" t="s">
        <v>2859</v>
      </c>
      <c r="J9962" s="30" t="s">
        <v>3390</v>
      </c>
      <c r="L9962" s="30" t="s">
        <v>3442</v>
      </c>
      <c r="N9962" s="30" t="s">
        <v>16354</v>
      </c>
      <c r="P9962" s="30" t="s">
        <v>16472</v>
      </c>
      <c r="Q9962" t="s">
        <v>621</v>
      </c>
      <c r="R9962" t="s">
        <v>917</v>
      </c>
      <c r="S9962">
        <v>39</v>
      </c>
      <c r="T9962" s="29" t="str">
        <f t="shared" si="421"/>
        <v>2023.001B.Leviviricetes_reorg.zip</v>
      </c>
      <c r="U9962" s="29" t="str">
        <f>HYPERLINK("https://ictv.global/taxonomy/taxondetails?taxnode_id=202317221","ictv.global=202317221")</f>
        <v>ictv.global=202317221</v>
      </c>
    </row>
    <row r="9963" spans="1:21">
      <c r="A9963">
        <v>9962</v>
      </c>
      <c r="B9963" s="30" t="s">
        <v>1226</v>
      </c>
      <c r="D9963" s="30" t="s">
        <v>2024</v>
      </c>
      <c r="F9963" s="30" t="s">
        <v>2046</v>
      </c>
      <c r="H9963" s="30" t="s">
        <v>2859</v>
      </c>
      <c r="J9963" s="30" t="s">
        <v>3390</v>
      </c>
      <c r="L9963" s="30" t="s">
        <v>3442</v>
      </c>
      <c r="N9963" s="30" t="s">
        <v>16354</v>
      </c>
      <c r="P9963" s="30" t="s">
        <v>16473</v>
      </c>
      <c r="Q9963" t="s">
        <v>621</v>
      </c>
      <c r="R9963" t="s">
        <v>917</v>
      </c>
      <c r="S9963">
        <v>39</v>
      </c>
      <c r="T9963" s="29" t="str">
        <f t="shared" si="421"/>
        <v>2023.001B.Leviviricetes_reorg.zip</v>
      </c>
      <c r="U9963" s="29" t="str">
        <f>HYPERLINK("https://ictv.global/taxonomy/taxondetails?taxnode_id=202317222","ictv.global=202317222")</f>
        <v>ictv.global=202317222</v>
      </c>
    </row>
    <row r="9964" spans="1:21">
      <c r="A9964">
        <v>9963</v>
      </c>
      <c r="B9964" s="30" t="s">
        <v>1226</v>
      </c>
      <c r="D9964" s="30" t="s">
        <v>2024</v>
      </c>
      <c r="F9964" s="30" t="s">
        <v>2046</v>
      </c>
      <c r="H9964" s="30" t="s">
        <v>2859</v>
      </c>
      <c r="J9964" s="30" t="s">
        <v>3390</v>
      </c>
      <c r="L9964" s="30" t="s">
        <v>3442</v>
      </c>
      <c r="N9964" s="30" t="s">
        <v>16354</v>
      </c>
      <c r="P9964" s="30" t="s">
        <v>16474</v>
      </c>
      <c r="Q9964" t="s">
        <v>621</v>
      </c>
      <c r="R9964" t="s">
        <v>917</v>
      </c>
      <c r="S9964">
        <v>39</v>
      </c>
      <c r="T9964" s="29" t="str">
        <f t="shared" si="421"/>
        <v>2023.001B.Leviviricetes_reorg.zip</v>
      </c>
      <c r="U9964" s="29" t="str">
        <f>HYPERLINK("https://ictv.global/taxonomy/taxondetails?taxnode_id=202317223","ictv.global=202317223")</f>
        <v>ictv.global=202317223</v>
      </c>
    </row>
    <row r="9965" spans="1:21">
      <c r="A9965">
        <v>9964</v>
      </c>
      <c r="B9965" s="30" t="s">
        <v>1226</v>
      </c>
      <c r="D9965" s="30" t="s">
        <v>2024</v>
      </c>
      <c r="F9965" s="30" t="s">
        <v>2046</v>
      </c>
      <c r="H9965" s="30" t="s">
        <v>2859</v>
      </c>
      <c r="J9965" s="30" t="s">
        <v>3390</v>
      </c>
      <c r="L9965" s="30" t="s">
        <v>3442</v>
      </c>
      <c r="N9965" s="30" t="s">
        <v>16354</v>
      </c>
      <c r="P9965" s="30" t="s">
        <v>16475</v>
      </c>
      <c r="Q9965" t="s">
        <v>621</v>
      </c>
      <c r="R9965" t="s">
        <v>917</v>
      </c>
      <c r="S9965">
        <v>39</v>
      </c>
      <c r="T9965" s="29" t="str">
        <f t="shared" si="421"/>
        <v>2023.001B.Leviviricetes_reorg.zip</v>
      </c>
      <c r="U9965" s="29" t="str">
        <f>HYPERLINK("https://ictv.global/taxonomy/taxondetails?taxnode_id=202317224","ictv.global=202317224")</f>
        <v>ictv.global=202317224</v>
      </c>
    </row>
    <row r="9966" spans="1:21">
      <c r="A9966">
        <v>9965</v>
      </c>
      <c r="B9966" s="30" t="s">
        <v>1226</v>
      </c>
      <c r="D9966" s="30" t="s">
        <v>2024</v>
      </c>
      <c r="F9966" s="30" t="s">
        <v>2046</v>
      </c>
      <c r="H9966" s="30" t="s">
        <v>2859</v>
      </c>
      <c r="J9966" s="30" t="s">
        <v>3390</v>
      </c>
      <c r="L9966" s="30" t="s">
        <v>3442</v>
      </c>
      <c r="N9966" s="30" t="s">
        <v>16354</v>
      </c>
      <c r="P9966" s="30" t="s">
        <v>16476</v>
      </c>
      <c r="Q9966" t="s">
        <v>621</v>
      </c>
      <c r="R9966" t="s">
        <v>917</v>
      </c>
      <c r="S9966">
        <v>39</v>
      </c>
      <c r="T9966" s="29" t="str">
        <f t="shared" si="421"/>
        <v>2023.001B.Leviviricetes_reorg.zip</v>
      </c>
      <c r="U9966" s="29" t="str">
        <f>HYPERLINK("https://ictv.global/taxonomy/taxondetails?taxnode_id=202317225","ictv.global=202317225")</f>
        <v>ictv.global=202317225</v>
      </c>
    </row>
    <row r="9967" spans="1:21">
      <c r="A9967">
        <v>9966</v>
      </c>
      <c r="B9967" s="30" t="s">
        <v>1226</v>
      </c>
      <c r="D9967" s="30" t="s">
        <v>2024</v>
      </c>
      <c r="F9967" s="30" t="s">
        <v>2046</v>
      </c>
      <c r="H9967" s="30" t="s">
        <v>2859</v>
      </c>
      <c r="J9967" s="30" t="s">
        <v>3390</v>
      </c>
      <c r="L9967" s="30" t="s">
        <v>3442</v>
      </c>
      <c r="N9967" s="30" t="s">
        <v>16354</v>
      </c>
      <c r="P9967" s="30" t="s">
        <v>16477</v>
      </c>
      <c r="Q9967" t="s">
        <v>621</v>
      </c>
      <c r="R9967" t="s">
        <v>917</v>
      </c>
      <c r="S9967">
        <v>39</v>
      </c>
      <c r="T9967" s="29" t="str">
        <f t="shared" si="421"/>
        <v>2023.001B.Leviviricetes_reorg.zip</v>
      </c>
      <c r="U9967" s="29" t="str">
        <f>HYPERLINK("https://ictv.global/taxonomy/taxondetails?taxnode_id=202317226","ictv.global=202317226")</f>
        <v>ictv.global=202317226</v>
      </c>
    </row>
    <row r="9968" spans="1:21">
      <c r="A9968">
        <v>9967</v>
      </c>
      <c r="B9968" s="30" t="s">
        <v>1226</v>
      </c>
      <c r="D9968" s="30" t="s">
        <v>2024</v>
      </c>
      <c r="F9968" s="30" t="s">
        <v>2046</v>
      </c>
      <c r="H9968" s="30" t="s">
        <v>2859</v>
      </c>
      <c r="J9968" s="30" t="s">
        <v>3390</v>
      </c>
      <c r="L9968" s="30" t="s">
        <v>3442</v>
      </c>
      <c r="N9968" s="30" t="s">
        <v>16354</v>
      </c>
      <c r="P9968" s="30" t="s">
        <v>16478</v>
      </c>
      <c r="Q9968" t="s">
        <v>621</v>
      </c>
      <c r="R9968" t="s">
        <v>917</v>
      </c>
      <c r="S9968">
        <v>39</v>
      </c>
      <c r="T9968" s="29" t="str">
        <f t="shared" si="421"/>
        <v>2023.001B.Leviviricetes_reorg.zip</v>
      </c>
      <c r="U9968" s="29" t="str">
        <f>HYPERLINK("https://ictv.global/taxonomy/taxondetails?taxnode_id=202317227","ictv.global=202317227")</f>
        <v>ictv.global=202317227</v>
      </c>
    </row>
    <row r="9969" spans="1:21">
      <c r="A9969">
        <v>9968</v>
      </c>
      <c r="B9969" s="30" t="s">
        <v>1226</v>
      </c>
      <c r="D9969" s="30" t="s">
        <v>2024</v>
      </c>
      <c r="F9969" s="30" t="s">
        <v>2046</v>
      </c>
      <c r="H9969" s="30" t="s">
        <v>2859</v>
      </c>
      <c r="J9969" s="30" t="s">
        <v>3390</v>
      </c>
      <c r="L9969" s="30" t="s">
        <v>3442</v>
      </c>
      <c r="N9969" s="30" t="s">
        <v>16354</v>
      </c>
      <c r="P9969" s="30" t="s">
        <v>16479</v>
      </c>
      <c r="Q9969" t="s">
        <v>621</v>
      </c>
      <c r="R9969" t="s">
        <v>917</v>
      </c>
      <c r="S9969">
        <v>39</v>
      </c>
      <c r="T9969" s="29" t="str">
        <f t="shared" si="421"/>
        <v>2023.001B.Leviviricetes_reorg.zip</v>
      </c>
      <c r="U9969" s="29" t="str">
        <f>HYPERLINK("https://ictv.global/taxonomy/taxondetails?taxnode_id=202317228","ictv.global=202317228")</f>
        <v>ictv.global=202317228</v>
      </c>
    </row>
    <row r="9970" spans="1:21">
      <c r="A9970">
        <v>9969</v>
      </c>
      <c r="B9970" s="30" t="s">
        <v>1226</v>
      </c>
      <c r="D9970" s="30" t="s">
        <v>2024</v>
      </c>
      <c r="F9970" s="30" t="s">
        <v>2046</v>
      </c>
      <c r="H9970" s="30" t="s">
        <v>2859</v>
      </c>
      <c r="J9970" s="30" t="s">
        <v>3390</v>
      </c>
      <c r="L9970" s="30" t="s">
        <v>3442</v>
      </c>
      <c r="N9970" s="30" t="s">
        <v>16354</v>
      </c>
      <c r="P9970" s="30" t="s">
        <v>16480</v>
      </c>
      <c r="Q9970" t="s">
        <v>621</v>
      </c>
      <c r="R9970" t="s">
        <v>917</v>
      </c>
      <c r="S9970">
        <v>39</v>
      </c>
      <c r="T9970" s="29" t="str">
        <f t="shared" si="421"/>
        <v>2023.001B.Leviviricetes_reorg.zip</v>
      </c>
      <c r="U9970" s="29" t="str">
        <f>HYPERLINK("https://ictv.global/taxonomy/taxondetails?taxnode_id=202317229","ictv.global=202317229")</f>
        <v>ictv.global=202317229</v>
      </c>
    </row>
    <row r="9971" spans="1:21">
      <c r="A9971">
        <v>9970</v>
      </c>
      <c r="B9971" s="30" t="s">
        <v>1226</v>
      </c>
      <c r="D9971" s="30" t="s">
        <v>2024</v>
      </c>
      <c r="F9971" s="30" t="s">
        <v>2046</v>
      </c>
      <c r="H9971" s="30" t="s">
        <v>2859</v>
      </c>
      <c r="J9971" s="30" t="s">
        <v>3390</v>
      </c>
      <c r="L9971" s="30" t="s">
        <v>3442</v>
      </c>
      <c r="N9971" s="30" t="s">
        <v>16354</v>
      </c>
      <c r="P9971" s="30" t="s">
        <v>16481</v>
      </c>
      <c r="Q9971" t="s">
        <v>621</v>
      </c>
      <c r="R9971" t="s">
        <v>917</v>
      </c>
      <c r="S9971">
        <v>39</v>
      </c>
      <c r="T9971" s="29" t="str">
        <f t="shared" si="421"/>
        <v>2023.001B.Leviviricetes_reorg.zip</v>
      </c>
      <c r="U9971" s="29" t="str">
        <f>HYPERLINK("https://ictv.global/taxonomy/taxondetails?taxnode_id=202317230","ictv.global=202317230")</f>
        <v>ictv.global=202317230</v>
      </c>
    </row>
    <row r="9972" spans="1:21">
      <c r="A9972">
        <v>9971</v>
      </c>
      <c r="B9972" s="30" t="s">
        <v>1226</v>
      </c>
      <c r="D9972" s="30" t="s">
        <v>2024</v>
      </c>
      <c r="F9972" s="30" t="s">
        <v>2046</v>
      </c>
      <c r="H9972" s="30" t="s">
        <v>2859</v>
      </c>
      <c r="J9972" s="30" t="s">
        <v>3390</v>
      </c>
      <c r="L9972" s="30" t="s">
        <v>3442</v>
      </c>
      <c r="N9972" s="30" t="s">
        <v>16354</v>
      </c>
      <c r="P9972" s="30" t="s">
        <v>16482</v>
      </c>
      <c r="Q9972" t="s">
        <v>621</v>
      </c>
      <c r="R9972" t="s">
        <v>918</v>
      </c>
      <c r="S9972">
        <v>39</v>
      </c>
      <c r="T9972" s="29" t="str">
        <f t="shared" si="421"/>
        <v>2023.001B.Leviviricetes_reorg.zip</v>
      </c>
      <c r="U9972" s="29" t="str">
        <f>HYPERLINK("https://ictv.global/taxonomy/taxondetails?taxnode_id=202311085","ictv.global=202311085")</f>
        <v>ictv.global=202311085</v>
      </c>
    </row>
    <row r="9973" spans="1:21">
      <c r="A9973">
        <v>9972</v>
      </c>
      <c r="B9973" s="30" t="s">
        <v>1226</v>
      </c>
      <c r="D9973" s="30" t="s">
        <v>2024</v>
      </c>
      <c r="F9973" s="30" t="s">
        <v>2046</v>
      </c>
      <c r="H9973" s="30" t="s">
        <v>2859</v>
      </c>
      <c r="J9973" s="30" t="s">
        <v>3390</v>
      </c>
      <c r="L9973" s="30" t="s">
        <v>3442</v>
      </c>
      <c r="N9973" s="30" t="s">
        <v>16354</v>
      </c>
      <c r="P9973" s="30" t="s">
        <v>16483</v>
      </c>
      <c r="Q9973" t="s">
        <v>621</v>
      </c>
      <c r="R9973" t="s">
        <v>918</v>
      </c>
      <c r="S9973">
        <v>39</v>
      </c>
      <c r="T9973" s="29" t="str">
        <f t="shared" si="421"/>
        <v>2023.001B.Leviviricetes_reorg.zip</v>
      </c>
      <c r="U9973" s="29" t="str">
        <f>HYPERLINK("https://ictv.global/taxonomy/taxondetails?taxnode_id=202311164","ictv.global=202311164")</f>
        <v>ictv.global=202311164</v>
      </c>
    </row>
    <row r="9974" spans="1:21">
      <c r="A9974">
        <v>9973</v>
      </c>
      <c r="B9974" s="30" t="s">
        <v>1226</v>
      </c>
      <c r="D9974" s="30" t="s">
        <v>2024</v>
      </c>
      <c r="F9974" s="30" t="s">
        <v>2046</v>
      </c>
      <c r="H9974" s="30" t="s">
        <v>2859</v>
      </c>
      <c r="J9974" s="30" t="s">
        <v>3390</v>
      </c>
      <c r="L9974" s="30" t="s">
        <v>3442</v>
      </c>
      <c r="N9974" s="30" t="s">
        <v>16354</v>
      </c>
      <c r="P9974" s="30" t="s">
        <v>16484</v>
      </c>
      <c r="Q9974" t="s">
        <v>621</v>
      </c>
      <c r="R9974" t="s">
        <v>918</v>
      </c>
      <c r="S9974">
        <v>39</v>
      </c>
      <c r="T9974" s="29" t="str">
        <f t="shared" si="421"/>
        <v>2023.001B.Leviviricetes_reorg.zip</v>
      </c>
      <c r="U9974" s="29" t="str">
        <f>HYPERLINK("https://ictv.global/taxonomy/taxondetails?taxnode_id=202311163","ictv.global=202311163")</f>
        <v>ictv.global=202311163</v>
      </c>
    </row>
    <row r="9975" spans="1:21">
      <c r="A9975">
        <v>9974</v>
      </c>
      <c r="B9975" s="30" t="s">
        <v>1226</v>
      </c>
      <c r="D9975" s="30" t="s">
        <v>2024</v>
      </c>
      <c r="F9975" s="30" t="s">
        <v>2046</v>
      </c>
      <c r="H9975" s="30" t="s">
        <v>2859</v>
      </c>
      <c r="J9975" s="30" t="s">
        <v>3390</v>
      </c>
      <c r="L9975" s="30" t="s">
        <v>3442</v>
      </c>
      <c r="N9975" s="30" t="s">
        <v>16354</v>
      </c>
      <c r="P9975" s="30" t="s">
        <v>16485</v>
      </c>
      <c r="Q9975" t="s">
        <v>621</v>
      </c>
      <c r="R9975" t="s">
        <v>918</v>
      </c>
      <c r="S9975">
        <v>39</v>
      </c>
      <c r="T9975" s="29" t="str">
        <f t="shared" si="421"/>
        <v>2023.001B.Leviviricetes_reorg.zip</v>
      </c>
      <c r="U9975" s="29" t="str">
        <f>HYPERLINK("https://ictv.global/taxonomy/taxondetails?taxnode_id=202311165","ictv.global=202311165")</f>
        <v>ictv.global=202311165</v>
      </c>
    </row>
    <row r="9976" spans="1:21">
      <c r="A9976">
        <v>9975</v>
      </c>
      <c r="B9976" s="30" t="s">
        <v>1226</v>
      </c>
      <c r="D9976" s="30" t="s">
        <v>2024</v>
      </c>
      <c r="F9976" s="30" t="s">
        <v>2046</v>
      </c>
      <c r="H9976" s="30" t="s">
        <v>2859</v>
      </c>
      <c r="J9976" s="30" t="s">
        <v>3390</v>
      </c>
      <c r="L9976" s="30" t="s">
        <v>3442</v>
      </c>
      <c r="N9976" s="30" t="s">
        <v>16354</v>
      </c>
      <c r="P9976" s="30" t="s">
        <v>16486</v>
      </c>
      <c r="Q9976" t="s">
        <v>621</v>
      </c>
      <c r="R9976" t="s">
        <v>918</v>
      </c>
      <c r="S9976">
        <v>39</v>
      </c>
      <c r="T9976" s="29" t="str">
        <f t="shared" si="421"/>
        <v>2023.001B.Leviviricetes_reorg.zip</v>
      </c>
      <c r="U9976" s="29" t="str">
        <f>HYPERLINK("https://ictv.global/taxonomy/taxondetails?taxnode_id=202311166","ictv.global=202311166")</f>
        <v>ictv.global=202311166</v>
      </c>
    </row>
    <row r="9977" spans="1:21">
      <c r="A9977">
        <v>9976</v>
      </c>
      <c r="B9977" s="30" t="s">
        <v>1226</v>
      </c>
      <c r="D9977" s="30" t="s">
        <v>2024</v>
      </c>
      <c r="F9977" s="30" t="s">
        <v>2046</v>
      </c>
      <c r="H9977" s="30" t="s">
        <v>2859</v>
      </c>
      <c r="J9977" s="30" t="s">
        <v>3390</v>
      </c>
      <c r="L9977" s="30" t="s">
        <v>3442</v>
      </c>
      <c r="N9977" s="30" t="s">
        <v>16354</v>
      </c>
      <c r="P9977" s="30" t="s">
        <v>16487</v>
      </c>
      <c r="Q9977" t="s">
        <v>621</v>
      </c>
      <c r="R9977" t="s">
        <v>918</v>
      </c>
      <c r="S9977">
        <v>39</v>
      </c>
      <c r="T9977" s="29" t="str">
        <f t="shared" si="421"/>
        <v>2023.001B.Leviviricetes_reorg.zip</v>
      </c>
      <c r="U9977" s="29" t="str">
        <f>HYPERLINK("https://ictv.global/taxonomy/taxondetails?taxnode_id=202311009","ictv.global=202311009")</f>
        <v>ictv.global=202311009</v>
      </c>
    </row>
    <row r="9978" spans="1:21">
      <c r="A9978">
        <v>9977</v>
      </c>
      <c r="B9978" s="30" t="s">
        <v>1226</v>
      </c>
      <c r="D9978" s="30" t="s">
        <v>2024</v>
      </c>
      <c r="F9978" s="30" t="s">
        <v>2046</v>
      </c>
      <c r="H9978" s="30" t="s">
        <v>2859</v>
      </c>
      <c r="J9978" s="30" t="s">
        <v>3390</v>
      </c>
      <c r="L9978" s="30" t="s">
        <v>3442</v>
      </c>
      <c r="N9978" s="30" t="s">
        <v>16354</v>
      </c>
      <c r="P9978" s="30" t="s">
        <v>16488</v>
      </c>
      <c r="Q9978" t="s">
        <v>621</v>
      </c>
      <c r="R9978" t="s">
        <v>918</v>
      </c>
      <c r="S9978">
        <v>39</v>
      </c>
      <c r="T9978" s="29" t="str">
        <f t="shared" si="421"/>
        <v>2023.001B.Leviviricetes_reorg.zip</v>
      </c>
      <c r="U9978" s="29" t="str">
        <f>HYPERLINK("https://ictv.global/taxonomy/taxondetails?taxnode_id=202311283","ictv.global=202311283")</f>
        <v>ictv.global=202311283</v>
      </c>
    </row>
    <row r="9979" spans="1:21">
      <c r="A9979">
        <v>9978</v>
      </c>
      <c r="B9979" s="30" t="s">
        <v>1226</v>
      </c>
      <c r="D9979" s="30" t="s">
        <v>2024</v>
      </c>
      <c r="F9979" s="30" t="s">
        <v>2046</v>
      </c>
      <c r="H9979" s="30" t="s">
        <v>2859</v>
      </c>
      <c r="J9979" s="30" t="s">
        <v>3390</v>
      </c>
      <c r="L9979" s="30" t="s">
        <v>3442</v>
      </c>
      <c r="N9979" s="30" t="s">
        <v>16354</v>
      </c>
      <c r="P9979" s="30" t="s">
        <v>16489</v>
      </c>
      <c r="Q9979" t="s">
        <v>621</v>
      </c>
      <c r="R9979" t="s">
        <v>918</v>
      </c>
      <c r="S9979">
        <v>39</v>
      </c>
      <c r="T9979" s="29" t="str">
        <f t="shared" si="421"/>
        <v>2023.001B.Leviviricetes_reorg.zip</v>
      </c>
      <c r="U9979" s="29" t="str">
        <f>HYPERLINK("https://ictv.global/taxonomy/taxondetails?taxnode_id=202311208","ictv.global=202311208")</f>
        <v>ictv.global=202311208</v>
      </c>
    </row>
    <row r="9980" spans="1:21">
      <c r="A9980">
        <v>9979</v>
      </c>
      <c r="B9980" s="30" t="s">
        <v>1226</v>
      </c>
      <c r="D9980" s="30" t="s">
        <v>2024</v>
      </c>
      <c r="F9980" s="30" t="s">
        <v>2046</v>
      </c>
      <c r="H9980" s="30" t="s">
        <v>2859</v>
      </c>
      <c r="J9980" s="30" t="s">
        <v>3390</v>
      </c>
      <c r="L9980" s="30" t="s">
        <v>3442</v>
      </c>
      <c r="N9980" s="30" t="s">
        <v>16354</v>
      </c>
      <c r="P9980" s="30" t="s">
        <v>16490</v>
      </c>
      <c r="Q9980" t="s">
        <v>621</v>
      </c>
      <c r="R9980" t="s">
        <v>917</v>
      </c>
      <c r="S9980">
        <v>39</v>
      </c>
      <c r="T9980" s="29" t="str">
        <f t="shared" si="421"/>
        <v>2023.001B.Leviviricetes_reorg.zip</v>
      </c>
      <c r="U9980" s="29" t="str">
        <f>HYPERLINK("https://ictv.global/taxonomy/taxondetails?taxnode_id=202317231","ictv.global=202317231")</f>
        <v>ictv.global=202317231</v>
      </c>
    </row>
    <row r="9981" spans="1:21">
      <c r="A9981">
        <v>9980</v>
      </c>
      <c r="B9981" s="30" t="s">
        <v>1226</v>
      </c>
      <c r="D9981" s="30" t="s">
        <v>2024</v>
      </c>
      <c r="F9981" s="30" t="s">
        <v>2046</v>
      </c>
      <c r="H9981" s="30" t="s">
        <v>2859</v>
      </c>
      <c r="J9981" s="30" t="s">
        <v>3390</v>
      </c>
      <c r="L9981" s="30" t="s">
        <v>3442</v>
      </c>
      <c r="N9981" s="30" t="s">
        <v>16354</v>
      </c>
      <c r="P9981" s="30" t="s">
        <v>16491</v>
      </c>
      <c r="Q9981" t="s">
        <v>621</v>
      </c>
      <c r="R9981" t="s">
        <v>917</v>
      </c>
      <c r="S9981">
        <v>39</v>
      </c>
      <c r="T9981" s="29" t="str">
        <f t="shared" si="421"/>
        <v>2023.001B.Leviviricetes_reorg.zip</v>
      </c>
      <c r="U9981" s="29" t="str">
        <f>HYPERLINK("https://ictv.global/taxonomy/taxondetails?taxnode_id=202317232","ictv.global=202317232")</f>
        <v>ictv.global=202317232</v>
      </c>
    </row>
    <row r="9982" spans="1:21">
      <c r="A9982">
        <v>9981</v>
      </c>
      <c r="B9982" s="30" t="s">
        <v>1226</v>
      </c>
      <c r="D9982" s="30" t="s">
        <v>2024</v>
      </c>
      <c r="F9982" s="30" t="s">
        <v>2046</v>
      </c>
      <c r="H9982" s="30" t="s">
        <v>2859</v>
      </c>
      <c r="J9982" s="30" t="s">
        <v>3390</v>
      </c>
      <c r="L9982" s="30" t="s">
        <v>3442</v>
      </c>
      <c r="N9982" s="30" t="s">
        <v>16354</v>
      </c>
      <c r="P9982" s="30" t="s">
        <v>16492</v>
      </c>
      <c r="Q9982" t="s">
        <v>621</v>
      </c>
      <c r="R9982" t="s">
        <v>918</v>
      </c>
      <c r="S9982">
        <v>39</v>
      </c>
      <c r="T9982" s="29" t="str">
        <f t="shared" si="421"/>
        <v>2023.001B.Leviviricetes_reorg.zip</v>
      </c>
      <c r="U9982" s="29" t="str">
        <f>HYPERLINK("https://ictv.global/taxonomy/taxondetails?taxnode_id=202311420","ictv.global=202311420")</f>
        <v>ictv.global=202311420</v>
      </c>
    </row>
    <row r="9983" spans="1:21">
      <c r="A9983">
        <v>9982</v>
      </c>
      <c r="B9983" s="30" t="s">
        <v>1226</v>
      </c>
      <c r="D9983" s="30" t="s">
        <v>2024</v>
      </c>
      <c r="F9983" s="30" t="s">
        <v>2046</v>
      </c>
      <c r="H9983" s="30" t="s">
        <v>2859</v>
      </c>
      <c r="J9983" s="30" t="s">
        <v>3390</v>
      </c>
      <c r="L9983" s="30" t="s">
        <v>3442</v>
      </c>
      <c r="N9983" s="30" t="s">
        <v>16354</v>
      </c>
      <c r="P9983" s="30" t="s">
        <v>16493</v>
      </c>
      <c r="Q9983" t="s">
        <v>621</v>
      </c>
      <c r="R9983" t="s">
        <v>917</v>
      </c>
      <c r="S9983">
        <v>39</v>
      </c>
      <c r="T9983" s="29" t="str">
        <f t="shared" si="421"/>
        <v>2023.001B.Leviviricetes_reorg.zip</v>
      </c>
      <c r="U9983" s="29" t="str">
        <f>HYPERLINK("https://ictv.global/taxonomy/taxondetails?taxnode_id=202317233","ictv.global=202317233")</f>
        <v>ictv.global=202317233</v>
      </c>
    </row>
    <row r="9984" spans="1:21">
      <c r="A9984">
        <v>9983</v>
      </c>
      <c r="B9984" s="30" t="s">
        <v>1226</v>
      </c>
      <c r="D9984" s="30" t="s">
        <v>2024</v>
      </c>
      <c r="F9984" s="30" t="s">
        <v>2046</v>
      </c>
      <c r="H9984" s="30" t="s">
        <v>2859</v>
      </c>
      <c r="J9984" s="30" t="s">
        <v>3390</v>
      </c>
      <c r="L9984" s="30" t="s">
        <v>3442</v>
      </c>
      <c r="N9984" s="30" t="s">
        <v>16354</v>
      </c>
      <c r="P9984" s="30" t="s">
        <v>16494</v>
      </c>
      <c r="Q9984" t="s">
        <v>621</v>
      </c>
      <c r="R9984" t="s">
        <v>918</v>
      </c>
      <c r="S9984">
        <v>39</v>
      </c>
      <c r="T9984" s="29" t="str">
        <f t="shared" si="421"/>
        <v>2023.001B.Leviviricetes_reorg.zip</v>
      </c>
      <c r="U9984" s="29" t="str">
        <f>HYPERLINK("https://ictv.global/taxonomy/taxondetails?taxnode_id=202311337","ictv.global=202311337")</f>
        <v>ictv.global=202311337</v>
      </c>
    </row>
    <row r="9985" spans="1:21">
      <c r="A9985">
        <v>9984</v>
      </c>
      <c r="B9985" s="30" t="s">
        <v>1226</v>
      </c>
      <c r="D9985" s="30" t="s">
        <v>2024</v>
      </c>
      <c r="F9985" s="30" t="s">
        <v>2046</v>
      </c>
      <c r="H9985" s="30" t="s">
        <v>2859</v>
      </c>
      <c r="J9985" s="30" t="s">
        <v>3390</v>
      </c>
      <c r="L9985" s="30" t="s">
        <v>3442</v>
      </c>
      <c r="N9985" s="30" t="s">
        <v>16354</v>
      </c>
      <c r="P9985" s="30" t="s">
        <v>16495</v>
      </c>
      <c r="Q9985" t="s">
        <v>621</v>
      </c>
      <c r="R9985" t="s">
        <v>917</v>
      </c>
      <c r="S9985">
        <v>39</v>
      </c>
      <c r="T9985" s="29" t="str">
        <f t="shared" si="421"/>
        <v>2023.001B.Leviviricetes_reorg.zip</v>
      </c>
      <c r="U9985" s="29" t="str">
        <f>HYPERLINK("https://ictv.global/taxonomy/taxondetails?taxnode_id=202317234","ictv.global=202317234")</f>
        <v>ictv.global=202317234</v>
      </c>
    </row>
    <row r="9986" spans="1:21">
      <c r="A9986">
        <v>9985</v>
      </c>
      <c r="B9986" s="30" t="s">
        <v>1226</v>
      </c>
      <c r="D9986" s="30" t="s">
        <v>2024</v>
      </c>
      <c r="F9986" s="30" t="s">
        <v>2046</v>
      </c>
      <c r="H9986" s="30" t="s">
        <v>2859</v>
      </c>
      <c r="J9986" s="30" t="s">
        <v>3390</v>
      </c>
      <c r="L9986" s="30" t="s">
        <v>3442</v>
      </c>
      <c r="N9986" s="30" t="s">
        <v>16354</v>
      </c>
      <c r="P9986" s="30" t="s">
        <v>16496</v>
      </c>
      <c r="Q9986" t="s">
        <v>621</v>
      </c>
      <c r="R9986" t="s">
        <v>918</v>
      </c>
      <c r="S9986">
        <v>39</v>
      </c>
      <c r="T9986" s="29" t="str">
        <f t="shared" si="421"/>
        <v>2023.001B.Leviviricetes_reorg.zip</v>
      </c>
      <c r="U9986" s="29" t="str">
        <f>HYPERLINK("https://ictv.global/taxonomy/taxondetails?taxnode_id=202311223","ictv.global=202311223")</f>
        <v>ictv.global=202311223</v>
      </c>
    </row>
    <row r="9987" spans="1:21">
      <c r="A9987">
        <v>9986</v>
      </c>
      <c r="B9987" s="30" t="s">
        <v>1226</v>
      </c>
      <c r="D9987" s="30" t="s">
        <v>2024</v>
      </c>
      <c r="F9987" s="30" t="s">
        <v>2046</v>
      </c>
      <c r="H9987" s="30" t="s">
        <v>2859</v>
      </c>
      <c r="J9987" s="30" t="s">
        <v>3390</v>
      </c>
      <c r="L9987" s="30" t="s">
        <v>3442</v>
      </c>
      <c r="N9987" s="30" t="s">
        <v>16354</v>
      </c>
      <c r="P9987" s="30" t="s">
        <v>16497</v>
      </c>
      <c r="Q9987" t="s">
        <v>621</v>
      </c>
      <c r="R9987" t="s">
        <v>918</v>
      </c>
      <c r="S9987">
        <v>39</v>
      </c>
      <c r="T9987" s="29" t="str">
        <f t="shared" si="421"/>
        <v>2023.001B.Leviviricetes_reorg.zip</v>
      </c>
      <c r="U9987" s="29" t="str">
        <f>HYPERLINK("https://ictv.global/taxonomy/taxondetails?taxnode_id=202311225","ictv.global=202311225")</f>
        <v>ictv.global=202311225</v>
      </c>
    </row>
    <row r="9988" spans="1:21">
      <c r="A9988">
        <v>9987</v>
      </c>
      <c r="B9988" s="30" t="s">
        <v>1226</v>
      </c>
      <c r="D9988" s="30" t="s">
        <v>2024</v>
      </c>
      <c r="F9988" s="30" t="s">
        <v>2046</v>
      </c>
      <c r="H9988" s="30" t="s">
        <v>2859</v>
      </c>
      <c r="J9988" s="30" t="s">
        <v>3390</v>
      </c>
      <c r="L9988" s="30" t="s">
        <v>3442</v>
      </c>
      <c r="N9988" s="30" t="s">
        <v>16354</v>
      </c>
      <c r="P9988" s="30" t="s">
        <v>16498</v>
      </c>
      <c r="Q9988" t="s">
        <v>621</v>
      </c>
      <c r="R9988" t="s">
        <v>918</v>
      </c>
      <c r="S9988">
        <v>39</v>
      </c>
      <c r="T9988" s="29" t="str">
        <f t="shared" si="421"/>
        <v>2023.001B.Leviviricetes_reorg.zip</v>
      </c>
      <c r="U9988" s="29" t="str">
        <f>HYPERLINK("https://ictv.global/taxonomy/taxondetails?taxnode_id=202311224","ictv.global=202311224")</f>
        <v>ictv.global=202311224</v>
      </c>
    </row>
    <row r="9989" spans="1:21">
      <c r="A9989">
        <v>9988</v>
      </c>
      <c r="B9989" s="30" t="s">
        <v>1226</v>
      </c>
      <c r="D9989" s="30" t="s">
        <v>2024</v>
      </c>
      <c r="F9989" s="30" t="s">
        <v>2046</v>
      </c>
      <c r="H9989" s="30" t="s">
        <v>2859</v>
      </c>
      <c r="J9989" s="30" t="s">
        <v>3390</v>
      </c>
      <c r="L9989" s="30" t="s">
        <v>3442</v>
      </c>
      <c r="N9989" s="30" t="s">
        <v>16354</v>
      </c>
      <c r="P9989" s="30" t="s">
        <v>16499</v>
      </c>
      <c r="Q9989" t="s">
        <v>621</v>
      </c>
      <c r="R9989" t="s">
        <v>918</v>
      </c>
      <c r="S9989">
        <v>39</v>
      </c>
      <c r="T9989" s="29" t="str">
        <f t="shared" si="421"/>
        <v>2023.001B.Leviviricetes_reorg.zip</v>
      </c>
      <c r="U9989" s="29" t="str">
        <f>HYPERLINK("https://ictv.global/taxonomy/taxondetails?taxnode_id=202311081","ictv.global=202311081")</f>
        <v>ictv.global=202311081</v>
      </c>
    </row>
    <row r="9990" spans="1:21">
      <c r="A9990">
        <v>9989</v>
      </c>
      <c r="B9990" s="30" t="s">
        <v>1226</v>
      </c>
      <c r="D9990" s="30" t="s">
        <v>2024</v>
      </c>
      <c r="F9990" s="30" t="s">
        <v>2046</v>
      </c>
      <c r="H9990" s="30" t="s">
        <v>2859</v>
      </c>
      <c r="J9990" s="30" t="s">
        <v>3390</v>
      </c>
      <c r="L9990" s="30" t="s">
        <v>3442</v>
      </c>
      <c r="N9990" s="30" t="s">
        <v>16354</v>
      </c>
      <c r="P9990" s="30" t="s">
        <v>16500</v>
      </c>
      <c r="Q9990" t="s">
        <v>621</v>
      </c>
      <c r="R9990" t="s">
        <v>918</v>
      </c>
      <c r="S9990">
        <v>39</v>
      </c>
      <c r="T9990" s="29" t="str">
        <f t="shared" si="421"/>
        <v>2023.001B.Leviviricetes_reorg.zip</v>
      </c>
      <c r="U9990" s="29" t="str">
        <f>HYPERLINK("https://ictv.global/taxonomy/taxondetails?taxnode_id=202311083","ictv.global=202311083")</f>
        <v>ictv.global=202311083</v>
      </c>
    </row>
    <row r="9991" spans="1:21">
      <c r="A9991">
        <v>9990</v>
      </c>
      <c r="B9991" s="30" t="s">
        <v>1226</v>
      </c>
      <c r="D9991" s="30" t="s">
        <v>2024</v>
      </c>
      <c r="F9991" s="30" t="s">
        <v>2046</v>
      </c>
      <c r="H9991" s="30" t="s">
        <v>2859</v>
      </c>
      <c r="J9991" s="30" t="s">
        <v>3390</v>
      </c>
      <c r="L9991" s="30" t="s">
        <v>3442</v>
      </c>
      <c r="N9991" s="30" t="s">
        <v>16354</v>
      </c>
      <c r="P9991" s="30" t="s">
        <v>16501</v>
      </c>
      <c r="Q9991" t="s">
        <v>621</v>
      </c>
      <c r="R9991" t="s">
        <v>918</v>
      </c>
      <c r="S9991">
        <v>39</v>
      </c>
      <c r="T9991" s="29" t="str">
        <f t="shared" si="421"/>
        <v>2023.001B.Leviviricetes_reorg.zip</v>
      </c>
      <c r="U9991" s="29" t="str">
        <f>HYPERLINK("https://ictv.global/taxonomy/taxondetails?taxnode_id=202311084","ictv.global=202311084")</f>
        <v>ictv.global=202311084</v>
      </c>
    </row>
    <row r="9992" spans="1:21">
      <c r="A9992">
        <v>9991</v>
      </c>
      <c r="B9992" s="30" t="s">
        <v>1226</v>
      </c>
      <c r="D9992" s="30" t="s">
        <v>2024</v>
      </c>
      <c r="F9992" s="30" t="s">
        <v>2046</v>
      </c>
      <c r="H9992" s="30" t="s">
        <v>2859</v>
      </c>
      <c r="J9992" s="30" t="s">
        <v>3390</v>
      </c>
      <c r="L9992" s="30" t="s">
        <v>3442</v>
      </c>
      <c r="N9992" s="30" t="s">
        <v>16354</v>
      </c>
      <c r="P9992" s="30" t="s">
        <v>16502</v>
      </c>
      <c r="Q9992" t="s">
        <v>621</v>
      </c>
      <c r="R9992" t="s">
        <v>918</v>
      </c>
      <c r="S9992">
        <v>39</v>
      </c>
      <c r="T9992" s="29" t="str">
        <f t="shared" si="421"/>
        <v>2023.001B.Leviviricetes_reorg.zip</v>
      </c>
      <c r="U9992" s="29" t="str">
        <f>HYPERLINK("https://ictv.global/taxonomy/taxondetails?taxnode_id=202311032","ictv.global=202311032")</f>
        <v>ictv.global=202311032</v>
      </c>
    </row>
    <row r="9993" spans="1:21">
      <c r="A9993">
        <v>9992</v>
      </c>
      <c r="B9993" s="30" t="s">
        <v>1226</v>
      </c>
      <c r="D9993" s="30" t="s">
        <v>2024</v>
      </c>
      <c r="F9993" s="30" t="s">
        <v>2046</v>
      </c>
      <c r="H9993" s="30" t="s">
        <v>2859</v>
      </c>
      <c r="J9993" s="30" t="s">
        <v>3390</v>
      </c>
      <c r="L9993" s="30" t="s">
        <v>3442</v>
      </c>
      <c r="N9993" s="30" t="s">
        <v>16354</v>
      </c>
      <c r="P9993" s="30" t="s">
        <v>16503</v>
      </c>
      <c r="Q9993" t="s">
        <v>621</v>
      </c>
      <c r="R9993" t="s">
        <v>918</v>
      </c>
      <c r="S9993">
        <v>39</v>
      </c>
      <c r="T9993" s="29" t="str">
        <f t="shared" si="421"/>
        <v>2023.001B.Leviviricetes_reorg.zip</v>
      </c>
      <c r="U9993" s="29" t="str">
        <f>HYPERLINK("https://ictv.global/taxonomy/taxondetails?taxnode_id=202311034","ictv.global=202311034")</f>
        <v>ictv.global=202311034</v>
      </c>
    </row>
    <row r="9994" spans="1:21">
      <c r="A9994">
        <v>9993</v>
      </c>
      <c r="B9994" s="30" t="s">
        <v>1226</v>
      </c>
      <c r="D9994" s="30" t="s">
        <v>2024</v>
      </c>
      <c r="F9994" s="30" t="s">
        <v>2046</v>
      </c>
      <c r="H9994" s="30" t="s">
        <v>2859</v>
      </c>
      <c r="J9994" s="30" t="s">
        <v>3390</v>
      </c>
      <c r="L9994" s="30" t="s">
        <v>3442</v>
      </c>
      <c r="N9994" s="30" t="s">
        <v>16354</v>
      </c>
      <c r="P9994" s="30" t="s">
        <v>16504</v>
      </c>
      <c r="Q9994" t="s">
        <v>621</v>
      </c>
      <c r="R9994" t="s">
        <v>918</v>
      </c>
      <c r="S9994">
        <v>39</v>
      </c>
      <c r="T9994" s="29" t="str">
        <f t="shared" ref="T9994:T10057" si="422">HYPERLINK("https://ictv.global/ictv/proposals/2023.001B.Leviviricetes_reorg.zip","2023.001B.Leviviricetes_reorg.zip")</f>
        <v>2023.001B.Leviviricetes_reorg.zip</v>
      </c>
      <c r="U9994" s="29" t="str">
        <f>HYPERLINK("https://ictv.global/taxonomy/taxondetails?taxnode_id=202311033","ictv.global=202311033")</f>
        <v>ictv.global=202311033</v>
      </c>
    </row>
    <row r="9995" spans="1:21">
      <c r="A9995">
        <v>9994</v>
      </c>
      <c r="B9995" s="30" t="s">
        <v>1226</v>
      </c>
      <c r="D9995" s="30" t="s">
        <v>2024</v>
      </c>
      <c r="F9995" s="30" t="s">
        <v>2046</v>
      </c>
      <c r="H9995" s="30" t="s">
        <v>2859</v>
      </c>
      <c r="J9995" s="30" t="s">
        <v>3390</v>
      </c>
      <c r="L9995" s="30" t="s">
        <v>3442</v>
      </c>
      <c r="N9995" s="30" t="s">
        <v>16354</v>
      </c>
      <c r="P9995" s="30" t="s">
        <v>16505</v>
      </c>
      <c r="Q9995" t="s">
        <v>621</v>
      </c>
      <c r="R9995" t="s">
        <v>918</v>
      </c>
      <c r="S9995">
        <v>39</v>
      </c>
      <c r="T9995" s="29" t="str">
        <f t="shared" si="422"/>
        <v>2023.001B.Leviviricetes_reorg.zip</v>
      </c>
      <c r="U9995" s="29" t="str">
        <f>HYPERLINK("https://ictv.global/taxonomy/taxondetails?taxnode_id=202311035","ictv.global=202311035")</f>
        <v>ictv.global=202311035</v>
      </c>
    </row>
    <row r="9996" spans="1:21">
      <c r="A9996">
        <v>9995</v>
      </c>
      <c r="B9996" s="30" t="s">
        <v>1226</v>
      </c>
      <c r="D9996" s="30" t="s">
        <v>2024</v>
      </c>
      <c r="F9996" s="30" t="s">
        <v>2046</v>
      </c>
      <c r="H9996" s="30" t="s">
        <v>2859</v>
      </c>
      <c r="J9996" s="30" t="s">
        <v>3390</v>
      </c>
      <c r="L9996" s="30" t="s">
        <v>3442</v>
      </c>
      <c r="N9996" s="30" t="s">
        <v>16354</v>
      </c>
      <c r="P9996" s="30" t="s">
        <v>16506</v>
      </c>
      <c r="Q9996" t="s">
        <v>621</v>
      </c>
      <c r="R9996" t="s">
        <v>918</v>
      </c>
      <c r="S9996">
        <v>39</v>
      </c>
      <c r="T9996" s="29" t="str">
        <f t="shared" si="422"/>
        <v>2023.001B.Leviviricetes_reorg.zip</v>
      </c>
      <c r="U9996" s="29" t="str">
        <f>HYPERLINK("https://ictv.global/taxonomy/taxondetails?taxnode_id=202311036","ictv.global=202311036")</f>
        <v>ictv.global=202311036</v>
      </c>
    </row>
    <row r="9997" spans="1:21">
      <c r="A9997">
        <v>9996</v>
      </c>
      <c r="B9997" s="30" t="s">
        <v>1226</v>
      </c>
      <c r="D9997" s="30" t="s">
        <v>2024</v>
      </c>
      <c r="F9997" s="30" t="s">
        <v>2046</v>
      </c>
      <c r="H9997" s="30" t="s">
        <v>2859</v>
      </c>
      <c r="J9997" s="30" t="s">
        <v>3390</v>
      </c>
      <c r="L9997" s="30" t="s">
        <v>3442</v>
      </c>
      <c r="N9997" s="30" t="s">
        <v>16354</v>
      </c>
      <c r="P9997" s="30" t="s">
        <v>16507</v>
      </c>
      <c r="Q9997" t="s">
        <v>621</v>
      </c>
      <c r="R9997" t="s">
        <v>918</v>
      </c>
      <c r="S9997">
        <v>39</v>
      </c>
      <c r="T9997" s="29" t="str">
        <f t="shared" si="422"/>
        <v>2023.001B.Leviviricetes_reorg.zip</v>
      </c>
      <c r="U9997" s="29" t="str">
        <f>HYPERLINK("https://ictv.global/taxonomy/taxondetails?taxnode_id=202311037","ictv.global=202311037")</f>
        <v>ictv.global=202311037</v>
      </c>
    </row>
    <row r="9998" spans="1:21">
      <c r="A9998">
        <v>9997</v>
      </c>
      <c r="B9998" s="30" t="s">
        <v>1226</v>
      </c>
      <c r="D9998" s="30" t="s">
        <v>2024</v>
      </c>
      <c r="F9998" s="30" t="s">
        <v>2046</v>
      </c>
      <c r="H9998" s="30" t="s">
        <v>2859</v>
      </c>
      <c r="J9998" s="30" t="s">
        <v>3390</v>
      </c>
      <c r="L9998" s="30" t="s">
        <v>3442</v>
      </c>
      <c r="N9998" s="30" t="s">
        <v>16354</v>
      </c>
      <c r="P9998" s="30" t="s">
        <v>16508</v>
      </c>
      <c r="Q9998" t="s">
        <v>621</v>
      </c>
      <c r="R9998" t="s">
        <v>918</v>
      </c>
      <c r="S9998">
        <v>39</v>
      </c>
      <c r="T9998" s="29" t="str">
        <f t="shared" si="422"/>
        <v>2023.001B.Leviviricetes_reorg.zip</v>
      </c>
      <c r="U9998" s="29" t="str">
        <f>HYPERLINK("https://ictv.global/taxonomy/taxondetails?taxnode_id=202311023","ictv.global=202311023")</f>
        <v>ictv.global=202311023</v>
      </c>
    </row>
    <row r="9999" spans="1:21">
      <c r="A9999">
        <v>9998</v>
      </c>
      <c r="B9999" s="30" t="s">
        <v>1226</v>
      </c>
      <c r="D9999" s="30" t="s">
        <v>2024</v>
      </c>
      <c r="F9999" s="30" t="s">
        <v>2046</v>
      </c>
      <c r="H9999" s="30" t="s">
        <v>2859</v>
      </c>
      <c r="J9999" s="30" t="s">
        <v>3390</v>
      </c>
      <c r="L9999" s="30" t="s">
        <v>3442</v>
      </c>
      <c r="N9999" s="30" t="s">
        <v>16354</v>
      </c>
      <c r="P9999" s="30" t="s">
        <v>16509</v>
      </c>
      <c r="Q9999" t="s">
        <v>621</v>
      </c>
      <c r="R9999" t="s">
        <v>917</v>
      </c>
      <c r="S9999">
        <v>39</v>
      </c>
      <c r="T9999" s="29" t="str">
        <f t="shared" si="422"/>
        <v>2023.001B.Leviviricetes_reorg.zip</v>
      </c>
      <c r="U9999" s="29" t="str">
        <f>HYPERLINK("https://ictv.global/taxonomy/taxondetails?taxnode_id=202317235","ictv.global=202317235")</f>
        <v>ictv.global=202317235</v>
      </c>
    </row>
    <row r="10000" spans="1:21">
      <c r="A10000">
        <v>9999</v>
      </c>
      <c r="B10000" s="30" t="s">
        <v>1226</v>
      </c>
      <c r="D10000" s="30" t="s">
        <v>2024</v>
      </c>
      <c r="F10000" s="30" t="s">
        <v>2046</v>
      </c>
      <c r="H10000" s="30" t="s">
        <v>2859</v>
      </c>
      <c r="J10000" s="30" t="s">
        <v>3390</v>
      </c>
      <c r="L10000" s="30" t="s">
        <v>3442</v>
      </c>
      <c r="N10000" s="30" t="s">
        <v>16354</v>
      </c>
      <c r="P10000" s="30" t="s">
        <v>16510</v>
      </c>
      <c r="Q10000" t="s">
        <v>621</v>
      </c>
      <c r="R10000" t="s">
        <v>917</v>
      </c>
      <c r="S10000">
        <v>39</v>
      </c>
      <c r="T10000" s="29" t="str">
        <f t="shared" si="422"/>
        <v>2023.001B.Leviviricetes_reorg.zip</v>
      </c>
      <c r="U10000" s="29" t="str">
        <f>HYPERLINK("https://ictv.global/taxonomy/taxondetails?taxnode_id=202317236","ictv.global=202317236")</f>
        <v>ictv.global=202317236</v>
      </c>
    </row>
    <row r="10001" spans="1:21">
      <c r="A10001">
        <v>10000</v>
      </c>
      <c r="B10001" s="30" t="s">
        <v>1226</v>
      </c>
      <c r="D10001" s="30" t="s">
        <v>2024</v>
      </c>
      <c r="F10001" s="30" t="s">
        <v>2046</v>
      </c>
      <c r="H10001" s="30" t="s">
        <v>2859</v>
      </c>
      <c r="J10001" s="30" t="s">
        <v>3390</v>
      </c>
      <c r="L10001" s="30" t="s">
        <v>3442</v>
      </c>
      <c r="N10001" s="30" t="s">
        <v>16354</v>
      </c>
      <c r="P10001" s="30" t="s">
        <v>16511</v>
      </c>
      <c r="Q10001" t="s">
        <v>621</v>
      </c>
      <c r="R10001" t="s">
        <v>917</v>
      </c>
      <c r="S10001">
        <v>39</v>
      </c>
      <c r="T10001" s="29" t="str">
        <f t="shared" si="422"/>
        <v>2023.001B.Leviviricetes_reorg.zip</v>
      </c>
      <c r="U10001" s="29" t="str">
        <f>HYPERLINK("https://ictv.global/taxonomy/taxondetails?taxnode_id=202317237","ictv.global=202317237")</f>
        <v>ictv.global=202317237</v>
      </c>
    </row>
    <row r="10002" spans="1:21">
      <c r="A10002">
        <v>10001</v>
      </c>
      <c r="B10002" s="30" t="s">
        <v>1226</v>
      </c>
      <c r="D10002" s="30" t="s">
        <v>2024</v>
      </c>
      <c r="F10002" s="30" t="s">
        <v>2046</v>
      </c>
      <c r="H10002" s="30" t="s">
        <v>2859</v>
      </c>
      <c r="J10002" s="30" t="s">
        <v>3390</v>
      </c>
      <c r="L10002" s="30" t="s">
        <v>3442</v>
      </c>
      <c r="N10002" s="30" t="s">
        <v>16354</v>
      </c>
      <c r="P10002" s="30" t="s">
        <v>16512</v>
      </c>
      <c r="Q10002" t="s">
        <v>621</v>
      </c>
      <c r="R10002" t="s">
        <v>917</v>
      </c>
      <c r="S10002">
        <v>39</v>
      </c>
      <c r="T10002" s="29" t="str">
        <f t="shared" si="422"/>
        <v>2023.001B.Leviviricetes_reorg.zip</v>
      </c>
      <c r="U10002" s="29" t="str">
        <f>HYPERLINK("https://ictv.global/taxonomy/taxondetails?taxnode_id=202317238","ictv.global=202317238")</f>
        <v>ictv.global=202317238</v>
      </c>
    </row>
    <row r="10003" spans="1:21">
      <c r="A10003">
        <v>10002</v>
      </c>
      <c r="B10003" s="30" t="s">
        <v>1226</v>
      </c>
      <c r="D10003" s="30" t="s">
        <v>2024</v>
      </c>
      <c r="F10003" s="30" t="s">
        <v>2046</v>
      </c>
      <c r="H10003" s="30" t="s">
        <v>2859</v>
      </c>
      <c r="J10003" s="30" t="s">
        <v>3390</v>
      </c>
      <c r="L10003" s="30" t="s">
        <v>3442</v>
      </c>
      <c r="N10003" s="30" t="s">
        <v>16354</v>
      </c>
      <c r="P10003" s="30" t="s">
        <v>16513</v>
      </c>
      <c r="Q10003" t="s">
        <v>621</v>
      </c>
      <c r="R10003" t="s">
        <v>917</v>
      </c>
      <c r="S10003">
        <v>39</v>
      </c>
      <c r="T10003" s="29" t="str">
        <f t="shared" si="422"/>
        <v>2023.001B.Leviviricetes_reorg.zip</v>
      </c>
      <c r="U10003" s="29" t="str">
        <f>HYPERLINK("https://ictv.global/taxonomy/taxondetails?taxnode_id=202317239","ictv.global=202317239")</f>
        <v>ictv.global=202317239</v>
      </c>
    </row>
    <row r="10004" spans="1:21">
      <c r="A10004">
        <v>10003</v>
      </c>
      <c r="B10004" s="30" t="s">
        <v>1226</v>
      </c>
      <c r="D10004" s="30" t="s">
        <v>2024</v>
      </c>
      <c r="F10004" s="30" t="s">
        <v>2046</v>
      </c>
      <c r="H10004" s="30" t="s">
        <v>2859</v>
      </c>
      <c r="J10004" s="30" t="s">
        <v>3390</v>
      </c>
      <c r="L10004" s="30" t="s">
        <v>3442</v>
      </c>
      <c r="N10004" s="30" t="s">
        <v>16354</v>
      </c>
      <c r="P10004" s="30" t="s">
        <v>16514</v>
      </c>
      <c r="Q10004" t="s">
        <v>621</v>
      </c>
      <c r="R10004" t="s">
        <v>917</v>
      </c>
      <c r="S10004">
        <v>39</v>
      </c>
      <c r="T10004" s="29" t="str">
        <f t="shared" si="422"/>
        <v>2023.001B.Leviviricetes_reorg.zip</v>
      </c>
      <c r="U10004" s="29" t="str">
        <f>HYPERLINK("https://ictv.global/taxonomy/taxondetails?taxnode_id=202317240","ictv.global=202317240")</f>
        <v>ictv.global=202317240</v>
      </c>
    </row>
    <row r="10005" spans="1:21">
      <c r="A10005">
        <v>10004</v>
      </c>
      <c r="B10005" s="30" t="s">
        <v>1226</v>
      </c>
      <c r="D10005" s="30" t="s">
        <v>2024</v>
      </c>
      <c r="F10005" s="30" t="s">
        <v>2046</v>
      </c>
      <c r="H10005" s="30" t="s">
        <v>2859</v>
      </c>
      <c r="J10005" s="30" t="s">
        <v>3390</v>
      </c>
      <c r="L10005" s="30" t="s">
        <v>3442</v>
      </c>
      <c r="N10005" s="30" t="s">
        <v>16354</v>
      </c>
      <c r="P10005" s="30" t="s">
        <v>16515</v>
      </c>
      <c r="Q10005" t="s">
        <v>621</v>
      </c>
      <c r="R10005" t="s">
        <v>918</v>
      </c>
      <c r="S10005">
        <v>39</v>
      </c>
      <c r="T10005" s="29" t="str">
        <f t="shared" si="422"/>
        <v>2023.001B.Leviviricetes_reorg.zip</v>
      </c>
      <c r="U10005" s="29" t="str">
        <f>HYPERLINK("https://ictv.global/taxonomy/taxondetails?taxnode_id=202311168","ictv.global=202311168")</f>
        <v>ictv.global=202311168</v>
      </c>
    </row>
    <row r="10006" spans="1:21">
      <c r="A10006">
        <v>10005</v>
      </c>
      <c r="B10006" s="30" t="s">
        <v>1226</v>
      </c>
      <c r="D10006" s="30" t="s">
        <v>2024</v>
      </c>
      <c r="F10006" s="30" t="s">
        <v>2046</v>
      </c>
      <c r="H10006" s="30" t="s">
        <v>2859</v>
      </c>
      <c r="J10006" s="30" t="s">
        <v>3390</v>
      </c>
      <c r="L10006" s="30" t="s">
        <v>3442</v>
      </c>
      <c r="N10006" s="30" t="s">
        <v>16354</v>
      </c>
      <c r="P10006" s="30" t="s">
        <v>16516</v>
      </c>
      <c r="Q10006" t="s">
        <v>621</v>
      </c>
      <c r="R10006" t="s">
        <v>918</v>
      </c>
      <c r="S10006">
        <v>39</v>
      </c>
      <c r="T10006" s="29" t="str">
        <f t="shared" si="422"/>
        <v>2023.001B.Leviviricetes_reorg.zip</v>
      </c>
      <c r="U10006" s="29" t="str">
        <f>HYPERLINK("https://ictv.global/taxonomy/taxondetails?taxnode_id=202311170","ictv.global=202311170")</f>
        <v>ictv.global=202311170</v>
      </c>
    </row>
    <row r="10007" spans="1:21">
      <c r="A10007">
        <v>10006</v>
      </c>
      <c r="B10007" s="30" t="s">
        <v>1226</v>
      </c>
      <c r="D10007" s="30" t="s">
        <v>2024</v>
      </c>
      <c r="F10007" s="30" t="s">
        <v>2046</v>
      </c>
      <c r="H10007" s="30" t="s">
        <v>2859</v>
      </c>
      <c r="J10007" s="30" t="s">
        <v>3390</v>
      </c>
      <c r="L10007" s="30" t="s">
        <v>3442</v>
      </c>
      <c r="N10007" s="30" t="s">
        <v>16354</v>
      </c>
      <c r="P10007" s="30" t="s">
        <v>16517</v>
      </c>
      <c r="Q10007" t="s">
        <v>621</v>
      </c>
      <c r="R10007" t="s">
        <v>918</v>
      </c>
      <c r="S10007">
        <v>39</v>
      </c>
      <c r="T10007" s="29" t="str">
        <f t="shared" si="422"/>
        <v>2023.001B.Leviviricetes_reorg.zip</v>
      </c>
      <c r="U10007" s="29" t="str">
        <f>HYPERLINK("https://ictv.global/taxonomy/taxondetails?taxnode_id=202311169","ictv.global=202311169")</f>
        <v>ictv.global=202311169</v>
      </c>
    </row>
    <row r="10008" spans="1:21">
      <c r="A10008">
        <v>10007</v>
      </c>
      <c r="B10008" s="30" t="s">
        <v>1226</v>
      </c>
      <c r="D10008" s="30" t="s">
        <v>2024</v>
      </c>
      <c r="F10008" s="30" t="s">
        <v>2046</v>
      </c>
      <c r="H10008" s="30" t="s">
        <v>2859</v>
      </c>
      <c r="J10008" s="30" t="s">
        <v>3390</v>
      </c>
      <c r="L10008" s="30" t="s">
        <v>3442</v>
      </c>
      <c r="N10008" s="30" t="s">
        <v>16354</v>
      </c>
      <c r="P10008" s="30" t="s">
        <v>16518</v>
      </c>
      <c r="Q10008" t="s">
        <v>621</v>
      </c>
      <c r="R10008" t="s">
        <v>918</v>
      </c>
      <c r="S10008">
        <v>39</v>
      </c>
      <c r="T10008" s="29" t="str">
        <f t="shared" si="422"/>
        <v>2023.001B.Leviviricetes_reorg.zip</v>
      </c>
      <c r="U10008" s="29" t="str">
        <f>HYPERLINK("https://ictv.global/taxonomy/taxondetails?taxnode_id=202311171","ictv.global=202311171")</f>
        <v>ictv.global=202311171</v>
      </c>
    </row>
    <row r="10009" spans="1:21">
      <c r="A10009">
        <v>10008</v>
      </c>
      <c r="B10009" s="30" t="s">
        <v>1226</v>
      </c>
      <c r="D10009" s="30" t="s">
        <v>2024</v>
      </c>
      <c r="F10009" s="30" t="s">
        <v>2046</v>
      </c>
      <c r="H10009" s="30" t="s">
        <v>2859</v>
      </c>
      <c r="J10009" s="30" t="s">
        <v>3390</v>
      </c>
      <c r="L10009" s="30" t="s">
        <v>3442</v>
      </c>
      <c r="N10009" s="30" t="s">
        <v>16354</v>
      </c>
      <c r="P10009" s="30" t="s">
        <v>16519</v>
      </c>
      <c r="Q10009" t="s">
        <v>621</v>
      </c>
      <c r="R10009" t="s">
        <v>918</v>
      </c>
      <c r="S10009">
        <v>39</v>
      </c>
      <c r="T10009" s="29" t="str">
        <f t="shared" si="422"/>
        <v>2023.001B.Leviviricetes_reorg.zip</v>
      </c>
      <c r="U10009" s="29" t="str">
        <f>HYPERLINK("https://ictv.global/taxonomy/taxondetails?taxnode_id=202311172","ictv.global=202311172")</f>
        <v>ictv.global=202311172</v>
      </c>
    </row>
    <row r="10010" spans="1:21">
      <c r="A10010">
        <v>10009</v>
      </c>
      <c r="B10010" s="30" t="s">
        <v>1226</v>
      </c>
      <c r="D10010" s="30" t="s">
        <v>2024</v>
      </c>
      <c r="F10010" s="30" t="s">
        <v>2046</v>
      </c>
      <c r="H10010" s="30" t="s">
        <v>2859</v>
      </c>
      <c r="J10010" s="30" t="s">
        <v>3390</v>
      </c>
      <c r="L10010" s="30" t="s">
        <v>3442</v>
      </c>
      <c r="N10010" s="30" t="s">
        <v>16354</v>
      </c>
      <c r="P10010" s="30" t="s">
        <v>16520</v>
      </c>
      <c r="Q10010" t="s">
        <v>621</v>
      </c>
      <c r="R10010" t="s">
        <v>918</v>
      </c>
      <c r="S10010">
        <v>39</v>
      </c>
      <c r="T10010" s="29" t="str">
        <f t="shared" si="422"/>
        <v>2023.001B.Leviviricetes_reorg.zip</v>
      </c>
      <c r="U10010" s="29" t="str">
        <f>HYPERLINK("https://ictv.global/taxonomy/taxondetails?taxnode_id=202311173","ictv.global=202311173")</f>
        <v>ictv.global=202311173</v>
      </c>
    </row>
    <row r="10011" spans="1:21">
      <c r="A10011">
        <v>10010</v>
      </c>
      <c r="B10011" s="30" t="s">
        <v>1226</v>
      </c>
      <c r="D10011" s="30" t="s">
        <v>2024</v>
      </c>
      <c r="F10011" s="30" t="s">
        <v>2046</v>
      </c>
      <c r="H10011" s="30" t="s">
        <v>2859</v>
      </c>
      <c r="J10011" s="30" t="s">
        <v>3390</v>
      </c>
      <c r="L10011" s="30" t="s">
        <v>3442</v>
      </c>
      <c r="N10011" s="30" t="s">
        <v>16354</v>
      </c>
      <c r="P10011" s="30" t="s">
        <v>16521</v>
      </c>
      <c r="Q10011" t="s">
        <v>621</v>
      </c>
      <c r="R10011" t="s">
        <v>917</v>
      </c>
      <c r="S10011">
        <v>39</v>
      </c>
      <c r="T10011" s="29" t="str">
        <f t="shared" si="422"/>
        <v>2023.001B.Leviviricetes_reorg.zip</v>
      </c>
      <c r="U10011" s="29" t="str">
        <f>HYPERLINK("https://ictv.global/taxonomy/taxondetails?taxnode_id=202317241","ictv.global=202317241")</f>
        <v>ictv.global=202317241</v>
      </c>
    </row>
    <row r="10012" spans="1:21">
      <c r="A10012">
        <v>10011</v>
      </c>
      <c r="B10012" s="30" t="s">
        <v>1226</v>
      </c>
      <c r="D10012" s="30" t="s">
        <v>2024</v>
      </c>
      <c r="F10012" s="30" t="s">
        <v>2046</v>
      </c>
      <c r="H10012" s="30" t="s">
        <v>2859</v>
      </c>
      <c r="J10012" s="30" t="s">
        <v>3390</v>
      </c>
      <c r="L10012" s="30" t="s">
        <v>3442</v>
      </c>
      <c r="N10012" s="30" t="s">
        <v>16354</v>
      </c>
      <c r="P10012" s="30" t="s">
        <v>16522</v>
      </c>
      <c r="Q10012" t="s">
        <v>621</v>
      </c>
      <c r="R10012" t="s">
        <v>917</v>
      </c>
      <c r="S10012">
        <v>39</v>
      </c>
      <c r="T10012" s="29" t="str">
        <f t="shared" si="422"/>
        <v>2023.001B.Leviviricetes_reorg.zip</v>
      </c>
      <c r="U10012" s="29" t="str">
        <f>HYPERLINK("https://ictv.global/taxonomy/taxondetails?taxnode_id=202317242","ictv.global=202317242")</f>
        <v>ictv.global=202317242</v>
      </c>
    </row>
    <row r="10013" spans="1:21">
      <c r="A10013">
        <v>10012</v>
      </c>
      <c r="B10013" s="30" t="s">
        <v>1226</v>
      </c>
      <c r="D10013" s="30" t="s">
        <v>2024</v>
      </c>
      <c r="F10013" s="30" t="s">
        <v>2046</v>
      </c>
      <c r="H10013" s="30" t="s">
        <v>2859</v>
      </c>
      <c r="J10013" s="30" t="s">
        <v>3390</v>
      </c>
      <c r="L10013" s="30" t="s">
        <v>3442</v>
      </c>
      <c r="N10013" s="30" t="s">
        <v>16354</v>
      </c>
      <c r="P10013" s="30" t="s">
        <v>16523</v>
      </c>
      <c r="Q10013" t="s">
        <v>621</v>
      </c>
      <c r="R10013" t="s">
        <v>917</v>
      </c>
      <c r="S10013">
        <v>39</v>
      </c>
      <c r="T10013" s="29" t="str">
        <f t="shared" si="422"/>
        <v>2023.001B.Leviviricetes_reorg.zip</v>
      </c>
      <c r="U10013" s="29" t="str">
        <f>HYPERLINK("https://ictv.global/taxonomy/taxondetails?taxnode_id=202317243","ictv.global=202317243")</f>
        <v>ictv.global=202317243</v>
      </c>
    </row>
    <row r="10014" spans="1:21">
      <c r="A10014">
        <v>10013</v>
      </c>
      <c r="B10014" s="30" t="s">
        <v>1226</v>
      </c>
      <c r="D10014" s="30" t="s">
        <v>2024</v>
      </c>
      <c r="F10014" s="30" t="s">
        <v>2046</v>
      </c>
      <c r="H10014" s="30" t="s">
        <v>2859</v>
      </c>
      <c r="J10014" s="30" t="s">
        <v>3390</v>
      </c>
      <c r="L10014" s="30" t="s">
        <v>3442</v>
      </c>
      <c r="N10014" s="30" t="s">
        <v>16354</v>
      </c>
      <c r="P10014" s="30" t="s">
        <v>16524</v>
      </c>
      <c r="Q10014" t="s">
        <v>621</v>
      </c>
      <c r="R10014" t="s">
        <v>917</v>
      </c>
      <c r="S10014">
        <v>39</v>
      </c>
      <c r="T10014" s="29" t="str">
        <f t="shared" si="422"/>
        <v>2023.001B.Leviviricetes_reorg.zip</v>
      </c>
      <c r="U10014" s="29" t="str">
        <f>HYPERLINK("https://ictv.global/taxonomy/taxondetails?taxnode_id=202317244","ictv.global=202317244")</f>
        <v>ictv.global=202317244</v>
      </c>
    </row>
    <row r="10015" spans="1:21">
      <c r="A10015">
        <v>10014</v>
      </c>
      <c r="B10015" s="30" t="s">
        <v>1226</v>
      </c>
      <c r="D10015" s="30" t="s">
        <v>2024</v>
      </c>
      <c r="F10015" s="30" t="s">
        <v>2046</v>
      </c>
      <c r="H10015" s="30" t="s">
        <v>2859</v>
      </c>
      <c r="J10015" s="30" t="s">
        <v>3390</v>
      </c>
      <c r="L10015" s="30" t="s">
        <v>3442</v>
      </c>
      <c r="N10015" s="30" t="s">
        <v>16354</v>
      </c>
      <c r="P10015" s="30" t="s">
        <v>16525</v>
      </c>
      <c r="Q10015" t="s">
        <v>621</v>
      </c>
      <c r="R10015" t="s">
        <v>918</v>
      </c>
      <c r="S10015">
        <v>39</v>
      </c>
      <c r="T10015" s="29" t="str">
        <f t="shared" si="422"/>
        <v>2023.001B.Leviviricetes_reorg.zip</v>
      </c>
      <c r="U10015" s="29" t="str">
        <f>HYPERLINK("https://ictv.global/taxonomy/taxondetails?taxnode_id=202311038","ictv.global=202311038")</f>
        <v>ictv.global=202311038</v>
      </c>
    </row>
    <row r="10016" spans="1:21">
      <c r="A10016">
        <v>10015</v>
      </c>
      <c r="B10016" s="30" t="s">
        <v>1226</v>
      </c>
      <c r="D10016" s="30" t="s">
        <v>2024</v>
      </c>
      <c r="F10016" s="30" t="s">
        <v>2046</v>
      </c>
      <c r="H10016" s="30" t="s">
        <v>2859</v>
      </c>
      <c r="J10016" s="30" t="s">
        <v>3390</v>
      </c>
      <c r="L10016" s="30" t="s">
        <v>3442</v>
      </c>
      <c r="N10016" s="30" t="s">
        <v>16354</v>
      </c>
      <c r="P10016" s="30" t="s">
        <v>16526</v>
      </c>
      <c r="Q10016" t="s">
        <v>621</v>
      </c>
      <c r="R10016" t="s">
        <v>918</v>
      </c>
      <c r="S10016">
        <v>39</v>
      </c>
      <c r="T10016" s="29" t="str">
        <f t="shared" si="422"/>
        <v>2023.001B.Leviviricetes_reorg.zip</v>
      </c>
      <c r="U10016" s="29" t="str">
        <f>HYPERLINK("https://ictv.global/taxonomy/taxondetails?taxnode_id=202311039","ictv.global=202311039")</f>
        <v>ictv.global=202311039</v>
      </c>
    </row>
    <row r="10017" spans="1:21">
      <c r="A10017">
        <v>10016</v>
      </c>
      <c r="B10017" s="30" t="s">
        <v>1226</v>
      </c>
      <c r="D10017" s="30" t="s">
        <v>2024</v>
      </c>
      <c r="F10017" s="30" t="s">
        <v>2046</v>
      </c>
      <c r="H10017" s="30" t="s">
        <v>2859</v>
      </c>
      <c r="J10017" s="30" t="s">
        <v>3390</v>
      </c>
      <c r="L10017" s="30" t="s">
        <v>3442</v>
      </c>
      <c r="N10017" s="30" t="s">
        <v>16354</v>
      </c>
      <c r="P10017" s="30" t="s">
        <v>16527</v>
      </c>
      <c r="Q10017" t="s">
        <v>621</v>
      </c>
      <c r="R10017" t="s">
        <v>918</v>
      </c>
      <c r="S10017">
        <v>39</v>
      </c>
      <c r="T10017" s="29" t="str">
        <f t="shared" si="422"/>
        <v>2023.001B.Leviviricetes_reorg.zip</v>
      </c>
      <c r="U10017" s="29" t="str">
        <f>HYPERLINK("https://ictv.global/taxonomy/taxondetails?taxnode_id=202311040","ictv.global=202311040")</f>
        <v>ictv.global=202311040</v>
      </c>
    </row>
    <row r="10018" spans="1:21">
      <c r="A10018">
        <v>10017</v>
      </c>
      <c r="B10018" s="30" t="s">
        <v>1226</v>
      </c>
      <c r="D10018" s="30" t="s">
        <v>2024</v>
      </c>
      <c r="F10018" s="30" t="s">
        <v>2046</v>
      </c>
      <c r="H10018" s="30" t="s">
        <v>2859</v>
      </c>
      <c r="J10018" s="30" t="s">
        <v>3390</v>
      </c>
      <c r="L10018" s="30" t="s">
        <v>3442</v>
      </c>
      <c r="N10018" s="30" t="s">
        <v>16354</v>
      </c>
      <c r="P10018" s="30" t="s">
        <v>16528</v>
      </c>
      <c r="Q10018" t="s">
        <v>621</v>
      </c>
      <c r="R10018" t="s">
        <v>918</v>
      </c>
      <c r="S10018">
        <v>39</v>
      </c>
      <c r="T10018" s="29" t="str">
        <f t="shared" si="422"/>
        <v>2023.001B.Leviviricetes_reorg.zip</v>
      </c>
      <c r="U10018" s="29" t="str">
        <f>HYPERLINK("https://ictv.global/taxonomy/taxondetails?taxnode_id=202311041","ictv.global=202311041")</f>
        <v>ictv.global=202311041</v>
      </c>
    </row>
    <row r="10019" spans="1:21">
      <c r="A10019">
        <v>10018</v>
      </c>
      <c r="B10019" s="30" t="s">
        <v>1226</v>
      </c>
      <c r="D10019" s="30" t="s">
        <v>2024</v>
      </c>
      <c r="F10019" s="30" t="s">
        <v>2046</v>
      </c>
      <c r="H10019" s="30" t="s">
        <v>2859</v>
      </c>
      <c r="J10019" s="30" t="s">
        <v>3390</v>
      </c>
      <c r="L10019" s="30" t="s">
        <v>3442</v>
      </c>
      <c r="N10019" s="30" t="s">
        <v>16354</v>
      </c>
      <c r="P10019" s="30" t="s">
        <v>16529</v>
      </c>
      <c r="Q10019" t="s">
        <v>621</v>
      </c>
      <c r="R10019" t="s">
        <v>918</v>
      </c>
      <c r="S10019">
        <v>39</v>
      </c>
      <c r="T10019" s="29" t="str">
        <f t="shared" si="422"/>
        <v>2023.001B.Leviviricetes_reorg.zip</v>
      </c>
      <c r="U10019" s="29" t="str">
        <f>HYPERLINK("https://ictv.global/taxonomy/taxondetails?taxnode_id=202311042","ictv.global=202311042")</f>
        <v>ictv.global=202311042</v>
      </c>
    </row>
    <row r="10020" spans="1:21">
      <c r="A10020">
        <v>10019</v>
      </c>
      <c r="B10020" s="30" t="s">
        <v>1226</v>
      </c>
      <c r="D10020" s="30" t="s">
        <v>2024</v>
      </c>
      <c r="F10020" s="30" t="s">
        <v>2046</v>
      </c>
      <c r="H10020" s="30" t="s">
        <v>2859</v>
      </c>
      <c r="J10020" s="30" t="s">
        <v>3390</v>
      </c>
      <c r="L10020" s="30" t="s">
        <v>3442</v>
      </c>
      <c r="N10020" s="30" t="s">
        <v>16354</v>
      </c>
      <c r="P10020" s="30" t="s">
        <v>16530</v>
      </c>
      <c r="Q10020" t="s">
        <v>621</v>
      </c>
      <c r="R10020" t="s">
        <v>918</v>
      </c>
      <c r="S10020">
        <v>39</v>
      </c>
      <c r="T10020" s="29" t="str">
        <f t="shared" si="422"/>
        <v>2023.001B.Leviviricetes_reorg.zip</v>
      </c>
      <c r="U10020" s="29" t="str">
        <f>HYPERLINK("https://ictv.global/taxonomy/taxondetails?taxnode_id=202311043","ictv.global=202311043")</f>
        <v>ictv.global=202311043</v>
      </c>
    </row>
    <row r="10021" spans="1:21">
      <c r="A10021">
        <v>10020</v>
      </c>
      <c r="B10021" s="30" t="s">
        <v>1226</v>
      </c>
      <c r="D10021" s="30" t="s">
        <v>2024</v>
      </c>
      <c r="F10021" s="30" t="s">
        <v>2046</v>
      </c>
      <c r="H10021" s="30" t="s">
        <v>2859</v>
      </c>
      <c r="J10021" s="30" t="s">
        <v>3390</v>
      </c>
      <c r="L10021" s="30" t="s">
        <v>3442</v>
      </c>
      <c r="N10021" s="30" t="s">
        <v>16354</v>
      </c>
      <c r="P10021" s="30" t="s">
        <v>16531</v>
      </c>
      <c r="Q10021" t="s">
        <v>621</v>
      </c>
      <c r="R10021" t="s">
        <v>917</v>
      </c>
      <c r="S10021">
        <v>39</v>
      </c>
      <c r="T10021" s="29" t="str">
        <f t="shared" si="422"/>
        <v>2023.001B.Leviviricetes_reorg.zip</v>
      </c>
      <c r="U10021" s="29" t="str">
        <f>HYPERLINK("https://ictv.global/taxonomy/taxondetails?taxnode_id=202317245","ictv.global=202317245")</f>
        <v>ictv.global=202317245</v>
      </c>
    </row>
    <row r="10022" spans="1:21">
      <c r="A10022">
        <v>10021</v>
      </c>
      <c r="B10022" s="30" t="s">
        <v>1226</v>
      </c>
      <c r="D10022" s="30" t="s">
        <v>2024</v>
      </c>
      <c r="F10022" s="30" t="s">
        <v>2046</v>
      </c>
      <c r="H10022" s="30" t="s">
        <v>2859</v>
      </c>
      <c r="J10022" s="30" t="s">
        <v>3390</v>
      </c>
      <c r="L10022" s="30" t="s">
        <v>3442</v>
      </c>
      <c r="N10022" s="30" t="s">
        <v>16354</v>
      </c>
      <c r="P10022" s="30" t="s">
        <v>16532</v>
      </c>
      <c r="Q10022" t="s">
        <v>621</v>
      </c>
      <c r="R10022" t="s">
        <v>917</v>
      </c>
      <c r="S10022">
        <v>39</v>
      </c>
      <c r="T10022" s="29" t="str">
        <f t="shared" si="422"/>
        <v>2023.001B.Leviviricetes_reorg.zip</v>
      </c>
      <c r="U10022" s="29" t="str">
        <f>HYPERLINK("https://ictv.global/taxonomy/taxondetails?taxnode_id=202317246","ictv.global=202317246")</f>
        <v>ictv.global=202317246</v>
      </c>
    </row>
    <row r="10023" spans="1:21">
      <c r="A10023">
        <v>10022</v>
      </c>
      <c r="B10023" s="30" t="s">
        <v>1226</v>
      </c>
      <c r="D10023" s="30" t="s">
        <v>2024</v>
      </c>
      <c r="F10023" s="30" t="s">
        <v>2046</v>
      </c>
      <c r="H10023" s="30" t="s">
        <v>2859</v>
      </c>
      <c r="J10023" s="30" t="s">
        <v>3390</v>
      </c>
      <c r="L10023" s="30" t="s">
        <v>3442</v>
      </c>
      <c r="N10023" s="30" t="s">
        <v>16354</v>
      </c>
      <c r="P10023" s="30" t="s">
        <v>16533</v>
      </c>
      <c r="Q10023" t="s">
        <v>621</v>
      </c>
      <c r="R10023" t="s">
        <v>917</v>
      </c>
      <c r="S10023">
        <v>39</v>
      </c>
      <c r="T10023" s="29" t="str">
        <f t="shared" si="422"/>
        <v>2023.001B.Leviviricetes_reorg.zip</v>
      </c>
      <c r="U10023" s="29" t="str">
        <f>HYPERLINK("https://ictv.global/taxonomy/taxondetails?taxnode_id=202317247","ictv.global=202317247")</f>
        <v>ictv.global=202317247</v>
      </c>
    </row>
    <row r="10024" spans="1:21">
      <c r="A10024">
        <v>10023</v>
      </c>
      <c r="B10024" s="30" t="s">
        <v>1226</v>
      </c>
      <c r="D10024" s="30" t="s">
        <v>2024</v>
      </c>
      <c r="F10024" s="30" t="s">
        <v>2046</v>
      </c>
      <c r="H10024" s="30" t="s">
        <v>2859</v>
      </c>
      <c r="J10024" s="30" t="s">
        <v>3390</v>
      </c>
      <c r="L10024" s="30" t="s">
        <v>3442</v>
      </c>
      <c r="N10024" s="30" t="s">
        <v>16354</v>
      </c>
      <c r="P10024" s="30" t="s">
        <v>16534</v>
      </c>
      <c r="Q10024" t="s">
        <v>621</v>
      </c>
      <c r="R10024" t="s">
        <v>917</v>
      </c>
      <c r="S10024">
        <v>39</v>
      </c>
      <c r="T10024" s="29" t="str">
        <f t="shared" si="422"/>
        <v>2023.001B.Leviviricetes_reorg.zip</v>
      </c>
      <c r="U10024" s="29" t="str">
        <f>HYPERLINK("https://ictv.global/taxonomy/taxondetails?taxnode_id=202317248","ictv.global=202317248")</f>
        <v>ictv.global=202317248</v>
      </c>
    </row>
    <row r="10025" spans="1:21">
      <c r="A10025">
        <v>10024</v>
      </c>
      <c r="B10025" s="30" t="s">
        <v>1226</v>
      </c>
      <c r="D10025" s="30" t="s">
        <v>2024</v>
      </c>
      <c r="F10025" s="30" t="s">
        <v>2046</v>
      </c>
      <c r="H10025" s="30" t="s">
        <v>2859</v>
      </c>
      <c r="J10025" s="30" t="s">
        <v>3390</v>
      </c>
      <c r="L10025" s="30" t="s">
        <v>3442</v>
      </c>
      <c r="N10025" s="30" t="s">
        <v>16354</v>
      </c>
      <c r="P10025" s="30" t="s">
        <v>16535</v>
      </c>
      <c r="Q10025" t="s">
        <v>621</v>
      </c>
      <c r="R10025" t="s">
        <v>917</v>
      </c>
      <c r="S10025">
        <v>39</v>
      </c>
      <c r="T10025" s="29" t="str">
        <f t="shared" si="422"/>
        <v>2023.001B.Leviviricetes_reorg.zip</v>
      </c>
      <c r="U10025" s="29" t="str">
        <f>HYPERLINK("https://ictv.global/taxonomy/taxondetails?taxnode_id=202317249","ictv.global=202317249")</f>
        <v>ictv.global=202317249</v>
      </c>
    </row>
    <row r="10026" spans="1:21">
      <c r="A10026">
        <v>10025</v>
      </c>
      <c r="B10026" s="30" t="s">
        <v>1226</v>
      </c>
      <c r="D10026" s="30" t="s">
        <v>2024</v>
      </c>
      <c r="F10026" s="30" t="s">
        <v>2046</v>
      </c>
      <c r="H10026" s="30" t="s">
        <v>2859</v>
      </c>
      <c r="J10026" s="30" t="s">
        <v>3390</v>
      </c>
      <c r="L10026" s="30" t="s">
        <v>3442</v>
      </c>
      <c r="N10026" s="30" t="s">
        <v>16354</v>
      </c>
      <c r="P10026" s="30" t="s">
        <v>16536</v>
      </c>
      <c r="Q10026" t="s">
        <v>621</v>
      </c>
      <c r="R10026" t="s">
        <v>917</v>
      </c>
      <c r="S10026">
        <v>39</v>
      </c>
      <c r="T10026" s="29" t="str">
        <f t="shared" si="422"/>
        <v>2023.001B.Leviviricetes_reorg.zip</v>
      </c>
      <c r="U10026" s="29" t="str">
        <f>HYPERLINK("https://ictv.global/taxonomy/taxondetails?taxnode_id=202317250","ictv.global=202317250")</f>
        <v>ictv.global=202317250</v>
      </c>
    </row>
    <row r="10027" spans="1:21">
      <c r="A10027">
        <v>10026</v>
      </c>
      <c r="B10027" s="30" t="s">
        <v>1226</v>
      </c>
      <c r="D10027" s="30" t="s">
        <v>2024</v>
      </c>
      <c r="F10027" s="30" t="s">
        <v>2046</v>
      </c>
      <c r="H10027" s="30" t="s">
        <v>2859</v>
      </c>
      <c r="J10027" s="30" t="s">
        <v>3390</v>
      </c>
      <c r="L10027" s="30" t="s">
        <v>3442</v>
      </c>
      <c r="N10027" s="30" t="s">
        <v>16354</v>
      </c>
      <c r="P10027" s="30" t="s">
        <v>16537</v>
      </c>
      <c r="Q10027" t="s">
        <v>621</v>
      </c>
      <c r="R10027" t="s">
        <v>917</v>
      </c>
      <c r="S10027">
        <v>39</v>
      </c>
      <c r="T10027" s="29" t="str">
        <f t="shared" si="422"/>
        <v>2023.001B.Leviviricetes_reorg.zip</v>
      </c>
      <c r="U10027" s="29" t="str">
        <f>HYPERLINK("https://ictv.global/taxonomy/taxondetails?taxnode_id=202317251","ictv.global=202317251")</f>
        <v>ictv.global=202317251</v>
      </c>
    </row>
    <row r="10028" spans="1:21">
      <c r="A10028">
        <v>10027</v>
      </c>
      <c r="B10028" s="30" t="s">
        <v>1226</v>
      </c>
      <c r="D10028" s="30" t="s">
        <v>2024</v>
      </c>
      <c r="F10028" s="30" t="s">
        <v>2046</v>
      </c>
      <c r="H10028" s="30" t="s">
        <v>2859</v>
      </c>
      <c r="J10028" s="30" t="s">
        <v>3390</v>
      </c>
      <c r="L10028" s="30" t="s">
        <v>3442</v>
      </c>
      <c r="N10028" s="30" t="s">
        <v>16354</v>
      </c>
      <c r="P10028" s="30" t="s">
        <v>16538</v>
      </c>
      <c r="Q10028" t="s">
        <v>621</v>
      </c>
      <c r="R10028" t="s">
        <v>917</v>
      </c>
      <c r="S10028">
        <v>39</v>
      </c>
      <c r="T10028" s="29" t="str">
        <f t="shared" si="422"/>
        <v>2023.001B.Leviviricetes_reorg.zip</v>
      </c>
      <c r="U10028" s="29" t="str">
        <f>HYPERLINK("https://ictv.global/taxonomy/taxondetails?taxnode_id=202317252","ictv.global=202317252")</f>
        <v>ictv.global=202317252</v>
      </c>
    </row>
    <row r="10029" spans="1:21">
      <c r="A10029">
        <v>10028</v>
      </c>
      <c r="B10029" s="30" t="s">
        <v>1226</v>
      </c>
      <c r="D10029" s="30" t="s">
        <v>2024</v>
      </c>
      <c r="F10029" s="30" t="s">
        <v>2046</v>
      </c>
      <c r="H10029" s="30" t="s">
        <v>2859</v>
      </c>
      <c r="J10029" s="30" t="s">
        <v>3390</v>
      </c>
      <c r="L10029" s="30" t="s">
        <v>3442</v>
      </c>
      <c r="N10029" s="30" t="s">
        <v>16354</v>
      </c>
      <c r="P10029" s="30" t="s">
        <v>16539</v>
      </c>
      <c r="Q10029" t="s">
        <v>621</v>
      </c>
      <c r="R10029" t="s">
        <v>918</v>
      </c>
      <c r="S10029">
        <v>39</v>
      </c>
      <c r="T10029" s="29" t="str">
        <f t="shared" si="422"/>
        <v>2023.001B.Leviviricetes_reorg.zip</v>
      </c>
      <c r="U10029" s="29" t="str">
        <f>HYPERLINK("https://ictv.global/taxonomy/taxondetails?taxnode_id=202311416","ictv.global=202311416")</f>
        <v>ictv.global=202311416</v>
      </c>
    </row>
    <row r="10030" spans="1:21">
      <c r="A10030">
        <v>10029</v>
      </c>
      <c r="B10030" s="30" t="s">
        <v>1226</v>
      </c>
      <c r="D10030" s="30" t="s">
        <v>2024</v>
      </c>
      <c r="F10030" s="30" t="s">
        <v>2046</v>
      </c>
      <c r="H10030" s="30" t="s">
        <v>2859</v>
      </c>
      <c r="J10030" s="30" t="s">
        <v>3390</v>
      </c>
      <c r="L10030" s="30" t="s">
        <v>3442</v>
      </c>
      <c r="N10030" s="30" t="s">
        <v>16354</v>
      </c>
      <c r="P10030" s="30" t="s">
        <v>16540</v>
      </c>
      <c r="Q10030" t="s">
        <v>621</v>
      </c>
      <c r="R10030" t="s">
        <v>917</v>
      </c>
      <c r="S10030">
        <v>39</v>
      </c>
      <c r="T10030" s="29" t="str">
        <f t="shared" si="422"/>
        <v>2023.001B.Leviviricetes_reorg.zip</v>
      </c>
      <c r="U10030" s="29" t="str">
        <f>HYPERLINK("https://ictv.global/taxonomy/taxondetails?taxnode_id=202317253","ictv.global=202317253")</f>
        <v>ictv.global=202317253</v>
      </c>
    </row>
    <row r="10031" spans="1:21">
      <c r="A10031">
        <v>10030</v>
      </c>
      <c r="B10031" s="30" t="s">
        <v>1226</v>
      </c>
      <c r="D10031" s="30" t="s">
        <v>2024</v>
      </c>
      <c r="F10031" s="30" t="s">
        <v>2046</v>
      </c>
      <c r="H10031" s="30" t="s">
        <v>2859</v>
      </c>
      <c r="J10031" s="30" t="s">
        <v>3390</v>
      </c>
      <c r="L10031" s="30" t="s">
        <v>3442</v>
      </c>
      <c r="N10031" s="30" t="s">
        <v>16354</v>
      </c>
      <c r="P10031" s="30" t="s">
        <v>16541</v>
      </c>
      <c r="Q10031" t="s">
        <v>621</v>
      </c>
      <c r="R10031" t="s">
        <v>917</v>
      </c>
      <c r="S10031">
        <v>39</v>
      </c>
      <c r="T10031" s="29" t="str">
        <f t="shared" si="422"/>
        <v>2023.001B.Leviviricetes_reorg.zip</v>
      </c>
      <c r="U10031" s="29" t="str">
        <f>HYPERLINK("https://ictv.global/taxonomy/taxondetails?taxnode_id=202317254","ictv.global=202317254")</f>
        <v>ictv.global=202317254</v>
      </c>
    </row>
    <row r="10032" spans="1:21">
      <c r="A10032">
        <v>10031</v>
      </c>
      <c r="B10032" s="30" t="s">
        <v>1226</v>
      </c>
      <c r="D10032" s="30" t="s">
        <v>2024</v>
      </c>
      <c r="F10032" s="30" t="s">
        <v>2046</v>
      </c>
      <c r="H10032" s="30" t="s">
        <v>2859</v>
      </c>
      <c r="J10032" s="30" t="s">
        <v>3390</v>
      </c>
      <c r="L10032" s="30" t="s">
        <v>3442</v>
      </c>
      <c r="N10032" s="30" t="s">
        <v>16354</v>
      </c>
      <c r="P10032" s="30" t="s">
        <v>16542</v>
      </c>
      <c r="Q10032" t="s">
        <v>621</v>
      </c>
      <c r="R10032" t="s">
        <v>917</v>
      </c>
      <c r="S10032">
        <v>39</v>
      </c>
      <c r="T10032" s="29" t="str">
        <f t="shared" si="422"/>
        <v>2023.001B.Leviviricetes_reorg.zip</v>
      </c>
      <c r="U10032" s="29" t="str">
        <f>HYPERLINK("https://ictv.global/taxonomy/taxondetails?taxnode_id=202317255","ictv.global=202317255")</f>
        <v>ictv.global=202317255</v>
      </c>
    </row>
    <row r="10033" spans="1:21">
      <c r="A10033">
        <v>10032</v>
      </c>
      <c r="B10033" s="30" t="s">
        <v>1226</v>
      </c>
      <c r="D10033" s="30" t="s">
        <v>2024</v>
      </c>
      <c r="F10033" s="30" t="s">
        <v>2046</v>
      </c>
      <c r="H10033" s="30" t="s">
        <v>2859</v>
      </c>
      <c r="J10033" s="30" t="s">
        <v>3390</v>
      </c>
      <c r="L10033" s="30" t="s">
        <v>3442</v>
      </c>
      <c r="N10033" s="30" t="s">
        <v>16354</v>
      </c>
      <c r="P10033" s="30" t="s">
        <v>16543</v>
      </c>
      <c r="Q10033" t="s">
        <v>621</v>
      </c>
      <c r="R10033" t="s">
        <v>917</v>
      </c>
      <c r="S10033">
        <v>39</v>
      </c>
      <c r="T10033" s="29" t="str">
        <f t="shared" si="422"/>
        <v>2023.001B.Leviviricetes_reorg.zip</v>
      </c>
      <c r="U10033" s="29" t="str">
        <f>HYPERLINK("https://ictv.global/taxonomy/taxondetails?taxnode_id=202317256","ictv.global=202317256")</f>
        <v>ictv.global=202317256</v>
      </c>
    </row>
    <row r="10034" spans="1:21">
      <c r="A10034">
        <v>10033</v>
      </c>
      <c r="B10034" s="30" t="s">
        <v>1226</v>
      </c>
      <c r="D10034" s="30" t="s">
        <v>2024</v>
      </c>
      <c r="F10034" s="30" t="s">
        <v>2046</v>
      </c>
      <c r="H10034" s="30" t="s">
        <v>2859</v>
      </c>
      <c r="J10034" s="30" t="s">
        <v>3390</v>
      </c>
      <c r="L10034" s="30" t="s">
        <v>3442</v>
      </c>
      <c r="N10034" s="30" t="s">
        <v>16354</v>
      </c>
      <c r="P10034" s="30" t="s">
        <v>16544</v>
      </c>
      <c r="Q10034" t="s">
        <v>621</v>
      </c>
      <c r="R10034" t="s">
        <v>918</v>
      </c>
      <c r="S10034">
        <v>39</v>
      </c>
      <c r="T10034" s="29" t="str">
        <f t="shared" si="422"/>
        <v>2023.001B.Leviviricetes_reorg.zip</v>
      </c>
      <c r="U10034" s="29" t="str">
        <f>HYPERLINK("https://ictv.global/taxonomy/taxondetails?taxnode_id=202310982","ictv.global=202310982")</f>
        <v>ictv.global=202310982</v>
      </c>
    </row>
    <row r="10035" spans="1:21">
      <c r="A10035">
        <v>10034</v>
      </c>
      <c r="B10035" s="30" t="s">
        <v>1226</v>
      </c>
      <c r="D10035" s="30" t="s">
        <v>2024</v>
      </c>
      <c r="F10035" s="30" t="s">
        <v>2046</v>
      </c>
      <c r="H10035" s="30" t="s">
        <v>2859</v>
      </c>
      <c r="J10035" s="30" t="s">
        <v>3390</v>
      </c>
      <c r="L10035" s="30" t="s">
        <v>3442</v>
      </c>
      <c r="N10035" s="30" t="s">
        <v>16354</v>
      </c>
      <c r="P10035" s="30" t="s">
        <v>16545</v>
      </c>
      <c r="Q10035" t="s">
        <v>621</v>
      </c>
      <c r="R10035" t="s">
        <v>918</v>
      </c>
      <c r="S10035">
        <v>39</v>
      </c>
      <c r="T10035" s="29" t="str">
        <f t="shared" si="422"/>
        <v>2023.001B.Leviviricetes_reorg.zip</v>
      </c>
      <c r="U10035" s="29" t="str">
        <f>HYPERLINK("https://ictv.global/taxonomy/taxondetails?taxnode_id=202310981","ictv.global=202310981")</f>
        <v>ictv.global=202310981</v>
      </c>
    </row>
    <row r="10036" spans="1:21">
      <c r="A10036">
        <v>10035</v>
      </c>
      <c r="B10036" s="30" t="s">
        <v>1226</v>
      </c>
      <c r="D10036" s="30" t="s">
        <v>2024</v>
      </c>
      <c r="F10036" s="30" t="s">
        <v>2046</v>
      </c>
      <c r="H10036" s="30" t="s">
        <v>2859</v>
      </c>
      <c r="J10036" s="30" t="s">
        <v>3390</v>
      </c>
      <c r="L10036" s="30" t="s">
        <v>3442</v>
      </c>
      <c r="N10036" s="30" t="s">
        <v>16354</v>
      </c>
      <c r="P10036" s="30" t="s">
        <v>16546</v>
      </c>
      <c r="Q10036" t="s">
        <v>621</v>
      </c>
      <c r="R10036" t="s">
        <v>918</v>
      </c>
      <c r="S10036">
        <v>39</v>
      </c>
      <c r="T10036" s="29" t="str">
        <f t="shared" si="422"/>
        <v>2023.001B.Leviviricetes_reorg.zip</v>
      </c>
      <c r="U10036" s="29" t="str">
        <f>HYPERLINK("https://ictv.global/taxonomy/taxondetails?taxnode_id=202310984","ictv.global=202310984")</f>
        <v>ictv.global=202310984</v>
      </c>
    </row>
    <row r="10037" spans="1:21">
      <c r="A10037">
        <v>10036</v>
      </c>
      <c r="B10037" s="30" t="s">
        <v>1226</v>
      </c>
      <c r="D10037" s="30" t="s">
        <v>2024</v>
      </c>
      <c r="F10037" s="30" t="s">
        <v>2046</v>
      </c>
      <c r="H10037" s="30" t="s">
        <v>2859</v>
      </c>
      <c r="J10037" s="30" t="s">
        <v>3390</v>
      </c>
      <c r="L10037" s="30" t="s">
        <v>3442</v>
      </c>
      <c r="N10037" s="30" t="s">
        <v>16354</v>
      </c>
      <c r="P10037" s="30" t="s">
        <v>16547</v>
      </c>
      <c r="Q10037" t="s">
        <v>621</v>
      </c>
      <c r="R10037" t="s">
        <v>918</v>
      </c>
      <c r="S10037">
        <v>39</v>
      </c>
      <c r="T10037" s="29" t="str">
        <f t="shared" si="422"/>
        <v>2023.001B.Leviviricetes_reorg.zip</v>
      </c>
      <c r="U10037" s="29" t="str">
        <f>HYPERLINK("https://ictv.global/taxonomy/taxondetails?taxnode_id=202311214","ictv.global=202311214")</f>
        <v>ictv.global=202311214</v>
      </c>
    </row>
    <row r="10038" spans="1:21">
      <c r="A10038">
        <v>10037</v>
      </c>
      <c r="B10038" s="30" t="s">
        <v>1226</v>
      </c>
      <c r="D10038" s="30" t="s">
        <v>2024</v>
      </c>
      <c r="F10038" s="30" t="s">
        <v>2046</v>
      </c>
      <c r="H10038" s="30" t="s">
        <v>2859</v>
      </c>
      <c r="J10038" s="30" t="s">
        <v>3390</v>
      </c>
      <c r="L10038" s="30" t="s">
        <v>3442</v>
      </c>
      <c r="N10038" s="30" t="s">
        <v>16354</v>
      </c>
      <c r="P10038" s="30" t="s">
        <v>16548</v>
      </c>
      <c r="Q10038" t="s">
        <v>621</v>
      </c>
      <c r="R10038" t="s">
        <v>918</v>
      </c>
      <c r="S10038">
        <v>39</v>
      </c>
      <c r="T10038" s="29" t="str">
        <f t="shared" si="422"/>
        <v>2023.001B.Leviviricetes_reorg.zip</v>
      </c>
      <c r="U10038" s="29" t="str">
        <f>HYPERLINK("https://ictv.global/taxonomy/taxondetails?taxnode_id=202311215","ictv.global=202311215")</f>
        <v>ictv.global=202311215</v>
      </c>
    </row>
    <row r="10039" spans="1:21">
      <c r="A10039">
        <v>10038</v>
      </c>
      <c r="B10039" s="30" t="s">
        <v>1226</v>
      </c>
      <c r="D10039" s="30" t="s">
        <v>2024</v>
      </c>
      <c r="F10039" s="30" t="s">
        <v>2046</v>
      </c>
      <c r="H10039" s="30" t="s">
        <v>2859</v>
      </c>
      <c r="J10039" s="30" t="s">
        <v>3390</v>
      </c>
      <c r="L10039" s="30" t="s">
        <v>3442</v>
      </c>
      <c r="N10039" s="30" t="s">
        <v>16354</v>
      </c>
      <c r="P10039" s="30" t="s">
        <v>16549</v>
      </c>
      <c r="Q10039" t="s">
        <v>621</v>
      </c>
      <c r="R10039" t="s">
        <v>918</v>
      </c>
      <c r="S10039">
        <v>39</v>
      </c>
      <c r="T10039" s="29" t="str">
        <f t="shared" si="422"/>
        <v>2023.001B.Leviviricetes_reorg.zip</v>
      </c>
      <c r="U10039" s="29" t="str">
        <f>HYPERLINK("https://ictv.global/taxonomy/taxondetails?taxnode_id=202311216","ictv.global=202311216")</f>
        <v>ictv.global=202311216</v>
      </c>
    </row>
    <row r="10040" spans="1:21">
      <c r="A10040">
        <v>10039</v>
      </c>
      <c r="B10040" s="30" t="s">
        <v>1226</v>
      </c>
      <c r="D10040" s="30" t="s">
        <v>2024</v>
      </c>
      <c r="F10040" s="30" t="s">
        <v>2046</v>
      </c>
      <c r="H10040" s="30" t="s">
        <v>2859</v>
      </c>
      <c r="J10040" s="30" t="s">
        <v>3390</v>
      </c>
      <c r="L10040" s="30" t="s">
        <v>3442</v>
      </c>
      <c r="N10040" s="30" t="s">
        <v>16354</v>
      </c>
      <c r="P10040" s="30" t="s">
        <v>16550</v>
      </c>
      <c r="Q10040" t="s">
        <v>621</v>
      </c>
      <c r="R10040" t="s">
        <v>918</v>
      </c>
      <c r="S10040">
        <v>39</v>
      </c>
      <c r="T10040" s="29" t="str">
        <f t="shared" si="422"/>
        <v>2023.001B.Leviviricetes_reorg.zip</v>
      </c>
      <c r="U10040" s="29" t="str">
        <f>HYPERLINK("https://ictv.global/taxonomy/taxondetails?taxnode_id=202311421","ictv.global=202311421")</f>
        <v>ictv.global=202311421</v>
      </c>
    </row>
    <row r="10041" spans="1:21">
      <c r="A10041">
        <v>10040</v>
      </c>
      <c r="B10041" s="30" t="s">
        <v>1226</v>
      </c>
      <c r="D10041" s="30" t="s">
        <v>2024</v>
      </c>
      <c r="F10041" s="30" t="s">
        <v>2046</v>
      </c>
      <c r="H10041" s="30" t="s">
        <v>2859</v>
      </c>
      <c r="J10041" s="30" t="s">
        <v>3390</v>
      </c>
      <c r="L10041" s="30" t="s">
        <v>3442</v>
      </c>
      <c r="N10041" s="30" t="s">
        <v>16354</v>
      </c>
      <c r="P10041" s="30" t="s">
        <v>16551</v>
      </c>
      <c r="Q10041" t="s">
        <v>621</v>
      </c>
      <c r="R10041" t="s">
        <v>918</v>
      </c>
      <c r="S10041">
        <v>39</v>
      </c>
      <c r="T10041" s="29" t="str">
        <f t="shared" si="422"/>
        <v>2023.001B.Leviviricetes_reorg.zip</v>
      </c>
      <c r="U10041" s="29" t="str">
        <f>HYPERLINK("https://ictv.global/taxonomy/taxondetails?taxnode_id=202311299","ictv.global=202311299")</f>
        <v>ictv.global=202311299</v>
      </c>
    </row>
    <row r="10042" spans="1:21">
      <c r="A10042">
        <v>10041</v>
      </c>
      <c r="B10042" s="30" t="s">
        <v>1226</v>
      </c>
      <c r="D10042" s="30" t="s">
        <v>2024</v>
      </c>
      <c r="F10042" s="30" t="s">
        <v>2046</v>
      </c>
      <c r="H10042" s="30" t="s">
        <v>2859</v>
      </c>
      <c r="J10042" s="30" t="s">
        <v>3390</v>
      </c>
      <c r="L10042" s="30" t="s">
        <v>3442</v>
      </c>
      <c r="N10042" s="30" t="s">
        <v>16354</v>
      </c>
      <c r="P10042" s="30" t="s">
        <v>16552</v>
      </c>
      <c r="Q10042" t="s">
        <v>621</v>
      </c>
      <c r="R10042" t="s">
        <v>917</v>
      </c>
      <c r="S10042">
        <v>39</v>
      </c>
      <c r="T10042" s="29" t="str">
        <f t="shared" si="422"/>
        <v>2023.001B.Leviviricetes_reorg.zip</v>
      </c>
      <c r="U10042" s="29" t="str">
        <f>HYPERLINK("https://ictv.global/taxonomy/taxondetails?taxnode_id=202317257","ictv.global=202317257")</f>
        <v>ictv.global=202317257</v>
      </c>
    </row>
    <row r="10043" spans="1:21">
      <c r="A10043">
        <v>10042</v>
      </c>
      <c r="B10043" s="30" t="s">
        <v>1226</v>
      </c>
      <c r="D10043" s="30" t="s">
        <v>2024</v>
      </c>
      <c r="F10043" s="30" t="s">
        <v>2046</v>
      </c>
      <c r="H10043" s="30" t="s">
        <v>2859</v>
      </c>
      <c r="J10043" s="30" t="s">
        <v>3390</v>
      </c>
      <c r="L10043" s="30" t="s">
        <v>3442</v>
      </c>
      <c r="N10043" s="30" t="s">
        <v>16354</v>
      </c>
      <c r="P10043" s="30" t="s">
        <v>16553</v>
      </c>
      <c r="Q10043" t="s">
        <v>621</v>
      </c>
      <c r="R10043" t="s">
        <v>918</v>
      </c>
      <c r="S10043">
        <v>39</v>
      </c>
      <c r="T10043" s="29" t="str">
        <f t="shared" si="422"/>
        <v>2023.001B.Leviviricetes_reorg.zip</v>
      </c>
      <c r="U10043" s="29" t="str">
        <f>HYPERLINK("https://ictv.global/taxonomy/taxondetails?taxnode_id=202311425","ictv.global=202311425")</f>
        <v>ictv.global=202311425</v>
      </c>
    </row>
    <row r="10044" spans="1:21">
      <c r="A10044">
        <v>10043</v>
      </c>
      <c r="B10044" s="30" t="s">
        <v>1226</v>
      </c>
      <c r="D10044" s="30" t="s">
        <v>2024</v>
      </c>
      <c r="F10044" s="30" t="s">
        <v>2046</v>
      </c>
      <c r="H10044" s="30" t="s">
        <v>2859</v>
      </c>
      <c r="J10044" s="30" t="s">
        <v>3390</v>
      </c>
      <c r="L10044" s="30" t="s">
        <v>3442</v>
      </c>
      <c r="N10044" s="30" t="s">
        <v>16354</v>
      </c>
      <c r="P10044" s="30" t="s">
        <v>16554</v>
      </c>
      <c r="Q10044" t="s">
        <v>621</v>
      </c>
      <c r="R10044" t="s">
        <v>917</v>
      </c>
      <c r="S10044">
        <v>39</v>
      </c>
      <c r="T10044" s="29" t="str">
        <f t="shared" si="422"/>
        <v>2023.001B.Leviviricetes_reorg.zip</v>
      </c>
      <c r="U10044" s="29" t="str">
        <f>HYPERLINK("https://ictv.global/taxonomy/taxondetails?taxnode_id=202317258","ictv.global=202317258")</f>
        <v>ictv.global=202317258</v>
      </c>
    </row>
    <row r="10045" spans="1:21">
      <c r="A10045">
        <v>10044</v>
      </c>
      <c r="B10045" s="30" t="s">
        <v>1226</v>
      </c>
      <c r="D10045" s="30" t="s">
        <v>2024</v>
      </c>
      <c r="F10045" s="30" t="s">
        <v>2046</v>
      </c>
      <c r="H10045" s="30" t="s">
        <v>2859</v>
      </c>
      <c r="J10045" s="30" t="s">
        <v>3390</v>
      </c>
      <c r="L10045" s="30" t="s">
        <v>3442</v>
      </c>
      <c r="N10045" s="30" t="s">
        <v>16354</v>
      </c>
      <c r="P10045" s="30" t="s">
        <v>16555</v>
      </c>
      <c r="Q10045" t="s">
        <v>621</v>
      </c>
      <c r="R10045" t="s">
        <v>917</v>
      </c>
      <c r="S10045">
        <v>39</v>
      </c>
      <c r="T10045" s="29" t="str">
        <f t="shared" si="422"/>
        <v>2023.001B.Leviviricetes_reorg.zip</v>
      </c>
      <c r="U10045" s="29" t="str">
        <f>HYPERLINK("https://ictv.global/taxonomy/taxondetails?taxnode_id=202317259","ictv.global=202317259")</f>
        <v>ictv.global=202317259</v>
      </c>
    </row>
    <row r="10046" spans="1:21">
      <c r="A10046">
        <v>10045</v>
      </c>
      <c r="B10046" s="30" t="s">
        <v>1226</v>
      </c>
      <c r="D10046" s="30" t="s">
        <v>2024</v>
      </c>
      <c r="F10046" s="30" t="s">
        <v>2046</v>
      </c>
      <c r="H10046" s="30" t="s">
        <v>2859</v>
      </c>
      <c r="J10046" s="30" t="s">
        <v>3390</v>
      </c>
      <c r="L10046" s="30" t="s">
        <v>3442</v>
      </c>
      <c r="N10046" s="30" t="s">
        <v>16354</v>
      </c>
      <c r="P10046" s="30" t="s">
        <v>16556</v>
      </c>
      <c r="Q10046" t="s">
        <v>621</v>
      </c>
      <c r="R10046" t="s">
        <v>917</v>
      </c>
      <c r="S10046">
        <v>39</v>
      </c>
      <c r="T10046" s="29" t="str">
        <f t="shared" si="422"/>
        <v>2023.001B.Leviviricetes_reorg.zip</v>
      </c>
      <c r="U10046" s="29" t="str">
        <f>HYPERLINK("https://ictv.global/taxonomy/taxondetails?taxnode_id=202317260","ictv.global=202317260")</f>
        <v>ictv.global=202317260</v>
      </c>
    </row>
    <row r="10047" spans="1:21">
      <c r="A10047">
        <v>10046</v>
      </c>
      <c r="B10047" s="30" t="s">
        <v>1226</v>
      </c>
      <c r="D10047" s="30" t="s">
        <v>2024</v>
      </c>
      <c r="F10047" s="30" t="s">
        <v>2046</v>
      </c>
      <c r="H10047" s="30" t="s">
        <v>2859</v>
      </c>
      <c r="J10047" s="30" t="s">
        <v>3390</v>
      </c>
      <c r="L10047" s="30" t="s">
        <v>3442</v>
      </c>
      <c r="N10047" s="30" t="s">
        <v>16354</v>
      </c>
      <c r="P10047" s="30" t="s">
        <v>16557</v>
      </c>
      <c r="Q10047" t="s">
        <v>621</v>
      </c>
      <c r="R10047" t="s">
        <v>917</v>
      </c>
      <c r="S10047">
        <v>39</v>
      </c>
      <c r="T10047" s="29" t="str">
        <f t="shared" si="422"/>
        <v>2023.001B.Leviviricetes_reorg.zip</v>
      </c>
      <c r="U10047" s="29" t="str">
        <f>HYPERLINK("https://ictv.global/taxonomy/taxondetails?taxnode_id=202317261","ictv.global=202317261")</f>
        <v>ictv.global=202317261</v>
      </c>
    </row>
    <row r="10048" spans="1:21">
      <c r="A10048">
        <v>10047</v>
      </c>
      <c r="B10048" s="30" t="s">
        <v>1226</v>
      </c>
      <c r="D10048" s="30" t="s">
        <v>2024</v>
      </c>
      <c r="F10048" s="30" t="s">
        <v>2046</v>
      </c>
      <c r="H10048" s="30" t="s">
        <v>2859</v>
      </c>
      <c r="J10048" s="30" t="s">
        <v>3390</v>
      </c>
      <c r="L10048" s="30" t="s">
        <v>3442</v>
      </c>
      <c r="N10048" s="30" t="s">
        <v>16354</v>
      </c>
      <c r="P10048" s="30" t="s">
        <v>16558</v>
      </c>
      <c r="Q10048" t="s">
        <v>621</v>
      </c>
      <c r="R10048" t="s">
        <v>917</v>
      </c>
      <c r="S10048">
        <v>39</v>
      </c>
      <c r="T10048" s="29" t="str">
        <f t="shared" si="422"/>
        <v>2023.001B.Leviviricetes_reorg.zip</v>
      </c>
      <c r="U10048" s="29" t="str">
        <f>HYPERLINK("https://ictv.global/taxonomy/taxondetails?taxnode_id=202317262","ictv.global=202317262")</f>
        <v>ictv.global=202317262</v>
      </c>
    </row>
    <row r="10049" spans="1:21">
      <c r="A10049">
        <v>10048</v>
      </c>
      <c r="B10049" s="30" t="s">
        <v>1226</v>
      </c>
      <c r="D10049" s="30" t="s">
        <v>2024</v>
      </c>
      <c r="F10049" s="30" t="s">
        <v>2046</v>
      </c>
      <c r="H10049" s="30" t="s">
        <v>2859</v>
      </c>
      <c r="J10049" s="30" t="s">
        <v>3390</v>
      </c>
      <c r="L10049" s="30" t="s">
        <v>3442</v>
      </c>
      <c r="N10049" s="30" t="s">
        <v>16354</v>
      </c>
      <c r="P10049" s="30" t="s">
        <v>16559</v>
      </c>
      <c r="Q10049" t="s">
        <v>621</v>
      </c>
      <c r="R10049" t="s">
        <v>917</v>
      </c>
      <c r="S10049">
        <v>39</v>
      </c>
      <c r="T10049" s="29" t="str">
        <f t="shared" si="422"/>
        <v>2023.001B.Leviviricetes_reorg.zip</v>
      </c>
      <c r="U10049" s="29" t="str">
        <f>HYPERLINK("https://ictv.global/taxonomy/taxondetails?taxnode_id=202317263","ictv.global=202317263")</f>
        <v>ictv.global=202317263</v>
      </c>
    </row>
    <row r="10050" spans="1:21">
      <c r="A10050">
        <v>10049</v>
      </c>
      <c r="B10050" s="30" t="s">
        <v>1226</v>
      </c>
      <c r="D10050" s="30" t="s">
        <v>2024</v>
      </c>
      <c r="F10050" s="30" t="s">
        <v>2046</v>
      </c>
      <c r="H10050" s="30" t="s">
        <v>2859</v>
      </c>
      <c r="J10050" s="30" t="s">
        <v>3390</v>
      </c>
      <c r="L10050" s="30" t="s">
        <v>3442</v>
      </c>
      <c r="N10050" s="30" t="s">
        <v>16354</v>
      </c>
      <c r="P10050" s="30" t="s">
        <v>16560</v>
      </c>
      <c r="Q10050" t="s">
        <v>621</v>
      </c>
      <c r="R10050" t="s">
        <v>917</v>
      </c>
      <c r="S10050">
        <v>39</v>
      </c>
      <c r="T10050" s="29" t="str">
        <f t="shared" si="422"/>
        <v>2023.001B.Leviviricetes_reorg.zip</v>
      </c>
      <c r="U10050" s="29" t="str">
        <f>HYPERLINK("https://ictv.global/taxonomy/taxondetails?taxnode_id=202317264","ictv.global=202317264")</f>
        <v>ictv.global=202317264</v>
      </c>
    </row>
    <row r="10051" spans="1:21">
      <c r="A10051">
        <v>10050</v>
      </c>
      <c r="B10051" s="30" t="s">
        <v>1226</v>
      </c>
      <c r="D10051" s="30" t="s">
        <v>2024</v>
      </c>
      <c r="F10051" s="30" t="s">
        <v>2046</v>
      </c>
      <c r="H10051" s="30" t="s">
        <v>2859</v>
      </c>
      <c r="J10051" s="30" t="s">
        <v>3390</v>
      </c>
      <c r="L10051" s="30" t="s">
        <v>3442</v>
      </c>
      <c r="N10051" s="30" t="s">
        <v>16354</v>
      </c>
      <c r="P10051" s="30" t="s">
        <v>16561</v>
      </c>
      <c r="Q10051" t="s">
        <v>621</v>
      </c>
      <c r="R10051" t="s">
        <v>917</v>
      </c>
      <c r="S10051">
        <v>39</v>
      </c>
      <c r="T10051" s="29" t="str">
        <f t="shared" si="422"/>
        <v>2023.001B.Leviviricetes_reorg.zip</v>
      </c>
      <c r="U10051" s="29" t="str">
        <f>HYPERLINK("https://ictv.global/taxonomy/taxondetails?taxnode_id=202317265","ictv.global=202317265")</f>
        <v>ictv.global=202317265</v>
      </c>
    </row>
    <row r="10052" spans="1:21">
      <c r="A10052">
        <v>10051</v>
      </c>
      <c r="B10052" s="30" t="s">
        <v>1226</v>
      </c>
      <c r="D10052" s="30" t="s">
        <v>2024</v>
      </c>
      <c r="F10052" s="30" t="s">
        <v>2046</v>
      </c>
      <c r="H10052" s="30" t="s">
        <v>2859</v>
      </c>
      <c r="J10052" s="30" t="s">
        <v>3390</v>
      </c>
      <c r="L10052" s="30" t="s">
        <v>3442</v>
      </c>
      <c r="N10052" s="30" t="s">
        <v>16354</v>
      </c>
      <c r="P10052" s="30" t="s">
        <v>16562</v>
      </c>
      <c r="Q10052" t="s">
        <v>621</v>
      </c>
      <c r="R10052" t="s">
        <v>917</v>
      </c>
      <c r="S10052">
        <v>39</v>
      </c>
      <c r="T10052" s="29" t="str">
        <f t="shared" si="422"/>
        <v>2023.001B.Leviviricetes_reorg.zip</v>
      </c>
      <c r="U10052" s="29" t="str">
        <f>HYPERLINK("https://ictv.global/taxonomy/taxondetails?taxnode_id=202317266","ictv.global=202317266")</f>
        <v>ictv.global=202317266</v>
      </c>
    </row>
    <row r="10053" spans="1:21">
      <c r="A10053">
        <v>10052</v>
      </c>
      <c r="B10053" s="30" t="s">
        <v>1226</v>
      </c>
      <c r="D10053" s="30" t="s">
        <v>2024</v>
      </c>
      <c r="F10053" s="30" t="s">
        <v>2046</v>
      </c>
      <c r="H10053" s="30" t="s">
        <v>2859</v>
      </c>
      <c r="J10053" s="30" t="s">
        <v>3390</v>
      </c>
      <c r="L10053" s="30" t="s">
        <v>3442</v>
      </c>
      <c r="N10053" s="30" t="s">
        <v>16354</v>
      </c>
      <c r="P10053" s="30" t="s">
        <v>16563</v>
      </c>
      <c r="Q10053" t="s">
        <v>621</v>
      </c>
      <c r="R10053" t="s">
        <v>917</v>
      </c>
      <c r="S10053">
        <v>39</v>
      </c>
      <c r="T10053" s="29" t="str">
        <f t="shared" si="422"/>
        <v>2023.001B.Leviviricetes_reorg.zip</v>
      </c>
      <c r="U10053" s="29" t="str">
        <f>HYPERLINK("https://ictv.global/taxonomy/taxondetails?taxnode_id=202317267","ictv.global=202317267")</f>
        <v>ictv.global=202317267</v>
      </c>
    </row>
    <row r="10054" spans="1:21">
      <c r="A10054">
        <v>10053</v>
      </c>
      <c r="B10054" s="30" t="s">
        <v>1226</v>
      </c>
      <c r="D10054" s="30" t="s">
        <v>2024</v>
      </c>
      <c r="F10054" s="30" t="s">
        <v>2046</v>
      </c>
      <c r="H10054" s="30" t="s">
        <v>2859</v>
      </c>
      <c r="J10054" s="30" t="s">
        <v>3390</v>
      </c>
      <c r="L10054" s="30" t="s">
        <v>3442</v>
      </c>
      <c r="N10054" s="30" t="s">
        <v>16354</v>
      </c>
      <c r="P10054" s="30" t="s">
        <v>16564</v>
      </c>
      <c r="Q10054" t="s">
        <v>621</v>
      </c>
      <c r="R10054" t="s">
        <v>918</v>
      </c>
      <c r="S10054">
        <v>39</v>
      </c>
      <c r="T10054" s="29" t="str">
        <f t="shared" si="422"/>
        <v>2023.001B.Leviviricetes_reorg.zip</v>
      </c>
      <c r="U10054" s="29" t="str">
        <f>HYPERLINK("https://ictv.global/taxonomy/taxondetails?taxnode_id=202311189","ictv.global=202311189")</f>
        <v>ictv.global=202311189</v>
      </c>
    </row>
    <row r="10055" spans="1:21">
      <c r="A10055">
        <v>10054</v>
      </c>
      <c r="B10055" s="30" t="s">
        <v>1226</v>
      </c>
      <c r="D10055" s="30" t="s">
        <v>2024</v>
      </c>
      <c r="F10055" s="30" t="s">
        <v>2046</v>
      </c>
      <c r="H10055" s="30" t="s">
        <v>2859</v>
      </c>
      <c r="J10055" s="30" t="s">
        <v>3390</v>
      </c>
      <c r="L10055" s="30" t="s">
        <v>3442</v>
      </c>
      <c r="N10055" s="30" t="s">
        <v>16354</v>
      </c>
      <c r="P10055" s="30" t="s">
        <v>16565</v>
      </c>
      <c r="Q10055" t="s">
        <v>621</v>
      </c>
      <c r="R10055" t="s">
        <v>917</v>
      </c>
      <c r="S10055">
        <v>39</v>
      </c>
      <c r="T10055" s="29" t="str">
        <f t="shared" si="422"/>
        <v>2023.001B.Leviviricetes_reorg.zip</v>
      </c>
      <c r="U10055" s="29" t="str">
        <f>HYPERLINK("https://ictv.global/taxonomy/taxondetails?taxnode_id=202317268","ictv.global=202317268")</f>
        <v>ictv.global=202317268</v>
      </c>
    </row>
    <row r="10056" spans="1:21">
      <c r="A10056">
        <v>10055</v>
      </c>
      <c r="B10056" s="30" t="s">
        <v>1226</v>
      </c>
      <c r="D10056" s="30" t="s">
        <v>2024</v>
      </c>
      <c r="F10056" s="30" t="s">
        <v>2046</v>
      </c>
      <c r="H10056" s="30" t="s">
        <v>2859</v>
      </c>
      <c r="J10056" s="30" t="s">
        <v>3390</v>
      </c>
      <c r="L10056" s="30" t="s">
        <v>3442</v>
      </c>
      <c r="N10056" s="30" t="s">
        <v>16354</v>
      </c>
      <c r="P10056" s="30" t="s">
        <v>16566</v>
      </c>
      <c r="Q10056" t="s">
        <v>621</v>
      </c>
      <c r="R10056" t="s">
        <v>917</v>
      </c>
      <c r="S10056">
        <v>39</v>
      </c>
      <c r="T10056" s="29" t="str">
        <f t="shared" si="422"/>
        <v>2023.001B.Leviviricetes_reorg.zip</v>
      </c>
      <c r="U10056" s="29" t="str">
        <f>HYPERLINK("https://ictv.global/taxonomy/taxondetails?taxnode_id=202317269","ictv.global=202317269")</f>
        <v>ictv.global=202317269</v>
      </c>
    </row>
    <row r="10057" spans="1:21">
      <c r="A10057">
        <v>10056</v>
      </c>
      <c r="B10057" s="30" t="s">
        <v>1226</v>
      </c>
      <c r="D10057" s="30" t="s">
        <v>2024</v>
      </c>
      <c r="F10057" s="30" t="s">
        <v>2046</v>
      </c>
      <c r="H10057" s="30" t="s">
        <v>2859</v>
      </c>
      <c r="J10057" s="30" t="s">
        <v>3390</v>
      </c>
      <c r="L10057" s="30" t="s">
        <v>3442</v>
      </c>
      <c r="N10057" s="30" t="s">
        <v>16354</v>
      </c>
      <c r="P10057" s="30" t="s">
        <v>16567</v>
      </c>
      <c r="Q10057" t="s">
        <v>621</v>
      </c>
      <c r="R10057" t="s">
        <v>917</v>
      </c>
      <c r="S10057">
        <v>39</v>
      </c>
      <c r="T10057" s="29" t="str">
        <f t="shared" si="422"/>
        <v>2023.001B.Leviviricetes_reorg.zip</v>
      </c>
      <c r="U10057" s="29" t="str">
        <f>HYPERLINK("https://ictv.global/taxonomy/taxondetails?taxnode_id=202317270","ictv.global=202317270")</f>
        <v>ictv.global=202317270</v>
      </c>
    </row>
    <row r="10058" spans="1:21">
      <c r="A10058">
        <v>10057</v>
      </c>
      <c r="B10058" s="30" t="s">
        <v>1226</v>
      </c>
      <c r="D10058" s="30" t="s">
        <v>2024</v>
      </c>
      <c r="F10058" s="30" t="s">
        <v>2046</v>
      </c>
      <c r="H10058" s="30" t="s">
        <v>2859</v>
      </c>
      <c r="J10058" s="30" t="s">
        <v>3390</v>
      </c>
      <c r="L10058" s="30" t="s">
        <v>3442</v>
      </c>
      <c r="N10058" s="30" t="s">
        <v>16354</v>
      </c>
      <c r="P10058" s="30" t="s">
        <v>16568</v>
      </c>
      <c r="Q10058" t="s">
        <v>621</v>
      </c>
      <c r="R10058" t="s">
        <v>918</v>
      </c>
      <c r="S10058">
        <v>39</v>
      </c>
      <c r="T10058" s="29" t="str">
        <f t="shared" ref="T10058:T10121" si="423">HYPERLINK("https://ictv.global/ictv/proposals/2023.001B.Leviviricetes_reorg.zip","2023.001B.Leviviricetes_reorg.zip")</f>
        <v>2023.001B.Leviviricetes_reorg.zip</v>
      </c>
      <c r="U10058" s="29" t="str">
        <f>HYPERLINK("https://ictv.global/taxonomy/taxondetails?taxnode_id=202311330","ictv.global=202311330")</f>
        <v>ictv.global=202311330</v>
      </c>
    </row>
    <row r="10059" spans="1:21">
      <c r="A10059">
        <v>10058</v>
      </c>
      <c r="B10059" s="30" t="s">
        <v>1226</v>
      </c>
      <c r="D10059" s="30" t="s">
        <v>2024</v>
      </c>
      <c r="F10059" s="30" t="s">
        <v>2046</v>
      </c>
      <c r="H10059" s="30" t="s">
        <v>2859</v>
      </c>
      <c r="J10059" s="30" t="s">
        <v>3390</v>
      </c>
      <c r="L10059" s="30" t="s">
        <v>3442</v>
      </c>
      <c r="N10059" s="30" t="s">
        <v>16354</v>
      </c>
      <c r="P10059" s="30" t="s">
        <v>16569</v>
      </c>
      <c r="Q10059" t="s">
        <v>621</v>
      </c>
      <c r="R10059" t="s">
        <v>918</v>
      </c>
      <c r="S10059">
        <v>39</v>
      </c>
      <c r="T10059" s="29" t="str">
        <f t="shared" si="423"/>
        <v>2023.001B.Leviviricetes_reorg.zip</v>
      </c>
      <c r="U10059" s="29" t="str">
        <f>HYPERLINK("https://ictv.global/taxonomy/taxondetails?taxnode_id=202311333","ictv.global=202311333")</f>
        <v>ictv.global=202311333</v>
      </c>
    </row>
    <row r="10060" spans="1:21">
      <c r="A10060">
        <v>10059</v>
      </c>
      <c r="B10060" s="30" t="s">
        <v>1226</v>
      </c>
      <c r="D10060" s="30" t="s">
        <v>2024</v>
      </c>
      <c r="F10060" s="30" t="s">
        <v>2046</v>
      </c>
      <c r="H10060" s="30" t="s">
        <v>2859</v>
      </c>
      <c r="J10060" s="30" t="s">
        <v>3390</v>
      </c>
      <c r="L10060" s="30" t="s">
        <v>3442</v>
      </c>
      <c r="N10060" s="30" t="s">
        <v>16354</v>
      </c>
      <c r="P10060" s="30" t="s">
        <v>16570</v>
      </c>
      <c r="Q10060" t="s">
        <v>621</v>
      </c>
      <c r="R10060" t="s">
        <v>917</v>
      </c>
      <c r="S10060">
        <v>39</v>
      </c>
      <c r="T10060" s="29" t="str">
        <f t="shared" si="423"/>
        <v>2023.001B.Leviviricetes_reorg.zip</v>
      </c>
      <c r="U10060" s="29" t="str">
        <f>HYPERLINK("https://ictv.global/taxonomy/taxondetails?taxnode_id=202317271","ictv.global=202317271")</f>
        <v>ictv.global=202317271</v>
      </c>
    </row>
    <row r="10061" spans="1:21">
      <c r="A10061">
        <v>10060</v>
      </c>
      <c r="B10061" s="30" t="s">
        <v>1226</v>
      </c>
      <c r="D10061" s="30" t="s">
        <v>2024</v>
      </c>
      <c r="F10061" s="30" t="s">
        <v>2046</v>
      </c>
      <c r="H10061" s="30" t="s">
        <v>2859</v>
      </c>
      <c r="J10061" s="30" t="s">
        <v>3390</v>
      </c>
      <c r="L10061" s="30" t="s">
        <v>3442</v>
      </c>
      <c r="N10061" s="30" t="s">
        <v>16354</v>
      </c>
      <c r="P10061" s="30" t="s">
        <v>16571</v>
      </c>
      <c r="Q10061" t="s">
        <v>621</v>
      </c>
      <c r="R10061" t="s">
        <v>918</v>
      </c>
      <c r="S10061">
        <v>39</v>
      </c>
      <c r="T10061" s="29" t="str">
        <f t="shared" si="423"/>
        <v>2023.001B.Leviviricetes_reorg.zip</v>
      </c>
      <c r="U10061" s="29" t="str">
        <f>HYPERLINK("https://ictv.global/taxonomy/taxondetails?taxnode_id=202311194","ictv.global=202311194")</f>
        <v>ictv.global=202311194</v>
      </c>
    </row>
    <row r="10062" spans="1:21">
      <c r="A10062">
        <v>10061</v>
      </c>
      <c r="B10062" s="30" t="s">
        <v>1226</v>
      </c>
      <c r="D10062" s="30" t="s">
        <v>2024</v>
      </c>
      <c r="F10062" s="30" t="s">
        <v>2046</v>
      </c>
      <c r="H10062" s="30" t="s">
        <v>2859</v>
      </c>
      <c r="J10062" s="30" t="s">
        <v>3390</v>
      </c>
      <c r="L10062" s="30" t="s">
        <v>3442</v>
      </c>
      <c r="N10062" s="30" t="s">
        <v>16354</v>
      </c>
      <c r="P10062" s="30" t="s">
        <v>16572</v>
      </c>
      <c r="Q10062" t="s">
        <v>621</v>
      </c>
      <c r="R10062" t="s">
        <v>917</v>
      </c>
      <c r="S10062">
        <v>39</v>
      </c>
      <c r="T10062" s="29" t="str">
        <f t="shared" si="423"/>
        <v>2023.001B.Leviviricetes_reorg.zip</v>
      </c>
      <c r="U10062" s="29" t="str">
        <f>HYPERLINK("https://ictv.global/taxonomy/taxondetails?taxnode_id=202317272","ictv.global=202317272")</f>
        <v>ictv.global=202317272</v>
      </c>
    </row>
    <row r="10063" spans="1:21">
      <c r="A10063">
        <v>10062</v>
      </c>
      <c r="B10063" s="30" t="s">
        <v>1226</v>
      </c>
      <c r="D10063" s="30" t="s">
        <v>2024</v>
      </c>
      <c r="F10063" s="30" t="s">
        <v>2046</v>
      </c>
      <c r="H10063" s="30" t="s">
        <v>2859</v>
      </c>
      <c r="J10063" s="30" t="s">
        <v>3390</v>
      </c>
      <c r="L10063" s="30" t="s">
        <v>3442</v>
      </c>
      <c r="N10063" s="30" t="s">
        <v>16354</v>
      </c>
      <c r="P10063" s="30" t="s">
        <v>16573</v>
      </c>
      <c r="Q10063" t="s">
        <v>621</v>
      </c>
      <c r="R10063" t="s">
        <v>918</v>
      </c>
      <c r="S10063">
        <v>39</v>
      </c>
      <c r="T10063" s="29" t="str">
        <f t="shared" si="423"/>
        <v>2023.001B.Leviviricetes_reorg.zip</v>
      </c>
      <c r="U10063" s="29" t="str">
        <f>HYPERLINK("https://ictv.global/taxonomy/taxondetails?taxnode_id=202311279","ictv.global=202311279")</f>
        <v>ictv.global=202311279</v>
      </c>
    </row>
    <row r="10064" spans="1:21">
      <c r="A10064">
        <v>10063</v>
      </c>
      <c r="B10064" s="30" t="s">
        <v>1226</v>
      </c>
      <c r="D10064" s="30" t="s">
        <v>2024</v>
      </c>
      <c r="F10064" s="30" t="s">
        <v>2046</v>
      </c>
      <c r="H10064" s="30" t="s">
        <v>2859</v>
      </c>
      <c r="J10064" s="30" t="s">
        <v>3390</v>
      </c>
      <c r="L10064" s="30" t="s">
        <v>3442</v>
      </c>
      <c r="N10064" s="30" t="s">
        <v>16354</v>
      </c>
      <c r="P10064" s="30" t="s">
        <v>16574</v>
      </c>
      <c r="Q10064" t="s">
        <v>621</v>
      </c>
      <c r="R10064" t="s">
        <v>917</v>
      </c>
      <c r="S10064">
        <v>39</v>
      </c>
      <c r="T10064" s="29" t="str">
        <f t="shared" si="423"/>
        <v>2023.001B.Leviviricetes_reorg.zip</v>
      </c>
      <c r="U10064" s="29" t="str">
        <f>HYPERLINK("https://ictv.global/taxonomy/taxondetails?taxnode_id=202317273","ictv.global=202317273")</f>
        <v>ictv.global=202317273</v>
      </c>
    </row>
    <row r="10065" spans="1:21">
      <c r="A10065">
        <v>10064</v>
      </c>
      <c r="B10065" s="30" t="s">
        <v>1226</v>
      </c>
      <c r="D10065" s="30" t="s">
        <v>2024</v>
      </c>
      <c r="F10065" s="30" t="s">
        <v>2046</v>
      </c>
      <c r="H10065" s="30" t="s">
        <v>2859</v>
      </c>
      <c r="J10065" s="30" t="s">
        <v>3390</v>
      </c>
      <c r="L10065" s="30" t="s">
        <v>3442</v>
      </c>
      <c r="N10065" s="30" t="s">
        <v>16354</v>
      </c>
      <c r="P10065" s="30" t="s">
        <v>16575</v>
      </c>
      <c r="Q10065" t="s">
        <v>621</v>
      </c>
      <c r="R10065" t="s">
        <v>918</v>
      </c>
      <c r="S10065">
        <v>39</v>
      </c>
      <c r="T10065" s="29" t="str">
        <f t="shared" si="423"/>
        <v>2023.001B.Leviviricetes_reorg.zip</v>
      </c>
      <c r="U10065" s="29" t="str">
        <f>HYPERLINK("https://ictv.global/taxonomy/taxondetails?taxnode_id=202311291","ictv.global=202311291")</f>
        <v>ictv.global=202311291</v>
      </c>
    </row>
    <row r="10066" spans="1:21">
      <c r="A10066">
        <v>10065</v>
      </c>
      <c r="B10066" s="30" t="s">
        <v>1226</v>
      </c>
      <c r="D10066" s="30" t="s">
        <v>2024</v>
      </c>
      <c r="F10066" s="30" t="s">
        <v>2046</v>
      </c>
      <c r="H10066" s="30" t="s">
        <v>2859</v>
      </c>
      <c r="J10066" s="30" t="s">
        <v>3390</v>
      </c>
      <c r="L10066" s="30" t="s">
        <v>3442</v>
      </c>
      <c r="N10066" s="30" t="s">
        <v>16354</v>
      </c>
      <c r="P10066" s="30" t="s">
        <v>16576</v>
      </c>
      <c r="Q10066" t="s">
        <v>621</v>
      </c>
      <c r="R10066" t="s">
        <v>918</v>
      </c>
      <c r="S10066">
        <v>39</v>
      </c>
      <c r="T10066" s="29" t="str">
        <f t="shared" si="423"/>
        <v>2023.001B.Leviviricetes_reorg.zip</v>
      </c>
      <c r="U10066" s="29" t="str">
        <f>HYPERLINK("https://ictv.global/taxonomy/taxondetails?taxnode_id=202311294","ictv.global=202311294")</f>
        <v>ictv.global=202311294</v>
      </c>
    </row>
    <row r="10067" spans="1:21">
      <c r="A10067">
        <v>10066</v>
      </c>
      <c r="B10067" s="30" t="s">
        <v>1226</v>
      </c>
      <c r="D10067" s="30" t="s">
        <v>2024</v>
      </c>
      <c r="F10067" s="30" t="s">
        <v>2046</v>
      </c>
      <c r="H10067" s="30" t="s">
        <v>2859</v>
      </c>
      <c r="J10067" s="30" t="s">
        <v>3390</v>
      </c>
      <c r="L10067" s="30" t="s">
        <v>3442</v>
      </c>
      <c r="N10067" s="30" t="s">
        <v>16354</v>
      </c>
      <c r="P10067" s="30" t="s">
        <v>16577</v>
      </c>
      <c r="Q10067" t="s">
        <v>621</v>
      </c>
      <c r="R10067" t="s">
        <v>918</v>
      </c>
      <c r="S10067">
        <v>39</v>
      </c>
      <c r="T10067" s="29" t="str">
        <f t="shared" si="423"/>
        <v>2023.001B.Leviviricetes_reorg.zip</v>
      </c>
      <c r="U10067" s="29" t="str">
        <f>HYPERLINK("https://ictv.global/taxonomy/taxondetails?taxnode_id=202311293","ictv.global=202311293")</f>
        <v>ictv.global=202311293</v>
      </c>
    </row>
    <row r="10068" spans="1:21">
      <c r="A10068">
        <v>10067</v>
      </c>
      <c r="B10068" s="30" t="s">
        <v>1226</v>
      </c>
      <c r="D10068" s="30" t="s">
        <v>2024</v>
      </c>
      <c r="F10068" s="30" t="s">
        <v>2046</v>
      </c>
      <c r="H10068" s="30" t="s">
        <v>2859</v>
      </c>
      <c r="J10068" s="30" t="s">
        <v>3390</v>
      </c>
      <c r="L10068" s="30" t="s">
        <v>3442</v>
      </c>
      <c r="N10068" s="30" t="s">
        <v>16354</v>
      </c>
      <c r="P10068" s="30" t="s">
        <v>16578</v>
      </c>
      <c r="Q10068" t="s">
        <v>621</v>
      </c>
      <c r="R10068" t="s">
        <v>917</v>
      </c>
      <c r="S10068">
        <v>39</v>
      </c>
      <c r="T10068" s="29" t="str">
        <f t="shared" si="423"/>
        <v>2023.001B.Leviviricetes_reorg.zip</v>
      </c>
      <c r="U10068" s="29" t="str">
        <f>HYPERLINK("https://ictv.global/taxonomy/taxondetails?taxnode_id=202317274","ictv.global=202317274")</f>
        <v>ictv.global=202317274</v>
      </c>
    </row>
    <row r="10069" spans="1:21">
      <c r="A10069">
        <v>10068</v>
      </c>
      <c r="B10069" s="30" t="s">
        <v>1226</v>
      </c>
      <c r="D10069" s="30" t="s">
        <v>2024</v>
      </c>
      <c r="F10069" s="30" t="s">
        <v>2046</v>
      </c>
      <c r="H10069" s="30" t="s">
        <v>2859</v>
      </c>
      <c r="J10069" s="30" t="s">
        <v>3390</v>
      </c>
      <c r="L10069" s="30" t="s">
        <v>3442</v>
      </c>
      <c r="N10069" s="30" t="s">
        <v>16354</v>
      </c>
      <c r="P10069" s="30" t="s">
        <v>16579</v>
      </c>
      <c r="Q10069" t="s">
        <v>621</v>
      </c>
      <c r="R10069" t="s">
        <v>917</v>
      </c>
      <c r="S10069">
        <v>39</v>
      </c>
      <c r="T10069" s="29" t="str">
        <f t="shared" si="423"/>
        <v>2023.001B.Leviviricetes_reorg.zip</v>
      </c>
      <c r="U10069" s="29" t="str">
        <f>HYPERLINK("https://ictv.global/taxonomy/taxondetails?taxnode_id=202317275","ictv.global=202317275")</f>
        <v>ictv.global=202317275</v>
      </c>
    </row>
    <row r="10070" spans="1:21">
      <c r="A10070">
        <v>10069</v>
      </c>
      <c r="B10070" s="30" t="s">
        <v>1226</v>
      </c>
      <c r="D10070" s="30" t="s">
        <v>2024</v>
      </c>
      <c r="F10070" s="30" t="s">
        <v>2046</v>
      </c>
      <c r="H10070" s="30" t="s">
        <v>2859</v>
      </c>
      <c r="J10070" s="30" t="s">
        <v>3390</v>
      </c>
      <c r="L10070" s="30" t="s">
        <v>3442</v>
      </c>
      <c r="N10070" s="30" t="s">
        <v>16354</v>
      </c>
      <c r="P10070" s="30" t="s">
        <v>16580</v>
      </c>
      <c r="Q10070" t="s">
        <v>621</v>
      </c>
      <c r="R10070" t="s">
        <v>917</v>
      </c>
      <c r="S10070">
        <v>39</v>
      </c>
      <c r="T10070" s="29" t="str">
        <f t="shared" si="423"/>
        <v>2023.001B.Leviviricetes_reorg.zip</v>
      </c>
      <c r="U10070" s="29" t="str">
        <f>HYPERLINK("https://ictv.global/taxonomy/taxondetails?taxnode_id=202317276","ictv.global=202317276")</f>
        <v>ictv.global=202317276</v>
      </c>
    </row>
    <row r="10071" spans="1:21">
      <c r="A10071">
        <v>10070</v>
      </c>
      <c r="B10071" s="30" t="s">
        <v>1226</v>
      </c>
      <c r="D10071" s="30" t="s">
        <v>2024</v>
      </c>
      <c r="F10071" s="30" t="s">
        <v>2046</v>
      </c>
      <c r="H10071" s="30" t="s">
        <v>2859</v>
      </c>
      <c r="J10071" s="30" t="s">
        <v>3390</v>
      </c>
      <c r="L10071" s="30" t="s">
        <v>3442</v>
      </c>
      <c r="N10071" s="30" t="s">
        <v>16354</v>
      </c>
      <c r="P10071" s="30" t="s">
        <v>16581</v>
      </c>
      <c r="Q10071" t="s">
        <v>621</v>
      </c>
      <c r="R10071" t="s">
        <v>917</v>
      </c>
      <c r="S10071">
        <v>39</v>
      </c>
      <c r="T10071" s="29" t="str">
        <f t="shared" si="423"/>
        <v>2023.001B.Leviviricetes_reorg.zip</v>
      </c>
      <c r="U10071" s="29" t="str">
        <f>HYPERLINK("https://ictv.global/taxonomy/taxondetails?taxnode_id=202317277","ictv.global=202317277")</f>
        <v>ictv.global=202317277</v>
      </c>
    </row>
    <row r="10072" spans="1:21">
      <c r="A10072">
        <v>10071</v>
      </c>
      <c r="B10072" s="30" t="s">
        <v>1226</v>
      </c>
      <c r="D10072" s="30" t="s">
        <v>2024</v>
      </c>
      <c r="F10072" s="30" t="s">
        <v>2046</v>
      </c>
      <c r="H10072" s="30" t="s">
        <v>2859</v>
      </c>
      <c r="J10072" s="30" t="s">
        <v>3390</v>
      </c>
      <c r="L10072" s="30" t="s">
        <v>3442</v>
      </c>
      <c r="N10072" s="30" t="s">
        <v>16354</v>
      </c>
      <c r="P10072" s="30" t="s">
        <v>16582</v>
      </c>
      <c r="Q10072" t="s">
        <v>621</v>
      </c>
      <c r="R10072" t="s">
        <v>917</v>
      </c>
      <c r="S10072">
        <v>39</v>
      </c>
      <c r="T10072" s="29" t="str">
        <f t="shared" si="423"/>
        <v>2023.001B.Leviviricetes_reorg.zip</v>
      </c>
      <c r="U10072" s="29" t="str">
        <f>HYPERLINK("https://ictv.global/taxonomy/taxondetails?taxnode_id=202317278","ictv.global=202317278")</f>
        <v>ictv.global=202317278</v>
      </c>
    </row>
    <row r="10073" spans="1:21">
      <c r="A10073">
        <v>10072</v>
      </c>
      <c r="B10073" s="30" t="s">
        <v>1226</v>
      </c>
      <c r="D10073" s="30" t="s">
        <v>2024</v>
      </c>
      <c r="F10073" s="30" t="s">
        <v>2046</v>
      </c>
      <c r="H10073" s="30" t="s">
        <v>2859</v>
      </c>
      <c r="J10073" s="30" t="s">
        <v>3390</v>
      </c>
      <c r="L10073" s="30" t="s">
        <v>3442</v>
      </c>
      <c r="N10073" s="30" t="s">
        <v>16354</v>
      </c>
      <c r="P10073" s="30" t="s">
        <v>16583</v>
      </c>
      <c r="Q10073" t="s">
        <v>621</v>
      </c>
      <c r="R10073" t="s">
        <v>917</v>
      </c>
      <c r="S10073">
        <v>39</v>
      </c>
      <c r="T10073" s="29" t="str">
        <f t="shared" si="423"/>
        <v>2023.001B.Leviviricetes_reorg.zip</v>
      </c>
      <c r="U10073" s="29" t="str">
        <f>HYPERLINK("https://ictv.global/taxonomy/taxondetails?taxnode_id=202317279","ictv.global=202317279")</f>
        <v>ictv.global=202317279</v>
      </c>
    </row>
    <row r="10074" spans="1:21">
      <c r="A10074">
        <v>10073</v>
      </c>
      <c r="B10074" s="30" t="s">
        <v>1226</v>
      </c>
      <c r="D10074" s="30" t="s">
        <v>2024</v>
      </c>
      <c r="F10074" s="30" t="s">
        <v>2046</v>
      </c>
      <c r="H10074" s="30" t="s">
        <v>2859</v>
      </c>
      <c r="J10074" s="30" t="s">
        <v>3390</v>
      </c>
      <c r="L10074" s="30" t="s">
        <v>3442</v>
      </c>
      <c r="N10074" s="30" t="s">
        <v>16354</v>
      </c>
      <c r="P10074" s="30" t="s">
        <v>16584</v>
      </c>
      <c r="Q10074" t="s">
        <v>621</v>
      </c>
      <c r="R10074" t="s">
        <v>917</v>
      </c>
      <c r="S10074">
        <v>39</v>
      </c>
      <c r="T10074" s="29" t="str">
        <f t="shared" si="423"/>
        <v>2023.001B.Leviviricetes_reorg.zip</v>
      </c>
      <c r="U10074" s="29" t="str">
        <f>HYPERLINK("https://ictv.global/taxonomy/taxondetails?taxnode_id=202317280","ictv.global=202317280")</f>
        <v>ictv.global=202317280</v>
      </c>
    </row>
    <row r="10075" spans="1:21">
      <c r="A10075">
        <v>10074</v>
      </c>
      <c r="B10075" s="30" t="s">
        <v>1226</v>
      </c>
      <c r="D10075" s="30" t="s">
        <v>2024</v>
      </c>
      <c r="F10075" s="30" t="s">
        <v>2046</v>
      </c>
      <c r="H10075" s="30" t="s">
        <v>2859</v>
      </c>
      <c r="J10075" s="30" t="s">
        <v>3390</v>
      </c>
      <c r="L10075" s="30" t="s">
        <v>3442</v>
      </c>
      <c r="N10075" s="30" t="s">
        <v>16354</v>
      </c>
      <c r="P10075" s="30" t="s">
        <v>16585</v>
      </c>
      <c r="Q10075" t="s">
        <v>621</v>
      </c>
      <c r="R10075" t="s">
        <v>918</v>
      </c>
      <c r="S10075">
        <v>39</v>
      </c>
      <c r="T10075" s="29" t="str">
        <f t="shared" si="423"/>
        <v>2023.001B.Leviviricetes_reorg.zip</v>
      </c>
      <c r="U10075" s="29" t="str">
        <f>HYPERLINK("https://ictv.global/taxonomy/taxondetails?taxnode_id=202311345","ictv.global=202311345")</f>
        <v>ictv.global=202311345</v>
      </c>
    </row>
    <row r="10076" spans="1:21">
      <c r="A10076">
        <v>10075</v>
      </c>
      <c r="B10076" s="30" t="s">
        <v>1226</v>
      </c>
      <c r="D10076" s="30" t="s">
        <v>2024</v>
      </c>
      <c r="F10076" s="30" t="s">
        <v>2046</v>
      </c>
      <c r="H10076" s="30" t="s">
        <v>2859</v>
      </c>
      <c r="J10076" s="30" t="s">
        <v>3390</v>
      </c>
      <c r="L10076" s="30" t="s">
        <v>3442</v>
      </c>
      <c r="N10076" s="30" t="s">
        <v>16354</v>
      </c>
      <c r="P10076" s="30" t="s">
        <v>16586</v>
      </c>
      <c r="Q10076" t="s">
        <v>621</v>
      </c>
      <c r="R10076" t="s">
        <v>917</v>
      </c>
      <c r="S10076">
        <v>39</v>
      </c>
      <c r="T10076" s="29" t="str">
        <f t="shared" si="423"/>
        <v>2023.001B.Leviviricetes_reorg.zip</v>
      </c>
      <c r="U10076" s="29" t="str">
        <f>HYPERLINK("https://ictv.global/taxonomy/taxondetails?taxnode_id=202317281","ictv.global=202317281")</f>
        <v>ictv.global=202317281</v>
      </c>
    </row>
    <row r="10077" spans="1:21">
      <c r="A10077">
        <v>10076</v>
      </c>
      <c r="B10077" s="30" t="s">
        <v>1226</v>
      </c>
      <c r="D10077" s="30" t="s">
        <v>2024</v>
      </c>
      <c r="F10077" s="30" t="s">
        <v>2046</v>
      </c>
      <c r="H10077" s="30" t="s">
        <v>2859</v>
      </c>
      <c r="J10077" s="30" t="s">
        <v>3390</v>
      </c>
      <c r="L10077" s="30" t="s">
        <v>3442</v>
      </c>
      <c r="N10077" s="30" t="s">
        <v>16354</v>
      </c>
      <c r="P10077" s="30" t="s">
        <v>16587</v>
      </c>
      <c r="Q10077" t="s">
        <v>621</v>
      </c>
      <c r="R10077" t="s">
        <v>917</v>
      </c>
      <c r="S10077">
        <v>39</v>
      </c>
      <c r="T10077" s="29" t="str">
        <f t="shared" si="423"/>
        <v>2023.001B.Leviviricetes_reorg.zip</v>
      </c>
      <c r="U10077" s="29" t="str">
        <f>HYPERLINK("https://ictv.global/taxonomy/taxondetails?taxnode_id=202317282","ictv.global=202317282")</f>
        <v>ictv.global=202317282</v>
      </c>
    </row>
    <row r="10078" spans="1:21">
      <c r="A10078">
        <v>10077</v>
      </c>
      <c r="B10078" s="30" t="s">
        <v>1226</v>
      </c>
      <c r="D10078" s="30" t="s">
        <v>2024</v>
      </c>
      <c r="F10078" s="30" t="s">
        <v>2046</v>
      </c>
      <c r="H10078" s="30" t="s">
        <v>2859</v>
      </c>
      <c r="J10078" s="30" t="s">
        <v>3390</v>
      </c>
      <c r="L10078" s="30" t="s">
        <v>3442</v>
      </c>
      <c r="N10078" s="30" t="s">
        <v>16354</v>
      </c>
      <c r="P10078" s="30" t="s">
        <v>16588</v>
      </c>
      <c r="Q10078" t="s">
        <v>621</v>
      </c>
      <c r="R10078" t="s">
        <v>917</v>
      </c>
      <c r="S10078">
        <v>39</v>
      </c>
      <c r="T10078" s="29" t="str">
        <f t="shared" si="423"/>
        <v>2023.001B.Leviviricetes_reorg.zip</v>
      </c>
      <c r="U10078" s="29" t="str">
        <f>HYPERLINK("https://ictv.global/taxonomy/taxondetails?taxnode_id=202317283","ictv.global=202317283")</f>
        <v>ictv.global=202317283</v>
      </c>
    </row>
    <row r="10079" spans="1:21">
      <c r="A10079">
        <v>10078</v>
      </c>
      <c r="B10079" s="30" t="s">
        <v>1226</v>
      </c>
      <c r="D10079" s="30" t="s">
        <v>2024</v>
      </c>
      <c r="F10079" s="30" t="s">
        <v>2046</v>
      </c>
      <c r="H10079" s="30" t="s">
        <v>2859</v>
      </c>
      <c r="J10079" s="30" t="s">
        <v>3390</v>
      </c>
      <c r="L10079" s="30" t="s">
        <v>3442</v>
      </c>
      <c r="N10079" s="30" t="s">
        <v>16354</v>
      </c>
      <c r="P10079" s="30" t="s">
        <v>16589</v>
      </c>
      <c r="Q10079" t="s">
        <v>621</v>
      </c>
      <c r="R10079" t="s">
        <v>917</v>
      </c>
      <c r="S10079">
        <v>39</v>
      </c>
      <c r="T10079" s="29" t="str">
        <f t="shared" si="423"/>
        <v>2023.001B.Leviviricetes_reorg.zip</v>
      </c>
      <c r="U10079" s="29" t="str">
        <f>HYPERLINK("https://ictv.global/taxonomy/taxondetails?taxnode_id=202317284","ictv.global=202317284")</f>
        <v>ictv.global=202317284</v>
      </c>
    </row>
    <row r="10080" spans="1:21">
      <c r="A10080">
        <v>10079</v>
      </c>
      <c r="B10080" s="30" t="s">
        <v>1226</v>
      </c>
      <c r="D10080" s="30" t="s">
        <v>2024</v>
      </c>
      <c r="F10080" s="30" t="s">
        <v>2046</v>
      </c>
      <c r="H10080" s="30" t="s">
        <v>2859</v>
      </c>
      <c r="J10080" s="30" t="s">
        <v>3390</v>
      </c>
      <c r="L10080" s="30" t="s">
        <v>3442</v>
      </c>
      <c r="N10080" s="30" t="s">
        <v>16354</v>
      </c>
      <c r="P10080" s="30" t="s">
        <v>16590</v>
      </c>
      <c r="Q10080" t="s">
        <v>621</v>
      </c>
      <c r="R10080" t="s">
        <v>917</v>
      </c>
      <c r="S10080">
        <v>39</v>
      </c>
      <c r="T10080" s="29" t="str">
        <f t="shared" si="423"/>
        <v>2023.001B.Leviviricetes_reorg.zip</v>
      </c>
      <c r="U10080" s="29" t="str">
        <f>HYPERLINK("https://ictv.global/taxonomy/taxondetails?taxnode_id=202317285","ictv.global=202317285")</f>
        <v>ictv.global=202317285</v>
      </c>
    </row>
    <row r="10081" spans="1:21">
      <c r="A10081">
        <v>10080</v>
      </c>
      <c r="B10081" s="30" t="s">
        <v>1226</v>
      </c>
      <c r="D10081" s="30" t="s">
        <v>2024</v>
      </c>
      <c r="F10081" s="30" t="s">
        <v>2046</v>
      </c>
      <c r="H10081" s="30" t="s">
        <v>2859</v>
      </c>
      <c r="J10081" s="30" t="s">
        <v>3390</v>
      </c>
      <c r="L10081" s="30" t="s">
        <v>3442</v>
      </c>
      <c r="N10081" s="30" t="s">
        <v>16354</v>
      </c>
      <c r="P10081" s="30" t="s">
        <v>16591</v>
      </c>
      <c r="Q10081" t="s">
        <v>621</v>
      </c>
      <c r="R10081" t="s">
        <v>917</v>
      </c>
      <c r="S10081">
        <v>39</v>
      </c>
      <c r="T10081" s="29" t="str">
        <f t="shared" si="423"/>
        <v>2023.001B.Leviviricetes_reorg.zip</v>
      </c>
      <c r="U10081" s="29" t="str">
        <f>HYPERLINK("https://ictv.global/taxonomy/taxondetails?taxnode_id=202317286","ictv.global=202317286")</f>
        <v>ictv.global=202317286</v>
      </c>
    </row>
    <row r="10082" spans="1:21">
      <c r="A10082">
        <v>10081</v>
      </c>
      <c r="B10082" s="30" t="s">
        <v>1226</v>
      </c>
      <c r="D10082" s="30" t="s">
        <v>2024</v>
      </c>
      <c r="F10082" s="30" t="s">
        <v>2046</v>
      </c>
      <c r="H10082" s="30" t="s">
        <v>2859</v>
      </c>
      <c r="J10082" s="30" t="s">
        <v>3390</v>
      </c>
      <c r="L10082" s="30" t="s">
        <v>3442</v>
      </c>
      <c r="N10082" s="30" t="s">
        <v>16354</v>
      </c>
      <c r="P10082" s="30" t="s">
        <v>16592</v>
      </c>
      <c r="Q10082" t="s">
        <v>621</v>
      </c>
      <c r="R10082" t="s">
        <v>917</v>
      </c>
      <c r="S10082">
        <v>39</v>
      </c>
      <c r="T10082" s="29" t="str">
        <f t="shared" si="423"/>
        <v>2023.001B.Leviviricetes_reorg.zip</v>
      </c>
      <c r="U10082" s="29" t="str">
        <f>HYPERLINK("https://ictv.global/taxonomy/taxondetails?taxnode_id=202317287","ictv.global=202317287")</f>
        <v>ictv.global=202317287</v>
      </c>
    </row>
    <row r="10083" spans="1:21">
      <c r="A10083">
        <v>10082</v>
      </c>
      <c r="B10083" s="30" t="s">
        <v>1226</v>
      </c>
      <c r="D10083" s="30" t="s">
        <v>2024</v>
      </c>
      <c r="F10083" s="30" t="s">
        <v>2046</v>
      </c>
      <c r="H10083" s="30" t="s">
        <v>2859</v>
      </c>
      <c r="J10083" s="30" t="s">
        <v>3390</v>
      </c>
      <c r="L10083" s="30" t="s">
        <v>3442</v>
      </c>
      <c r="N10083" s="30" t="s">
        <v>16354</v>
      </c>
      <c r="P10083" s="30" t="s">
        <v>16593</v>
      </c>
      <c r="Q10083" t="s">
        <v>621</v>
      </c>
      <c r="R10083" t="s">
        <v>918</v>
      </c>
      <c r="S10083">
        <v>39</v>
      </c>
      <c r="T10083" s="29" t="str">
        <f t="shared" si="423"/>
        <v>2023.001B.Leviviricetes_reorg.zip</v>
      </c>
      <c r="U10083" s="29" t="str">
        <f>HYPERLINK("https://ictv.global/taxonomy/taxondetails?taxnode_id=202311415","ictv.global=202311415")</f>
        <v>ictv.global=202311415</v>
      </c>
    </row>
    <row r="10084" spans="1:21">
      <c r="A10084">
        <v>10083</v>
      </c>
      <c r="B10084" s="30" t="s">
        <v>1226</v>
      </c>
      <c r="D10084" s="30" t="s">
        <v>2024</v>
      </c>
      <c r="F10084" s="30" t="s">
        <v>2046</v>
      </c>
      <c r="H10084" s="30" t="s">
        <v>2859</v>
      </c>
      <c r="J10084" s="30" t="s">
        <v>3390</v>
      </c>
      <c r="L10084" s="30" t="s">
        <v>3442</v>
      </c>
      <c r="N10084" s="30" t="s">
        <v>16354</v>
      </c>
      <c r="P10084" s="30" t="s">
        <v>16594</v>
      </c>
      <c r="Q10084" t="s">
        <v>621</v>
      </c>
      <c r="R10084" t="s">
        <v>917</v>
      </c>
      <c r="S10084">
        <v>39</v>
      </c>
      <c r="T10084" s="29" t="str">
        <f t="shared" si="423"/>
        <v>2023.001B.Leviviricetes_reorg.zip</v>
      </c>
      <c r="U10084" s="29" t="str">
        <f>HYPERLINK("https://ictv.global/taxonomy/taxondetails?taxnode_id=202317288","ictv.global=202317288")</f>
        <v>ictv.global=202317288</v>
      </c>
    </row>
    <row r="10085" spans="1:21">
      <c r="A10085">
        <v>10084</v>
      </c>
      <c r="B10085" s="30" t="s">
        <v>1226</v>
      </c>
      <c r="D10085" s="30" t="s">
        <v>2024</v>
      </c>
      <c r="F10085" s="30" t="s">
        <v>2046</v>
      </c>
      <c r="H10085" s="30" t="s">
        <v>2859</v>
      </c>
      <c r="J10085" s="30" t="s">
        <v>3390</v>
      </c>
      <c r="L10085" s="30" t="s">
        <v>3442</v>
      </c>
      <c r="N10085" s="30" t="s">
        <v>16354</v>
      </c>
      <c r="P10085" s="30" t="s">
        <v>16595</v>
      </c>
      <c r="Q10085" t="s">
        <v>621</v>
      </c>
      <c r="R10085" t="s">
        <v>918</v>
      </c>
      <c r="S10085">
        <v>39</v>
      </c>
      <c r="T10085" s="29" t="str">
        <f t="shared" si="423"/>
        <v>2023.001B.Leviviricetes_reorg.zip</v>
      </c>
      <c r="U10085" s="29" t="str">
        <f>HYPERLINK("https://ictv.global/taxonomy/taxondetails?taxnode_id=202311048","ictv.global=202311048")</f>
        <v>ictv.global=202311048</v>
      </c>
    </row>
    <row r="10086" spans="1:21">
      <c r="A10086">
        <v>10085</v>
      </c>
      <c r="B10086" s="30" t="s">
        <v>1226</v>
      </c>
      <c r="D10086" s="30" t="s">
        <v>2024</v>
      </c>
      <c r="F10086" s="30" t="s">
        <v>2046</v>
      </c>
      <c r="H10086" s="30" t="s">
        <v>2859</v>
      </c>
      <c r="J10086" s="30" t="s">
        <v>3390</v>
      </c>
      <c r="L10086" s="30" t="s">
        <v>3442</v>
      </c>
      <c r="N10086" s="30" t="s">
        <v>16354</v>
      </c>
      <c r="P10086" s="30" t="s">
        <v>16596</v>
      </c>
      <c r="Q10086" t="s">
        <v>621</v>
      </c>
      <c r="R10086" t="s">
        <v>918</v>
      </c>
      <c r="S10086">
        <v>39</v>
      </c>
      <c r="T10086" s="29" t="str">
        <f t="shared" si="423"/>
        <v>2023.001B.Leviviricetes_reorg.zip</v>
      </c>
      <c r="U10086" s="29" t="str">
        <f>HYPERLINK("https://ictv.global/taxonomy/taxondetails?taxnode_id=202311049","ictv.global=202311049")</f>
        <v>ictv.global=202311049</v>
      </c>
    </row>
    <row r="10087" spans="1:21">
      <c r="A10087">
        <v>10086</v>
      </c>
      <c r="B10087" s="30" t="s">
        <v>1226</v>
      </c>
      <c r="D10087" s="30" t="s">
        <v>2024</v>
      </c>
      <c r="F10087" s="30" t="s">
        <v>2046</v>
      </c>
      <c r="H10087" s="30" t="s">
        <v>2859</v>
      </c>
      <c r="J10087" s="30" t="s">
        <v>3390</v>
      </c>
      <c r="L10087" s="30" t="s">
        <v>3442</v>
      </c>
      <c r="N10087" s="30" t="s">
        <v>16354</v>
      </c>
      <c r="P10087" s="30" t="s">
        <v>16597</v>
      </c>
      <c r="Q10087" t="s">
        <v>621</v>
      </c>
      <c r="R10087" t="s">
        <v>918</v>
      </c>
      <c r="S10087">
        <v>39</v>
      </c>
      <c r="T10087" s="29" t="str">
        <f t="shared" si="423"/>
        <v>2023.001B.Leviviricetes_reorg.zip</v>
      </c>
      <c r="U10087" s="29" t="str">
        <f>HYPERLINK("https://ictv.global/taxonomy/taxondetails?taxnode_id=202311050","ictv.global=202311050")</f>
        <v>ictv.global=202311050</v>
      </c>
    </row>
    <row r="10088" spans="1:21">
      <c r="A10088">
        <v>10087</v>
      </c>
      <c r="B10088" s="30" t="s">
        <v>1226</v>
      </c>
      <c r="D10088" s="30" t="s">
        <v>2024</v>
      </c>
      <c r="F10088" s="30" t="s">
        <v>2046</v>
      </c>
      <c r="H10088" s="30" t="s">
        <v>2859</v>
      </c>
      <c r="J10088" s="30" t="s">
        <v>3390</v>
      </c>
      <c r="L10088" s="30" t="s">
        <v>3442</v>
      </c>
      <c r="N10088" s="30" t="s">
        <v>16354</v>
      </c>
      <c r="P10088" s="30" t="s">
        <v>16598</v>
      </c>
      <c r="Q10088" t="s">
        <v>621</v>
      </c>
      <c r="R10088" t="s">
        <v>917</v>
      </c>
      <c r="S10088">
        <v>39</v>
      </c>
      <c r="T10088" s="29" t="str">
        <f t="shared" si="423"/>
        <v>2023.001B.Leviviricetes_reorg.zip</v>
      </c>
      <c r="U10088" s="29" t="str">
        <f>HYPERLINK("https://ictv.global/taxonomy/taxondetails?taxnode_id=202317289","ictv.global=202317289")</f>
        <v>ictv.global=202317289</v>
      </c>
    </row>
    <row r="10089" spans="1:21">
      <c r="A10089">
        <v>10088</v>
      </c>
      <c r="B10089" s="30" t="s">
        <v>1226</v>
      </c>
      <c r="D10089" s="30" t="s">
        <v>2024</v>
      </c>
      <c r="F10089" s="30" t="s">
        <v>2046</v>
      </c>
      <c r="H10089" s="30" t="s">
        <v>2859</v>
      </c>
      <c r="J10089" s="30" t="s">
        <v>3390</v>
      </c>
      <c r="L10089" s="30" t="s">
        <v>3442</v>
      </c>
      <c r="N10089" s="30" t="s">
        <v>16354</v>
      </c>
      <c r="P10089" s="30" t="s">
        <v>16599</v>
      </c>
      <c r="Q10089" t="s">
        <v>621</v>
      </c>
      <c r="R10089" t="s">
        <v>917</v>
      </c>
      <c r="S10089">
        <v>39</v>
      </c>
      <c r="T10089" s="29" t="str">
        <f t="shared" si="423"/>
        <v>2023.001B.Leviviricetes_reorg.zip</v>
      </c>
      <c r="U10089" s="29" t="str">
        <f>HYPERLINK("https://ictv.global/taxonomy/taxondetails?taxnode_id=202317290","ictv.global=202317290")</f>
        <v>ictv.global=202317290</v>
      </c>
    </row>
    <row r="10090" spans="1:21">
      <c r="A10090">
        <v>10089</v>
      </c>
      <c r="B10090" s="30" t="s">
        <v>1226</v>
      </c>
      <c r="D10090" s="30" t="s">
        <v>2024</v>
      </c>
      <c r="F10090" s="30" t="s">
        <v>2046</v>
      </c>
      <c r="H10090" s="30" t="s">
        <v>2859</v>
      </c>
      <c r="J10090" s="30" t="s">
        <v>3390</v>
      </c>
      <c r="L10090" s="30" t="s">
        <v>3442</v>
      </c>
      <c r="N10090" s="30" t="s">
        <v>16354</v>
      </c>
      <c r="P10090" s="30" t="s">
        <v>16600</v>
      </c>
      <c r="Q10090" t="s">
        <v>621</v>
      </c>
      <c r="R10090" t="s">
        <v>917</v>
      </c>
      <c r="S10090">
        <v>39</v>
      </c>
      <c r="T10090" s="29" t="str">
        <f t="shared" si="423"/>
        <v>2023.001B.Leviviricetes_reorg.zip</v>
      </c>
      <c r="U10090" s="29" t="str">
        <f>HYPERLINK("https://ictv.global/taxonomy/taxondetails?taxnode_id=202317291","ictv.global=202317291")</f>
        <v>ictv.global=202317291</v>
      </c>
    </row>
    <row r="10091" spans="1:21">
      <c r="A10091">
        <v>10090</v>
      </c>
      <c r="B10091" s="30" t="s">
        <v>1226</v>
      </c>
      <c r="D10091" s="30" t="s">
        <v>2024</v>
      </c>
      <c r="F10091" s="30" t="s">
        <v>2046</v>
      </c>
      <c r="H10091" s="30" t="s">
        <v>2859</v>
      </c>
      <c r="J10091" s="30" t="s">
        <v>3390</v>
      </c>
      <c r="L10091" s="30" t="s">
        <v>3442</v>
      </c>
      <c r="N10091" s="30" t="s">
        <v>16354</v>
      </c>
      <c r="P10091" s="30" t="s">
        <v>16601</v>
      </c>
      <c r="Q10091" t="s">
        <v>621</v>
      </c>
      <c r="R10091" t="s">
        <v>917</v>
      </c>
      <c r="S10091">
        <v>39</v>
      </c>
      <c r="T10091" s="29" t="str">
        <f t="shared" si="423"/>
        <v>2023.001B.Leviviricetes_reorg.zip</v>
      </c>
      <c r="U10091" s="29" t="str">
        <f>HYPERLINK("https://ictv.global/taxonomy/taxondetails?taxnode_id=202317292","ictv.global=202317292")</f>
        <v>ictv.global=202317292</v>
      </c>
    </row>
    <row r="10092" spans="1:21">
      <c r="A10092">
        <v>10091</v>
      </c>
      <c r="B10092" s="30" t="s">
        <v>1226</v>
      </c>
      <c r="D10092" s="30" t="s">
        <v>2024</v>
      </c>
      <c r="F10092" s="30" t="s">
        <v>2046</v>
      </c>
      <c r="H10092" s="30" t="s">
        <v>2859</v>
      </c>
      <c r="J10092" s="30" t="s">
        <v>3390</v>
      </c>
      <c r="L10092" s="30" t="s">
        <v>3442</v>
      </c>
      <c r="N10092" s="30" t="s">
        <v>16354</v>
      </c>
      <c r="P10092" s="30" t="s">
        <v>16602</v>
      </c>
      <c r="Q10092" t="s">
        <v>621</v>
      </c>
      <c r="R10092" t="s">
        <v>917</v>
      </c>
      <c r="S10092">
        <v>39</v>
      </c>
      <c r="T10092" s="29" t="str">
        <f t="shared" si="423"/>
        <v>2023.001B.Leviviricetes_reorg.zip</v>
      </c>
      <c r="U10092" s="29" t="str">
        <f>HYPERLINK("https://ictv.global/taxonomy/taxondetails?taxnode_id=202317293","ictv.global=202317293")</f>
        <v>ictv.global=202317293</v>
      </c>
    </row>
    <row r="10093" spans="1:21">
      <c r="A10093">
        <v>10092</v>
      </c>
      <c r="B10093" s="30" t="s">
        <v>1226</v>
      </c>
      <c r="D10093" s="30" t="s">
        <v>2024</v>
      </c>
      <c r="F10093" s="30" t="s">
        <v>2046</v>
      </c>
      <c r="H10093" s="30" t="s">
        <v>2859</v>
      </c>
      <c r="J10093" s="30" t="s">
        <v>3390</v>
      </c>
      <c r="L10093" s="30" t="s">
        <v>3442</v>
      </c>
      <c r="N10093" s="30" t="s">
        <v>16354</v>
      </c>
      <c r="P10093" s="30" t="s">
        <v>16603</v>
      </c>
      <c r="Q10093" t="s">
        <v>621</v>
      </c>
      <c r="R10093" t="s">
        <v>917</v>
      </c>
      <c r="S10093">
        <v>39</v>
      </c>
      <c r="T10093" s="29" t="str">
        <f t="shared" si="423"/>
        <v>2023.001B.Leviviricetes_reorg.zip</v>
      </c>
      <c r="U10093" s="29" t="str">
        <f>HYPERLINK("https://ictv.global/taxonomy/taxondetails?taxnode_id=202317294","ictv.global=202317294")</f>
        <v>ictv.global=202317294</v>
      </c>
    </row>
    <row r="10094" spans="1:21">
      <c r="A10094">
        <v>10093</v>
      </c>
      <c r="B10094" s="30" t="s">
        <v>1226</v>
      </c>
      <c r="D10094" s="30" t="s">
        <v>2024</v>
      </c>
      <c r="F10094" s="30" t="s">
        <v>2046</v>
      </c>
      <c r="H10094" s="30" t="s">
        <v>2859</v>
      </c>
      <c r="J10094" s="30" t="s">
        <v>3390</v>
      </c>
      <c r="L10094" s="30" t="s">
        <v>3442</v>
      </c>
      <c r="N10094" s="30" t="s">
        <v>16354</v>
      </c>
      <c r="P10094" s="30" t="s">
        <v>16604</v>
      </c>
      <c r="Q10094" t="s">
        <v>621</v>
      </c>
      <c r="R10094" t="s">
        <v>917</v>
      </c>
      <c r="S10094">
        <v>39</v>
      </c>
      <c r="T10094" s="29" t="str">
        <f t="shared" si="423"/>
        <v>2023.001B.Leviviricetes_reorg.zip</v>
      </c>
      <c r="U10094" s="29" t="str">
        <f>HYPERLINK("https://ictv.global/taxonomy/taxondetails?taxnode_id=202317295","ictv.global=202317295")</f>
        <v>ictv.global=202317295</v>
      </c>
    </row>
    <row r="10095" spans="1:21">
      <c r="A10095">
        <v>10094</v>
      </c>
      <c r="B10095" s="30" t="s">
        <v>1226</v>
      </c>
      <c r="D10095" s="30" t="s">
        <v>2024</v>
      </c>
      <c r="F10095" s="30" t="s">
        <v>2046</v>
      </c>
      <c r="H10095" s="30" t="s">
        <v>2859</v>
      </c>
      <c r="J10095" s="30" t="s">
        <v>3390</v>
      </c>
      <c r="L10095" s="30" t="s">
        <v>3442</v>
      </c>
      <c r="N10095" s="30" t="s">
        <v>16354</v>
      </c>
      <c r="P10095" s="30" t="s">
        <v>16605</v>
      </c>
      <c r="Q10095" t="s">
        <v>621</v>
      </c>
      <c r="R10095" t="s">
        <v>917</v>
      </c>
      <c r="S10095">
        <v>39</v>
      </c>
      <c r="T10095" s="29" t="str">
        <f t="shared" si="423"/>
        <v>2023.001B.Leviviricetes_reorg.zip</v>
      </c>
      <c r="U10095" s="29" t="str">
        <f>HYPERLINK("https://ictv.global/taxonomy/taxondetails?taxnode_id=202317296","ictv.global=202317296")</f>
        <v>ictv.global=202317296</v>
      </c>
    </row>
    <row r="10096" spans="1:21">
      <c r="A10096">
        <v>10095</v>
      </c>
      <c r="B10096" s="30" t="s">
        <v>1226</v>
      </c>
      <c r="D10096" s="30" t="s">
        <v>2024</v>
      </c>
      <c r="F10096" s="30" t="s">
        <v>2046</v>
      </c>
      <c r="H10096" s="30" t="s">
        <v>2859</v>
      </c>
      <c r="J10096" s="30" t="s">
        <v>3390</v>
      </c>
      <c r="L10096" s="30" t="s">
        <v>3442</v>
      </c>
      <c r="N10096" s="30" t="s">
        <v>16354</v>
      </c>
      <c r="P10096" s="30" t="s">
        <v>16606</v>
      </c>
      <c r="Q10096" t="s">
        <v>621</v>
      </c>
      <c r="R10096" t="s">
        <v>917</v>
      </c>
      <c r="S10096">
        <v>39</v>
      </c>
      <c r="T10096" s="29" t="str">
        <f t="shared" si="423"/>
        <v>2023.001B.Leviviricetes_reorg.zip</v>
      </c>
      <c r="U10096" s="29" t="str">
        <f>HYPERLINK("https://ictv.global/taxonomy/taxondetails?taxnode_id=202317297","ictv.global=202317297")</f>
        <v>ictv.global=202317297</v>
      </c>
    </row>
    <row r="10097" spans="1:21">
      <c r="A10097">
        <v>10096</v>
      </c>
      <c r="B10097" s="30" t="s">
        <v>1226</v>
      </c>
      <c r="D10097" s="30" t="s">
        <v>2024</v>
      </c>
      <c r="F10097" s="30" t="s">
        <v>2046</v>
      </c>
      <c r="H10097" s="30" t="s">
        <v>2859</v>
      </c>
      <c r="J10097" s="30" t="s">
        <v>3390</v>
      </c>
      <c r="L10097" s="30" t="s">
        <v>3442</v>
      </c>
      <c r="N10097" s="30" t="s">
        <v>16354</v>
      </c>
      <c r="P10097" s="30" t="s">
        <v>16607</v>
      </c>
      <c r="Q10097" t="s">
        <v>621</v>
      </c>
      <c r="R10097" t="s">
        <v>917</v>
      </c>
      <c r="S10097">
        <v>39</v>
      </c>
      <c r="T10097" s="29" t="str">
        <f t="shared" si="423"/>
        <v>2023.001B.Leviviricetes_reorg.zip</v>
      </c>
      <c r="U10097" s="29" t="str">
        <f>HYPERLINK("https://ictv.global/taxonomy/taxondetails?taxnode_id=202317298","ictv.global=202317298")</f>
        <v>ictv.global=202317298</v>
      </c>
    </row>
    <row r="10098" spans="1:21">
      <c r="A10098">
        <v>10097</v>
      </c>
      <c r="B10098" s="30" t="s">
        <v>1226</v>
      </c>
      <c r="D10098" s="30" t="s">
        <v>2024</v>
      </c>
      <c r="F10098" s="30" t="s">
        <v>2046</v>
      </c>
      <c r="H10098" s="30" t="s">
        <v>2859</v>
      </c>
      <c r="J10098" s="30" t="s">
        <v>3390</v>
      </c>
      <c r="L10098" s="30" t="s">
        <v>3442</v>
      </c>
      <c r="N10098" s="30" t="s">
        <v>16354</v>
      </c>
      <c r="P10098" s="30" t="s">
        <v>16608</v>
      </c>
      <c r="Q10098" t="s">
        <v>621</v>
      </c>
      <c r="R10098" t="s">
        <v>917</v>
      </c>
      <c r="S10098">
        <v>39</v>
      </c>
      <c r="T10098" s="29" t="str">
        <f t="shared" si="423"/>
        <v>2023.001B.Leviviricetes_reorg.zip</v>
      </c>
      <c r="U10098" s="29" t="str">
        <f>HYPERLINK("https://ictv.global/taxonomy/taxondetails?taxnode_id=202317299","ictv.global=202317299")</f>
        <v>ictv.global=202317299</v>
      </c>
    </row>
    <row r="10099" spans="1:21">
      <c r="A10099">
        <v>10098</v>
      </c>
      <c r="B10099" s="30" t="s">
        <v>1226</v>
      </c>
      <c r="D10099" s="30" t="s">
        <v>2024</v>
      </c>
      <c r="F10099" s="30" t="s">
        <v>2046</v>
      </c>
      <c r="H10099" s="30" t="s">
        <v>2859</v>
      </c>
      <c r="J10099" s="30" t="s">
        <v>3390</v>
      </c>
      <c r="L10099" s="30" t="s">
        <v>3442</v>
      </c>
      <c r="N10099" s="30" t="s">
        <v>16354</v>
      </c>
      <c r="P10099" s="30" t="s">
        <v>16609</v>
      </c>
      <c r="Q10099" t="s">
        <v>621</v>
      </c>
      <c r="R10099" t="s">
        <v>917</v>
      </c>
      <c r="S10099">
        <v>39</v>
      </c>
      <c r="T10099" s="29" t="str">
        <f t="shared" si="423"/>
        <v>2023.001B.Leviviricetes_reorg.zip</v>
      </c>
      <c r="U10099" s="29" t="str">
        <f>HYPERLINK("https://ictv.global/taxonomy/taxondetails?taxnode_id=202317300","ictv.global=202317300")</f>
        <v>ictv.global=202317300</v>
      </c>
    </row>
    <row r="10100" spans="1:21">
      <c r="A10100">
        <v>10099</v>
      </c>
      <c r="B10100" s="30" t="s">
        <v>1226</v>
      </c>
      <c r="D10100" s="30" t="s">
        <v>2024</v>
      </c>
      <c r="F10100" s="30" t="s">
        <v>2046</v>
      </c>
      <c r="H10100" s="30" t="s">
        <v>2859</v>
      </c>
      <c r="J10100" s="30" t="s">
        <v>3390</v>
      </c>
      <c r="L10100" s="30" t="s">
        <v>3442</v>
      </c>
      <c r="N10100" s="30" t="s">
        <v>16354</v>
      </c>
      <c r="P10100" s="30" t="s">
        <v>16610</v>
      </c>
      <c r="Q10100" t="s">
        <v>621</v>
      </c>
      <c r="R10100" t="s">
        <v>917</v>
      </c>
      <c r="S10100">
        <v>39</v>
      </c>
      <c r="T10100" s="29" t="str">
        <f t="shared" si="423"/>
        <v>2023.001B.Leviviricetes_reorg.zip</v>
      </c>
      <c r="U10100" s="29" t="str">
        <f>HYPERLINK("https://ictv.global/taxonomy/taxondetails?taxnode_id=202317301","ictv.global=202317301")</f>
        <v>ictv.global=202317301</v>
      </c>
    </row>
    <row r="10101" spans="1:21">
      <c r="A10101">
        <v>10100</v>
      </c>
      <c r="B10101" s="30" t="s">
        <v>1226</v>
      </c>
      <c r="D10101" s="30" t="s">
        <v>2024</v>
      </c>
      <c r="F10101" s="30" t="s">
        <v>2046</v>
      </c>
      <c r="H10101" s="30" t="s">
        <v>2859</v>
      </c>
      <c r="J10101" s="30" t="s">
        <v>3390</v>
      </c>
      <c r="L10101" s="30" t="s">
        <v>3442</v>
      </c>
      <c r="N10101" s="30" t="s">
        <v>16354</v>
      </c>
      <c r="P10101" s="30" t="s">
        <v>16611</v>
      </c>
      <c r="Q10101" t="s">
        <v>621</v>
      </c>
      <c r="R10101" t="s">
        <v>918</v>
      </c>
      <c r="S10101">
        <v>39</v>
      </c>
      <c r="T10101" s="29" t="str">
        <f t="shared" si="423"/>
        <v>2023.001B.Leviviricetes_reorg.zip</v>
      </c>
      <c r="U10101" s="29" t="str">
        <f>HYPERLINK("https://ictv.global/taxonomy/taxondetails?taxnode_id=202311313","ictv.global=202311313")</f>
        <v>ictv.global=202311313</v>
      </c>
    </row>
    <row r="10102" spans="1:21">
      <c r="A10102">
        <v>10101</v>
      </c>
      <c r="B10102" s="30" t="s">
        <v>1226</v>
      </c>
      <c r="D10102" s="30" t="s">
        <v>2024</v>
      </c>
      <c r="F10102" s="30" t="s">
        <v>2046</v>
      </c>
      <c r="H10102" s="30" t="s">
        <v>2859</v>
      </c>
      <c r="J10102" s="30" t="s">
        <v>3390</v>
      </c>
      <c r="L10102" s="30" t="s">
        <v>3442</v>
      </c>
      <c r="N10102" s="30" t="s">
        <v>16354</v>
      </c>
      <c r="P10102" s="30" t="s">
        <v>16612</v>
      </c>
      <c r="Q10102" t="s">
        <v>621</v>
      </c>
      <c r="R10102" t="s">
        <v>918</v>
      </c>
      <c r="S10102">
        <v>39</v>
      </c>
      <c r="T10102" s="29" t="str">
        <f t="shared" si="423"/>
        <v>2023.001B.Leviviricetes_reorg.zip</v>
      </c>
      <c r="U10102" s="29" t="str">
        <f>HYPERLINK("https://ictv.global/taxonomy/taxondetails?taxnode_id=202311314","ictv.global=202311314")</f>
        <v>ictv.global=202311314</v>
      </c>
    </row>
    <row r="10103" spans="1:21">
      <c r="A10103">
        <v>10102</v>
      </c>
      <c r="B10103" s="30" t="s">
        <v>1226</v>
      </c>
      <c r="D10103" s="30" t="s">
        <v>2024</v>
      </c>
      <c r="F10103" s="30" t="s">
        <v>2046</v>
      </c>
      <c r="H10103" s="30" t="s">
        <v>2859</v>
      </c>
      <c r="J10103" s="30" t="s">
        <v>3390</v>
      </c>
      <c r="L10103" s="30" t="s">
        <v>3442</v>
      </c>
      <c r="N10103" s="30" t="s">
        <v>16354</v>
      </c>
      <c r="P10103" s="30" t="s">
        <v>16613</v>
      </c>
      <c r="Q10103" t="s">
        <v>621</v>
      </c>
      <c r="R10103" t="s">
        <v>918</v>
      </c>
      <c r="S10103">
        <v>39</v>
      </c>
      <c r="T10103" s="29" t="str">
        <f t="shared" si="423"/>
        <v>2023.001B.Leviviricetes_reorg.zip</v>
      </c>
      <c r="U10103" s="29" t="str">
        <f>HYPERLINK("https://ictv.global/taxonomy/taxondetails?taxnode_id=202311315","ictv.global=202311315")</f>
        <v>ictv.global=202311315</v>
      </c>
    </row>
    <row r="10104" spans="1:21">
      <c r="A10104">
        <v>10103</v>
      </c>
      <c r="B10104" s="30" t="s">
        <v>1226</v>
      </c>
      <c r="D10104" s="30" t="s">
        <v>2024</v>
      </c>
      <c r="F10104" s="30" t="s">
        <v>2046</v>
      </c>
      <c r="H10104" s="30" t="s">
        <v>2859</v>
      </c>
      <c r="J10104" s="30" t="s">
        <v>3390</v>
      </c>
      <c r="L10104" s="30" t="s">
        <v>3442</v>
      </c>
      <c r="N10104" s="30" t="s">
        <v>16354</v>
      </c>
      <c r="P10104" s="30" t="s">
        <v>16614</v>
      </c>
      <c r="Q10104" t="s">
        <v>621</v>
      </c>
      <c r="R10104" t="s">
        <v>918</v>
      </c>
      <c r="S10104">
        <v>39</v>
      </c>
      <c r="T10104" s="29" t="str">
        <f t="shared" si="423"/>
        <v>2023.001B.Leviviricetes_reorg.zip</v>
      </c>
      <c r="U10104" s="29" t="str">
        <f>HYPERLINK("https://ictv.global/taxonomy/taxondetails?taxnode_id=202311316","ictv.global=202311316")</f>
        <v>ictv.global=202311316</v>
      </c>
    </row>
    <row r="10105" spans="1:21">
      <c r="A10105">
        <v>10104</v>
      </c>
      <c r="B10105" s="30" t="s">
        <v>1226</v>
      </c>
      <c r="D10105" s="30" t="s">
        <v>2024</v>
      </c>
      <c r="F10105" s="30" t="s">
        <v>2046</v>
      </c>
      <c r="H10105" s="30" t="s">
        <v>2859</v>
      </c>
      <c r="J10105" s="30" t="s">
        <v>3390</v>
      </c>
      <c r="L10105" s="30" t="s">
        <v>3442</v>
      </c>
      <c r="N10105" s="30" t="s">
        <v>16354</v>
      </c>
      <c r="P10105" s="30" t="s">
        <v>16615</v>
      </c>
      <c r="Q10105" t="s">
        <v>621</v>
      </c>
      <c r="R10105" t="s">
        <v>918</v>
      </c>
      <c r="S10105">
        <v>39</v>
      </c>
      <c r="T10105" s="29" t="str">
        <f t="shared" si="423"/>
        <v>2023.001B.Leviviricetes_reorg.zip</v>
      </c>
      <c r="U10105" s="29" t="str">
        <f>HYPERLINK("https://ictv.global/taxonomy/taxondetails?taxnode_id=202311317","ictv.global=202311317")</f>
        <v>ictv.global=202311317</v>
      </c>
    </row>
    <row r="10106" spans="1:21">
      <c r="A10106">
        <v>10105</v>
      </c>
      <c r="B10106" s="30" t="s">
        <v>1226</v>
      </c>
      <c r="D10106" s="30" t="s">
        <v>2024</v>
      </c>
      <c r="F10106" s="30" t="s">
        <v>2046</v>
      </c>
      <c r="H10106" s="30" t="s">
        <v>2859</v>
      </c>
      <c r="J10106" s="30" t="s">
        <v>3390</v>
      </c>
      <c r="L10106" s="30" t="s">
        <v>3442</v>
      </c>
      <c r="N10106" s="30" t="s">
        <v>16354</v>
      </c>
      <c r="P10106" s="30" t="s">
        <v>16616</v>
      </c>
      <c r="Q10106" t="s">
        <v>621</v>
      </c>
      <c r="R10106" t="s">
        <v>918</v>
      </c>
      <c r="S10106">
        <v>39</v>
      </c>
      <c r="T10106" s="29" t="str">
        <f t="shared" si="423"/>
        <v>2023.001B.Leviviricetes_reorg.zip</v>
      </c>
      <c r="U10106" s="29" t="str">
        <f>HYPERLINK("https://ictv.global/taxonomy/taxondetails?taxnode_id=202311312","ictv.global=202311312")</f>
        <v>ictv.global=202311312</v>
      </c>
    </row>
    <row r="10107" spans="1:21">
      <c r="A10107">
        <v>10106</v>
      </c>
      <c r="B10107" s="30" t="s">
        <v>1226</v>
      </c>
      <c r="D10107" s="30" t="s">
        <v>2024</v>
      </c>
      <c r="F10107" s="30" t="s">
        <v>2046</v>
      </c>
      <c r="H10107" s="30" t="s">
        <v>2859</v>
      </c>
      <c r="J10107" s="30" t="s">
        <v>3390</v>
      </c>
      <c r="L10107" s="30" t="s">
        <v>3442</v>
      </c>
      <c r="N10107" s="30" t="s">
        <v>16354</v>
      </c>
      <c r="P10107" s="30" t="s">
        <v>16617</v>
      </c>
      <c r="Q10107" t="s">
        <v>621</v>
      </c>
      <c r="R10107" t="s">
        <v>918</v>
      </c>
      <c r="S10107">
        <v>39</v>
      </c>
      <c r="T10107" s="29" t="str">
        <f t="shared" si="423"/>
        <v>2023.001B.Leviviricetes_reorg.zip</v>
      </c>
      <c r="U10107" s="29" t="str">
        <f>HYPERLINK("https://ictv.global/taxonomy/taxondetails?taxnode_id=202311295","ictv.global=202311295")</f>
        <v>ictv.global=202311295</v>
      </c>
    </row>
    <row r="10108" spans="1:21">
      <c r="A10108">
        <v>10107</v>
      </c>
      <c r="B10108" s="30" t="s">
        <v>1226</v>
      </c>
      <c r="D10108" s="30" t="s">
        <v>2024</v>
      </c>
      <c r="F10108" s="30" t="s">
        <v>2046</v>
      </c>
      <c r="H10108" s="30" t="s">
        <v>2859</v>
      </c>
      <c r="J10108" s="30" t="s">
        <v>3390</v>
      </c>
      <c r="L10108" s="30" t="s">
        <v>3442</v>
      </c>
      <c r="N10108" s="30" t="s">
        <v>16354</v>
      </c>
      <c r="P10108" s="30" t="s">
        <v>16618</v>
      </c>
      <c r="Q10108" t="s">
        <v>621</v>
      </c>
      <c r="R10108" t="s">
        <v>918</v>
      </c>
      <c r="S10108">
        <v>39</v>
      </c>
      <c r="T10108" s="29" t="str">
        <f t="shared" si="423"/>
        <v>2023.001B.Leviviricetes_reorg.zip</v>
      </c>
      <c r="U10108" s="29" t="str">
        <f>HYPERLINK("https://ictv.global/taxonomy/taxondetails?taxnode_id=202311296","ictv.global=202311296")</f>
        <v>ictv.global=202311296</v>
      </c>
    </row>
    <row r="10109" spans="1:21">
      <c r="A10109">
        <v>10108</v>
      </c>
      <c r="B10109" s="30" t="s">
        <v>1226</v>
      </c>
      <c r="D10109" s="30" t="s">
        <v>2024</v>
      </c>
      <c r="F10109" s="30" t="s">
        <v>2046</v>
      </c>
      <c r="H10109" s="30" t="s">
        <v>2859</v>
      </c>
      <c r="J10109" s="30" t="s">
        <v>3390</v>
      </c>
      <c r="L10109" s="30" t="s">
        <v>3442</v>
      </c>
      <c r="N10109" s="30" t="s">
        <v>16354</v>
      </c>
      <c r="P10109" s="30" t="s">
        <v>16619</v>
      </c>
      <c r="Q10109" t="s">
        <v>621</v>
      </c>
      <c r="R10109" t="s">
        <v>918</v>
      </c>
      <c r="S10109">
        <v>39</v>
      </c>
      <c r="T10109" s="29" t="str">
        <f t="shared" si="423"/>
        <v>2023.001B.Leviviricetes_reorg.zip</v>
      </c>
      <c r="U10109" s="29" t="str">
        <f>HYPERLINK("https://ictv.global/taxonomy/taxondetails?taxnode_id=202311297","ictv.global=202311297")</f>
        <v>ictv.global=202311297</v>
      </c>
    </row>
    <row r="10110" spans="1:21">
      <c r="A10110">
        <v>10109</v>
      </c>
      <c r="B10110" s="30" t="s">
        <v>1226</v>
      </c>
      <c r="D10110" s="30" t="s">
        <v>2024</v>
      </c>
      <c r="F10110" s="30" t="s">
        <v>2046</v>
      </c>
      <c r="H10110" s="30" t="s">
        <v>2859</v>
      </c>
      <c r="J10110" s="30" t="s">
        <v>3390</v>
      </c>
      <c r="L10110" s="30" t="s">
        <v>3442</v>
      </c>
      <c r="N10110" s="30" t="s">
        <v>16354</v>
      </c>
      <c r="P10110" s="30" t="s">
        <v>16620</v>
      </c>
      <c r="Q10110" t="s">
        <v>621</v>
      </c>
      <c r="R10110" t="s">
        <v>918</v>
      </c>
      <c r="S10110">
        <v>39</v>
      </c>
      <c r="T10110" s="29" t="str">
        <f t="shared" si="423"/>
        <v>2023.001B.Leviviricetes_reorg.zip</v>
      </c>
      <c r="U10110" s="29" t="str">
        <f>HYPERLINK("https://ictv.global/taxonomy/taxondetails?taxnode_id=202311151","ictv.global=202311151")</f>
        <v>ictv.global=202311151</v>
      </c>
    </row>
    <row r="10111" spans="1:21">
      <c r="A10111">
        <v>10110</v>
      </c>
      <c r="B10111" s="30" t="s">
        <v>1226</v>
      </c>
      <c r="D10111" s="30" t="s">
        <v>2024</v>
      </c>
      <c r="F10111" s="30" t="s">
        <v>2046</v>
      </c>
      <c r="H10111" s="30" t="s">
        <v>2859</v>
      </c>
      <c r="J10111" s="30" t="s">
        <v>3390</v>
      </c>
      <c r="L10111" s="30" t="s">
        <v>3442</v>
      </c>
      <c r="N10111" s="30" t="s">
        <v>16354</v>
      </c>
      <c r="P10111" s="30" t="s">
        <v>16621</v>
      </c>
      <c r="Q10111" t="s">
        <v>621</v>
      </c>
      <c r="R10111" t="s">
        <v>918</v>
      </c>
      <c r="S10111">
        <v>39</v>
      </c>
      <c r="T10111" s="29" t="str">
        <f t="shared" si="423"/>
        <v>2023.001B.Leviviricetes_reorg.zip</v>
      </c>
      <c r="U10111" s="29" t="str">
        <f>HYPERLINK("https://ictv.global/taxonomy/taxondetails?taxnode_id=202311159","ictv.global=202311159")</f>
        <v>ictv.global=202311159</v>
      </c>
    </row>
    <row r="10112" spans="1:21">
      <c r="A10112">
        <v>10111</v>
      </c>
      <c r="B10112" s="30" t="s">
        <v>1226</v>
      </c>
      <c r="D10112" s="30" t="s">
        <v>2024</v>
      </c>
      <c r="F10112" s="30" t="s">
        <v>2046</v>
      </c>
      <c r="H10112" s="30" t="s">
        <v>2859</v>
      </c>
      <c r="J10112" s="30" t="s">
        <v>3390</v>
      </c>
      <c r="L10112" s="30" t="s">
        <v>3442</v>
      </c>
      <c r="N10112" s="30" t="s">
        <v>16354</v>
      </c>
      <c r="P10112" s="30" t="s">
        <v>16622</v>
      </c>
      <c r="Q10112" t="s">
        <v>621</v>
      </c>
      <c r="R10112" t="s">
        <v>918</v>
      </c>
      <c r="S10112">
        <v>39</v>
      </c>
      <c r="T10112" s="29" t="str">
        <f t="shared" si="423"/>
        <v>2023.001B.Leviviricetes_reorg.zip</v>
      </c>
      <c r="U10112" s="29" t="str">
        <f>HYPERLINK("https://ictv.global/taxonomy/taxondetails?taxnode_id=202311160","ictv.global=202311160")</f>
        <v>ictv.global=202311160</v>
      </c>
    </row>
    <row r="10113" spans="1:21">
      <c r="A10113">
        <v>10112</v>
      </c>
      <c r="B10113" s="30" t="s">
        <v>1226</v>
      </c>
      <c r="D10113" s="30" t="s">
        <v>2024</v>
      </c>
      <c r="F10113" s="30" t="s">
        <v>2046</v>
      </c>
      <c r="H10113" s="30" t="s">
        <v>2859</v>
      </c>
      <c r="J10113" s="30" t="s">
        <v>3390</v>
      </c>
      <c r="L10113" s="30" t="s">
        <v>3442</v>
      </c>
      <c r="N10113" s="30" t="s">
        <v>16354</v>
      </c>
      <c r="P10113" s="30" t="s">
        <v>16623</v>
      </c>
      <c r="Q10113" t="s">
        <v>621</v>
      </c>
      <c r="R10113" t="s">
        <v>918</v>
      </c>
      <c r="S10113">
        <v>39</v>
      </c>
      <c r="T10113" s="29" t="str">
        <f t="shared" si="423"/>
        <v>2023.001B.Leviviricetes_reorg.zip</v>
      </c>
      <c r="U10113" s="29" t="str">
        <f>HYPERLINK("https://ictv.global/taxonomy/taxondetails?taxnode_id=202311161","ictv.global=202311161")</f>
        <v>ictv.global=202311161</v>
      </c>
    </row>
    <row r="10114" spans="1:21">
      <c r="A10114">
        <v>10113</v>
      </c>
      <c r="B10114" s="30" t="s">
        <v>1226</v>
      </c>
      <c r="D10114" s="30" t="s">
        <v>2024</v>
      </c>
      <c r="F10114" s="30" t="s">
        <v>2046</v>
      </c>
      <c r="H10114" s="30" t="s">
        <v>2859</v>
      </c>
      <c r="J10114" s="30" t="s">
        <v>3390</v>
      </c>
      <c r="L10114" s="30" t="s">
        <v>3442</v>
      </c>
      <c r="N10114" s="30" t="s">
        <v>16354</v>
      </c>
      <c r="P10114" s="30" t="s">
        <v>16624</v>
      </c>
      <c r="Q10114" t="s">
        <v>621</v>
      </c>
      <c r="R10114" t="s">
        <v>918</v>
      </c>
      <c r="S10114">
        <v>39</v>
      </c>
      <c r="T10114" s="29" t="str">
        <f t="shared" si="423"/>
        <v>2023.001B.Leviviricetes_reorg.zip</v>
      </c>
      <c r="U10114" s="29" t="str">
        <f>HYPERLINK("https://ictv.global/taxonomy/taxondetails?taxnode_id=202311145","ictv.global=202311145")</f>
        <v>ictv.global=202311145</v>
      </c>
    </row>
    <row r="10115" spans="1:21">
      <c r="A10115">
        <v>10114</v>
      </c>
      <c r="B10115" s="30" t="s">
        <v>1226</v>
      </c>
      <c r="D10115" s="30" t="s">
        <v>2024</v>
      </c>
      <c r="F10115" s="30" t="s">
        <v>2046</v>
      </c>
      <c r="H10115" s="30" t="s">
        <v>2859</v>
      </c>
      <c r="J10115" s="30" t="s">
        <v>3390</v>
      </c>
      <c r="L10115" s="30" t="s">
        <v>3442</v>
      </c>
      <c r="N10115" s="30" t="s">
        <v>16354</v>
      </c>
      <c r="P10115" s="30" t="s">
        <v>16625</v>
      </c>
      <c r="Q10115" t="s">
        <v>621</v>
      </c>
      <c r="R10115" t="s">
        <v>918</v>
      </c>
      <c r="S10115">
        <v>39</v>
      </c>
      <c r="T10115" s="29" t="str">
        <f t="shared" si="423"/>
        <v>2023.001B.Leviviricetes_reorg.zip</v>
      </c>
      <c r="U10115" s="29" t="str">
        <f>HYPERLINK("https://ictv.global/taxonomy/taxondetails?taxnode_id=202311147","ictv.global=202311147")</f>
        <v>ictv.global=202311147</v>
      </c>
    </row>
    <row r="10116" spans="1:21">
      <c r="A10116">
        <v>10115</v>
      </c>
      <c r="B10116" s="30" t="s">
        <v>1226</v>
      </c>
      <c r="D10116" s="30" t="s">
        <v>2024</v>
      </c>
      <c r="F10116" s="30" t="s">
        <v>2046</v>
      </c>
      <c r="H10116" s="30" t="s">
        <v>2859</v>
      </c>
      <c r="J10116" s="30" t="s">
        <v>3390</v>
      </c>
      <c r="L10116" s="30" t="s">
        <v>3442</v>
      </c>
      <c r="N10116" s="30" t="s">
        <v>16354</v>
      </c>
      <c r="P10116" s="30" t="s">
        <v>16626</v>
      </c>
      <c r="Q10116" t="s">
        <v>621</v>
      </c>
      <c r="R10116" t="s">
        <v>918</v>
      </c>
      <c r="S10116">
        <v>39</v>
      </c>
      <c r="T10116" s="29" t="str">
        <f t="shared" si="423"/>
        <v>2023.001B.Leviviricetes_reorg.zip</v>
      </c>
      <c r="U10116" s="29" t="str">
        <f>HYPERLINK("https://ictv.global/taxonomy/taxondetails?taxnode_id=202311146","ictv.global=202311146")</f>
        <v>ictv.global=202311146</v>
      </c>
    </row>
    <row r="10117" spans="1:21">
      <c r="A10117">
        <v>10116</v>
      </c>
      <c r="B10117" s="30" t="s">
        <v>1226</v>
      </c>
      <c r="D10117" s="30" t="s">
        <v>2024</v>
      </c>
      <c r="F10117" s="30" t="s">
        <v>2046</v>
      </c>
      <c r="H10117" s="30" t="s">
        <v>2859</v>
      </c>
      <c r="J10117" s="30" t="s">
        <v>3390</v>
      </c>
      <c r="L10117" s="30" t="s">
        <v>3442</v>
      </c>
      <c r="N10117" s="30" t="s">
        <v>16354</v>
      </c>
      <c r="P10117" s="30" t="s">
        <v>16627</v>
      </c>
      <c r="Q10117" t="s">
        <v>621</v>
      </c>
      <c r="R10117" t="s">
        <v>918</v>
      </c>
      <c r="S10117">
        <v>39</v>
      </c>
      <c r="T10117" s="29" t="str">
        <f t="shared" si="423"/>
        <v>2023.001B.Leviviricetes_reorg.zip</v>
      </c>
      <c r="U10117" s="29" t="str">
        <f>HYPERLINK("https://ictv.global/taxonomy/taxondetails?taxnode_id=202311199","ictv.global=202311199")</f>
        <v>ictv.global=202311199</v>
      </c>
    </row>
    <row r="10118" spans="1:21">
      <c r="A10118">
        <v>10117</v>
      </c>
      <c r="B10118" s="30" t="s">
        <v>1226</v>
      </c>
      <c r="D10118" s="30" t="s">
        <v>2024</v>
      </c>
      <c r="F10118" s="30" t="s">
        <v>2046</v>
      </c>
      <c r="H10118" s="30" t="s">
        <v>2859</v>
      </c>
      <c r="J10118" s="30" t="s">
        <v>3390</v>
      </c>
      <c r="L10118" s="30" t="s">
        <v>3442</v>
      </c>
      <c r="N10118" s="30" t="s">
        <v>16354</v>
      </c>
      <c r="P10118" s="30" t="s">
        <v>16628</v>
      </c>
      <c r="Q10118" t="s">
        <v>621</v>
      </c>
      <c r="R10118" t="s">
        <v>918</v>
      </c>
      <c r="S10118">
        <v>39</v>
      </c>
      <c r="T10118" s="29" t="str">
        <f t="shared" si="423"/>
        <v>2023.001B.Leviviricetes_reorg.zip</v>
      </c>
      <c r="U10118" s="29" t="str">
        <f>HYPERLINK("https://ictv.global/taxonomy/taxondetails?taxnode_id=202311201","ictv.global=202311201")</f>
        <v>ictv.global=202311201</v>
      </c>
    </row>
    <row r="10119" spans="1:21">
      <c r="A10119">
        <v>10118</v>
      </c>
      <c r="B10119" s="30" t="s">
        <v>1226</v>
      </c>
      <c r="D10119" s="30" t="s">
        <v>2024</v>
      </c>
      <c r="F10119" s="30" t="s">
        <v>2046</v>
      </c>
      <c r="H10119" s="30" t="s">
        <v>2859</v>
      </c>
      <c r="J10119" s="30" t="s">
        <v>3390</v>
      </c>
      <c r="L10119" s="30" t="s">
        <v>3442</v>
      </c>
      <c r="N10119" s="30" t="s">
        <v>16354</v>
      </c>
      <c r="P10119" s="30" t="s">
        <v>16629</v>
      </c>
      <c r="Q10119" t="s">
        <v>621</v>
      </c>
      <c r="R10119" t="s">
        <v>918</v>
      </c>
      <c r="S10119">
        <v>39</v>
      </c>
      <c r="T10119" s="29" t="str">
        <f t="shared" si="423"/>
        <v>2023.001B.Leviviricetes_reorg.zip</v>
      </c>
      <c r="U10119" s="29" t="str">
        <f>HYPERLINK("https://ictv.global/taxonomy/taxondetails?taxnode_id=202311202","ictv.global=202311202")</f>
        <v>ictv.global=202311202</v>
      </c>
    </row>
    <row r="10120" spans="1:21">
      <c r="A10120">
        <v>10119</v>
      </c>
      <c r="B10120" s="30" t="s">
        <v>1226</v>
      </c>
      <c r="D10120" s="30" t="s">
        <v>2024</v>
      </c>
      <c r="F10120" s="30" t="s">
        <v>2046</v>
      </c>
      <c r="H10120" s="30" t="s">
        <v>2859</v>
      </c>
      <c r="J10120" s="30" t="s">
        <v>3390</v>
      </c>
      <c r="L10120" s="30" t="s">
        <v>3442</v>
      </c>
      <c r="N10120" s="30" t="s">
        <v>16354</v>
      </c>
      <c r="P10120" s="30" t="s">
        <v>16630</v>
      </c>
      <c r="Q10120" t="s">
        <v>621</v>
      </c>
      <c r="R10120" t="s">
        <v>918</v>
      </c>
      <c r="S10120">
        <v>39</v>
      </c>
      <c r="T10120" s="29" t="str">
        <f t="shared" si="423"/>
        <v>2023.001B.Leviviricetes_reorg.zip</v>
      </c>
      <c r="U10120" s="29" t="str">
        <f>HYPERLINK("https://ictv.global/taxonomy/taxondetails?taxnode_id=202311203","ictv.global=202311203")</f>
        <v>ictv.global=202311203</v>
      </c>
    </row>
    <row r="10121" spans="1:21">
      <c r="A10121">
        <v>10120</v>
      </c>
      <c r="B10121" s="30" t="s">
        <v>1226</v>
      </c>
      <c r="D10121" s="30" t="s">
        <v>2024</v>
      </c>
      <c r="F10121" s="30" t="s">
        <v>2046</v>
      </c>
      <c r="H10121" s="30" t="s">
        <v>2859</v>
      </c>
      <c r="J10121" s="30" t="s">
        <v>3390</v>
      </c>
      <c r="L10121" s="30" t="s">
        <v>3442</v>
      </c>
      <c r="N10121" s="30" t="s">
        <v>16354</v>
      </c>
      <c r="P10121" s="30" t="s">
        <v>16631</v>
      </c>
      <c r="Q10121" t="s">
        <v>621</v>
      </c>
      <c r="R10121" t="s">
        <v>918</v>
      </c>
      <c r="S10121">
        <v>39</v>
      </c>
      <c r="T10121" s="29" t="str">
        <f t="shared" si="423"/>
        <v>2023.001B.Leviviricetes_reorg.zip</v>
      </c>
      <c r="U10121" s="29" t="str">
        <f>HYPERLINK("https://ictv.global/taxonomy/taxondetails?taxnode_id=202311204","ictv.global=202311204")</f>
        <v>ictv.global=202311204</v>
      </c>
    </row>
    <row r="10122" spans="1:21">
      <c r="A10122">
        <v>10121</v>
      </c>
      <c r="B10122" s="30" t="s">
        <v>1226</v>
      </c>
      <c r="D10122" s="30" t="s">
        <v>2024</v>
      </c>
      <c r="F10122" s="30" t="s">
        <v>2046</v>
      </c>
      <c r="H10122" s="30" t="s">
        <v>2859</v>
      </c>
      <c r="J10122" s="30" t="s">
        <v>3390</v>
      </c>
      <c r="L10122" s="30" t="s">
        <v>3442</v>
      </c>
      <c r="N10122" s="30" t="s">
        <v>16354</v>
      </c>
      <c r="P10122" s="30" t="s">
        <v>16632</v>
      </c>
      <c r="Q10122" t="s">
        <v>621</v>
      </c>
      <c r="R10122" t="s">
        <v>918</v>
      </c>
      <c r="S10122">
        <v>39</v>
      </c>
      <c r="T10122" s="29" t="str">
        <f t="shared" ref="T10122:T10185" si="424">HYPERLINK("https://ictv.global/ictv/proposals/2023.001B.Leviviricetes_reorg.zip","2023.001B.Leviviricetes_reorg.zip")</f>
        <v>2023.001B.Leviviricetes_reorg.zip</v>
      </c>
      <c r="U10122" s="29" t="str">
        <f>HYPERLINK("https://ictv.global/taxonomy/taxondetails?taxnode_id=202311205","ictv.global=202311205")</f>
        <v>ictv.global=202311205</v>
      </c>
    </row>
    <row r="10123" spans="1:21">
      <c r="A10123">
        <v>10122</v>
      </c>
      <c r="B10123" s="30" t="s">
        <v>1226</v>
      </c>
      <c r="D10123" s="30" t="s">
        <v>2024</v>
      </c>
      <c r="F10123" s="30" t="s">
        <v>2046</v>
      </c>
      <c r="H10123" s="30" t="s">
        <v>2859</v>
      </c>
      <c r="J10123" s="30" t="s">
        <v>3390</v>
      </c>
      <c r="L10123" s="30" t="s">
        <v>3442</v>
      </c>
      <c r="N10123" s="30" t="s">
        <v>16354</v>
      </c>
      <c r="P10123" s="30" t="s">
        <v>16633</v>
      </c>
      <c r="Q10123" t="s">
        <v>621</v>
      </c>
      <c r="R10123" t="s">
        <v>918</v>
      </c>
      <c r="S10123">
        <v>39</v>
      </c>
      <c r="T10123" s="29" t="str">
        <f t="shared" si="424"/>
        <v>2023.001B.Leviviricetes_reorg.zip</v>
      </c>
      <c r="U10123" s="29" t="str">
        <f>HYPERLINK("https://ictv.global/taxonomy/taxondetails?taxnode_id=202311292","ictv.global=202311292")</f>
        <v>ictv.global=202311292</v>
      </c>
    </row>
    <row r="10124" spans="1:21">
      <c r="A10124">
        <v>10123</v>
      </c>
      <c r="B10124" s="30" t="s">
        <v>1226</v>
      </c>
      <c r="D10124" s="30" t="s">
        <v>2024</v>
      </c>
      <c r="F10124" s="30" t="s">
        <v>2046</v>
      </c>
      <c r="H10124" s="30" t="s">
        <v>2859</v>
      </c>
      <c r="J10124" s="30" t="s">
        <v>3390</v>
      </c>
      <c r="L10124" s="30" t="s">
        <v>3442</v>
      </c>
      <c r="N10124" s="30" t="s">
        <v>16354</v>
      </c>
      <c r="P10124" s="30" t="s">
        <v>16634</v>
      </c>
      <c r="Q10124" t="s">
        <v>621</v>
      </c>
      <c r="R10124" t="s">
        <v>917</v>
      </c>
      <c r="S10124">
        <v>39</v>
      </c>
      <c r="T10124" s="29" t="str">
        <f t="shared" si="424"/>
        <v>2023.001B.Leviviricetes_reorg.zip</v>
      </c>
      <c r="U10124" s="29" t="str">
        <f>HYPERLINK("https://ictv.global/taxonomy/taxondetails?taxnode_id=202317302","ictv.global=202317302")</f>
        <v>ictv.global=202317302</v>
      </c>
    </row>
    <row r="10125" spans="1:21">
      <c r="A10125">
        <v>10124</v>
      </c>
      <c r="B10125" s="30" t="s">
        <v>1226</v>
      </c>
      <c r="D10125" s="30" t="s">
        <v>2024</v>
      </c>
      <c r="F10125" s="30" t="s">
        <v>2046</v>
      </c>
      <c r="H10125" s="30" t="s">
        <v>2859</v>
      </c>
      <c r="J10125" s="30" t="s">
        <v>3390</v>
      </c>
      <c r="L10125" s="30" t="s">
        <v>3442</v>
      </c>
      <c r="N10125" s="30" t="s">
        <v>16354</v>
      </c>
      <c r="P10125" s="30" t="s">
        <v>16635</v>
      </c>
      <c r="Q10125" t="s">
        <v>621</v>
      </c>
      <c r="R10125" t="s">
        <v>917</v>
      </c>
      <c r="S10125">
        <v>39</v>
      </c>
      <c r="T10125" s="29" t="str">
        <f t="shared" si="424"/>
        <v>2023.001B.Leviviricetes_reorg.zip</v>
      </c>
      <c r="U10125" s="29" t="str">
        <f>HYPERLINK("https://ictv.global/taxonomy/taxondetails?taxnode_id=202317303","ictv.global=202317303")</f>
        <v>ictv.global=202317303</v>
      </c>
    </row>
    <row r="10126" spans="1:21">
      <c r="A10126">
        <v>10125</v>
      </c>
      <c r="B10126" s="30" t="s">
        <v>1226</v>
      </c>
      <c r="D10126" s="30" t="s">
        <v>2024</v>
      </c>
      <c r="F10126" s="30" t="s">
        <v>2046</v>
      </c>
      <c r="H10126" s="30" t="s">
        <v>2859</v>
      </c>
      <c r="J10126" s="30" t="s">
        <v>3390</v>
      </c>
      <c r="L10126" s="30" t="s">
        <v>3442</v>
      </c>
      <c r="N10126" s="30" t="s">
        <v>16354</v>
      </c>
      <c r="P10126" s="30" t="s">
        <v>16636</v>
      </c>
      <c r="Q10126" t="s">
        <v>621</v>
      </c>
      <c r="R10126" t="s">
        <v>917</v>
      </c>
      <c r="S10126">
        <v>39</v>
      </c>
      <c r="T10126" s="29" t="str">
        <f t="shared" si="424"/>
        <v>2023.001B.Leviviricetes_reorg.zip</v>
      </c>
      <c r="U10126" s="29" t="str">
        <f>HYPERLINK("https://ictv.global/taxonomy/taxondetails?taxnode_id=202317304","ictv.global=202317304")</f>
        <v>ictv.global=202317304</v>
      </c>
    </row>
    <row r="10127" spans="1:21">
      <c r="A10127">
        <v>10126</v>
      </c>
      <c r="B10127" s="30" t="s">
        <v>1226</v>
      </c>
      <c r="D10127" s="30" t="s">
        <v>2024</v>
      </c>
      <c r="F10127" s="30" t="s">
        <v>2046</v>
      </c>
      <c r="H10127" s="30" t="s">
        <v>2859</v>
      </c>
      <c r="J10127" s="30" t="s">
        <v>3390</v>
      </c>
      <c r="L10127" s="30" t="s">
        <v>3442</v>
      </c>
      <c r="N10127" s="30" t="s">
        <v>16354</v>
      </c>
      <c r="P10127" s="30" t="s">
        <v>16637</v>
      </c>
      <c r="Q10127" t="s">
        <v>621</v>
      </c>
      <c r="R10127" t="s">
        <v>917</v>
      </c>
      <c r="S10127">
        <v>39</v>
      </c>
      <c r="T10127" s="29" t="str">
        <f t="shared" si="424"/>
        <v>2023.001B.Leviviricetes_reorg.zip</v>
      </c>
      <c r="U10127" s="29" t="str">
        <f>HYPERLINK("https://ictv.global/taxonomy/taxondetails?taxnode_id=202317305","ictv.global=202317305")</f>
        <v>ictv.global=202317305</v>
      </c>
    </row>
    <row r="10128" spans="1:21">
      <c r="A10128">
        <v>10127</v>
      </c>
      <c r="B10128" s="30" t="s">
        <v>1226</v>
      </c>
      <c r="D10128" s="30" t="s">
        <v>2024</v>
      </c>
      <c r="F10128" s="30" t="s">
        <v>2046</v>
      </c>
      <c r="H10128" s="30" t="s">
        <v>2859</v>
      </c>
      <c r="J10128" s="30" t="s">
        <v>3390</v>
      </c>
      <c r="L10128" s="30" t="s">
        <v>3442</v>
      </c>
      <c r="N10128" s="30" t="s">
        <v>16354</v>
      </c>
      <c r="P10128" s="30" t="s">
        <v>16638</v>
      </c>
      <c r="Q10128" t="s">
        <v>621</v>
      </c>
      <c r="R10128" t="s">
        <v>917</v>
      </c>
      <c r="S10128">
        <v>39</v>
      </c>
      <c r="T10128" s="29" t="str">
        <f t="shared" si="424"/>
        <v>2023.001B.Leviviricetes_reorg.zip</v>
      </c>
      <c r="U10128" s="29" t="str">
        <f>HYPERLINK("https://ictv.global/taxonomy/taxondetails?taxnode_id=202317306","ictv.global=202317306")</f>
        <v>ictv.global=202317306</v>
      </c>
    </row>
    <row r="10129" spans="1:21">
      <c r="A10129">
        <v>10128</v>
      </c>
      <c r="B10129" s="30" t="s">
        <v>1226</v>
      </c>
      <c r="D10129" s="30" t="s">
        <v>2024</v>
      </c>
      <c r="F10129" s="30" t="s">
        <v>2046</v>
      </c>
      <c r="H10129" s="30" t="s">
        <v>2859</v>
      </c>
      <c r="J10129" s="30" t="s">
        <v>3390</v>
      </c>
      <c r="L10129" s="30" t="s">
        <v>3442</v>
      </c>
      <c r="N10129" s="30" t="s">
        <v>16354</v>
      </c>
      <c r="P10129" s="30" t="s">
        <v>16639</v>
      </c>
      <c r="Q10129" t="s">
        <v>621</v>
      </c>
      <c r="R10129" t="s">
        <v>917</v>
      </c>
      <c r="S10129">
        <v>39</v>
      </c>
      <c r="T10129" s="29" t="str">
        <f t="shared" si="424"/>
        <v>2023.001B.Leviviricetes_reorg.zip</v>
      </c>
      <c r="U10129" s="29" t="str">
        <f>HYPERLINK("https://ictv.global/taxonomy/taxondetails?taxnode_id=202317307","ictv.global=202317307")</f>
        <v>ictv.global=202317307</v>
      </c>
    </row>
    <row r="10130" spans="1:21">
      <c r="A10130">
        <v>10129</v>
      </c>
      <c r="B10130" s="30" t="s">
        <v>1226</v>
      </c>
      <c r="D10130" s="30" t="s">
        <v>2024</v>
      </c>
      <c r="F10130" s="30" t="s">
        <v>2046</v>
      </c>
      <c r="H10130" s="30" t="s">
        <v>2859</v>
      </c>
      <c r="J10130" s="30" t="s">
        <v>3390</v>
      </c>
      <c r="L10130" s="30" t="s">
        <v>3442</v>
      </c>
      <c r="N10130" s="30" t="s">
        <v>16354</v>
      </c>
      <c r="P10130" s="30" t="s">
        <v>16640</v>
      </c>
      <c r="Q10130" t="s">
        <v>621</v>
      </c>
      <c r="R10130" t="s">
        <v>917</v>
      </c>
      <c r="S10130">
        <v>39</v>
      </c>
      <c r="T10130" s="29" t="str">
        <f t="shared" si="424"/>
        <v>2023.001B.Leviviricetes_reorg.zip</v>
      </c>
      <c r="U10130" s="29" t="str">
        <f>HYPERLINK("https://ictv.global/taxonomy/taxondetails?taxnode_id=202317308","ictv.global=202317308")</f>
        <v>ictv.global=202317308</v>
      </c>
    </row>
    <row r="10131" spans="1:21">
      <c r="A10131">
        <v>10130</v>
      </c>
      <c r="B10131" s="30" t="s">
        <v>1226</v>
      </c>
      <c r="D10131" s="30" t="s">
        <v>2024</v>
      </c>
      <c r="F10131" s="30" t="s">
        <v>2046</v>
      </c>
      <c r="H10131" s="30" t="s">
        <v>2859</v>
      </c>
      <c r="J10131" s="30" t="s">
        <v>3390</v>
      </c>
      <c r="L10131" s="30" t="s">
        <v>3442</v>
      </c>
      <c r="N10131" s="30" t="s">
        <v>16354</v>
      </c>
      <c r="P10131" s="30" t="s">
        <v>16641</v>
      </c>
      <c r="Q10131" t="s">
        <v>621</v>
      </c>
      <c r="R10131" t="s">
        <v>918</v>
      </c>
      <c r="S10131">
        <v>39</v>
      </c>
      <c r="T10131" s="29" t="str">
        <f t="shared" si="424"/>
        <v>2023.001B.Leviviricetes_reorg.zip</v>
      </c>
      <c r="U10131" s="29" t="str">
        <f>HYPERLINK("https://ictv.global/taxonomy/taxondetails?taxnode_id=202311298","ictv.global=202311298")</f>
        <v>ictv.global=202311298</v>
      </c>
    </row>
    <row r="10132" spans="1:21">
      <c r="A10132">
        <v>10131</v>
      </c>
      <c r="B10132" s="30" t="s">
        <v>1226</v>
      </c>
      <c r="D10132" s="30" t="s">
        <v>2024</v>
      </c>
      <c r="F10132" s="30" t="s">
        <v>2046</v>
      </c>
      <c r="H10132" s="30" t="s">
        <v>2859</v>
      </c>
      <c r="J10132" s="30" t="s">
        <v>3390</v>
      </c>
      <c r="L10132" s="30" t="s">
        <v>3442</v>
      </c>
      <c r="N10132" s="30" t="s">
        <v>16354</v>
      </c>
      <c r="P10132" s="30" t="s">
        <v>16642</v>
      </c>
      <c r="Q10132" t="s">
        <v>621</v>
      </c>
      <c r="R10132" t="s">
        <v>918</v>
      </c>
      <c r="S10132">
        <v>39</v>
      </c>
      <c r="T10132" s="29" t="str">
        <f t="shared" si="424"/>
        <v>2023.001B.Leviviricetes_reorg.zip</v>
      </c>
      <c r="U10132" s="29" t="str">
        <f>HYPERLINK("https://ictv.global/taxonomy/taxondetails?taxnode_id=202311152","ictv.global=202311152")</f>
        <v>ictv.global=202311152</v>
      </c>
    </row>
    <row r="10133" spans="1:21">
      <c r="A10133">
        <v>10132</v>
      </c>
      <c r="B10133" s="30" t="s">
        <v>1226</v>
      </c>
      <c r="D10133" s="30" t="s">
        <v>2024</v>
      </c>
      <c r="F10133" s="30" t="s">
        <v>2046</v>
      </c>
      <c r="H10133" s="30" t="s">
        <v>2859</v>
      </c>
      <c r="J10133" s="30" t="s">
        <v>3390</v>
      </c>
      <c r="L10133" s="30" t="s">
        <v>3442</v>
      </c>
      <c r="N10133" s="30" t="s">
        <v>16354</v>
      </c>
      <c r="P10133" s="30" t="s">
        <v>16643</v>
      </c>
      <c r="Q10133" t="s">
        <v>621</v>
      </c>
      <c r="R10133" t="s">
        <v>918</v>
      </c>
      <c r="S10133">
        <v>39</v>
      </c>
      <c r="T10133" s="29" t="str">
        <f t="shared" si="424"/>
        <v>2023.001B.Leviviricetes_reorg.zip</v>
      </c>
      <c r="U10133" s="29" t="str">
        <f>HYPERLINK("https://ictv.global/taxonomy/taxondetails?taxnode_id=202311218","ictv.global=202311218")</f>
        <v>ictv.global=202311218</v>
      </c>
    </row>
    <row r="10134" spans="1:21">
      <c r="A10134">
        <v>10133</v>
      </c>
      <c r="B10134" s="30" t="s">
        <v>1226</v>
      </c>
      <c r="D10134" s="30" t="s">
        <v>2024</v>
      </c>
      <c r="F10134" s="30" t="s">
        <v>2046</v>
      </c>
      <c r="H10134" s="30" t="s">
        <v>2859</v>
      </c>
      <c r="J10134" s="30" t="s">
        <v>3390</v>
      </c>
      <c r="L10134" s="30" t="s">
        <v>3442</v>
      </c>
      <c r="N10134" s="30" t="s">
        <v>16354</v>
      </c>
      <c r="P10134" s="30" t="s">
        <v>16644</v>
      </c>
      <c r="Q10134" t="s">
        <v>621</v>
      </c>
      <c r="R10134" t="s">
        <v>918</v>
      </c>
      <c r="S10134">
        <v>39</v>
      </c>
      <c r="T10134" s="29" t="str">
        <f t="shared" si="424"/>
        <v>2023.001B.Leviviricetes_reorg.zip</v>
      </c>
      <c r="U10134" s="29" t="str">
        <f>HYPERLINK("https://ictv.global/taxonomy/taxondetails?taxnode_id=202311153","ictv.global=202311153")</f>
        <v>ictv.global=202311153</v>
      </c>
    </row>
    <row r="10135" spans="1:21">
      <c r="A10135">
        <v>10134</v>
      </c>
      <c r="B10135" s="30" t="s">
        <v>1226</v>
      </c>
      <c r="D10135" s="30" t="s">
        <v>2024</v>
      </c>
      <c r="F10135" s="30" t="s">
        <v>2046</v>
      </c>
      <c r="H10135" s="30" t="s">
        <v>2859</v>
      </c>
      <c r="J10135" s="30" t="s">
        <v>3390</v>
      </c>
      <c r="L10135" s="30" t="s">
        <v>3442</v>
      </c>
      <c r="N10135" s="30" t="s">
        <v>16354</v>
      </c>
      <c r="P10135" s="30" t="s">
        <v>16645</v>
      </c>
      <c r="Q10135" t="s">
        <v>621</v>
      </c>
      <c r="R10135" t="s">
        <v>918</v>
      </c>
      <c r="S10135">
        <v>39</v>
      </c>
      <c r="T10135" s="29" t="str">
        <f t="shared" si="424"/>
        <v>2023.001B.Leviviricetes_reorg.zip</v>
      </c>
      <c r="U10135" s="29" t="str">
        <f>HYPERLINK("https://ictv.global/taxonomy/taxondetails?taxnode_id=202311154","ictv.global=202311154")</f>
        <v>ictv.global=202311154</v>
      </c>
    </row>
    <row r="10136" spans="1:21">
      <c r="A10136">
        <v>10135</v>
      </c>
      <c r="B10136" s="30" t="s">
        <v>1226</v>
      </c>
      <c r="D10136" s="30" t="s">
        <v>2024</v>
      </c>
      <c r="F10136" s="30" t="s">
        <v>2046</v>
      </c>
      <c r="H10136" s="30" t="s">
        <v>2859</v>
      </c>
      <c r="J10136" s="30" t="s">
        <v>3390</v>
      </c>
      <c r="L10136" s="30" t="s">
        <v>3442</v>
      </c>
      <c r="N10136" s="30" t="s">
        <v>16354</v>
      </c>
      <c r="P10136" s="30" t="s">
        <v>16646</v>
      </c>
      <c r="Q10136" t="s">
        <v>621</v>
      </c>
      <c r="R10136" t="s">
        <v>918</v>
      </c>
      <c r="S10136">
        <v>39</v>
      </c>
      <c r="T10136" s="29" t="str">
        <f t="shared" si="424"/>
        <v>2023.001B.Leviviricetes_reorg.zip</v>
      </c>
      <c r="U10136" s="29" t="str">
        <f>HYPERLINK("https://ictv.global/taxonomy/taxondetails?taxnode_id=202311155","ictv.global=202311155")</f>
        <v>ictv.global=202311155</v>
      </c>
    </row>
    <row r="10137" spans="1:21">
      <c r="A10137">
        <v>10136</v>
      </c>
      <c r="B10137" s="30" t="s">
        <v>1226</v>
      </c>
      <c r="D10137" s="30" t="s">
        <v>2024</v>
      </c>
      <c r="F10137" s="30" t="s">
        <v>2046</v>
      </c>
      <c r="H10137" s="30" t="s">
        <v>2859</v>
      </c>
      <c r="J10137" s="30" t="s">
        <v>3390</v>
      </c>
      <c r="L10137" s="30" t="s">
        <v>3442</v>
      </c>
      <c r="N10137" s="30" t="s">
        <v>16354</v>
      </c>
      <c r="P10137" s="30" t="s">
        <v>16647</v>
      </c>
      <c r="Q10137" t="s">
        <v>621</v>
      </c>
      <c r="R10137" t="s">
        <v>918</v>
      </c>
      <c r="S10137">
        <v>39</v>
      </c>
      <c r="T10137" s="29" t="str">
        <f t="shared" si="424"/>
        <v>2023.001B.Leviviricetes_reorg.zip</v>
      </c>
      <c r="U10137" s="29" t="str">
        <f>HYPERLINK("https://ictv.global/taxonomy/taxondetails?taxnode_id=202311162","ictv.global=202311162")</f>
        <v>ictv.global=202311162</v>
      </c>
    </row>
    <row r="10138" spans="1:21">
      <c r="A10138">
        <v>10137</v>
      </c>
      <c r="B10138" s="30" t="s">
        <v>1226</v>
      </c>
      <c r="D10138" s="30" t="s">
        <v>2024</v>
      </c>
      <c r="F10138" s="30" t="s">
        <v>2046</v>
      </c>
      <c r="H10138" s="30" t="s">
        <v>2859</v>
      </c>
      <c r="J10138" s="30" t="s">
        <v>3390</v>
      </c>
      <c r="L10138" s="30" t="s">
        <v>3442</v>
      </c>
      <c r="N10138" s="30" t="s">
        <v>16354</v>
      </c>
      <c r="P10138" s="30" t="s">
        <v>16648</v>
      </c>
      <c r="Q10138" t="s">
        <v>621</v>
      </c>
      <c r="R10138" t="s">
        <v>917</v>
      </c>
      <c r="S10138">
        <v>39</v>
      </c>
      <c r="T10138" s="29" t="str">
        <f t="shared" si="424"/>
        <v>2023.001B.Leviviricetes_reorg.zip</v>
      </c>
      <c r="U10138" s="29" t="str">
        <f>HYPERLINK("https://ictv.global/taxonomy/taxondetails?taxnode_id=202317309","ictv.global=202317309")</f>
        <v>ictv.global=202317309</v>
      </c>
    </row>
    <row r="10139" spans="1:21">
      <c r="A10139">
        <v>10138</v>
      </c>
      <c r="B10139" s="30" t="s">
        <v>1226</v>
      </c>
      <c r="D10139" s="30" t="s">
        <v>2024</v>
      </c>
      <c r="F10139" s="30" t="s">
        <v>2046</v>
      </c>
      <c r="H10139" s="30" t="s">
        <v>2859</v>
      </c>
      <c r="J10139" s="30" t="s">
        <v>3390</v>
      </c>
      <c r="L10139" s="30" t="s">
        <v>3442</v>
      </c>
      <c r="N10139" s="30" t="s">
        <v>16354</v>
      </c>
      <c r="P10139" s="30" t="s">
        <v>16649</v>
      </c>
      <c r="Q10139" t="s">
        <v>621</v>
      </c>
      <c r="R10139" t="s">
        <v>917</v>
      </c>
      <c r="S10139">
        <v>39</v>
      </c>
      <c r="T10139" s="29" t="str">
        <f t="shared" si="424"/>
        <v>2023.001B.Leviviricetes_reorg.zip</v>
      </c>
      <c r="U10139" s="29" t="str">
        <f>HYPERLINK("https://ictv.global/taxonomy/taxondetails?taxnode_id=202317310","ictv.global=202317310")</f>
        <v>ictv.global=202317310</v>
      </c>
    </row>
    <row r="10140" spans="1:21">
      <c r="A10140">
        <v>10139</v>
      </c>
      <c r="B10140" s="30" t="s">
        <v>1226</v>
      </c>
      <c r="D10140" s="30" t="s">
        <v>2024</v>
      </c>
      <c r="F10140" s="30" t="s">
        <v>2046</v>
      </c>
      <c r="H10140" s="30" t="s">
        <v>2859</v>
      </c>
      <c r="J10140" s="30" t="s">
        <v>3390</v>
      </c>
      <c r="L10140" s="30" t="s">
        <v>3442</v>
      </c>
      <c r="N10140" s="30" t="s">
        <v>16354</v>
      </c>
      <c r="P10140" s="30" t="s">
        <v>16650</v>
      </c>
      <c r="Q10140" t="s">
        <v>621</v>
      </c>
      <c r="R10140" t="s">
        <v>917</v>
      </c>
      <c r="S10140">
        <v>39</v>
      </c>
      <c r="T10140" s="29" t="str">
        <f t="shared" si="424"/>
        <v>2023.001B.Leviviricetes_reorg.zip</v>
      </c>
      <c r="U10140" s="29" t="str">
        <f>HYPERLINK("https://ictv.global/taxonomy/taxondetails?taxnode_id=202317311","ictv.global=202317311")</f>
        <v>ictv.global=202317311</v>
      </c>
    </row>
    <row r="10141" spans="1:21">
      <c r="A10141">
        <v>10140</v>
      </c>
      <c r="B10141" s="30" t="s">
        <v>1226</v>
      </c>
      <c r="D10141" s="30" t="s">
        <v>2024</v>
      </c>
      <c r="F10141" s="30" t="s">
        <v>2046</v>
      </c>
      <c r="H10141" s="30" t="s">
        <v>2859</v>
      </c>
      <c r="J10141" s="30" t="s">
        <v>3390</v>
      </c>
      <c r="L10141" s="30" t="s">
        <v>3442</v>
      </c>
      <c r="N10141" s="30" t="s">
        <v>16354</v>
      </c>
      <c r="P10141" s="30" t="s">
        <v>16651</v>
      </c>
      <c r="Q10141" t="s">
        <v>621</v>
      </c>
      <c r="R10141" t="s">
        <v>917</v>
      </c>
      <c r="S10141">
        <v>39</v>
      </c>
      <c r="T10141" s="29" t="str">
        <f t="shared" si="424"/>
        <v>2023.001B.Leviviricetes_reorg.zip</v>
      </c>
      <c r="U10141" s="29" t="str">
        <f>HYPERLINK("https://ictv.global/taxonomy/taxondetails?taxnode_id=202317312","ictv.global=202317312")</f>
        <v>ictv.global=202317312</v>
      </c>
    </row>
    <row r="10142" spans="1:21">
      <c r="A10142">
        <v>10141</v>
      </c>
      <c r="B10142" s="30" t="s">
        <v>1226</v>
      </c>
      <c r="D10142" s="30" t="s">
        <v>2024</v>
      </c>
      <c r="F10142" s="30" t="s">
        <v>2046</v>
      </c>
      <c r="H10142" s="30" t="s">
        <v>2859</v>
      </c>
      <c r="J10142" s="30" t="s">
        <v>3390</v>
      </c>
      <c r="L10142" s="30" t="s">
        <v>3442</v>
      </c>
      <c r="N10142" s="30" t="s">
        <v>16354</v>
      </c>
      <c r="P10142" s="30" t="s">
        <v>16652</v>
      </c>
      <c r="Q10142" t="s">
        <v>621</v>
      </c>
      <c r="R10142" t="s">
        <v>918</v>
      </c>
      <c r="S10142">
        <v>39</v>
      </c>
      <c r="T10142" s="29" t="str">
        <f t="shared" si="424"/>
        <v>2023.001B.Leviviricetes_reorg.zip</v>
      </c>
      <c r="U10142" s="29" t="str">
        <f>HYPERLINK("https://ictv.global/taxonomy/taxondetails?taxnode_id=202311167","ictv.global=202311167")</f>
        <v>ictv.global=202311167</v>
      </c>
    </row>
    <row r="10143" spans="1:21">
      <c r="A10143">
        <v>10142</v>
      </c>
      <c r="B10143" s="30" t="s">
        <v>1226</v>
      </c>
      <c r="D10143" s="30" t="s">
        <v>2024</v>
      </c>
      <c r="F10143" s="30" t="s">
        <v>2046</v>
      </c>
      <c r="H10143" s="30" t="s">
        <v>2859</v>
      </c>
      <c r="J10143" s="30" t="s">
        <v>3390</v>
      </c>
      <c r="L10143" s="30" t="s">
        <v>3442</v>
      </c>
      <c r="N10143" s="30" t="s">
        <v>16354</v>
      </c>
      <c r="P10143" s="30" t="s">
        <v>16653</v>
      </c>
      <c r="Q10143" t="s">
        <v>621</v>
      </c>
      <c r="R10143" t="s">
        <v>917</v>
      </c>
      <c r="S10143">
        <v>39</v>
      </c>
      <c r="T10143" s="29" t="str">
        <f t="shared" si="424"/>
        <v>2023.001B.Leviviricetes_reorg.zip</v>
      </c>
      <c r="U10143" s="29" t="str">
        <f>HYPERLINK("https://ictv.global/taxonomy/taxondetails?taxnode_id=202317313","ictv.global=202317313")</f>
        <v>ictv.global=202317313</v>
      </c>
    </row>
    <row r="10144" spans="1:21">
      <c r="A10144">
        <v>10143</v>
      </c>
      <c r="B10144" s="30" t="s">
        <v>1226</v>
      </c>
      <c r="D10144" s="30" t="s">
        <v>2024</v>
      </c>
      <c r="F10144" s="30" t="s">
        <v>2046</v>
      </c>
      <c r="H10144" s="30" t="s">
        <v>2859</v>
      </c>
      <c r="J10144" s="30" t="s">
        <v>3390</v>
      </c>
      <c r="L10144" s="30" t="s">
        <v>3442</v>
      </c>
      <c r="N10144" s="30" t="s">
        <v>16354</v>
      </c>
      <c r="P10144" s="30" t="s">
        <v>16654</v>
      </c>
      <c r="Q10144" t="s">
        <v>621</v>
      </c>
      <c r="R10144" t="s">
        <v>917</v>
      </c>
      <c r="S10144">
        <v>39</v>
      </c>
      <c r="T10144" s="29" t="str">
        <f t="shared" si="424"/>
        <v>2023.001B.Leviviricetes_reorg.zip</v>
      </c>
      <c r="U10144" s="29" t="str">
        <f>HYPERLINK("https://ictv.global/taxonomy/taxondetails?taxnode_id=202317314","ictv.global=202317314")</f>
        <v>ictv.global=202317314</v>
      </c>
    </row>
    <row r="10145" spans="1:21">
      <c r="A10145">
        <v>10144</v>
      </c>
      <c r="B10145" s="30" t="s">
        <v>1226</v>
      </c>
      <c r="D10145" s="30" t="s">
        <v>2024</v>
      </c>
      <c r="F10145" s="30" t="s">
        <v>2046</v>
      </c>
      <c r="H10145" s="30" t="s">
        <v>2859</v>
      </c>
      <c r="J10145" s="30" t="s">
        <v>3390</v>
      </c>
      <c r="L10145" s="30" t="s">
        <v>3442</v>
      </c>
      <c r="N10145" s="30" t="s">
        <v>16354</v>
      </c>
      <c r="P10145" s="30" t="s">
        <v>16655</v>
      </c>
      <c r="Q10145" t="s">
        <v>621</v>
      </c>
      <c r="R10145" t="s">
        <v>917</v>
      </c>
      <c r="S10145">
        <v>39</v>
      </c>
      <c r="T10145" s="29" t="str">
        <f t="shared" si="424"/>
        <v>2023.001B.Leviviricetes_reorg.zip</v>
      </c>
      <c r="U10145" s="29" t="str">
        <f>HYPERLINK("https://ictv.global/taxonomy/taxondetails?taxnode_id=202317315","ictv.global=202317315")</f>
        <v>ictv.global=202317315</v>
      </c>
    </row>
    <row r="10146" spans="1:21">
      <c r="A10146">
        <v>10145</v>
      </c>
      <c r="B10146" s="30" t="s">
        <v>1226</v>
      </c>
      <c r="D10146" s="30" t="s">
        <v>2024</v>
      </c>
      <c r="F10146" s="30" t="s">
        <v>2046</v>
      </c>
      <c r="H10146" s="30" t="s">
        <v>2859</v>
      </c>
      <c r="J10146" s="30" t="s">
        <v>3390</v>
      </c>
      <c r="L10146" s="30" t="s">
        <v>3442</v>
      </c>
      <c r="N10146" s="30" t="s">
        <v>16354</v>
      </c>
      <c r="P10146" s="30" t="s">
        <v>16656</v>
      </c>
      <c r="Q10146" t="s">
        <v>621</v>
      </c>
      <c r="R10146" t="s">
        <v>918</v>
      </c>
      <c r="S10146">
        <v>39</v>
      </c>
      <c r="T10146" s="29" t="str">
        <f t="shared" si="424"/>
        <v>2023.001B.Leviviricetes_reorg.zip</v>
      </c>
      <c r="U10146" s="29" t="str">
        <f>HYPERLINK("https://ictv.global/taxonomy/taxondetails?taxnode_id=202311156","ictv.global=202311156")</f>
        <v>ictv.global=202311156</v>
      </c>
    </row>
    <row r="10147" spans="1:21">
      <c r="A10147">
        <v>10146</v>
      </c>
      <c r="B10147" s="30" t="s">
        <v>1226</v>
      </c>
      <c r="D10147" s="30" t="s">
        <v>2024</v>
      </c>
      <c r="F10147" s="30" t="s">
        <v>2046</v>
      </c>
      <c r="H10147" s="30" t="s">
        <v>2859</v>
      </c>
      <c r="J10147" s="30" t="s">
        <v>3390</v>
      </c>
      <c r="L10147" s="30" t="s">
        <v>3442</v>
      </c>
      <c r="N10147" s="30" t="s">
        <v>16354</v>
      </c>
      <c r="P10147" s="30" t="s">
        <v>16657</v>
      </c>
      <c r="Q10147" t="s">
        <v>621</v>
      </c>
      <c r="R10147" t="s">
        <v>918</v>
      </c>
      <c r="S10147">
        <v>39</v>
      </c>
      <c r="T10147" s="29" t="str">
        <f t="shared" si="424"/>
        <v>2023.001B.Leviviricetes_reorg.zip</v>
      </c>
      <c r="U10147" s="29" t="str">
        <f>HYPERLINK("https://ictv.global/taxonomy/taxondetails?taxnode_id=202311158","ictv.global=202311158")</f>
        <v>ictv.global=202311158</v>
      </c>
    </row>
    <row r="10148" spans="1:21">
      <c r="A10148">
        <v>10147</v>
      </c>
      <c r="B10148" s="30" t="s">
        <v>1226</v>
      </c>
      <c r="D10148" s="30" t="s">
        <v>2024</v>
      </c>
      <c r="F10148" s="30" t="s">
        <v>2046</v>
      </c>
      <c r="H10148" s="30" t="s">
        <v>2859</v>
      </c>
      <c r="J10148" s="30" t="s">
        <v>3390</v>
      </c>
      <c r="L10148" s="30" t="s">
        <v>3442</v>
      </c>
      <c r="N10148" s="30" t="s">
        <v>16354</v>
      </c>
      <c r="P10148" s="30" t="s">
        <v>16658</v>
      </c>
      <c r="Q10148" t="s">
        <v>621</v>
      </c>
      <c r="R10148" t="s">
        <v>918</v>
      </c>
      <c r="S10148">
        <v>39</v>
      </c>
      <c r="T10148" s="29" t="str">
        <f t="shared" si="424"/>
        <v>2023.001B.Leviviricetes_reorg.zip</v>
      </c>
      <c r="U10148" s="29" t="str">
        <f>HYPERLINK("https://ictv.global/taxonomy/taxondetails?taxnode_id=202311157","ictv.global=202311157")</f>
        <v>ictv.global=202311157</v>
      </c>
    </row>
    <row r="10149" spans="1:21">
      <c r="A10149">
        <v>10148</v>
      </c>
      <c r="B10149" s="30" t="s">
        <v>1226</v>
      </c>
      <c r="D10149" s="30" t="s">
        <v>2024</v>
      </c>
      <c r="F10149" s="30" t="s">
        <v>2046</v>
      </c>
      <c r="H10149" s="30" t="s">
        <v>2859</v>
      </c>
      <c r="J10149" s="30" t="s">
        <v>3390</v>
      </c>
      <c r="L10149" s="30" t="s">
        <v>3442</v>
      </c>
      <c r="N10149" s="30" t="s">
        <v>16354</v>
      </c>
      <c r="P10149" s="30" t="s">
        <v>16659</v>
      </c>
      <c r="Q10149" t="s">
        <v>621</v>
      </c>
      <c r="R10149" t="s">
        <v>918</v>
      </c>
      <c r="S10149">
        <v>39</v>
      </c>
      <c r="T10149" s="29" t="str">
        <f t="shared" si="424"/>
        <v>2023.001B.Leviviricetes_reorg.zip</v>
      </c>
      <c r="U10149" s="29" t="str">
        <f>HYPERLINK("https://ictv.global/taxonomy/taxondetails?taxnode_id=202311226","ictv.global=202311226")</f>
        <v>ictv.global=202311226</v>
      </c>
    </row>
    <row r="10150" spans="1:21">
      <c r="A10150">
        <v>10149</v>
      </c>
      <c r="B10150" s="30" t="s">
        <v>1226</v>
      </c>
      <c r="D10150" s="30" t="s">
        <v>2024</v>
      </c>
      <c r="F10150" s="30" t="s">
        <v>2046</v>
      </c>
      <c r="H10150" s="30" t="s">
        <v>2859</v>
      </c>
      <c r="J10150" s="30" t="s">
        <v>3390</v>
      </c>
      <c r="L10150" s="30" t="s">
        <v>3442</v>
      </c>
      <c r="N10150" s="30" t="s">
        <v>16354</v>
      </c>
      <c r="P10150" s="30" t="s">
        <v>16660</v>
      </c>
      <c r="Q10150" t="s">
        <v>621</v>
      </c>
      <c r="R10150" t="s">
        <v>918</v>
      </c>
      <c r="S10150">
        <v>39</v>
      </c>
      <c r="T10150" s="29" t="str">
        <f t="shared" si="424"/>
        <v>2023.001B.Leviviricetes_reorg.zip</v>
      </c>
      <c r="U10150" s="29" t="str">
        <f>HYPERLINK("https://ictv.global/taxonomy/taxondetails?taxnode_id=202311227","ictv.global=202311227")</f>
        <v>ictv.global=202311227</v>
      </c>
    </row>
    <row r="10151" spans="1:21">
      <c r="A10151">
        <v>10150</v>
      </c>
      <c r="B10151" s="30" t="s">
        <v>1226</v>
      </c>
      <c r="D10151" s="30" t="s">
        <v>2024</v>
      </c>
      <c r="F10151" s="30" t="s">
        <v>2046</v>
      </c>
      <c r="H10151" s="30" t="s">
        <v>2859</v>
      </c>
      <c r="J10151" s="30" t="s">
        <v>3390</v>
      </c>
      <c r="L10151" s="30" t="s">
        <v>3442</v>
      </c>
      <c r="N10151" s="30" t="s">
        <v>16354</v>
      </c>
      <c r="P10151" s="30" t="s">
        <v>16661</v>
      </c>
      <c r="Q10151" t="s">
        <v>621</v>
      </c>
      <c r="R10151" t="s">
        <v>918</v>
      </c>
      <c r="S10151">
        <v>39</v>
      </c>
      <c r="T10151" s="29" t="str">
        <f t="shared" si="424"/>
        <v>2023.001B.Leviviricetes_reorg.zip</v>
      </c>
      <c r="U10151" s="29" t="str">
        <f>HYPERLINK("https://ictv.global/taxonomy/taxondetails?taxnode_id=202311228","ictv.global=202311228")</f>
        <v>ictv.global=202311228</v>
      </c>
    </row>
    <row r="10152" spans="1:21">
      <c r="A10152">
        <v>10151</v>
      </c>
      <c r="B10152" s="30" t="s">
        <v>1226</v>
      </c>
      <c r="D10152" s="30" t="s">
        <v>2024</v>
      </c>
      <c r="F10152" s="30" t="s">
        <v>2046</v>
      </c>
      <c r="H10152" s="30" t="s">
        <v>2859</v>
      </c>
      <c r="J10152" s="30" t="s">
        <v>3390</v>
      </c>
      <c r="L10152" s="30" t="s">
        <v>3442</v>
      </c>
      <c r="N10152" s="30" t="s">
        <v>16354</v>
      </c>
      <c r="P10152" s="30" t="s">
        <v>16662</v>
      </c>
      <c r="Q10152" t="s">
        <v>621</v>
      </c>
      <c r="R10152" t="s">
        <v>918</v>
      </c>
      <c r="S10152">
        <v>39</v>
      </c>
      <c r="T10152" s="29" t="str">
        <f t="shared" si="424"/>
        <v>2023.001B.Leviviricetes_reorg.zip</v>
      </c>
      <c r="U10152" s="29" t="str">
        <f>HYPERLINK("https://ictv.global/taxonomy/taxondetails?taxnode_id=202311186","ictv.global=202311186")</f>
        <v>ictv.global=202311186</v>
      </c>
    </row>
    <row r="10153" spans="1:21">
      <c r="A10153">
        <v>10152</v>
      </c>
      <c r="B10153" s="30" t="s">
        <v>1226</v>
      </c>
      <c r="D10153" s="30" t="s">
        <v>2024</v>
      </c>
      <c r="F10153" s="30" t="s">
        <v>2046</v>
      </c>
      <c r="H10153" s="30" t="s">
        <v>2859</v>
      </c>
      <c r="J10153" s="30" t="s">
        <v>3390</v>
      </c>
      <c r="L10153" s="30" t="s">
        <v>3442</v>
      </c>
      <c r="N10153" s="30" t="s">
        <v>16354</v>
      </c>
      <c r="P10153" s="30" t="s">
        <v>16663</v>
      </c>
      <c r="Q10153" t="s">
        <v>621</v>
      </c>
      <c r="R10153" t="s">
        <v>918</v>
      </c>
      <c r="S10153">
        <v>39</v>
      </c>
      <c r="T10153" s="29" t="str">
        <f t="shared" si="424"/>
        <v>2023.001B.Leviviricetes_reorg.zip</v>
      </c>
      <c r="U10153" s="29" t="str">
        <f>HYPERLINK("https://ictv.global/taxonomy/taxondetails?taxnode_id=202311188","ictv.global=202311188")</f>
        <v>ictv.global=202311188</v>
      </c>
    </row>
    <row r="10154" spans="1:21">
      <c r="A10154">
        <v>10153</v>
      </c>
      <c r="B10154" s="30" t="s">
        <v>1226</v>
      </c>
      <c r="D10154" s="30" t="s">
        <v>2024</v>
      </c>
      <c r="F10154" s="30" t="s">
        <v>2046</v>
      </c>
      <c r="H10154" s="30" t="s">
        <v>2859</v>
      </c>
      <c r="J10154" s="30" t="s">
        <v>3390</v>
      </c>
      <c r="L10154" s="30" t="s">
        <v>3442</v>
      </c>
      <c r="N10154" s="30" t="s">
        <v>16354</v>
      </c>
      <c r="P10154" s="30" t="s">
        <v>16664</v>
      </c>
      <c r="Q10154" t="s">
        <v>621</v>
      </c>
      <c r="R10154" t="s">
        <v>918</v>
      </c>
      <c r="S10154">
        <v>39</v>
      </c>
      <c r="T10154" s="29" t="str">
        <f t="shared" si="424"/>
        <v>2023.001B.Leviviricetes_reorg.zip</v>
      </c>
      <c r="U10154" s="29" t="str">
        <f>HYPERLINK("https://ictv.global/taxonomy/taxondetails?taxnode_id=202311187","ictv.global=202311187")</f>
        <v>ictv.global=202311187</v>
      </c>
    </row>
    <row r="10155" spans="1:21">
      <c r="A10155">
        <v>10154</v>
      </c>
      <c r="B10155" s="30" t="s">
        <v>1226</v>
      </c>
      <c r="D10155" s="30" t="s">
        <v>2024</v>
      </c>
      <c r="F10155" s="30" t="s">
        <v>2046</v>
      </c>
      <c r="H10155" s="30" t="s">
        <v>2859</v>
      </c>
      <c r="J10155" s="30" t="s">
        <v>3390</v>
      </c>
      <c r="L10155" s="30" t="s">
        <v>3442</v>
      </c>
      <c r="N10155" s="30" t="s">
        <v>16354</v>
      </c>
      <c r="P10155" s="30" t="s">
        <v>16665</v>
      </c>
      <c r="Q10155" t="s">
        <v>621</v>
      </c>
      <c r="R10155" t="s">
        <v>918</v>
      </c>
      <c r="S10155">
        <v>39</v>
      </c>
      <c r="T10155" s="29" t="str">
        <f t="shared" si="424"/>
        <v>2023.001B.Leviviricetes_reorg.zip</v>
      </c>
      <c r="U10155" s="29" t="str">
        <f>HYPERLINK("https://ictv.global/taxonomy/taxondetails?taxnode_id=202311103","ictv.global=202311103")</f>
        <v>ictv.global=202311103</v>
      </c>
    </row>
    <row r="10156" spans="1:21">
      <c r="A10156">
        <v>10155</v>
      </c>
      <c r="B10156" s="30" t="s">
        <v>1226</v>
      </c>
      <c r="D10156" s="30" t="s">
        <v>2024</v>
      </c>
      <c r="F10156" s="30" t="s">
        <v>2046</v>
      </c>
      <c r="H10156" s="30" t="s">
        <v>2859</v>
      </c>
      <c r="J10156" s="30" t="s">
        <v>3390</v>
      </c>
      <c r="L10156" s="30" t="s">
        <v>3442</v>
      </c>
      <c r="N10156" s="30" t="s">
        <v>16354</v>
      </c>
      <c r="P10156" s="30" t="s">
        <v>16666</v>
      </c>
      <c r="Q10156" t="s">
        <v>621</v>
      </c>
      <c r="R10156" t="s">
        <v>918</v>
      </c>
      <c r="S10156">
        <v>39</v>
      </c>
      <c r="T10156" s="29" t="str">
        <f t="shared" si="424"/>
        <v>2023.001B.Leviviricetes_reorg.zip</v>
      </c>
      <c r="U10156" s="29" t="str">
        <f>HYPERLINK("https://ictv.global/taxonomy/taxondetails?taxnode_id=202311190","ictv.global=202311190")</f>
        <v>ictv.global=202311190</v>
      </c>
    </row>
    <row r="10157" spans="1:21">
      <c r="A10157">
        <v>10156</v>
      </c>
      <c r="B10157" s="30" t="s">
        <v>1226</v>
      </c>
      <c r="D10157" s="30" t="s">
        <v>2024</v>
      </c>
      <c r="F10157" s="30" t="s">
        <v>2046</v>
      </c>
      <c r="H10157" s="30" t="s">
        <v>2859</v>
      </c>
      <c r="J10157" s="30" t="s">
        <v>3390</v>
      </c>
      <c r="L10157" s="30" t="s">
        <v>3442</v>
      </c>
      <c r="N10157" s="30" t="s">
        <v>16354</v>
      </c>
      <c r="P10157" s="30" t="s">
        <v>16667</v>
      </c>
      <c r="Q10157" t="s">
        <v>621</v>
      </c>
      <c r="R10157" t="s">
        <v>918</v>
      </c>
      <c r="S10157">
        <v>39</v>
      </c>
      <c r="T10157" s="29" t="str">
        <f t="shared" si="424"/>
        <v>2023.001B.Leviviricetes_reorg.zip</v>
      </c>
      <c r="U10157" s="29" t="str">
        <f>HYPERLINK("https://ictv.global/taxonomy/taxondetails?taxnode_id=202311191","ictv.global=202311191")</f>
        <v>ictv.global=202311191</v>
      </c>
    </row>
    <row r="10158" spans="1:21">
      <c r="A10158">
        <v>10157</v>
      </c>
      <c r="B10158" s="30" t="s">
        <v>1226</v>
      </c>
      <c r="D10158" s="30" t="s">
        <v>2024</v>
      </c>
      <c r="F10158" s="30" t="s">
        <v>2046</v>
      </c>
      <c r="H10158" s="30" t="s">
        <v>2859</v>
      </c>
      <c r="J10158" s="30" t="s">
        <v>3390</v>
      </c>
      <c r="L10158" s="30" t="s">
        <v>3442</v>
      </c>
      <c r="N10158" s="30" t="s">
        <v>16354</v>
      </c>
      <c r="P10158" s="30" t="s">
        <v>16668</v>
      </c>
      <c r="Q10158" t="s">
        <v>621</v>
      </c>
      <c r="R10158" t="s">
        <v>918</v>
      </c>
      <c r="S10158">
        <v>39</v>
      </c>
      <c r="T10158" s="29" t="str">
        <f t="shared" si="424"/>
        <v>2023.001B.Leviviricetes_reorg.zip</v>
      </c>
      <c r="U10158" s="29" t="str">
        <f>HYPERLINK("https://ictv.global/taxonomy/taxondetails?taxnode_id=202311331","ictv.global=202311331")</f>
        <v>ictv.global=202311331</v>
      </c>
    </row>
    <row r="10159" spans="1:21">
      <c r="A10159">
        <v>10158</v>
      </c>
      <c r="B10159" s="30" t="s">
        <v>1226</v>
      </c>
      <c r="D10159" s="30" t="s">
        <v>2024</v>
      </c>
      <c r="F10159" s="30" t="s">
        <v>2046</v>
      </c>
      <c r="H10159" s="30" t="s">
        <v>2859</v>
      </c>
      <c r="J10159" s="30" t="s">
        <v>3390</v>
      </c>
      <c r="L10159" s="30" t="s">
        <v>3442</v>
      </c>
      <c r="N10159" s="30" t="s">
        <v>16354</v>
      </c>
      <c r="P10159" s="30" t="s">
        <v>16669</v>
      </c>
      <c r="Q10159" t="s">
        <v>621</v>
      </c>
      <c r="R10159" t="s">
        <v>918</v>
      </c>
      <c r="S10159">
        <v>39</v>
      </c>
      <c r="T10159" s="29" t="str">
        <f t="shared" si="424"/>
        <v>2023.001B.Leviviricetes_reorg.zip</v>
      </c>
      <c r="U10159" s="29" t="str">
        <f>HYPERLINK("https://ictv.global/taxonomy/taxondetails?taxnode_id=202311244","ictv.global=202311244")</f>
        <v>ictv.global=202311244</v>
      </c>
    </row>
    <row r="10160" spans="1:21">
      <c r="A10160">
        <v>10159</v>
      </c>
      <c r="B10160" s="30" t="s">
        <v>1226</v>
      </c>
      <c r="D10160" s="30" t="s">
        <v>2024</v>
      </c>
      <c r="F10160" s="30" t="s">
        <v>2046</v>
      </c>
      <c r="H10160" s="30" t="s">
        <v>2859</v>
      </c>
      <c r="J10160" s="30" t="s">
        <v>3390</v>
      </c>
      <c r="L10160" s="30" t="s">
        <v>3442</v>
      </c>
      <c r="N10160" s="30" t="s">
        <v>16354</v>
      </c>
      <c r="P10160" s="30" t="s">
        <v>16670</v>
      </c>
      <c r="Q10160" t="s">
        <v>621</v>
      </c>
      <c r="R10160" t="s">
        <v>918</v>
      </c>
      <c r="S10160">
        <v>39</v>
      </c>
      <c r="T10160" s="29" t="str">
        <f t="shared" si="424"/>
        <v>2023.001B.Leviviricetes_reorg.zip</v>
      </c>
      <c r="U10160" s="29" t="str">
        <f>HYPERLINK("https://ictv.global/taxonomy/taxondetails?taxnode_id=202311245","ictv.global=202311245")</f>
        <v>ictv.global=202311245</v>
      </c>
    </row>
    <row r="10161" spans="1:21">
      <c r="A10161">
        <v>10160</v>
      </c>
      <c r="B10161" s="30" t="s">
        <v>1226</v>
      </c>
      <c r="D10161" s="30" t="s">
        <v>2024</v>
      </c>
      <c r="F10161" s="30" t="s">
        <v>2046</v>
      </c>
      <c r="H10161" s="30" t="s">
        <v>2859</v>
      </c>
      <c r="J10161" s="30" t="s">
        <v>3390</v>
      </c>
      <c r="L10161" s="30" t="s">
        <v>3442</v>
      </c>
      <c r="N10161" s="30" t="s">
        <v>16354</v>
      </c>
      <c r="P10161" s="30" t="s">
        <v>16671</v>
      </c>
      <c r="Q10161" t="s">
        <v>621</v>
      </c>
      <c r="R10161" t="s">
        <v>917</v>
      </c>
      <c r="S10161">
        <v>39</v>
      </c>
      <c r="T10161" s="29" t="str">
        <f t="shared" si="424"/>
        <v>2023.001B.Leviviricetes_reorg.zip</v>
      </c>
      <c r="U10161" s="29" t="str">
        <f>HYPERLINK("https://ictv.global/taxonomy/taxondetails?taxnode_id=202317316","ictv.global=202317316")</f>
        <v>ictv.global=202317316</v>
      </c>
    </row>
    <row r="10162" spans="1:21">
      <c r="A10162">
        <v>10161</v>
      </c>
      <c r="B10162" s="30" t="s">
        <v>1226</v>
      </c>
      <c r="D10162" s="30" t="s">
        <v>2024</v>
      </c>
      <c r="F10162" s="30" t="s">
        <v>2046</v>
      </c>
      <c r="H10162" s="30" t="s">
        <v>2859</v>
      </c>
      <c r="J10162" s="30" t="s">
        <v>3390</v>
      </c>
      <c r="L10162" s="30" t="s">
        <v>3442</v>
      </c>
      <c r="N10162" s="30" t="s">
        <v>16354</v>
      </c>
      <c r="P10162" s="30" t="s">
        <v>16672</v>
      </c>
      <c r="Q10162" t="s">
        <v>621</v>
      </c>
      <c r="R10162" t="s">
        <v>917</v>
      </c>
      <c r="S10162">
        <v>39</v>
      </c>
      <c r="T10162" s="29" t="str">
        <f t="shared" si="424"/>
        <v>2023.001B.Leviviricetes_reorg.zip</v>
      </c>
      <c r="U10162" s="29" t="str">
        <f>HYPERLINK("https://ictv.global/taxonomy/taxondetails?taxnode_id=202317317","ictv.global=202317317")</f>
        <v>ictv.global=202317317</v>
      </c>
    </row>
    <row r="10163" spans="1:21">
      <c r="A10163">
        <v>10162</v>
      </c>
      <c r="B10163" s="30" t="s">
        <v>1226</v>
      </c>
      <c r="D10163" s="30" t="s">
        <v>2024</v>
      </c>
      <c r="F10163" s="30" t="s">
        <v>2046</v>
      </c>
      <c r="H10163" s="30" t="s">
        <v>2859</v>
      </c>
      <c r="J10163" s="30" t="s">
        <v>3390</v>
      </c>
      <c r="L10163" s="30" t="s">
        <v>3442</v>
      </c>
      <c r="N10163" s="30" t="s">
        <v>16354</v>
      </c>
      <c r="P10163" s="30" t="s">
        <v>16673</v>
      </c>
      <c r="Q10163" t="s">
        <v>621</v>
      </c>
      <c r="R10163" t="s">
        <v>917</v>
      </c>
      <c r="S10163">
        <v>39</v>
      </c>
      <c r="T10163" s="29" t="str">
        <f t="shared" si="424"/>
        <v>2023.001B.Leviviricetes_reorg.zip</v>
      </c>
      <c r="U10163" s="29" t="str">
        <f>HYPERLINK("https://ictv.global/taxonomy/taxondetails?taxnode_id=202317318","ictv.global=202317318")</f>
        <v>ictv.global=202317318</v>
      </c>
    </row>
    <row r="10164" spans="1:21">
      <c r="A10164">
        <v>10163</v>
      </c>
      <c r="B10164" s="30" t="s">
        <v>1226</v>
      </c>
      <c r="D10164" s="30" t="s">
        <v>2024</v>
      </c>
      <c r="F10164" s="30" t="s">
        <v>2046</v>
      </c>
      <c r="H10164" s="30" t="s">
        <v>2859</v>
      </c>
      <c r="J10164" s="30" t="s">
        <v>3390</v>
      </c>
      <c r="L10164" s="30" t="s">
        <v>3442</v>
      </c>
      <c r="N10164" s="30" t="s">
        <v>16354</v>
      </c>
      <c r="P10164" s="30" t="s">
        <v>16674</v>
      </c>
      <c r="Q10164" t="s">
        <v>621</v>
      </c>
      <c r="R10164" t="s">
        <v>917</v>
      </c>
      <c r="S10164">
        <v>39</v>
      </c>
      <c r="T10164" s="29" t="str">
        <f t="shared" si="424"/>
        <v>2023.001B.Leviviricetes_reorg.zip</v>
      </c>
      <c r="U10164" s="29" t="str">
        <f>HYPERLINK("https://ictv.global/taxonomy/taxondetails?taxnode_id=202317319","ictv.global=202317319")</f>
        <v>ictv.global=202317319</v>
      </c>
    </row>
    <row r="10165" spans="1:21">
      <c r="A10165">
        <v>10164</v>
      </c>
      <c r="B10165" s="30" t="s">
        <v>1226</v>
      </c>
      <c r="D10165" s="30" t="s">
        <v>2024</v>
      </c>
      <c r="F10165" s="30" t="s">
        <v>2046</v>
      </c>
      <c r="H10165" s="30" t="s">
        <v>2859</v>
      </c>
      <c r="J10165" s="30" t="s">
        <v>3390</v>
      </c>
      <c r="L10165" s="30" t="s">
        <v>3442</v>
      </c>
      <c r="N10165" s="30" t="s">
        <v>16354</v>
      </c>
      <c r="P10165" s="30" t="s">
        <v>16675</v>
      </c>
      <c r="Q10165" t="s">
        <v>621</v>
      </c>
      <c r="R10165" t="s">
        <v>918</v>
      </c>
      <c r="S10165">
        <v>39</v>
      </c>
      <c r="T10165" s="29" t="str">
        <f t="shared" si="424"/>
        <v>2023.001B.Leviviricetes_reorg.zip</v>
      </c>
      <c r="U10165" s="29" t="str">
        <f>HYPERLINK("https://ictv.global/taxonomy/taxondetails?taxnode_id=202311193","ictv.global=202311193")</f>
        <v>ictv.global=202311193</v>
      </c>
    </row>
    <row r="10166" spans="1:21">
      <c r="A10166">
        <v>10165</v>
      </c>
      <c r="B10166" s="30" t="s">
        <v>1226</v>
      </c>
      <c r="D10166" s="30" t="s">
        <v>2024</v>
      </c>
      <c r="F10166" s="30" t="s">
        <v>2046</v>
      </c>
      <c r="H10166" s="30" t="s">
        <v>2859</v>
      </c>
      <c r="J10166" s="30" t="s">
        <v>3390</v>
      </c>
      <c r="L10166" s="30" t="s">
        <v>3442</v>
      </c>
      <c r="N10166" s="30" t="s">
        <v>16354</v>
      </c>
      <c r="P10166" s="30" t="s">
        <v>16676</v>
      </c>
      <c r="Q10166" t="s">
        <v>621</v>
      </c>
      <c r="R10166" t="s">
        <v>918</v>
      </c>
      <c r="S10166">
        <v>39</v>
      </c>
      <c r="T10166" s="29" t="str">
        <f t="shared" si="424"/>
        <v>2023.001B.Leviviricetes_reorg.zip</v>
      </c>
      <c r="U10166" s="29" t="str">
        <f>HYPERLINK("https://ictv.global/taxonomy/taxondetails?taxnode_id=202311128","ictv.global=202311128")</f>
        <v>ictv.global=202311128</v>
      </c>
    </row>
    <row r="10167" spans="1:21">
      <c r="A10167">
        <v>10166</v>
      </c>
      <c r="B10167" s="30" t="s">
        <v>1226</v>
      </c>
      <c r="D10167" s="30" t="s">
        <v>2024</v>
      </c>
      <c r="F10167" s="30" t="s">
        <v>2046</v>
      </c>
      <c r="H10167" s="30" t="s">
        <v>2859</v>
      </c>
      <c r="J10167" s="30" t="s">
        <v>3390</v>
      </c>
      <c r="L10167" s="30" t="s">
        <v>3442</v>
      </c>
      <c r="N10167" s="30" t="s">
        <v>16354</v>
      </c>
      <c r="P10167" s="30" t="s">
        <v>16677</v>
      </c>
      <c r="Q10167" t="s">
        <v>621</v>
      </c>
      <c r="R10167" t="s">
        <v>918</v>
      </c>
      <c r="S10167">
        <v>39</v>
      </c>
      <c r="T10167" s="29" t="str">
        <f t="shared" si="424"/>
        <v>2023.001B.Leviviricetes_reorg.zip</v>
      </c>
      <c r="U10167" s="29" t="str">
        <f>HYPERLINK("https://ictv.global/taxonomy/taxondetails?taxnode_id=202311195","ictv.global=202311195")</f>
        <v>ictv.global=202311195</v>
      </c>
    </row>
    <row r="10168" spans="1:21">
      <c r="A10168">
        <v>10167</v>
      </c>
      <c r="B10168" s="30" t="s">
        <v>1226</v>
      </c>
      <c r="D10168" s="30" t="s">
        <v>2024</v>
      </c>
      <c r="F10168" s="30" t="s">
        <v>2046</v>
      </c>
      <c r="H10168" s="30" t="s">
        <v>2859</v>
      </c>
      <c r="J10168" s="30" t="s">
        <v>3390</v>
      </c>
      <c r="L10168" s="30" t="s">
        <v>3442</v>
      </c>
      <c r="N10168" s="30" t="s">
        <v>16354</v>
      </c>
      <c r="P10168" s="30" t="s">
        <v>16678</v>
      </c>
      <c r="Q10168" t="s">
        <v>621</v>
      </c>
      <c r="R10168" t="s">
        <v>918</v>
      </c>
      <c r="S10168">
        <v>39</v>
      </c>
      <c r="T10168" s="29" t="str">
        <f t="shared" si="424"/>
        <v>2023.001B.Leviviricetes_reorg.zip</v>
      </c>
      <c r="U10168" s="29" t="str">
        <f>HYPERLINK("https://ictv.global/taxonomy/taxondetails?taxnode_id=202311196","ictv.global=202311196")</f>
        <v>ictv.global=202311196</v>
      </c>
    </row>
    <row r="10169" spans="1:21">
      <c r="A10169">
        <v>10168</v>
      </c>
      <c r="B10169" s="30" t="s">
        <v>1226</v>
      </c>
      <c r="D10169" s="30" t="s">
        <v>2024</v>
      </c>
      <c r="F10169" s="30" t="s">
        <v>2046</v>
      </c>
      <c r="H10169" s="30" t="s">
        <v>2859</v>
      </c>
      <c r="J10169" s="30" t="s">
        <v>3390</v>
      </c>
      <c r="L10169" s="30" t="s">
        <v>3442</v>
      </c>
      <c r="N10169" s="30" t="s">
        <v>16354</v>
      </c>
      <c r="P10169" s="30" t="s">
        <v>16679</v>
      </c>
      <c r="Q10169" t="s">
        <v>621</v>
      </c>
      <c r="R10169" t="s">
        <v>918</v>
      </c>
      <c r="S10169">
        <v>39</v>
      </c>
      <c r="T10169" s="29" t="str">
        <f t="shared" si="424"/>
        <v>2023.001B.Leviviricetes_reorg.zip</v>
      </c>
      <c r="U10169" s="29" t="str">
        <f>HYPERLINK("https://ictv.global/taxonomy/taxondetails?taxnode_id=202311197","ictv.global=202311197")</f>
        <v>ictv.global=202311197</v>
      </c>
    </row>
    <row r="10170" spans="1:21">
      <c r="A10170">
        <v>10169</v>
      </c>
      <c r="B10170" s="30" t="s">
        <v>1226</v>
      </c>
      <c r="D10170" s="30" t="s">
        <v>2024</v>
      </c>
      <c r="F10170" s="30" t="s">
        <v>2046</v>
      </c>
      <c r="H10170" s="30" t="s">
        <v>2859</v>
      </c>
      <c r="J10170" s="30" t="s">
        <v>3390</v>
      </c>
      <c r="L10170" s="30" t="s">
        <v>3442</v>
      </c>
      <c r="N10170" s="30" t="s">
        <v>16354</v>
      </c>
      <c r="P10170" s="30" t="s">
        <v>16680</v>
      </c>
      <c r="Q10170" t="s">
        <v>621</v>
      </c>
      <c r="R10170" t="s">
        <v>918</v>
      </c>
      <c r="S10170">
        <v>39</v>
      </c>
      <c r="T10170" s="29" t="str">
        <f t="shared" si="424"/>
        <v>2023.001B.Leviviricetes_reorg.zip</v>
      </c>
      <c r="U10170" s="29" t="str">
        <f>HYPERLINK("https://ictv.global/taxonomy/taxondetails?taxnode_id=202311211","ictv.global=202311211")</f>
        <v>ictv.global=202311211</v>
      </c>
    </row>
    <row r="10171" spans="1:21">
      <c r="A10171">
        <v>10170</v>
      </c>
      <c r="B10171" s="30" t="s">
        <v>1226</v>
      </c>
      <c r="D10171" s="30" t="s">
        <v>2024</v>
      </c>
      <c r="F10171" s="30" t="s">
        <v>2046</v>
      </c>
      <c r="H10171" s="30" t="s">
        <v>2859</v>
      </c>
      <c r="J10171" s="30" t="s">
        <v>3390</v>
      </c>
      <c r="L10171" s="30" t="s">
        <v>3442</v>
      </c>
      <c r="N10171" s="30" t="s">
        <v>16354</v>
      </c>
      <c r="P10171" s="30" t="s">
        <v>16681</v>
      </c>
      <c r="Q10171" t="s">
        <v>621</v>
      </c>
      <c r="R10171" t="s">
        <v>918</v>
      </c>
      <c r="S10171">
        <v>39</v>
      </c>
      <c r="T10171" s="29" t="str">
        <f t="shared" si="424"/>
        <v>2023.001B.Leviviricetes_reorg.zip</v>
      </c>
      <c r="U10171" s="29" t="str">
        <f>HYPERLINK("https://ictv.global/taxonomy/taxondetails?taxnode_id=202311213","ictv.global=202311213")</f>
        <v>ictv.global=202311213</v>
      </c>
    </row>
    <row r="10172" spans="1:21">
      <c r="A10172">
        <v>10171</v>
      </c>
      <c r="B10172" s="30" t="s">
        <v>1226</v>
      </c>
      <c r="D10172" s="30" t="s">
        <v>2024</v>
      </c>
      <c r="F10172" s="30" t="s">
        <v>2046</v>
      </c>
      <c r="H10172" s="30" t="s">
        <v>2859</v>
      </c>
      <c r="J10172" s="30" t="s">
        <v>3390</v>
      </c>
      <c r="L10172" s="30" t="s">
        <v>3442</v>
      </c>
      <c r="N10172" s="30" t="s">
        <v>16354</v>
      </c>
      <c r="P10172" s="30" t="s">
        <v>16682</v>
      </c>
      <c r="Q10172" t="s">
        <v>621</v>
      </c>
      <c r="R10172" t="s">
        <v>918</v>
      </c>
      <c r="S10172">
        <v>39</v>
      </c>
      <c r="T10172" s="29" t="str">
        <f t="shared" si="424"/>
        <v>2023.001B.Leviviricetes_reorg.zip</v>
      </c>
      <c r="U10172" s="29" t="str">
        <f>HYPERLINK("https://ictv.global/taxonomy/taxondetails?taxnode_id=202311212","ictv.global=202311212")</f>
        <v>ictv.global=202311212</v>
      </c>
    </row>
    <row r="10173" spans="1:21">
      <c r="A10173">
        <v>10172</v>
      </c>
      <c r="B10173" s="30" t="s">
        <v>1226</v>
      </c>
      <c r="D10173" s="30" t="s">
        <v>2024</v>
      </c>
      <c r="F10173" s="30" t="s">
        <v>2046</v>
      </c>
      <c r="H10173" s="30" t="s">
        <v>2859</v>
      </c>
      <c r="J10173" s="30" t="s">
        <v>3390</v>
      </c>
      <c r="L10173" s="30" t="s">
        <v>3442</v>
      </c>
      <c r="N10173" s="30" t="s">
        <v>16354</v>
      </c>
      <c r="P10173" s="30" t="s">
        <v>16683</v>
      </c>
      <c r="Q10173" t="s">
        <v>621</v>
      </c>
      <c r="R10173" t="s">
        <v>918</v>
      </c>
      <c r="S10173">
        <v>39</v>
      </c>
      <c r="T10173" s="29" t="str">
        <f t="shared" si="424"/>
        <v>2023.001B.Leviviricetes_reorg.zip</v>
      </c>
      <c r="U10173" s="29" t="str">
        <f>HYPERLINK("https://ictv.global/taxonomy/taxondetails?taxnode_id=202311148","ictv.global=202311148")</f>
        <v>ictv.global=202311148</v>
      </c>
    </row>
    <row r="10174" spans="1:21">
      <c r="A10174">
        <v>10173</v>
      </c>
      <c r="B10174" s="30" t="s">
        <v>1226</v>
      </c>
      <c r="D10174" s="30" t="s">
        <v>2024</v>
      </c>
      <c r="F10174" s="30" t="s">
        <v>2046</v>
      </c>
      <c r="H10174" s="30" t="s">
        <v>2859</v>
      </c>
      <c r="J10174" s="30" t="s">
        <v>3390</v>
      </c>
      <c r="L10174" s="30" t="s">
        <v>3442</v>
      </c>
      <c r="N10174" s="30" t="s">
        <v>16354</v>
      </c>
      <c r="P10174" s="30" t="s">
        <v>16684</v>
      </c>
      <c r="Q10174" t="s">
        <v>621</v>
      </c>
      <c r="R10174" t="s">
        <v>918</v>
      </c>
      <c r="S10174">
        <v>39</v>
      </c>
      <c r="T10174" s="29" t="str">
        <f t="shared" si="424"/>
        <v>2023.001B.Leviviricetes_reorg.zip</v>
      </c>
      <c r="U10174" s="29" t="str">
        <f>HYPERLINK("https://ictv.global/taxonomy/taxondetails?taxnode_id=202311149","ictv.global=202311149")</f>
        <v>ictv.global=202311149</v>
      </c>
    </row>
    <row r="10175" spans="1:21">
      <c r="A10175">
        <v>10174</v>
      </c>
      <c r="B10175" s="30" t="s">
        <v>1226</v>
      </c>
      <c r="D10175" s="30" t="s">
        <v>2024</v>
      </c>
      <c r="F10175" s="30" t="s">
        <v>2046</v>
      </c>
      <c r="H10175" s="30" t="s">
        <v>2859</v>
      </c>
      <c r="J10175" s="30" t="s">
        <v>3390</v>
      </c>
      <c r="L10175" s="30" t="s">
        <v>3442</v>
      </c>
      <c r="N10175" s="30" t="s">
        <v>16354</v>
      </c>
      <c r="P10175" s="30" t="s">
        <v>16685</v>
      </c>
      <c r="Q10175" t="s">
        <v>621</v>
      </c>
      <c r="R10175" t="s">
        <v>918</v>
      </c>
      <c r="S10175">
        <v>39</v>
      </c>
      <c r="T10175" s="29" t="str">
        <f t="shared" si="424"/>
        <v>2023.001B.Leviviricetes_reorg.zip</v>
      </c>
      <c r="U10175" s="29" t="str">
        <f>HYPERLINK("https://ictv.global/taxonomy/taxondetails?taxnode_id=202311150","ictv.global=202311150")</f>
        <v>ictv.global=202311150</v>
      </c>
    </row>
    <row r="10176" spans="1:21">
      <c r="A10176">
        <v>10175</v>
      </c>
      <c r="B10176" s="30" t="s">
        <v>1226</v>
      </c>
      <c r="D10176" s="30" t="s">
        <v>2024</v>
      </c>
      <c r="F10176" s="30" t="s">
        <v>2046</v>
      </c>
      <c r="H10176" s="30" t="s">
        <v>2859</v>
      </c>
      <c r="J10176" s="30" t="s">
        <v>3390</v>
      </c>
      <c r="L10176" s="30" t="s">
        <v>3442</v>
      </c>
      <c r="N10176" s="30" t="s">
        <v>16354</v>
      </c>
      <c r="P10176" s="30" t="s">
        <v>16686</v>
      </c>
      <c r="Q10176" t="s">
        <v>621</v>
      </c>
      <c r="R10176" t="s">
        <v>918</v>
      </c>
      <c r="S10176">
        <v>39</v>
      </c>
      <c r="T10176" s="29" t="str">
        <f t="shared" si="424"/>
        <v>2023.001B.Leviviricetes_reorg.zip</v>
      </c>
      <c r="U10176" s="29" t="str">
        <f>HYPERLINK("https://ictv.global/taxonomy/taxondetails?taxnode_id=202311341","ictv.global=202311341")</f>
        <v>ictv.global=202311341</v>
      </c>
    </row>
    <row r="10177" spans="1:21">
      <c r="A10177">
        <v>10176</v>
      </c>
      <c r="B10177" s="30" t="s">
        <v>1226</v>
      </c>
      <c r="D10177" s="30" t="s">
        <v>2024</v>
      </c>
      <c r="F10177" s="30" t="s">
        <v>2046</v>
      </c>
      <c r="H10177" s="30" t="s">
        <v>2859</v>
      </c>
      <c r="J10177" s="30" t="s">
        <v>3390</v>
      </c>
      <c r="L10177" s="30" t="s">
        <v>3442</v>
      </c>
      <c r="N10177" s="30" t="s">
        <v>16354</v>
      </c>
      <c r="P10177" s="30" t="s">
        <v>16687</v>
      </c>
      <c r="Q10177" t="s">
        <v>621</v>
      </c>
      <c r="R10177" t="s">
        <v>917</v>
      </c>
      <c r="S10177">
        <v>39</v>
      </c>
      <c r="T10177" s="29" t="str">
        <f t="shared" si="424"/>
        <v>2023.001B.Leviviricetes_reorg.zip</v>
      </c>
      <c r="U10177" s="29" t="str">
        <f>HYPERLINK("https://ictv.global/taxonomy/taxondetails?taxnode_id=202317320","ictv.global=202317320")</f>
        <v>ictv.global=202317320</v>
      </c>
    </row>
    <row r="10178" spans="1:21">
      <c r="A10178">
        <v>10177</v>
      </c>
      <c r="B10178" s="30" t="s">
        <v>1226</v>
      </c>
      <c r="D10178" s="30" t="s">
        <v>2024</v>
      </c>
      <c r="F10178" s="30" t="s">
        <v>2046</v>
      </c>
      <c r="H10178" s="30" t="s">
        <v>2859</v>
      </c>
      <c r="J10178" s="30" t="s">
        <v>3390</v>
      </c>
      <c r="L10178" s="30" t="s">
        <v>3442</v>
      </c>
      <c r="N10178" s="30" t="s">
        <v>16354</v>
      </c>
      <c r="P10178" s="30" t="s">
        <v>16688</v>
      </c>
      <c r="Q10178" t="s">
        <v>621</v>
      </c>
      <c r="R10178" t="s">
        <v>917</v>
      </c>
      <c r="S10178">
        <v>39</v>
      </c>
      <c r="T10178" s="29" t="str">
        <f t="shared" si="424"/>
        <v>2023.001B.Leviviricetes_reorg.zip</v>
      </c>
      <c r="U10178" s="29" t="str">
        <f>HYPERLINK("https://ictv.global/taxonomy/taxondetails?taxnode_id=202317321","ictv.global=202317321")</f>
        <v>ictv.global=202317321</v>
      </c>
    </row>
    <row r="10179" spans="1:21">
      <c r="A10179">
        <v>10178</v>
      </c>
      <c r="B10179" s="30" t="s">
        <v>1226</v>
      </c>
      <c r="D10179" s="30" t="s">
        <v>2024</v>
      </c>
      <c r="F10179" s="30" t="s">
        <v>2046</v>
      </c>
      <c r="H10179" s="30" t="s">
        <v>2859</v>
      </c>
      <c r="J10179" s="30" t="s">
        <v>3390</v>
      </c>
      <c r="L10179" s="30" t="s">
        <v>3442</v>
      </c>
      <c r="N10179" s="30" t="s">
        <v>16354</v>
      </c>
      <c r="P10179" s="30" t="s">
        <v>16689</v>
      </c>
      <c r="Q10179" t="s">
        <v>621</v>
      </c>
      <c r="R10179" t="s">
        <v>917</v>
      </c>
      <c r="S10179">
        <v>39</v>
      </c>
      <c r="T10179" s="29" t="str">
        <f t="shared" si="424"/>
        <v>2023.001B.Leviviricetes_reorg.zip</v>
      </c>
      <c r="U10179" s="29" t="str">
        <f>HYPERLINK("https://ictv.global/taxonomy/taxondetails?taxnode_id=202317322","ictv.global=202317322")</f>
        <v>ictv.global=202317322</v>
      </c>
    </row>
    <row r="10180" spans="1:21">
      <c r="A10180">
        <v>10179</v>
      </c>
      <c r="B10180" s="30" t="s">
        <v>1226</v>
      </c>
      <c r="D10180" s="30" t="s">
        <v>2024</v>
      </c>
      <c r="F10180" s="30" t="s">
        <v>2046</v>
      </c>
      <c r="H10180" s="30" t="s">
        <v>2859</v>
      </c>
      <c r="J10180" s="30" t="s">
        <v>3390</v>
      </c>
      <c r="L10180" s="30" t="s">
        <v>3442</v>
      </c>
      <c r="N10180" s="30" t="s">
        <v>16354</v>
      </c>
      <c r="P10180" s="30" t="s">
        <v>16690</v>
      </c>
      <c r="Q10180" t="s">
        <v>621</v>
      </c>
      <c r="R10180" t="s">
        <v>917</v>
      </c>
      <c r="S10180">
        <v>39</v>
      </c>
      <c r="T10180" s="29" t="str">
        <f t="shared" si="424"/>
        <v>2023.001B.Leviviricetes_reorg.zip</v>
      </c>
      <c r="U10180" s="29" t="str">
        <f>HYPERLINK("https://ictv.global/taxonomy/taxondetails?taxnode_id=202317323","ictv.global=202317323")</f>
        <v>ictv.global=202317323</v>
      </c>
    </row>
    <row r="10181" spans="1:21">
      <c r="A10181">
        <v>10180</v>
      </c>
      <c r="B10181" s="30" t="s">
        <v>1226</v>
      </c>
      <c r="D10181" s="30" t="s">
        <v>2024</v>
      </c>
      <c r="F10181" s="30" t="s">
        <v>2046</v>
      </c>
      <c r="H10181" s="30" t="s">
        <v>2859</v>
      </c>
      <c r="J10181" s="30" t="s">
        <v>3390</v>
      </c>
      <c r="L10181" s="30" t="s">
        <v>3442</v>
      </c>
      <c r="N10181" s="30" t="s">
        <v>16354</v>
      </c>
      <c r="P10181" s="30" t="s">
        <v>16691</v>
      </c>
      <c r="Q10181" t="s">
        <v>621</v>
      </c>
      <c r="R10181" t="s">
        <v>917</v>
      </c>
      <c r="S10181">
        <v>39</v>
      </c>
      <c r="T10181" s="29" t="str">
        <f t="shared" si="424"/>
        <v>2023.001B.Leviviricetes_reorg.zip</v>
      </c>
      <c r="U10181" s="29" t="str">
        <f>HYPERLINK("https://ictv.global/taxonomy/taxondetails?taxnode_id=202317324","ictv.global=202317324")</f>
        <v>ictv.global=202317324</v>
      </c>
    </row>
    <row r="10182" spans="1:21">
      <c r="A10182">
        <v>10181</v>
      </c>
      <c r="B10182" s="30" t="s">
        <v>1226</v>
      </c>
      <c r="D10182" s="30" t="s">
        <v>2024</v>
      </c>
      <c r="F10182" s="30" t="s">
        <v>2046</v>
      </c>
      <c r="H10182" s="30" t="s">
        <v>2859</v>
      </c>
      <c r="J10182" s="30" t="s">
        <v>3390</v>
      </c>
      <c r="L10182" s="30" t="s">
        <v>3442</v>
      </c>
      <c r="N10182" s="30" t="s">
        <v>16354</v>
      </c>
      <c r="P10182" s="30" t="s">
        <v>16692</v>
      </c>
      <c r="Q10182" t="s">
        <v>621</v>
      </c>
      <c r="R10182" t="s">
        <v>918</v>
      </c>
      <c r="S10182">
        <v>39</v>
      </c>
      <c r="T10182" s="29" t="str">
        <f t="shared" si="424"/>
        <v>2023.001B.Leviviricetes_reorg.zip</v>
      </c>
      <c r="U10182" s="29" t="str">
        <f>HYPERLINK("https://ictv.global/taxonomy/taxondetails?taxnode_id=202311465","ictv.global=202311465")</f>
        <v>ictv.global=202311465</v>
      </c>
    </row>
    <row r="10183" spans="1:21">
      <c r="A10183">
        <v>10182</v>
      </c>
      <c r="B10183" s="30" t="s">
        <v>1226</v>
      </c>
      <c r="D10183" s="30" t="s">
        <v>2024</v>
      </c>
      <c r="F10183" s="30" t="s">
        <v>2046</v>
      </c>
      <c r="H10183" s="30" t="s">
        <v>2859</v>
      </c>
      <c r="J10183" s="30" t="s">
        <v>3390</v>
      </c>
      <c r="L10183" s="30" t="s">
        <v>3442</v>
      </c>
      <c r="N10183" s="30" t="s">
        <v>16354</v>
      </c>
      <c r="P10183" s="30" t="s">
        <v>16693</v>
      </c>
      <c r="Q10183" t="s">
        <v>621</v>
      </c>
      <c r="R10183" t="s">
        <v>918</v>
      </c>
      <c r="S10183">
        <v>39</v>
      </c>
      <c r="T10183" s="29" t="str">
        <f t="shared" si="424"/>
        <v>2023.001B.Leviviricetes_reorg.zip</v>
      </c>
      <c r="U10183" s="29" t="str">
        <f>HYPERLINK("https://ictv.global/taxonomy/taxondetails?taxnode_id=202311178","ictv.global=202311178")</f>
        <v>ictv.global=202311178</v>
      </c>
    </row>
    <row r="10184" spans="1:21">
      <c r="A10184">
        <v>10183</v>
      </c>
      <c r="B10184" s="30" t="s">
        <v>1226</v>
      </c>
      <c r="D10184" s="30" t="s">
        <v>2024</v>
      </c>
      <c r="F10184" s="30" t="s">
        <v>2046</v>
      </c>
      <c r="H10184" s="30" t="s">
        <v>2859</v>
      </c>
      <c r="J10184" s="30" t="s">
        <v>3390</v>
      </c>
      <c r="L10184" s="30" t="s">
        <v>3442</v>
      </c>
      <c r="N10184" s="30" t="s">
        <v>16354</v>
      </c>
      <c r="P10184" s="30" t="s">
        <v>16694</v>
      </c>
      <c r="Q10184" t="s">
        <v>621</v>
      </c>
      <c r="R10184" t="s">
        <v>918</v>
      </c>
      <c r="S10184">
        <v>39</v>
      </c>
      <c r="T10184" s="29" t="str">
        <f t="shared" si="424"/>
        <v>2023.001B.Leviviricetes_reorg.zip</v>
      </c>
      <c r="U10184" s="29" t="str">
        <f>HYPERLINK("https://ictv.global/taxonomy/taxondetails?taxnode_id=202311179","ictv.global=202311179")</f>
        <v>ictv.global=202311179</v>
      </c>
    </row>
    <row r="10185" spans="1:21">
      <c r="A10185">
        <v>10184</v>
      </c>
      <c r="B10185" s="30" t="s">
        <v>1226</v>
      </c>
      <c r="D10185" s="30" t="s">
        <v>2024</v>
      </c>
      <c r="F10185" s="30" t="s">
        <v>2046</v>
      </c>
      <c r="H10185" s="30" t="s">
        <v>2859</v>
      </c>
      <c r="J10185" s="30" t="s">
        <v>3390</v>
      </c>
      <c r="L10185" s="30" t="s">
        <v>3442</v>
      </c>
      <c r="N10185" s="30" t="s">
        <v>16354</v>
      </c>
      <c r="P10185" s="30" t="s">
        <v>16695</v>
      </c>
      <c r="Q10185" t="s">
        <v>621</v>
      </c>
      <c r="R10185" t="s">
        <v>918</v>
      </c>
      <c r="S10185">
        <v>39</v>
      </c>
      <c r="T10185" s="29" t="str">
        <f t="shared" si="424"/>
        <v>2023.001B.Leviviricetes_reorg.zip</v>
      </c>
      <c r="U10185" s="29" t="str">
        <f>HYPERLINK("https://ictv.global/taxonomy/taxondetails?taxnode_id=202311180","ictv.global=202311180")</f>
        <v>ictv.global=202311180</v>
      </c>
    </row>
    <row r="10186" spans="1:21">
      <c r="A10186">
        <v>10185</v>
      </c>
      <c r="B10186" s="30" t="s">
        <v>1226</v>
      </c>
      <c r="D10186" s="30" t="s">
        <v>2024</v>
      </c>
      <c r="F10186" s="30" t="s">
        <v>2046</v>
      </c>
      <c r="H10186" s="30" t="s">
        <v>2859</v>
      </c>
      <c r="J10186" s="30" t="s">
        <v>3390</v>
      </c>
      <c r="L10186" s="30" t="s">
        <v>3442</v>
      </c>
      <c r="N10186" s="30" t="s">
        <v>16354</v>
      </c>
      <c r="P10186" s="30" t="s">
        <v>16696</v>
      </c>
      <c r="Q10186" t="s">
        <v>621</v>
      </c>
      <c r="R10186" t="s">
        <v>918</v>
      </c>
      <c r="S10186">
        <v>39</v>
      </c>
      <c r="T10186" s="29" t="str">
        <f t="shared" ref="T10186:T10249" si="425">HYPERLINK("https://ictv.global/ictv/proposals/2023.001B.Leviviricetes_reorg.zip","2023.001B.Leviviricetes_reorg.zip")</f>
        <v>2023.001B.Leviviricetes_reorg.zip</v>
      </c>
      <c r="U10186" s="29" t="str">
        <f>HYPERLINK("https://ictv.global/taxonomy/taxondetails?taxnode_id=202311182","ictv.global=202311182")</f>
        <v>ictv.global=202311182</v>
      </c>
    </row>
    <row r="10187" spans="1:21">
      <c r="A10187">
        <v>10186</v>
      </c>
      <c r="B10187" s="30" t="s">
        <v>1226</v>
      </c>
      <c r="D10187" s="30" t="s">
        <v>2024</v>
      </c>
      <c r="F10187" s="30" t="s">
        <v>2046</v>
      </c>
      <c r="H10187" s="30" t="s">
        <v>2859</v>
      </c>
      <c r="J10187" s="30" t="s">
        <v>3390</v>
      </c>
      <c r="L10187" s="30" t="s">
        <v>3442</v>
      </c>
      <c r="N10187" s="30" t="s">
        <v>16354</v>
      </c>
      <c r="P10187" s="30" t="s">
        <v>16697</v>
      </c>
      <c r="Q10187" t="s">
        <v>621</v>
      </c>
      <c r="R10187" t="s">
        <v>918</v>
      </c>
      <c r="S10187">
        <v>39</v>
      </c>
      <c r="T10187" s="29" t="str">
        <f t="shared" si="425"/>
        <v>2023.001B.Leviviricetes_reorg.zip</v>
      </c>
      <c r="U10187" s="29" t="str">
        <f>HYPERLINK("https://ictv.global/taxonomy/taxondetails?taxnode_id=202311181","ictv.global=202311181")</f>
        <v>ictv.global=202311181</v>
      </c>
    </row>
    <row r="10188" spans="1:21">
      <c r="A10188">
        <v>10187</v>
      </c>
      <c r="B10188" s="30" t="s">
        <v>1226</v>
      </c>
      <c r="D10188" s="30" t="s">
        <v>2024</v>
      </c>
      <c r="F10188" s="30" t="s">
        <v>2046</v>
      </c>
      <c r="H10188" s="30" t="s">
        <v>2859</v>
      </c>
      <c r="J10188" s="30" t="s">
        <v>3390</v>
      </c>
      <c r="L10188" s="30" t="s">
        <v>3442</v>
      </c>
      <c r="N10188" s="30" t="s">
        <v>16354</v>
      </c>
      <c r="P10188" s="30" t="s">
        <v>16698</v>
      </c>
      <c r="Q10188" t="s">
        <v>621</v>
      </c>
      <c r="R10188" t="s">
        <v>918</v>
      </c>
      <c r="S10188">
        <v>39</v>
      </c>
      <c r="T10188" s="29" t="str">
        <f t="shared" si="425"/>
        <v>2023.001B.Leviviricetes_reorg.zip</v>
      </c>
      <c r="U10188" s="29" t="str">
        <f>HYPERLINK("https://ictv.global/taxonomy/taxondetails?taxnode_id=202311183","ictv.global=202311183")</f>
        <v>ictv.global=202311183</v>
      </c>
    </row>
    <row r="10189" spans="1:21">
      <c r="A10189">
        <v>10188</v>
      </c>
      <c r="B10189" s="30" t="s">
        <v>1226</v>
      </c>
      <c r="D10189" s="30" t="s">
        <v>2024</v>
      </c>
      <c r="F10189" s="30" t="s">
        <v>2046</v>
      </c>
      <c r="H10189" s="30" t="s">
        <v>2859</v>
      </c>
      <c r="J10189" s="30" t="s">
        <v>3390</v>
      </c>
      <c r="L10189" s="30" t="s">
        <v>3442</v>
      </c>
      <c r="N10189" s="30" t="s">
        <v>16354</v>
      </c>
      <c r="P10189" s="30" t="s">
        <v>16699</v>
      </c>
      <c r="Q10189" t="s">
        <v>621</v>
      </c>
      <c r="R10189" t="s">
        <v>918</v>
      </c>
      <c r="S10189">
        <v>39</v>
      </c>
      <c r="T10189" s="29" t="str">
        <f t="shared" si="425"/>
        <v>2023.001B.Leviviricetes_reorg.zip</v>
      </c>
      <c r="U10189" s="29" t="str">
        <f>HYPERLINK("https://ictv.global/taxonomy/taxondetails?taxnode_id=202311184","ictv.global=202311184")</f>
        <v>ictv.global=202311184</v>
      </c>
    </row>
    <row r="10190" spans="1:21">
      <c r="A10190">
        <v>10189</v>
      </c>
      <c r="B10190" s="30" t="s">
        <v>1226</v>
      </c>
      <c r="D10190" s="30" t="s">
        <v>2024</v>
      </c>
      <c r="F10190" s="30" t="s">
        <v>2046</v>
      </c>
      <c r="H10190" s="30" t="s">
        <v>2859</v>
      </c>
      <c r="J10190" s="30" t="s">
        <v>3390</v>
      </c>
      <c r="L10190" s="30" t="s">
        <v>3442</v>
      </c>
      <c r="N10190" s="30" t="s">
        <v>16354</v>
      </c>
      <c r="P10190" s="30" t="s">
        <v>16700</v>
      </c>
      <c r="Q10190" t="s">
        <v>621</v>
      </c>
      <c r="R10190" t="s">
        <v>918</v>
      </c>
      <c r="S10190">
        <v>39</v>
      </c>
      <c r="T10190" s="29" t="str">
        <f t="shared" si="425"/>
        <v>2023.001B.Leviviricetes_reorg.zip</v>
      </c>
      <c r="U10190" s="29" t="str">
        <f>HYPERLINK("https://ictv.global/taxonomy/taxondetails?taxnode_id=202311185","ictv.global=202311185")</f>
        <v>ictv.global=202311185</v>
      </c>
    </row>
    <row r="10191" spans="1:21">
      <c r="A10191">
        <v>10190</v>
      </c>
      <c r="B10191" s="30" t="s">
        <v>1226</v>
      </c>
      <c r="D10191" s="30" t="s">
        <v>2024</v>
      </c>
      <c r="F10191" s="30" t="s">
        <v>2046</v>
      </c>
      <c r="H10191" s="30" t="s">
        <v>2859</v>
      </c>
      <c r="J10191" s="30" t="s">
        <v>3390</v>
      </c>
      <c r="L10191" s="30" t="s">
        <v>3442</v>
      </c>
      <c r="N10191" s="30" t="s">
        <v>16354</v>
      </c>
      <c r="P10191" s="30" t="s">
        <v>16701</v>
      </c>
      <c r="Q10191" t="s">
        <v>621</v>
      </c>
      <c r="R10191" t="s">
        <v>918</v>
      </c>
      <c r="S10191">
        <v>39</v>
      </c>
      <c r="T10191" s="29" t="str">
        <f t="shared" si="425"/>
        <v>2023.001B.Leviviricetes_reorg.zip</v>
      </c>
      <c r="U10191" s="29" t="str">
        <f>HYPERLINK("https://ictv.global/taxonomy/taxondetails?taxnode_id=202311198","ictv.global=202311198")</f>
        <v>ictv.global=202311198</v>
      </c>
    </row>
    <row r="10192" spans="1:21">
      <c r="A10192">
        <v>10191</v>
      </c>
      <c r="B10192" s="30" t="s">
        <v>1226</v>
      </c>
      <c r="D10192" s="30" t="s">
        <v>2024</v>
      </c>
      <c r="F10192" s="30" t="s">
        <v>2046</v>
      </c>
      <c r="H10192" s="30" t="s">
        <v>2859</v>
      </c>
      <c r="J10192" s="30" t="s">
        <v>3390</v>
      </c>
      <c r="L10192" s="30" t="s">
        <v>3442</v>
      </c>
      <c r="N10192" s="30" t="s">
        <v>16354</v>
      </c>
      <c r="P10192" s="30" t="s">
        <v>16702</v>
      </c>
      <c r="Q10192" t="s">
        <v>621</v>
      </c>
      <c r="R10192" t="s">
        <v>918</v>
      </c>
      <c r="S10192">
        <v>39</v>
      </c>
      <c r="T10192" s="29" t="str">
        <f t="shared" si="425"/>
        <v>2023.001B.Leviviricetes_reorg.zip</v>
      </c>
      <c r="U10192" s="29" t="str">
        <f>HYPERLINK("https://ictv.global/taxonomy/taxondetails?taxnode_id=202311135","ictv.global=202311135")</f>
        <v>ictv.global=202311135</v>
      </c>
    </row>
    <row r="10193" spans="1:21">
      <c r="A10193">
        <v>10192</v>
      </c>
      <c r="B10193" s="30" t="s">
        <v>1226</v>
      </c>
      <c r="D10193" s="30" t="s">
        <v>2024</v>
      </c>
      <c r="F10193" s="30" t="s">
        <v>2046</v>
      </c>
      <c r="H10193" s="30" t="s">
        <v>2859</v>
      </c>
      <c r="J10193" s="30" t="s">
        <v>3390</v>
      </c>
      <c r="L10193" s="30" t="s">
        <v>3442</v>
      </c>
      <c r="N10193" s="30" t="s">
        <v>16354</v>
      </c>
      <c r="P10193" s="30" t="s">
        <v>16703</v>
      </c>
      <c r="Q10193" t="s">
        <v>621</v>
      </c>
      <c r="R10193" t="s">
        <v>918</v>
      </c>
      <c r="S10193">
        <v>39</v>
      </c>
      <c r="T10193" s="29" t="str">
        <f t="shared" si="425"/>
        <v>2023.001B.Leviviricetes_reorg.zip</v>
      </c>
      <c r="U10193" s="29" t="str">
        <f>HYPERLINK("https://ictv.global/taxonomy/taxondetails?taxnode_id=202311134","ictv.global=202311134")</f>
        <v>ictv.global=202311134</v>
      </c>
    </row>
    <row r="10194" spans="1:21">
      <c r="A10194">
        <v>10193</v>
      </c>
      <c r="B10194" s="30" t="s">
        <v>1226</v>
      </c>
      <c r="D10194" s="30" t="s">
        <v>2024</v>
      </c>
      <c r="F10194" s="30" t="s">
        <v>2046</v>
      </c>
      <c r="H10194" s="30" t="s">
        <v>2859</v>
      </c>
      <c r="J10194" s="30" t="s">
        <v>3390</v>
      </c>
      <c r="L10194" s="30" t="s">
        <v>3442</v>
      </c>
      <c r="N10194" s="30" t="s">
        <v>16354</v>
      </c>
      <c r="P10194" s="30" t="s">
        <v>16704</v>
      </c>
      <c r="Q10194" t="s">
        <v>621</v>
      </c>
      <c r="R10194" t="s">
        <v>918</v>
      </c>
      <c r="S10194">
        <v>39</v>
      </c>
      <c r="T10194" s="29" t="str">
        <f t="shared" si="425"/>
        <v>2023.001B.Leviviricetes_reorg.zip</v>
      </c>
      <c r="U10194" s="29" t="str">
        <f>HYPERLINK("https://ictv.global/taxonomy/taxondetails?taxnode_id=202311136","ictv.global=202311136")</f>
        <v>ictv.global=202311136</v>
      </c>
    </row>
    <row r="10195" spans="1:21">
      <c r="A10195">
        <v>10194</v>
      </c>
      <c r="B10195" s="30" t="s">
        <v>1226</v>
      </c>
      <c r="D10195" s="30" t="s">
        <v>2024</v>
      </c>
      <c r="F10195" s="30" t="s">
        <v>2046</v>
      </c>
      <c r="H10195" s="30" t="s">
        <v>2859</v>
      </c>
      <c r="J10195" s="30" t="s">
        <v>3390</v>
      </c>
      <c r="L10195" s="30" t="s">
        <v>3442</v>
      </c>
      <c r="N10195" s="30" t="s">
        <v>16354</v>
      </c>
      <c r="P10195" s="30" t="s">
        <v>16705</v>
      </c>
      <c r="Q10195" t="s">
        <v>621</v>
      </c>
      <c r="R10195" t="s">
        <v>918</v>
      </c>
      <c r="S10195">
        <v>39</v>
      </c>
      <c r="T10195" s="29" t="str">
        <f t="shared" si="425"/>
        <v>2023.001B.Leviviricetes_reorg.zip</v>
      </c>
      <c r="U10195" s="29" t="str">
        <f>HYPERLINK("https://ictv.global/taxonomy/taxondetails?taxnode_id=202311137","ictv.global=202311137")</f>
        <v>ictv.global=202311137</v>
      </c>
    </row>
    <row r="10196" spans="1:21">
      <c r="A10196">
        <v>10195</v>
      </c>
      <c r="B10196" s="30" t="s">
        <v>1226</v>
      </c>
      <c r="D10196" s="30" t="s">
        <v>2024</v>
      </c>
      <c r="F10196" s="30" t="s">
        <v>2046</v>
      </c>
      <c r="H10196" s="30" t="s">
        <v>2859</v>
      </c>
      <c r="J10196" s="30" t="s">
        <v>3390</v>
      </c>
      <c r="L10196" s="30" t="s">
        <v>3442</v>
      </c>
      <c r="N10196" s="30" t="s">
        <v>16354</v>
      </c>
      <c r="P10196" s="30" t="s">
        <v>16706</v>
      </c>
      <c r="Q10196" t="s">
        <v>621</v>
      </c>
      <c r="R10196" t="s">
        <v>918</v>
      </c>
      <c r="S10196">
        <v>39</v>
      </c>
      <c r="T10196" s="29" t="str">
        <f t="shared" si="425"/>
        <v>2023.001B.Leviviricetes_reorg.zip</v>
      </c>
      <c r="U10196" s="29" t="str">
        <f>HYPERLINK("https://ictv.global/taxonomy/taxondetails?taxnode_id=202311138","ictv.global=202311138")</f>
        <v>ictv.global=202311138</v>
      </c>
    </row>
    <row r="10197" spans="1:21">
      <c r="A10197">
        <v>10196</v>
      </c>
      <c r="B10197" s="30" t="s">
        <v>1226</v>
      </c>
      <c r="D10197" s="30" t="s">
        <v>2024</v>
      </c>
      <c r="F10197" s="30" t="s">
        <v>2046</v>
      </c>
      <c r="H10197" s="30" t="s">
        <v>2859</v>
      </c>
      <c r="J10197" s="30" t="s">
        <v>3390</v>
      </c>
      <c r="L10197" s="30" t="s">
        <v>3442</v>
      </c>
      <c r="N10197" s="30" t="s">
        <v>16354</v>
      </c>
      <c r="P10197" s="30" t="s">
        <v>16707</v>
      </c>
      <c r="Q10197" t="s">
        <v>621</v>
      </c>
      <c r="R10197" t="s">
        <v>918</v>
      </c>
      <c r="S10197">
        <v>39</v>
      </c>
      <c r="T10197" s="29" t="str">
        <f t="shared" si="425"/>
        <v>2023.001B.Leviviricetes_reorg.zip</v>
      </c>
      <c r="U10197" s="29" t="str">
        <f>HYPERLINK("https://ictv.global/taxonomy/taxondetails?taxnode_id=202311139","ictv.global=202311139")</f>
        <v>ictv.global=202311139</v>
      </c>
    </row>
    <row r="10198" spans="1:21">
      <c r="A10198">
        <v>10197</v>
      </c>
      <c r="B10198" s="30" t="s">
        <v>1226</v>
      </c>
      <c r="D10198" s="30" t="s">
        <v>2024</v>
      </c>
      <c r="F10198" s="30" t="s">
        <v>2046</v>
      </c>
      <c r="H10198" s="30" t="s">
        <v>2859</v>
      </c>
      <c r="J10198" s="30" t="s">
        <v>3390</v>
      </c>
      <c r="L10198" s="30" t="s">
        <v>3442</v>
      </c>
      <c r="N10198" s="30" t="s">
        <v>16354</v>
      </c>
      <c r="P10198" s="30" t="s">
        <v>16708</v>
      </c>
      <c r="Q10198" t="s">
        <v>621</v>
      </c>
      <c r="R10198" t="s">
        <v>918</v>
      </c>
      <c r="S10198">
        <v>39</v>
      </c>
      <c r="T10198" s="29" t="str">
        <f t="shared" si="425"/>
        <v>2023.001B.Leviviricetes_reorg.zip</v>
      </c>
      <c r="U10198" s="29" t="str">
        <f>HYPERLINK("https://ictv.global/taxonomy/taxondetails?taxnode_id=202311141","ictv.global=202311141")</f>
        <v>ictv.global=202311141</v>
      </c>
    </row>
    <row r="10199" spans="1:21">
      <c r="A10199">
        <v>10198</v>
      </c>
      <c r="B10199" s="30" t="s">
        <v>1226</v>
      </c>
      <c r="D10199" s="30" t="s">
        <v>2024</v>
      </c>
      <c r="F10199" s="30" t="s">
        <v>2046</v>
      </c>
      <c r="H10199" s="30" t="s">
        <v>2859</v>
      </c>
      <c r="J10199" s="30" t="s">
        <v>3390</v>
      </c>
      <c r="L10199" s="30" t="s">
        <v>3442</v>
      </c>
      <c r="N10199" s="30" t="s">
        <v>16354</v>
      </c>
      <c r="P10199" s="30" t="s">
        <v>16709</v>
      </c>
      <c r="Q10199" t="s">
        <v>621</v>
      </c>
      <c r="R10199" t="s">
        <v>918</v>
      </c>
      <c r="S10199">
        <v>39</v>
      </c>
      <c r="T10199" s="29" t="str">
        <f t="shared" si="425"/>
        <v>2023.001B.Leviviricetes_reorg.zip</v>
      </c>
      <c r="U10199" s="29" t="str">
        <f>HYPERLINK("https://ictv.global/taxonomy/taxondetails?taxnode_id=202311140","ictv.global=202311140")</f>
        <v>ictv.global=202311140</v>
      </c>
    </row>
    <row r="10200" spans="1:21">
      <c r="A10200">
        <v>10199</v>
      </c>
      <c r="B10200" s="30" t="s">
        <v>1226</v>
      </c>
      <c r="D10200" s="30" t="s">
        <v>2024</v>
      </c>
      <c r="F10200" s="30" t="s">
        <v>2046</v>
      </c>
      <c r="H10200" s="30" t="s">
        <v>2859</v>
      </c>
      <c r="J10200" s="30" t="s">
        <v>3390</v>
      </c>
      <c r="L10200" s="30" t="s">
        <v>3442</v>
      </c>
      <c r="N10200" s="30" t="s">
        <v>16354</v>
      </c>
      <c r="P10200" s="30" t="s">
        <v>16710</v>
      </c>
      <c r="Q10200" t="s">
        <v>621</v>
      </c>
      <c r="R10200" t="s">
        <v>918</v>
      </c>
      <c r="S10200">
        <v>39</v>
      </c>
      <c r="T10200" s="29" t="str">
        <f t="shared" si="425"/>
        <v>2023.001B.Leviviricetes_reorg.zip</v>
      </c>
      <c r="U10200" s="29" t="str">
        <f>HYPERLINK("https://ictv.global/taxonomy/taxondetails?taxnode_id=202311142","ictv.global=202311142")</f>
        <v>ictv.global=202311142</v>
      </c>
    </row>
    <row r="10201" spans="1:21">
      <c r="A10201">
        <v>10200</v>
      </c>
      <c r="B10201" s="30" t="s">
        <v>1226</v>
      </c>
      <c r="D10201" s="30" t="s">
        <v>2024</v>
      </c>
      <c r="F10201" s="30" t="s">
        <v>2046</v>
      </c>
      <c r="H10201" s="30" t="s">
        <v>2859</v>
      </c>
      <c r="J10201" s="30" t="s">
        <v>3390</v>
      </c>
      <c r="L10201" s="30" t="s">
        <v>3442</v>
      </c>
      <c r="N10201" s="30" t="s">
        <v>16354</v>
      </c>
      <c r="P10201" s="30" t="s">
        <v>16711</v>
      </c>
      <c r="Q10201" t="s">
        <v>621</v>
      </c>
      <c r="R10201" t="s">
        <v>918</v>
      </c>
      <c r="S10201">
        <v>39</v>
      </c>
      <c r="T10201" s="29" t="str">
        <f t="shared" si="425"/>
        <v>2023.001B.Leviviricetes_reorg.zip</v>
      </c>
      <c r="U10201" s="29" t="str">
        <f>HYPERLINK("https://ictv.global/taxonomy/taxondetails?taxnode_id=202311143","ictv.global=202311143")</f>
        <v>ictv.global=202311143</v>
      </c>
    </row>
    <row r="10202" spans="1:21">
      <c r="A10202">
        <v>10201</v>
      </c>
      <c r="B10202" s="30" t="s">
        <v>1226</v>
      </c>
      <c r="D10202" s="30" t="s">
        <v>2024</v>
      </c>
      <c r="F10202" s="30" t="s">
        <v>2046</v>
      </c>
      <c r="H10202" s="30" t="s">
        <v>2859</v>
      </c>
      <c r="J10202" s="30" t="s">
        <v>3390</v>
      </c>
      <c r="L10202" s="30" t="s">
        <v>3442</v>
      </c>
      <c r="N10202" s="30" t="s">
        <v>16354</v>
      </c>
      <c r="P10202" s="30" t="s">
        <v>16712</v>
      </c>
      <c r="Q10202" t="s">
        <v>621</v>
      </c>
      <c r="R10202" t="s">
        <v>918</v>
      </c>
      <c r="S10202">
        <v>39</v>
      </c>
      <c r="T10202" s="29" t="str">
        <f t="shared" si="425"/>
        <v>2023.001B.Leviviricetes_reorg.zip</v>
      </c>
      <c r="U10202" s="29" t="str">
        <f>HYPERLINK("https://ictv.global/taxonomy/taxondetails?taxnode_id=202311144","ictv.global=202311144")</f>
        <v>ictv.global=202311144</v>
      </c>
    </row>
    <row r="10203" spans="1:21">
      <c r="A10203">
        <v>10202</v>
      </c>
      <c r="B10203" s="30" t="s">
        <v>1226</v>
      </c>
      <c r="D10203" s="30" t="s">
        <v>2024</v>
      </c>
      <c r="F10203" s="30" t="s">
        <v>2046</v>
      </c>
      <c r="H10203" s="30" t="s">
        <v>2859</v>
      </c>
      <c r="J10203" s="30" t="s">
        <v>3390</v>
      </c>
      <c r="L10203" s="30" t="s">
        <v>3442</v>
      </c>
      <c r="N10203" s="30" t="s">
        <v>16354</v>
      </c>
      <c r="P10203" s="30" t="s">
        <v>16713</v>
      </c>
      <c r="Q10203" t="s">
        <v>621</v>
      </c>
      <c r="R10203" t="s">
        <v>918</v>
      </c>
      <c r="S10203">
        <v>39</v>
      </c>
      <c r="T10203" s="29" t="str">
        <f t="shared" si="425"/>
        <v>2023.001B.Leviviricetes_reorg.zip</v>
      </c>
      <c r="U10203" s="29" t="str">
        <f>HYPERLINK("https://ictv.global/taxonomy/taxondetails?taxnode_id=202311133","ictv.global=202311133")</f>
        <v>ictv.global=202311133</v>
      </c>
    </row>
    <row r="10204" spans="1:21">
      <c r="A10204">
        <v>10203</v>
      </c>
      <c r="B10204" s="30" t="s">
        <v>1226</v>
      </c>
      <c r="D10204" s="30" t="s">
        <v>2024</v>
      </c>
      <c r="F10204" s="30" t="s">
        <v>2046</v>
      </c>
      <c r="H10204" s="30" t="s">
        <v>2859</v>
      </c>
      <c r="J10204" s="30" t="s">
        <v>3390</v>
      </c>
      <c r="L10204" s="30" t="s">
        <v>3442</v>
      </c>
      <c r="N10204" s="30" t="s">
        <v>16354</v>
      </c>
      <c r="P10204" s="30" t="s">
        <v>16714</v>
      </c>
      <c r="Q10204" t="s">
        <v>621</v>
      </c>
      <c r="R10204" t="s">
        <v>918</v>
      </c>
      <c r="S10204">
        <v>39</v>
      </c>
      <c r="T10204" s="29" t="str">
        <f t="shared" si="425"/>
        <v>2023.001B.Leviviricetes_reorg.zip</v>
      </c>
      <c r="U10204" s="29" t="str">
        <f>HYPERLINK("https://ictv.global/taxonomy/taxondetails?taxnode_id=202311174","ictv.global=202311174")</f>
        <v>ictv.global=202311174</v>
      </c>
    </row>
    <row r="10205" spans="1:21">
      <c r="A10205">
        <v>10204</v>
      </c>
      <c r="B10205" s="30" t="s">
        <v>1226</v>
      </c>
      <c r="D10205" s="30" t="s">
        <v>2024</v>
      </c>
      <c r="F10205" s="30" t="s">
        <v>2046</v>
      </c>
      <c r="H10205" s="30" t="s">
        <v>2859</v>
      </c>
      <c r="J10205" s="30" t="s">
        <v>3390</v>
      </c>
      <c r="L10205" s="30" t="s">
        <v>3442</v>
      </c>
      <c r="N10205" s="30" t="s">
        <v>16354</v>
      </c>
      <c r="P10205" s="30" t="s">
        <v>16715</v>
      </c>
      <c r="Q10205" t="s">
        <v>621</v>
      </c>
      <c r="R10205" t="s">
        <v>918</v>
      </c>
      <c r="S10205">
        <v>39</v>
      </c>
      <c r="T10205" s="29" t="str">
        <f t="shared" si="425"/>
        <v>2023.001B.Leviviricetes_reorg.zip</v>
      </c>
      <c r="U10205" s="29" t="str">
        <f>HYPERLINK("https://ictv.global/taxonomy/taxondetails?taxnode_id=202311176","ictv.global=202311176")</f>
        <v>ictv.global=202311176</v>
      </c>
    </row>
    <row r="10206" spans="1:21">
      <c r="A10206">
        <v>10205</v>
      </c>
      <c r="B10206" s="30" t="s">
        <v>1226</v>
      </c>
      <c r="D10206" s="30" t="s">
        <v>2024</v>
      </c>
      <c r="F10206" s="30" t="s">
        <v>2046</v>
      </c>
      <c r="H10206" s="30" t="s">
        <v>2859</v>
      </c>
      <c r="J10206" s="30" t="s">
        <v>3390</v>
      </c>
      <c r="L10206" s="30" t="s">
        <v>3442</v>
      </c>
      <c r="N10206" s="30" t="s">
        <v>16354</v>
      </c>
      <c r="P10206" s="30" t="s">
        <v>16716</v>
      </c>
      <c r="Q10206" t="s">
        <v>621</v>
      </c>
      <c r="R10206" t="s">
        <v>918</v>
      </c>
      <c r="S10206">
        <v>39</v>
      </c>
      <c r="T10206" s="29" t="str">
        <f t="shared" si="425"/>
        <v>2023.001B.Leviviricetes_reorg.zip</v>
      </c>
      <c r="U10206" s="29" t="str">
        <f>HYPERLINK("https://ictv.global/taxonomy/taxondetails?taxnode_id=202311175","ictv.global=202311175")</f>
        <v>ictv.global=202311175</v>
      </c>
    </row>
    <row r="10207" spans="1:21">
      <c r="A10207">
        <v>10206</v>
      </c>
      <c r="B10207" s="30" t="s">
        <v>1226</v>
      </c>
      <c r="D10207" s="30" t="s">
        <v>2024</v>
      </c>
      <c r="F10207" s="30" t="s">
        <v>2046</v>
      </c>
      <c r="H10207" s="30" t="s">
        <v>2859</v>
      </c>
      <c r="J10207" s="30" t="s">
        <v>3390</v>
      </c>
      <c r="L10207" s="30" t="s">
        <v>3442</v>
      </c>
      <c r="N10207" s="30" t="s">
        <v>16354</v>
      </c>
      <c r="P10207" s="30" t="s">
        <v>16717</v>
      </c>
      <c r="Q10207" t="s">
        <v>621</v>
      </c>
      <c r="R10207" t="s">
        <v>918</v>
      </c>
      <c r="S10207">
        <v>39</v>
      </c>
      <c r="T10207" s="29" t="str">
        <f t="shared" si="425"/>
        <v>2023.001B.Leviviricetes_reorg.zip</v>
      </c>
      <c r="U10207" s="29" t="str">
        <f>HYPERLINK("https://ictv.global/taxonomy/taxondetails?taxnode_id=202311177","ictv.global=202311177")</f>
        <v>ictv.global=202311177</v>
      </c>
    </row>
    <row r="10208" spans="1:21">
      <c r="A10208">
        <v>10207</v>
      </c>
      <c r="B10208" s="30" t="s">
        <v>1226</v>
      </c>
      <c r="D10208" s="30" t="s">
        <v>2024</v>
      </c>
      <c r="F10208" s="30" t="s">
        <v>2046</v>
      </c>
      <c r="H10208" s="30" t="s">
        <v>2859</v>
      </c>
      <c r="J10208" s="30" t="s">
        <v>3390</v>
      </c>
      <c r="L10208" s="30" t="s">
        <v>3442</v>
      </c>
      <c r="N10208" s="30" t="s">
        <v>16354</v>
      </c>
      <c r="P10208" s="30" t="s">
        <v>16718</v>
      </c>
      <c r="Q10208" t="s">
        <v>621</v>
      </c>
      <c r="R10208" t="s">
        <v>918</v>
      </c>
      <c r="S10208">
        <v>39</v>
      </c>
      <c r="T10208" s="29" t="str">
        <f t="shared" si="425"/>
        <v>2023.001B.Leviviricetes_reorg.zip</v>
      </c>
      <c r="U10208" s="29" t="str">
        <f>HYPERLINK("https://ictv.global/taxonomy/taxondetails?taxnode_id=202311024","ictv.global=202311024")</f>
        <v>ictv.global=202311024</v>
      </c>
    </row>
    <row r="10209" spans="1:21">
      <c r="A10209">
        <v>10208</v>
      </c>
      <c r="B10209" s="30" t="s">
        <v>1226</v>
      </c>
      <c r="D10209" s="30" t="s">
        <v>2024</v>
      </c>
      <c r="F10209" s="30" t="s">
        <v>2046</v>
      </c>
      <c r="H10209" s="30" t="s">
        <v>2859</v>
      </c>
      <c r="J10209" s="30" t="s">
        <v>3390</v>
      </c>
      <c r="L10209" s="30" t="s">
        <v>3442</v>
      </c>
      <c r="N10209" s="30" t="s">
        <v>16354</v>
      </c>
      <c r="P10209" s="30" t="s">
        <v>16719</v>
      </c>
      <c r="Q10209" t="s">
        <v>621</v>
      </c>
      <c r="R10209" t="s">
        <v>918</v>
      </c>
      <c r="S10209">
        <v>39</v>
      </c>
      <c r="T10209" s="29" t="str">
        <f t="shared" si="425"/>
        <v>2023.001B.Leviviricetes_reorg.zip</v>
      </c>
      <c r="U10209" s="29" t="str">
        <f>HYPERLINK("https://ictv.global/taxonomy/taxondetails?taxnode_id=202311025","ictv.global=202311025")</f>
        <v>ictv.global=202311025</v>
      </c>
    </row>
    <row r="10210" spans="1:21">
      <c r="A10210">
        <v>10209</v>
      </c>
      <c r="B10210" s="30" t="s">
        <v>1226</v>
      </c>
      <c r="D10210" s="30" t="s">
        <v>2024</v>
      </c>
      <c r="F10210" s="30" t="s">
        <v>2046</v>
      </c>
      <c r="H10210" s="30" t="s">
        <v>2859</v>
      </c>
      <c r="J10210" s="30" t="s">
        <v>3390</v>
      </c>
      <c r="L10210" s="30" t="s">
        <v>3442</v>
      </c>
      <c r="N10210" s="30" t="s">
        <v>16354</v>
      </c>
      <c r="P10210" s="30" t="s">
        <v>16720</v>
      </c>
      <c r="Q10210" t="s">
        <v>621</v>
      </c>
      <c r="R10210" t="s">
        <v>917</v>
      </c>
      <c r="S10210">
        <v>39</v>
      </c>
      <c r="T10210" s="29" t="str">
        <f t="shared" si="425"/>
        <v>2023.001B.Leviviricetes_reorg.zip</v>
      </c>
      <c r="U10210" s="29" t="str">
        <f>HYPERLINK("https://ictv.global/taxonomy/taxondetails?taxnode_id=202317325","ictv.global=202317325")</f>
        <v>ictv.global=202317325</v>
      </c>
    </row>
    <row r="10211" spans="1:21">
      <c r="A10211">
        <v>10210</v>
      </c>
      <c r="B10211" s="30" t="s">
        <v>1226</v>
      </c>
      <c r="D10211" s="30" t="s">
        <v>2024</v>
      </c>
      <c r="F10211" s="30" t="s">
        <v>2046</v>
      </c>
      <c r="H10211" s="30" t="s">
        <v>2859</v>
      </c>
      <c r="J10211" s="30" t="s">
        <v>3390</v>
      </c>
      <c r="L10211" s="30" t="s">
        <v>3442</v>
      </c>
      <c r="N10211" s="30" t="s">
        <v>16354</v>
      </c>
      <c r="P10211" s="30" t="s">
        <v>16721</v>
      </c>
      <c r="Q10211" t="s">
        <v>621</v>
      </c>
      <c r="R10211" t="s">
        <v>917</v>
      </c>
      <c r="S10211">
        <v>39</v>
      </c>
      <c r="T10211" s="29" t="str">
        <f t="shared" si="425"/>
        <v>2023.001B.Leviviricetes_reorg.zip</v>
      </c>
      <c r="U10211" s="29" t="str">
        <f>HYPERLINK("https://ictv.global/taxonomy/taxondetails?taxnode_id=202317326","ictv.global=202317326")</f>
        <v>ictv.global=202317326</v>
      </c>
    </row>
    <row r="10212" spans="1:21">
      <c r="A10212">
        <v>10211</v>
      </c>
      <c r="B10212" s="30" t="s">
        <v>1226</v>
      </c>
      <c r="D10212" s="30" t="s">
        <v>2024</v>
      </c>
      <c r="F10212" s="30" t="s">
        <v>2046</v>
      </c>
      <c r="H10212" s="30" t="s">
        <v>2859</v>
      </c>
      <c r="J10212" s="30" t="s">
        <v>3390</v>
      </c>
      <c r="L10212" s="30" t="s">
        <v>3442</v>
      </c>
      <c r="N10212" s="30" t="s">
        <v>16354</v>
      </c>
      <c r="P10212" s="30" t="s">
        <v>16722</v>
      </c>
      <c r="Q10212" t="s">
        <v>621</v>
      </c>
      <c r="R10212" t="s">
        <v>917</v>
      </c>
      <c r="S10212">
        <v>39</v>
      </c>
      <c r="T10212" s="29" t="str">
        <f t="shared" si="425"/>
        <v>2023.001B.Leviviricetes_reorg.zip</v>
      </c>
      <c r="U10212" s="29" t="str">
        <f>HYPERLINK("https://ictv.global/taxonomy/taxondetails?taxnode_id=202317327","ictv.global=202317327")</f>
        <v>ictv.global=202317327</v>
      </c>
    </row>
    <row r="10213" spans="1:21">
      <c r="A10213">
        <v>10212</v>
      </c>
      <c r="B10213" s="30" t="s">
        <v>1226</v>
      </c>
      <c r="D10213" s="30" t="s">
        <v>2024</v>
      </c>
      <c r="F10213" s="30" t="s">
        <v>2046</v>
      </c>
      <c r="H10213" s="30" t="s">
        <v>2859</v>
      </c>
      <c r="J10213" s="30" t="s">
        <v>3390</v>
      </c>
      <c r="L10213" s="30" t="s">
        <v>3442</v>
      </c>
      <c r="N10213" s="30" t="s">
        <v>16354</v>
      </c>
      <c r="P10213" s="30" t="s">
        <v>16723</v>
      </c>
      <c r="Q10213" t="s">
        <v>621</v>
      </c>
      <c r="R10213" t="s">
        <v>917</v>
      </c>
      <c r="S10213">
        <v>39</v>
      </c>
      <c r="T10213" s="29" t="str">
        <f t="shared" si="425"/>
        <v>2023.001B.Leviviricetes_reorg.zip</v>
      </c>
      <c r="U10213" s="29" t="str">
        <f>HYPERLINK("https://ictv.global/taxonomy/taxondetails?taxnode_id=202317328","ictv.global=202317328")</f>
        <v>ictv.global=202317328</v>
      </c>
    </row>
    <row r="10214" spans="1:21">
      <c r="A10214">
        <v>10213</v>
      </c>
      <c r="B10214" s="30" t="s">
        <v>1226</v>
      </c>
      <c r="D10214" s="30" t="s">
        <v>2024</v>
      </c>
      <c r="F10214" s="30" t="s">
        <v>2046</v>
      </c>
      <c r="H10214" s="30" t="s">
        <v>2859</v>
      </c>
      <c r="J10214" s="30" t="s">
        <v>3390</v>
      </c>
      <c r="L10214" s="30" t="s">
        <v>3442</v>
      </c>
      <c r="N10214" s="30" t="s">
        <v>16354</v>
      </c>
      <c r="P10214" s="30" t="s">
        <v>16724</v>
      </c>
      <c r="Q10214" t="s">
        <v>621</v>
      </c>
      <c r="R10214" t="s">
        <v>917</v>
      </c>
      <c r="S10214">
        <v>39</v>
      </c>
      <c r="T10214" s="29" t="str">
        <f t="shared" si="425"/>
        <v>2023.001B.Leviviricetes_reorg.zip</v>
      </c>
      <c r="U10214" s="29" t="str">
        <f>HYPERLINK("https://ictv.global/taxonomy/taxondetails?taxnode_id=202317329","ictv.global=202317329")</f>
        <v>ictv.global=202317329</v>
      </c>
    </row>
    <row r="10215" spans="1:21">
      <c r="A10215">
        <v>10214</v>
      </c>
      <c r="B10215" s="30" t="s">
        <v>1226</v>
      </c>
      <c r="D10215" s="30" t="s">
        <v>2024</v>
      </c>
      <c r="F10215" s="30" t="s">
        <v>2046</v>
      </c>
      <c r="H10215" s="30" t="s">
        <v>2859</v>
      </c>
      <c r="J10215" s="30" t="s">
        <v>3390</v>
      </c>
      <c r="L10215" s="30" t="s">
        <v>3442</v>
      </c>
      <c r="N10215" s="30" t="s">
        <v>16354</v>
      </c>
      <c r="P10215" s="30" t="s">
        <v>16725</v>
      </c>
      <c r="Q10215" t="s">
        <v>621</v>
      </c>
      <c r="R10215" t="s">
        <v>917</v>
      </c>
      <c r="S10215">
        <v>39</v>
      </c>
      <c r="T10215" s="29" t="str">
        <f t="shared" si="425"/>
        <v>2023.001B.Leviviricetes_reorg.zip</v>
      </c>
      <c r="U10215" s="29" t="str">
        <f>HYPERLINK("https://ictv.global/taxonomy/taxondetails?taxnode_id=202317330","ictv.global=202317330")</f>
        <v>ictv.global=202317330</v>
      </c>
    </row>
    <row r="10216" spans="1:21">
      <c r="A10216">
        <v>10215</v>
      </c>
      <c r="B10216" s="30" t="s">
        <v>1226</v>
      </c>
      <c r="D10216" s="30" t="s">
        <v>2024</v>
      </c>
      <c r="F10216" s="30" t="s">
        <v>2046</v>
      </c>
      <c r="H10216" s="30" t="s">
        <v>2859</v>
      </c>
      <c r="J10216" s="30" t="s">
        <v>3390</v>
      </c>
      <c r="L10216" s="30" t="s">
        <v>3442</v>
      </c>
      <c r="N10216" s="30" t="s">
        <v>16354</v>
      </c>
      <c r="P10216" s="30" t="s">
        <v>16726</v>
      </c>
      <c r="Q10216" t="s">
        <v>621</v>
      </c>
      <c r="R10216" t="s">
        <v>917</v>
      </c>
      <c r="S10216">
        <v>39</v>
      </c>
      <c r="T10216" s="29" t="str">
        <f t="shared" si="425"/>
        <v>2023.001B.Leviviricetes_reorg.zip</v>
      </c>
      <c r="U10216" s="29" t="str">
        <f>HYPERLINK("https://ictv.global/taxonomy/taxondetails?taxnode_id=202317331","ictv.global=202317331")</f>
        <v>ictv.global=202317331</v>
      </c>
    </row>
    <row r="10217" spans="1:21">
      <c r="A10217">
        <v>10216</v>
      </c>
      <c r="B10217" s="30" t="s">
        <v>1226</v>
      </c>
      <c r="D10217" s="30" t="s">
        <v>2024</v>
      </c>
      <c r="F10217" s="30" t="s">
        <v>2046</v>
      </c>
      <c r="H10217" s="30" t="s">
        <v>2859</v>
      </c>
      <c r="J10217" s="30" t="s">
        <v>3390</v>
      </c>
      <c r="L10217" s="30" t="s">
        <v>3442</v>
      </c>
      <c r="N10217" s="30" t="s">
        <v>16354</v>
      </c>
      <c r="P10217" s="30" t="s">
        <v>16727</v>
      </c>
      <c r="Q10217" t="s">
        <v>621</v>
      </c>
      <c r="R10217" t="s">
        <v>917</v>
      </c>
      <c r="S10217">
        <v>39</v>
      </c>
      <c r="T10217" s="29" t="str">
        <f t="shared" si="425"/>
        <v>2023.001B.Leviviricetes_reorg.zip</v>
      </c>
      <c r="U10217" s="29" t="str">
        <f>HYPERLINK("https://ictv.global/taxonomy/taxondetails?taxnode_id=202317332","ictv.global=202317332")</f>
        <v>ictv.global=202317332</v>
      </c>
    </row>
    <row r="10218" spans="1:21">
      <c r="A10218">
        <v>10217</v>
      </c>
      <c r="B10218" s="30" t="s">
        <v>1226</v>
      </c>
      <c r="D10218" s="30" t="s">
        <v>2024</v>
      </c>
      <c r="F10218" s="30" t="s">
        <v>2046</v>
      </c>
      <c r="H10218" s="30" t="s">
        <v>2859</v>
      </c>
      <c r="J10218" s="30" t="s">
        <v>3390</v>
      </c>
      <c r="L10218" s="30" t="s">
        <v>3442</v>
      </c>
      <c r="N10218" s="30" t="s">
        <v>16354</v>
      </c>
      <c r="P10218" s="30" t="s">
        <v>16728</v>
      </c>
      <c r="Q10218" t="s">
        <v>621</v>
      </c>
      <c r="R10218" t="s">
        <v>917</v>
      </c>
      <c r="S10218">
        <v>39</v>
      </c>
      <c r="T10218" s="29" t="str">
        <f t="shared" si="425"/>
        <v>2023.001B.Leviviricetes_reorg.zip</v>
      </c>
      <c r="U10218" s="29" t="str">
        <f>HYPERLINK("https://ictv.global/taxonomy/taxondetails?taxnode_id=202317333","ictv.global=202317333")</f>
        <v>ictv.global=202317333</v>
      </c>
    </row>
    <row r="10219" spans="1:21">
      <c r="A10219">
        <v>10218</v>
      </c>
      <c r="B10219" s="30" t="s">
        <v>1226</v>
      </c>
      <c r="D10219" s="30" t="s">
        <v>2024</v>
      </c>
      <c r="F10219" s="30" t="s">
        <v>2046</v>
      </c>
      <c r="H10219" s="30" t="s">
        <v>2859</v>
      </c>
      <c r="J10219" s="30" t="s">
        <v>3390</v>
      </c>
      <c r="L10219" s="30" t="s">
        <v>3442</v>
      </c>
      <c r="N10219" s="30" t="s">
        <v>16354</v>
      </c>
      <c r="P10219" s="30" t="s">
        <v>16729</v>
      </c>
      <c r="Q10219" t="s">
        <v>621</v>
      </c>
      <c r="R10219" t="s">
        <v>917</v>
      </c>
      <c r="S10219">
        <v>39</v>
      </c>
      <c r="T10219" s="29" t="str">
        <f t="shared" si="425"/>
        <v>2023.001B.Leviviricetes_reorg.zip</v>
      </c>
      <c r="U10219" s="29" t="str">
        <f>HYPERLINK("https://ictv.global/taxonomy/taxondetails?taxnode_id=202317334","ictv.global=202317334")</f>
        <v>ictv.global=202317334</v>
      </c>
    </row>
    <row r="10220" spans="1:21">
      <c r="A10220">
        <v>10219</v>
      </c>
      <c r="B10220" s="30" t="s">
        <v>1226</v>
      </c>
      <c r="D10220" s="30" t="s">
        <v>2024</v>
      </c>
      <c r="F10220" s="30" t="s">
        <v>2046</v>
      </c>
      <c r="H10220" s="30" t="s">
        <v>2859</v>
      </c>
      <c r="J10220" s="30" t="s">
        <v>3390</v>
      </c>
      <c r="L10220" s="30" t="s">
        <v>3442</v>
      </c>
      <c r="N10220" s="30" t="s">
        <v>16354</v>
      </c>
      <c r="P10220" s="30" t="s">
        <v>16730</v>
      </c>
      <c r="Q10220" t="s">
        <v>621</v>
      </c>
      <c r="R10220" t="s">
        <v>917</v>
      </c>
      <c r="S10220">
        <v>39</v>
      </c>
      <c r="T10220" s="29" t="str">
        <f t="shared" si="425"/>
        <v>2023.001B.Leviviricetes_reorg.zip</v>
      </c>
      <c r="U10220" s="29" t="str">
        <f>HYPERLINK("https://ictv.global/taxonomy/taxondetails?taxnode_id=202317335","ictv.global=202317335")</f>
        <v>ictv.global=202317335</v>
      </c>
    </row>
    <row r="10221" spans="1:21">
      <c r="A10221">
        <v>10220</v>
      </c>
      <c r="B10221" s="30" t="s">
        <v>1226</v>
      </c>
      <c r="D10221" s="30" t="s">
        <v>2024</v>
      </c>
      <c r="F10221" s="30" t="s">
        <v>2046</v>
      </c>
      <c r="H10221" s="30" t="s">
        <v>2859</v>
      </c>
      <c r="J10221" s="30" t="s">
        <v>3390</v>
      </c>
      <c r="L10221" s="30" t="s">
        <v>3442</v>
      </c>
      <c r="N10221" s="30" t="s">
        <v>16354</v>
      </c>
      <c r="P10221" s="30" t="s">
        <v>16731</v>
      </c>
      <c r="Q10221" t="s">
        <v>621</v>
      </c>
      <c r="R10221" t="s">
        <v>917</v>
      </c>
      <c r="S10221">
        <v>39</v>
      </c>
      <c r="T10221" s="29" t="str">
        <f t="shared" si="425"/>
        <v>2023.001B.Leviviricetes_reorg.zip</v>
      </c>
      <c r="U10221" s="29" t="str">
        <f>HYPERLINK("https://ictv.global/taxonomy/taxondetails?taxnode_id=202317336","ictv.global=202317336")</f>
        <v>ictv.global=202317336</v>
      </c>
    </row>
    <row r="10222" spans="1:21">
      <c r="A10222">
        <v>10221</v>
      </c>
      <c r="B10222" s="30" t="s">
        <v>1226</v>
      </c>
      <c r="D10222" s="30" t="s">
        <v>2024</v>
      </c>
      <c r="F10222" s="30" t="s">
        <v>2046</v>
      </c>
      <c r="H10222" s="30" t="s">
        <v>2859</v>
      </c>
      <c r="J10222" s="30" t="s">
        <v>3390</v>
      </c>
      <c r="L10222" s="30" t="s">
        <v>3442</v>
      </c>
      <c r="N10222" s="30" t="s">
        <v>16354</v>
      </c>
      <c r="P10222" s="30" t="s">
        <v>16732</v>
      </c>
      <c r="Q10222" t="s">
        <v>621</v>
      </c>
      <c r="R10222" t="s">
        <v>917</v>
      </c>
      <c r="S10222">
        <v>39</v>
      </c>
      <c r="T10222" s="29" t="str">
        <f t="shared" si="425"/>
        <v>2023.001B.Leviviricetes_reorg.zip</v>
      </c>
      <c r="U10222" s="29" t="str">
        <f>HYPERLINK("https://ictv.global/taxonomy/taxondetails?taxnode_id=202317337","ictv.global=202317337")</f>
        <v>ictv.global=202317337</v>
      </c>
    </row>
    <row r="10223" spans="1:21">
      <c r="A10223">
        <v>10222</v>
      </c>
      <c r="B10223" s="30" t="s">
        <v>1226</v>
      </c>
      <c r="D10223" s="30" t="s">
        <v>2024</v>
      </c>
      <c r="F10223" s="30" t="s">
        <v>2046</v>
      </c>
      <c r="H10223" s="30" t="s">
        <v>2859</v>
      </c>
      <c r="J10223" s="30" t="s">
        <v>3390</v>
      </c>
      <c r="L10223" s="30" t="s">
        <v>3442</v>
      </c>
      <c r="N10223" s="30" t="s">
        <v>16354</v>
      </c>
      <c r="P10223" s="30" t="s">
        <v>16733</v>
      </c>
      <c r="Q10223" t="s">
        <v>621</v>
      </c>
      <c r="R10223" t="s">
        <v>917</v>
      </c>
      <c r="S10223">
        <v>39</v>
      </c>
      <c r="T10223" s="29" t="str">
        <f t="shared" si="425"/>
        <v>2023.001B.Leviviricetes_reorg.zip</v>
      </c>
      <c r="U10223" s="29" t="str">
        <f>HYPERLINK("https://ictv.global/taxonomy/taxondetails?taxnode_id=202317338","ictv.global=202317338")</f>
        <v>ictv.global=202317338</v>
      </c>
    </row>
    <row r="10224" spans="1:21">
      <c r="A10224">
        <v>10223</v>
      </c>
      <c r="B10224" s="30" t="s">
        <v>1226</v>
      </c>
      <c r="D10224" s="30" t="s">
        <v>2024</v>
      </c>
      <c r="F10224" s="30" t="s">
        <v>2046</v>
      </c>
      <c r="H10224" s="30" t="s">
        <v>2859</v>
      </c>
      <c r="J10224" s="30" t="s">
        <v>3390</v>
      </c>
      <c r="L10224" s="30" t="s">
        <v>3442</v>
      </c>
      <c r="N10224" s="30" t="s">
        <v>16354</v>
      </c>
      <c r="P10224" s="30" t="s">
        <v>16734</v>
      </c>
      <c r="Q10224" t="s">
        <v>621</v>
      </c>
      <c r="R10224" t="s">
        <v>917</v>
      </c>
      <c r="S10224">
        <v>39</v>
      </c>
      <c r="T10224" s="29" t="str">
        <f t="shared" si="425"/>
        <v>2023.001B.Leviviricetes_reorg.zip</v>
      </c>
      <c r="U10224" s="29" t="str">
        <f>HYPERLINK("https://ictv.global/taxonomy/taxondetails?taxnode_id=202317339","ictv.global=202317339")</f>
        <v>ictv.global=202317339</v>
      </c>
    </row>
    <row r="10225" spans="1:21">
      <c r="A10225">
        <v>10224</v>
      </c>
      <c r="B10225" s="30" t="s">
        <v>1226</v>
      </c>
      <c r="D10225" s="30" t="s">
        <v>2024</v>
      </c>
      <c r="F10225" s="30" t="s">
        <v>2046</v>
      </c>
      <c r="H10225" s="30" t="s">
        <v>2859</v>
      </c>
      <c r="J10225" s="30" t="s">
        <v>3390</v>
      </c>
      <c r="L10225" s="30" t="s">
        <v>3442</v>
      </c>
      <c r="N10225" s="30" t="s">
        <v>16354</v>
      </c>
      <c r="P10225" s="30" t="s">
        <v>16735</v>
      </c>
      <c r="Q10225" t="s">
        <v>621</v>
      </c>
      <c r="R10225" t="s">
        <v>917</v>
      </c>
      <c r="S10225">
        <v>39</v>
      </c>
      <c r="T10225" s="29" t="str">
        <f t="shared" si="425"/>
        <v>2023.001B.Leviviricetes_reorg.zip</v>
      </c>
      <c r="U10225" s="29" t="str">
        <f>HYPERLINK("https://ictv.global/taxonomy/taxondetails?taxnode_id=202317340","ictv.global=202317340")</f>
        <v>ictv.global=202317340</v>
      </c>
    </row>
    <row r="10226" spans="1:21">
      <c r="A10226">
        <v>10225</v>
      </c>
      <c r="B10226" s="30" t="s">
        <v>1226</v>
      </c>
      <c r="D10226" s="30" t="s">
        <v>2024</v>
      </c>
      <c r="F10226" s="30" t="s">
        <v>2046</v>
      </c>
      <c r="H10226" s="30" t="s">
        <v>2859</v>
      </c>
      <c r="J10226" s="30" t="s">
        <v>3390</v>
      </c>
      <c r="L10226" s="30" t="s">
        <v>3442</v>
      </c>
      <c r="N10226" s="30" t="s">
        <v>16354</v>
      </c>
      <c r="P10226" s="30" t="s">
        <v>16736</v>
      </c>
      <c r="Q10226" t="s">
        <v>621</v>
      </c>
      <c r="R10226" t="s">
        <v>917</v>
      </c>
      <c r="S10226">
        <v>39</v>
      </c>
      <c r="T10226" s="29" t="str">
        <f t="shared" si="425"/>
        <v>2023.001B.Leviviricetes_reorg.zip</v>
      </c>
      <c r="U10226" s="29" t="str">
        <f>HYPERLINK("https://ictv.global/taxonomy/taxondetails?taxnode_id=202317341","ictv.global=202317341")</f>
        <v>ictv.global=202317341</v>
      </c>
    </row>
    <row r="10227" spans="1:21">
      <c r="A10227">
        <v>10226</v>
      </c>
      <c r="B10227" s="30" t="s">
        <v>1226</v>
      </c>
      <c r="D10227" s="30" t="s">
        <v>2024</v>
      </c>
      <c r="F10227" s="30" t="s">
        <v>2046</v>
      </c>
      <c r="H10227" s="30" t="s">
        <v>2859</v>
      </c>
      <c r="J10227" s="30" t="s">
        <v>3390</v>
      </c>
      <c r="L10227" s="30" t="s">
        <v>3442</v>
      </c>
      <c r="N10227" s="30" t="s">
        <v>16354</v>
      </c>
      <c r="P10227" s="30" t="s">
        <v>16737</v>
      </c>
      <c r="Q10227" t="s">
        <v>621</v>
      </c>
      <c r="R10227" t="s">
        <v>917</v>
      </c>
      <c r="S10227">
        <v>39</v>
      </c>
      <c r="T10227" s="29" t="str">
        <f t="shared" si="425"/>
        <v>2023.001B.Leviviricetes_reorg.zip</v>
      </c>
      <c r="U10227" s="29" t="str">
        <f>HYPERLINK("https://ictv.global/taxonomy/taxondetails?taxnode_id=202317342","ictv.global=202317342")</f>
        <v>ictv.global=202317342</v>
      </c>
    </row>
    <row r="10228" spans="1:21">
      <c r="A10228">
        <v>10227</v>
      </c>
      <c r="B10228" s="30" t="s">
        <v>1226</v>
      </c>
      <c r="D10228" s="30" t="s">
        <v>2024</v>
      </c>
      <c r="F10228" s="30" t="s">
        <v>2046</v>
      </c>
      <c r="H10228" s="30" t="s">
        <v>2859</v>
      </c>
      <c r="J10228" s="30" t="s">
        <v>3390</v>
      </c>
      <c r="L10228" s="30" t="s">
        <v>3442</v>
      </c>
      <c r="N10228" s="30" t="s">
        <v>16354</v>
      </c>
      <c r="P10228" s="30" t="s">
        <v>16738</v>
      </c>
      <c r="Q10228" t="s">
        <v>621</v>
      </c>
      <c r="R10228" t="s">
        <v>917</v>
      </c>
      <c r="S10228">
        <v>39</v>
      </c>
      <c r="T10228" s="29" t="str">
        <f t="shared" si="425"/>
        <v>2023.001B.Leviviricetes_reorg.zip</v>
      </c>
      <c r="U10228" s="29" t="str">
        <f>HYPERLINK("https://ictv.global/taxonomy/taxondetails?taxnode_id=202317343","ictv.global=202317343")</f>
        <v>ictv.global=202317343</v>
      </c>
    </row>
    <row r="10229" spans="1:21">
      <c r="A10229">
        <v>10228</v>
      </c>
      <c r="B10229" s="30" t="s">
        <v>1226</v>
      </c>
      <c r="D10229" s="30" t="s">
        <v>2024</v>
      </c>
      <c r="F10229" s="30" t="s">
        <v>2046</v>
      </c>
      <c r="H10229" s="30" t="s">
        <v>2859</v>
      </c>
      <c r="J10229" s="30" t="s">
        <v>3390</v>
      </c>
      <c r="L10229" s="30" t="s">
        <v>3442</v>
      </c>
      <c r="N10229" s="30" t="s">
        <v>16354</v>
      </c>
      <c r="P10229" s="30" t="s">
        <v>16739</v>
      </c>
      <c r="Q10229" t="s">
        <v>621</v>
      </c>
      <c r="R10229" t="s">
        <v>917</v>
      </c>
      <c r="S10229">
        <v>39</v>
      </c>
      <c r="T10229" s="29" t="str">
        <f t="shared" si="425"/>
        <v>2023.001B.Leviviricetes_reorg.zip</v>
      </c>
      <c r="U10229" s="29" t="str">
        <f>HYPERLINK("https://ictv.global/taxonomy/taxondetails?taxnode_id=202317344","ictv.global=202317344")</f>
        <v>ictv.global=202317344</v>
      </c>
    </row>
    <row r="10230" spans="1:21">
      <c r="A10230">
        <v>10229</v>
      </c>
      <c r="B10230" s="30" t="s">
        <v>1226</v>
      </c>
      <c r="D10230" s="30" t="s">
        <v>2024</v>
      </c>
      <c r="F10230" s="30" t="s">
        <v>2046</v>
      </c>
      <c r="H10230" s="30" t="s">
        <v>2859</v>
      </c>
      <c r="J10230" s="30" t="s">
        <v>3390</v>
      </c>
      <c r="L10230" s="30" t="s">
        <v>3442</v>
      </c>
      <c r="N10230" s="30" t="s">
        <v>16354</v>
      </c>
      <c r="P10230" s="30" t="s">
        <v>16740</v>
      </c>
      <c r="Q10230" t="s">
        <v>621</v>
      </c>
      <c r="R10230" t="s">
        <v>917</v>
      </c>
      <c r="S10230">
        <v>39</v>
      </c>
      <c r="T10230" s="29" t="str">
        <f t="shared" si="425"/>
        <v>2023.001B.Leviviricetes_reorg.zip</v>
      </c>
      <c r="U10230" s="29" t="str">
        <f>HYPERLINK("https://ictv.global/taxonomy/taxondetails?taxnode_id=202317345","ictv.global=202317345")</f>
        <v>ictv.global=202317345</v>
      </c>
    </row>
    <row r="10231" spans="1:21">
      <c r="A10231">
        <v>10230</v>
      </c>
      <c r="B10231" s="30" t="s">
        <v>1226</v>
      </c>
      <c r="D10231" s="30" t="s">
        <v>2024</v>
      </c>
      <c r="F10231" s="30" t="s">
        <v>2046</v>
      </c>
      <c r="H10231" s="30" t="s">
        <v>2859</v>
      </c>
      <c r="J10231" s="30" t="s">
        <v>3390</v>
      </c>
      <c r="L10231" s="30" t="s">
        <v>3442</v>
      </c>
      <c r="N10231" s="30" t="s">
        <v>16354</v>
      </c>
      <c r="P10231" s="30" t="s">
        <v>16741</v>
      </c>
      <c r="Q10231" t="s">
        <v>621</v>
      </c>
      <c r="R10231" t="s">
        <v>917</v>
      </c>
      <c r="S10231">
        <v>39</v>
      </c>
      <c r="T10231" s="29" t="str">
        <f t="shared" si="425"/>
        <v>2023.001B.Leviviricetes_reorg.zip</v>
      </c>
      <c r="U10231" s="29" t="str">
        <f>HYPERLINK("https://ictv.global/taxonomy/taxondetails?taxnode_id=202317346","ictv.global=202317346")</f>
        <v>ictv.global=202317346</v>
      </c>
    </row>
    <row r="10232" spans="1:21">
      <c r="A10232">
        <v>10231</v>
      </c>
      <c r="B10232" s="30" t="s">
        <v>1226</v>
      </c>
      <c r="D10232" s="30" t="s">
        <v>2024</v>
      </c>
      <c r="F10232" s="30" t="s">
        <v>2046</v>
      </c>
      <c r="H10232" s="30" t="s">
        <v>2859</v>
      </c>
      <c r="J10232" s="30" t="s">
        <v>3390</v>
      </c>
      <c r="L10232" s="30" t="s">
        <v>3442</v>
      </c>
      <c r="N10232" s="30" t="s">
        <v>16354</v>
      </c>
      <c r="P10232" s="30" t="s">
        <v>16742</v>
      </c>
      <c r="Q10232" t="s">
        <v>621</v>
      </c>
      <c r="R10232" t="s">
        <v>917</v>
      </c>
      <c r="S10232">
        <v>39</v>
      </c>
      <c r="T10232" s="29" t="str">
        <f t="shared" si="425"/>
        <v>2023.001B.Leviviricetes_reorg.zip</v>
      </c>
      <c r="U10232" s="29" t="str">
        <f>HYPERLINK("https://ictv.global/taxonomy/taxondetails?taxnode_id=202317347","ictv.global=202317347")</f>
        <v>ictv.global=202317347</v>
      </c>
    </row>
    <row r="10233" spans="1:21">
      <c r="A10233">
        <v>10232</v>
      </c>
      <c r="B10233" s="30" t="s">
        <v>1226</v>
      </c>
      <c r="D10233" s="30" t="s">
        <v>2024</v>
      </c>
      <c r="F10233" s="30" t="s">
        <v>2046</v>
      </c>
      <c r="H10233" s="30" t="s">
        <v>2859</v>
      </c>
      <c r="J10233" s="30" t="s">
        <v>3390</v>
      </c>
      <c r="L10233" s="30" t="s">
        <v>3442</v>
      </c>
      <c r="N10233" s="30" t="s">
        <v>16354</v>
      </c>
      <c r="P10233" s="30" t="s">
        <v>16743</v>
      </c>
      <c r="Q10233" t="s">
        <v>621</v>
      </c>
      <c r="R10233" t="s">
        <v>917</v>
      </c>
      <c r="S10233">
        <v>39</v>
      </c>
      <c r="T10233" s="29" t="str">
        <f t="shared" si="425"/>
        <v>2023.001B.Leviviricetes_reorg.zip</v>
      </c>
      <c r="U10233" s="29" t="str">
        <f>HYPERLINK("https://ictv.global/taxonomy/taxondetails?taxnode_id=202317348","ictv.global=202317348")</f>
        <v>ictv.global=202317348</v>
      </c>
    </row>
    <row r="10234" spans="1:21">
      <c r="A10234">
        <v>10233</v>
      </c>
      <c r="B10234" s="30" t="s">
        <v>1226</v>
      </c>
      <c r="D10234" s="30" t="s">
        <v>2024</v>
      </c>
      <c r="F10234" s="30" t="s">
        <v>2046</v>
      </c>
      <c r="H10234" s="30" t="s">
        <v>2859</v>
      </c>
      <c r="J10234" s="30" t="s">
        <v>3390</v>
      </c>
      <c r="L10234" s="30" t="s">
        <v>3442</v>
      </c>
      <c r="N10234" s="30" t="s">
        <v>16354</v>
      </c>
      <c r="P10234" s="30" t="s">
        <v>16744</v>
      </c>
      <c r="Q10234" t="s">
        <v>621</v>
      </c>
      <c r="R10234" t="s">
        <v>917</v>
      </c>
      <c r="S10234">
        <v>39</v>
      </c>
      <c r="T10234" s="29" t="str">
        <f t="shared" si="425"/>
        <v>2023.001B.Leviviricetes_reorg.zip</v>
      </c>
      <c r="U10234" s="29" t="str">
        <f>HYPERLINK("https://ictv.global/taxonomy/taxondetails?taxnode_id=202317349","ictv.global=202317349")</f>
        <v>ictv.global=202317349</v>
      </c>
    </row>
    <row r="10235" spans="1:21">
      <c r="A10235">
        <v>10234</v>
      </c>
      <c r="B10235" s="30" t="s">
        <v>1226</v>
      </c>
      <c r="D10235" s="30" t="s">
        <v>2024</v>
      </c>
      <c r="F10235" s="30" t="s">
        <v>2046</v>
      </c>
      <c r="H10235" s="30" t="s">
        <v>2859</v>
      </c>
      <c r="J10235" s="30" t="s">
        <v>3390</v>
      </c>
      <c r="L10235" s="30" t="s">
        <v>3442</v>
      </c>
      <c r="N10235" s="30" t="s">
        <v>16354</v>
      </c>
      <c r="P10235" s="30" t="s">
        <v>16745</v>
      </c>
      <c r="Q10235" t="s">
        <v>621</v>
      </c>
      <c r="R10235" t="s">
        <v>917</v>
      </c>
      <c r="S10235">
        <v>39</v>
      </c>
      <c r="T10235" s="29" t="str">
        <f t="shared" si="425"/>
        <v>2023.001B.Leviviricetes_reorg.zip</v>
      </c>
      <c r="U10235" s="29" t="str">
        <f>HYPERLINK("https://ictv.global/taxonomy/taxondetails?taxnode_id=202317350","ictv.global=202317350")</f>
        <v>ictv.global=202317350</v>
      </c>
    </row>
    <row r="10236" spans="1:21">
      <c r="A10236">
        <v>10235</v>
      </c>
      <c r="B10236" s="30" t="s">
        <v>1226</v>
      </c>
      <c r="D10236" s="30" t="s">
        <v>2024</v>
      </c>
      <c r="F10236" s="30" t="s">
        <v>2046</v>
      </c>
      <c r="H10236" s="30" t="s">
        <v>2859</v>
      </c>
      <c r="J10236" s="30" t="s">
        <v>3390</v>
      </c>
      <c r="L10236" s="30" t="s">
        <v>3442</v>
      </c>
      <c r="N10236" s="30" t="s">
        <v>16354</v>
      </c>
      <c r="P10236" s="30" t="s">
        <v>16746</v>
      </c>
      <c r="Q10236" t="s">
        <v>621</v>
      </c>
      <c r="R10236" t="s">
        <v>917</v>
      </c>
      <c r="S10236">
        <v>39</v>
      </c>
      <c r="T10236" s="29" t="str">
        <f t="shared" si="425"/>
        <v>2023.001B.Leviviricetes_reorg.zip</v>
      </c>
      <c r="U10236" s="29" t="str">
        <f>HYPERLINK("https://ictv.global/taxonomy/taxondetails?taxnode_id=202317351","ictv.global=202317351")</f>
        <v>ictv.global=202317351</v>
      </c>
    </row>
    <row r="10237" spans="1:21">
      <c r="A10237">
        <v>10236</v>
      </c>
      <c r="B10237" s="30" t="s">
        <v>1226</v>
      </c>
      <c r="D10237" s="30" t="s">
        <v>2024</v>
      </c>
      <c r="F10237" s="30" t="s">
        <v>2046</v>
      </c>
      <c r="H10237" s="30" t="s">
        <v>2859</v>
      </c>
      <c r="J10237" s="30" t="s">
        <v>3390</v>
      </c>
      <c r="L10237" s="30" t="s">
        <v>3442</v>
      </c>
      <c r="N10237" s="30" t="s">
        <v>16354</v>
      </c>
      <c r="P10237" s="30" t="s">
        <v>16747</v>
      </c>
      <c r="Q10237" t="s">
        <v>621</v>
      </c>
      <c r="R10237" t="s">
        <v>917</v>
      </c>
      <c r="S10237">
        <v>39</v>
      </c>
      <c r="T10237" s="29" t="str">
        <f t="shared" si="425"/>
        <v>2023.001B.Leviviricetes_reorg.zip</v>
      </c>
      <c r="U10237" s="29" t="str">
        <f>HYPERLINK("https://ictv.global/taxonomy/taxondetails?taxnode_id=202317352","ictv.global=202317352")</f>
        <v>ictv.global=202317352</v>
      </c>
    </row>
    <row r="10238" spans="1:21">
      <c r="A10238">
        <v>10237</v>
      </c>
      <c r="B10238" s="30" t="s">
        <v>1226</v>
      </c>
      <c r="D10238" s="30" t="s">
        <v>2024</v>
      </c>
      <c r="F10238" s="30" t="s">
        <v>2046</v>
      </c>
      <c r="H10238" s="30" t="s">
        <v>2859</v>
      </c>
      <c r="J10238" s="30" t="s">
        <v>3390</v>
      </c>
      <c r="L10238" s="30" t="s">
        <v>3442</v>
      </c>
      <c r="N10238" s="30" t="s">
        <v>16354</v>
      </c>
      <c r="P10238" s="30" t="s">
        <v>16748</v>
      </c>
      <c r="Q10238" t="s">
        <v>621</v>
      </c>
      <c r="R10238" t="s">
        <v>917</v>
      </c>
      <c r="S10238">
        <v>39</v>
      </c>
      <c r="T10238" s="29" t="str">
        <f t="shared" si="425"/>
        <v>2023.001B.Leviviricetes_reorg.zip</v>
      </c>
      <c r="U10238" s="29" t="str">
        <f>HYPERLINK("https://ictv.global/taxonomy/taxondetails?taxnode_id=202317353","ictv.global=202317353")</f>
        <v>ictv.global=202317353</v>
      </c>
    </row>
    <row r="10239" spans="1:21">
      <c r="A10239">
        <v>10238</v>
      </c>
      <c r="B10239" s="30" t="s">
        <v>1226</v>
      </c>
      <c r="D10239" s="30" t="s">
        <v>2024</v>
      </c>
      <c r="F10239" s="30" t="s">
        <v>2046</v>
      </c>
      <c r="H10239" s="30" t="s">
        <v>2859</v>
      </c>
      <c r="J10239" s="30" t="s">
        <v>3390</v>
      </c>
      <c r="L10239" s="30" t="s">
        <v>3442</v>
      </c>
      <c r="N10239" s="30" t="s">
        <v>16354</v>
      </c>
      <c r="P10239" s="30" t="s">
        <v>16749</v>
      </c>
      <c r="Q10239" t="s">
        <v>621</v>
      </c>
      <c r="R10239" t="s">
        <v>917</v>
      </c>
      <c r="S10239">
        <v>39</v>
      </c>
      <c r="T10239" s="29" t="str">
        <f t="shared" si="425"/>
        <v>2023.001B.Leviviricetes_reorg.zip</v>
      </c>
      <c r="U10239" s="29" t="str">
        <f>HYPERLINK("https://ictv.global/taxonomy/taxondetails?taxnode_id=202317354","ictv.global=202317354")</f>
        <v>ictv.global=202317354</v>
      </c>
    </row>
    <row r="10240" spans="1:21">
      <c r="A10240">
        <v>10239</v>
      </c>
      <c r="B10240" s="30" t="s">
        <v>1226</v>
      </c>
      <c r="D10240" s="30" t="s">
        <v>2024</v>
      </c>
      <c r="F10240" s="30" t="s">
        <v>2046</v>
      </c>
      <c r="H10240" s="30" t="s">
        <v>2859</v>
      </c>
      <c r="J10240" s="30" t="s">
        <v>3390</v>
      </c>
      <c r="L10240" s="30" t="s">
        <v>3442</v>
      </c>
      <c r="N10240" s="30" t="s">
        <v>16354</v>
      </c>
      <c r="P10240" s="30" t="s">
        <v>16750</v>
      </c>
      <c r="Q10240" t="s">
        <v>621</v>
      </c>
      <c r="R10240" t="s">
        <v>917</v>
      </c>
      <c r="S10240">
        <v>39</v>
      </c>
      <c r="T10240" s="29" t="str">
        <f t="shared" si="425"/>
        <v>2023.001B.Leviviricetes_reorg.zip</v>
      </c>
      <c r="U10240" s="29" t="str">
        <f>HYPERLINK("https://ictv.global/taxonomy/taxondetails?taxnode_id=202317355","ictv.global=202317355")</f>
        <v>ictv.global=202317355</v>
      </c>
    </row>
    <row r="10241" spans="1:21">
      <c r="A10241">
        <v>10240</v>
      </c>
      <c r="B10241" s="30" t="s">
        <v>1226</v>
      </c>
      <c r="D10241" s="30" t="s">
        <v>2024</v>
      </c>
      <c r="F10241" s="30" t="s">
        <v>2046</v>
      </c>
      <c r="H10241" s="30" t="s">
        <v>2859</v>
      </c>
      <c r="J10241" s="30" t="s">
        <v>3390</v>
      </c>
      <c r="L10241" s="30" t="s">
        <v>3442</v>
      </c>
      <c r="N10241" s="30" t="s">
        <v>16354</v>
      </c>
      <c r="P10241" s="30" t="s">
        <v>16751</v>
      </c>
      <c r="Q10241" t="s">
        <v>621</v>
      </c>
      <c r="R10241" t="s">
        <v>917</v>
      </c>
      <c r="S10241">
        <v>39</v>
      </c>
      <c r="T10241" s="29" t="str">
        <f t="shared" si="425"/>
        <v>2023.001B.Leviviricetes_reorg.zip</v>
      </c>
      <c r="U10241" s="29" t="str">
        <f>HYPERLINK("https://ictv.global/taxonomy/taxondetails?taxnode_id=202317356","ictv.global=202317356")</f>
        <v>ictv.global=202317356</v>
      </c>
    </row>
    <row r="10242" spans="1:21">
      <c r="A10242">
        <v>10241</v>
      </c>
      <c r="B10242" s="30" t="s">
        <v>1226</v>
      </c>
      <c r="D10242" s="30" t="s">
        <v>2024</v>
      </c>
      <c r="F10242" s="30" t="s">
        <v>2046</v>
      </c>
      <c r="H10242" s="30" t="s">
        <v>2859</v>
      </c>
      <c r="J10242" s="30" t="s">
        <v>3390</v>
      </c>
      <c r="L10242" s="30" t="s">
        <v>3442</v>
      </c>
      <c r="N10242" s="30" t="s">
        <v>16354</v>
      </c>
      <c r="P10242" s="30" t="s">
        <v>16752</v>
      </c>
      <c r="Q10242" t="s">
        <v>621</v>
      </c>
      <c r="R10242" t="s">
        <v>917</v>
      </c>
      <c r="S10242">
        <v>39</v>
      </c>
      <c r="T10242" s="29" t="str">
        <f t="shared" si="425"/>
        <v>2023.001B.Leviviricetes_reorg.zip</v>
      </c>
      <c r="U10242" s="29" t="str">
        <f>HYPERLINK("https://ictv.global/taxonomy/taxondetails?taxnode_id=202317357","ictv.global=202317357")</f>
        <v>ictv.global=202317357</v>
      </c>
    </row>
    <row r="10243" spans="1:21">
      <c r="A10243">
        <v>10242</v>
      </c>
      <c r="B10243" s="30" t="s">
        <v>1226</v>
      </c>
      <c r="D10243" s="30" t="s">
        <v>2024</v>
      </c>
      <c r="F10243" s="30" t="s">
        <v>2046</v>
      </c>
      <c r="H10243" s="30" t="s">
        <v>2859</v>
      </c>
      <c r="J10243" s="30" t="s">
        <v>3390</v>
      </c>
      <c r="L10243" s="30" t="s">
        <v>3442</v>
      </c>
      <c r="N10243" s="30" t="s">
        <v>16354</v>
      </c>
      <c r="P10243" s="30" t="s">
        <v>16753</v>
      </c>
      <c r="Q10243" t="s">
        <v>621</v>
      </c>
      <c r="R10243" t="s">
        <v>917</v>
      </c>
      <c r="S10243">
        <v>39</v>
      </c>
      <c r="T10243" s="29" t="str">
        <f t="shared" si="425"/>
        <v>2023.001B.Leviviricetes_reorg.zip</v>
      </c>
      <c r="U10243" s="29" t="str">
        <f>HYPERLINK("https://ictv.global/taxonomy/taxondetails?taxnode_id=202317358","ictv.global=202317358")</f>
        <v>ictv.global=202317358</v>
      </c>
    </row>
    <row r="10244" spans="1:21">
      <c r="A10244">
        <v>10243</v>
      </c>
      <c r="B10244" s="30" t="s">
        <v>1226</v>
      </c>
      <c r="D10244" s="30" t="s">
        <v>2024</v>
      </c>
      <c r="F10244" s="30" t="s">
        <v>2046</v>
      </c>
      <c r="H10244" s="30" t="s">
        <v>2859</v>
      </c>
      <c r="J10244" s="30" t="s">
        <v>3390</v>
      </c>
      <c r="L10244" s="30" t="s">
        <v>3442</v>
      </c>
      <c r="N10244" s="30" t="s">
        <v>16354</v>
      </c>
      <c r="P10244" s="30" t="s">
        <v>16754</v>
      </c>
      <c r="Q10244" t="s">
        <v>621</v>
      </c>
      <c r="R10244" t="s">
        <v>917</v>
      </c>
      <c r="S10244">
        <v>39</v>
      </c>
      <c r="T10244" s="29" t="str">
        <f t="shared" si="425"/>
        <v>2023.001B.Leviviricetes_reorg.zip</v>
      </c>
      <c r="U10244" s="29" t="str">
        <f>HYPERLINK("https://ictv.global/taxonomy/taxondetails?taxnode_id=202317359","ictv.global=202317359")</f>
        <v>ictv.global=202317359</v>
      </c>
    </row>
    <row r="10245" spans="1:21">
      <c r="A10245">
        <v>10244</v>
      </c>
      <c r="B10245" s="30" t="s">
        <v>1226</v>
      </c>
      <c r="D10245" s="30" t="s">
        <v>2024</v>
      </c>
      <c r="F10245" s="30" t="s">
        <v>2046</v>
      </c>
      <c r="H10245" s="30" t="s">
        <v>2859</v>
      </c>
      <c r="J10245" s="30" t="s">
        <v>3390</v>
      </c>
      <c r="L10245" s="30" t="s">
        <v>3442</v>
      </c>
      <c r="N10245" s="30" t="s">
        <v>16354</v>
      </c>
      <c r="P10245" s="30" t="s">
        <v>16755</v>
      </c>
      <c r="Q10245" t="s">
        <v>621</v>
      </c>
      <c r="R10245" t="s">
        <v>917</v>
      </c>
      <c r="S10245">
        <v>39</v>
      </c>
      <c r="T10245" s="29" t="str">
        <f t="shared" si="425"/>
        <v>2023.001B.Leviviricetes_reorg.zip</v>
      </c>
      <c r="U10245" s="29" t="str">
        <f>HYPERLINK("https://ictv.global/taxonomy/taxondetails?taxnode_id=202317360","ictv.global=202317360")</f>
        <v>ictv.global=202317360</v>
      </c>
    </row>
    <row r="10246" spans="1:21">
      <c r="A10246">
        <v>10245</v>
      </c>
      <c r="B10246" s="30" t="s">
        <v>1226</v>
      </c>
      <c r="D10246" s="30" t="s">
        <v>2024</v>
      </c>
      <c r="F10246" s="30" t="s">
        <v>2046</v>
      </c>
      <c r="H10246" s="30" t="s">
        <v>2859</v>
      </c>
      <c r="J10246" s="30" t="s">
        <v>3390</v>
      </c>
      <c r="L10246" s="30" t="s">
        <v>3442</v>
      </c>
      <c r="N10246" s="30" t="s">
        <v>16354</v>
      </c>
      <c r="P10246" s="30" t="s">
        <v>16756</v>
      </c>
      <c r="Q10246" t="s">
        <v>621</v>
      </c>
      <c r="R10246" t="s">
        <v>917</v>
      </c>
      <c r="S10246">
        <v>39</v>
      </c>
      <c r="T10246" s="29" t="str">
        <f t="shared" si="425"/>
        <v>2023.001B.Leviviricetes_reorg.zip</v>
      </c>
      <c r="U10246" s="29" t="str">
        <f>HYPERLINK("https://ictv.global/taxonomy/taxondetails?taxnode_id=202317361","ictv.global=202317361")</f>
        <v>ictv.global=202317361</v>
      </c>
    </row>
    <row r="10247" spans="1:21">
      <c r="A10247">
        <v>10246</v>
      </c>
      <c r="B10247" s="30" t="s">
        <v>1226</v>
      </c>
      <c r="D10247" s="30" t="s">
        <v>2024</v>
      </c>
      <c r="F10247" s="30" t="s">
        <v>2046</v>
      </c>
      <c r="H10247" s="30" t="s">
        <v>2859</v>
      </c>
      <c r="J10247" s="30" t="s">
        <v>3390</v>
      </c>
      <c r="L10247" s="30" t="s">
        <v>3442</v>
      </c>
      <c r="N10247" s="30" t="s">
        <v>16354</v>
      </c>
      <c r="P10247" s="30" t="s">
        <v>16757</v>
      </c>
      <c r="Q10247" t="s">
        <v>621</v>
      </c>
      <c r="R10247" t="s">
        <v>917</v>
      </c>
      <c r="S10247">
        <v>39</v>
      </c>
      <c r="T10247" s="29" t="str">
        <f t="shared" si="425"/>
        <v>2023.001B.Leviviricetes_reorg.zip</v>
      </c>
      <c r="U10247" s="29" t="str">
        <f>HYPERLINK("https://ictv.global/taxonomy/taxondetails?taxnode_id=202317362","ictv.global=202317362")</f>
        <v>ictv.global=202317362</v>
      </c>
    </row>
    <row r="10248" spans="1:21">
      <c r="A10248">
        <v>10247</v>
      </c>
      <c r="B10248" s="30" t="s">
        <v>1226</v>
      </c>
      <c r="D10248" s="30" t="s">
        <v>2024</v>
      </c>
      <c r="F10248" s="30" t="s">
        <v>2046</v>
      </c>
      <c r="H10248" s="30" t="s">
        <v>2859</v>
      </c>
      <c r="J10248" s="30" t="s">
        <v>3390</v>
      </c>
      <c r="L10248" s="30" t="s">
        <v>3442</v>
      </c>
      <c r="N10248" s="30" t="s">
        <v>16354</v>
      </c>
      <c r="P10248" s="30" t="s">
        <v>16758</v>
      </c>
      <c r="Q10248" t="s">
        <v>621</v>
      </c>
      <c r="R10248" t="s">
        <v>917</v>
      </c>
      <c r="S10248">
        <v>39</v>
      </c>
      <c r="T10248" s="29" t="str">
        <f t="shared" si="425"/>
        <v>2023.001B.Leviviricetes_reorg.zip</v>
      </c>
      <c r="U10248" s="29" t="str">
        <f>HYPERLINK("https://ictv.global/taxonomy/taxondetails?taxnode_id=202317363","ictv.global=202317363")</f>
        <v>ictv.global=202317363</v>
      </c>
    </row>
    <row r="10249" spans="1:21">
      <c r="A10249">
        <v>10248</v>
      </c>
      <c r="B10249" s="30" t="s">
        <v>1226</v>
      </c>
      <c r="D10249" s="30" t="s">
        <v>2024</v>
      </c>
      <c r="F10249" s="30" t="s">
        <v>2046</v>
      </c>
      <c r="H10249" s="30" t="s">
        <v>2859</v>
      </c>
      <c r="J10249" s="30" t="s">
        <v>3390</v>
      </c>
      <c r="L10249" s="30" t="s">
        <v>3442</v>
      </c>
      <c r="N10249" s="30" t="s">
        <v>16354</v>
      </c>
      <c r="P10249" s="30" t="s">
        <v>16759</v>
      </c>
      <c r="Q10249" t="s">
        <v>621</v>
      </c>
      <c r="R10249" t="s">
        <v>917</v>
      </c>
      <c r="S10249">
        <v>39</v>
      </c>
      <c r="T10249" s="29" t="str">
        <f t="shared" si="425"/>
        <v>2023.001B.Leviviricetes_reorg.zip</v>
      </c>
      <c r="U10249" s="29" t="str">
        <f>HYPERLINK("https://ictv.global/taxonomy/taxondetails?taxnode_id=202317364","ictv.global=202317364")</f>
        <v>ictv.global=202317364</v>
      </c>
    </row>
    <row r="10250" spans="1:21">
      <c r="A10250">
        <v>10249</v>
      </c>
      <c r="B10250" s="30" t="s">
        <v>1226</v>
      </c>
      <c r="D10250" s="30" t="s">
        <v>2024</v>
      </c>
      <c r="F10250" s="30" t="s">
        <v>2046</v>
      </c>
      <c r="H10250" s="30" t="s">
        <v>2859</v>
      </c>
      <c r="J10250" s="30" t="s">
        <v>3390</v>
      </c>
      <c r="L10250" s="30" t="s">
        <v>3442</v>
      </c>
      <c r="N10250" s="30" t="s">
        <v>16354</v>
      </c>
      <c r="P10250" s="30" t="s">
        <v>16760</v>
      </c>
      <c r="Q10250" t="s">
        <v>621</v>
      </c>
      <c r="R10250" t="s">
        <v>917</v>
      </c>
      <c r="S10250">
        <v>39</v>
      </c>
      <c r="T10250" s="29" t="str">
        <f t="shared" ref="T10250:T10317" si="426">HYPERLINK("https://ictv.global/ictv/proposals/2023.001B.Leviviricetes_reorg.zip","2023.001B.Leviviricetes_reorg.zip")</f>
        <v>2023.001B.Leviviricetes_reorg.zip</v>
      </c>
      <c r="U10250" s="29" t="str">
        <f>HYPERLINK("https://ictv.global/taxonomy/taxondetails?taxnode_id=202317365","ictv.global=202317365")</f>
        <v>ictv.global=202317365</v>
      </c>
    </row>
    <row r="10251" spans="1:21">
      <c r="A10251">
        <v>10250</v>
      </c>
      <c r="B10251" s="30" t="s">
        <v>1226</v>
      </c>
      <c r="D10251" s="30" t="s">
        <v>2024</v>
      </c>
      <c r="F10251" s="30" t="s">
        <v>2046</v>
      </c>
      <c r="H10251" s="30" t="s">
        <v>2859</v>
      </c>
      <c r="J10251" s="30" t="s">
        <v>3390</v>
      </c>
      <c r="L10251" s="30" t="s">
        <v>3442</v>
      </c>
      <c r="N10251" s="30" t="s">
        <v>16354</v>
      </c>
      <c r="P10251" s="30" t="s">
        <v>16761</v>
      </c>
      <c r="Q10251" t="s">
        <v>621</v>
      </c>
      <c r="R10251" t="s">
        <v>917</v>
      </c>
      <c r="S10251">
        <v>39</v>
      </c>
      <c r="T10251" s="29" t="str">
        <f t="shared" si="426"/>
        <v>2023.001B.Leviviricetes_reorg.zip</v>
      </c>
      <c r="U10251" s="29" t="str">
        <f>HYPERLINK("https://ictv.global/taxonomy/taxondetails?taxnode_id=202317366","ictv.global=202317366")</f>
        <v>ictv.global=202317366</v>
      </c>
    </row>
    <row r="10252" spans="1:21">
      <c r="A10252">
        <v>10251</v>
      </c>
      <c r="B10252" s="30" t="s">
        <v>1226</v>
      </c>
      <c r="D10252" s="30" t="s">
        <v>2024</v>
      </c>
      <c r="F10252" s="30" t="s">
        <v>2046</v>
      </c>
      <c r="H10252" s="30" t="s">
        <v>2859</v>
      </c>
      <c r="J10252" s="30" t="s">
        <v>3390</v>
      </c>
      <c r="L10252" s="30" t="s">
        <v>3442</v>
      </c>
      <c r="N10252" s="30" t="s">
        <v>16354</v>
      </c>
      <c r="P10252" s="30" t="s">
        <v>16762</v>
      </c>
      <c r="Q10252" t="s">
        <v>621</v>
      </c>
      <c r="R10252" t="s">
        <v>917</v>
      </c>
      <c r="S10252">
        <v>39</v>
      </c>
      <c r="T10252" s="29" t="str">
        <f t="shared" si="426"/>
        <v>2023.001B.Leviviricetes_reorg.zip</v>
      </c>
      <c r="U10252" s="29" t="str">
        <f>HYPERLINK("https://ictv.global/taxonomy/taxondetails?taxnode_id=202317367","ictv.global=202317367")</f>
        <v>ictv.global=202317367</v>
      </c>
    </row>
    <row r="10253" spans="1:21">
      <c r="A10253">
        <v>10252</v>
      </c>
      <c r="B10253" s="30" t="s">
        <v>1226</v>
      </c>
      <c r="D10253" s="30" t="s">
        <v>2024</v>
      </c>
      <c r="F10253" s="30" t="s">
        <v>2046</v>
      </c>
      <c r="H10253" s="30" t="s">
        <v>2859</v>
      </c>
      <c r="J10253" s="30" t="s">
        <v>3390</v>
      </c>
      <c r="L10253" s="30" t="s">
        <v>3442</v>
      </c>
      <c r="N10253" s="30" t="s">
        <v>16354</v>
      </c>
      <c r="P10253" s="30" t="s">
        <v>16763</v>
      </c>
      <c r="Q10253" t="s">
        <v>621</v>
      </c>
      <c r="R10253" t="s">
        <v>917</v>
      </c>
      <c r="S10253">
        <v>39</v>
      </c>
      <c r="T10253" s="29" t="str">
        <f t="shared" si="426"/>
        <v>2023.001B.Leviviricetes_reorg.zip</v>
      </c>
      <c r="U10253" s="29" t="str">
        <f>HYPERLINK("https://ictv.global/taxonomy/taxondetails?taxnode_id=202317368","ictv.global=202317368")</f>
        <v>ictv.global=202317368</v>
      </c>
    </row>
    <row r="10254" spans="1:21">
      <c r="A10254">
        <v>10253</v>
      </c>
      <c r="B10254" s="30" t="s">
        <v>1226</v>
      </c>
      <c r="D10254" s="30" t="s">
        <v>2024</v>
      </c>
      <c r="F10254" s="30" t="s">
        <v>2046</v>
      </c>
      <c r="H10254" s="30" t="s">
        <v>2859</v>
      </c>
      <c r="J10254" s="30" t="s">
        <v>3390</v>
      </c>
      <c r="L10254" s="30" t="s">
        <v>3442</v>
      </c>
      <c r="N10254" s="30" t="s">
        <v>16354</v>
      </c>
      <c r="P10254" s="30" t="s">
        <v>16764</v>
      </c>
      <c r="Q10254" t="s">
        <v>621</v>
      </c>
      <c r="R10254" t="s">
        <v>917</v>
      </c>
      <c r="S10254">
        <v>39</v>
      </c>
      <c r="T10254" s="29" t="str">
        <f t="shared" si="426"/>
        <v>2023.001B.Leviviricetes_reorg.zip</v>
      </c>
      <c r="U10254" s="29" t="str">
        <f>HYPERLINK("https://ictv.global/taxonomy/taxondetails?taxnode_id=202317369","ictv.global=202317369")</f>
        <v>ictv.global=202317369</v>
      </c>
    </row>
    <row r="10255" spans="1:21">
      <c r="A10255">
        <v>10254</v>
      </c>
      <c r="B10255" s="30" t="s">
        <v>1226</v>
      </c>
      <c r="D10255" s="30" t="s">
        <v>2024</v>
      </c>
      <c r="F10255" s="30" t="s">
        <v>2046</v>
      </c>
      <c r="H10255" s="30" t="s">
        <v>2859</v>
      </c>
      <c r="J10255" s="30" t="s">
        <v>3390</v>
      </c>
      <c r="L10255" s="30" t="s">
        <v>3442</v>
      </c>
      <c r="N10255" s="30" t="s">
        <v>16354</v>
      </c>
      <c r="P10255" s="30" t="s">
        <v>16765</v>
      </c>
      <c r="Q10255" t="s">
        <v>621</v>
      </c>
      <c r="R10255" t="s">
        <v>917</v>
      </c>
      <c r="S10255">
        <v>39</v>
      </c>
      <c r="T10255" s="29" t="str">
        <f t="shared" si="426"/>
        <v>2023.001B.Leviviricetes_reorg.zip</v>
      </c>
      <c r="U10255" s="29" t="str">
        <f>HYPERLINK("https://ictv.global/taxonomy/taxondetails?taxnode_id=202317370","ictv.global=202317370")</f>
        <v>ictv.global=202317370</v>
      </c>
    </row>
    <row r="10256" spans="1:21">
      <c r="A10256">
        <v>10255</v>
      </c>
      <c r="B10256" s="30" t="s">
        <v>1226</v>
      </c>
      <c r="D10256" s="30" t="s">
        <v>2024</v>
      </c>
      <c r="F10256" s="30" t="s">
        <v>2046</v>
      </c>
      <c r="H10256" s="30" t="s">
        <v>2859</v>
      </c>
      <c r="J10256" s="30" t="s">
        <v>3390</v>
      </c>
      <c r="L10256" s="30" t="s">
        <v>3442</v>
      </c>
      <c r="N10256" s="30" t="s">
        <v>16354</v>
      </c>
      <c r="P10256" s="30" t="s">
        <v>16766</v>
      </c>
      <c r="Q10256" t="s">
        <v>621</v>
      </c>
      <c r="R10256" t="s">
        <v>917</v>
      </c>
      <c r="S10256">
        <v>39</v>
      </c>
      <c r="T10256" s="29" t="str">
        <f t="shared" si="426"/>
        <v>2023.001B.Leviviricetes_reorg.zip</v>
      </c>
      <c r="U10256" s="29" t="str">
        <f>HYPERLINK("https://ictv.global/taxonomy/taxondetails?taxnode_id=202317371","ictv.global=202317371")</f>
        <v>ictv.global=202317371</v>
      </c>
    </row>
    <row r="10257" spans="1:21">
      <c r="A10257">
        <v>10256</v>
      </c>
      <c r="B10257" s="30" t="s">
        <v>1226</v>
      </c>
      <c r="D10257" s="30" t="s">
        <v>2024</v>
      </c>
      <c r="F10257" s="30" t="s">
        <v>2046</v>
      </c>
      <c r="H10257" s="30" t="s">
        <v>2859</v>
      </c>
      <c r="J10257" s="30" t="s">
        <v>3390</v>
      </c>
      <c r="L10257" s="30" t="s">
        <v>3442</v>
      </c>
      <c r="N10257" s="30" t="s">
        <v>16354</v>
      </c>
      <c r="P10257" s="30" t="s">
        <v>16767</v>
      </c>
      <c r="Q10257" t="s">
        <v>621</v>
      </c>
      <c r="R10257" t="s">
        <v>917</v>
      </c>
      <c r="S10257">
        <v>39</v>
      </c>
      <c r="T10257" s="29" t="str">
        <f t="shared" si="426"/>
        <v>2023.001B.Leviviricetes_reorg.zip</v>
      </c>
      <c r="U10257" s="29" t="str">
        <f>HYPERLINK("https://ictv.global/taxonomy/taxondetails?taxnode_id=202317372","ictv.global=202317372")</f>
        <v>ictv.global=202317372</v>
      </c>
    </row>
    <row r="10258" spans="1:21">
      <c r="A10258">
        <v>10257</v>
      </c>
      <c r="B10258" s="30" t="s">
        <v>1226</v>
      </c>
      <c r="D10258" s="30" t="s">
        <v>2024</v>
      </c>
      <c r="F10258" s="30" t="s">
        <v>2046</v>
      </c>
      <c r="H10258" s="30" t="s">
        <v>2859</v>
      </c>
      <c r="J10258" s="30" t="s">
        <v>3390</v>
      </c>
      <c r="L10258" s="30" t="s">
        <v>3442</v>
      </c>
      <c r="N10258" s="30" t="s">
        <v>16354</v>
      </c>
      <c r="P10258" s="30" t="s">
        <v>16768</v>
      </c>
      <c r="Q10258" t="s">
        <v>621</v>
      </c>
      <c r="R10258" t="s">
        <v>917</v>
      </c>
      <c r="S10258">
        <v>39</v>
      </c>
      <c r="T10258" s="29" t="str">
        <f t="shared" si="426"/>
        <v>2023.001B.Leviviricetes_reorg.zip</v>
      </c>
      <c r="U10258" s="29" t="str">
        <f>HYPERLINK("https://ictv.global/taxonomy/taxondetails?taxnode_id=202317373","ictv.global=202317373")</f>
        <v>ictv.global=202317373</v>
      </c>
    </row>
    <row r="10259" spans="1:21">
      <c r="A10259">
        <v>10258</v>
      </c>
      <c r="B10259" s="30" t="s">
        <v>1226</v>
      </c>
      <c r="D10259" s="30" t="s">
        <v>2024</v>
      </c>
      <c r="F10259" s="30" t="s">
        <v>2046</v>
      </c>
      <c r="H10259" s="30" t="s">
        <v>2859</v>
      </c>
      <c r="J10259" s="30" t="s">
        <v>3390</v>
      </c>
      <c r="L10259" s="30" t="s">
        <v>3442</v>
      </c>
      <c r="N10259" s="30" t="s">
        <v>16354</v>
      </c>
      <c r="P10259" s="30" t="s">
        <v>16769</v>
      </c>
      <c r="Q10259" t="s">
        <v>621</v>
      </c>
      <c r="R10259" t="s">
        <v>917</v>
      </c>
      <c r="S10259">
        <v>39</v>
      </c>
      <c r="T10259" s="29" t="str">
        <f t="shared" si="426"/>
        <v>2023.001B.Leviviricetes_reorg.zip</v>
      </c>
      <c r="U10259" s="29" t="str">
        <f>HYPERLINK("https://ictv.global/taxonomy/taxondetails?taxnode_id=202317374","ictv.global=202317374")</f>
        <v>ictv.global=202317374</v>
      </c>
    </row>
    <row r="10260" spans="1:21">
      <c r="A10260">
        <v>10259</v>
      </c>
      <c r="B10260" s="30" t="s">
        <v>1226</v>
      </c>
      <c r="D10260" s="30" t="s">
        <v>2024</v>
      </c>
      <c r="F10260" s="30" t="s">
        <v>2046</v>
      </c>
      <c r="H10260" s="30" t="s">
        <v>2859</v>
      </c>
      <c r="J10260" s="30" t="s">
        <v>3390</v>
      </c>
      <c r="L10260" s="30" t="s">
        <v>3442</v>
      </c>
      <c r="N10260" s="30" t="s">
        <v>16354</v>
      </c>
      <c r="P10260" s="30" t="s">
        <v>16770</v>
      </c>
      <c r="Q10260" t="s">
        <v>621</v>
      </c>
      <c r="R10260" t="s">
        <v>917</v>
      </c>
      <c r="S10260">
        <v>39</v>
      </c>
      <c r="T10260" s="29" t="str">
        <f t="shared" si="426"/>
        <v>2023.001B.Leviviricetes_reorg.zip</v>
      </c>
      <c r="U10260" s="29" t="str">
        <f>HYPERLINK("https://ictv.global/taxonomy/taxondetails?taxnode_id=202317375","ictv.global=202317375")</f>
        <v>ictv.global=202317375</v>
      </c>
    </row>
    <row r="10261" spans="1:21">
      <c r="A10261">
        <v>10260</v>
      </c>
      <c r="B10261" s="30" t="s">
        <v>1226</v>
      </c>
      <c r="D10261" s="30" t="s">
        <v>2024</v>
      </c>
      <c r="F10261" s="30" t="s">
        <v>2046</v>
      </c>
      <c r="H10261" s="30" t="s">
        <v>2859</v>
      </c>
      <c r="J10261" s="30" t="s">
        <v>3390</v>
      </c>
      <c r="L10261" s="30" t="s">
        <v>3442</v>
      </c>
      <c r="N10261" s="30" t="s">
        <v>16354</v>
      </c>
      <c r="P10261" s="30" t="s">
        <v>16771</v>
      </c>
      <c r="Q10261" t="s">
        <v>621</v>
      </c>
      <c r="R10261" t="s">
        <v>917</v>
      </c>
      <c r="S10261">
        <v>39</v>
      </c>
      <c r="T10261" s="29" t="str">
        <f t="shared" si="426"/>
        <v>2023.001B.Leviviricetes_reorg.zip</v>
      </c>
      <c r="U10261" s="29" t="str">
        <f>HYPERLINK("https://ictv.global/taxonomy/taxondetails?taxnode_id=202317376","ictv.global=202317376")</f>
        <v>ictv.global=202317376</v>
      </c>
    </row>
    <row r="10262" spans="1:21">
      <c r="A10262">
        <v>10261</v>
      </c>
      <c r="B10262" s="30" t="s">
        <v>1226</v>
      </c>
      <c r="D10262" s="30" t="s">
        <v>2024</v>
      </c>
      <c r="F10262" s="30" t="s">
        <v>2046</v>
      </c>
      <c r="H10262" s="30" t="s">
        <v>2859</v>
      </c>
      <c r="J10262" s="30" t="s">
        <v>3390</v>
      </c>
      <c r="L10262" s="30" t="s">
        <v>3442</v>
      </c>
      <c r="N10262" s="30" t="s">
        <v>16354</v>
      </c>
      <c r="P10262" s="30" t="s">
        <v>16772</v>
      </c>
      <c r="Q10262" t="s">
        <v>621</v>
      </c>
      <c r="R10262" t="s">
        <v>917</v>
      </c>
      <c r="S10262">
        <v>39</v>
      </c>
      <c r="T10262" s="29" t="str">
        <f t="shared" si="426"/>
        <v>2023.001B.Leviviricetes_reorg.zip</v>
      </c>
      <c r="U10262" s="29" t="str">
        <f>HYPERLINK("https://ictv.global/taxonomy/taxondetails?taxnode_id=202317377","ictv.global=202317377")</f>
        <v>ictv.global=202317377</v>
      </c>
    </row>
    <row r="10263" spans="1:21">
      <c r="A10263">
        <v>10262</v>
      </c>
      <c r="B10263" s="30" t="s">
        <v>1226</v>
      </c>
      <c r="D10263" s="30" t="s">
        <v>2024</v>
      </c>
      <c r="F10263" s="30" t="s">
        <v>2046</v>
      </c>
      <c r="H10263" s="30" t="s">
        <v>2859</v>
      </c>
      <c r="J10263" s="30" t="s">
        <v>3390</v>
      </c>
      <c r="L10263" s="30" t="s">
        <v>3442</v>
      </c>
      <c r="N10263" s="30" t="s">
        <v>16354</v>
      </c>
      <c r="P10263" s="30" t="s">
        <v>16773</v>
      </c>
      <c r="Q10263" t="s">
        <v>621</v>
      </c>
      <c r="R10263" t="s">
        <v>917</v>
      </c>
      <c r="S10263">
        <v>39</v>
      </c>
      <c r="T10263" s="29" t="str">
        <f t="shared" si="426"/>
        <v>2023.001B.Leviviricetes_reorg.zip</v>
      </c>
      <c r="U10263" s="29" t="str">
        <f>HYPERLINK("https://ictv.global/taxonomy/taxondetails?taxnode_id=202317378","ictv.global=202317378")</f>
        <v>ictv.global=202317378</v>
      </c>
    </row>
    <row r="10264" spans="1:21">
      <c r="A10264">
        <v>10263</v>
      </c>
      <c r="B10264" s="30" t="s">
        <v>1226</v>
      </c>
      <c r="D10264" s="30" t="s">
        <v>2024</v>
      </c>
      <c r="F10264" s="30" t="s">
        <v>2046</v>
      </c>
      <c r="H10264" s="30" t="s">
        <v>2859</v>
      </c>
      <c r="J10264" s="30" t="s">
        <v>3390</v>
      </c>
      <c r="L10264" s="30" t="s">
        <v>3442</v>
      </c>
      <c r="N10264" s="30" t="s">
        <v>16354</v>
      </c>
      <c r="P10264" s="30" t="s">
        <v>16774</v>
      </c>
      <c r="Q10264" t="s">
        <v>621</v>
      </c>
      <c r="R10264" t="s">
        <v>917</v>
      </c>
      <c r="S10264">
        <v>39</v>
      </c>
      <c r="T10264" s="29" t="str">
        <f t="shared" si="426"/>
        <v>2023.001B.Leviviricetes_reorg.zip</v>
      </c>
      <c r="U10264" s="29" t="str">
        <f>HYPERLINK("https://ictv.global/taxonomy/taxondetails?taxnode_id=202317379","ictv.global=202317379")</f>
        <v>ictv.global=202317379</v>
      </c>
    </row>
    <row r="10265" spans="1:21">
      <c r="A10265">
        <v>10264</v>
      </c>
      <c r="B10265" s="30" t="s">
        <v>1226</v>
      </c>
      <c r="D10265" s="30" t="s">
        <v>2024</v>
      </c>
      <c r="F10265" s="30" t="s">
        <v>2046</v>
      </c>
      <c r="H10265" s="30" t="s">
        <v>2859</v>
      </c>
      <c r="J10265" s="30" t="s">
        <v>3390</v>
      </c>
      <c r="L10265" s="30" t="s">
        <v>3442</v>
      </c>
      <c r="N10265" s="30" t="s">
        <v>16354</v>
      </c>
      <c r="P10265" s="30" t="s">
        <v>16775</v>
      </c>
      <c r="Q10265" t="s">
        <v>621</v>
      </c>
      <c r="R10265" t="s">
        <v>917</v>
      </c>
      <c r="S10265">
        <v>39</v>
      </c>
      <c r="T10265" s="29" t="str">
        <f t="shared" si="426"/>
        <v>2023.001B.Leviviricetes_reorg.zip</v>
      </c>
      <c r="U10265" s="29" t="str">
        <f>HYPERLINK("https://ictv.global/taxonomy/taxondetails?taxnode_id=202317380","ictv.global=202317380")</f>
        <v>ictv.global=202317380</v>
      </c>
    </row>
    <row r="10266" spans="1:21">
      <c r="A10266">
        <v>10265</v>
      </c>
      <c r="B10266" s="30" t="s">
        <v>1226</v>
      </c>
      <c r="D10266" s="30" t="s">
        <v>2024</v>
      </c>
      <c r="F10266" s="30" t="s">
        <v>2046</v>
      </c>
      <c r="H10266" s="30" t="s">
        <v>2859</v>
      </c>
      <c r="J10266" s="30" t="s">
        <v>3390</v>
      </c>
      <c r="L10266" s="30" t="s">
        <v>3442</v>
      </c>
      <c r="N10266" s="30" t="s">
        <v>16354</v>
      </c>
      <c r="P10266" s="30" t="s">
        <v>16776</v>
      </c>
      <c r="Q10266" t="s">
        <v>621</v>
      </c>
      <c r="R10266" t="s">
        <v>917</v>
      </c>
      <c r="S10266">
        <v>39</v>
      </c>
      <c r="T10266" s="29" t="str">
        <f t="shared" si="426"/>
        <v>2023.001B.Leviviricetes_reorg.zip</v>
      </c>
      <c r="U10266" s="29" t="str">
        <f>HYPERLINK("https://ictv.global/taxonomy/taxondetails?taxnode_id=202317381","ictv.global=202317381")</f>
        <v>ictv.global=202317381</v>
      </c>
    </row>
    <row r="10267" spans="1:21">
      <c r="A10267">
        <v>10266</v>
      </c>
      <c r="B10267" s="30" t="s">
        <v>1226</v>
      </c>
      <c r="D10267" s="30" t="s">
        <v>2024</v>
      </c>
      <c r="F10267" s="30" t="s">
        <v>2046</v>
      </c>
      <c r="H10267" s="30" t="s">
        <v>2859</v>
      </c>
      <c r="J10267" s="30" t="s">
        <v>3390</v>
      </c>
      <c r="L10267" s="30" t="s">
        <v>3442</v>
      </c>
      <c r="N10267" s="30" t="s">
        <v>16354</v>
      </c>
      <c r="P10267" s="30" t="s">
        <v>16777</v>
      </c>
      <c r="Q10267" t="s">
        <v>621</v>
      </c>
      <c r="R10267" t="s">
        <v>917</v>
      </c>
      <c r="S10267">
        <v>39</v>
      </c>
      <c r="T10267" s="29" t="str">
        <f t="shared" si="426"/>
        <v>2023.001B.Leviviricetes_reorg.zip</v>
      </c>
      <c r="U10267" s="29" t="str">
        <f>HYPERLINK("https://ictv.global/taxonomy/taxondetails?taxnode_id=202317382","ictv.global=202317382")</f>
        <v>ictv.global=202317382</v>
      </c>
    </row>
    <row r="10268" spans="1:21">
      <c r="A10268">
        <v>10267</v>
      </c>
      <c r="B10268" s="30" t="s">
        <v>1226</v>
      </c>
      <c r="D10268" s="30" t="s">
        <v>2024</v>
      </c>
      <c r="F10268" s="30" t="s">
        <v>2046</v>
      </c>
      <c r="H10268" s="30" t="s">
        <v>2859</v>
      </c>
      <c r="J10268" s="30" t="s">
        <v>3390</v>
      </c>
      <c r="L10268" s="30" t="s">
        <v>3442</v>
      </c>
      <c r="N10268" s="30" t="s">
        <v>16354</v>
      </c>
      <c r="P10268" s="30" t="s">
        <v>16778</v>
      </c>
      <c r="Q10268" t="s">
        <v>621</v>
      </c>
      <c r="R10268" t="s">
        <v>917</v>
      </c>
      <c r="S10268">
        <v>39</v>
      </c>
      <c r="T10268" s="29" t="str">
        <f t="shared" si="426"/>
        <v>2023.001B.Leviviricetes_reorg.zip</v>
      </c>
      <c r="U10268" s="29" t="str">
        <f>HYPERLINK("https://ictv.global/taxonomy/taxondetails?taxnode_id=202317383","ictv.global=202317383")</f>
        <v>ictv.global=202317383</v>
      </c>
    </row>
    <row r="10269" spans="1:21">
      <c r="A10269">
        <v>10268</v>
      </c>
      <c r="B10269" s="30" t="s">
        <v>1226</v>
      </c>
      <c r="D10269" s="30" t="s">
        <v>2024</v>
      </c>
      <c r="F10269" s="30" t="s">
        <v>2046</v>
      </c>
      <c r="H10269" s="30" t="s">
        <v>2859</v>
      </c>
      <c r="J10269" s="30" t="s">
        <v>3390</v>
      </c>
      <c r="L10269" s="30" t="s">
        <v>3442</v>
      </c>
      <c r="N10269" s="30" t="s">
        <v>16354</v>
      </c>
      <c r="P10269" s="30" t="s">
        <v>16779</v>
      </c>
      <c r="Q10269" t="s">
        <v>621</v>
      </c>
      <c r="R10269" t="s">
        <v>917</v>
      </c>
      <c r="S10269">
        <v>39</v>
      </c>
      <c r="T10269" s="29" t="str">
        <f t="shared" si="426"/>
        <v>2023.001B.Leviviricetes_reorg.zip</v>
      </c>
      <c r="U10269" s="29" t="str">
        <f>HYPERLINK("https://ictv.global/taxonomy/taxondetails?taxnode_id=202317384","ictv.global=202317384")</f>
        <v>ictv.global=202317384</v>
      </c>
    </row>
    <row r="10270" spans="1:21">
      <c r="A10270">
        <v>10269</v>
      </c>
      <c r="B10270" s="30" t="s">
        <v>1226</v>
      </c>
      <c r="D10270" s="30" t="s">
        <v>2024</v>
      </c>
      <c r="F10270" s="30" t="s">
        <v>2046</v>
      </c>
      <c r="H10270" s="30" t="s">
        <v>2859</v>
      </c>
      <c r="J10270" s="30" t="s">
        <v>3390</v>
      </c>
      <c r="L10270" s="30" t="s">
        <v>3442</v>
      </c>
      <c r="N10270" s="30" t="s">
        <v>16354</v>
      </c>
      <c r="P10270" s="30" t="s">
        <v>16780</v>
      </c>
      <c r="Q10270" t="s">
        <v>621</v>
      </c>
      <c r="R10270" t="s">
        <v>917</v>
      </c>
      <c r="S10270">
        <v>39</v>
      </c>
      <c r="T10270" s="29" t="str">
        <f t="shared" si="426"/>
        <v>2023.001B.Leviviricetes_reorg.zip</v>
      </c>
      <c r="U10270" s="29" t="str">
        <f>HYPERLINK("https://ictv.global/taxonomy/taxondetails?taxnode_id=202317385","ictv.global=202317385")</f>
        <v>ictv.global=202317385</v>
      </c>
    </row>
    <row r="10271" spans="1:21">
      <c r="A10271">
        <v>10270</v>
      </c>
      <c r="B10271" s="30" t="s">
        <v>1226</v>
      </c>
      <c r="D10271" s="30" t="s">
        <v>2024</v>
      </c>
      <c r="F10271" s="30" t="s">
        <v>2046</v>
      </c>
      <c r="H10271" s="30" t="s">
        <v>2859</v>
      </c>
      <c r="J10271" s="30" t="s">
        <v>3390</v>
      </c>
      <c r="L10271" s="30" t="s">
        <v>3442</v>
      </c>
      <c r="N10271" s="30" t="s">
        <v>16354</v>
      </c>
      <c r="P10271" s="30" t="s">
        <v>16781</v>
      </c>
      <c r="Q10271" t="s">
        <v>621</v>
      </c>
      <c r="R10271" t="s">
        <v>917</v>
      </c>
      <c r="S10271">
        <v>39</v>
      </c>
      <c r="T10271" s="29" t="str">
        <f t="shared" si="426"/>
        <v>2023.001B.Leviviricetes_reorg.zip</v>
      </c>
      <c r="U10271" s="29" t="str">
        <f>HYPERLINK("https://ictv.global/taxonomy/taxondetails?taxnode_id=202317386","ictv.global=202317386")</f>
        <v>ictv.global=202317386</v>
      </c>
    </row>
    <row r="10272" spans="1:21">
      <c r="A10272">
        <v>10271</v>
      </c>
      <c r="B10272" s="30" t="s">
        <v>1226</v>
      </c>
      <c r="D10272" s="30" t="s">
        <v>2024</v>
      </c>
      <c r="F10272" s="30" t="s">
        <v>2046</v>
      </c>
      <c r="H10272" s="30" t="s">
        <v>2859</v>
      </c>
      <c r="J10272" s="30" t="s">
        <v>3390</v>
      </c>
      <c r="L10272" s="30" t="s">
        <v>3442</v>
      </c>
      <c r="N10272" s="30" t="s">
        <v>16354</v>
      </c>
      <c r="P10272" s="30" t="s">
        <v>16782</v>
      </c>
      <c r="Q10272" t="s">
        <v>621</v>
      </c>
      <c r="R10272" t="s">
        <v>917</v>
      </c>
      <c r="S10272">
        <v>39</v>
      </c>
      <c r="T10272" s="29" t="str">
        <f t="shared" si="426"/>
        <v>2023.001B.Leviviricetes_reorg.zip</v>
      </c>
      <c r="U10272" s="29" t="str">
        <f>HYPERLINK("https://ictv.global/taxonomy/taxondetails?taxnode_id=202317387","ictv.global=202317387")</f>
        <v>ictv.global=202317387</v>
      </c>
    </row>
    <row r="10273" spans="1:21">
      <c r="A10273">
        <v>10272</v>
      </c>
      <c r="B10273" s="30" t="s">
        <v>1226</v>
      </c>
      <c r="D10273" s="30" t="s">
        <v>2024</v>
      </c>
      <c r="F10273" s="30" t="s">
        <v>2046</v>
      </c>
      <c r="H10273" s="30" t="s">
        <v>2859</v>
      </c>
      <c r="J10273" s="30" t="s">
        <v>3390</v>
      </c>
      <c r="L10273" s="30" t="s">
        <v>3442</v>
      </c>
      <c r="N10273" s="30" t="s">
        <v>16354</v>
      </c>
      <c r="P10273" s="30" t="s">
        <v>16783</v>
      </c>
      <c r="Q10273" t="s">
        <v>621</v>
      </c>
      <c r="R10273" t="s">
        <v>917</v>
      </c>
      <c r="S10273">
        <v>39</v>
      </c>
      <c r="T10273" s="29" t="str">
        <f t="shared" si="426"/>
        <v>2023.001B.Leviviricetes_reorg.zip</v>
      </c>
      <c r="U10273" s="29" t="str">
        <f>HYPERLINK("https://ictv.global/taxonomy/taxondetails?taxnode_id=202317388","ictv.global=202317388")</f>
        <v>ictv.global=202317388</v>
      </c>
    </row>
    <row r="10274" spans="1:21">
      <c r="A10274">
        <v>10273</v>
      </c>
      <c r="B10274" s="30" t="s">
        <v>1226</v>
      </c>
      <c r="D10274" s="30" t="s">
        <v>2024</v>
      </c>
      <c r="F10274" s="30" t="s">
        <v>2046</v>
      </c>
      <c r="H10274" s="30" t="s">
        <v>2859</v>
      </c>
      <c r="J10274" s="30" t="s">
        <v>3390</v>
      </c>
      <c r="L10274" s="30" t="s">
        <v>3442</v>
      </c>
      <c r="N10274" s="30" t="s">
        <v>16354</v>
      </c>
      <c r="P10274" s="30" t="s">
        <v>16784</v>
      </c>
      <c r="Q10274" t="s">
        <v>621</v>
      </c>
      <c r="R10274" t="s">
        <v>917</v>
      </c>
      <c r="S10274">
        <v>39</v>
      </c>
      <c r="T10274" s="29" t="str">
        <f t="shared" si="426"/>
        <v>2023.001B.Leviviricetes_reorg.zip</v>
      </c>
      <c r="U10274" s="29" t="str">
        <f>HYPERLINK("https://ictv.global/taxonomy/taxondetails?taxnode_id=202317389","ictv.global=202317389")</f>
        <v>ictv.global=202317389</v>
      </c>
    </row>
    <row r="10275" spans="1:21">
      <c r="A10275">
        <v>10274</v>
      </c>
      <c r="B10275" s="30" t="s">
        <v>1226</v>
      </c>
      <c r="D10275" s="30" t="s">
        <v>2024</v>
      </c>
      <c r="F10275" s="30" t="s">
        <v>2046</v>
      </c>
      <c r="H10275" s="30" t="s">
        <v>2859</v>
      </c>
      <c r="J10275" s="30" t="s">
        <v>3390</v>
      </c>
      <c r="L10275" s="30" t="s">
        <v>3442</v>
      </c>
      <c r="N10275" s="30" t="s">
        <v>16354</v>
      </c>
      <c r="P10275" s="30" t="s">
        <v>16785</v>
      </c>
      <c r="Q10275" t="s">
        <v>621</v>
      </c>
      <c r="R10275" t="s">
        <v>917</v>
      </c>
      <c r="S10275">
        <v>39</v>
      </c>
      <c r="T10275" s="29" t="str">
        <f t="shared" si="426"/>
        <v>2023.001B.Leviviricetes_reorg.zip</v>
      </c>
      <c r="U10275" s="29" t="str">
        <f>HYPERLINK("https://ictv.global/taxonomy/taxondetails?taxnode_id=202317390","ictv.global=202317390")</f>
        <v>ictv.global=202317390</v>
      </c>
    </row>
    <row r="10276" spans="1:21">
      <c r="A10276">
        <v>10275</v>
      </c>
      <c r="B10276" s="30" t="s">
        <v>1226</v>
      </c>
      <c r="D10276" s="30" t="s">
        <v>2024</v>
      </c>
      <c r="F10276" s="30" t="s">
        <v>2046</v>
      </c>
      <c r="H10276" s="30" t="s">
        <v>2859</v>
      </c>
      <c r="J10276" s="30" t="s">
        <v>3390</v>
      </c>
      <c r="L10276" s="30" t="s">
        <v>3442</v>
      </c>
      <c r="N10276" s="30" t="s">
        <v>16354</v>
      </c>
      <c r="P10276" s="30" t="s">
        <v>16786</v>
      </c>
      <c r="Q10276" t="s">
        <v>621</v>
      </c>
      <c r="R10276" t="s">
        <v>917</v>
      </c>
      <c r="S10276">
        <v>39</v>
      </c>
      <c r="T10276" s="29" t="str">
        <f t="shared" si="426"/>
        <v>2023.001B.Leviviricetes_reorg.zip</v>
      </c>
      <c r="U10276" s="29" t="str">
        <f>HYPERLINK("https://ictv.global/taxonomy/taxondetails?taxnode_id=202317391","ictv.global=202317391")</f>
        <v>ictv.global=202317391</v>
      </c>
    </row>
    <row r="10277" spans="1:21">
      <c r="A10277">
        <v>10276</v>
      </c>
      <c r="B10277" s="30" t="s">
        <v>1226</v>
      </c>
      <c r="D10277" s="30" t="s">
        <v>2024</v>
      </c>
      <c r="F10277" s="30" t="s">
        <v>2046</v>
      </c>
      <c r="H10277" s="30" t="s">
        <v>2859</v>
      </c>
      <c r="J10277" s="30" t="s">
        <v>3390</v>
      </c>
      <c r="L10277" s="30" t="s">
        <v>3442</v>
      </c>
      <c r="N10277" s="30" t="s">
        <v>16354</v>
      </c>
      <c r="P10277" s="30" t="s">
        <v>16787</v>
      </c>
      <c r="Q10277" t="s">
        <v>621</v>
      </c>
      <c r="R10277" t="s">
        <v>917</v>
      </c>
      <c r="S10277">
        <v>39</v>
      </c>
      <c r="T10277" s="29" t="str">
        <f t="shared" si="426"/>
        <v>2023.001B.Leviviricetes_reorg.zip</v>
      </c>
      <c r="U10277" s="29" t="str">
        <f>HYPERLINK("https://ictv.global/taxonomy/taxondetails?taxnode_id=202317392","ictv.global=202317392")</f>
        <v>ictv.global=202317392</v>
      </c>
    </row>
    <row r="10278" spans="1:21">
      <c r="A10278">
        <v>10277</v>
      </c>
      <c r="B10278" s="30" t="s">
        <v>1226</v>
      </c>
      <c r="D10278" s="30" t="s">
        <v>2024</v>
      </c>
      <c r="F10278" s="30" t="s">
        <v>2046</v>
      </c>
      <c r="H10278" s="30" t="s">
        <v>2859</v>
      </c>
      <c r="J10278" s="30" t="s">
        <v>3390</v>
      </c>
      <c r="L10278" s="30" t="s">
        <v>3442</v>
      </c>
      <c r="N10278" s="30" t="s">
        <v>16354</v>
      </c>
      <c r="P10278" s="30" t="s">
        <v>16788</v>
      </c>
      <c r="Q10278" t="s">
        <v>621</v>
      </c>
      <c r="R10278" t="s">
        <v>917</v>
      </c>
      <c r="S10278">
        <v>39</v>
      </c>
      <c r="T10278" s="29" t="str">
        <f t="shared" si="426"/>
        <v>2023.001B.Leviviricetes_reorg.zip</v>
      </c>
      <c r="U10278" s="29" t="str">
        <f>HYPERLINK("https://ictv.global/taxonomy/taxondetails?taxnode_id=202317393","ictv.global=202317393")</f>
        <v>ictv.global=202317393</v>
      </c>
    </row>
    <row r="10279" spans="1:21">
      <c r="A10279">
        <v>10278</v>
      </c>
      <c r="B10279" s="30" t="s">
        <v>1226</v>
      </c>
      <c r="D10279" s="30" t="s">
        <v>2024</v>
      </c>
      <c r="F10279" s="30" t="s">
        <v>2046</v>
      </c>
      <c r="H10279" s="30" t="s">
        <v>2859</v>
      </c>
      <c r="J10279" s="30" t="s">
        <v>3390</v>
      </c>
      <c r="L10279" s="30" t="s">
        <v>3442</v>
      </c>
      <c r="N10279" s="30" t="s">
        <v>16354</v>
      </c>
      <c r="P10279" s="30" t="s">
        <v>16789</v>
      </c>
      <c r="Q10279" t="s">
        <v>621</v>
      </c>
      <c r="R10279" t="s">
        <v>917</v>
      </c>
      <c r="S10279">
        <v>39</v>
      </c>
      <c r="T10279" s="29" t="str">
        <f t="shared" si="426"/>
        <v>2023.001B.Leviviricetes_reorg.zip</v>
      </c>
      <c r="U10279" s="29" t="str">
        <f>HYPERLINK("https://ictv.global/taxonomy/taxondetails?taxnode_id=202317394","ictv.global=202317394")</f>
        <v>ictv.global=202317394</v>
      </c>
    </row>
    <row r="10280" spans="1:21">
      <c r="A10280">
        <v>10279</v>
      </c>
      <c r="B10280" s="30" t="s">
        <v>1226</v>
      </c>
      <c r="D10280" s="30" t="s">
        <v>2024</v>
      </c>
      <c r="F10280" s="30" t="s">
        <v>2046</v>
      </c>
      <c r="H10280" s="30" t="s">
        <v>2859</v>
      </c>
      <c r="J10280" s="30" t="s">
        <v>3390</v>
      </c>
      <c r="L10280" s="30" t="s">
        <v>3442</v>
      </c>
      <c r="N10280" s="30" t="s">
        <v>16354</v>
      </c>
      <c r="P10280" s="30" t="s">
        <v>16790</v>
      </c>
      <c r="Q10280" t="s">
        <v>621</v>
      </c>
      <c r="R10280" t="s">
        <v>917</v>
      </c>
      <c r="S10280">
        <v>39</v>
      </c>
      <c r="T10280" s="29" t="str">
        <f t="shared" si="426"/>
        <v>2023.001B.Leviviricetes_reorg.zip</v>
      </c>
      <c r="U10280" s="29" t="str">
        <f>HYPERLINK("https://ictv.global/taxonomy/taxondetails?taxnode_id=202317395","ictv.global=202317395")</f>
        <v>ictv.global=202317395</v>
      </c>
    </row>
    <row r="10281" spans="1:21">
      <c r="A10281">
        <v>10280</v>
      </c>
      <c r="B10281" s="30" t="s">
        <v>1226</v>
      </c>
      <c r="D10281" s="30" t="s">
        <v>2024</v>
      </c>
      <c r="F10281" s="30" t="s">
        <v>2046</v>
      </c>
      <c r="H10281" s="30" t="s">
        <v>2859</v>
      </c>
      <c r="J10281" s="30" t="s">
        <v>3390</v>
      </c>
      <c r="L10281" s="30" t="s">
        <v>3442</v>
      </c>
      <c r="N10281" s="30" t="s">
        <v>16354</v>
      </c>
      <c r="P10281" s="30" t="s">
        <v>16791</v>
      </c>
      <c r="Q10281" t="s">
        <v>621</v>
      </c>
      <c r="R10281" t="s">
        <v>917</v>
      </c>
      <c r="S10281">
        <v>39</v>
      </c>
      <c r="T10281" s="29" t="str">
        <f t="shared" si="426"/>
        <v>2023.001B.Leviviricetes_reorg.zip</v>
      </c>
      <c r="U10281" s="29" t="str">
        <f>HYPERLINK("https://ictv.global/taxonomy/taxondetails?taxnode_id=202317396","ictv.global=202317396")</f>
        <v>ictv.global=202317396</v>
      </c>
    </row>
    <row r="10282" spans="1:21">
      <c r="A10282">
        <v>10281</v>
      </c>
      <c r="B10282" s="30" t="s">
        <v>1226</v>
      </c>
      <c r="D10282" s="30" t="s">
        <v>2024</v>
      </c>
      <c r="F10282" s="30" t="s">
        <v>2046</v>
      </c>
      <c r="H10282" s="30" t="s">
        <v>2859</v>
      </c>
      <c r="J10282" s="30" t="s">
        <v>3390</v>
      </c>
      <c r="L10282" s="30" t="s">
        <v>3442</v>
      </c>
      <c r="N10282" s="30" t="s">
        <v>16354</v>
      </c>
      <c r="P10282" s="30" t="s">
        <v>16792</v>
      </c>
      <c r="Q10282" t="s">
        <v>621</v>
      </c>
      <c r="R10282" t="s">
        <v>917</v>
      </c>
      <c r="S10282">
        <v>39</v>
      </c>
      <c r="T10282" s="29" t="str">
        <f t="shared" si="426"/>
        <v>2023.001B.Leviviricetes_reorg.zip</v>
      </c>
      <c r="U10282" s="29" t="str">
        <f>HYPERLINK("https://ictv.global/taxonomy/taxondetails?taxnode_id=202317397","ictv.global=202317397")</f>
        <v>ictv.global=202317397</v>
      </c>
    </row>
    <row r="10283" spans="1:21">
      <c r="A10283">
        <v>10282</v>
      </c>
      <c r="B10283" s="30" t="s">
        <v>1226</v>
      </c>
      <c r="D10283" s="30" t="s">
        <v>2024</v>
      </c>
      <c r="F10283" s="30" t="s">
        <v>2046</v>
      </c>
      <c r="H10283" s="30" t="s">
        <v>2859</v>
      </c>
      <c r="J10283" s="30" t="s">
        <v>3390</v>
      </c>
      <c r="L10283" s="30" t="s">
        <v>3442</v>
      </c>
      <c r="N10283" s="30" t="s">
        <v>16354</v>
      </c>
      <c r="P10283" s="30" t="s">
        <v>16793</v>
      </c>
      <c r="Q10283" t="s">
        <v>621</v>
      </c>
      <c r="R10283" t="s">
        <v>917</v>
      </c>
      <c r="S10283">
        <v>39</v>
      </c>
      <c r="T10283" s="29" t="str">
        <f t="shared" si="426"/>
        <v>2023.001B.Leviviricetes_reorg.zip</v>
      </c>
      <c r="U10283" s="29" t="str">
        <f>HYPERLINK("https://ictv.global/taxonomy/taxondetails?taxnode_id=202317398","ictv.global=202317398")</f>
        <v>ictv.global=202317398</v>
      </c>
    </row>
    <row r="10284" spans="1:21">
      <c r="A10284">
        <v>10283</v>
      </c>
      <c r="B10284" s="30" t="s">
        <v>1226</v>
      </c>
      <c r="D10284" s="30" t="s">
        <v>2024</v>
      </c>
      <c r="F10284" s="30" t="s">
        <v>2046</v>
      </c>
      <c r="H10284" s="30" t="s">
        <v>2859</v>
      </c>
      <c r="J10284" s="30" t="s">
        <v>3390</v>
      </c>
      <c r="L10284" s="30" t="s">
        <v>3442</v>
      </c>
      <c r="N10284" s="30" t="s">
        <v>16354</v>
      </c>
      <c r="P10284" s="30" t="s">
        <v>16794</v>
      </c>
      <c r="Q10284" t="s">
        <v>621</v>
      </c>
      <c r="R10284" t="s">
        <v>917</v>
      </c>
      <c r="S10284">
        <v>39</v>
      </c>
      <c r="T10284" s="29" t="str">
        <f t="shared" si="426"/>
        <v>2023.001B.Leviviricetes_reorg.zip</v>
      </c>
      <c r="U10284" s="29" t="str">
        <f>HYPERLINK("https://ictv.global/taxonomy/taxondetails?taxnode_id=202317399","ictv.global=202317399")</f>
        <v>ictv.global=202317399</v>
      </c>
    </row>
    <row r="10285" spans="1:21">
      <c r="A10285">
        <v>10284</v>
      </c>
      <c r="B10285" s="30" t="s">
        <v>1226</v>
      </c>
      <c r="D10285" s="30" t="s">
        <v>2024</v>
      </c>
      <c r="F10285" s="30" t="s">
        <v>2046</v>
      </c>
      <c r="H10285" s="30" t="s">
        <v>2859</v>
      </c>
      <c r="J10285" s="30" t="s">
        <v>3390</v>
      </c>
      <c r="L10285" s="30" t="s">
        <v>3442</v>
      </c>
      <c r="N10285" s="30" t="s">
        <v>16354</v>
      </c>
      <c r="P10285" s="30" t="s">
        <v>16795</v>
      </c>
      <c r="Q10285" t="s">
        <v>621</v>
      </c>
      <c r="R10285" t="s">
        <v>917</v>
      </c>
      <c r="S10285">
        <v>39</v>
      </c>
      <c r="T10285" s="29" t="str">
        <f t="shared" si="426"/>
        <v>2023.001B.Leviviricetes_reorg.zip</v>
      </c>
      <c r="U10285" s="29" t="str">
        <f>HYPERLINK("https://ictv.global/taxonomy/taxondetails?taxnode_id=202317400","ictv.global=202317400")</f>
        <v>ictv.global=202317400</v>
      </c>
    </row>
    <row r="10286" spans="1:21">
      <c r="A10286">
        <v>10285</v>
      </c>
      <c r="B10286" s="30" t="s">
        <v>1226</v>
      </c>
      <c r="D10286" s="30" t="s">
        <v>2024</v>
      </c>
      <c r="F10286" s="30" t="s">
        <v>2046</v>
      </c>
      <c r="H10286" s="30" t="s">
        <v>2859</v>
      </c>
      <c r="J10286" s="30" t="s">
        <v>3390</v>
      </c>
      <c r="L10286" s="30" t="s">
        <v>3442</v>
      </c>
      <c r="N10286" s="30" t="s">
        <v>16354</v>
      </c>
      <c r="P10286" s="30" t="s">
        <v>16796</v>
      </c>
      <c r="Q10286" t="s">
        <v>621</v>
      </c>
      <c r="R10286" t="s">
        <v>917</v>
      </c>
      <c r="S10286">
        <v>39</v>
      </c>
      <c r="T10286" s="29" t="str">
        <f t="shared" si="426"/>
        <v>2023.001B.Leviviricetes_reorg.zip</v>
      </c>
      <c r="U10286" s="29" t="str">
        <f>HYPERLINK("https://ictv.global/taxonomy/taxondetails?taxnode_id=202317401","ictv.global=202317401")</f>
        <v>ictv.global=202317401</v>
      </c>
    </row>
    <row r="10287" spans="1:21">
      <c r="A10287">
        <v>10286</v>
      </c>
      <c r="B10287" s="30" t="s">
        <v>1226</v>
      </c>
      <c r="D10287" s="30" t="s">
        <v>2024</v>
      </c>
      <c r="F10287" s="30" t="s">
        <v>2046</v>
      </c>
      <c r="H10287" s="30" t="s">
        <v>2859</v>
      </c>
      <c r="J10287" s="30" t="s">
        <v>3390</v>
      </c>
      <c r="L10287" s="30" t="s">
        <v>3442</v>
      </c>
      <c r="N10287" s="30" t="s">
        <v>16354</v>
      </c>
      <c r="P10287" s="30" t="s">
        <v>16797</v>
      </c>
      <c r="Q10287" t="s">
        <v>621</v>
      </c>
      <c r="R10287" t="s">
        <v>917</v>
      </c>
      <c r="S10287">
        <v>39</v>
      </c>
      <c r="T10287" s="29" t="str">
        <f t="shared" si="426"/>
        <v>2023.001B.Leviviricetes_reorg.zip</v>
      </c>
      <c r="U10287" s="29" t="str">
        <f>HYPERLINK("https://ictv.global/taxonomy/taxondetails?taxnode_id=202317402","ictv.global=202317402")</f>
        <v>ictv.global=202317402</v>
      </c>
    </row>
    <row r="10288" spans="1:21">
      <c r="A10288">
        <v>10287</v>
      </c>
      <c r="B10288" s="30" t="s">
        <v>1226</v>
      </c>
      <c r="D10288" s="30" t="s">
        <v>2024</v>
      </c>
      <c r="F10288" s="30" t="s">
        <v>2046</v>
      </c>
      <c r="H10288" s="30" t="s">
        <v>2859</v>
      </c>
      <c r="J10288" s="30" t="s">
        <v>3390</v>
      </c>
      <c r="L10288" s="30" t="s">
        <v>3442</v>
      </c>
      <c r="N10288" s="30" t="s">
        <v>16354</v>
      </c>
      <c r="P10288" s="30" t="s">
        <v>16798</v>
      </c>
      <c r="Q10288" t="s">
        <v>621</v>
      </c>
      <c r="R10288" t="s">
        <v>917</v>
      </c>
      <c r="S10288">
        <v>39</v>
      </c>
      <c r="T10288" s="29" t="str">
        <f t="shared" si="426"/>
        <v>2023.001B.Leviviricetes_reorg.zip</v>
      </c>
      <c r="U10288" s="29" t="str">
        <f>HYPERLINK("https://ictv.global/taxonomy/taxondetails?taxnode_id=202317403","ictv.global=202317403")</f>
        <v>ictv.global=202317403</v>
      </c>
    </row>
    <row r="10289" spans="1:21">
      <c r="A10289">
        <v>10288</v>
      </c>
      <c r="B10289" s="30" t="s">
        <v>1226</v>
      </c>
      <c r="D10289" s="30" t="s">
        <v>2024</v>
      </c>
      <c r="F10289" s="30" t="s">
        <v>2046</v>
      </c>
      <c r="H10289" s="30" t="s">
        <v>2859</v>
      </c>
      <c r="J10289" s="30" t="s">
        <v>3390</v>
      </c>
      <c r="L10289" s="30" t="s">
        <v>3442</v>
      </c>
      <c r="N10289" s="30" t="s">
        <v>16354</v>
      </c>
      <c r="P10289" s="30" t="s">
        <v>16799</v>
      </c>
      <c r="Q10289" t="s">
        <v>621</v>
      </c>
      <c r="R10289" t="s">
        <v>917</v>
      </c>
      <c r="S10289">
        <v>39</v>
      </c>
      <c r="T10289" s="29" t="str">
        <f t="shared" si="426"/>
        <v>2023.001B.Leviviricetes_reorg.zip</v>
      </c>
      <c r="U10289" s="29" t="str">
        <f>HYPERLINK("https://ictv.global/taxonomy/taxondetails?taxnode_id=202317404","ictv.global=202317404")</f>
        <v>ictv.global=202317404</v>
      </c>
    </row>
    <row r="10290" spans="1:21">
      <c r="A10290">
        <v>10289</v>
      </c>
      <c r="B10290" s="30" t="s">
        <v>1226</v>
      </c>
      <c r="D10290" s="30" t="s">
        <v>2024</v>
      </c>
      <c r="F10290" s="30" t="s">
        <v>2046</v>
      </c>
      <c r="H10290" s="30" t="s">
        <v>2859</v>
      </c>
      <c r="J10290" s="30" t="s">
        <v>3390</v>
      </c>
      <c r="L10290" s="30" t="s">
        <v>3442</v>
      </c>
      <c r="N10290" s="30" t="s">
        <v>16354</v>
      </c>
      <c r="P10290" s="30" t="s">
        <v>16800</v>
      </c>
      <c r="Q10290" t="s">
        <v>621</v>
      </c>
      <c r="R10290" t="s">
        <v>917</v>
      </c>
      <c r="S10290">
        <v>39</v>
      </c>
      <c r="T10290" s="29" t="str">
        <f t="shared" si="426"/>
        <v>2023.001B.Leviviricetes_reorg.zip</v>
      </c>
      <c r="U10290" s="29" t="str">
        <f>HYPERLINK("https://ictv.global/taxonomy/taxondetails?taxnode_id=202317405","ictv.global=202317405")</f>
        <v>ictv.global=202317405</v>
      </c>
    </row>
    <row r="10291" spans="1:21">
      <c r="A10291">
        <v>10290</v>
      </c>
      <c r="B10291" s="30" t="s">
        <v>1226</v>
      </c>
      <c r="D10291" s="30" t="s">
        <v>2024</v>
      </c>
      <c r="F10291" s="30" t="s">
        <v>2046</v>
      </c>
      <c r="H10291" s="30" t="s">
        <v>2859</v>
      </c>
      <c r="J10291" s="30" t="s">
        <v>3390</v>
      </c>
      <c r="L10291" s="30" t="s">
        <v>3442</v>
      </c>
      <c r="N10291" s="30" t="s">
        <v>16354</v>
      </c>
      <c r="P10291" s="30" t="s">
        <v>16801</v>
      </c>
      <c r="Q10291" t="s">
        <v>621</v>
      </c>
      <c r="R10291" t="s">
        <v>917</v>
      </c>
      <c r="S10291">
        <v>39</v>
      </c>
      <c r="T10291" s="29" t="str">
        <f t="shared" si="426"/>
        <v>2023.001B.Leviviricetes_reorg.zip</v>
      </c>
      <c r="U10291" s="29" t="str">
        <f>HYPERLINK("https://ictv.global/taxonomy/taxondetails?taxnode_id=202317406","ictv.global=202317406")</f>
        <v>ictv.global=202317406</v>
      </c>
    </row>
    <row r="10292" spans="1:21">
      <c r="A10292">
        <v>10291</v>
      </c>
      <c r="B10292" s="30" t="s">
        <v>1226</v>
      </c>
      <c r="D10292" s="30" t="s">
        <v>2024</v>
      </c>
      <c r="F10292" s="30" t="s">
        <v>2046</v>
      </c>
      <c r="H10292" s="30" t="s">
        <v>2859</v>
      </c>
      <c r="J10292" s="30" t="s">
        <v>3390</v>
      </c>
      <c r="L10292" s="30" t="s">
        <v>3442</v>
      </c>
      <c r="N10292" s="30" t="s">
        <v>16354</v>
      </c>
      <c r="P10292" s="30" t="s">
        <v>16802</v>
      </c>
      <c r="Q10292" t="s">
        <v>621</v>
      </c>
      <c r="R10292" t="s">
        <v>917</v>
      </c>
      <c r="S10292">
        <v>39</v>
      </c>
      <c r="T10292" s="29" t="str">
        <f t="shared" si="426"/>
        <v>2023.001B.Leviviricetes_reorg.zip</v>
      </c>
      <c r="U10292" s="29" t="str">
        <f>HYPERLINK("https://ictv.global/taxonomy/taxondetails?taxnode_id=202317407","ictv.global=202317407")</f>
        <v>ictv.global=202317407</v>
      </c>
    </row>
    <row r="10293" spans="1:21">
      <c r="A10293">
        <v>10292</v>
      </c>
      <c r="B10293" s="30" t="s">
        <v>1226</v>
      </c>
      <c r="D10293" s="30" t="s">
        <v>2024</v>
      </c>
      <c r="F10293" s="30" t="s">
        <v>2046</v>
      </c>
      <c r="H10293" s="30" t="s">
        <v>2859</v>
      </c>
      <c r="J10293" s="30" t="s">
        <v>3390</v>
      </c>
      <c r="L10293" s="30" t="s">
        <v>3442</v>
      </c>
      <c r="N10293" s="30" t="s">
        <v>16354</v>
      </c>
      <c r="P10293" s="30" t="s">
        <v>16803</v>
      </c>
      <c r="Q10293" t="s">
        <v>621</v>
      </c>
      <c r="R10293" t="s">
        <v>917</v>
      </c>
      <c r="S10293">
        <v>39</v>
      </c>
      <c r="T10293" s="29" t="str">
        <f t="shared" si="426"/>
        <v>2023.001B.Leviviricetes_reorg.zip</v>
      </c>
      <c r="U10293" s="29" t="str">
        <f>HYPERLINK("https://ictv.global/taxonomy/taxondetails?taxnode_id=202317408","ictv.global=202317408")</f>
        <v>ictv.global=202317408</v>
      </c>
    </row>
    <row r="10294" spans="1:21">
      <c r="A10294">
        <v>10293</v>
      </c>
      <c r="B10294" s="30" t="s">
        <v>1226</v>
      </c>
      <c r="D10294" s="30" t="s">
        <v>2024</v>
      </c>
      <c r="F10294" s="30" t="s">
        <v>2046</v>
      </c>
      <c r="H10294" s="30" t="s">
        <v>2859</v>
      </c>
      <c r="J10294" s="30" t="s">
        <v>3390</v>
      </c>
      <c r="L10294" s="30" t="s">
        <v>3442</v>
      </c>
      <c r="N10294" s="30" t="s">
        <v>16354</v>
      </c>
      <c r="P10294" s="30" t="s">
        <v>16804</v>
      </c>
      <c r="Q10294" t="s">
        <v>621</v>
      </c>
      <c r="R10294" t="s">
        <v>918</v>
      </c>
      <c r="S10294">
        <v>39</v>
      </c>
      <c r="T10294" s="29" t="str">
        <f t="shared" si="426"/>
        <v>2023.001B.Leviviricetes_reorg.zip</v>
      </c>
      <c r="U10294" s="29" t="str">
        <f>HYPERLINK("https://ictv.global/taxonomy/taxondetails?taxnode_id=202311026","ictv.global=202311026")</f>
        <v>ictv.global=202311026</v>
      </c>
    </row>
    <row r="10295" spans="1:21">
      <c r="A10295">
        <v>10294</v>
      </c>
      <c r="B10295" s="30" t="s">
        <v>1226</v>
      </c>
      <c r="D10295" s="30" t="s">
        <v>2024</v>
      </c>
      <c r="F10295" s="30" t="s">
        <v>2046</v>
      </c>
      <c r="H10295" s="30" t="s">
        <v>2859</v>
      </c>
      <c r="J10295" s="30" t="s">
        <v>3390</v>
      </c>
      <c r="L10295" s="30" t="s">
        <v>3442</v>
      </c>
      <c r="N10295" s="30" t="s">
        <v>16354</v>
      </c>
      <c r="P10295" s="30" t="s">
        <v>16805</v>
      </c>
      <c r="Q10295" t="s">
        <v>621</v>
      </c>
      <c r="R10295" t="s">
        <v>918</v>
      </c>
      <c r="S10295">
        <v>39</v>
      </c>
      <c r="T10295" s="29" t="str">
        <f t="shared" si="426"/>
        <v>2023.001B.Leviviricetes_reorg.zip</v>
      </c>
      <c r="U10295" s="29" t="str">
        <f>HYPERLINK("https://ictv.global/taxonomy/taxondetails?taxnode_id=202311028","ictv.global=202311028")</f>
        <v>ictv.global=202311028</v>
      </c>
    </row>
    <row r="10296" spans="1:21">
      <c r="A10296">
        <v>10295</v>
      </c>
      <c r="B10296" s="30" t="s">
        <v>1226</v>
      </c>
      <c r="D10296" s="30" t="s">
        <v>2024</v>
      </c>
      <c r="F10296" s="30" t="s">
        <v>2046</v>
      </c>
      <c r="H10296" s="30" t="s">
        <v>2859</v>
      </c>
      <c r="J10296" s="30" t="s">
        <v>3390</v>
      </c>
      <c r="L10296" s="30" t="s">
        <v>3442</v>
      </c>
      <c r="N10296" s="30" t="s">
        <v>16354</v>
      </c>
      <c r="P10296" s="30" t="s">
        <v>16806</v>
      </c>
      <c r="Q10296" t="s">
        <v>621</v>
      </c>
      <c r="R10296" t="s">
        <v>918</v>
      </c>
      <c r="S10296">
        <v>39</v>
      </c>
      <c r="T10296" s="29" t="str">
        <f t="shared" si="426"/>
        <v>2023.001B.Leviviricetes_reorg.zip</v>
      </c>
      <c r="U10296" s="29" t="str">
        <f>HYPERLINK("https://ictv.global/taxonomy/taxondetails?taxnode_id=202311027","ictv.global=202311027")</f>
        <v>ictv.global=202311027</v>
      </c>
    </row>
    <row r="10297" spans="1:21">
      <c r="A10297">
        <v>10296</v>
      </c>
      <c r="B10297" s="30" t="s">
        <v>1226</v>
      </c>
      <c r="D10297" s="30" t="s">
        <v>2024</v>
      </c>
      <c r="F10297" s="30" t="s">
        <v>2046</v>
      </c>
      <c r="H10297" s="30" t="s">
        <v>2859</v>
      </c>
      <c r="J10297" s="30" t="s">
        <v>3390</v>
      </c>
      <c r="L10297" s="30" t="s">
        <v>3442</v>
      </c>
      <c r="N10297" s="30" t="s">
        <v>16354</v>
      </c>
      <c r="P10297" s="30" t="s">
        <v>16807</v>
      </c>
      <c r="Q10297" t="s">
        <v>621</v>
      </c>
      <c r="R10297" t="s">
        <v>918</v>
      </c>
      <c r="S10297">
        <v>39</v>
      </c>
      <c r="T10297" s="29" t="str">
        <f t="shared" si="426"/>
        <v>2023.001B.Leviviricetes_reorg.zip</v>
      </c>
      <c r="U10297" s="29" t="str">
        <f>HYPERLINK("https://ictv.global/taxonomy/taxondetails?taxnode_id=202311029","ictv.global=202311029")</f>
        <v>ictv.global=202311029</v>
      </c>
    </row>
    <row r="10298" spans="1:21">
      <c r="A10298">
        <v>10297</v>
      </c>
      <c r="B10298" s="30" t="s">
        <v>1226</v>
      </c>
      <c r="D10298" s="30" t="s">
        <v>2024</v>
      </c>
      <c r="F10298" s="30" t="s">
        <v>2046</v>
      </c>
      <c r="H10298" s="30" t="s">
        <v>2859</v>
      </c>
      <c r="J10298" s="30" t="s">
        <v>3390</v>
      </c>
      <c r="L10298" s="30" t="s">
        <v>3442</v>
      </c>
      <c r="N10298" s="30" t="s">
        <v>16354</v>
      </c>
      <c r="P10298" s="30" t="s">
        <v>16808</v>
      </c>
      <c r="Q10298" t="s">
        <v>621</v>
      </c>
      <c r="R10298" t="s">
        <v>918</v>
      </c>
      <c r="S10298">
        <v>39</v>
      </c>
      <c r="T10298" s="29" t="str">
        <f t="shared" si="426"/>
        <v>2023.001B.Leviviricetes_reorg.zip</v>
      </c>
      <c r="U10298" s="29" t="str">
        <f>HYPERLINK("https://ictv.global/taxonomy/taxondetails?taxnode_id=202311030","ictv.global=202311030")</f>
        <v>ictv.global=202311030</v>
      </c>
    </row>
    <row r="10299" spans="1:21">
      <c r="A10299">
        <v>10298</v>
      </c>
      <c r="B10299" s="30" t="s">
        <v>1226</v>
      </c>
      <c r="D10299" s="30" t="s">
        <v>2024</v>
      </c>
      <c r="F10299" s="30" t="s">
        <v>2046</v>
      </c>
      <c r="H10299" s="30" t="s">
        <v>2859</v>
      </c>
      <c r="J10299" s="30" t="s">
        <v>3390</v>
      </c>
      <c r="L10299" s="30" t="s">
        <v>3442</v>
      </c>
      <c r="N10299" s="30" t="s">
        <v>16354</v>
      </c>
      <c r="P10299" s="30" t="s">
        <v>16809</v>
      </c>
      <c r="Q10299" t="s">
        <v>621</v>
      </c>
      <c r="R10299" t="s">
        <v>918</v>
      </c>
      <c r="S10299">
        <v>39</v>
      </c>
      <c r="T10299" s="29" t="str">
        <f t="shared" si="426"/>
        <v>2023.001B.Leviviricetes_reorg.zip</v>
      </c>
      <c r="U10299" s="29" t="str">
        <f>HYPERLINK("https://ictv.global/taxonomy/taxondetails?taxnode_id=202311031","ictv.global=202311031")</f>
        <v>ictv.global=202311031</v>
      </c>
    </row>
    <row r="10300" spans="1:21">
      <c r="A10300">
        <v>10299</v>
      </c>
      <c r="B10300" s="30" t="s">
        <v>1226</v>
      </c>
      <c r="D10300" s="30" t="s">
        <v>2024</v>
      </c>
      <c r="F10300" s="30" t="s">
        <v>2046</v>
      </c>
      <c r="H10300" s="30" t="s">
        <v>2859</v>
      </c>
      <c r="J10300" s="30" t="s">
        <v>3390</v>
      </c>
      <c r="L10300" s="30" t="s">
        <v>3442</v>
      </c>
      <c r="N10300" s="30" t="s">
        <v>16354</v>
      </c>
      <c r="P10300" s="30" t="s">
        <v>16810</v>
      </c>
      <c r="Q10300" t="s">
        <v>621</v>
      </c>
      <c r="R10300" t="s">
        <v>918</v>
      </c>
      <c r="S10300">
        <v>39</v>
      </c>
      <c r="T10300" s="29" t="str">
        <f t="shared" si="426"/>
        <v>2023.001B.Leviviricetes_reorg.zip</v>
      </c>
      <c r="U10300" s="29" t="str">
        <f>HYPERLINK("https://ictv.global/taxonomy/taxondetails?taxnode_id=202311044","ictv.global=202311044")</f>
        <v>ictv.global=202311044</v>
      </c>
    </row>
    <row r="10301" spans="1:21">
      <c r="A10301">
        <v>10300</v>
      </c>
      <c r="B10301" s="30" t="s">
        <v>1226</v>
      </c>
      <c r="D10301" s="30" t="s">
        <v>2024</v>
      </c>
      <c r="F10301" s="30" t="s">
        <v>2046</v>
      </c>
      <c r="H10301" s="30" t="s">
        <v>2859</v>
      </c>
      <c r="J10301" s="30" t="s">
        <v>3390</v>
      </c>
      <c r="L10301" s="30" t="s">
        <v>3442</v>
      </c>
      <c r="N10301" s="30" t="s">
        <v>16354</v>
      </c>
      <c r="P10301" s="30" t="s">
        <v>16811</v>
      </c>
      <c r="Q10301" t="s">
        <v>621</v>
      </c>
      <c r="R10301" t="s">
        <v>918</v>
      </c>
      <c r="S10301">
        <v>39</v>
      </c>
      <c r="T10301" s="29" t="str">
        <f t="shared" si="426"/>
        <v>2023.001B.Leviviricetes_reorg.zip</v>
      </c>
      <c r="U10301" s="29" t="str">
        <f>HYPERLINK("https://ictv.global/taxonomy/taxondetails?taxnode_id=202311046","ictv.global=202311046")</f>
        <v>ictv.global=202311046</v>
      </c>
    </row>
    <row r="10302" spans="1:21">
      <c r="A10302">
        <v>10301</v>
      </c>
      <c r="B10302" s="30" t="s">
        <v>1226</v>
      </c>
      <c r="D10302" s="30" t="s">
        <v>2024</v>
      </c>
      <c r="F10302" s="30" t="s">
        <v>2046</v>
      </c>
      <c r="H10302" s="30" t="s">
        <v>2859</v>
      </c>
      <c r="J10302" s="30" t="s">
        <v>3390</v>
      </c>
      <c r="L10302" s="30" t="s">
        <v>3442</v>
      </c>
      <c r="N10302" s="30" t="s">
        <v>16354</v>
      </c>
      <c r="P10302" s="30" t="s">
        <v>16812</v>
      </c>
      <c r="Q10302" t="s">
        <v>621</v>
      </c>
      <c r="R10302" t="s">
        <v>918</v>
      </c>
      <c r="S10302">
        <v>39</v>
      </c>
      <c r="T10302" s="29" t="str">
        <f t="shared" si="426"/>
        <v>2023.001B.Leviviricetes_reorg.zip</v>
      </c>
      <c r="U10302" s="29" t="str">
        <f>HYPERLINK("https://ictv.global/taxonomy/taxondetails?taxnode_id=202311045","ictv.global=202311045")</f>
        <v>ictv.global=202311045</v>
      </c>
    </row>
    <row r="10303" spans="1:21">
      <c r="A10303">
        <v>10302</v>
      </c>
      <c r="B10303" s="30" t="s">
        <v>1226</v>
      </c>
      <c r="D10303" s="30" t="s">
        <v>2024</v>
      </c>
      <c r="F10303" s="30" t="s">
        <v>2046</v>
      </c>
      <c r="H10303" s="30" t="s">
        <v>2859</v>
      </c>
      <c r="J10303" s="30" t="s">
        <v>3390</v>
      </c>
      <c r="L10303" s="30" t="s">
        <v>3442</v>
      </c>
      <c r="N10303" s="30" t="s">
        <v>16354</v>
      </c>
      <c r="P10303" s="30" t="s">
        <v>16813</v>
      </c>
      <c r="Q10303" t="s">
        <v>621</v>
      </c>
      <c r="R10303" t="s">
        <v>918</v>
      </c>
      <c r="S10303">
        <v>39</v>
      </c>
      <c r="T10303" s="29" t="str">
        <f t="shared" si="426"/>
        <v>2023.001B.Leviviricetes_reorg.zip</v>
      </c>
      <c r="U10303" s="29" t="str">
        <f>HYPERLINK("https://ictv.global/taxonomy/taxondetails?taxnode_id=202311047","ictv.global=202311047")</f>
        <v>ictv.global=202311047</v>
      </c>
    </row>
    <row r="10304" spans="1:21">
      <c r="A10304">
        <v>10303</v>
      </c>
      <c r="B10304" s="30" t="s">
        <v>1226</v>
      </c>
      <c r="D10304" s="30" t="s">
        <v>2024</v>
      </c>
      <c r="F10304" s="30" t="s">
        <v>2046</v>
      </c>
      <c r="H10304" s="30" t="s">
        <v>2859</v>
      </c>
      <c r="J10304" s="30" t="s">
        <v>3390</v>
      </c>
      <c r="L10304" s="30" t="s">
        <v>3442</v>
      </c>
      <c r="N10304" s="30" t="s">
        <v>16354</v>
      </c>
      <c r="P10304" s="30" t="s">
        <v>16814</v>
      </c>
      <c r="Q10304" t="s">
        <v>621</v>
      </c>
      <c r="R10304" t="s">
        <v>918</v>
      </c>
      <c r="S10304">
        <v>39</v>
      </c>
      <c r="T10304" s="29" t="str">
        <f t="shared" si="426"/>
        <v>2023.001B.Leviviricetes_reorg.zip</v>
      </c>
      <c r="U10304" s="29" t="str">
        <f>HYPERLINK("https://ictv.global/taxonomy/taxondetails?taxnode_id=202311051","ictv.global=202311051")</f>
        <v>ictv.global=202311051</v>
      </c>
    </row>
    <row r="10305" spans="1:21">
      <c r="A10305">
        <v>10304</v>
      </c>
      <c r="B10305" s="30" t="s">
        <v>1226</v>
      </c>
      <c r="D10305" s="30" t="s">
        <v>2024</v>
      </c>
      <c r="F10305" s="30" t="s">
        <v>2046</v>
      </c>
      <c r="H10305" s="30" t="s">
        <v>2859</v>
      </c>
      <c r="J10305" s="30" t="s">
        <v>3390</v>
      </c>
      <c r="L10305" s="30" t="s">
        <v>3442</v>
      </c>
      <c r="N10305" s="30" t="s">
        <v>16354</v>
      </c>
      <c r="P10305" s="30" t="s">
        <v>16815</v>
      </c>
      <c r="Q10305" t="s">
        <v>621</v>
      </c>
      <c r="R10305" t="s">
        <v>918</v>
      </c>
      <c r="S10305">
        <v>39</v>
      </c>
      <c r="T10305" s="29" t="str">
        <f t="shared" si="426"/>
        <v>2023.001B.Leviviricetes_reorg.zip</v>
      </c>
      <c r="U10305" s="29" t="str">
        <f>HYPERLINK("https://ictv.global/taxonomy/taxondetails?taxnode_id=202311052","ictv.global=202311052")</f>
        <v>ictv.global=202311052</v>
      </c>
    </row>
    <row r="10306" spans="1:21">
      <c r="A10306">
        <v>10305</v>
      </c>
      <c r="B10306" s="30" t="s">
        <v>1226</v>
      </c>
      <c r="D10306" s="30" t="s">
        <v>2024</v>
      </c>
      <c r="F10306" s="30" t="s">
        <v>2046</v>
      </c>
      <c r="H10306" s="30" t="s">
        <v>2859</v>
      </c>
      <c r="J10306" s="30" t="s">
        <v>3390</v>
      </c>
      <c r="L10306" s="30" t="s">
        <v>3442</v>
      </c>
      <c r="N10306" s="30" t="s">
        <v>16354</v>
      </c>
      <c r="P10306" s="30" t="s">
        <v>16816</v>
      </c>
      <c r="Q10306" t="s">
        <v>621</v>
      </c>
      <c r="R10306" t="s">
        <v>918</v>
      </c>
      <c r="S10306">
        <v>39</v>
      </c>
      <c r="T10306" s="29" t="str">
        <f t="shared" si="426"/>
        <v>2023.001B.Leviviricetes_reorg.zip</v>
      </c>
      <c r="U10306" s="29" t="str">
        <f>HYPERLINK("https://ictv.global/taxonomy/taxondetails?taxnode_id=202311053","ictv.global=202311053")</f>
        <v>ictv.global=202311053</v>
      </c>
    </row>
    <row r="10307" spans="1:21">
      <c r="A10307">
        <v>10306</v>
      </c>
      <c r="B10307" s="30" t="s">
        <v>1226</v>
      </c>
      <c r="D10307" s="30" t="s">
        <v>2024</v>
      </c>
      <c r="F10307" s="30" t="s">
        <v>2046</v>
      </c>
      <c r="H10307" s="30" t="s">
        <v>2859</v>
      </c>
      <c r="J10307" s="30" t="s">
        <v>3390</v>
      </c>
      <c r="L10307" s="30" t="s">
        <v>3442</v>
      </c>
      <c r="N10307" s="30" t="s">
        <v>16354</v>
      </c>
      <c r="P10307" s="30" t="s">
        <v>16817</v>
      </c>
      <c r="Q10307" t="s">
        <v>621</v>
      </c>
      <c r="R10307" t="s">
        <v>918</v>
      </c>
      <c r="S10307">
        <v>39</v>
      </c>
      <c r="T10307" s="29" t="str">
        <f t="shared" si="426"/>
        <v>2023.001B.Leviviricetes_reorg.zip</v>
      </c>
      <c r="U10307" s="29" t="str">
        <f>HYPERLINK("https://ictv.global/taxonomy/taxondetails?taxnode_id=202311206","ictv.global=202311206")</f>
        <v>ictv.global=202311206</v>
      </c>
    </row>
    <row r="10308" spans="1:21">
      <c r="A10308">
        <v>10307</v>
      </c>
      <c r="B10308" s="30" t="s">
        <v>1226</v>
      </c>
      <c r="D10308" s="30" t="s">
        <v>2024</v>
      </c>
      <c r="F10308" s="30" t="s">
        <v>2046</v>
      </c>
      <c r="H10308" s="30" t="s">
        <v>2859</v>
      </c>
      <c r="J10308" s="30" t="s">
        <v>3390</v>
      </c>
      <c r="L10308" s="30" t="s">
        <v>3442</v>
      </c>
      <c r="N10308" s="30" t="s">
        <v>16354</v>
      </c>
      <c r="P10308" s="30" t="s">
        <v>16818</v>
      </c>
      <c r="Q10308" t="s">
        <v>621</v>
      </c>
      <c r="R10308" t="s">
        <v>918</v>
      </c>
      <c r="S10308">
        <v>39</v>
      </c>
      <c r="T10308" s="29" t="str">
        <f t="shared" si="426"/>
        <v>2023.001B.Leviviricetes_reorg.zip</v>
      </c>
      <c r="U10308" s="29" t="str">
        <f>HYPERLINK("https://ictv.global/taxonomy/taxondetails?taxnode_id=202311054","ictv.global=202311054")</f>
        <v>ictv.global=202311054</v>
      </c>
    </row>
    <row r="10309" spans="1:21">
      <c r="A10309">
        <v>10308</v>
      </c>
      <c r="B10309" s="30" t="s">
        <v>1226</v>
      </c>
      <c r="D10309" s="30" t="s">
        <v>2024</v>
      </c>
      <c r="F10309" s="30" t="s">
        <v>2046</v>
      </c>
      <c r="H10309" s="30" t="s">
        <v>2859</v>
      </c>
      <c r="J10309" s="30" t="s">
        <v>3390</v>
      </c>
      <c r="L10309" s="30" t="s">
        <v>3442</v>
      </c>
      <c r="N10309" s="30" t="s">
        <v>16354</v>
      </c>
      <c r="P10309" s="30" t="s">
        <v>16819</v>
      </c>
      <c r="Q10309" t="s">
        <v>621</v>
      </c>
      <c r="R10309" t="s">
        <v>918</v>
      </c>
      <c r="S10309">
        <v>39</v>
      </c>
      <c r="T10309" s="29" t="str">
        <f t="shared" si="426"/>
        <v>2023.001B.Leviviricetes_reorg.zip</v>
      </c>
      <c r="U10309" s="29" t="str">
        <f>HYPERLINK("https://ictv.global/taxonomy/taxondetails?taxnode_id=202311207","ictv.global=202311207")</f>
        <v>ictv.global=202311207</v>
      </c>
    </row>
    <row r="10310" spans="1:21">
      <c r="A10310">
        <v>10309</v>
      </c>
      <c r="B10310" s="30" t="s">
        <v>1226</v>
      </c>
      <c r="D10310" s="30" t="s">
        <v>2024</v>
      </c>
      <c r="F10310" s="30" t="s">
        <v>2046</v>
      </c>
      <c r="H10310" s="30" t="s">
        <v>2859</v>
      </c>
      <c r="J10310" s="30" t="s">
        <v>3390</v>
      </c>
      <c r="L10310" s="30" t="s">
        <v>3442</v>
      </c>
      <c r="N10310" s="30" t="s">
        <v>16354</v>
      </c>
      <c r="P10310" s="30" t="s">
        <v>16820</v>
      </c>
      <c r="Q10310" t="s">
        <v>621</v>
      </c>
      <c r="R10310" t="s">
        <v>918</v>
      </c>
      <c r="S10310">
        <v>39</v>
      </c>
      <c r="T10310" s="29" t="str">
        <f t="shared" si="426"/>
        <v>2023.001B.Leviviricetes_reorg.zip</v>
      </c>
      <c r="U10310" s="29" t="str">
        <f>HYPERLINK("https://ictv.global/taxonomy/taxondetails?taxnode_id=202311209","ictv.global=202311209")</f>
        <v>ictv.global=202311209</v>
      </c>
    </row>
    <row r="10311" spans="1:21">
      <c r="A10311">
        <v>10310</v>
      </c>
      <c r="B10311" s="30" t="s">
        <v>1226</v>
      </c>
      <c r="D10311" s="30" t="s">
        <v>2024</v>
      </c>
      <c r="F10311" s="30" t="s">
        <v>2046</v>
      </c>
      <c r="H10311" s="30" t="s">
        <v>2859</v>
      </c>
      <c r="J10311" s="30" t="s">
        <v>3390</v>
      </c>
      <c r="L10311" s="30" t="s">
        <v>3442</v>
      </c>
      <c r="N10311" s="30" t="s">
        <v>16354</v>
      </c>
      <c r="P10311" s="30" t="s">
        <v>16821</v>
      </c>
      <c r="Q10311" t="s">
        <v>621</v>
      </c>
      <c r="R10311" t="s">
        <v>918</v>
      </c>
      <c r="S10311">
        <v>39</v>
      </c>
      <c r="T10311" s="29" t="str">
        <f t="shared" si="426"/>
        <v>2023.001B.Leviviricetes_reorg.zip</v>
      </c>
      <c r="U10311" s="29" t="str">
        <f>HYPERLINK("https://ictv.global/taxonomy/taxondetails?taxnode_id=202311210","ictv.global=202311210")</f>
        <v>ictv.global=202311210</v>
      </c>
    </row>
    <row r="10312" spans="1:21">
      <c r="A10312">
        <v>10311</v>
      </c>
      <c r="B10312" s="30" t="s">
        <v>1226</v>
      </c>
      <c r="D10312" s="30" t="s">
        <v>2024</v>
      </c>
      <c r="F10312" s="30" t="s">
        <v>2046</v>
      </c>
      <c r="H10312" s="30" t="s">
        <v>2859</v>
      </c>
      <c r="J10312" s="30" t="s">
        <v>3390</v>
      </c>
      <c r="L10312" s="30" t="s">
        <v>3442</v>
      </c>
      <c r="N10312" s="30" t="s">
        <v>16822</v>
      </c>
      <c r="P10312" s="30" t="s">
        <v>16823</v>
      </c>
      <c r="Q10312" t="s">
        <v>621</v>
      </c>
      <c r="R10312" t="s">
        <v>917</v>
      </c>
      <c r="S10312">
        <v>39</v>
      </c>
      <c r="T10312" s="29" t="str">
        <f t="shared" si="426"/>
        <v>2023.001B.Leviviricetes_reorg.zip</v>
      </c>
      <c r="U10312" s="29" t="str">
        <f>HYPERLINK("https://ictv.global/taxonomy/taxondetails?taxnode_id=202317409","ictv.global=202317409")</f>
        <v>ictv.global=202317409</v>
      </c>
    </row>
    <row r="10313" spans="1:21">
      <c r="A10313">
        <v>10312</v>
      </c>
      <c r="B10313" s="30" t="s">
        <v>1226</v>
      </c>
      <c r="D10313" s="30" t="s">
        <v>2024</v>
      </c>
      <c r="F10313" s="30" t="s">
        <v>2046</v>
      </c>
      <c r="H10313" s="30" t="s">
        <v>2859</v>
      </c>
      <c r="J10313" s="30" t="s">
        <v>3390</v>
      </c>
      <c r="L10313" s="30" t="s">
        <v>3442</v>
      </c>
      <c r="N10313" s="30" t="s">
        <v>3509</v>
      </c>
      <c r="P10313" s="30" t="s">
        <v>16824</v>
      </c>
      <c r="Q10313" t="s">
        <v>621</v>
      </c>
      <c r="R10313" t="s">
        <v>917</v>
      </c>
      <c r="S10313">
        <v>39</v>
      </c>
      <c r="T10313" s="29" t="str">
        <f t="shared" si="426"/>
        <v>2023.001B.Leviviricetes_reorg.zip</v>
      </c>
      <c r="U10313" s="29" t="str">
        <f>HYPERLINK("https://ictv.global/taxonomy/taxondetails?taxnode_id=202317410","ictv.global=202317410")</f>
        <v>ictv.global=202317410</v>
      </c>
    </row>
    <row r="10314" spans="1:21">
      <c r="A10314">
        <v>10313</v>
      </c>
      <c r="B10314" s="30" t="s">
        <v>1226</v>
      </c>
      <c r="D10314" s="30" t="s">
        <v>2024</v>
      </c>
      <c r="F10314" s="30" t="s">
        <v>2046</v>
      </c>
      <c r="H10314" s="30" t="s">
        <v>2859</v>
      </c>
      <c r="J10314" s="30" t="s">
        <v>3390</v>
      </c>
      <c r="L10314" s="30" t="s">
        <v>3442</v>
      </c>
      <c r="N10314" s="30" t="s">
        <v>3509</v>
      </c>
      <c r="P10314" s="30" t="s">
        <v>16825</v>
      </c>
      <c r="Q10314" t="s">
        <v>621</v>
      </c>
      <c r="R10314" t="s">
        <v>917</v>
      </c>
      <c r="S10314">
        <v>39</v>
      </c>
      <c r="T10314" s="29" t="str">
        <f t="shared" si="426"/>
        <v>2023.001B.Leviviricetes_reorg.zip</v>
      </c>
      <c r="U10314" s="29" t="str">
        <f>HYPERLINK("https://ictv.global/taxonomy/taxondetails?taxnode_id=202317411","ictv.global=202317411")</f>
        <v>ictv.global=202317411</v>
      </c>
    </row>
    <row r="10315" spans="1:21">
      <c r="A10315">
        <v>10314</v>
      </c>
      <c r="B10315" s="30" t="s">
        <v>1226</v>
      </c>
      <c r="D10315" s="30" t="s">
        <v>2024</v>
      </c>
      <c r="F10315" s="30" t="s">
        <v>2046</v>
      </c>
      <c r="H10315" s="30" t="s">
        <v>2859</v>
      </c>
      <c r="J10315" s="30" t="s">
        <v>3390</v>
      </c>
      <c r="L10315" s="30" t="s">
        <v>3442</v>
      </c>
      <c r="N10315" s="30" t="s">
        <v>3509</v>
      </c>
      <c r="P10315" s="30" t="s">
        <v>16826</v>
      </c>
      <c r="Q10315" t="s">
        <v>621</v>
      </c>
      <c r="R10315" t="s">
        <v>917</v>
      </c>
      <c r="S10315">
        <v>39</v>
      </c>
      <c r="T10315" s="29" t="str">
        <f t="shared" si="426"/>
        <v>2023.001B.Leviviricetes_reorg.zip</v>
      </c>
      <c r="U10315" s="29" t="str">
        <f>HYPERLINK("https://ictv.global/taxonomy/taxondetails?taxnode_id=202317412","ictv.global=202317412")</f>
        <v>ictv.global=202317412</v>
      </c>
    </row>
    <row r="10316" spans="1:21">
      <c r="A10316">
        <v>10315</v>
      </c>
      <c r="B10316" s="30" t="s">
        <v>1226</v>
      </c>
      <c r="D10316" s="30" t="s">
        <v>2024</v>
      </c>
      <c r="F10316" s="30" t="s">
        <v>2046</v>
      </c>
      <c r="H10316" s="30" t="s">
        <v>2859</v>
      </c>
      <c r="J10316" s="30" t="s">
        <v>3390</v>
      </c>
      <c r="L10316" s="30" t="s">
        <v>3442</v>
      </c>
      <c r="N10316" s="30" t="s">
        <v>3509</v>
      </c>
      <c r="P10316" s="30" t="s">
        <v>16827</v>
      </c>
      <c r="Q10316" t="s">
        <v>621</v>
      </c>
      <c r="R10316" t="s">
        <v>917</v>
      </c>
      <c r="S10316">
        <v>39</v>
      </c>
      <c r="T10316" s="29" t="str">
        <f t="shared" si="426"/>
        <v>2023.001B.Leviviricetes_reorg.zip</v>
      </c>
      <c r="U10316" s="29" t="str">
        <f>HYPERLINK("https://ictv.global/taxonomy/taxondetails?taxnode_id=202317413","ictv.global=202317413")</f>
        <v>ictv.global=202317413</v>
      </c>
    </row>
    <row r="10317" spans="1:21">
      <c r="A10317">
        <v>10316</v>
      </c>
      <c r="B10317" s="30" t="s">
        <v>1226</v>
      </c>
      <c r="D10317" s="30" t="s">
        <v>2024</v>
      </c>
      <c r="F10317" s="30" t="s">
        <v>2046</v>
      </c>
      <c r="H10317" s="30" t="s">
        <v>2859</v>
      </c>
      <c r="J10317" s="30" t="s">
        <v>3390</v>
      </c>
      <c r="L10317" s="30" t="s">
        <v>3442</v>
      </c>
      <c r="N10317" s="30" t="s">
        <v>3509</v>
      </c>
      <c r="P10317" s="30" t="s">
        <v>16828</v>
      </c>
      <c r="Q10317" t="s">
        <v>621</v>
      </c>
      <c r="R10317" t="s">
        <v>918</v>
      </c>
      <c r="S10317">
        <v>39</v>
      </c>
      <c r="T10317" s="29" t="str">
        <f t="shared" si="426"/>
        <v>2023.001B.Leviviricetes_reorg.zip</v>
      </c>
      <c r="U10317" s="29" t="str">
        <f>HYPERLINK("https://ictv.global/taxonomy/taxondetails?taxnode_id=202311098","ictv.global=202311098")</f>
        <v>ictv.global=202311098</v>
      </c>
    </row>
    <row r="10318" spans="1:21">
      <c r="A10318">
        <v>10317</v>
      </c>
      <c r="B10318" s="30" t="s">
        <v>1226</v>
      </c>
      <c r="D10318" s="30" t="s">
        <v>2024</v>
      </c>
      <c r="F10318" s="30" t="s">
        <v>2046</v>
      </c>
      <c r="H10318" s="30" t="s">
        <v>2859</v>
      </c>
      <c r="J10318" s="30" t="s">
        <v>3390</v>
      </c>
      <c r="L10318" s="30" t="s">
        <v>3442</v>
      </c>
      <c r="N10318" s="30" t="s">
        <v>3509</v>
      </c>
      <c r="P10318" s="30" t="s">
        <v>3510</v>
      </c>
      <c r="Q10318" t="s">
        <v>621</v>
      </c>
      <c r="R10318" t="s">
        <v>917</v>
      </c>
      <c r="S10318">
        <v>36</v>
      </c>
      <c r="T10318" s="29" t="str">
        <f>HYPERLINK("https://ictv.global/ictv/proposals/2020.095B.R.Leviviricetes.zip","2020.095B.R.Leviviricetes.zip")</f>
        <v>2020.095B.R.Leviviricetes.zip</v>
      </c>
      <c r="U10318" s="29" t="str">
        <f>HYPERLINK("https://ictv.global/taxonomy/taxondetails?taxnode_id=202311258","ictv.global=202311258")</f>
        <v>ictv.global=202311258</v>
      </c>
    </row>
    <row r="10319" spans="1:21">
      <c r="A10319">
        <v>10318</v>
      </c>
      <c r="B10319" s="30" t="s">
        <v>1226</v>
      </c>
      <c r="D10319" s="30" t="s">
        <v>2024</v>
      </c>
      <c r="F10319" s="30" t="s">
        <v>2046</v>
      </c>
      <c r="H10319" s="30" t="s">
        <v>2859</v>
      </c>
      <c r="J10319" s="30" t="s">
        <v>3390</v>
      </c>
      <c r="L10319" s="30" t="s">
        <v>3442</v>
      </c>
      <c r="N10319" s="30" t="s">
        <v>3509</v>
      </c>
      <c r="P10319" s="30" t="s">
        <v>16829</v>
      </c>
      <c r="Q10319" t="s">
        <v>621</v>
      </c>
      <c r="R10319" t="s">
        <v>917</v>
      </c>
      <c r="S10319">
        <v>39</v>
      </c>
      <c r="T10319" s="29" t="str">
        <f t="shared" ref="T10319:T10325" si="427">HYPERLINK("https://ictv.global/ictv/proposals/2023.001B.Leviviricetes_reorg.zip","2023.001B.Leviviricetes_reorg.zip")</f>
        <v>2023.001B.Leviviricetes_reorg.zip</v>
      </c>
      <c r="U10319" s="29" t="str">
        <f>HYPERLINK("https://ictv.global/taxonomy/taxondetails?taxnode_id=202317414","ictv.global=202317414")</f>
        <v>ictv.global=202317414</v>
      </c>
    </row>
    <row r="10320" spans="1:21">
      <c r="A10320">
        <v>10319</v>
      </c>
      <c r="B10320" s="30" t="s">
        <v>1226</v>
      </c>
      <c r="D10320" s="30" t="s">
        <v>2024</v>
      </c>
      <c r="F10320" s="30" t="s">
        <v>2046</v>
      </c>
      <c r="H10320" s="30" t="s">
        <v>2859</v>
      </c>
      <c r="J10320" s="30" t="s">
        <v>3390</v>
      </c>
      <c r="L10320" s="30" t="s">
        <v>3442</v>
      </c>
      <c r="N10320" s="30" t="s">
        <v>3509</v>
      </c>
      <c r="P10320" s="30" t="s">
        <v>16830</v>
      </c>
      <c r="Q10320" t="s">
        <v>621</v>
      </c>
      <c r="R10320" t="s">
        <v>917</v>
      </c>
      <c r="S10320">
        <v>39</v>
      </c>
      <c r="T10320" s="29" t="str">
        <f t="shared" si="427"/>
        <v>2023.001B.Leviviricetes_reorg.zip</v>
      </c>
      <c r="U10320" s="29" t="str">
        <f>HYPERLINK("https://ictv.global/taxonomy/taxondetails?taxnode_id=202317415","ictv.global=202317415")</f>
        <v>ictv.global=202317415</v>
      </c>
    </row>
    <row r="10321" spans="1:21">
      <c r="A10321">
        <v>10320</v>
      </c>
      <c r="B10321" s="30" t="s">
        <v>1226</v>
      </c>
      <c r="D10321" s="30" t="s">
        <v>2024</v>
      </c>
      <c r="F10321" s="30" t="s">
        <v>2046</v>
      </c>
      <c r="H10321" s="30" t="s">
        <v>2859</v>
      </c>
      <c r="J10321" s="30" t="s">
        <v>3390</v>
      </c>
      <c r="L10321" s="30" t="s">
        <v>3442</v>
      </c>
      <c r="N10321" s="30" t="s">
        <v>3509</v>
      </c>
      <c r="P10321" s="30" t="s">
        <v>16831</v>
      </c>
      <c r="Q10321" t="s">
        <v>621</v>
      </c>
      <c r="R10321" t="s">
        <v>917</v>
      </c>
      <c r="S10321">
        <v>39</v>
      </c>
      <c r="T10321" s="29" t="str">
        <f t="shared" si="427"/>
        <v>2023.001B.Leviviricetes_reorg.zip</v>
      </c>
      <c r="U10321" s="29" t="str">
        <f>HYPERLINK("https://ictv.global/taxonomy/taxondetails?taxnode_id=202317416","ictv.global=202317416")</f>
        <v>ictv.global=202317416</v>
      </c>
    </row>
    <row r="10322" spans="1:21">
      <c r="A10322">
        <v>10321</v>
      </c>
      <c r="B10322" s="30" t="s">
        <v>1226</v>
      </c>
      <c r="D10322" s="30" t="s">
        <v>2024</v>
      </c>
      <c r="F10322" s="30" t="s">
        <v>2046</v>
      </c>
      <c r="H10322" s="30" t="s">
        <v>2859</v>
      </c>
      <c r="J10322" s="30" t="s">
        <v>3390</v>
      </c>
      <c r="L10322" s="30" t="s">
        <v>3442</v>
      </c>
      <c r="N10322" s="30" t="s">
        <v>3509</v>
      </c>
      <c r="P10322" s="30" t="s">
        <v>16832</v>
      </c>
      <c r="Q10322" t="s">
        <v>621</v>
      </c>
      <c r="R10322" t="s">
        <v>917</v>
      </c>
      <c r="S10322">
        <v>39</v>
      </c>
      <c r="T10322" s="29" t="str">
        <f t="shared" si="427"/>
        <v>2023.001B.Leviviricetes_reorg.zip</v>
      </c>
      <c r="U10322" s="29" t="str">
        <f>HYPERLINK("https://ictv.global/taxonomy/taxondetails?taxnode_id=202317417","ictv.global=202317417")</f>
        <v>ictv.global=202317417</v>
      </c>
    </row>
    <row r="10323" spans="1:21">
      <c r="A10323">
        <v>10322</v>
      </c>
      <c r="B10323" s="30" t="s">
        <v>1226</v>
      </c>
      <c r="D10323" s="30" t="s">
        <v>2024</v>
      </c>
      <c r="F10323" s="30" t="s">
        <v>2046</v>
      </c>
      <c r="H10323" s="30" t="s">
        <v>2859</v>
      </c>
      <c r="J10323" s="30" t="s">
        <v>3390</v>
      </c>
      <c r="L10323" s="30" t="s">
        <v>3442</v>
      </c>
      <c r="N10323" s="30" t="s">
        <v>3509</v>
      </c>
      <c r="P10323" s="30" t="s">
        <v>16833</v>
      </c>
      <c r="Q10323" t="s">
        <v>621</v>
      </c>
      <c r="R10323" t="s">
        <v>917</v>
      </c>
      <c r="S10323">
        <v>39</v>
      </c>
      <c r="T10323" s="29" t="str">
        <f t="shared" si="427"/>
        <v>2023.001B.Leviviricetes_reorg.zip</v>
      </c>
      <c r="U10323" s="29" t="str">
        <f>HYPERLINK("https://ictv.global/taxonomy/taxondetails?taxnode_id=202317418","ictv.global=202317418")</f>
        <v>ictv.global=202317418</v>
      </c>
    </row>
    <row r="10324" spans="1:21">
      <c r="A10324">
        <v>10323</v>
      </c>
      <c r="B10324" s="30" t="s">
        <v>1226</v>
      </c>
      <c r="D10324" s="30" t="s">
        <v>2024</v>
      </c>
      <c r="F10324" s="30" t="s">
        <v>2046</v>
      </c>
      <c r="H10324" s="30" t="s">
        <v>2859</v>
      </c>
      <c r="J10324" s="30" t="s">
        <v>3390</v>
      </c>
      <c r="L10324" s="30" t="s">
        <v>3442</v>
      </c>
      <c r="N10324" s="30" t="s">
        <v>3509</v>
      </c>
      <c r="P10324" s="30" t="s">
        <v>16834</v>
      </c>
      <c r="Q10324" t="s">
        <v>621</v>
      </c>
      <c r="R10324" t="s">
        <v>917</v>
      </c>
      <c r="S10324">
        <v>39</v>
      </c>
      <c r="T10324" s="29" t="str">
        <f t="shared" si="427"/>
        <v>2023.001B.Leviviricetes_reorg.zip</v>
      </c>
      <c r="U10324" s="29" t="str">
        <f>HYPERLINK("https://ictv.global/taxonomy/taxondetails?taxnode_id=202317419","ictv.global=202317419")</f>
        <v>ictv.global=202317419</v>
      </c>
    </row>
    <row r="10325" spans="1:21">
      <c r="A10325">
        <v>10324</v>
      </c>
      <c r="B10325" s="30" t="s">
        <v>1226</v>
      </c>
      <c r="D10325" s="30" t="s">
        <v>2024</v>
      </c>
      <c r="F10325" s="30" t="s">
        <v>2046</v>
      </c>
      <c r="H10325" s="30" t="s">
        <v>2859</v>
      </c>
      <c r="J10325" s="30" t="s">
        <v>3390</v>
      </c>
      <c r="L10325" s="30" t="s">
        <v>3442</v>
      </c>
      <c r="N10325" s="30" t="s">
        <v>3509</v>
      </c>
      <c r="P10325" s="30" t="s">
        <v>16835</v>
      </c>
      <c r="Q10325" t="s">
        <v>621</v>
      </c>
      <c r="R10325" t="s">
        <v>917</v>
      </c>
      <c r="S10325">
        <v>39</v>
      </c>
      <c r="T10325" s="29" t="str">
        <f t="shared" si="427"/>
        <v>2023.001B.Leviviricetes_reorg.zip</v>
      </c>
      <c r="U10325" s="29" t="str">
        <f>HYPERLINK("https://ictv.global/taxonomy/taxondetails?taxnode_id=202317420","ictv.global=202317420")</f>
        <v>ictv.global=202317420</v>
      </c>
    </row>
    <row r="10326" spans="1:21">
      <c r="A10326">
        <v>10325</v>
      </c>
      <c r="B10326" s="30" t="s">
        <v>1226</v>
      </c>
      <c r="D10326" s="30" t="s">
        <v>2024</v>
      </c>
      <c r="F10326" s="30" t="s">
        <v>2046</v>
      </c>
      <c r="H10326" s="30" t="s">
        <v>2859</v>
      </c>
      <c r="J10326" s="30" t="s">
        <v>3390</v>
      </c>
      <c r="L10326" s="30" t="s">
        <v>3442</v>
      </c>
      <c r="N10326" s="30" t="s">
        <v>3509</v>
      </c>
      <c r="P10326" s="30" t="s">
        <v>3511</v>
      </c>
      <c r="Q10326" t="s">
        <v>621</v>
      </c>
      <c r="R10326" t="s">
        <v>917</v>
      </c>
      <c r="S10326">
        <v>36</v>
      </c>
      <c r="T10326" s="29" t="str">
        <f>HYPERLINK("https://ictv.global/ictv/proposals/2020.095B.R.Leviviricetes.zip","2020.095B.R.Leviviricetes.zip")</f>
        <v>2020.095B.R.Leviviricetes.zip</v>
      </c>
      <c r="U10326" s="29" t="str">
        <f>HYPERLINK("https://ictv.global/taxonomy/taxondetails?taxnode_id=202311247","ictv.global=202311247")</f>
        <v>ictv.global=202311247</v>
      </c>
    </row>
    <row r="10327" spans="1:21">
      <c r="A10327">
        <v>10326</v>
      </c>
      <c r="B10327" s="30" t="s">
        <v>1226</v>
      </c>
      <c r="D10327" s="30" t="s">
        <v>2024</v>
      </c>
      <c r="F10327" s="30" t="s">
        <v>2046</v>
      </c>
      <c r="H10327" s="30" t="s">
        <v>2859</v>
      </c>
      <c r="J10327" s="30" t="s">
        <v>3390</v>
      </c>
      <c r="L10327" s="30" t="s">
        <v>3442</v>
      </c>
      <c r="N10327" s="30" t="s">
        <v>3509</v>
      </c>
      <c r="P10327" s="30" t="s">
        <v>3512</v>
      </c>
      <c r="Q10327" t="s">
        <v>621</v>
      </c>
      <c r="R10327" t="s">
        <v>917</v>
      </c>
      <c r="S10327">
        <v>36</v>
      </c>
      <c r="T10327" s="29" t="str">
        <f>HYPERLINK("https://ictv.global/ictv/proposals/2020.095B.R.Leviviricetes.zip","2020.095B.R.Leviviricetes.zip")</f>
        <v>2020.095B.R.Leviviricetes.zip</v>
      </c>
      <c r="U10327" s="29" t="str">
        <f>HYPERLINK("https://ictv.global/taxonomy/taxondetails?taxnode_id=202311248","ictv.global=202311248")</f>
        <v>ictv.global=202311248</v>
      </c>
    </row>
    <row r="10328" spans="1:21">
      <c r="A10328">
        <v>10327</v>
      </c>
      <c r="B10328" s="30" t="s">
        <v>1226</v>
      </c>
      <c r="D10328" s="30" t="s">
        <v>2024</v>
      </c>
      <c r="F10328" s="30" t="s">
        <v>2046</v>
      </c>
      <c r="H10328" s="30" t="s">
        <v>2859</v>
      </c>
      <c r="J10328" s="30" t="s">
        <v>3390</v>
      </c>
      <c r="L10328" s="30" t="s">
        <v>3442</v>
      </c>
      <c r="N10328" s="30" t="s">
        <v>3509</v>
      </c>
      <c r="P10328" s="30" t="s">
        <v>3513</v>
      </c>
      <c r="Q10328" t="s">
        <v>621</v>
      </c>
      <c r="R10328" t="s">
        <v>917</v>
      </c>
      <c r="S10328">
        <v>36</v>
      </c>
      <c r="T10328" s="29" t="str">
        <f>HYPERLINK("https://ictv.global/ictv/proposals/2020.095B.R.Leviviricetes.zip","2020.095B.R.Leviviricetes.zip")</f>
        <v>2020.095B.R.Leviviricetes.zip</v>
      </c>
      <c r="U10328" s="29" t="str">
        <f>HYPERLINK("https://ictv.global/taxonomy/taxondetails?taxnode_id=202311249","ictv.global=202311249")</f>
        <v>ictv.global=202311249</v>
      </c>
    </row>
    <row r="10329" spans="1:21">
      <c r="A10329">
        <v>10328</v>
      </c>
      <c r="B10329" s="30" t="s">
        <v>1226</v>
      </c>
      <c r="D10329" s="30" t="s">
        <v>2024</v>
      </c>
      <c r="F10329" s="30" t="s">
        <v>2046</v>
      </c>
      <c r="H10329" s="30" t="s">
        <v>2859</v>
      </c>
      <c r="J10329" s="30" t="s">
        <v>3390</v>
      </c>
      <c r="L10329" s="30" t="s">
        <v>3442</v>
      </c>
      <c r="N10329" s="30" t="s">
        <v>3509</v>
      </c>
      <c r="P10329" s="30" t="s">
        <v>16836</v>
      </c>
      <c r="Q10329" t="s">
        <v>621</v>
      </c>
      <c r="R10329" t="s">
        <v>917</v>
      </c>
      <c r="S10329">
        <v>39</v>
      </c>
      <c r="T10329" s="29" t="str">
        <f>HYPERLINK("https://ictv.global/ictv/proposals/2023.001B.Leviviricetes_reorg.zip","2023.001B.Leviviricetes_reorg.zip")</f>
        <v>2023.001B.Leviviricetes_reorg.zip</v>
      </c>
      <c r="U10329" s="29" t="str">
        <f>HYPERLINK("https://ictv.global/taxonomy/taxondetails?taxnode_id=202317421","ictv.global=202317421")</f>
        <v>ictv.global=202317421</v>
      </c>
    </row>
    <row r="10330" spans="1:21">
      <c r="A10330">
        <v>10329</v>
      </c>
      <c r="B10330" s="30" t="s">
        <v>1226</v>
      </c>
      <c r="D10330" s="30" t="s">
        <v>2024</v>
      </c>
      <c r="F10330" s="30" t="s">
        <v>2046</v>
      </c>
      <c r="H10330" s="30" t="s">
        <v>2859</v>
      </c>
      <c r="J10330" s="30" t="s">
        <v>3390</v>
      </c>
      <c r="L10330" s="30" t="s">
        <v>3442</v>
      </c>
      <c r="N10330" s="30" t="s">
        <v>3509</v>
      </c>
      <c r="P10330" s="30" t="s">
        <v>16837</v>
      </c>
      <c r="Q10330" t="s">
        <v>621</v>
      </c>
      <c r="R10330" t="s">
        <v>917</v>
      </c>
      <c r="S10330">
        <v>39</v>
      </c>
      <c r="T10330" s="29" t="str">
        <f>HYPERLINK("https://ictv.global/ictv/proposals/2023.001B.Leviviricetes_reorg.zip","2023.001B.Leviviricetes_reorg.zip")</f>
        <v>2023.001B.Leviviricetes_reorg.zip</v>
      </c>
      <c r="U10330" s="29" t="str">
        <f>HYPERLINK("https://ictv.global/taxonomy/taxondetails?taxnode_id=202317422","ictv.global=202317422")</f>
        <v>ictv.global=202317422</v>
      </c>
    </row>
    <row r="10331" spans="1:21">
      <c r="A10331">
        <v>10330</v>
      </c>
      <c r="B10331" s="30" t="s">
        <v>1226</v>
      </c>
      <c r="D10331" s="30" t="s">
        <v>2024</v>
      </c>
      <c r="F10331" s="30" t="s">
        <v>2046</v>
      </c>
      <c r="H10331" s="30" t="s">
        <v>2859</v>
      </c>
      <c r="J10331" s="30" t="s">
        <v>3390</v>
      </c>
      <c r="L10331" s="30" t="s">
        <v>3442</v>
      </c>
      <c r="N10331" s="30" t="s">
        <v>3509</v>
      </c>
      <c r="P10331" s="30" t="s">
        <v>3514</v>
      </c>
      <c r="Q10331" t="s">
        <v>621</v>
      </c>
      <c r="R10331" t="s">
        <v>917</v>
      </c>
      <c r="S10331">
        <v>36</v>
      </c>
      <c r="T10331" s="29" t="str">
        <f>HYPERLINK("https://ictv.global/ictv/proposals/2020.095B.R.Leviviricetes.zip","2020.095B.R.Leviviricetes.zip")</f>
        <v>2020.095B.R.Leviviricetes.zip</v>
      </c>
      <c r="U10331" s="29" t="str">
        <f>HYPERLINK("https://ictv.global/taxonomy/taxondetails?taxnode_id=202311259","ictv.global=202311259")</f>
        <v>ictv.global=202311259</v>
      </c>
    </row>
    <row r="10332" spans="1:21">
      <c r="A10332">
        <v>10331</v>
      </c>
      <c r="B10332" s="30" t="s">
        <v>1226</v>
      </c>
      <c r="D10332" s="30" t="s">
        <v>2024</v>
      </c>
      <c r="F10332" s="30" t="s">
        <v>2046</v>
      </c>
      <c r="H10332" s="30" t="s">
        <v>2859</v>
      </c>
      <c r="J10332" s="30" t="s">
        <v>3390</v>
      </c>
      <c r="L10332" s="30" t="s">
        <v>3442</v>
      </c>
      <c r="N10332" s="30" t="s">
        <v>3509</v>
      </c>
      <c r="P10332" s="30" t="s">
        <v>16838</v>
      </c>
      <c r="Q10332" t="s">
        <v>621</v>
      </c>
      <c r="R10332" t="s">
        <v>917</v>
      </c>
      <c r="S10332">
        <v>39</v>
      </c>
      <c r="T10332" s="29" t="str">
        <f>HYPERLINK("https://ictv.global/ictv/proposals/2023.001B.Leviviricetes_reorg.zip","2023.001B.Leviviricetes_reorg.zip")</f>
        <v>2023.001B.Leviviricetes_reorg.zip</v>
      </c>
      <c r="U10332" s="29" t="str">
        <f>HYPERLINK("https://ictv.global/taxonomy/taxondetails?taxnode_id=202317423","ictv.global=202317423")</f>
        <v>ictv.global=202317423</v>
      </c>
    </row>
    <row r="10333" spans="1:21">
      <c r="A10333">
        <v>10332</v>
      </c>
      <c r="B10333" s="30" t="s">
        <v>1226</v>
      </c>
      <c r="D10333" s="30" t="s">
        <v>2024</v>
      </c>
      <c r="F10333" s="30" t="s">
        <v>2046</v>
      </c>
      <c r="H10333" s="30" t="s">
        <v>2859</v>
      </c>
      <c r="J10333" s="30" t="s">
        <v>3390</v>
      </c>
      <c r="L10333" s="30" t="s">
        <v>3442</v>
      </c>
      <c r="N10333" s="30" t="s">
        <v>3509</v>
      </c>
      <c r="P10333" s="30" t="s">
        <v>16839</v>
      </c>
      <c r="Q10333" t="s">
        <v>621</v>
      </c>
      <c r="R10333" t="s">
        <v>917</v>
      </c>
      <c r="S10333">
        <v>39</v>
      </c>
      <c r="T10333" s="29" t="str">
        <f>HYPERLINK("https://ictv.global/ictv/proposals/2023.001B.Leviviricetes_reorg.zip","2023.001B.Leviviricetes_reorg.zip")</f>
        <v>2023.001B.Leviviricetes_reorg.zip</v>
      </c>
      <c r="U10333" s="29" t="str">
        <f>HYPERLINK("https://ictv.global/taxonomy/taxondetails?taxnode_id=202317424","ictv.global=202317424")</f>
        <v>ictv.global=202317424</v>
      </c>
    </row>
    <row r="10334" spans="1:21">
      <c r="A10334">
        <v>10333</v>
      </c>
      <c r="B10334" s="30" t="s">
        <v>1226</v>
      </c>
      <c r="D10334" s="30" t="s">
        <v>2024</v>
      </c>
      <c r="F10334" s="30" t="s">
        <v>2046</v>
      </c>
      <c r="H10334" s="30" t="s">
        <v>2859</v>
      </c>
      <c r="J10334" s="30" t="s">
        <v>3390</v>
      </c>
      <c r="L10334" s="30" t="s">
        <v>3442</v>
      </c>
      <c r="N10334" s="30" t="s">
        <v>3509</v>
      </c>
      <c r="P10334" s="30" t="s">
        <v>16840</v>
      </c>
      <c r="Q10334" t="s">
        <v>621</v>
      </c>
      <c r="R10334" t="s">
        <v>917</v>
      </c>
      <c r="S10334">
        <v>39</v>
      </c>
      <c r="T10334" s="29" t="str">
        <f>HYPERLINK("https://ictv.global/ictv/proposals/2023.001B.Leviviricetes_reorg.zip","2023.001B.Leviviricetes_reorg.zip")</f>
        <v>2023.001B.Leviviricetes_reorg.zip</v>
      </c>
      <c r="U10334" s="29" t="str">
        <f>HYPERLINK("https://ictv.global/taxonomy/taxondetails?taxnode_id=202317425","ictv.global=202317425")</f>
        <v>ictv.global=202317425</v>
      </c>
    </row>
    <row r="10335" spans="1:21">
      <c r="A10335">
        <v>10334</v>
      </c>
      <c r="B10335" s="30" t="s">
        <v>1226</v>
      </c>
      <c r="D10335" s="30" t="s">
        <v>2024</v>
      </c>
      <c r="F10335" s="30" t="s">
        <v>2046</v>
      </c>
      <c r="H10335" s="30" t="s">
        <v>2859</v>
      </c>
      <c r="J10335" s="30" t="s">
        <v>3390</v>
      </c>
      <c r="L10335" s="30" t="s">
        <v>3442</v>
      </c>
      <c r="N10335" s="30" t="s">
        <v>3509</v>
      </c>
      <c r="P10335" s="30" t="s">
        <v>16841</v>
      </c>
      <c r="Q10335" t="s">
        <v>621</v>
      </c>
      <c r="R10335" t="s">
        <v>917</v>
      </c>
      <c r="S10335">
        <v>39</v>
      </c>
      <c r="T10335" s="29" t="str">
        <f>HYPERLINK("https://ictv.global/ictv/proposals/2023.001B.Leviviricetes_reorg.zip","2023.001B.Leviviricetes_reorg.zip")</f>
        <v>2023.001B.Leviviricetes_reorg.zip</v>
      </c>
      <c r="U10335" s="29" t="str">
        <f>HYPERLINK("https://ictv.global/taxonomy/taxondetails?taxnode_id=202317426","ictv.global=202317426")</f>
        <v>ictv.global=202317426</v>
      </c>
    </row>
    <row r="10336" spans="1:21">
      <c r="A10336">
        <v>10335</v>
      </c>
      <c r="B10336" s="30" t="s">
        <v>1226</v>
      </c>
      <c r="D10336" s="30" t="s">
        <v>2024</v>
      </c>
      <c r="F10336" s="30" t="s">
        <v>2046</v>
      </c>
      <c r="H10336" s="30" t="s">
        <v>2859</v>
      </c>
      <c r="J10336" s="30" t="s">
        <v>3390</v>
      </c>
      <c r="L10336" s="30" t="s">
        <v>3442</v>
      </c>
      <c r="N10336" s="30" t="s">
        <v>3509</v>
      </c>
      <c r="P10336" s="30" t="s">
        <v>16842</v>
      </c>
      <c r="Q10336" t="s">
        <v>621</v>
      </c>
      <c r="R10336" t="s">
        <v>917</v>
      </c>
      <c r="S10336">
        <v>39</v>
      </c>
      <c r="T10336" s="29" t="str">
        <f>HYPERLINK("https://ictv.global/ictv/proposals/2023.001B.Leviviricetes_reorg.zip","2023.001B.Leviviricetes_reorg.zip")</f>
        <v>2023.001B.Leviviricetes_reorg.zip</v>
      </c>
      <c r="U10336" s="29" t="str">
        <f>HYPERLINK("https://ictv.global/taxonomy/taxondetails?taxnode_id=202317427","ictv.global=202317427")</f>
        <v>ictv.global=202317427</v>
      </c>
    </row>
    <row r="10337" spans="1:21">
      <c r="A10337">
        <v>10336</v>
      </c>
      <c r="B10337" s="30" t="s">
        <v>1226</v>
      </c>
      <c r="D10337" s="30" t="s">
        <v>2024</v>
      </c>
      <c r="F10337" s="30" t="s">
        <v>2046</v>
      </c>
      <c r="H10337" s="30" t="s">
        <v>2859</v>
      </c>
      <c r="J10337" s="30" t="s">
        <v>3390</v>
      </c>
      <c r="L10337" s="30" t="s">
        <v>3442</v>
      </c>
      <c r="N10337" s="30" t="s">
        <v>3509</v>
      </c>
      <c r="P10337" s="30" t="s">
        <v>3515</v>
      </c>
      <c r="Q10337" t="s">
        <v>621</v>
      </c>
      <c r="R10337" t="s">
        <v>917</v>
      </c>
      <c r="S10337">
        <v>36</v>
      </c>
      <c r="T10337" s="29" t="str">
        <f t="shared" ref="T10337:T10342" si="428">HYPERLINK("https://ictv.global/ictv/proposals/2020.095B.R.Leviviricetes.zip","2020.095B.R.Leviviricetes.zip")</f>
        <v>2020.095B.R.Leviviricetes.zip</v>
      </c>
      <c r="U10337" s="29" t="str">
        <f>HYPERLINK("https://ictv.global/taxonomy/taxondetails?taxnode_id=202311250","ictv.global=202311250")</f>
        <v>ictv.global=202311250</v>
      </c>
    </row>
    <row r="10338" spans="1:21">
      <c r="A10338">
        <v>10337</v>
      </c>
      <c r="B10338" s="30" t="s">
        <v>1226</v>
      </c>
      <c r="D10338" s="30" t="s">
        <v>2024</v>
      </c>
      <c r="F10338" s="30" t="s">
        <v>2046</v>
      </c>
      <c r="H10338" s="30" t="s">
        <v>2859</v>
      </c>
      <c r="J10338" s="30" t="s">
        <v>3390</v>
      </c>
      <c r="L10338" s="30" t="s">
        <v>3442</v>
      </c>
      <c r="N10338" s="30" t="s">
        <v>3509</v>
      </c>
      <c r="P10338" s="30" t="s">
        <v>3516</v>
      </c>
      <c r="Q10338" t="s">
        <v>621</v>
      </c>
      <c r="R10338" t="s">
        <v>917</v>
      </c>
      <c r="S10338">
        <v>36</v>
      </c>
      <c r="T10338" s="29" t="str">
        <f t="shared" si="428"/>
        <v>2020.095B.R.Leviviricetes.zip</v>
      </c>
      <c r="U10338" s="29" t="str">
        <f>HYPERLINK("https://ictv.global/taxonomy/taxondetails?taxnode_id=202311252","ictv.global=202311252")</f>
        <v>ictv.global=202311252</v>
      </c>
    </row>
    <row r="10339" spans="1:21">
      <c r="A10339">
        <v>10338</v>
      </c>
      <c r="B10339" s="30" t="s">
        <v>1226</v>
      </c>
      <c r="D10339" s="30" t="s">
        <v>2024</v>
      </c>
      <c r="F10339" s="30" t="s">
        <v>2046</v>
      </c>
      <c r="H10339" s="30" t="s">
        <v>2859</v>
      </c>
      <c r="J10339" s="30" t="s">
        <v>3390</v>
      </c>
      <c r="L10339" s="30" t="s">
        <v>3442</v>
      </c>
      <c r="N10339" s="30" t="s">
        <v>3509</v>
      </c>
      <c r="P10339" s="30" t="s">
        <v>3517</v>
      </c>
      <c r="Q10339" t="s">
        <v>621</v>
      </c>
      <c r="R10339" t="s">
        <v>917</v>
      </c>
      <c r="S10339">
        <v>36</v>
      </c>
      <c r="T10339" s="29" t="str">
        <f t="shared" si="428"/>
        <v>2020.095B.R.Leviviricetes.zip</v>
      </c>
      <c r="U10339" s="29" t="str">
        <f>HYPERLINK("https://ictv.global/taxonomy/taxondetails?taxnode_id=202311251","ictv.global=202311251")</f>
        <v>ictv.global=202311251</v>
      </c>
    </row>
    <row r="10340" spans="1:21">
      <c r="A10340">
        <v>10339</v>
      </c>
      <c r="B10340" s="30" t="s">
        <v>1226</v>
      </c>
      <c r="D10340" s="30" t="s">
        <v>2024</v>
      </c>
      <c r="F10340" s="30" t="s">
        <v>2046</v>
      </c>
      <c r="H10340" s="30" t="s">
        <v>2859</v>
      </c>
      <c r="J10340" s="30" t="s">
        <v>3390</v>
      </c>
      <c r="L10340" s="30" t="s">
        <v>3442</v>
      </c>
      <c r="N10340" s="30" t="s">
        <v>3509</v>
      </c>
      <c r="P10340" s="30" t="s">
        <v>3518</v>
      </c>
      <c r="Q10340" t="s">
        <v>621</v>
      </c>
      <c r="R10340" t="s">
        <v>917</v>
      </c>
      <c r="S10340">
        <v>36</v>
      </c>
      <c r="T10340" s="29" t="str">
        <f t="shared" si="428"/>
        <v>2020.095B.R.Leviviricetes.zip</v>
      </c>
      <c r="U10340" s="29" t="str">
        <f>HYPERLINK("https://ictv.global/taxonomy/taxondetails?taxnode_id=202311253","ictv.global=202311253")</f>
        <v>ictv.global=202311253</v>
      </c>
    </row>
    <row r="10341" spans="1:21">
      <c r="A10341">
        <v>10340</v>
      </c>
      <c r="B10341" s="30" t="s">
        <v>1226</v>
      </c>
      <c r="D10341" s="30" t="s">
        <v>2024</v>
      </c>
      <c r="F10341" s="30" t="s">
        <v>2046</v>
      </c>
      <c r="H10341" s="30" t="s">
        <v>2859</v>
      </c>
      <c r="J10341" s="30" t="s">
        <v>3390</v>
      </c>
      <c r="L10341" s="30" t="s">
        <v>3442</v>
      </c>
      <c r="N10341" s="30" t="s">
        <v>3509</v>
      </c>
      <c r="P10341" s="30" t="s">
        <v>3519</v>
      </c>
      <c r="Q10341" t="s">
        <v>621</v>
      </c>
      <c r="R10341" t="s">
        <v>917</v>
      </c>
      <c r="S10341">
        <v>36</v>
      </c>
      <c r="T10341" s="29" t="str">
        <f t="shared" si="428"/>
        <v>2020.095B.R.Leviviricetes.zip</v>
      </c>
      <c r="U10341" s="29" t="str">
        <f>HYPERLINK("https://ictv.global/taxonomy/taxondetails?taxnode_id=202311254","ictv.global=202311254")</f>
        <v>ictv.global=202311254</v>
      </c>
    </row>
    <row r="10342" spans="1:21">
      <c r="A10342">
        <v>10341</v>
      </c>
      <c r="B10342" s="30" t="s">
        <v>1226</v>
      </c>
      <c r="D10342" s="30" t="s">
        <v>2024</v>
      </c>
      <c r="F10342" s="30" t="s">
        <v>2046</v>
      </c>
      <c r="H10342" s="30" t="s">
        <v>2859</v>
      </c>
      <c r="J10342" s="30" t="s">
        <v>3390</v>
      </c>
      <c r="L10342" s="30" t="s">
        <v>3442</v>
      </c>
      <c r="N10342" s="30" t="s">
        <v>3509</v>
      </c>
      <c r="P10342" s="30" t="s">
        <v>3520</v>
      </c>
      <c r="Q10342" t="s">
        <v>621</v>
      </c>
      <c r="R10342" t="s">
        <v>917</v>
      </c>
      <c r="S10342">
        <v>36</v>
      </c>
      <c r="T10342" s="29" t="str">
        <f t="shared" si="428"/>
        <v>2020.095B.R.Leviviricetes.zip</v>
      </c>
      <c r="U10342" s="29" t="str">
        <f>HYPERLINK("https://ictv.global/taxonomy/taxondetails?taxnode_id=202311255","ictv.global=202311255")</f>
        <v>ictv.global=202311255</v>
      </c>
    </row>
    <row r="10343" spans="1:21">
      <c r="A10343">
        <v>10342</v>
      </c>
      <c r="B10343" s="30" t="s">
        <v>1226</v>
      </c>
      <c r="D10343" s="30" t="s">
        <v>2024</v>
      </c>
      <c r="F10343" s="30" t="s">
        <v>2046</v>
      </c>
      <c r="H10343" s="30" t="s">
        <v>2859</v>
      </c>
      <c r="J10343" s="30" t="s">
        <v>3390</v>
      </c>
      <c r="L10343" s="30" t="s">
        <v>3442</v>
      </c>
      <c r="N10343" s="30" t="s">
        <v>3509</v>
      </c>
      <c r="P10343" s="30" t="s">
        <v>16843</v>
      </c>
      <c r="Q10343" t="s">
        <v>621</v>
      </c>
      <c r="R10343" t="s">
        <v>917</v>
      </c>
      <c r="S10343">
        <v>39</v>
      </c>
      <c r="T10343" s="29" t="str">
        <f>HYPERLINK("https://ictv.global/ictv/proposals/2023.001B.Leviviricetes_reorg.zip","2023.001B.Leviviricetes_reorg.zip")</f>
        <v>2023.001B.Leviviricetes_reorg.zip</v>
      </c>
      <c r="U10343" s="29" t="str">
        <f>HYPERLINK("https://ictv.global/taxonomy/taxondetails?taxnode_id=202317428","ictv.global=202317428")</f>
        <v>ictv.global=202317428</v>
      </c>
    </row>
    <row r="10344" spans="1:21">
      <c r="A10344">
        <v>10343</v>
      </c>
      <c r="B10344" s="30" t="s">
        <v>1226</v>
      </c>
      <c r="D10344" s="30" t="s">
        <v>2024</v>
      </c>
      <c r="F10344" s="30" t="s">
        <v>2046</v>
      </c>
      <c r="H10344" s="30" t="s">
        <v>2859</v>
      </c>
      <c r="J10344" s="30" t="s">
        <v>3390</v>
      </c>
      <c r="L10344" s="30" t="s">
        <v>3442</v>
      </c>
      <c r="N10344" s="30" t="s">
        <v>3509</v>
      </c>
      <c r="P10344" s="30" t="s">
        <v>3521</v>
      </c>
      <c r="Q10344" t="s">
        <v>621</v>
      </c>
      <c r="R10344" t="s">
        <v>917</v>
      </c>
      <c r="S10344">
        <v>36</v>
      </c>
      <c r="T10344" s="29" t="str">
        <f>HYPERLINK("https://ictv.global/ictv/proposals/2020.095B.R.Leviviricetes.zip","2020.095B.R.Leviviricetes.zip")</f>
        <v>2020.095B.R.Leviviricetes.zip</v>
      </c>
      <c r="U10344" s="29" t="str">
        <f>HYPERLINK("https://ictv.global/taxonomy/taxondetails?taxnode_id=202311256","ictv.global=202311256")</f>
        <v>ictv.global=202311256</v>
      </c>
    </row>
    <row r="10345" spans="1:21">
      <c r="A10345">
        <v>10344</v>
      </c>
      <c r="B10345" s="30" t="s">
        <v>1226</v>
      </c>
      <c r="D10345" s="30" t="s">
        <v>2024</v>
      </c>
      <c r="F10345" s="30" t="s">
        <v>2046</v>
      </c>
      <c r="H10345" s="30" t="s">
        <v>2859</v>
      </c>
      <c r="J10345" s="30" t="s">
        <v>3390</v>
      </c>
      <c r="L10345" s="30" t="s">
        <v>3442</v>
      </c>
      <c r="N10345" s="30" t="s">
        <v>3509</v>
      </c>
      <c r="P10345" s="30" t="s">
        <v>3522</v>
      </c>
      <c r="Q10345" t="s">
        <v>621</v>
      </c>
      <c r="R10345" t="s">
        <v>917</v>
      </c>
      <c r="S10345">
        <v>36</v>
      </c>
      <c r="T10345" s="29" t="str">
        <f>HYPERLINK("https://ictv.global/ictv/proposals/2020.095B.R.Leviviricetes.zip","2020.095B.R.Leviviricetes.zip")</f>
        <v>2020.095B.R.Leviviricetes.zip</v>
      </c>
      <c r="U10345" s="29" t="str">
        <f>HYPERLINK("https://ictv.global/taxonomy/taxondetails?taxnode_id=202311260","ictv.global=202311260")</f>
        <v>ictv.global=202311260</v>
      </c>
    </row>
    <row r="10346" spans="1:21">
      <c r="A10346">
        <v>10345</v>
      </c>
      <c r="B10346" s="30" t="s">
        <v>1226</v>
      </c>
      <c r="D10346" s="30" t="s">
        <v>2024</v>
      </c>
      <c r="F10346" s="30" t="s">
        <v>2046</v>
      </c>
      <c r="H10346" s="30" t="s">
        <v>2859</v>
      </c>
      <c r="J10346" s="30" t="s">
        <v>3390</v>
      </c>
      <c r="L10346" s="30" t="s">
        <v>3442</v>
      </c>
      <c r="N10346" s="30" t="s">
        <v>3509</v>
      </c>
      <c r="P10346" s="30" t="s">
        <v>3523</v>
      </c>
      <c r="Q10346" t="s">
        <v>621</v>
      </c>
      <c r="R10346" t="s">
        <v>917</v>
      </c>
      <c r="S10346">
        <v>36</v>
      </c>
      <c r="T10346" s="29" t="str">
        <f>HYPERLINK("https://ictv.global/ictv/proposals/2020.095B.R.Leviviricetes.zip","2020.095B.R.Leviviricetes.zip")</f>
        <v>2020.095B.R.Leviviricetes.zip</v>
      </c>
      <c r="U10346" s="29" t="str">
        <f>HYPERLINK("https://ictv.global/taxonomy/taxondetails?taxnode_id=202311257","ictv.global=202311257")</f>
        <v>ictv.global=202311257</v>
      </c>
    </row>
    <row r="10347" spans="1:21">
      <c r="A10347">
        <v>10346</v>
      </c>
      <c r="B10347" s="30" t="s">
        <v>1226</v>
      </c>
      <c r="D10347" s="30" t="s">
        <v>2024</v>
      </c>
      <c r="F10347" s="30" t="s">
        <v>2046</v>
      </c>
      <c r="H10347" s="30" t="s">
        <v>2859</v>
      </c>
      <c r="J10347" s="30" t="s">
        <v>3390</v>
      </c>
      <c r="L10347" s="30" t="s">
        <v>3442</v>
      </c>
      <c r="N10347" s="30" t="s">
        <v>3509</v>
      </c>
      <c r="P10347" s="30" t="s">
        <v>3524</v>
      </c>
      <c r="Q10347" t="s">
        <v>621</v>
      </c>
      <c r="R10347" t="s">
        <v>917</v>
      </c>
      <c r="S10347">
        <v>36</v>
      </c>
      <c r="T10347" s="29" t="str">
        <f>HYPERLINK("https://ictv.global/ictv/proposals/2020.095B.R.Leviviricetes.zip","2020.095B.R.Leviviricetes.zip")</f>
        <v>2020.095B.R.Leviviricetes.zip</v>
      </c>
      <c r="U10347" s="29" t="str">
        <f>HYPERLINK("https://ictv.global/taxonomy/taxondetails?taxnode_id=202311261","ictv.global=202311261")</f>
        <v>ictv.global=202311261</v>
      </c>
    </row>
    <row r="10348" spans="1:21">
      <c r="A10348">
        <v>10347</v>
      </c>
      <c r="B10348" s="30" t="s">
        <v>1226</v>
      </c>
      <c r="D10348" s="30" t="s">
        <v>2024</v>
      </c>
      <c r="F10348" s="30" t="s">
        <v>2046</v>
      </c>
      <c r="H10348" s="30" t="s">
        <v>2859</v>
      </c>
      <c r="J10348" s="30" t="s">
        <v>3390</v>
      </c>
      <c r="L10348" s="30" t="s">
        <v>3442</v>
      </c>
      <c r="N10348" s="30" t="s">
        <v>3509</v>
      </c>
      <c r="P10348" s="30" t="s">
        <v>16844</v>
      </c>
      <c r="Q10348" t="s">
        <v>621</v>
      </c>
      <c r="R10348" t="s">
        <v>917</v>
      </c>
      <c r="S10348">
        <v>39</v>
      </c>
      <c r="T10348" s="29" t="str">
        <f t="shared" ref="T10348:T10362" si="429">HYPERLINK("https://ictv.global/ictv/proposals/2023.001B.Leviviricetes_reorg.zip","2023.001B.Leviviricetes_reorg.zip")</f>
        <v>2023.001B.Leviviricetes_reorg.zip</v>
      </c>
      <c r="U10348" s="29" t="str">
        <f>HYPERLINK("https://ictv.global/taxonomy/taxondetails?taxnode_id=202317429","ictv.global=202317429")</f>
        <v>ictv.global=202317429</v>
      </c>
    </row>
    <row r="10349" spans="1:21">
      <c r="A10349">
        <v>10348</v>
      </c>
      <c r="B10349" s="30" t="s">
        <v>1226</v>
      </c>
      <c r="D10349" s="30" t="s">
        <v>2024</v>
      </c>
      <c r="F10349" s="30" t="s">
        <v>2046</v>
      </c>
      <c r="H10349" s="30" t="s">
        <v>2859</v>
      </c>
      <c r="J10349" s="30" t="s">
        <v>3390</v>
      </c>
      <c r="L10349" s="30" t="s">
        <v>3442</v>
      </c>
      <c r="N10349" s="30" t="s">
        <v>3509</v>
      </c>
      <c r="P10349" s="30" t="s">
        <v>16845</v>
      </c>
      <c r="Q10349" t="s">
        <v>621</v>
      </c>
      <c r="R10349" t="s">
        <v>917</v>
      </c>
      <c r="S10349">
        <v>39</v>
      </c>
      <c r="T10349" s="29" t="str">
        <f t="shared" si="429"/>
        <v>2023.001B.Leviviricetes_reorg.zip</v>
      </c>
      <c r="U10349" s="29" t="str">
        <f>HYPERLINK("https://ictv.global/taxonomy/taxondetails?taxnode_id=202317430","ictv.global=202317430")</f>
        <v>ictv.global=202317430</v>
      </c>
    </row>
    <row r="10350" spans="1:21">
      <c r="A10350">
        <v>10349</v>
      </c>
      <c r="B10350" s="30" t="s">
        <v>1226</v>
      </c>
      <c r="D10350" s="30" t="s">
        <v>2024</v>
      </c>
      <c r="F10350" s="30" t="s">
        <v>2046</v>
      </c>
      <c r="H10350" s="30" t="s">
        <v>2859</v>
      </c>
      <c r="J10350" s="30" t="s">
        <v>3390</v>
      </c>
      <c r="L10350" s="30" t="s">
        <v>3442</v>
      </c>
      <c r="N10350" s="30" t="s">
        <v>3509</v>
      </c>
      <c r="P10350" s="30" t="s">
        <v>16846</v>
      </c>
      <c r="Q10350" t="s">
        <v>621</v>
      </c>
      <c r="R10350" t="s">
        <v>917</v>
      </c>
      <c r="S10350">
        <v>39</v>
      </c>
      <c r="T10350" s="29" t="str">
        <f t="shared" si="429"/>
        <v>2023.001B.Leviviricetes_reorg.zip</v>
      </c>
      <c r="U10350" s="29" t="str">
        <f>HYPERLINK("https://ictv.global/taxonomy/taxondetails?taxnode_id=202317431","ictv.global=202317431")</f>
        <v>ictv.global=202317431</v>
      </c>
    </row>
    <row r="10351" spans="1:21">
      <c r="A10351">
        <v>10350</v>
      </c>
      <c r="B10351" s="30" t="s">
        <v>1226</v>
      </c>
      <c r="D10351" s="30" t="s">
        <v>2024</v>
      </c>
      <c r="F10351" s="30" t="s">
        <v>2046</v>
      </c>
      <c r="H10351" s="30" t="s">
        <v>2859</v>
      </c>
      <c r="J10351" s="30" t="s">
        <v>3390</v>
      </c>
      <c r="L10351" s="30" t="s">
        <v>3442</v>
      </c>
      <c r="N10351" s="30" t="s">
        <v>3509</v>
      </c>
      <c r="P10351" s="30" t="s">
        <v>16847</v>
      </c>
      <c r="Q10351" t="s">
        <v>621</v>
      </c>
      <c r="R10351" t="s">
        <v>917</v>
      </c>
      <c r="S10351">
        <v>39</v>
      </c>
      <c r="T10351" s="29" t="str">
        <f t="shared" si="429"/>
        <v>2023.001B.Leviviricetes_reorg.zip</v>
      </c>
      <c r="U10351" s="29" t="str">
        <f>HYPERLINK("https://ictv.global/taxonomy/taxondetails?taxnode_id=202317432","ictv.global=202317432")</f>
        <v>ictv.global=202317432</v>
      </c>
    </row>
    <row r="10352" spans="1:21">
      <c r="A10352">
        <v>10351</v>
      </c>
      <c r="B10352" s="30" t="s">
        <v>1226</v>
      </c>
      <c r="D10352" s="30" t="s">
        <v>2024</v>
      </c>
      <c r="F10352" s="30" t="s">
        <v>2046</v>
      </c>
      <c r="H10352" s="30" t="s">
        <v>2859</v>
      </c>
      <c r="J10352" s="30" t="s">
        <v>3390</v>
      </c>
      <c r="L10352" s="30" t="s">
        <v>3442</v>
      </c>
      <c r="N10352" s="30" t="s">
        <v>3509</v>
      </c>
      <c r="P10352" s="30" t="s">
        <v>16848</v>
      </c>
      <c r="Q10352" t="s">
        <v>621</v>
      </c>
      <c r="R10352" t="s">
        <v>917</v>
      </c>
      <c r="S10352">
        <v>39</v>
      </c>
      <c r="T10352" s="29" t="str">
        <f t="shared" si="429"/>
        <v>2023.001B.Leviviricetes_reorg.zip</v>
      </c>
      <c r="U10352" s="29" t="str">
        <f>HYPERLINK("https://ictv.global/taxonomy/taxondetails?taxnode_id=202317433","ictv.global=202317433")</f>
        <v>ictv.global=202317433</v>
      </c>
    </row>
    <row r="10353" spans="1:21">
      <c r="A10353">
        <v>10352</v>
      </c>
      <c r="B10353" s="30" t="s">
        <v>1226</v>
      </c>
      <c r="D10353" s="30" t="s">
        <v>2024</v>
      </c>
      <c r="F10353" s="30" t="s">
        <v>2046</v>
      </c>
      <c r="H10353" s="30" t="s">
        <v>2859</v>
      </c>
      <c r="J10353" s="30" t="s">
        <v>3390</v>
      </c>
      <c r="L10353" s="30" t="s">
        <v>3442</v>
      </c>
      <c r="N10353" s="30" t="s">
        <v>3525</v>
      </c>
      <c r="P10353" s="30" t="s">
        <v>16849</v>
      </c>
      <c r="Q10353" t="s">
        <v>621</v>
      </c>
      <c r="R10353" t="s">
        <v>917</v>
      </c>
      <c r="S10353">
        <v>39</v>
      </c>
      <c r="T10353" s="29" t="str">
        <f t="shared" si="429"/>
        <v>2023.001B.Leviviricetes_reorg.zip</v>
      </c>
      <c r="U10353" s="29" t="str">
        <f>HYPERLINK("https://ictv.global/taxonomy/taxondetails?taxnode_id=202317434","ictv.global=202317434")</f>
        <v>ictv.global=202317434</v>
      </c>
    </row>
    <row r="10354" spans="1:21">
      <c r="A10354">
        <v>10353</v>
      </c>
      <c r="B10354" s="30" t="s">
        <v>1226</v>
      </c>
      <c r="D10354" s="30" t="s">
        <v>2024</v>
      </c>
      <c r="F10354" s="30" t="s">
        <v>2046</v>
      </c>
      <c r="H10354" s="30" t="s">
        <v>2859</v>
      </c>
      <c r="J10354" s="30" t="s">
        <v>3390</v>
      </c>
      <c r="L10354" s="30" t="s">
        <v>3442</v>
      </c>
      <c r="N10354" s="30" t="s">
        <v>3525</v>
      </c>
      <c r="P10354" s="30" t="s">
        <v>16850</v>
      </c>
      <c r="Q10354" t="s">
        <v>621</v>
      </c>
      <c r="R10354" t="s">
        <v>917</v>
      </c>
      <c r="S10354">
        <v>39</v>
      </c>
      <c r="T10354" s="29" t="str">
        <f t="shared" si="429"/>
        <v>2023.001B.Leviviricetes_reorg.zip</v>
      </c>
      <c r="U10354" s="29" t="str">
        <f>HYPERLINK("https://ictv.global/taxonomy/taxondetails?taxnode_id=202317435","ictv.global=202317435")</f>
        <v>ictv.global=202317435</v>
      </c>
    </row>
    <row r="10355" spans="1:21">
      <c r="A10355">
        <v>10354</v>
      </c>
      <c r="B10355" s="30" t="s">
        <v>1226</v>
      </c>
      <c r="D10355" s="30" t="s">
        <v>2024</v>
      </c>
      <c r="F10355" s="30" t="s">
        <v>2046</v>
      </c>
      <c r="H10355" s="30" t="s">
        <v>2859</v>
      </c>
      <c r="J10355" s="30" t="s">
        <v>3390</v>
      </c>
      <c r="L10355" s="30" t="s">
        <v>3442</v>
      </c>
      <c r="N10355" s="30" t="s">
        <v>3525</v>
      </c>
      <c r="P10355" s="30" t="s">
        <v>16851</v>
      </c>
      <c r="Q10355" t="s">
        <v>621</v>
      </c>
      <c r="R10355" t="s">
        <v>917</v>
      </c>
      <c r="S10355">
        <v>39</v>
      </c>
      <c r="T10355" s="29" t="str">
        <f t="shared" si="429"/>
        <v>2023.001B.Leviviricetes_reorg.zip</v>
      </c>
      <c r="U10355" s="29" t="str">
        <f>HYPERLINK("https://ictv.global/taxonomy/taxondetails?taxnode_id=202317436","ictv.global=202317436")</f>
        <v>ictv.global=202317436</v>
      </c>
    </row>
    <row r="10356" spans="1:21">
      <c r="A10356">
        <v>10355</v>
      </c>
      <c r="B10356" s="30" t="s">
        <v>1226</v>
      </c>
      <c r="D10356" s="30" t="s">
        <v>2024</v>
      </c>
      <c r="F10356" s="30" t="s">
        <v>2046</v>
      </c>
      <c r="H10356" s="30" t="s">
        <v>2859</v>
      </c>
      <c r="J10356" s="30" t="s">
        <v>3390</v>
      </c>
      <c r="L10356" s="30" t="s">
        <v>3442</v>
      </c>
      <c r="N10356" s="30" t="s">
        <v>3525</v>
      </c>
      <c r="P10356" s="30" t="s">
        <v>16852</v>
      </c>
      <c r="Q10356" t="s">
        <v>621</v>
      </c>
      <c r="R10356" t="s">
        <v>917</v>
      </c>
      <c r="S10356">
        <v>39</v>
      </c>
      <c r="T10356" s="29" t="str">
        <f t="shared" si="429"/>
        <v>2023.001B.Leviviricetes_reorg.zip</v>
      </c>
      <c r="U10356" s="29" t="str">
        <f>HYPERLINK("https://ictv.global/taxonomy/taxondetails?taxnode_id=202317437","ictv.global=202317437")</f>
        <v>ictv.global=202317437</v>
      </c>
    </row>
    <row r="10357" spans="1:21">
      <c r="A10357">
        <v>10356</v>
      </c>
      <c r="B10357" s="30" t="s">
        <v>1226</v>
      </c>
      <c r="D10357" s="30" t="s">
        <v>2024</v>
      </c>
      <c r="F10357" s="30" t="s">
        <v>2046</v>
      </c>
      <c r="H10357" s="30" t="s">
        <v>2859</v>
      </c>
      <c r="J10357" s="30" t="s">
        <v>3390</v>
      </c>
      <c r="L10357" s="30" t="s">
        <v>3442</v>
      </c>
      <c r="N10357" s="30" t="s">
        <v>3525</v>
      </c>
      <c r="P10357" s="30" t="s">
        <v>16853</v>
      </c>
      <c r="Q10357" t="s">
        <v>621</v>
      </c>
      <c r="R10357" t="s">
        <v>917</v>
      </c>
      <c r="S10357">
        <v>39</v>
      </c>
      <c r="T10357" s="29" t="str">
        <f t="shared" si="429"/>
        <v>2023.001B.Leviviricetes_reorg.zip</v>
      </c>
      <c r="U10357" s="29" t="str">
        <f>HYPERLINK("https://ictv.global/taxonomy/taxondetails?taxnode_id=202317438","ictv.global=202317438")</f>
        <v>ictv.global=202317438</v>
      </c>
    </row>
    <row r="10358" spans="1:21">
      <c r="A10358">
        <v>10357</v>
      </c>
      <c r="B10358" s="30" t="s">
        <v>1226</v>
      </c>
      <c r="D10358" s="30" t="s">
        <v>2024</v>
      </c>
      <c r="F10358" s="30" t="s">
        <v>2046</v>
      </c>
      <c r="H10358" s="30" t="s">
        <v>2859</v>
      </c>
      <c r="J10358" s="30" t="s">
        <v>3390</v>
      </c>
      <c r="L10358" s="30" t="s">
        <v>3442</v>
      </c>
      <c r="N10358" s="30" t="s">
        <v>3525</v>
      </c>
      <c r="P10358" s="30" t="s">
        <v>16854</v>
      </c>
      <c r="Q10358" t="s">
        <v>621</v>
      </c>
      <c r="R10358" t="s">
        <v>917</v>
      </c>
      <c r="S10358">
        <v>39</v>
      </c>
      <c r="T10358" s="29" t="str">
        <f t="shared" si="429"/>
        <v>2023.001B.Leviviricetes_reorg.zip</v>
      </c>
      <c r="U10358" s="29" t="str">
        <f>HYPERLINK("https://ictv.global/taxonomy/taxondetails?taxnode_id=202317439","ictv.global=202317439")</f>
        <v>ictv.global=202317439</v>
      </c>
    </row>
    <row r="10359" spans="1:21">
      <c r="A10359">
        <v>10358</v>
      </c>
      <c r="B10359" s="30" t="s">
        <v>1226</v>
      </c>
      <c r="D10359" s="30" t="s">
        <v>2024</v>
      </c>
      <c r="F10359" s="30" t="s">
        <v>2046</v>
      </c>
      <c r="H10359" s="30" t="s">
        <v>2859</v>
      </c>
      <c r="J10359" s="30" t="s">
        <v>3390</v>
      </c>
      <c r="L10359" s="30" t="s">
        <v>3442</v>
      </c>
      <c r="N10359" s="30" t="s">
        <v>3525</v>
      </c>
      <c r="P10359" s="30" t="s">
        <v>16855</v>
      </c>
      <c r="Q10359" t="s">
        <v>621</v>
      </c>
      <c r="R10359" t="s">
        <v>917</v>
      </c>
      <c r="S10359">
        <v>39</v>
      </c>
      <c r="T10359" s="29" t="str">
        <f t="shared" si="429"/>
        <v>2023.001B.Leviviricetes_reorg.zip</v>
      </c>
      <c r="U10359" s="29" t="str">
        <f>HYPERLINK("https://ictv.global/taxonomy/taxondetails?taxnode_id=202317440","ictv.global=202317440")</f>
        <v>ictv.global=202317440</v>
      </c>
    </row>
    <row r="10360" spans="1:21">
      <c r="A10360">
        <v>10359</v>
      </c>
      <c r="B10360" s="30" t="s">
        <v>1226</v>
      </c>
      <c r="D10360" s="30" t="s">
        <v>2024</v>
      </c>
      <c r="F10360" s="30" t="s">
        <v>2046</v>
      </c>
      <c r="H10360" s="30" t="s">
        <v>2859</v>
      </c>
      <c r="J10360" s="30" t="s">
        <v>3390</v>
      </c>
      <c r="L10360" s="30" t="s">
        <v>3442</v>
      </c>
      <c r="N10360" s="30" t="s">
        <v>3525</v>
      </c>
      <c r="P10360" s="30" t="s">
        <v>16856</v>
      </c>
      <c r="Q10360" t="s">
        <v>621</v>
      </c>
      <c r="R10360" t="s">
        <v>917</v>
      </c>
      <c r="S10360">
        <v>39</v>
      </c>
      <c r="T10360" s="29" t="str">
        <f t="shared" si="429"/>
        <v>2023.001B.Leviviricetes_reorg.zip</v>
      </c>
      <c r="U10360" s="29" t="str">
        <f>HYPERLINK("https://ictv.global/taxonomy/taxondetails?taxnode_id=202317441","ictv.global=202317441")</f>
        <v>ictv.global=202317441</v>
      </c>
    </row>
    <row r="10361" spans="1:21">
      <c r="A10361">
        <v>10360</v>
      </c>
      <c r="B10361" s="30" t="s">
        <v>1226</v>
      </c>
      <c r="D10361" s="30" t="s">
        <v>2024</v>
      </c>
      <c r="F10361" s="30" t="s">
        <v>2046</v>
      </c>
      <c r="H10361" s="30" t="s">
        <v>2859</v>
      </c>
      <c r="J10361" s="30" t="s">
        <v>3390</v>
      </c>
      <c r="L10361" s="30" t="s">
        <v>3442</v>
      </c>
      <c r="N10361" s="30" t="s">
        <v>3525</v>
      </c>
      <c r="P10361" s="30" t="s">
        <v>16857</v>
      </c>
      <c r="Q10361" t="s">
        <v>621</v>
      </c>
      <c r="R10361" t="s">
        <v>917</v>
      </c>
      <c r="S10361">
        <v>39</v>
      </c>
      <c r="T10361" s="29" t="str">
        <f t="shared" si="429"/>
        <v>2023.001B.Leviviricetes_reorg.zip</v>
      </c>
      <c r="U10361" s="29" t="str">
        <f>HYPERLINK("https://ictv.global/taxonomy/taxondetails?taxnode_id=202317442","ictv.global=202317442")</f>
        <v>ictv.global=202317442</v>
      </c>
    </row>
    <row r="10362" spans="1:21">
      <c r="A10362">
        <v>10361</v>
      </c>
      <c r="B10362" s="30" t="s">
        <v>1226</v>
      </c>
      <c r="D10362" s="30" t="s">
        <v>2024</v>
      </c>
      <c r="F10362" s="30" t="s">
        <v>2046</v>
      </c>
      <c r="H10362" s="30" t="s">
        <v>2859</v>
      </c>
      <c r="J10362" s="30" t="s">
        <v>3390</v>
      </c>
      <c r="L10362" s="30" t="s">
        <v>3442</v>
      </c>
      <c r="N10362" s="30" t="s">
        <v>3525</v>
      </c>
      <c r="P10362" s="30" t="s">
        <v>16858</v>
      </c>
      <c r="Q10362" t="s">
        <v>621</v>
      </c>
      <c r="R10362" t="s">
        <v>917</v>
      </c>
      <c r="S10362">
        <v>39</v>
      </c>
      <c r="T10362" s="29" t="str">
        <f t="shared" si="429"/>
        <v>2023.001B.Leviviricetes_reorg.zip</v>
      </c>
      <c r="U10362" s="29" t="str">
        <f>HYPERLINK("https://ictv.global/taxonomy/taxondetails?taxnode_id=202317443","ictv.global=202317443")</f>
        <v>ictv.global=202317443</v>
      </c>
    </row>
    <row r="10363" spans="1:21">
      <c r="A10363">
        <v>10362</v>
      </c>
      <c r="B10363" s="30" t="s">
        <v>1226</v>
      </c>
      <c r="D10363" s="30" t="s">
        <v>2024</v>
      </c>
      <c r="F10363" s="30" t="s">
        <v>2046</v>
      </c>
      <c r="H10363" s="30" t="s">
        <v>2859</v>
      </c>
      <c r="J10363" s="30" t="s">
        <v>3390</v>
      </c>
      <c r="L10363" s="30" t="s">
        <v>3442</v>
      </c>
      <c r="N10363" s="30" t="s">
        <v>3525</v>
      </c>
      <c r="P10363" s="30" t="s">
        <v>3526</v>
      </c>
      <c r="Q10363" t="s">
        <v>621</v>
      </c>
      <c r="R10363" t="s">
        <v>917</v>
      </c>
      <c r="S10363">
        <v>36</v>
      </c>
      <c r="T10363" s="29" t="str">
        <f t="shared" ref="T10363:T10368" si="430">HYPERLINK("https://ictv.global/ictv/proposals/2020.095B.R.Leviviricetes.zip","2020.095B.R.Leviviricetes.zip")</f>
        <v>2020.095B.R.Leviviricetes.zip</v>
      </c>
      <c r="U10363" s="29" t="str">
        <f>HYPERLINK("https://ictv.global/taxonomy/taxondetails?taxnode_id=202311266","ictv.global=202311266")</f>
        <v>ictv.global=202311266</v>
      </c>
    </row>
    <row r="10364" spans="1:21">
      <c r="A10364">
        <v>10363</v>
      </c>
      <c r="B10364" s="30" t="s">
        <v>1226</v>
      </c>
      <c r="D10364" s="30" t="s">
        <v>2024</v>
      </c>
      <c r="F10364" s="30" t="s">
        <v>2046</v>
      </c>
      <c r="H10364" s="30" t="s">
        <v>2859</v>
      </c>
      <c r="J10364" s="30" t="s">
        <v>3390</v>
      </c>
      <c r="L10364" s="30" t="s">
        <v>3442</v>
      </c>
      <c r="N10364" s="30" t="s">
        <v>3525</v>
      </c>
      <c r="P10364" s="30" t="s">
        <v>3527</v>
      </c>
      <c r="Q10364" t="s">
        <v>621</v>
      </c>
      <c r="R10364" t="s">
        <v>917</v>
      </c>
      <c r="S10364">
        <v>36</v>
      </c>
      <c r="T10364" s="29" t="str">
        <f t="shared" si="430"/>
        <v>2020.095B.R.Leviviricetes.zip</v>
      </c>
      <c r="U10364" s="29" t="str">
        <f>HYPERLINK("https://ictv.global/taxonomy/taxondetails?taxnode_id=202311267","ictv.global=202311267")</f>
        <v>ictv.global=202311267</v>
      </c>
    </row>
    <row r="10365" spans="1:21">
      <c r="A10365">
        <v>10364</v>
      </c>
      <c r="B10365" s="30" t="s">
        <v>1226</v>
      </c>
      <c r="D10365" s="30" t="s">
        <v>2024</v>
      </c>
      <c r="F10365" s="30" t="s">
        <v>2046</v>
      </c>
      <c r="H10365" s="30" t="s">
        <v>2859</v>
      </c>
      <c r="J10365" s="30" t="s">
        <v>3390</v>
      </c>
      <c r="L10365" s="30" t="s">
        <v>3442</v>
      </c>
      <c r="N10365" s="30" t="s">
        <v>3525</v>
      </c>
      <c r="P10365" s="30" t="s">
        <v>3528</v>
      </c>
      <c r="Q10365" t="s">
        <v>621</v>
      </c>
      <c r="R10365" t="s">
        <v>917</v>
      </c>
      <c r="S10365">
        <v>36</v>
      </c>
      <c r="T10365" s="29" t="str">
        <f t="shared" si="430"/>
        <v>2020.095B.R.Leviviricetes.zip</v>
      </c>
      <c r="U10365" s="29" t="str">
        <f>HYPERLINK("https://ictv.global/taxonomy/taxondetails?taxnode_id=202311263","ictv.global=202311263")</f>
        <v>ictv.global=202311263</v>
      </c>
    </row>
    <row r="10366" spans="1:21">
      <c r="A10366">
        <v>10365</v>
      </c>
      <c r="B10366" s="30" t="s">
        <v>1226</v>
      </c>
      <c r="D10366" s="30" t="s">
        <v>2024</v>
      </c>
      <c r="F10366" s="30" t="s">
        <v>2046</v>
      </c>
      <c r="H10366" s="30" t="s">
        <v>2859</v>
      </c>
      <c r="J10366" s="30" t="s">
        <v>3390</v>
      </c>
      <c r="L10366" s="30" t="s">
        <v>3442</v>
      </c>
      <c r="N10366" s="30" t="s">
        <v>3525</v>
      </c>
      <c r="P10366" s="30" t="s">
        <v>3529</v>
      </c>
      <c r="Q10366" t="s">
        <v>621</v>
      </c>
      <c r="R10366" t="s">
        <v>917</v>
      </c>
      <c r="S10366">
        <v>36</v>
      </c>
      <c r="T10366" s="29" t="str">
        <f t="shared" si="430"/>
        <v>2020.095B.R.Leviviricetes.zip</v>
      </c>
      <c r="U10366" s="29" t="str">
        <f>HYPERLINK("https://ictv.global/taxonomy/taxondetails?taxnode_id=202311268","ictv.global=202311268")</f>
        <v>ictv.global=202311268</v>
      </c>
    </row>
    <row r="10367" spans="1:21">
      <c r="A10367">
        <v>10366</v>
      </c>
      <c r="B10367" s="30" t="s">
        <v>1226</v>
      </c>
      <c r="D10367" s="30" t="s">
        <v>2024</v>
      </c>
      <c r="F10367" s="30" t="s">
        <v>2046</v>
      </c>
      <c r="H10367" s="30" t="s">
        <v>2859</v>
      </c>
      <c r="J10367" s="30" t="s">
        <v>3390</v>
      </c>
      <c r="L10367" s="30" t="s">
        <v>3442</v>
      </c>
      <c r="N10367" s="30" t="s">
        <v>3525</v>
      </c>
      <c r="P10367" s="30" t="s">
        <v>3530</v>
      </c>
      <c r="Q10367" t="s">
        <v>621</v>
      </c>
      <c r="R10367" t="s">
        <v>917</v>
      </c>
      <c r="S10367">
        <v>36</v>
      </c>
      <c r="T10367" s="29" t="str">
        <f t="shared" si="430"/>
        <v>2020.095B.R.Leviviricetes.zip</v>
      </c>
      <c r="U10367" s="29" t="str">
        <f>HYPERLINK("https://ictv.global/taxonomy/taxondetails?taxnode_id=202311269","ictv.global=202311269")</f>
        <v>ictv.global=202311269</v>
      </c>
    </row>
    <row r="10368" spans="1:21">
      <c r="A10368">
        <v>10367</v>
      </c>
      <c r="B10368" s="30" t="s">
        <v>1226</v>
      </c>
      <c r="D10368" s="30" t="s">
        <v>2024</v>
      </c>
      <c r="F10368" s="30" t="s">
        <v>2046</v>
      </c>
      <c r="H10368" s="30" t="s">
        <v>2859</v>
      </c>
      <c r="J10368" s="30" t="s">
        <v>3390</v>
      </c>
      <c r="L10368" s="30" t="s">
        <v>3442</v>
      </c>
      <c r="N10368" s="30" t="s">
        <v>3525</v>
      </c>
      <c r="P10368" s="30" t="s">
        <v>3531</v>
      </c>
      <c r="Q10368" t="s">
        <v>621</v>
      </c>
      <c r="R10368" t="s">
        <v>917</v>
      </c>
      <c r="S10368">
        <v>36</v>
      </c>
      <c r="T10368" s="29" t="str">
        <f t="shared" si="430"/>
        <v>2020.095B.R.Leviviricetes.zip</v>
      </c>
      <c r="U10368" s="29" t="str">
        <f>HYPERLINK("https://ictv.global/taxonomy/taxondetails?taxnode_id=202311270","ictv.global=202311270")</f>
        <v>ictv.global=202311270</v>
      </c>
    </row>
    <row r="10369" spans="1:21">
      <c r="A10369">
        <v>10368</v>
      </c>
      <c r="B10369" s="30" t="s">
        <v>1226</v>
      </c>
      <c r="D10369" s="30" t="s">
        <v>2024</v>
      </c>
      <c r="F10369" s="30" t="s">
        <v>2046</v>
      </c>
      <c r="H10369" s="30" t="s">
        <v>2859</v>
      </c>
      <c r="J10369" s="30" t="s">
        <v>3390</v>
      </c>
      <c r="L10369" s="30" t="s">
        <v>3442</v>
      </c>
      <c r="N10369" s="30" t="s">
        <v>3525</v>
      </c>
      <c r="P10369" s="30" t="s">
        <v>16859</v>
      </c>
      <c r="Q10369" t="s">
        <v>621</v>
      </c>
      <c r="R10369" t="s">
        <v>917</v>
      </c>
      <c r="S10369">
        <v>39</v>
      </c>
      <c r="T10369" s="29" t="str">
        <f t="shared" ref="T10369:T10380" si="431">HYPERLINK("https://ictv.global/ictv/proposals/2023.001B.Leviviricetes_reorg.zip","2023.001B.Leviviricetes_reorg.zip")</f>
        <v>2023.001B.Leviviricetes_reorg.zip</v>
      </c>
      <c r="U10369" s="29" t="str">
        <f>HYPERLINK("https://ictv.global/taxonomy/taxondetails?taxnode_id=202317444","ictv.global=202317444")</f>
        <v>ictv.global=202317444</v>
      </c>
    </row>
    <row r="10370" spans="1:21">
      <c r="A10370">
        <v>10369</v>
      </c>
      <c r="B10370" s="30" t="s">
        <v>1226</v>
      </c>
      <c r="D10370" s="30" t="s">
        <v>2024</v>
      </c>
      <c r="F10370" s="30" t="s">
        <v>2046</v>
      </c>
      <c r="H10370" s="30" t="s">
        <v>2859</v>
      </c>
      <c r="J10370" s="30" t="s">
        <v>3390</v>
      </c>
      <c r="L10370" s="30" t="s">
        <v>3442</v>
      </c>
      <c r="N10370" s="30" t="s">
        <v>3525</v>
      </c>
      <c r="P10370" s="30" t="s">
        <v>16860</v>
      </c>
      <c r="Q10370" t="s">
        <v>621</v>
      </c>
      <c r="R10370" t="s">
        <v>917</v>
      </c>
      <c r="S10370">
        <v>39</v>
      </c>
      <c r="T10370" s="29" t="str">
        <f t="shared" si="431"/>
        <v>2023.001B.Leviviricetes_reorg.zip</v>
      </c>
      <c r="U10370" s="29" t="str">
        <f>HYPERLINK("https://ictv.global/taxonomy/taxondetails?taxnode_id=202317445","ictv.global=202317445")</f>
        <v>ictv.global=202317445</v>
      </c>
    </row>
    <row r="10371" spans="1:21">
      <c r="A10371">
        <v>10370</v>
      </c>
      <c r="B10371" s="30" t="s">
        <v>1226</v>
      </c>
      <c r="D10371" s="30" t="s">
        <v>2024</v>
      </c>
      <c r="F10371" s="30" t="s">
        <v>2046</v>
      </c>
      <c r="H10371" s="30" t="s">
        <v>2859</v>
      </c>
      <c r="J10371" s="30" t="s">
        <v>3390</v>
      </c>
      <c r="L10371" s="30" t="s">
        <v>3442</v>
      </c>
      <c r="N10371" s="30" t="s">
        <v>3525</v>
      </c>
      <c r="P10371" s="30" t="s">
        <v>16861</v>
      </c>
      <c r="Q10371" t="s">
        <v>621</v>
      </c>
      <c r="R10371" t="s">
        <v>917</v>
      </c>
      <c r="S10371">
        <v>39</v>
      </c>
      <c r="T10371" s="29" t="str">
        <f t="shared" si="431"/>
        <v>2023.001B.Leviviricetes_reorg.zip</v>
      </c>
      <c r="U10371" s="29" t="str">
        <f>HYPERLINK("https://ictv.global/taxonomy/taxondetails?taxnode_id=202317446","ictv.global=202317446")</f>
        <v>ictv.global=202317446</v>
      </c>
    </row>
    <row r="10372" spans="1:21">
      <c r="A10372">
        <v>10371</v>
      </c>
      <c r="B10372" s="30" t="s">
        <v>1226</v>
      </c>
      <c r="D10372" s="30" t="s">
        <v>2024</v>
      </c>
      <c r="F10372" s="30" t="s">
        <v>2046</v>
      </c>
      <c r="H10372" s="30" t="s">
        <v>2859</v>
      </c>
      <c r="J10372" s="30" t="s">
        <v>3390</v>
      </c>
      <c r="L10372" s="30" t="s">
        <v>3442</v>
      </c>
      <c r="N10372" s="30" t="s">
        <v>3525</v>
      </c>
      <c r="P10372" s="30" t="s">
        <v>16862</v>
      </c>
      <c r="Q10372" t="s">
        <v>621</v>
      </c>
      <c r="R10372" t="s">
        <v>917</v>
      </c>
      <c r="S10372">
        <v>39</v>
      </c>
      <c r="T10372" s="29" t="str">
        <f t="shared" si="431"/>
        <v>2023.001B.Leviviricetes_reorg.zip</v>
      </c>
      <c r="U10372" s="29" t="str">
        <f>HYPERLINK("https://ictv.global/taxonomy/taxondetails?taxnode_id=202317447","ictv.global=202317447")</f>
        <v>ictv.global=202317447</v>
      </c>
    </row>
    <row r="10373" spans="1:21">
      <c r="A10373">
        <v>10372</v>
      </c>
      <c r="B10373" s="30" t="s">
        <v>1226</v>
      </c>
      <c r="D10373" s="30" t="s">
        <v>2024</v>
      </c>
      <c r="F10373" s="30" t="s">
        <v>2046</v>
      </c>
      <c r="H10373" s="30" t="s">
        <v>2859</v>
      </c>
      <c r="J10373" s="30" t="s">
        <v>3390</v>
      </c>
      <c r="L10373" s="30" t="s">
        <v>3442</v>
      </c>
      <c r="N10373" s="30" t="s">
        <v>3525</v>
      </c>
      <c r="P10373" s="30" t="s">
        <v>16863</v>
      </c>
      <c r="Q10373" t="s">
        <v>621</v>
      </c>
      <c r="R10373" t="s">
        <v>917</v>
      </c>
      <c r="S10373">
        <v>39</v>
      </c>
      <c r="T10373" s="29" t="str">
        <f t="shared" si="431"/>
        <v>2023.001B.Leviviricetes_reorg.zip</v>
      </c>
      <c r="U10373" s="29" t="str">
        <f>HYPERLINK("https://ictv.global/taxonomy/taxondetails?taxnode_id=202317448","ictv.global=202317448")</f>
        <v>ictv.global=202317448</v>
      </c>
    </row>
    <row r="10374" spans="1:21">
      <c r="A10374">
        <v>10373</v>
      </c>
      <c r="B10374" s="30" t="s">
        <v>1226</v>
      </c>
      <c r="D10374" s="30" t="s">
        <v>2024</v>
      </c>
      <c r="F10374" s="30" t="s">
        <v>2046</v>
      </c>
      <c r="H10374" s="30" t="s">
        <v>2859</v>
      </c>
      <c r="J10374" s="30" t="s">
        <v>3390</v>
      </c>
      <c r="L10374" s="30" t="s">
        <v>3442</v>
      </c>
      <c r="N10374" s="30" t="s">
        <v>3525</v>
      </c>
      <c r="P10374" s="30" t="s">
        <v>16864</v>
      </c>
      <c r="Q10374" t="s">
        <v>621</v>
      </c>
      <c r="R10374" t="s">
        <v>917</v>
      </c>
      <c r="S10374">
        <v>39</v>
      </c>
      <c r="T10374" s="29" t="str">
        <f t="shared" si="431"/>
        <v>2023.001B.Leviviricetes_reorg.zip</v>
      </c>
      <c r="U10374" s="29" t="str">
        <f>HYPERLINK("https://ictv.global/taxonomy/taxondetails?taxnode_id=202317449","ictv.global=202317449")</f>
        <v>ictv.global=202317449</v>
      </c>
    </row>
    <row r="10375" spans="1:21">
      <c r="A10375">
        <v>10374</v>
      </c>
      <c r="B10375" s="30" t="s">
        <v>1226</v>
      </c>
      <c r="D10375" s="30" t="s">
        <v>2024</v>
      </c>
      <c r="F10375" s="30" t="s">
        <v>2046</v>
      </c>
      <c r="H10375" s="30" t="s">
        <v>2859</v>
      </c>
      <c r="J10375" s="30" t="s">
        <v>3390</v>
      </c>
      <c r="L10375" s="30" t="s">
        <v>3442</v>
      </c>
      <c r="N10375" s="30" t="s">
        <v>3525</v>
      </c>
      <c r="P10375" s="30" t="s">
        <v>16865</v>
      </c>
      <c r="Q10375" t="s">
        <v>621</v>
      </c>
      <c r="R10375" t="s">
        <v>917</v>
      </c>
      <c r="S10375">
        <v>39</v>
      </c>
      <c r="T10375" s="29" t="str">
        <f t="shared" si="431"/>
        <v>2023.001B.Leviviricetes_reorg.zip</v>
      </c>
      <c r="U10375" s="29" t="str">
        <f>HYPERLINK("https://ictv.global/taxonomy/taxondetails?taxnode_id=202317450","ictv.global=202317450")</f>
        <v>ictv.global=202317450</v>
      </c>
    </row>
    <row r="10376" spans="1:21">
      <c r="A10376">
        <v>10375</v>
      </c>
      <c r="B10376" s="30" t="s">
        <v>1226</v>
      </c>
      <c r="D10376" s="30" t="s">
        <v>2024</v>
      </c>
      <c r="F10376" s="30" t="s">
        <v>2046</v>
      </c>
      <c r="H10376" s="30" t="s">
        <v>2859</v>
      </c>
      <c r="J10376" s="30" t="s">
        <v>3390</v>
      </c>
      <c r="L10376" s="30" t="s">
        <v>3442</v>
      </c>
      <c r="N10376" s="30" t="s">
        <v>3525</v>
      </c>
      <c r="P10376" s="30" t="s">
        <v>16866</v>
      </c>
      <c r="Q10376" t="s">
        <v>621</v>
      </c>
      <c r="R10376" t="s">
        <v>917</v>
      </c>
      <c r="S10376">
        <v>39</v>
      </c>
      <c r="T10376" s="29" t="str">
        <f t="shared" si="431"/>
        <v>2023.001B.Leviviricetes_reorg.zip</v>
      </c>
      <c r="U10376" s="29" t="str">
        <f>HYPERLINK("https://ictv.global/taxonomy/taxondetails?taxnode_id=202317451","ictv.global=202317451")</f>
        <v>ictv.global=202317451</v>
      </c>
    </row>
    <row r="10377" spans="1:21">
      <c r="A10377">
        <v>10376</v>
      </c>
      <c r="B10377" s="30" t="s">
        <v>1226</v>
      </c>
      <c r="D10377" s="30" t="s">
        <v>2024</v>
      </c>
      <c r="F10377" s="30" t="s">
        <v>2046</v>
      </c>
      <c r="H10377" s="30" t="s">
        <v>2859</v>
      </c>
      <c r="J10377" s="30" t="s">
        <v>3390</v>
      </c>
      <c r="L10377" s="30" t="s">
        <v>3442</v>
      </c>
      <c r="N10377" s="30" t="s">
        <v>3525</v>
      </c>
      <c r="P10377" s="30" t="s">
        <v>16867</v>
      </c>
      <c r="Q10377" t="s">
        <v>621</v>
      </c>
      <c r="R10377" t="s">
        <v>917</v>
      </c>
      <c r="S10377">
        <v>39</v>
      </c>
      <c r="T10377" s="29" t="str">
        <f t="shared" si="431"/>
        <v>2023.001B.Leviviricetes_reorg.zip</v>
      </c>
      <c r="U10377" s="29" t="str">
        <f>HYPERLINK("https://ictv.global/taxonomy/taxondetails?taxnode_id=202317452","ictv.global=202317452")</f>
        <v>ictv.global=202317452</v>
      </c>
    </row>
    <row r="10378" spans="1:21">
      <c r="A10378">
        <v>10377</v>
      </c>
      <c r="B10378" s="30" t="s">
        <v>1226</v>
      </c>
      <c r="D10378" s="30" t="s">
        <v>2024</v>
      </c>
      <c r="F10378" s="30" t="s">
        <v>2046</v>
      </c>
      <c r="H10378" s="30" t="s">
        <v>2859</v>
      </c>
      <c r="J10378" s="30" t="s">
        <v>3390</v>
      </c>
      <c r="L10378" s="30" t="s">
        <v>3442</v>
      </c>
      <c r="N10378" s="30" t="s">
        <v>3525</v>
      </c>
      <c r="P10378" s="30" t="s">
        <v>16868</v>
      </c>
      <c r="Q10378" t="s">
        <v>621</v>
      </c>
      <c r="R10378" t="s">
        <v>917</v>
      </c>
      <c r="S10378">
        <v>39</v>
      </c>
      <c r="T10378" s="29" t="str">
        <f t="shared" si="431"/>
        <v>2023.001B.Leviviricetes_reorg.zip</v>
      </c>
      <c r="U10378" s="29" t="str">
        <f>HYPERLINK("https://ictv.global/taxonomy/taxondetails?taxnode_id=202317453","ictv.global=202317453")</f>
        <v>ictv.global=202317453</v>
      </c>
    </row>
    <row r="10379" spans="1:21">
      <c r="A10379">
        <v>10378</v>
      </c>
      <c r="B10379" s="30" t="s">
        <v>1226</v>
      </c>
      <c r="D10379" s="30" t="s">
        <v>2024</v>
      </c>
      <c r="F10379" s="30" t="s">
        <v>2046</v>
      </c>
      <c r="H10379" s="30" t="s">
        <v>2859</v>
      </c>
      <c r="J10379" s="30" t="s">
        <v>3390</v>
      </c>
      <c r="L10379" s="30" t="s">
        <v>3442</v>
      </c>
      <c r="N10379" s="30" t="s">
        <v>3525</v>
      </c>
      <c r="P10379" s="30" t="s">
        <v>16869</v>
      </c>
      <c r="Q10379" t="s">
        <v>621</v>
      </c>
      <c r="R10379" t="s">
        <v>917</v>
      </c>
      <c r="S10379">
        <v>39</v>
      </c>
      <c r="T10379" s="29" t="str">
        <f t="shared" si="431"/>
        <v>2023.001B.Leviviricetes_reorg.zip</v>
      </c>
      <c r="U10379" s="29" t="str">
        <f>HYPERLINK("https://ictv.global/taxonomy/taxondetails?taxnode_id=202317454","ictv.global=202317454")</f>
        <v>ictv.global=202317454</v>
      </c>
    </row>
    <row r="10380" spans="1:21">
      <c r="A10380">
        <v>10379</v>
      </c>
      <c r="B10380" s="30" t="s">
        <v>1226</v>
      </c>
      <c r="D10380" s="30" t="s">
        <v>2024</v>
      </c>
      <c r="F10380" s="30" t="s">
        <v>2046</v>
      </c>
      <c r="H10380" s="30" t="s">
        <v>2859</v>
      </c>
      <c r="J10380" s="30" t="s">
        <v>3390</v>
      </c>
      <c r="L10380" s="30" t="s">
        <v>3442</v>
      </c>
      <c r="N10380" s="30" t="s">
        <v>3525</v>
      </c>
      <c r="P10380" s="30" t="s">
        <v>16870</v>
      </c>
      <c r="Q10380" t="s">
        <v>621</v>
      </c>
      <c r="R10380" t="s">
        <v>917</v>
      </c>
      <c r="S10380">
        <v>39</v>
      </c>
      <c r="T10380" s="29" t="str">
        <f t="shared" si="431"/>
        <v>2023.001B.Leviviricetes_reorg.zip</v>
      </c>
      <c r="U10380" s="29" t="str">
        <f>HYPERLINK("https://ictv.global/taxonomy/taxondetails?taxnode_id=202317455","ictv.global=202317455")</f>
        <v>ictv.global=202317455</v>
      </c>
    </row>
    <row r="10381" spans="1:21">
      <c r="A10381">
        <v>10380</v>
      </c>
      <c r="B10381" s="30" t="s">
        <v>1226</v>
      </c>
      <c r="D10381" s="30" t="s">
        <v>2024</v>
      </c>
      <c r="F10381" s="30" t="s">
        <v>2046</v>
      </c>
      <c r="H10381" s="30" t="s">
        <v>2859</v>
      </c>
      <c r="J10381" s="30" t="s">
        <v>3390</v>
      </c>
      <c r="L10381" s="30" t="s">
        <v>3442</v>
      </c>
      <c r="N10381" s="30" t="s">
        <v>3525</v>
      </c>
      <c r="P10381" s="30" t="s">
        <v>3532</v>
      </c>
      <c r="Q10381" t="s">
        <v>621</v>
      </c>
      <c r="R10381" t="s">
        <v>917</v>
      </c>
      <c r="S10381">
        <v>36</v>
      </c>
      <c r="T10381" s="29" t="str">
        <f>HYPERLINK("https://ictv.global/ictv/proposals/2020.095B.R.Leviviricetes.zip","2020.095B.R.Leviviricetes.zip")</f>
        <v>2020.095B.R.Leviviricetes.zip</v>
      </c>
      <c r="U10381" s="29" t="str">
        <f>HYPERLINK("https://ictv.global/taxonomy/taxondetails?taxnode_id=202311271","ictv.global=202311271")</f>
        <v>ictv.global=202311271</v>
      </c>
    </row>
    <row r="10382" spans="1:21">
      <c r="A10382">
        <v>10381</v>
      </c>
      <c r="B10382" s="30" t="s">
        <v>1226</v>
      </c>
      <c r="D10382" s="30" t="s">
        <v>2024</v>
      </c>
      <c r="F10382" s="30" t="s">
        <v>2046</v>
      </c>
      <c r="H10382" s="30" t="s">
        <v>2859</v>
      </c>
      <c r="J10382" s="30" t="s">
        <v>3390</v>
      </c>
      <c r="L10382" s="30" t="s">
        <v>3442</v>
      </c>
      <c r="N10382" s="30" t="s">
        <v>3525</v>
      </c>
      <c r="P10382" s="30" t="s">
        <v>16871</v>
      </c>
      <c r="Q10382" t="s">
        <v>621</v>
      </c>
      <c r="R10382" t="s">
        <v>917</v>
      </c>
      <c r="S10382">
        <v>39</v>
      </c>
      <c r="T10382" s="29" t="str">
        <f t="shared" ref="T10382:T10406" si="432">HYPERLINK("https://ictv.global/ictv/proposals/2023.001B.Leviviricetes_reorg.zip","2023.001B.Leviviricetes_reorg.zip")</f>
        <v>2023.001B.Leviviricetes_reorg.zip</v>
      </c>
      <c r="U10382" s="29" t="str">
        <f>HYPERLINK("https://ictv.global/taxonomy/taxondetails?taxnode_id=202317456","ictv.global=202317456")</f>
        <v>ictv.global=202317456</v>
      </c>
    </row>
    <row r="10383" spans="1:21">
      <c r="A10383">
        <v>10382</v>
      </c>
      <c r="B10383" s="30" t="s">
        <v>1226</v>
      </c>
      <c r="D10383" s="30" t="s">
        <v>2024</v>
      </c>
      <c r="F10383" s="30" t="s">
        <v>2046</v>
      </c>
      <c r="H10383" s="30" t="s">
        <v>2859</v>
      </c>
      <c r="J10383" s="30" t="s">
        <v>3390</v>
      </c>
      <c r="L10383" s="30" t="s">
        <v>3442</v>
      </c>
      <c r="N10383" s="30" t="s">
        <v>3525</v>
      </c>
      <c r="P10383" s="30" t="s">
        <v>16872</v>
      </c>
      <c r="Q10383" t="s">
        <v>621</v>
      </c>
      <c r="R10383" t="s">
        <v>917</v>
      </c>
      <c r="S10383">
        <v>39</v>
      </c>
      <c r="T10383" s="29" t="str">
        <f t="shared" si="432"/>
        <v>2023.001B.Leviviricetes_reorg.zip</v>
      </c>
      <c r="U10383" s="29" t="str">
        <f>HYPERLINK("https://ictv.global/taxonomy/taxondetails?taxnode_id=202317457","ictv.global=202317457")</f>
        <v>ictv.global=202317457</v>
      </c>
    </row>
    <row r="10384" spans="1:21">
      <c r="A10384">
        <v>10383</v>
      </c>
      <c r="B10384" s="30" t="s">
        <v>1226</v>
      </c>
      <c r="D10384" s="30" t="s">
        <v>2024</v>
      </c>
      <c r="F10384" s="30" t="s">
        <v>2046</v>
      </c>
      <c r="H10384" s="30" t="s">
        <v>2859</v>
      </c>
      <c r="J10384" s="30" t="s">
        <v>3390</v>
      </c>
      <c r="L10384" s="30" t="s">
        <v>3442</v>
      </c>
      <c r="N10384" s="30" t="s">
        <v>3525</v>
      </c>
      <c r="P10384" s="30" t="s">
        <v>16873</v>
      </c>
      <c r="Q10384" t="s">
        <v>621</v>
      </c>
      <c r="R10384" t="s">
        <v>917</v>
      </c>
      <c r="S10384">
        <v>39</v>
      </c>
      <c r="T10384" s="29" t="str">
        <f t="shared" si="432"/>
        <v>2023.001B.Leviviricetes_reorg.zip</v>
      </c>
      <c r="U10384" s="29" t="str">
        <f>HYPERLINK("https://ictv.global/taxonomy/taxondetails?taxnode_id=202317458","ictv.global=202317458")</f>
        <v>ictv.global=202317458</v>
      </c>
    </row>
    <row r="10385" spans="1:21">
      <c r="A10385">
        <v>10384</v>
      </c>
      <c r="B10385" s="30" t="s">
        <v>1226</v>
      </c>
      <c r="D10385" s="30" t="s">
        <v>2024</v>
      </c>
      <c r="F10385" s="30" t="s">
        <v>2046</v>
      </c>
      <c r="H10385" s="30" t="s">
        <v>2859</v>
      </c>
      <c r="J10385" s="30" t="s">
        <v>3390</v>
      </c>
      <c r="L10385" s="30" t="s">
        <v>3442</v>
      </c>
      <c r="N10385" s="30" t="s">
        <v>3525</v>
      </c>
      <c r="P10385" s="30" t="s">
        <v>16874</v>
      </c>
      <c r="Q10385" t="s">
        <v>621</v>
      </c>
      <c r="R10385" t="s">
        <v>917</v>
      </c>
      <c r="S10385">
        <v>39</v>
      </c>
      <c r="T10385" s="29" t="str">
        <f t="shared" si="432"/>
        <v>2023.001B.Leviviricetes_reorg.zip</v>
      </c>
      <c r="U10385" s="29" t="str">
        <f>HYPERLINK("https://ictv.global/taxonomy/taxondetails?taxnode_id=202317459","ictv.global=202317459")</f>
        <v>ictv.global=202317459</v>
      </c>
    </row>
    <row r="10386" spans="1:21">
      <c r="A10386">
        <v>10385</v>
      </c>
      <c r="B10386" s="30" t="s">
        <v>1226</v>
      </c>
      <c r="D10386" s="30" t="s">
        <v>2024</v>
      </c>
      <c r="F10386" s="30" t="s">
        <v>2046</v>
      </c>
      <c r="H10386" s="30" t="s">
        <v>2859</v>
      </c>
      <c r="J10386" s="30" t="s">
        <v>3390</v>
      </c>
      <c r="L10386" s="30" t="s">
        <v>3442</v>
      </c>
      <c r="N10386" s="30" t="s">
        <v>3525</v>
      </c>
      <c r="P10386" s="30" t="s">
        <v>16875</v>
      </c>
      <c r="Q10386" t="s">
        <v>621</v>
      </c>
      <c r="R10386" t="s">
        <v>917</v>
      </c>
      <c r="S10386">
        <v>39</v>
      </c>
      <c r="T10386" s="29" t="str">
        <f t="shared" si="432"/>
        <v>2023.001B.Leviviricetes_reorg.zip</v>
      </c>
      <c r="U10386" s="29" t="str">
        <f>HYPERLINK("https://ictv.global/taxonomy/taxondetails?taxnode_id=202317460","ictv.global=202317460")</f>
        <v>ictv.global=202317460</v>
      </c>
    </row>
    <row r="10387" spans="1:21">
      <c r="A10387">
        <v>10386</v>
      </c>
      <c r="B10387" s="30" t="s">
        <v>1226</v>
      </c>
      <c r="D10387" s="30" t="s">
        <v>2024</v>
      </c>
      <c r="F10387" s="30" t="s">
        <v>2046</v>
      </c>
      <c r="H10387" s="30" t="s">
        <v>2859</v>
      </c>
      <c r="J10387" s="30" t="s">
        <v>3390</v>
      </c>
      <c r="L10387" s="30" t="s">
        <v>3442</v>
      </c>
      <c r="N10387" s="30" t="s">
        <v>3525</v>
      </c>
      <c r="P10387" s="30" t="s">
        <v>16876</v>
      </c>
      <c r="Q10387" t="s">
        <v>621</v>
      </c>
      <c r="R10387" t="s">
        <v>917</v>
      </c>
      <c r="S10387">
        <v>39</v>
      </c>
      <c r="T10387" s="29" t="str">
        <f t="shared" si="432"/>
        <v>2023.001B.Leviviricetes_reorg.zip</v>
      </c>
      <c r="U10387" s="29" t="str">
        <f>HYPERLINK("https://ictv.global/taxonomy/taxondetails?taxnode_id=202317461","ictv.global=202317461")</f>
        <v>ictv.global=202317461</v>
      </c>
    </row>
    <row r="10388" spans="1:21">
      <c r="A10388">
        <v>10387</v>
      </c>
      <c r="B10388" s="30" t="s">
        <v>1226</v>
      </c>
      <c r="D10388" s="30" t="s">
        <v>2024</v>
      </c>
      <c r="F10388" s="30" t="s">
        <v>2046</v>
      </c>
      <c r="H10388" s="30" t="s">
        <v>2859</v>
      </c>
      <c r="J10388" s="30" t="s">
        <v>3390</v>
      </c>
      <c r="L10388" s="30" t="s">
        <v>3442</v>
      </c>
      <c r="N10388" s="30" t="s">
        <v>3525</v>
      </c>
      <c r="P10388" s="30" t="s">
        <v>16877</v>
      </c>
      <c r="Q10388" t="s">
        <v>621</v>
      </c>
      <c r="R10388" t="s">
        <v>917</v>
      </c>
      <c r="S10388">
        <v>39</v>
      </c>
      <c r="T10388" s="29" t="str">
        <f t="shared" si="432"/>
        <v>2023.001B.Leviviricetes_reorg.zip</v>
      </c>
      <c r="U10388" s="29" t="str">
        <f>HYPERLINK("https://ictv.global/taxonomy/taxondetails?taxnode_id=202317462","ictv.global=202317462")</f>
        <v>ictv.global=202317462</v>
      </c>
    </row>
    <row r="10389" spans="1:21">
      <c r="A10389">
        <v>10388</v>
      </c>
      <c r="B10389" s="30" t="s">
        <v>1226</v>
      </c>
      <c r="D10389" s="30" t="s">
        <v>2024</v>
      </c>
      <c r="F10389" s="30" t="s">
        <v>2046</v>
      </c>
      <c r="H10389" s="30" t="s">
        <v>2859</v>
      </c>
      <c r="J10389" s="30" t="s">
        <v>3390</v>
      </c>
      <c r="L10389" s="30" t="s">
        <v>3442</v>
      </c>
      <c r="N10389" s="30" t="s">
        <v>3525</v>
      </c>
      <c r="P10389" s="30" t="s">
        <v>16878</v>
      </c>
      <c r="Q10389" t="s">
        <v>621</v>
      </c>
      <c r="R10389" t="s">
        <v>917</v>
      </c>
      <c r="S10389">
        <v>39</v>
      </c>
      <c r="T10389" s="29" t="str">
        <f t="shared" si="432"/>
        <v>2023.001B.Leviviricetes_reorg.zip</v>
      </c>
      <c r="U10389" s="29" t="str">
        <f>HYPERLINK("https://ictv.global/taxonomy/taxondetails?taxnode_id=202317463","ictv.global=202317463")</f>
        <v>ictv.global=202317463</v>
      </c>
    </row>
    <row r="10390" spans="1:21">
      <c r="A10390">
        <v>10389</v>
      </c>
      <c r="B10390" s="30" t="s">
        <v>1226</v>
      </c>
      <c r="D10390" s="30" t="s">
        <v>2024</v>
      </c>
      <c r="F10390" s="30" t="s">
        <v>2046</v>
      </c>
      <c r="H10390" s="30" t="s">
        <v>2859</v>
      </c>
      <c r="J10390" s="30" t="s">
        <v>3390</v>
      </c>
      <c r="L10390" s="30" t="s">
        <v>3442</v>
      </c>
      <c r="N10390" s="30" t="s">
        <v>3525</v>
      </c>
      <c r="P10390" s="30" t="s">
        <v>16879</v>
      </c>
      <c r="Q10390" t="s">
        <v>621</v>
      </c>
      <c r="R10390" t="s">
        <v>917</v>
      </c>
      <c r="S10390">
        <v>39</v>
      </c>
      <c r="T10390" s="29" t="str">
        <f t="shared" si="432"/>
        <v>2023.001B.Leviviricetes_reorg.zip</v>
      </c>
      <c r="U10390" s="29" t="str">
        <f>HYPERLINK("https://ictv.global/taxonomy/taxondetails?taxnode_id=202317464","ictv.global=202317464")</f>
        <v>ictv.global=202317464</v>
      </c>
    </row>
    <row r="10391" spans="1:21">
      <c r="A10391">
        <v>10390</v>
      </c>
      <c r="B10391" s="30" t="s">
        <v>1226</v>
      </c>
      <c r="D10391" s="30" t="s">
        <v>2024</v>
      </c>
      <c r="F10391" s="30" t="s">
        <v>2046</v>
      </c>
      <c r="H10391" s="30" t="s">
        <v>2859</v>
      </c>
      <c r="J10391" s="30" t="s">
        <v>3390</v>
      </c>
      <c r="L10391" s="30" t="s">
        <v>3442</v>
      </c>
      <c r="N10391" s="30" t="s">
        <v>3525</v>
      </c>
      <c r="P10391" s="30" t="s">
        <v>16880</v>
      </c>
      <c r="Q10391" t="s">
        <v>621</v>
      </c>
      <c r="R10391" t="s">
        <v>917</v>
      </c>
      <c r="S10391">
        <v>39</v>
      </c>
      <c r="T10391" s="29" t="str">
        <f t="shared" si="432"/>
        <v>2023.001B.Leviviricetes_reorg.zip</v>
      </c>
      <c r="U10391" s="29" t="str">
        <f>HYPERLINK("https://ictv.global/taxonomy/taxondetails?taxnode_id=202317465","ictv.global=202317465")</f>
        <v>ictv.global=202317465</v>
      </c>
    </row>
    <row r="10392" spans="1:21">
      <c r="A10392">
        <v>10391</v>
      </c>
      <c r="B10392" s="30" t="s">
        <v>1226</v>
      </c>
      <c r="D10392" s="30" t="s">
        <v>2024</v>
      </c>
      <c r="F10392" s="30" t="s">
        <v>2046</v>
      </c>
      <c r="H10392" s="30" t="s">
        <v>2859</v>
      </c>
      <c r="J10392" s="30" t="s">
        <v>3390</v>
      </c>
      <c r="L10392" s="30" t="s">
        <v>3442</v>
      </c>
      <c r="N10392" s="30" t="s">
        <v>3525</v>
      </c>
      <c r="P10392" s="30" t="s">
        <v>16881</v>
      </c>
      <c r="Q10392" t="s">
        <v>621</v>
      </c>
      <c r="R10392" t="s">
        <v>917</v>
      </c>
      <c r="S10392">
        <v>39</v>
      </c>
      <c r="T10392" s="29" t="str">
        <f t="shared" si="432"/>
        <v>2023.001B.Leviviricetes_reorg.zip</v>
      </c>
      <c r="U10392" s="29" t="str">
        <f>HYPERLINK("https://ictv.global/taxonomy/taxondetails?taxnode_id=202317466","ictv.global=202317466")</f>
        <v>ictv.global=202317466</v>
      </c>
    </row>
    <row r="10393" spans="1:21">
      <c r="A10393">
        <v>10392</v>
      </c>
      <c r="B10393" s="30" t="s">
        <v>1226</v>
      </c>
      <c r="D10393" s="30" t="s">
        <v>2024</v>
      </c>
      <c r="F10393" s="30" t="s">
        <v>2046</v>
      </c>
      <c r="H10393" s="30" t="s">
        <v>2859</v>
      </c>
      <c r="J10393" s="30" t="s">
        <v>3390</v>
      </c>
      <c r="L10393" s="30" t="s">
        <v>3442</v>
      </c>
      <c r="N10393" s="30" t="s">
        <v>3525</v>
      </c>
      <c r="P10393" s="30" t="s">
        <v>16882</v>
      </c>
      <c r="Q10393" t="s">
        <v>621</v>
      </c>
      <c r="R10393" t="s">
        <v>917</v>
      </c>
      <c r="S10393">
        <v>39</v>
      </c>
      <c r="T10393" s="29" t="str">
        <f t="shared" si="432"/>
        <v>2023.001B.Leviviricetes_reorg.zip</v>
      </c>
      <c r="U10393" s="29" t="str">
        <f>HYPERLINK("https://ictv.global/taxonomy/taxondetails?taxnode_id=202317467","ictv.global=202317467")</f>
        <v>ictv.global=202317467</v>
      </c>
    </row>
    <row r="10394" spans="1:21">
      <c r="A10394">
        <v>10393</v>
      </c>
      <c r="B10394" s="30" t="s">
        <v>1226</v>
      </c>
      <c r="D10394" s="30" t="s">
        <v>2024</v>
      </c>
      <c r="F10394" s="30" t="s">
        <v>2046</v>
      </c>
      <c r="H10394" s="30" t="s">
        <v>2859</v>
      </c>
      <c r="J10394" s="30" t="s">
        <v>3390</v>
      </c>
      <c r="L10394" s="30" t="s">
        <v>3442</v>
      </c>
      <c r="N10394" s="30" t="s">
        <v>3525</v>
      </c>
      <c r="P10394" s="30" t="s">
        <v>16883</v>
      </c>
      <c r="Q10394" t="s">
        <v>621</v>
      </c>
      <c r="R10394" t="s">
        <v>917</v>
      </c>
      <c r="S10394">
        <v>39</v>
      </c>
      <c r="T10394" s="29" t="str">
        <f t="shared" si="432"/>
        <v>2023.001B.Leviviricetes_reorg.zip</v>
      </c>
      <c r="U10394" s="29" t="str">
        <f>HYPERLINK("https://ictv.global/taxonomy/taxondetails?taxnode_id=202317468","ictv.global=202317468")</f>
        <v>ictv.global=202317468</v>
      </c>
    </row>
    <row r="10395" spans="1:21">
      <c r="A10395">
        <v>10394</v>
      </c>
      <c r="B10395" s="30" t="s">
        <v>1226</v>
      </c>
      <c r="D10395" s="30" t="s">
        <v>2024</v>
      </c>
      <c r="F10395" s="30" t="s">
        <v>2046</v>
      </c>
      <c r="H10395" s="30" t="s">
        <v>2859</v>
      </c>
      <c r="J10395" s="30" t="s">
        <v>3390</v>
      </c>
      <c r="L10395" s="30" t="s">
        <v>3442</v>
      </c>
      <c r="N10395" s="30" t="s">
        <v>3525</v>
      </c>
      <c r="P10395" s="30" t="s">
        <v>16884</v>
      </c>
      <c r="Q10395" t="s">
        <v>621</v>
      </c>
      <c r="R10395" t="s">
        <v>917</v>
      </c>
      <c r="S10395">
        <v>39</v>
      </c>
      <c r="T10395" s="29" t="str">
        <f t="shared" si="432"/>
        <v>2023.001B.Leviviricetes_reorg.zip</v>
      </c>
      <c r="U10395" s="29" t="str">
        <f>HYPERLINK("https://ictv.global/taxonomy/taxondetails?taxnode_id=202317469","ictv.global=202317469")</f>
        <v>ictv.global=202317469</v>
      </c>
    </row>
    <row r="10396" spans="1:21">
      <c r="A10396">
        <v>10395</v>
      </c>
      <c r="B10396" s="30" t="s">
        <v>1226</v>
      </c>
      <c r="D10396" s="30" t="s">
        <v>2024</v>
      </c>
      <c r="F10396" s="30" t="s">
        <v>2046</v>
      </c>
      <c r="H10396" s="30" t="s">
        <v>2859</v>
      </c>
      <c r="J10396" s="30" t="s">
        <v>3390</v>
      </c>
      <c r="L10396" s="30" t="s">
        <v>3442</v>
      </c>
      <c r="N10396" s="30" t="s">
        <v>3525</v>
      </c>
      <c r="P10396" s="30" t="s">
        <v>16885</v>
      </c>
      <c r="Q10396" t="s">
        <v>621</v>
      </c>
      <c r="R10396" t="s">
        <v>917</v>
      </c>
      <c r="S10396">
        <v>39</v>
      </c>
      <c r="T10396" s="29" t="str">
        <f t="shared" si="432"/>
        <v>2023.001B.Leviviricetes_reorg.zip</v>
      </c>
      <c r="U10396" s="29" t="str">
        <f>HYPERLINK("https://ictv.global/taxonomy/taxondetails?taxnode_id=202317470","ictv.global=202317470")</f>
        <v>ictv.global=202317470</v>
      </c>
    </row>
    <row r="10397" spans="1:21">
      <c r="A10397">
        <v>10396</v>
      </c>
      <c r="B10397" s="30" t="s">
        <v>1226</v>
      </c>
      <c r="D10397" s="30" t="s">
        <v>2024</v>
      </c>
      <c r="F10397" s="30" t="s">
        <v>2046</v>
      </c>
      <c r="H10397" s="30" t="s">
        <v>2859</v>
      </c>
      <c r="J10397" s="30" t="s">
        <v>3390</v>
      </c>
      <c r="L10397" s="30" t="s">
        <v>3442</v>
      </c>
      <c r="N10397" s="30" t="s">
        <v>3525</v>
      </c>
      <c r="P10397" s="30" t="s">
        <v>16886</v>
      </c>
      <c r="Q10397" t="s">
        <v>621</v>
      </c>
      <c r="R10397" t="s">
        <v>917</v>
      </c>
      <c r="S10397">
        <v>39</v>
      </c>
      <c r="T10397" s="29" t="str">
        <f t="shared" si="432"/>
        <v>2023.001B.Leviviricetes_reorg.zip</v>
      </c>
      <c r="U10397" s="29" t="str">
        <f>HYPERLINK("https://ictv.global/taxonomy/taxondetails?taxnode_id=202317471","ictv.global=202317471")</f>
        <v>ictv.global=202317471</v>
      </c>
    </row>
    <row r="10398" spans="1:21">
      <c r="A10398">
        <v>10397</v>
      </c>
      <c r="B10398" s="30" t="s">
        <v>1226</v>
      </c>
      <c r="D10398" s="30" t="s">
        <v>2024</v>
      </c>
      <c r="F10398" s="30" t="s">
        <v>2046</v>
      </c>
      <c r="H10398" s="30" t="s">
        <v>2859</v>
      </c>
      <c r="J10398" s="30" t="s">
        <v>3390</v>
      </c>
      <c r="L10398" s="30" t="s">
        <v>3442</v>
      </c>
      <c r="N10398" s="30" t="s">
        <v>3525</v>
      </c>
      <c r="P10398" s="30" t="s">
        <v>16887</v>
      </c>
      <c r="Q10398" t="s">
        <v>621</v>
      </c>
      <c r="R10398" t="s">
        <v>917</v>
      </c>
      <c r="S10398">
        <v>39</v>
      </c>
      <c r="T10398" s="29" t="str">
        <f t="shared" si="432"/>
        <v>2023.001B.Leviviricetes_reorg.zip</v>
      </c>
      <c r="U10398" s="29" t="str">
        <f>HYPERLINK("https://ictv.global/taxonomy/taxondetails?taxnode_id=202317472","ictv.global=202317472")</f>
        <v>ictv.global=202317472</v>
      </c>
    </row>
    <row r="10399" spans="1:21">
      <c r="A10399">
        <v>10398</v>
      </c>
      <c r="B10399" s="30" t="s">
        <v>1226</v>
      </c>
      <c r="D10399" s="30" t="s">
        <v>2024</v>
      </c>
      <c r="F10399" s="30" t="s">
        <v>2046</v>
      </c>
      <c r="H10399" s="30" t="s">
        <v>2859</v>
      </c>
      <c r="J10399" s="30" t="s">
        <v>3390</v>
      </c>
      <c r="L10399" s="30" t="s">
        <v>3442</v>
      </c>
      <c r="N10399" s="30" t="s">
        <v>3525</v>
      </c>
      <c r="P10399" s="30" t="s">
        <v>16888</v>
      </c>
      <c r="Q10399" t="s">
        <v>621</v>
      </c>
      <c r="R10399" t="s">
        <v>917</v>
      </c>
      <c r="S10399">
        <v>39</v>
      </c>
      <c r="T10399" s="29" t="str">
        <f t="shared" si="432"/>
        <v>2023.001B.Leviviricetes_reorg.zip</v>
      </c>
      <c r="U10399" s="29" t="str">
        <f>HYPERLINK("https://ictv.global/taxonomy/taxondetails?taxnode_id=202317473","ictv.global=202317473")</f>
        <v>ictv.global=202317473</v>
      </c>
    </row>
    <row r="10400" spans="1:21">
      <c r="A10400">
        <v>10399</v>
      </c>
      <c r="B10400" s="30" t="s">
        <v>1226</v>
      </c>
      <c r="D10400" s="30" t="s">
        <v>2024</v>
      </c>
      <c r="F10400" s="30" t="s">
        <v>2046</v>
      </c>
      <c r="H10400" s="30" t="s">
        <v>2859</v>
      </c>
      <c r="J10400" s="30" t="s">
        <v>3390</v>
      </c>
      <c r="L10400" s="30" t="s">
        <v>3442</v>
      </c>
      <c r="N10400" s="30" t="s">
        <v>3525</v>
      </c>
      <c r="P10400" s="30" t="s">
        <v>16889</v>
      </c>
      <c r="Q10400" t="s">
        <v>621</v>
      </c>
      <c r="R10400" t="s">
        <v>917</v>
      </c>
      <c r="S10400">
        <v>39</v>
      </c>
      <c r="T10400" s="29" t="str">
        <f t="shared" si="432"/>
        <v>2023.001B.Leviviricetes_reorg.zip</v>
      </c>
      <c r="U10400" s="29" t="str">
        <f>HYPERLINK("https://ictv.global/taxonomy/taxondetails?taxnode_id=202317474","ictv.global=202317474")</f>
        <v>ictv.global=202317474</v>
      </c>
    </row>
    <row r="10401" spans="1:21">
      <c r="A10401">
        <v>10400</v>
      </c>
      <c r="B10401" s="30" t="s">
        <v>1226</v>
      </c>
      <c r="D10401" s="30" t="s">
        <v>2024</v>
      </c>
      <c r="F10401" s="30" t="s">
        <v>2046</v>
      </c>
      <c r="H10401" s="30" t="s">
        <v>2859</v>
      </c>
      <c r="J10401" s="30" t="s">
        <v>3390</v>
      </c>
      <c r="L10401" s="30" t="s">
        <v>3442</v>
      </c>
      <c r="N10401" s="30" t="s">
        <v>3525</v>
      </c>
      <c r="P10401" s="30" t="s">
        <v>16890</v>
      </c>
      <c r="Q10401" t="s">
        <v>621</v>
      </c>
      <c r="R10401" t="s">
        <v>917</v>
      </c>
      <c r="S10401">
        <v>39</v>
      </c>
      <c r="T10401" s="29" t="str">
        <f t="shared" si="432"/>
        <v>2023.001B.Leviviricetes_reorg.zip</v>
      </c>
      <c r="U10401" s="29" t="str">
        <f>HYPERLINK("https://ictv.global/taxonomy/taxondetails?taxnode_id=202317475","ictv.global=202317475")</f>
        <v>ictv.global=202317475</v>
      </c>
    </row>
    <row r="10402" spans="1:21">
      <c r="A10402">
        <v>10401</v>
      </c>
      <c r="B10402" s="30" t="s">
        <v>1226</v>
      </c>
      <c r="D10402" s="30" t="s">
        <v>2024</v>
      </c>
      <c r="F10402" s="30" t="s">
        <v>2046</v>
      </c>
      <c r="H10402" s="30" t="s">
        <v>2859</v>
      </c>
      <c r="J10402" s="30" t="s">
        <v>3390</v>
      </c>
      <c r="L10402" s="30" t="s">
        <v>3442</v>
      </c>
      <c r="N10402" s="30" t="s">
        <v>3525</v>
      </c>
      <c r="P10402" s="30" t="s">
        <v>16891</v>
      </c>
      <c r="Q10402" t="s">
        <v>621</v>
      </c>
      <c r="R10402" t="s">
        <v>917</v>
      </c>
      <c r="S10402">
        <v>39</v>
      </c>
      <c r="T10402" s="29" t="str">
        <f t="shared" si="432"/>
        <v>2023.001B.Leviviricetes_reorg.zip</v>
      </c>
      <c r="U10402" s="29" t="str">
        <f>HYPERLINK("https://ictv.global/taxonomy/taxondetails?taxnode_id=202317476","ictv.global=202317476")</f>
        <v>ictv.global=202317476</v>
      </c>
    </row>
    <row r="10403" spans="1:21">
      <c r="A10403">
        <v>10402</v>
      </c>
      <c r="B10403" s="30" t="s">
        <v>1226</v>
      </c>
      <c r="D10403" s="30" t="s">
        <v>2024</v>
      </c>
      <c r="F10403" s="30" t="s">
        <v>2046</v>
      </c>
      <c r="H10403" s="30" t="s">
        <v>2859</v>
      </c>
      <c r="J10403" s="30" t="s">
        <v>3390</v>
      </c>
      <c r="L10403" s="30" t="s">
        <v>3442</v>
      </c>
      <c r="N10403" s="30" t="s">
        <v>3525</v>
      </c>
      <c r="P10403" s="30" t="s">
        <v>16892</v>
      </c>
      <c r="Q10403" t="s">
        <v>621</v>
      </c>
      <c r="R10403" t="s">
        <v>917</v>
      </c>
      <c r="S10403">
        <v>39</v>
      </c>
      <c r="T10403" s="29" t="str">
        <f t="shared" si="432"/>
        <v>2023.001B.Leviviricetes_reorg.zip</v>
      </c>
      <c r="U10403" s="29" t="str">
        <f>HYPERLINK("https://ictv.global/taxonomy/taxondetails?taxnode_id=202317477","ictv.global=202317477")</f>
        <v>ictv.global=202317477</v>
      </c>
    </row>
    <row r="10404" spans="1:21">
      <c r="A10404">
        <v>10403</v>
      </c>
      <c r="B10404" s="30" t="s">
        <v>1226</v>
      </c>
      <c r="D10404" s="30" t="s">
        <v>2024</v>
      </c>
      <c r="F10404" s="30" t="s">
        <v>2046</v>
      </c>
      <c r="H10404" s="30" t="s">
        <v>2859</v>
      </c>
      <c r="J10404" s="30" t="s">
        <v>3390</v>
      </c>
      <c r="L10404" s="30" t="s">
        <v>3442</v>
      </c>
      <c r="N10404" s="30" t="s">
        <v>3525</v>
      </c>
      <c r="P10404" s="30" t="s">
        <v>16893</v>
      </c>
      <c r="Q10404" t="s">
        <v>621</v>
      </c>
      <c r="R10404" t="s">
        <v>917</v>
      </c>
      <c r="S10404">
        <v>39</v>
      </c>
      <c r="T10404" s="29" t="str">
        <f t="shared" si="432"/>
        <v>2023.001B.Leviviricetes_reorg.zip</v>
      </c>
      <c r="U10404" s="29" t="str">
        <f>HYPERLINK("https://ictv.global/taxonomy/taxondetails?taxnode_id=202317478","ictv.global=202317478")</f>
        <v>ictv.global=202317478</v>
      </c>
    </row>
    <row r="10405" spans="1:21">
      <c r="A10405">
        <v>10404</v>
      </c>
      <c r="B10405" s="30" t="s">
        <v>1226</v>
      </c>
      <c r="D10405" s="30" t="s">
        <v>2024</v>
      </c>
      <c r="F10405" s="30" t="s">
        <v>2046</v>
      </c>
      <c r="H10405" s="30" t="s">
        <v>2859</v>
      </c>
      <c r="J10405" s="30" t="s">
        <v>3390</v>
      </c>
      <c r="L10405" s="30" t="s">
        <v>3442</v>
      </c>
      <c r="N10405" s="30" t="s">
        <v>3525</v>
      </c>
      <c r="P10405" s="30" t="s">
        <v>16894</v>
      </c>
      <c r="Q10405" t="s">
        <v>621</v>
      </c>
      <c r="R10405" t="s">
        <v>917</v>
      </c>
      <c r="S10405">
        <v>39</v>
      </c>
      <c r="T10405" s="29" t="str">
        <f t="shared" si="432"/>
        <v>2023.001B.Leviviricetes_reorg.zip</v>
      </c>
      <c r="U10405" s="29" t="str">
        <f>HYPERLINK("https://ictv.global/taxonomy/taxondetails?taxnode_id=202317479","ictv.global=202317479")</f>
        <v>ictv.global=202317479</v>
      </c>
    </row>
    <row r="10406" spans="1:21">
      <c r="A10406">
        <v>10405</v>
      </c>
      <c r="B10406" s="30" t="s">
        <v>1226</v>
      </c>
      <c r="D10406" s="30" t="s">
        <v>2024</v>
      </c>
      <c r="F10406" s="30" t="s">
        <v>2046</v>
      </c>
      <c r="H10406" s="30" t="s">
        <v>2859</v>
      </c>
      <c r="J10406" s="30" t="s">
        <v>3390</v>
      </c>
      <c r="L10406" s="30" t="s">
        <v>3442</v>
      </c>
      <c r="N10406" s="30" t="s">
        <v>3525</v>
      </c>
      <c r="P10406" s="30" t="s">
        <v>16895</v>
      </c>
      <c r="Q10406" t="s">
        <v>621</v>
      </c>
      <c r="R10406" t="s">
        <v>917</v>
      </c>
      <c r="S10406">
        <v>39</v>
      </c>
      <c r="T10406" s="29" t="str">
        <f t="shared" si="432"/>
        <v>2023.001B.Leviviricetes_reorg.zip</v>
      </c>
      <c r="U10406" s="29" t="str">
        <f>HYPERLINK("https://ictv.global/taxonomy/taxondetails?taxnode_id=202317480","ictv.global=202317480")</f>
        <v>ictv.global=202317480</v>
      </c>
    </row>
    <row r="10407" spans="1:21">
      <c r="A10407">
        <v>10406</v>
      </c>
      <c r="B10407" s="30" t="s">
        <v>1226</v>
      </c>
      <c r="D10407" s="30" t="s">
        <v>2024</v>
      </c>
      <c r="F10407" s="30" t="s">
        <v>2046</v>
      </c>
      <c r="H10407" s="30" t="s">
        <v>2859</v>
      </c>
      <c r="J10407" s="30" t="s">
        <v>3390</v>
      </c>
      <c r="L10407" s="30" t="s">
        <v>3442</v>
      </c>
      <c r="N10407" s="30" t="s">
        <v>3525</v>
      </c>
      <c r="P10407" s="30" t="s">
        <v>3533</v>
      </c>
      <c r="Q10407" t="s">
        <v>621</v>
      </c>
      <c r="R10407" t="s">
        <v>917</v>
      </c>
      <c r="S10407">
        <v>36</v>
      </c>
      <c r="T10407" s="29" t="str">
        <f>HYPERLINK("https://ictv.global/ictv/proposals/2020.095B.R.Leviviricetes.zip","2020.095B.R.Leviviricetes.zip")</f>
        <v>2020.095B.R.Leviviricetes.zip</v>
      </c>
      <c r="U10407" s="29" t="str">
        <f>HYPERLINK("https://ictv.global/taxonomy/taxondetails?taxnode_id=202311264","ictv.global=202311264")</f>
        <v>ictv.global=202311264</v>
      </c>
    </row>
    <row r="10408" spans="1:21">
      <c r="A10408">
        <v>10407</v>
      </c>
      <c r="B10408" s="30" t="s">
        <v>1226</v>
      </c>
      <c r="D10408" s="30" t="s">
        <v>2024</v>
      </c>
      <c r="F10408" s="30" t="s">
        <v>2046</v>
      </c>
      <c r="H10408" s="30" t="s">
        <v>2859</v>
      </c>
      <c r="J10408" s="30" t="s">
        <v>3390</v>
      </c>
      <c r="L10408" s="30" t="s">
        <v>3442</v>
      </c>
      <c r="N10408" s="30" t="s">
        <v>3525</v>
      </c>
      <c r="P10408" s="30" t="s">
        <v>3534</v>
      </c>
      <c r="Q10408" t="s">
        <v>621</v>
      </c>
      <c r="R10408" t="s">
        <v>917</v>
      </c>
      <c r="S10408">
        <v>36</v>
      </c>
      <c r="T10408" s="29" t="str">
        <f>HYPERLINK("https://ictv.global/ictv/proposals/2020.095B.R.Leviviricetes.zip","2020.095B.R.Leviviricetes.zip")</f>
        <v>2020.095B.R.Leviviricetes.zip</v>
      </c>
      <c r="U10408" s="29" t="str">
        <f>HYPERLINK("https://ictv.global/taxonomy/taxondetails?taxnode_id=202311265","ictv.global=202311265")</f>
        <v>ictv.global=202311265</v>
      </c>
    </row>
    <row r="10409" spans="1:21">
      <c r="A10409">
        <v>10408</v>
      </c>
      <c r="B10409" s="30" t="s">
        <v>1226</v>
      </c>
      <c r="D10409" s="30" t="s">
        <v>2024</v>
      </c>
      <c r="F10409" s="30" t="s">
        <v>2046</v>
      </c>
      <c r="H10409" s="30" t="s">
        <v>2859</v>
      </c>
      <c r="J10409" s="30" t="s">
        <v>3390</v>
      </c>
      <c r="L10409" s="30" t="s">
        <v>3442</v>
      </c>
      <c r="N10409" s="30" t="s">
        <v>3525</v>
      </c>
      <c r="P10409" s="30" t="s">
        <v>16896</v>
      </c>
      <c r="Q10409" t="s">
        <v>621</v>
      </c>
      <c r="R10409" t="s">
        <v>917</v>
      </c>
      <c r="S10409">
        <v>39</v>
      </c>
      <c r="T10409" s="29" t="str">
        <f>HYPERLINK("https://ictv.global/ictv/proposals/2023.001B.Leviviricetes_reorg.zip","2023.001B.Leviviricetes_reorg.zip")</f>
        <v>2023.001B.Leviviricetes_reorg.zip</v>
      </c>
      <c r="U10409" s="29" t="str">
        <f>HYPERLINK("https://ictv.global/taxonomy/taxondetails?taxnode_id=202317481","ictv.global=202317481")</f>
        <v>ictv.global=202317481</v>
      </c>
    </row>
    <row r="10410" spans="1:21">
      <c r="A10410">
        <v>10409</v>
      </c>
      <c r="B10410" s="30" t="s">
        <v>1226</v>
      </c>
      <c r="D10410" s="30" t="s">
        <v>2024</v>
      </c>
      <c r="F10410" s="30" t="s">
        <v>2046</v>
      </c>
      <c r="H10410" s="30" t="s">
        <v>2859</v>
      </c>
      <c r="J10410" s="30" t="s">
        <v>3390</v>
      </c>
      <c r="L10410" s="30" t="s">
        <v>3442</v>
      </c>
      <c r="N10410" s="30" t="s">
        <v>3525</v>
      </c>
      <c r="P10410" s="30" t="s">
        <v>16897</v>
      </c>
      <c r="Q10410" t="s">
        <v>621</v>
      </c>
      <c r="R10410" t="s">
        <v>917</v>
      </c>
      <c r="S10410">
        <v>39</v>
      </c>
      <c r="T10410" s="29" t="str">
        <f>HYPERLINK("https://ictv.global/ictv/proposals/2023.001B.Leviviricetes_reorg.zip","2023.001B.Leviviricetes_reorg.zip")</f>
        <v>2023.001B.Leviviricetes_reorg.zip</v>
      </c>
      <c r="U10410" s="29" t="str">
        <f>HYPERLINK("https://ictv.global/taxonomy/taxondetails?taxnode_id=202317482","ictv.global=202317482")</f>
        <v>ictv.global=202317482</v>
      </c>
    </row>
    <row r="10411" spans="1:21">
      <c r="A10411">
        <v>10410</v>
      </c>
      <c r="B10411" s="30" t="s">
        <v>1226</v>
      </c>
      <c r="D10411" s="30" t="s">
        <v>2024</v>
      </c>
      <c r="F10411" s="30" t="s">
        <v>2046</v>
      </c>
      <c r="H10411" s="30" t="s">
        <v>2859</v>
      </c>
      <c r="J10411" s="30" t="s">
        <v>3390</v>
      </c>
      <c r="L10411" s="30" t="s">
        <v>3442</v>
      </c>
      <c r="N10411" s="30" t="s">
        <v>3525</v>
      </c>
      <c r="P10411" s="30" t="s">
        <v>16898</v>
      </c>
      <c r="Q10411" t="s">
        <v>621</v>
      </c>
      <c r="R10411" t="s">
        <v>917</v>
      </c>
      <c r="S10411">
        <v>39</v>
      </c>
      <c r="T10411" s="29" t="str">
        <f>HYPERLINK("https://ictv.global/ictv/proposals/2023.001B.Leviviricetes_reorg.zip","2023.001B.Leviviricetes_reorg.zip")</f>
        <v>2023.001B.Leviviricetes_reorg.zip</v>
      </c>
      <c r="U10411" s="29" t="str">
        <f>HYPERLINK("https://ictv.global/taxonomy/taxondetails?taxnode_id=202317483","ictv.global=202317483")</f>
        <v>ictv.global=202317483</v>
      </c>
    </row>
    <row r="10412" spans="1:21">
      <c r="A10412">
        <v>10411</v>
      </c>
      <c r="B10412" s="30" t="s">
        <v>1226</v>
      </c>
      <c r="D10412" s="30" t="s">
        <v>2024</v>
      </c>
      <c r="F10412" s="30" t="s">
        <v>2046</v>
      </c>
      <c r="H10412" s="30" t="s">
        <v>2859</v>
      </c>
      <c r="J10412" s="30" t="s">
        <v>3390</v>
      </c>
      <c r="L10412" s="30" t="s">
        <v>3442</v>
      </c>
      <c r="N10412" s="30" t="s">
        <v>3525</v>
      </c>
      <c r="P10412" s="30" t="s">
        <v>16899</v>
      </c>
      <c r="Q10412" t="s">
        <v>621</v>
      </c>
      <c r="R10412" t="s">
        <v>917</v>
      </c>
      <c r="S10412">
        <v>39</v>
      </c>
      <c r="T10412" s="29" t="str">
        <f>HYPERLINK("https://ictv.global/ictv/proposals/2023.001B.Leviviricetes_reorg.zip","2023.001B.Leviviricetes_reorg.zip")</f>
        <v>2023.001B.Leviviricetes_reorg.zip</v>
      </c>
      <c r="U10412" s="29" t="str">
        <f>HYPERLINK("https://ictv.global/taxonomy/taxondetails?taxnode_id=202317484","ictv.global=202317484")</f>
        <v>ictv.global=202317484</v>
      </c>
    </row>
    <row r="10413" spans="1:21">
      <c r="A10413">
        <v>10412</v>
      </c>
      <c r="B10413" s="30" t="s">
        <v>1226</v>
      </c>
      <c r="D10413" s="30" t="s">
        <v>2024</v>
      </c>
      <c r="F10413" s="30" t="s">
        <v>2046</v>
      </c>
      <c r="H10413" s="30" t="s">
        <v>2859</v>
      </c>
      <c r="J10413" s="30" t="s">
        <v>3390</v>
      </c>
      <c r="L10413" s="30" t="s">
        <v>3442</v>
      </c>
      <c r="N10413" s="30" t="s">
        <v>3535</v>
      </c>
      <c r="P10413" s="30" t="s">
        <v>16900</v>
      </c>
      <c r="Q10413" t="s">
        <v>621</v>
      </c>
      <c r="R10413" t="s">
        <v>917</v>
      </c>
      <c r="S10413">
        <v>39</v>
      </c>
      <c r="T10413" s="29" t="str">
        <f>HYPERLINK("https://ictv.global/ictv/proposals/2023.001B.Leviviricetes_reorg.zip","2023.001B.Leviviricetes_reorg.zip")</f>
        <v>2023.001B.Leviviricetes_reorg.zip</v>
      </c>
      <c r="U10413" s="29" t="str">
        <f>HYPERLINK("https://ictv.global/taxonomy/taxondetails?taxnode_id=202317485","ictv.global=202317485")</f>
        <v>ictv.global=202317485</v>
      </c>
    </row>
    <row r="10414" spans="1:21">
      <c r="A10414">
        <v>10413</v>
      </c>
      <c r="B10414" s="30" t="s">
        <v>1226</v>
      </c>
      <c r="D10414" s="30" t="s">
        <v>2024</v>
      </c>
      <c r="F10414" s="30" t="s">
        <v>2046</v>
      </c>
      <c r="H10414" s="30" t="s">
        <v>2859</v>
      </c>
      <c r="J10414" s="30" t="s">
        <v>3390</v>
      </c>
      <c r="L10414" s="30" t="s">
        <v>3442</v>
      </c>
      <c r="N10414" s="30" t="s">
        <v>3535</v>
      </c>
      <c r="P10414" s="30" t="s">
        <v>3536</v>
      </c>
      <c r="Q10414" t="s">
        <v>621</v>
      </c>
      <c r="R10414" t="s">
        <v>917</v>
      </c>
      <c r="S10414">
        <v>36</v>
      </c>
      <c r="T10414" s="29" t="str">
        <f>HYPERLINK("https://ictv.global/ictv/proposals/2020.095B.R.Leviviricetes.zip","2020.095B.R.Leviviricetes.zip")</f>
        <v>2020.095B.R.Leviviricetes.zip</v>
      </c>
      <c r="U10414" s="29" t="str">
        <f>HYPERLINK("https://ictv.global/taxonomy/taxondetails?taxnode_id=202311273","ictv.global=202311273")</f>
        <v>ictv.global=202311273</v>
      </c>
    </row>
    <row r="10415" spans="1:21">
      <c r="A10415">
        <v>10414</v>
      </c>
      <c r="B10415" s="30" t="s">
        <v>1226</v>
      </c>
      <c r="D10415" s="30" t="s">
        <v>2024</v>
      </c>
      <c r="F10415" s="30" t="s">
        <v>2046</v>
      </c>
      <c r="H10415" s="30" t="s">
        <v>2859</v>
      </c>
      <c r="J10415" s="30" t="s">
        <v>3390</v>
      </c>
      <c r="L10415" s="30" t="s">
        <v>3442</v>
      </c>
      <c r="N10415" s="30" t="s">
        <v>3537</v>
      </c>
      <c r="P10415" s="30" t="s">
        <v>16901</v>
      </c>
      <c r="Q10415" t="s">
        <v>621</v>
      </c>
      <c r="R10415" t="s">
        <v>917</v>
      </c>
      <c r="S10415">
        <v>39</v>
      </c>
      <c r="T10415" s="29" t="str">
        <f>HYPERLINK("https://ictv.global/ictv/proposals/2023.001B.Leviviricetes_reorg.zip","2023.001B.Leviviricetes_reorg.zip")</f>
        <v>2023.001B.Leviviricetes_reorg.zip</v>
      </c>
      <c r="U10415" s="29" t="str">
        <f>HYPERLINK("https://ictv.global/taxonomy/taxondetails?taxnode_id=202317486","ictv.global=202317486")</f>
        <v>ictv.global=202317486</v>
      </c>
    </row>
    <row r="10416" spans="1:21">
      <c r="A10416">
        <v>10415</v>
      </c>
      <c r="B10416" s="30" t="s">
        <v>1226</v>
      </c>
      <c r="D10416" s="30" t="s">
        <v>2024</v>
      </c>
      <c r="F10416" s="30" t="s">
        <v>2046</v>
      </c>
      <c r="H10416" s="30" t="s">
        <v>2859</v>
      </c>
      <c r="J10416" s="30" t="s">
        <v>3390</v>
      </c>
      <c r="L10416" s="30" t="s">
        <v>3442</v>
      </c>
      <c r="N10416" s="30" t="s">
        <v>3537</v>
      </c>
      <c r="P10416" s="30" t="s">
        <v>16902</v>
      </c>
      <c r="Q10416" t="s">
        <v>621</v>
      </c>
      <c r="R10416" t="s">
        <v>917</v>
      </c>
      <c r="S10416">
        <v>39</v>
      </c>
      <c r="T10416" s="29" t="str">
        <f>HYPERLINK("https://ictv.global/ictv/proposals/2023.001B.Leviviricetes_reorg.zip","2023.001B.Leviviricetes_reorg.zip")</f>
        <v>2023.001B.Leviviricetes_reorg.zip</v>
      </c>
      <c r="U10416" s="29" t="str">
        <f>HYPERLINK("https://ictv.global/taxonomy/taxondetails?taxnode_id=202317487","ictv.global=202317487")</f>
        <v>ictv.global=202317487</v>
      </c>
    </row>
    <row r="10417" spans="1:21">
      <c r="A10417">
        <v>10416</v>
      </c>
      <c r="B10417" s="30" t="s">
        <v>1226</v>
      </c>
      <c r="D10417" s="30" t="s">
        <v>2024</v>
      </c>
      <c r="F10417" s="30" t="s">
        <v>2046</v>
      </c>
      <c r="H10417" s="30" t="s">
        <v>2859</v>
      </c>
      <c r="J10417" s="30" t="s">
        <v>3390</v>
      </c>
      <c r="L10417" s="30" t="s">
        <v>3442</v>
      </c>
      <c r="N10417" s="30" t="s">
        <v>3537</v>
      </c>
      <c r="P10417" s="30" t="s">
        <v>16903</v>
      </c>
      <c r="Q10417" t="s">
        <v>621</v>
      </c>
      <c r="R10417" t="s">
        <v>917</v>
      </c>
      <c r="S10417">
        <v>39</v>
      </c>
      <c r="T10417" s="29" t="str">
        <f>HYPERLINK("https://ictv.global/ictv/proposals/2023.001B.Leviviricetes_reorg.zip","2023.001B.Leviviricetes_reorg.zip")</f>
        <v>2023.001B.Leviviricetes_reorg.zip</v>
      </c>
      <c r="U10417" s="29" t="str">
        <f>HYPERLINK("https://ictv.global/taxonomy/taxondetails?taxnode_id=202317488","ictv.global=202317488")</f>
        <v>ictv.global=202317488</v>
      </c>
    </row>
    <row r="10418" spans="1:21">
      <c r="A10418">
        <v>10417</v>
      </c>
      <c r="B10418" s="30" t="s">
        <v>1226</v>
      </c>
      <c r="D10418" s="30" t="s">
        <v>2024</v>
      </c>
      <c r="F10418" s="30" t="s">
        <v>2046</v>
      </c>
      <c r="H10418" s="30" t="s">
        <v>2859</v>
      </c>
      <c r="J10418" s="30" t="s">
        <v>3390</v>
      </c>
      <c r="L10418" s="30" t="s">
        <v>3442</v>
      </c>
      <c r="N10418" s="30" t="s">
        <v>3537</v>
      </c>
      <c r="P10418" s="30" t="s">
        <v>3538</v>
      </c>
      <c r="Q10418" t="s">
        <v>621</v>
      </c>
      <c r="R10418" t="s">
        <v>917</v>
      </c>
      <c r="S10418">
        <v>36</v>
      </c>
      <c r="T10418" s="29" t="str">
        <f>HYPERLINK("https://ictv.global/ictv/proposals/2020.095B.R.Leviviricetes.zip","2020.095B.R.Leviviricetes.zip")</f>
        <v>2020.095B.R.Leviviricetes.zip</v>
      </c>
      <c r="U10418" s="29" t="str">
        <f>HYPERLINK("https://ictv.global/taxonomy/taxondetails?taxnode_id=202311275","ictv.global=202311275")</f>
        <v>ictv.global=202311275</v>
      </c>
    </row>
    <row r="10419" spans="1:21">
      <c r="A10419">
        <v>10418</v>
      </c>
      <c r="B10419" s="30" t="s">
        <v>1226</v>
      </c>
      <c r="D10419" s="30" t="s">
        <v>2024</v>
      </c>
      <c r="F10419" s="30" t="s">
        <v>2046</v>
      </c>
      <c r="H10419" s="30" t="s">
        <v>2859</v>
      </c>
      <c r="J10419" s="30" t="s">
        <v>3390</v>
      </c>
      <c r="L10419" s="30" t="s">
        <v>3442</v>
      </c>
      <c r="N10419" s="30" t="s">
        <v>3537</v>
      </c>
      <c r="P10419" s="30" t="s">
        <v>16904</v>
      </c>
      <c r="Q10419" t="s">
        <v>621</v>
      </c>
      <c r="R10419" t="s">
        <v>917</v>
      </c>
      <c r="S10419">
        <v>39</v>
      </c>
      <c r="T10419" s="29" t="str">
        <f>HYPERLINK("https://ictv.global/ictv/proposals/2023.001B.Leviviricetes_reorg.zip","2023.001B.Leviviricetes_reorg.zip")</f>
        <v>2023.001B.Leviviricetes_reorg.zip</v>
      </c>
      <c r="U10419" s="29" t="str">
        <f>HYPERLINK("https://ictv.global/taxonomy/taxondetails?taxnode_id=202317489","ictv.global=202317489")</f>
        <v>ictv.global=202317489</v>
      </c>
    </row>
    <row r="10420" spans="1:21">
      <c r="A10420">
        <v>10419</v>
      </c>
      <c r="B10420" s="30" t="s">
        <v>1226</v>
      </c>
      <c r="D10420" s="30" t="s">
        <v>2024</v>
      </c>
      <c r="F10420" s="30" t="s">
        <v>2046</v>
      </c>
      <c r="H10420" s="30" t="s">
        <v>2859</v>
      </c>
      <c r="J10420" s="30" t="s">
        <v>3390</v>
      </c>
      <c r="L10420" s="30" t="s">
        <v>3442</v>
      </c>
      <c r="N10420" s="30" t="s">
        <v>3539</v>
      </c>
      <c r="P10420" s="30" t="s">
        <v>3540</v>
      </c>
      <c r="Q10420" t="s">
        <v>621</v>
      </c>
      <c r="R10420" t="s">
        <v>917</v>
      </c>
      <c r="S10420">
        <v>36</v>
      </c>
      <c r="T10420" s="29" t="str">
        <f>HYPERLINK("https://ictv.global/ictv/proposals/2020.095B.R.Leviviricetes.zip","2020.095B.R.Leviviricetes.zip")</f>
        <v>2020.095B.R.Leviviricetes.zip</v>
      </c>
      <c r="U10420" s="29" t="str">
        <f>HYPERLINK("https://ictv.global/taxonomy/taxondetails?taxnode_id=202311277","ictv.global=202311277")</f>
        <v>ictv.global=202311277</v>
      </c>
    </row>
    <row r="10421" spans="1:21">
      <c r="A10421">
        <v>10420</v>
      </c>
      <c r="B10421" s="30" t="s">
        <v>1226</v>
      </c>
      <c r="D10421" s="30" t="s">
        <v>2024</v>
      </c>
      <c r="F10421" s="30" t="s">
        <v>2046</v>
      </c>
      <c r="H10421" s="30" t="s">
        <v>2859</v>
      </c>
      <c r="J10421" s="30" t="s">
        <v>3390</v>
      </c>
      <c r="L10421" s="30" t="s">
        <v>3442</v>
      </c>
      <c r="N10421" s="30" t="s">
        <v>3539</v>
      </c>
      <c r="P10421" s="30" t="s">
        <v>16905</v>
      </c>
      <c r="Q10421" t="s">
        <v>621</v>
      </c>
      <c r="R10421" t="s">
        <v>917</v>
      </c>
      <c r="S10421">
        <v>39</v>
      </c>
      <c r="T10421" s="29" t="str">
        <f>HYPERLINK("https://ictv.global/ictv/proposals/2023.001B.Leviviricetes_reorg.zip","2023.001B.Leviviricetes_reorg.zip")</f>
        <v>2023.001B.Leviviricetes_reorg.zip</v>
      </c>
      <c r="U10421" s="29" t="str">
        <f>HYPERLINK("https://ictv.global/taxonomy/taxondetails?taxnode_id=202317490","ictv.global=202317490")</f>
        <v>ictv.global=202317490</v>
      </c>
    </row>
    <row r="10422" spans="1:21">
      <c r="A10422">
        <v>10421</v>
      </c>
      <c r="B10422" s="30" t="s">
        <v>1226</v>
      </c>
      <c r="D10422" s="30" t="s">
        <v>2024</v>
      </c>
      <c r="F10422" s="30" t="s">
        <v>2046</v>
      </c>
      <c r="H10422" s="30" t="s">
        <v>2859</v>
      </c>
      <c r="J10422" s="30" t="s">
        <v>3390</v>
      </c>
      <c r="L10422" s="30" t="s">
        <v>3442</v>
      </c>
      <c r="N10422" s="30" t="s">
        <v>3541</v>
      </c>
      <c r="P10422" s="30" t="s">
        <v>3542</v>
      </c>
      <c r="Q10422" t="s">
        <v>621</v>
      </c>
      <c r="R10422" t="s">
        <v>917</v>
      </c>
      <c r="S10422">
        <v>36</v>
      </c>
      <c r="T10422" s="29" t="str">
        <f>HYPERLINK("https://ictv.global/ictv/proposals/2020.095B.R.Leviviricetes.zip","2020.095B.R.Leviviricetes.zip")</f>
        <v>2020.095B.R.Leviviricetes.zip</v>
      </c>
      <c r="U10422" s="29" t="str">
        <f>HYPERLINK("https://ictv.global/taxonomy/taxondetails?taxnode_id=202311281","ictv.global=202311281")</f>
        <v>ictv.global=202311281</v>
      </c>
    </row>
    <row r="10423" spans="1:21">
      <c r="A10423">
        <v>10422</v>
      </c>
      <c r="B10423" s="30" t="s">
        <v>1226</v>
      </c>
      <c r="D10423" s="30" t="s">
        <v>2024</v>
      </c>
      <c r="F10423" s="30" t="s">
        <v>2046</v>
      </c>
      <c r="H10423" s="30" t="s">
        <v>2859</v>
      </c>
      <c r="J10423" s="30" t="s">
        <v>3390</v>
      </c>
      <c r="L10423" s="30" t="s">
        <v>3442</v>
      </c>
      <c r="N10423" s="30" t="s">
        <v>3543</v>
      </c>
      <c r="P10423" s="30" t="s">
        <v>16906</v>
      </c>
      <c r="Q10423" t="s">
        <v>621</v>
      </c>
      <c r="R10423" t="s">
        <v>917</v>
      </c>
      <c r="S10423">
        <v>39</v>
      </c>
      <c r="T10423" s="29" t="str">
        <f>HYPERLINK("https://ictv.global/ictv/proposals/2023.001B.Leviviricetes_reorg.zip","2023.001B.Leviviricetes_reorg.zip")</f>
        <v>2023.001B.Leviviricetes_reorg.zip</v>
      </c>
      <c r="U10423" s="29" t="str">
        <f>HYPERLINK("https://ictv.global/taxonomy/taxondetails?taxnode_id=202317491","ictv.global=202317491")</f>
        <v>ictv.global=202317491</v>
      </c>
    </row>
    <row r="10424" spans="1:21">
      <c r="A10424">
        <v>10423</v>
      </c>
      <c r="B10424" s="30" t="s">
        <v>1226</v>
      </c>
      <c r="D10424" s="30" t="s">
        <v>2024</v>
      </c>
      <c r="F10424" s="30" t="s">
        <v>2046</v>
      </c>
      <c r="H10424" s="30" t="s">
        <v>2859</v>
      </c>
      <c r="J10424" s="30" t="s">
        <v>3390</v>
      </c>
      <c r="L10424" s="30" t="s">
        <v>3442</v>
      </c>
      <c r="N10424" s="30" t="s">
        <v>3543</v>
      </c>
      <c r="P10424" s="30" t="s">
        <v>3544</v>
      </c>
      <c r="Q10424" t="s">
        <v>621</v>
      </c>
      <c r="R10424" t="s">
        <v>917</v>
      </c>
      <c r="S10424">
        <v>36</v>
      </c>
      <c r="T10424" s="29" t="str">
        <f>HYPERLINK("https://ictv.global/ictv/proposals/2020.095B.R.Leviviricetes.zip","2020.095B.R.Leviviricetes.zip")</f>
        <v>2020.095B.R.Leviviricetes.zip</v>
      </c>
      <c r="U10424" s="29" t="str">
        <f>HYPERLINK("https://ictv.global/taxonomy/taxondetails?taxnode_id=202311287","ictv.global=202311287")</f>
        <v>ictv.global=202311287</v>
      </c>
    </row>
    <row r="10425" spans="1:21">
      <c r="A10425">
        <v>10424</v>
      </c>
      <c r="B10425" s="30" t="s">
        <v>1226</v>
      </c>
      <c r="D10425" s="30" t="s">
        <v>2024</v>
      </c>
      <c r="F10425" s="30" t="s">
        <v>2046</v>
      </c>
      <c r="H10425" s="30" t="s">
        <v>2859</v>
      </c>
      <c r="J10425" s="30" t="s">
        <v>3390</v>
      </c>
      <c r="L10425" s="30" t="s">
        <v>3442</v>
      </c>
      <c r="N10425" s="30" t="s">
        <v>3543</v>
      </c>
      <c r="P10425" s="30" t="s">
        <v>3545</v>
      </c>
      <c r="Q10425" t="s">
        <v>621</v>
      </c>
      <c r="R10425" t="s">
        <v>917</v>
      </c>
      <c r="S10425">
        <v>36</v>
      </c>
      <c r="T10425" s="29" t="str">
        <f>HYPERLINK("https://ictv.global/ictv/proposals/2020.095B.R.Leviviricetes.zip","2020.095B.R.Leviviricetes.zip")</f>
        <v>2020.095B.R.Leviviricetes.zip</v>
      </c>
      <c r="U10425" s="29" t="str">
        <f>HYPERLINK("https://ictv.global/taxonomy/taxondetails?taxnode_id=202311289","ictv.global=202311289")</f>
        <v>ictv.global=202311289</v>
      </c>
    </row>
    <row r="10426" spans="1:21">
      <c r="A10426">
        <v>10425</v>
      </c>
      <c r="B10426" s="30" t="s">
        <v>1226</v>
      </c>
      <c r="D10426" s="30" t="s">
        <v>2024</v>
      </c>
      <c r="F10426" s="30" t="s">
        <v>2046</v>
      </c>
      <c r="H10426" s="30" t="s">
        <v>2859</v>
      </c>
      <c r="J10426" s="30" t="s">
        <v>3390</v>
      </c>
      <c r="L10426" s="30" t="s">
        <v>3442</v>
      </c>
      <c r="N10426" s="30" t="s">
        <v>3543</v>
      </c>
      <c r="P10426" s="30" t="s">
        <v>16907</v>
      </c>
      <c r="Q10426" t="s">
        <v>621</v>
      </c>
      <c r="R10426" t="s">
        <v>917</v>
      </c>
      <c r="S10426">
        <v>39</v>
      </c>
      <c r="T10426" s="29" t="str">
        <f t="shared" ref="T10426:T10434" si="433">HYPERLINK("https://ictv.global/ictv/proposals/2023.001B.Leviviricetes_reorg.zip","2023.001B.Leviviricetes_reorg.zip")</f>
        <v>2023.001B.Leviviricetes_reorg.zip</v>
      </c>
      <c r="U10426" s="29" t="str">
        <f>HYPERLINK("https://ictv.global/taxonomy/taxondetails?taxnode_id=202317492","ictv.global=202317492")</f>
        <v>ictv.global=202317492</v>
      </c>
    </row>
    <row r="10427" spans="1:21">
      <c r="A10427">
        <v>10426</v>
      </c>
      <c r="B10427" s="30" t="s">
        <v>1226</v>
      </c>
      <c r="D10427" s="30" t="s">
        <v>2024</v>
      </c>
      <c r="F10427" s="30" t="s">
        <v>2046</v>
      </c>
      <c r="H10427" s="30" t="s">
        <v>2859</v>
      </c>
      <c r="J10427" s="30" t="s">
        <v>3390</v>
      </c>
      <c r="L10427" s="30" t="s">
        <v>3442</v>
      </c>
      <c r="N10427" s="30" t="s">
        <v>3543</v>
      </c>
      <c r="P10427" s="30" t="s">
        <v>16908</v>
      </c>
      <c r="Q10427" t="s">
        <v>621</v>
      </c>
      <c r="R10427" t="s">
        <v>917</v>
      </c>
      <c r="S10427">
        <v>39</v>
      </c>
      <c r="T10427" s="29" t="str">
        <f t="shared" si="433"/>
        <v>2023.001B.Leviviricetes_reorg.zip</v>
      </c>
      <c r="U10427" s="29" t="str">
        <f>HYPERLINK("https://ictv.global/taxonomy/taxondetails?taxnode_id=202317493","ictv.global=202317493")</f>
        <v>ictv.global=202317493</v>
      </c>
    </row>
    <row r="10428" spans="1:21">
      <c r="A10428">
        <v>10427</v>
      </c>
      <c r="B10428" s="30" t="s">
        <v>1226</v>
      </c>
      <c r="D10428" s="30" t="s">
        <v>2024</v>
      </c>
      <c r="F10428" s="30" t="s">
        <v>2046</v>
      </c>
      <c r="H10428" s="30" t="s">
        <v>2859</v>
      </c>
      <c r="J10428" s="30" t="s">
        <v>3390</v>
      </c>
      <c r="L10428" s="30" t="s">
        <v>3442</v>
      </c>
      <c r="N10428" s="30" t="s">
        <v>3543</v>
      </c>
      <c r="P10428" s="30" t="s">
        <v>16909</v>
      </c>
      <c r="Q10428" t="s">
        <v>621</v>
      </c>
      <c r="R10428" t="s">
        <v>917</v>
      </c>
      <c r="S10428">
        <v>39</v>
      </c>
      <c r="T10428" s="29" t="str">
        <f t="shared" si="433"/>
        <v>2023.001B.Leviviricetes_reorg.zip</v>
      </c>
      <c r="U10428" s="29" t="str">
        <f>HYPERLINK("https://ictv.global/taxonomy/taxondetails?taxnode_id=202317494","ictv.global=202317494")</f>
        <v>ictv.global=202317494</v>
      </c>
    </row>
    <row r="10429" spans="1:21">
      <c r="A10429">
        <v>10428</v>
      </c>
      <c r="B10429" s="30" t="s">
        <v>1226</v>
      </c>
      <c r="D10429" s="30" t="s">
        <v>2024</v>
      </c>
      <c r="F10429" s="30" t="s">
        <v>2046</v>
      </c>
      <c r="H10429" s="30" t="s">
        <v>2859</v>
      </c>
      <c r="J10429" s="30" t="s">
        <v>3390</v>
      </c>
      <c r="L10429" s="30" t="s">
        <v>3442</v>
      </c>
      <c r="N10429" s="30" t="s">
        <v>3543</v>
      </c>
      <c r="P10429" s="30" t="s">
        <v>16910</v>
      </c>
      <c r="Q10429" t="s">
        <v>621</v>
      </c>
      <c r="R10429" t="s">
        <v>917</v>
      </c>
      <c r="S10429">
        <v>39</v>
      </c>
      <c r="T10429" s="29" t="str">
        <f t="shared" si="433"/>
        <v>2023.001B.Leviviricetes_reorg.zip</v>
      </c>
      <c r="U10429" s="29" t="str">
        <f>HYPERLINK("https://ictv.global/taxonomy/taxondetails?taxnode_id=202317495","ictv.global=202317495")</f>
        <v>ictv.global=202317495</v>
      </c>
    </row>
    <row r="10430" spans="1:21">
      <c r="A10430">
        <v>10429</v>
      </c>
      <c r="B10430" s="30" t="s">
        <v>1226</v>
      </c>
      <c r="D10430" s="30" t="s">
        <v>2024</v>
      </c>
      <c r="F10430" s="30" t="s">
        <v>2046</v>
      </c>
      <c r="H10430" s="30" t="s">
        <v>2859</v>
      </c>
      <c r="J10430" s="30" t="s">
        <v>3390</v>
      </c>
      <c r="L10430" s="30" t="s">
        <v>3442</v>
      </c>
      <c r="N10430" s="30" t="s">
        <v>3543</v>
      </c>
      <c r="P10430" s="30" t="s">
        <v>16911</v>
      </c>
      <c r="Q10430" t="s">
        <v>621</v>
      </c>
      <c r="R10430" t="s">
        <v>917</v>
      </c>
      <c r="S10430">
        <v>39</v>
      </c>
      <c r="T10430" s="29" t="str">
        <f t="shared" si="433"/>
        <v>2023.001B.Leviviricetes_reorg.zip</v>
      </c>
      <c r="U10430" s="29" t="str">
        <f>HYPERLINK("https://ictv.global/taxonomy/taxondetails?taxnode_id=202317496","ictv.global=202317496")</f>
        <v>ictv.global=202317496</v>
      </c>
    </row>
    <row r="10431" spans="1:21">
      <c r="A10431">
        <v>10430</v>
      </c>
      <c r="B10431" s="30" t="s">
        <v>1226</v>
      </c>
      <c r="D10431" s="30" t="s">
        <v>2024</v>
      </c>
      <c r="F10431" s="30" t="s">
        <v>2046</v>
      </c>
      <c r="H10431" s="30" t="s">
        <v>2859</v>
      </c>
      <c r="J10431" s="30" t="s">
        <v>3390</v>
      </c>
      <c r="L10431" s="30" t="s">
        <v>3442</v>
      </c>
      <c r="N10431" s="30" t="s">
        <v>3543</v>
      </c>
      <c r="P10431" s="30" t="s">
        <v>16912</v>
      </c>
      <c r="Q10431" t="s">
        <v>621</v>
      </c>
      <c r="R10431" t="s">
        <v>917</v>
      </c>
      <c r="S10431">
        <v>39</v>
      </c>
      <c r="T10431" s="29" t="str">
        <f t="shared" si="433"/>
        <v>2023.001B.Leviviricetes_reorg.zip</v>
      </c>
      <c r="U10431" s="29" t="str">
        <f>HYPERLINK("https://ictv.global/taxonomy/taxondetails?taxnode_id=202317497","ictv.global=202317497")</f>
        <v>ictv.global=202317497</v>
      </c>
    </row>
    <row r="10432" spans="1:21">
      <c r="A10432">
        <v>10431</v>
      </c>
      <c r="B10432" s="30" t="s">
        <v>1226</v>
      </c>
      <c r="D10432" s="30" t="s">
        <v>2024</v>
      </c>
      <c r="F10432" s="30" t="s">
        <v>2046</v>
      </c>
      <c r="H10432" s="30" t="s">
        <v>2859</v>
      </c>
      <c r="J10432" s="30" t="s">
        <v>3390</v>
      </c>
      <c r="L10432" s="30" t="s">
        <v>3442</v>
      </c>
      <c r="N10432" s="30" t="s">
        <v>3543</v>
      </c>
      <c r="P10432" s="30" t="s">
        <v>16913</v>
      </c>
      <c r="Q10432" t="s">
        <v>621</v>
      </c>
      <c r="R10432" t="s">
        <v>917</v>
      </c>
      <c r="S10432">
        <v>39</v>
      </c>
      <c r="T10432" s="29" t="str">
        <f t="shared" si="433"/>
        <v>2023.001B.Leviviricetes_reorg.zip</v>
      </c>
      <c r="U10432" s="29" t="str">
        <f>HYPERLINK("https://ictv.global/taxonomy/taxondetails?taxnode_id=202317498","ictv.global=202317498")</f>
        <v>ictv.global=202317498</v>
      </c>
    </row>
    <row r="10433" spans="1:21">
      <c r="A10433">
        <v>10432</v>
      </c>
      <c r="B10433" s="30" t="s">
        <v>1226</v>
      </c>
      <c r="D10433" s="30" t="s">
        <v>2024</v>
      </c>
      <c r="F10433" s="30" t="s">
        <v>2046</v>
      </c>
      <c r="H10433" s="30" t="s">
        <v>2859</v>
      </c>
      <c r="J10433" s="30" t="s">
        <v>3390</v>
      </c>
      <c r="L10433" s="30" t="s">
        <v>3442</v>
      </c>
      <c r="N10433" s="30" t="s">
        <v>3543</v>
      </c>
      <c r="P10433" s="30" t="s">
        <v>16914</v>
      </c>
      <c r="Q10433" t="s">
        <v>621</v>
      </c>
      <c r="R10433" t="s">
        <v>917</v>
      </c>
      <c r="S10433">
        <v>39</v>
      </c>
      <c r="T10433" s="29" t="str">
        <f t="shared" si="433"/>
        <v>2023.001B.Leviviricetes_reorg.zip</v>
      </c>
      <c r="U10433" s="29" t="str">
        <f>HYPERLINK("https://ictv.global/taxonomy/taxondetails?taxnode_id=202317499","ictv.global=202317499")</f>
        <v>ictv.global=202317499</v>
      </c>
    </row>
    <row r="10434" spans="1:21">
      <c r="A10434">
        <v>10433</v>
      </c>
      <c r="B10434" s="30" t="s">
        <v>1226</v>
      </c>
      <c r="D10434" s="30" t="s">
        <v>2024</v>
      </c>
      <c r="F10434" s="30" t="s">
        <v>2046</v>
      </c>
      <c r="H10434" s="30" t="s">
        <v>2859</v>
      </c>
      <c r="J10434" s="30" t="s">
        <v>3390</v>
      </c>
      <c r="L10434" s="30" t="s">
        <v>3442</v>
      </c>
      <c r="N10434" s="30" t="s">
        <v>3543</v>
      </c>
      <c r="P10434" s="30" t="s">
        <v>16915</v>
      </c>
      <c r="Q10434" t="s">
        <v>621</v>
      </c>
      <c r="R10434" t="s">
        <v>917</v>
      </c>
      <c r="S10434">
        <v>39</v>
      </c>
      <c r="T10434" s="29" t="str">
        <f t="shared" si="433"/>
        <v>2023.001B.Leviviricetes_reorg.zip</v>
      </c>
      <c r="U10434" s="29" t="str">
        <f>HYPERLINK("https://ictv.global/taxonomy/taxondetails?taxnode_id=202317500","ictv.global=202317500")</f>
        <v>ictv.global=202317500</v>
      </c>
    </row>
    <row r="10435" spans="1:21">
      <c r="A10435">
        <v>10434</v>
      </c>
      <c r="B10435" s="30" t="s">
        <v>1226</v>
      </c>
      <c r="D10435" s="30" t="s">
        <v>2024</v>
      </c>
      <c r="F10435" s="30" t="s">
        <v>2046</v>
      </c>
      <c r="H10435" s="30" t="s">
        <v>2859</v>
      </c>
      <c r="J10435" s="30" t="s">
        <v>3390</v>
      </c>
      <c r="L10435" s="30" t="s">
        <v>3442</v>
      </c>
      <c r="N10435" s="30" t="s">
        <v>3543</v>
      </c>
      <c r="P10435" s="30" t="s">
        <v>3546</v>
      </c>
      <c r="Q10435" t="s">
        <v>621</v>
      </c>
      <c r="R10435" t="s">
        <v>917</v>
      </c>
      <c r="S10435">
        <v>36</v>
      </c>
      <c r="T10435" s="29" t="str">
        <f>HYPERLINK("https://ictv.global/ictv/proposals/2020.095B.R.Leviviricetes.zip","2020.095B.R.Leviviricetes.zip")</f>
        <v>2020.095B.R.Leviviricetes.zip</v>
      </c>
      <c r="U10435" s="29" t="str">
        <f>HYPERLINK("https://ictv.global/taxonomy/taxondetails?taxnode_id=202311288","ictv.global=202311288")</f>
        <v>ictv.global=202311288</v>
      </c>
    </row>
    <row r="10436" spans="1:21">
      <c r="A10436">
        <v>10435</v>
      </c>
      <c r="B10436" s="30" t="s">
        <v>1226</v>
      </c>
      <c r="D10436" s="30" t="s">
        <v>2024</v>
      </c>
      <c r="F10436" s="30" t="s">
        <v>2046</v>
      </c>
      <c r="H10436" s="30" t="s">
        <v>2859</v>
      </c>
      <c r="J10436" s="30" t="s">
        <v>3390</v>
      </c>
      <c r="L10436" s="30" t="s">
        <v>3442</v>
      </c>
      <c r="N10436" s="30" t="s">
        <v>3547</v>
      </c>
      <c r="P10436" s="30" t="s">
        <v>3548</v>
      </c>
      <c r="Q10436" t="s">
        <v>621</v>
      </c>
      <c r="R10436" t="s">
        <v>917</v>
      </c>
      <c r="S10436">
        <v>36</v>
      </c>
      <c r="T10436" s="29" t="str">
        <f>HYPERLINK("https://ictv.global/ictv/proposals/2020.095B.R.Leviviricetes.zip","2020.095B.R.Leviviricetes.zip")</f>
        <v>2020.095B.R.Leviviricetes.zip</v>
      </c>
      <c r="U10436" s="29" t="str">
        <f>HYPERLINK("https://ictv.global/taxonomy/taxondetails?taxnode_id=202311301","ictv.global=202311301")</f>
        <v>ictv.global=202311301</v>
      </c>
    </row>
    <row r="10437" spans="1:21">
      <c r="A10437">
        <v>10436</v>
      </c>
      <c r="B10437" s="30" t="s">
        <v>1226</v>
      </c>
      <c r="D10437" s="30" t="s">
        <v>2024</v>
      </c>
      <c r="F10437" s="30" t="s">
        <v>2046</v>
      </c>
      <c r="H10437" s="30" t="s">
        <v>2859</v>
      </c>
      <c r="J10437" s="30" t="s">
        <v>3390</v>
      </c>
      <c r="L10437" s="30" t="s">
        <v>3442</v>
      </c>
      <c r="N10437" s="30" t="s">
        <v>3549</v>
      </c>
      <c r="P10437" s="30" t="s">
        <v>3550</v>
      </c>
      <c r="Q10437" t="s">
        <v>621</v>
      </c>
      <c r="R10437" t="s">
        <v>917</v>
      </c>
      <c r="S10437">
        <v>36</v>
      </c>
      <c r="T10437" s="29" t="str">
        <f>HYPERLINK("https://ictv.global/ictv/proposals/2020.095B.R.Leviviricetes.zip","2020.095B.R.Leviviricetes.zip")</f>
        <v>2020.095B.R.Leviviricetes.zip</v>
      </c>
      <c r="U10437" s="29" t="str">
        <f>HYPERLINK("https://ictv.global/taxonomy/taxondetails?taxnode_id=202311303","ictv.global=202311303")</f>
        <v>ictv.global=202311303</v>
      </c>
    </row>
    <row r="10438" spans="1:21">
      <c r="A10438">
        <v>10437</v>
      </c>
      <c r="B10438" s="30" t="s">
        <v>1226</v>
      </c>
      <c r="D10438" s="30" t="s">
        <v>2024</v>
      </c>
      <c r="F10438" s="30" t="s">
        <v>2046</v>
      </c>
      <c r="H10438" s="30" t="s">
        <v>2859</v>
      </c>
      <c r="J10438" s="30" t="s">
        <v>3390</v>
      </c>
      <c r="L10438" s="30" t="s">
        <v>3442</v>
      </c>
      <c r="N10438" s="30" t="s">
        <v>16916</v>
      </c>
      <c r="P10438" s="30" t="s">
        <v>16917</v>
      </c>
      <c r="Q10438" t="s">
        <v>621</v>
      </c>
      <c r="R10438" t="s">
        <v>917</v>
      </c>
      <c r="S10438">
        <v>39</v>
      </c>
      <c r="T10438" s="29" t="str">
        <f t="shared" ref="T10438:T10443" si="434">HYPERLINK("https://ictv.global/ictv/proposals/2023.001B.Leviviricetes_reorg.zip","2023.001B.Leviviricetes_reorg.zip")</f>
        <v>2023.001B.Leviviricetes_reorg.zip</v>
      </c>
      <c r="U10438" s="29" t="str">
        <f>HYPERLINK("https://ictv.global/taxonomy/taxondetails?taxnode_id=202317501","ictv.global=202317501")</f>
        <v>ictv.global=202317501</v>
      </c>
    </row>
    <row r="10439" spans="1:21">
      <c r="A10439">
        <v>10438</v>
      </c>
      <c r="B10439" s="30" t="s">
        <v>1226</v>
      </c>
      <c r="D10439" s="30" t="s">
        <v>2024</v>
      </c>
      <c r="F10439" s="30" t="s">
        <v>2046</v>
      </c>
      <c r="H10439" s="30" t="s">
        <v>2859</v>
      </c>
      <c r="J10439" s="30" t="s">
        <v>3390</v>
      </c>
      <c r="L10439" s="30" t="s">
        <v>3442</v>
      </c>
      <c r="N10439" s="30" t="s">
        <v>16918</v>
      </c>
      <c r="P10439" s="30" t="s">
        <v>16919</v>
      </c>
      <c r="Q10439" t="s">
        <v>621</v>
      </c>
      <c r="R10439" t="s">
        <v>917</v>
      </c>
      <c r="S10439">
        <v>39</v>
      </c>
      <c r="T10439" s="29" t="str">
        <f t="shared" si="434"/>
        <v>2023.001B.Leviviricetes_reorg.zip</v>
      </c>
      <c r="U10439" s="29" t="str">
        <f>HYPERLINK("https://ictv.global/taxonomy/taxondetails?taxnode_id=202317502","ictv.global=202317502")</f>
        <v>ictv.global=202317502</v>
      </c>
    </row>
    <row r="10440" spans="1:21">
      <c r="A10440">
        <v>10439</v>
      </c>
      <c r="B10440" s="30" t="s">
        <v>1226</v>
      </c>
      <c r="D10440" s="30" t="s">
        <v>2024</v>
      </c>
      <c r="F10440" s="30" t="s">
        <v>2046</v>
      </c>
      <c r="H10440" s="30" t="s">
        <v>2859</v>
      </c>
      <c r="J10440" s="30" t="s">
        <v>3390</v>
      </c>
      <c r="L10440" s="30" t="s">
        <v>3442</v>
      </c>
      <c r="N10440" s="30" t="s">
        <v>16918</v>
      </c>
      <c r="P10440" s="30" t="s">
        <v>16920</v>
      </c>
      <c r="Q10440" t="s">
        <v>621</v>
      </c>
      <c r="R10440" t="s">
        <v>917</v>
      </c>
      <c r="S10440">
        <v>39</v>
      </c>
      <c r="T10440" s="29" t="str">
        <f t="shared" si="434"/>
        <v>2023.001B.Leviviricetes_reorg.zip</v>
      </c>
      <c r="U10440" s="29" t="str">
        <f>HYPERLINK("https://ictv.global/taxonomy/taxondetails?taxnode_id=202317503","ictv.global=202317503")</f>
        <v>ictv.global=202317503</v>
      </c>
    </row>
    <row r="10441" spans="1:21">
      <c r="A10441">
        <v>10440</v>
      </c>
      <c r="B10441" s="30" t="s">
        <v>1226</v>
      </c>
      <c r="D10441" s="30" t="s">
        <v>2024</v>
      </c>
      <c r="F10441" s="30" t="s">
        <v>2046</v>
      </c>
      <c r="H10441" s="30" t="s">
        <v>2859</v>
      </c>
      <c r="J10441" s="30" t="s">
        <v>3390</v>
      </c>
      <c r="L10441" s="30" t="s">
        <v>3442</v>
      </c>
      <c r="N10441" s="30" t="s">
        <v>16918</v>
      </c>
      <c r="P10441" s="30" t="s">
        <v>16921</v>
      </c>
      <c r="Q10441" t="s">
        <v>621</v>
      </c>
      <c r="R10441" t="s">
        <v>917</v>
      </c>
      <c r="S10441">
        <v>39</v>
      </c>
      <c r="T10441" s="29" t="str">
        <f t="shared" si="434"/>
        <v>2023.001B.Leviviricetes_reorg.zip</v>
      </c>
      <c r="U10441" s="29" t="str">
        <f>HYPERLINK("https://ictv.global/taxonomy/taxondetails?taxnode_id=202317504","ictv.global=202317504")</f>
        <v>ictv.global=202317504</v>
      </c>
    </row>
    <row r="10442" spans="1:21">
      <c r="A10442">
        <v>10441</v>
      </c>
      <c r="B10442" s="30" t="s">
        <v>1226</v>
      </c>
      <c r="D10442" s="30" t="s">
        <v>2024</v>
      </c>
      <c r="F10442" s="30" t="s">
        <v>2046</v>
      </c>
      <c r="H10442" s="30" t="s">
        <v>2859</v>
      </c>
      <c r="J10442" s="30" t="s">
        <v>3390</v>
      </c>
      <c r="L10442" s="30" t="s">
        <v>3442</v>
      </c>
      <c r="N10442" s="30" t="s">
        <v>16918</v>
      </c>
      <c r="P10442" s="30" t="s">
        <v>16922</v>
      </c>
      <c r="Q10442" t="s">
        <v>621</v>
      </c>
      <c r="R10442" t="s">
        <v>917</v>
      </c>
      <c r="S10442">
        <v>39</v>
      </c>
      <c r="T10442" s="29" t="str">
        <f t="shared" si="434"/>
        <v>2023.001B.Leviviricetes_reorg.zip</v>
      </c>
      <c r="U10442" s="29" t="str">
        <f>HYPERLINK("https://ictv.global/taxonomy/taxondetails?taxnode_id=202317505","ictv.global=202317505")</f>
        <v>ictv.global=202317505</v>
      </c>
    </row>
    <row r="10443" spans="1:21">
      <c r="A10443">
        <v>10442</v>
      </c>
      <c r="B10443" s="30" t="s">
        <v>1226</v>
      </c>
      <c r="D10443" s="30" t="s">
        <v>2024</v>
      </c>
      <c r="F10443" s="30" t="s">
        <v>2046</v>
      </c>
      <c r="H10443" s="30" t="s">
        <v>2859</v>
      </c>
      <c r="J10443" s="30" t="s">
        <v>3390</v>
      </c>
      <c r="L10443" s="30" t="s">
        <v>3442</v>
      </c>
      <c r="N10443" s="30" t="s">
        <v>16918</v>
      </c>
      <c r="P10443" s="30" t="s">
        <v>16923</v>
      </c>
      <c r="Q10443" t="s">
        <v>621</v>
      </c>
      <c r="R10443" t="s">
        <v>917</v>
      </c>
      <c r="S10443">
        <v>39</v>
      </c>
      <c r="T10443" s="29" t="str">
        <f t="shared" si="434"/>
        <v>2023.001B.Leviviricetes_reorg.zip</v>
      </c>
      <c r="U10443" s="29" t="str">
        <f>HYPERLINK("https://ictv.global/taxonomy/taxondetails?taxnode_id=202317506","ictv.global=202317506")</f>
        <v>ictv.global=202317506</v>
      </c>
    </row>
    <row r="10444" spans="1:21">
      <c r="A10444">
        <v>10443</v>
      </c>
      <c r="B10444" s="30" t="s">
        <v>1226</v>
      </c>
      <c r="D10444" s="30" t="s">
        <v>2024</v>
      </c>
      <c r="F10444" s="30" t="s">
        <v>2046</v>
      </c>
      <c r="H10444" s="30" t="s">
        <v>2859</v>
      </c>
      <c r="J10444" s="30" t="s">
        <v>3390</v>
      </c>
      <c r="L10444" s="30" t="s">
        <v>3442</v>
      </c>
      <c r="N10444" s="30" t="s">
        <v>3551</v>
      </c>
      <c r="P10444" s="30" t="s">
        <v>3552</v>
      </c>
      <c r="Q10444" t="s">
        <v>621</v>
      </c>
      <c r="R10444" t="s">
        <v>917</v>
      </c>
      <c r="S10444">
        <v>36</v>
      </c>
      <c r="T10444" s="29" t="str">
        <f>HYPERLINK("https://ictv.global/ictv/proposals/2020.095B.R.Leviviricetes.zip","2020.095B.R.Leviviricetes.zip")</f>
        <v>2020.095B.R.Leviviricetes.zip</v>
      </c>
      <c r="U10444" s="29" t="str">
        <f>HYPERLINK("https://ictv.global/taxonomy/taxondetails?taxnode_id=202311308","ictv.global=202311308")</f>
        <v>ictv.global=202311308</v>
      </c>
    </row>
    <row r="10445" spans="1:21">
      <c r="A10445">
        <v>10444</v>
      </c>
      <c r="B10445" s="30" t="s">
        <v>1226</v>
      </c>
      <c r="D10445" s="30" t="s">
        <v>2024</v>
      </c>
      <c r="F10445" s="30" t="s">
        <v>2046</v>
      </c>
      <c r="H10445" s="30" t="s">
        <v>2859</v>
      </c>
      <c r="J10445" s="30" t="s">
        <v>3390</v>
      </c>
      <c r="L10445" s="30" t="s">
        <v>3442</v>
      </c>
      <c r="N10445" s="30" t="s">
        <v>3553</v>
      </c>
      <c r="P10445" s="30" t="s">
        <v>3554</v>
      </c>
      <c r="Q10445" t="s">
        <v>621</v>
      </c>
      <c r="R10445" t="s">
        <v>917</v>
      </c>
      <c r="S10445">
        <v>36</v>
      </c>
      <c r="T10445" s="29" t="str">
        <f>HYPERLINK("https://ictv.global/ictv/proposals/2020.095B.R.Leviviricetes.zip","2020.095B.R.Leviviricetes.zip")</f>
        <v>2020.095B.R.Leviviricetes.zip</v>
      </c>
      <c r="U10445" s="29" t="str">
        <f>HYPERLINK("https://ictv.global/taxonomy/taxondetails?taxnode_id=202311310","ictv.global=202311310")</f>
        <v>ictv.global=202311310</v>
      </c>
    </row>
    <row r="10446" spans="1:21">
      <c r="A10446">
        <v>10445</v>
      </c>
      <c r="B10446" s="30" t="s">
        <v>1226</v>
      </c>
      <c r="D10446" s="30" t="s">
        <v>2024</v>
      </c>
      <c r="F10446" s="30" t="s">
        <v>2046</v>
      </c>
      <c r="H10446" s="30" t="s">
        <v>2859</v>
      </c>
      <c r="J10446" s="30" t="s">
        <v>3390</v>
      </c>
      <c r="L10446" s="30" t="s">
        <v>3442</v>
      </c>
      <c r="N10446" s="30" t="s">
        <v>3553</v>
      </c>
      <c r="P10446" s="30" t="s">
        <v>16924</v>
      </c>
      <c r="Q10446" t="s">
        <v>621</v>
      </c>
      <c r="R10446" t="s">
        <v>917</v>
      </c>
      <c r="S10446">
        <v>39</v>
      </c>
      <c r="T10446" s="29" t="str">
        <f t="shared" ref="T10446:T10463" si="435">HYPERLINK("https://ictv.global/ictv/proposals/2023.001B.Leviviricetes_reorg.zip","2023.001B.Leviviricetes_reorg.zip")</f>
        <v>2023.001B.Leviviricetes_reorg.zip</v>
      </c>
      <c r="U10446" s="29" t="str">
        <f>HYPERLINK("https://ictv.global/taxonomy/taxondetails?taxnode_id=202317507","ictv.global=202317507")</f>
        <v>ictv.global=202317507</v>
      </c>
    </row>
    <row r="10447" spans="1:21">
      <c r="A10447">
        <v>10446</v>
      </c>
      <c r="B10447" s="30" t="s">
        <v>1226</v>
      </c>
      <c r="D10447" s="30" t="s">
        <v>2024</v>
      </c>
      <c r="F10447" s="30" t="s">
        <v>2046</v>
      </c>
      <c r="H10447" s="30" t="s">
        <v>2859</v>
      </c>
      <c r="J10447" s="30" t="s">
        <v>3390</v>
      </c>
      <c r="L10447" s="30" t="s">
        <v>3442</v>
      </c>
      <c r="N10447" s="30" t="s">
        <v>3553</v>
      </c>
      <c r="P10447" s="30" t="s">
        <v>16925</v>
      </c>
      <c r="Q10447" t="s">
        <v>621</v>
      </c>
      <c r="R10447" t="s">
        <v>917</v>
      </c>
      <c r="S10447">
        <v>39</v>
      </c>
      <c r="T10447" s="29" t="str">
        <f t="shared" si="435"/>
        <v>2023.001B.Leviviricetes_reorg.zip</v>
      </c>
      <c r="U10447" s="29" t="str">
        <f>HYPERLINK("https://ictv.global/taxonomy/taxondetails?taxnode_id=202317508","ictv.global=202317508")</f>
        <v>ictv.global=202317508</v>
      </c>
    </row>
    <row r="10448" spans="1:21">
      <c r="A10448">
        <v>10447</v>
      </c>
      <c r="B10448" s="30" t="s">
        <v>1226</v>
      </c>
      <c r="D10448" s="30" t="s">
        <v>2024</v>
      </c>
      <c r="F10448" s="30" t="s">
        <v>2046</v>
      </c>
      <c r="H10448" s="30" t="s">
        <v>2859</v>
      </c>
      <c r="J10448" s="30" t="s">
        <v>3390</v>
      </c>
      <c r="L10448" s="30" t="s">
        <v>3442</v>
      </c>
      <c r="N10448" s="30" t="s">
        <v>3553</v>
      </c>
      <c r="P10448" s="30" t="s">
        <v>16926</v>
      </c>
      <c r="Q10448" t="s">
        <v>621</v>
      </c>
      <c r="R10448" t="s">
        <v>917</v>
      </c>
      <c r="S10448">
        <v>39</v>
      </c>
      <c r="T10448" s="29" t="str">
        <f t="shared" si="435"/>
        <v>2023.001B.Leviviricetes_reorg.zip</v>
      </c>
      <c r="U10448" s="29" t="str">
        <f>HYPERLINK("https://ictv.global/taxonomy/taxondetails?taxnode_id=202317509","ictv.global=202317509")</f>
        <v>ictv.global=202317509</v>
      </c>
    </row>
    <row r="10449" spans="1:21">
      <c r="A10449">
        <v>10448</v>
      </c>
      <c r="B10449" s="30" t="s">
        <v>1226</v>
      </c>
      <c r="D10449" s="30" t="s">
        <v>2024</v>
      </c>
      <c r="F10449" s="30" t="s">
        <v>2046</v>
      </c>
      <c r="H10449" s="30" t="s">
        <v>2859</v>
      </c>
      <c r="J10449" s="30" t="s">
        <v>3390</v>
      </c>
      <c r="L10449" s="30" t="s">
        <v>3442</v>
      </c>
      <c r="N10449" s="30" t="s">
        <v>16927</v>
      </c>
      <c r="P10449" s="30" t="s">
        <v>16928</v>
      </c>
      <c r="Q10449" t="s">
        <v>621</v>
      </c>
      <c r="R10449" t="s">
        <v>917</v>
      </c>
      <c r="S10449">
        <v>39</v>
      </c>
      <c r="T10449" s="29" t="str">
        <f t="shared" si="435"/>
        <v>2023.001B.Leviviricetes_reorg.zip</v>
      </c>
      <c r="U10449" s="29" t="str">
        <f>HYPERLINK("https://ictv.global/taxonomy/taxondetails?taxnode_id=202317510","ictv.global=202317510")</f>
        <v>ictv.global=202317510</v>
      </c>
    </row>
    <row r="10450" spans="1:21">
      <c r="A10450">
        <v>10449</v>
      </c>
      <c r="B10450" s="30" t="s">
        <v>1226</v>
      </c>
      <c r="D10450" s="30" t="s">
        <v>2024</v>
      </c>
      <c r="F10450" s="30" t="s">
        <v>2046</v>
      </c>
      <c r="H10450" s="30" t="s">
        <v>2859</v>
      </c>
      <c r="J10450" s="30" t="s">
        <v>3390</v>
      </c>
      <c r="L10450" s="30" t="s">
        <v>3442</v>
      </c>
      <c r="N10450" s="30" t="s">
        <v>16929</v>
      </c>
      <c r="P10450" s="30" t="s">
        <v>16930</v>
      </c>
      <c r="Q10450" t="s">
        <v>621</v>
      </c>
      <c r="R10450" t="s">
        <v>917</v>
      </c>
      <c r="S10450">
        <v>39</v>
      </c>
      <c r="T10450" s="29" t="str">
        <f t="shared" si="435"/>
        <v>2023.001B.Leviviricetes_reorg.zip</v>
      </c>
      <c r="U10450" s="29" t="str">
        <f>HYPERLINK("https://ictv.global/taxonomy/taxondetails?taxnode_id=202317511","ictv.global=202317511")</f>
        <v>ictv.global=202317511</v>
      </c>
    </row>
    <row r="10451" spans="1:21">
      <c r="A10451">
        <v>10450</v>
      </c>
      <c r="B10451" s="30" t="s">
        <v>1226</v>
      </c>
      <c r="D10451" s="30" t="s">
        <v>2024</v>
      </c>
      <c r="F10451" s="30" t="s">
        <v>2046</v>
      </c>
      <c r="H10451" s="30" t="s">
        <v>2859</v>
      </c>
      <c r="J10451" s="30" t="s">
        <v>3390</v>
      </c>
      <c r="L10451" s="30" t="s">
        <v>3442</v>
      </c>
      <c r="N10451" s="30" t="s">
        <v>16931</v>
      </c>
      <c r="P10451" s="30" t="s">
        <v>16932</v>
      </c>
      <c r="Q10451" t="s">
        <v>621</v>
      </c>
      <c r="R10451" t="s">
        <v>917</v>
      </c>
      <c r="S10451">
        <v>39</v>
      </c>
      <c r="T10451" s="29" t="str">
        <f t="shared" si="435"/>
        <v>2023.001B.Leviviricetes_reorg.zip</v>
      </c>
      <c r="U10451" s="29" t="str">
        <f>HYPERLINK("https://ictv.global/taxonomy/taxondetails?taxnode_id=202317512","ictv.global=202317512")</f>
        <v>ictv.global=202317512</v>
      </c>
    </row>
    <row r="10452" spans="1:21">
      <c r="A10452">
        <v>10451</v>
      </c>
      <c r="B10452" s="30" t="s">
        <v>1226</v>
      </c>
      <c r="D10452" s="30" t="s">
        <v>2024</v>
      </c>
      <c r="F10452" s="30" t="s">
        <v>2046</v>
      </c>
      <c r="H10452" s="30" t="s">
        <v>2859</v>
      </c>
      <c r="J10452" s="30" t="s">
        <v>3390</v>
      </c>
      <c r="L10452" s="30" t="s">
        <v>3442</v>
      </c>
      <c r="N10452" s="30" t="s">
        <v>16931</v>
      </c>
      <c r="P10452" s="30" t="s">
        <v>16933</v>
      </c>
      <c r="Q10452" t="s">
        <v>621</v>
      </c>
      <c r="R10452" t="s">
        <v>917</v>
      </c>
      <c r="S10452">
        <v>39</v>
      </c>
      <c r="T10452" s="29" t="str">
        <f t="shared" si="435"/>
        <v>2023.001B.Leviviricetes_reorg.zip</v>
      </c>
      <c r="U10452" s="29" t="str">
        <f>HYPERLINK("https://ictv.global/taxonomy/taxondetails?taxnode_id=202317513","ictv.global=202317513")</f>
        <v>ictv.global=202317513</v>
      </c>
    </row>
    <row r="10453" spans="1:21">
      <c r="A10453">
        <v>10452</v>
      </c>
      <c r="B10453" s="30" t="s">
        <v>1226</v>
      </c>
      <c r="D10453" s="30" t="s">
        <v>2024</v>
      </c>
      <c r="F10453" s="30" t="s">
        <v>2046</v>
      </c>
      <c r="H10453" s="30" t="s">
        <v>2859</v>
      </c>
      <c r="J10453" s="30" t="s">
        <v>3390</v>
      </c>
      <c r="L10453" s="30" t="s">
        <v>3442</v>
      </c>
      <c r="N10453" s="30" t="s">
        <v>16931</v>
      </c>
      <c r="P10453" s="30" t="s">
        <v>16934</v>
      </c>
      <c r="Q10453" t="s">
        <v>621</v>
      </c>
      <c r="R10453" t="s">
        <v>918</v>
      </c>
      <c r="S10453">
        <v>39</v>
      </c>
      <c r="T10453" s="29" t="str">
        <f t="shared" si="435"/>
        <v>2023.001B.Leviviricetes_reorg.zip</v>
      </c>
      <c r="U10453" s="29" t="str">
        <f>HYPERLINK("https://ictv.global/taxonomy/taxondetails?taxnode_id=202311011","ictv.global=202311011")</f>
        <v>ictv.global=202311011</v>
      </c>
    </row>
    <row r="10454" spans="1:21">
      <c r="A10454">
        <v>10453</v>
      </c>
      <c r="B10454" s="30" t="s">
        <v>1226</v>
      </c>
      <c r="D10454" s="30" t="s">
        <v>2024</v>
      </c>
      <c r="F10454" s="30" t="s">
        <v>2046</v>
      </c>
      <c r="H10454" s="30" t="s">
        <v>2859</v>
      </c>
      <c r="J10454" s="30" t="s">
        <v>3390</v>
      </c>
      <c r="L10454" s="30" t="s">
        <v>3442</v>
      </c>
      <c r="N10454" s="30" t="s">
        <v>16931</v>
      </c>
      <c r="P10454" s="30" t="s">
        <v>16935</v>
      </c>
      <c r="Q10454" t="s">
        <v>621</v>
      </c>
      <c r="R10454" t="s">
        <v>918</v>
      </c>
      <c r="S10454">
        <v>39</v>
      </c>
      <c r="T10454" s="29" t="str">
        <f t="shared" si="435"/>
        <v>2023.001B.Leviviricetes_reorg.zip</v>
      </c>
      <c r="U10454" s="29" t="str">
        <f>HYPERLINK("https://ictv.global/taxonomy/taxondetails?taxnode_id=202311007","ictv.global=202311007")</f>
        <v>ictv.global=202311007</v>
      </c>
    </row>
    <row r="10455" spans="1:21">
      <c r="A10455">
        <v>10454</v>
      </c>
      <c r="B10455" s="30" t="s">
        <v>1226</v>
      </c>
      <c r="D10455" s="30" t="s">
        <v>2024</v>
      </c>
      <c r="F10455" s="30" t="s">
        <v>2046</v>
      </c>
      <c r="H10455" s="30" t="s">
        <v>2859</v>
      </c>
      <c r="J10455" s="30" t="s">
        <v>3390</v>
      </c>
      <c r="L10455" s="30" t="s">
        <v>3442</v>
      </c>
      <c r="N10455" s="30" t="s">
        <v>16931</v>
      </c>
      <c r="P10455" s="30" t="s">
        <v>16936</v>
      </c>
      <c r="Q10455" t="s">
        <v>621</v>
      </c>
      <c r="R10455" t="s">
        <v>918</v>
      </c>
      <c r="S10455">
        <v>39</v>
      </c>
      <c r="T10455" s="29" t="str">
        <f t="shared" si="435"/>
        <v>2023.001B.Leviviricetes_reorg.zip</v>
      </c>
      <c r="U10455" s="29" t="str">
        <f>HYPERLINK("https://ictv.global/taxonomy/taxondetails?taxnode_id=202311012","ictv.global=202311012")</f>
        <v>ictv.global=202311012</v>
      </c>
    </row>
    <row r="10456" spans="1:21">
      <c r="A10456">
        <v>10455</v>
      </c>
      <c r="B10456" s="30" t="s">
        <v>1226</v>
      </c>
      <c r="D10456" s="30" t="s">
        <v>2024</v>
      </c>
      <c r="F10456" s="30" t="s">
        <v>2046</v>
      </c>
      <c r="H10456" s="30" t="s">
        <v>2859</v>
      </c>
      <c r="J10456" s="30" t="s">
        <v>3390</v>
      </c>
      <c r="L10456" s="30" t="s">
        <v>3442</v>
      </c>
      <c r="N10456" s="30" t="s">
        <v>16931</v>
      </c>
      <c r="P10456" s="30" t="s">
        <v>16937</v>
      </c>
      <c r="Q10456" t="s">
        <v>621</v>
      </c>
      <c r="R10456" t="s">
        <v>918</v>
      </c>
      <c r="S10456">
        <v>39</v>
      </c>
      <c r="T10456" s="29" t="str">
        <f t="shared" si="435"/>
        <v>2023.001B.Leviviricetes_reorg.zip</v>
      </c>
      <c r="U10456" s="29" t="str">
        <f>HYPERLINK("https://ictv.global/taxonomy/taxondetails?taxnode_id=202311014","ictv.global=202311014")</f>
        <v>ictv.global=202311014</v>
      </c>
    </row>
    <row r="10457" spans="1:21">
      <c r="A10457">
        <v>10456</v>
      </c>
      <c r="B10457" s="30" t="s">
        <v>1226</v>
      </c>
      <c r="D10457" s="30" t="s">
        <v>2024</v>
      </c>
      <c r="F10457" s="30" t="s">
        <v>2046</v>
      </c>
      <c r="H10457" s="30" t="s">
        <v>2859</v>
      </c>
      <c r="J10457" s="30" t="s">
        <v>3390</v>
      </c>
      <c r="L10457" s="30" t="s">
        <v>3442</v>
      </c>
      <c r="N10457" s="30" t="s">
        <v>16931</v>
      </c>
      <c r="P10457" s="30" t="s">
        <v>16938</v>
      </c>
      <c r="Q10457" t="s">
        <v>621</v>
      </c>
      <c r="R10457" t="s">
        <v>917</v>
      </c>
      <c r="S10457">
        <v>39</v>
      </c>
      <c r="T10457" s="29" t="str">
        <f t="shared" si="435"/>
        <v>2023.001B.Leviviricetes_reorg.zip</v>
      </c>
      <c r="U10457" s="29" t="str">
        <f>HYPERLINK("https://ictv.global/taxonomy/taxondetails?taxnode_id=202317514","ictv.global=202317514")</f>
        <v>ictv.global=202317514</v>
      </c>
    </row>
    <row r="10458" spans="1:21">
      <c r="A10458">
        <v>10457</v>
      </c>
      <c r="B10458" s="30" t="s">
        <v>1226</v>
      </c>
      <c r="D10458" s="30" t="s">
        <v>2024</v>
      </c>
      <c r="F10458" s="30" t="s">
        <v>2046</v>
      </c>
      <c r="H10458" s="30" t="s">
        <v>2859</v>
      </c>
      <c r="J10458" s="30" t="s">
        <v>3390</v>
      </c>
      <c r="L10458" s="30" t="s">
        <v>3442</v>
      </c>
      <c r="N10458" s="30" t="s">
        <v>16931</v>
      </c>
      <c r="P10458" s="30" t="s">
        <v>16939</v>
      </c>
      <c r="Q10458" t="s">
        <v>621</v>
      </c>
      <c r="R10458" t="s">
        <v>918</v>
      </c>
      <c r="S10458">
        <v>39</v>
      </c>
      <c r="T10458" s="29" t="str">
        <f t="shared" si="435"/>
        <v>2023.001B.Leviviricetes_reorg.zip</v>
      </c>
      <c r="U10458" s="29" t="str">
        <f>HYPERLINK("https://ictv.global/taxonomy/taxondetails?taxnode_id=202311070","ictv.global=202311070")</f>
        <v>ictv.global=202311070</v>
      </c>
    </row>
    <row r="10459" spans="1:21">
      <c r="A10459">
        <v>10458</v>
      </c>
      <c r="B10459" s="30" t="s">
        <v>1226</v>
      </c>
      <c r="D10459" s="30" t="s">
        <v>2024</v>
      </c>
      <c r="F10459" s="30" t="s">
        <v>2046</v>
      </c>
      <c r="H10459" s="30" t="s">
        <v>2859</v>
      </c>
      <c r="J10459" s="30" t="s">
        <v>3390</v>
      </c>
      <c r="L10459" s="30" t="s">
        <v>3442</v>
      </c>
      <c r="N10459" s="30" t="s">
        <v>16931</v>
      </c>
      <c r="P10459" s="30" t="s">
        <v>16940</v>
      </c>
      <c r="Q10459" t="s">
        <v>621</v>
      </c>
      <c r="R10459" t="s">
        <v>918</v>
      </c>
      <c r="S10459">
        <v>39</v>
      </c>
      <c r="T10459" s="29" t="str">
        <f t="shared" si="435"/>
        <v>2023.001B.Leviviricetes_reorg.zip</v>
      </c>
      <c r="U10459" s="29" t="str">
        <f>HYPERLINK("https://ictv.global/taxonomy/taxondetails?taxnode_id=202311507","ictv.global=202311507")</f>
        <v>ictv.global=202311507</v>
      </c>
    </row>
    <row r="10460" spans="1:21">
      <c r="A10460">
        <v>10459</v>
      </c>
      <c r="B10460" s="30" t="s">
        <v>1226</v>
      </c>
      <c r="D10460" s="30" t="s">
        <v>2024</v>
      </c>
      <c r="F10460" s="30" t="s">
        <v>2046</v>
      </c>
      <c r="H10460" s="30" t="s">
        <v>2859</v>
      </c>
      <c r="J10460" s="30" t="s">
        <v>3390</v>
      </c>
      <c r="L10460" s="30" t="s">
        <v>3442</v>
      </c>
      <c r="N10460" s="30" t="s">
        <v>16931</v>
      </c>
      <c r="P10460" s="30" t="s">
        <v>16941</v>
      </c>
      <c r="Q10460" t="s">
        <v>621</v>
      </c>
      <c r="R10460" t="s">
        <v>918</v>
      </c>
      <c r="S10460">
        <v>39</v>
      </c>
      <c r="T10460" s="29" t="str">
        <f t="shared" si="435"/>
        <v>2023.001B.Leviviricetes_reorg.zip</v>
      </c>
      <c r="U10460" s="29" t="str">
        <f>HYPERLINK("https://ictv.global/taxonomy/taxondetails?taxnode_id=202311508","ictv.global=202311508")</f>
        <v>ictv.global=202311508</v>
      </c>
    </row>
    <row r="10461" spans="1:21">
      <c r="A10461">
        <v>10460</v>
      </c>
      <c r="B10461" s="30" t="s">
        <v>1226</v>
      </c>
      <c r="D10461" s="30" t="s">
        <v>2024</v>
      </c>
      <c r="F10461" s="30" t="s">
        <v>2046</v>
      </c>
      <c r="H10461" s="30" t="s">
        <v>2859</v>
      </c>
      <c r="J10461" s="30" t="s">
        <v>3390</v>
      </c>
      <c r="L10461" s="30" t="s">
        <v>3442</v>
      </c>
      <c r="N10461" s="30" t="s">
        <v>16931</v>
      </c>
      <c r="P10461" s="30" t="s">
        <v>16942</v>
      </c>
      <c r="Q10461" t="s">
        <v>621</v>
      </c>
      <c r="R10461" t="s">
        <v>917</v>
      </c>
      <c r="S10461">
        <v>39</v>
      </c>
      <c r="T10461" s="29" t="str">
        <f t="shared" si="435"/>
        <v>2023.001B.Leviviricetes_reorg.zip</v>
      </c>
      <c r="U10461" s="29" t="str">
        <f>HYPERLINK("https://ictv.global/taxonomy/taxondetails?taxnode_id=202317515","ictv.global=202317515")</f>
        <v>ictv.global=202317515</v>
      </c>
    </row>
    <row r="10462" spans="1:21">
      <c r="A10462">
        <v>10461</v>
      </c>
      <c r="B10462" s="30" t="s">
        <v>1226</v>
      </c>
      <c r="D10462" s="30" t="s">
        <v>2024</v>
      </c>
      <c r="F10462" s="30" t="s">
        <v>2046</v>
      </c>
      <c r="H10462" s="30" t="s">
        <v>2859</v>
      </c>
      <c r="J10462" s="30" t="s">
        <v>3390</v>
      </c>
      <c r="L10462" s="30" t="s">
        <v>3442</v>
      </c>
      <c r="N10462" s="30" t="s">
        <v>16931</v>
      </c>
      <c r="P10462" s="30" t="s">
        <v>16943</v>
      </c>
      <c r="Q10462" t="s">
        <v>621</v>
      </c>
      <c r="R10462" t="s">
        <v>918</v>
      </c>
      <c r="S10462">
        <v>39</v>
      </c>
      <c r="T10462" s="29" t="str">
        <f t="shared" si="435"/>
        <v>2023.001B.Leviviricetes_reorg.zip</v>
      </c>
      <c r="U10462" s="29" t="str">
        <f>HYPERLINK("https://ictv.global/taxonomy/taxondetails?taxnode_id=202311506","ictv.global=202311506")</f>
        <v>ictv.global=202311506</v>
      </c>
    </row>
    <row r="10463" spans="1:21">
      <c r="A10463">
        <v>10462</v>
      </c>
      <c r="B10463" s="30" t="s">
        <v>1226</v>
      </c>
      <c r="D10463" s="30" t="s">
        <v>2024</v>
      </c>
      <c r="F10463" s="30" t="s">
        <v>2046</v>
      </c>
      <c r="H10463" s="30" t="s">
        <v>2859</v>
      </c>
      <c r="J10463" s="30" t="s">
        <v>3390</v>
      </c>
      <c r="L10463" s="30" t="s">
        <v>3442</v>
      </c>
      <c r="N10463" s="30" t="s">
        <v>16931</v>
      </c>
      <c r="P10463" s="30" t="s">
        <v>16944</v>
      </c>
      <c r="Q10463" t="s">
        <v>621</v>
      </c>
      <c r="R10463" t="s">
        <v>918</v>
      </c>
      <c r="S10463">
        <v>39</v>
      </c>
      <c r="T10463" s="29" t="str">
        <f t="shared" si="435"/>
        <v>2023.001B.Leviviricetes_reorg.zip</v>
      </c>
      <c r="U10463" s="29" t="str">
        <f>HYPERLINK("https://ictv.global/taxonomy/taxondetails?taxnode_id=202311016","ictv.global=202311016")</f>
        <v>ictv.global=202311016</v>
      </c>
    </row>
    <row r="10464" spans="1:21">
      <c r="A10464">
        <v>10463</v>
      </c>
      <c r="B10464" s="30" t="s">
        <v>1226</v>
      </c>
      <c r="D10464" s="30" t="s">
        <v>2024</v>
      </c>
      <c r="F10464" s="30" t="s">
        <v>2046</v>
      </c>
      <c r="H10464" s="30" t="s">
        <v>2859</v>
      </c>
      <c r="J10464" s="30" t="s">
        <v>3390</v>
      </c>
      <c r="L10464" s="30" t="s">
        <v>3442</v>
      </c>
      <c r="N10464" s="30" t="s">
        <v>3555</v>
      </c>
      <c r="P10464" s="30" t="s">
        <v>3556</v>
      </c>
      <c r="Q10464" t="s">
        <v>621</v>
      </c>
      <c r="R10464" t="s">
        <v>917</v>
      </c>
      <c r="S10464">
        <v>36</v>
      </c>
      <c r="T10464" s="29" t="str">
        <f>HYPERLINK("https://ictv.global/ictv/proposals/2020.095B.R.Leviviricetes.zip","2020.095B.R.Leviviricetes.zip")</f>
        <v>2020.095B.R.Leviviricetes.zip</v>
      </c>
      <c r="U10464" s="29" t="str">
        <f>HYPERLINK("https://ictv.global/taxonomy/taxondetails?taxnode_id=202311319","ictv.global=202311319")</f>
        <v>ictv.global=202311319</v>
      </c>
    </row>
    <row r="10465" spans="1:21">
      <c r="A10465">
        <v>10464</v>
      </c>
      <c r="B10465" s="30" t="s">
        <v>1226</v>
      </c>
      <c r="D10465" s="30" t="s">
        <v>2024</v>
      </c>
      <c r="F10465" s="30" t="s">
        <v>2046</v>
      </c>
      <c r="H10465" s="30" t="s">
        <v>2859</v>
      </c>
      <c r="J10465" s="30" t="s">
        <v>3390</v>
      </c>
      <c r="L10465" s="30" t="s">
        <v>3442</v>
      </c>
      <c r="N10465" s="30" t="s">
        <v>3557</v>
      </c>
      <c r="P10465" s="30" t="s">
        <v>3558</v>
      </c>
      <c r="Q10465" t="s">
        <v>621</v>
      </c>
      <c r="R10465" t="s">
        <v>917</v>
      </c>
      <c r="S10465">
        <v>36</v>
      </c>
      <c r="T10465" s="29" t="str">
        <f>HYPERLINK("https://ictv.global/ictv/proposals/2020.095B.R.Leviviricetes.zip","2020.095B.R.Leviviricetes.zip")</f>
        <v>2020.095B.R.Leviviricetes.zip</v>
      </c>
      <c r="U10465" s="29" t="str">
        <f>HYPERLINK("https://ictv.global/taxonomy/taxondetails?taxnode_id=202311321","ictv.global=202311321")</f>
        <v>ictv.global=202311321</v>
      </c>
    </row>
    <row r="10466" spans="1:21">
      <c r="A10466">
        <v>10465</v>
      </c>
      <c r="B10466" s="30" t="s">
        <v>1226</v>
      </c>
      <c r="D10466" s="30" t="s">
        <v>2024</v>
      </c>
      <c r="F10466" s="30" t="s">
        <v>2046</v>
      </c>
      <c r="H10466" s="30" t="s">
        <v>2859</v>
      </c>
      <c r="J10466" s="30" t="s">
        <v>3390</v>
      </c>
      <c r="L10466" s="30" t="s">
        <v>3442</v>
      </c>
      <c r="N10466" s="30" t="s">
        <v>3557</v>
      </c>
      <c r="P10466" s="30" t="s">
        <v>3559</v>
      </c>
      <c r="Q10466" t="s">
        <v>621</v>
      </c>
      <c r="R10466" t="s">
        <v>917</v>
      </c>
      <c r="S10466">
        <v>36</v>
      </c>
      <c r="T10466" s="29" t="str">
        <f>HYPERLINK("https://ictv.global/ictv/proposals/2020.095B.R.Leviviricetes.zip","2020.095B.R.Leviviricetes.zip")</f>
        <v>2020.095B.R.Leviviricetes.zip</v>
      </c>
      <c r="U10466" s="29" t="str">
        <f>HYPERLINK("https://ictv.global/taxonomy/taxondetails?taxnode_id=202311322","ictv.global=202311322")</f>
        <v>ictv.global=202311322</v>
      </c>
    </row>
    <row r="10467" spans="1:21">
      <c r="A10467">
        <v>10466</v>
      </c>
      <c r="B10467" s="30" t="s">
        <v>1226</v>
      </c>
      <c r="D10467" s="30" t="s">
        <v>2024</v>
      </c>
      <c r="F10467" s="30" t="s">
        <v>2046</v>
      </c>
      <c r="H10467" s="30" t="s">
        <v>2859</v>
      </c>
      <c r="J10467" s="30" t="s">
        <v>3390</v>
      </c>
      <c r="L10467" s="30" t="s">
        <v>3442</v>
      </c>
      <c r="N10467" s="30" t="s">
        <v>16945</v>
      </c>
      <c r="P10467" s="30" t="s">
        <v>16946</v>
      </c>
      <c r="Q10467" t="s">
        <v>621</v>
      </c>
      <c r="R10467" t="s">
        <v>917</v>
      </c>
      <c r="S10467">
        <v>39</v>
      </c>
      <c r="T10467" s="29" t="str">
        <f t="shared" ref="T10467:T10488" si="436">HYPERLINK("https://ictv.global/ictv/proposals/2023.001B.Leviviricetes_reorg.zip","2023.001B.Leviviricetes_reorg.zip")</f>
        <v>2023.001B.Leviviricetes_reorg.zip</v>
      </c>
      <c r="U10467" s="29" t="str">
        <f>HYPERLINK("https://ictv.global/taxonomy/taxondetails?taxnode_id=202317516","ictv.global=202317516")</f>
        <v>ictv.global=202317516</v>
      </c>
    </row>
    <row r="10468" spans="1:21">
      <c r="A10468">
        <v>10467</v>
      </c>
      <c r="B10468" s="30" t="s">
        <v>1226</v>
      </c>
      <c r="D10468" s="30" t="s">
        <v>2024</v>
      </c>
      <c r="F10468" s="30" t="s">
        <v>2046</v>
      </c>
      <c r="H10468" s="30" t="s">
        <v>2859</v>
      </c>
      <c r="J10468" s="30" t="s">
        <v>3390</v>
      </c>
      <c r="L10468" s="30" t="s">
        <v>3442</v>
      </c>
      <c r="N10468" s="30" t="s">
        <v>16947</v>
      </c>
      <c r="P10468" s="30" t="s">
        <v>16948</v>
      </c>
      <c r="Q10468" t="s">
        <v>621</v>
      </c>
      <c r="R10468" t="s">
        <v>917</v>
      </c>
      <c r="S10468">
        <v>39</v>
      </c>
      <c r="T10468" s="29" t="str">
        <f t="shared" si="436"/>
        <v>2023.001B.Leviviricetes_reorg.zip</v>
      </c>
      <c r="U10468" s="29" t="str">
        <f>HYPERLINK("https://ictv.global/taxonomy/taxondetails?taxnode_id=202317517","ictv.global=202317517")</f>
        <v>ictv.global=202317517</v>
      </c>
    </row>
    <row r="10469" spans="1:21">
      <c r="A10469">
        <v>10468</v>
      </c>
      <c r="B10469" s="30" t="s">
        <v>1226</v>
      </c>
      <c r="D10469" s="30" t="s">
        <v>2024</v>
      </c>
      <c r="F10469" s="30" t="s">
        <v>2046</v>
      </c>
      <c r="H10469" s="30" t="s">
        <v>2859</v>
      </c>
      <c r="J10469" s="30" t="s">
        <v>3390</v>
      </c>
      <c r="L10469" s="30" t="s">
        <v>3442</v>
      </c>
      <c r="N10469" s="30" t="s">
        <v>16947</v>
      </c>
      <c r="P10469" s="30" t="s">
        <v>16949</v>
      </c>
      <c r="Q10469" t="s">
        <v>621</v>
      </c>
      <c r="R10469" t="s">
        <v>917</v>
      </c>
      <c r="S10469">
        <v>39</v>
      </c>
      <c r="T10469" s="29" t="str">
        <f t="shared" si="436"/>
        <v>2023.001B.Leviviricetes_reorg.zip</v>
      </c>
      <c r="U10469" s="29" t="str">
        <f>HYPERLINK("https://ictv.global/taxonomy/taxondetails?taxnode_id=202317518","ictv.global=202317518")</f>
        <v>ictv.global=202317518</v>
      </c>
    </row>
    <row r="10470" spans="1:21">
      <c r="A10470">
        <v>10469</v>
      </c>
      <c r="B10470" s="30" t="s">
        <v>1226</v>
      </c>
      <c r="D10470" s="30" t="s">
        <v>2024</v>
      </c>
      <c r="F10470" s="30" t="s">
        <v>2046</v>
      </c>
      <c r="H10470" s="30" t="s">
        <v>2859</v>
      </c>
      <c r="J10470" s="30" t="s">
        <v>3390</v>
      </c>
      <c r="L10470" s="30" t="s">
        <v>3442</v>
      </c>
      <c r="N10470" s="30" t="s">
        <v>16950</v>
      </c>
      <c r="P10470" s="30" t="s">
        <v>16951</v>
      </c>
      <c r="Q10470" t="s">
        <v>621</v>
      </c>
      <c r="R10470" t="s">
        <v>917</v>
      </c>
      <c r="S10470">
        <v>39</v>
      </c>
      <c r="T10470" s="29" t="str">
        <f t="shared" si="436"/>
        <v>2023.001B.Leviviricetes_reorg.zip</v>
      </c>
      <c r="U10470" s="29" t="str">
        <f>HYPERLINK("https://ictv.global/taxonomy/taxondetails?taxnode_id=202317519","ictv.global=202317519")</f>
        <v>ictv.global=202317519</v>
      </c>
    </row>
    <row r="10471" spans="1:21">
      <c r="A10471">
        <v>10470</v>
      </c>
      <c r="B10471" s="30" t="s">
        <v>1226</v>
      </c>
      <c r="D10471" s="30" t="s">
        <v>2024</v>
      </c>
      <c r="F10471" s="30" t="s">
        <v>2046</v>
      </c>
      <c r="H10471" s="30" t="s">
        <v>2859</v>
      </c>
      <c r="J10471" s="30" t="s">
        <v>3390</v>
      </c>
      <c r="L10471" s="30" t="s">
        <v>3442</v>
      </c>
      <c r="N10471" s="30" t="s">
        <v>16952</v>
      </c>
      <c r="P10471" s="30" t="s">
        <v>16953</v>
      </c>
      <c r="Q10471" t="s">
        <v>621</v>
      </c>
      <c r="R10471" t="s">
        <v>917</v>
      </c>
      <c r="S10471">
        <v>39</v>
      </c>
      <c r="T10471" s="29" t="str">
        <f t="shared" si="436"/>
        <v>2023.001B.Leviviricetes_reorg.zip</v>
      </c>
      <c r="U10471" s="29" t="str">
        <f>HYPERLINK("https://ictv.global/taxonomy/taxondetails?taxnode_id=202317520","ictv.global=202317520")</f>
        <v>ictv.global=202317520</v>
      </c>
    </row>
    <row r="10472" spans="1:21">
      <c r="A10472">
        <v>10471</v>
      </c>
      <c r="B10472" s="30" t="s">
        <v>1226</v>
      </c>
      <c r="D10472" s="30" t="s">
        <v>2024</v>
      </c>
      <c r="F10472" s="30" t="s">
        <v>2046</v>
      </c>
      <c r="H10472" s="30" t="s">
        <v>2859</v>
      </c>
      <c r="J10472" s="30" t="s">
        <v>3390</v>
      </c>
      <c r="L10472" s="30" t="s">
        <v>3442</v>
      </c>
      <c r="N10472" s="30" t="s">
        <v>16952</v>
      </c>
      <c r="P10472" s="30" t="s">
        <v>16954</v>
      </c>
      <c r="Q10472" t="s">
        <v>621</v>
      </c>
      <c r="R10472" t="s">
        <v>917</v>
      </c>
      <c r="S10472">
        <v>39</v>
      </c>
      <c r="T10472" s="29" t="str">
        <f t="shared" si="436"/>
        <v>2023.001B.Leviviricetes_reorg.zip</v>
      </c>
      <c r="U10472" s="29" t="str">
        <f>HYPERLINK("https://ictv.global/taxonomy/taxondetails?taxnode_id=202317521","ictv.global=202317521")</f>
        <v>ictv.global=202317521</v>
      </c>
    </row>
    <row r="10473" spans="1:21">
      <c r="A10473">
        <v>10472</v>
      </c>
      <c r="B10473" s="30" t="s">
        <v>1226</v>
      </c>
      <c r="D10473" s="30" t="s">
        <v>2024</v>
      </c>
      <c r="F10473" s="30" t="s">
        <v>2046</v>
      </c>
      <c r="H10473" s="30" t="s">
        <v>2859</v>
      </c>
      <c r="J10473" s="30" t="s">
        <v>3390</v>
      </c>
      <c r="L10473" s="30" t="s">
        <v>3442</v>
      </c>
      <c r="N10473" s="30" t="s">
        <v>16955</v>
      </c>
      <c r="P10473" s="30" t="s">
        <v>16956</v>
      </c>
      <c r="Q10473" t="s">
        <v>621</v>
      </c>
      <c r="R10473" t="s">
        <v>917</v>
      </c>
      <c r="S10473">
        <v>39</v>
      </c>
      <c r="T10473" s="29" t="str">
        <f t="shared" si="436"/>
        <v>2023.001B.Leviviricetes_reorg.zip</v>
      </c>
      <c r="U10473" s="29" t="str">
        <f>HYPERLINK("https://ictv.global/taxonomy/taxondetails?taxnode_id=202317522","ictv.global=202317522")</f>
        <v>ictv.global=202317522</v>
      </c>
    </row>
    <row r="10474" spans="1:21">
      <c r="A10474">
        <v>10473</v>
      </c>
      <c r="B10474" s="30" t="s">
        <v>1226</v>
      </c>
      <c r="D10474" s="30" t="s">
        <v>2024</v>
      </c>
      <c r="F10474" s="30" t="s">
        <v>2046</v>
      </c>
      <c r="H10474" s="30" t="s">
        <v>2859</v>
      </c>
      <c r="J10474" s="30" t="s">
        <v>3390</v>
      </c>
      <c r="L10474" s="30" t="s">
        <v>3442</v>
      </c>
      <c r="N10474" s="30" t="s">
        <v>16955</v>
      </c>
      <c r="P10474" s="30" t="s">
        <v>16957</v>
      </c>
      <c r="Q10474" t="s">
        <v>621</v>
      </c>
      <c r="R10474" t="s">
        <v>917</v>
      </c>
      <c r="S10474">
        <v>39</v>
      </c>
      <c r="T10474" s="29" t="str">
        <f t="shared" si="436"/>
        <v>2023.001B.Leviviricetes_reorg.zip</v>
      </c>
      <c r="U10474" s="29" t="str">
        <f>HYPERLINK("https://ictv.global/taxonomy/taxondetails?taxnode_id=202317523","ictv.global=202317523")</f>
        <v>ictv.global=202317523</v>
      </c>
    </row>
    <row r="10475" spans="1:21">
      <c r="A10475">
        <v>10474</v>
      </c>
      <c r="B10475" s="30" t="s">
        <v>1226</v>
      </c>
      <c r="D10475" s="30" t="s">
        <v>2024</v>
      </c>
      <c r="F10475" s="30" t="s">
        <v>2046</v>
      </c>
      <c r="H10475" s="30" t="s">
        <v>2859</v>
      </c>
      <c r="J10475" s="30" t="s">
        <v>3390</v>
      </c>
      <c r="L10475" s="30" t="s">
        <v>3442</v>
      </c>
      <c r="N10475" s="30" t="s">
        <v>16955</v>
      </c>
      <c r="P10475" s="30" t="s">
        <v>16958</v>
      </c>
      <c r="Q10475" t="s">
        <v>621</v>
      </c>
      <c r="R10475" t="s">
        <v>917</v>
      </c>
      <c r="S10475">
        <v>39</v>
      </c>
      <c r="T10475" s="29" t="str">
        <f t="shared" si="436"/>
        <v>2023.001B.Leviviricetes_reorg.zip</v>
      </c>
      <c r="U10475" s="29" t="str">
        <f>HYPERLINK("https://ictv.global/taxonomy/taxondetails?taxnode_id=202317524","ictv.global=202317524")</f>
        <v>ictv.global=202317524</v>
      </c>
    </row>
    <row r="10476" spans="1:21">
      <c r="A10476">
        <v>10475</v>
      </c>
      <c r="B10476" s="30" t="s">
        <v>1226</v>
      </c>
      <c r="D10476" s="30" t="s">
        <v>2024</v>
      </c>
      <c r="F10476" s="30" t="s">
        <v>2046</v>
      </c>
      <c r="H10476" s="30" t="s">
        <v>2859</v>
      </c>
      <c r="J10476" s="30" t="s">
        <v>3390</v>
      </c>
      <c r="L10476" s="30" t="s">
        <v>3442</v>
      </c>
      <c r="N10476" s="30" t="s">
        <v>16955</v>
      </c>
      <c r="P10476" s="30" t="s">
        <v>16959</v>
      </c>
      <c r="Q10476" t="s">
        <v>621</v>
      </c>
      <c r="R10476" t="s">
        <v>917</v>
      </c>
      <c r="S10476">
        <v>39</v>
      </c>
      <c r="T10476" s="29" t="str">
        <f t="shared" si="436"/>
        <v>2023.001B.Leviviricetes_reorg.zip</v>
      </c>
      <c r="U10476" s="29" t="str">
        <f>HYPERLINK("https://ictv.global/taxonomy/taxondetails?taxnode_id=202317525","ictv.global=202317525")</f>
        <v>ictv.global=202317525</v>
      </c>
    </row>
    <row r="10477" spans="1:21">
      <c r="A10477">
        <v>10476</v>
      </c>
      <c r="B10477" s="30" t="s">
        <v>1226</v>
      </c>
      <c r="D10477" s="30" t="s">
        <v>2024</v>
      </c>
      <c r="F10477" s="30" t="s">
        <v>2046</v>
      </c>
      <c r="H10477" s="30" t="s">
        <v>2859</v>
      </c>
      <c r="J10477" s="30" t="s">
        <v>3390</v>
      </c>
      <c r="L10477" s="30" t="s">
        <v>3442</v>
      </c>
      <c r="N10477" s="30" t="s">
        <v>16955</v>
      </c>
      <c r="P10477" s="30" t="s">
        <v>16960</v>
      </c>
      <c r="Q10477" t="s">
        <v>621</v>
      </c>
      <c r="R10477" t="s">
        <v>917</v>
      </c>
      <c r="S10477">
        <v>39</v>
      </c>
      <c r="T10477" s="29" t="str">
        <f t="shared" si="436"/>
        <v>2023.001B.Leviviricetes_reorg.zip</v>
      </c>
      <c r="U10477" s="29" t="str">
        <f>HYPERLINK("https://ictv.global/taxonomy/taxondetails?taxnode_id=202317526","ictv.global=202317526")</f>
        <v>ictv.global=202317526</v>
      </c>
    </row>
    <row r="10478" spans="1:21">
      <c r="A10478">
        <v>10477</v>
      </c>
      <c r="B10478" s="30" t="s">
        <v>1226</v>
      </c>
      <c r="D10478" s="30" t="s">
        <v>2024</v>
      </c>
      <c r="F10478" s="30" t="s">
        <v>2046</v>
      </c>
      <c r="H10478" s="30" t="s">
        <v>2859</v>
      </c>
      <c r="J10478" s="30" t="s">
        <v>3390</v>
      </c>
      <c r="L10478" s="30" t="s">
        <v>3442</v>
      </c>
      <c r="N10478" s="30" t="s">
        <v>16955</v>
      </c>
      <c r="P10478" s="30" t="s">
        <v>16961</v>
      </c>
      <c r="Q10478" t="s">
        <v>621</v>
      </c>
      <c r="R10478" t="s">
        <v>917</v>
      </c>
      <c r="S10478">
        <v>39</v>
      </c>
      <c r="T10478" s="29" t="str">
        <f t="shared" si="436"/>
        <v>2023.001B.Leviviricetes_reorg.zip</v>
      </c>
      <c r="U10478" s="29" t="str">
        <f>HYPERLINK("https://ictv.global/taxonomy/taxondetails?taxnode_id=202317527","ictv.global=202317527")</f>
        <v>ictv.global=202317527</v>
      </c>
    </row>
    <row r="10479" spans="1:21">
      <c r="A10479">
        <v>10478</v>
      </c>
      <c r="B10479" s="30" t="s">
        <v>1226</v>
      </c>
      <c r="D10479" s="30" t="s">
        <v>2024</v>
      </c>
      <c r="F10479" s="30" t="s">
        <v>2046</v>
      </c>
      <c r="H10479" s="30" t="s">
        <v>2859</v>
      </c>
      <c r="J10479" s="30" t="s">
        <v>3390</v>
      </c>
      <c r="L10479" s="30" t="s">
        <v>3442</v>
      </c>
      <c r="N10479" s="30" t="s">
        <v>16955</v>
      </c>
      <c r="P10479" s="30" t="s">
        <v>16962</v>
      </c>
      <c r="Q10479" t="s">
        <v>621</v>
      </c>
      <c r="R10479" t="s">
        <v>917</v>
      </c>
      <c r="S10479">
        <v>39</v>
      </c>
      <c r="T10479" s="29" t="str">
        <f t="shared" si="436"/>
        <v>2023.001B.Leviviricetes_reorg.zip</v>
      </c>
      <c r="U10479" s="29" t="str">
        <f>HYPERLINK("https://ictv.global/taxonomy/taxondetails?taxnode_id=202317528","ictv.global=202317528")</f>
        <v>ictv.global=202317528</v>
      </c>
    </row>
    <row r="10480" spans="1:21">
      <c r="A10480">
        <v>10479</v>
      </c>
      <c r="B10480" s="30" t="s">
        <v>1226</v>
      </c>
      <c r="D10480" s="30" t="s">
        <v>2024</v>
      </c>
      <c r="F10480" s="30" t="s">
        <v>2046</v>
      </c>
      <c r="H10480" s="30" t="s">
        <v>2859</v>
      </c>
      <c r="J10480" s="30" t="s">
        <v>3390</v>
      </c>
      <c r="L10480" s="30" t="s">
        <v>3442</v>
      </c>
      <c r="N10480" s="30" t="s">
        <v>16955</v>
      </c>
      <c r="P10480" s="30" t="s">
        <v>16963</v>
      </c>
      <c r="Q10480" t="s">
        <v>621</v>
      </c>
      <c r="R10480" t="s">
        <v>917</v>
      </c>
      <c r="S10480">
        <v>39</v>
      </c>
      <c r="T10480" s="29" t="str">
        <f t="shared" si="436"/>
        <v>2023.001B.Leviviricetes_reorg.zip</v>
      </c>
      <c r="U10480" s="29" t="str">
        <f>HYPERLINK("https://ictv.global/taxonomy/taxondetails?taxnode_id=202317529","ictv.global=202317529")</f>
        <v>ictv.global=202317529</v>
      </c>
    </row>
    <row r="10481" spans="1:21">
      <c r="A10481">
        <v>10480</v>
      </c>
      <c r="B10481" s="30" t="s">
        <v>1226</v>
      </c>
      <c r="D10481" s="30" t="s">
        <v>2024</v>
      </c>
      <c r="F10481" s="30" t="s">
        <v>2046</v>
      </c>
      <c r="H10481" s="30" t="s">
        <v>2859</v>
      </c>
      <c r="J10481" s="30" t="s">
        <v>3390</v>
      </c>
      <c r="L10481" s="30" t="s">
        <v>3442</v>
      </c>
      <c r="N10481" s="30" t="s">
        <v>16955</v>
      </c>
      <c r="P10481" s="30" t="s">
        <v>16964</v>
      </c>
      <c r="Q10481" t="s">
        <v>621</v>
      </c>
      <c r="R10481" t="s">
        <v>917</v>
      </c>
      <c r="S10481">
        <v>39</v>
      </c>
      <c r="T10481" s="29" t="str">
        <f t="shared" si="436"/>
        <v>2023.001B.Leviviricetes_reorg.zip</v>
      </c>
      <c r="U10481" s="29" t="str">
        <f>HYPERLINK("https://ictv.global/taxonomy/taxondetails?taxnode_id=202317530","ictv.global=202317530")</f>
        <v>ictv.global=202317530</v>
      </c>
    </row>
    <row r="10482" spans="1:21">
      <c r="A10482">
        <v>10481</v>
      </c>
      <c r="B10482" s="30" t="s">
        <v>1226</v>
      </c>
      <c r="D10482" s="30" t="s">
        <v>2024</v>
      </c>
      <c r="F10482" s="30" t="s">
        <v>2046</v>
      </c>
      <c r="H10482" s="30" t="s">
        <v>2859</v>
      </c>
      <c r="J10482" s="30" t="s">
        <v>3390</v>
      </c>
      <c r="L10482" s="30" t="s">
        <v>3442</v>
      </c>
      <c r="N10482" s="30" t="s">
        <v>16955</v>
      </c>
      <c r="P10482" s="30" t="s">
        <v>16965</v>
      </c>
      <c r="Q10482" t="s">
        <v>621</v>
      </c>
      <c r="R10482" t="s">
        <v>917</v>
      </c>
      <c r="S10482">
        <v>39</v>
      </c>
      <c r="T10482" s="29" t="str">
        <f t="shared" si="436"/>
        <v>2023.001B.Leviviricetes_reorg.zip</v>
      </c>
      <c r="U10482" s="29" t="str">
        <f>HYPERLINK("https://ictv.global/taxonomy/taxondetails?taxnode_id=202317531","ictv.global=202317531")</f>
        <v>ictv.global=202317531</v>
      </c>
    </row>
    <row r="10483" spans="1:21">
      <c r="A10483">
        <v>10482</v>
      </c>
      <c r="B10483" s="30" t="s">
        <v>1226</v>
      </c>
      <c r="D10483" s="30" t="s">
        <v>2024</v>
      </c>
      <c r="F10483" s="30" t="s">
        <v>2046</v>
      </c>
      <c r="H10483" s="30" t="s">
        <v>2859</v>
      </c>
      <c r="J10483" s="30" t="s">
        <v>3390</v>
      </c>
      <c r="L10483" s="30" t="s">
        <v>3442</v>
      </c>
      <c r="N10483" s="30" t="s">
        <v>16955</v>
      </c>
      <c r="P10483" s="30" t="s">
        <v>16966</v>
      </c>
      <c r="Q10483" t="s">
        <v>621</v>
      </c>
      <c r="R10483" t="s">
        <v>917</v>
      </c>
      <c r="S10483">
        <v>39</v>
      </c>
      <c r="T10483" s="29" t="str">
        <f t="shared" si="436"/>
        <v>2023.001B.Leviviricetes_reorg.zip</v>
      </c>
      <c r="U10483" s="29" t="str">
        <f>HYPERLINK("https://ictv.global/taxonomy/taxondetails?taxnode_id=202317532","ictv.global=202317532")</f>
        <v>ictv.global=202317532</v>
      </c>
    </row>
    <row r="10484" spans="1:21">
      <c r="A10484">
        <v>10483</v>
      </c>
      <c r="B10484" s="30" t="s">
        <v>1226</v>
      </c>
      <c r="D10484" s="30" t="s">
        <v>2024</v>
      </c>
      <c r="F10484" s="30" t="s">
        <v>2046</v>
      </c>
      <c r="H10484" s="30" t="s">
        <v>2859</v>
      </c>
      <c r="J10484" s="30" t="s">
        <v>3390</v>
      </c>
      <c r="L10484" s="30" t="s">
        <v>3442</v>
      </c>
      <c r="N10484" s="30" t="s">
        <v>16955</v>
      </c>
      <c r="P10484" s="30" t="s">
        <v>16967</v>
      </c>
      <c r="Q10484" t="s">
        <v>621</v>
      </c>
      <c r="R10484" t="s">
        <v>917</v>
      </c>
      <c r="S10484">
        <v>39</v>
      </c>
      <c r="T10484" s="29" t="str">
        <f t="shared" si="436"/>
        <v>2023.001B.Leviviricetes_reorg.zip</v>
      </c>
      <c r="U10484" s="29" t="str">
        <f>HYPERLINK("https://ictv.global/taxonomy/taxondetails?taxnode_id=202317533","ictv.global=202317533")</f>
        <v>ictv.global=202317533</v>
      </c>
    </row>
    <row r="10485" spans="1:21">
      <c r="A10485">
        <v>10484</v>
      </c>
      <c r="B10485" s="30" t="s">
        <v>1226</v>
      </c>
      <c r="D10485" s="30" t="s">
        <v>2024</v>
      </c>
      <c r="F10485" s="30" t="s">
        <v>2046</v>
      </c>
      <c r="H10485" s="30" t="s">
        <v>2859</v>
      </c>
      <c r="J10485" s="30" t="s">
        <v>3390</v>
      </c>
      <c r="L10485" s="30" t="s">
        <v>3442</v>
      </c>
      <c r="N10485" s="30" t="s">
        <v>16955</v>
      </c>
      <c r="P10485" s="30" t="s">
        <v>16968</v>
      </c>
      <c r="Q10485" t="s">
        <v>621</v>
      </c>
      <c r="R10485" t="s">
        <v>917</v>
      </c>
      <c r="S10485">
        <v>39</v>
      </c>
      <c r="T10485" s="29" t="str">
        <f t="shared" si="436"/>
        <v>2023.001B.Leviviricetes_reorg.zip</v>
      </c>
      <c r="U10485" s="29" t="str">
        <f>HYPERLINK("https://ictv.global/taxonomy/taxondetails?taxnode_id=202317534","ictv.global=202317534")</f>
        <v>ictv.global=202317534</v>
      </c>
    </row>
    <row r="10486" spans="1:21">
      <c r="A10486">
        <v>10485</v>
      </c>
      <c r="B10486" s="30" t="s">
        <v>1226</v>
      </c>
      <c r="D10486" s="30" t="s">
        <v>2024</v>
      </c>
      <c r="F10486" s="30" t="s">
        <v>2046</v>
      </c>
      <c r="H10486" s="30" t="s">
        <v>2859</v>
      </c>
      <c r="J10486" s="30" t="s">
        <v>3390</v>
      </c>
      <c r="L10486" s="30" t="s">
        <v>3442</v>
      </c>
      <c r="N10486" s="30" t="s">
        <v>16955</v>
      </c>
      <c r="P10486" s="30" t="s">
        <v>16969</v>
      </c>
      <c r="Q10486" t="s">
        <v>621</v>
      </c>
      <c r="R10486" t="s">
        <v>917</v>
      </c>
      <c r="S10486">
        <v>39</v>
      </c>
      <c r="T10486" s="29" t="str">
        <f t="shared" si="436"/>
        <v>2023.001B.Leviviricetes_reorg.zip</v>
      </c>
      <c r="U10486" s="29" t="str">
        <f>HYPERLINK("https://ictv.global/taxonomy/taxondetails?taxnode_id=202317535","ictv.global=202317535")</f>
        <v>ictv.global=202317535</v>
      </c>
    </row>
    <row r="10487" spans="1:21">
      <c r="A10487">
        <v>10486</v>
      </c>
      <c r="B10487" s="30" t="s">
        <v>1226</v>
      </c>
      <c r="D10487" s="30" t="s">
        <v>2024</v>
      </c>
      <c r="F10487" s="30" t="s">
        <v>2046</v>
      </c>
      <c r="H10487" s="30" t="s">
        <v>2859</v>
      </c>
      <c r="J10487" s="30" t="s">
        <v>3390</v>
      </c>
      <c r="L10487" s="30" t="s">
        <v>3442</v>
      </c>
      <c r="N10487" s="30" t="s">
        <v>16955</v>
      </c>
      <c r="P10487" s="30" t="s">
        <v>16970</v>
      </c>
      <c r="Q10487" t="s">
        <v>621</v>
      </c>
      <c r="R10487" t="s">
        <v>917</v>
      </c>
      <c r="S10487">
        <v>39</v>
      </c>
      <c r="T10487" s="29" t="str">
        <f t="shared" si="436"/>
        <v>2023.001B.Leviviricetes_reorg.zip</v>
      </c>
      <c r="U10487" s="29" t="str">
        <f>HYPERLINK("https://ictv.global/taxonomy/taxondetails?taxnode_id=202317536","ictv.global=202317536")</f>
        <v>ictv.global=202317536</v>
      </c>
    </row>
    <row r="10488" spans="1:21">
      <c r="A10488">
        <v>10487</v>
      </c>
      <c r="B10488" s="30" t="s">
        <v>1226</v>
      </c>
      <c r="D10488" s="30" t="s">
        <v>2024</v>
      </c>
      <c r="F10488" s="30" t="s">
        <v>2046</v>
      </c>
      <c r="H10488" s="30" t="s">
        <v>2859</v>
      </c>
      <c r="J10488" s="30" t="s">
        <v>3390</v>
      </c>
      <c r="L10488" s="30" t="s">
        <v>3442</v>
      </c>
      <c r="N10488" s="30" t="s">
        <v>16971</v>
      </c>
      <c r="P10488" s="30" t="s">
        <v>16972</v>
      </c>
      <c r="Q10488" t="s">
        <v>621</v>
      </c>
      <c r="R10488" t="s">
        <v>917</v>
      </c>
      <c r="S10488">
        <v>39</v>
      </c>
      <c r="T10488" s="29" t="str">
        <f t="shared" si="436"/>
        <v>2023.001B.Leviviricetes_reorg.zip</v>
      </c>
      <c r="U10488" s="29" t="str">
        <f>HYPERLINK("https://ictv.global/taxonomy/taxondetails?taxnode_id=202317537","ictv.global=202317537")</f>
        <v>ictv.global=202317537</v>
      </c>
    </row>
    <row r="10489" spans="1:21">
      <c r="A10489">
        <v>10488</v>
      </c>
      <c r="B10489" s="30" t="s">
        <v>1226</v>
      </c>
      <c r="D10489" s="30" t="s">
        <v>2024</v>
      </c>
      <c r="F10489" s="30" t="s">
        <v>2046</v>
      </c>
      <c r="H10489" s="30" t="s">
        <v>2859</v>
      </c>
      <c r="J10489" s="30" t="s">
        <v>3390</v>
      </c>
      <c r="L10489" s="30" t="s">
        <v>3442</v>
      </c>
      <c r="N10489" s="30" t="s">
        <v>3560</v>
      </c>
      <c r="P10489" s="30" t="s">
        <v>3561</v>
      </c>
      <c r="Q10489" t="s">
        <v>621</v>
      </c>
      <c r="R10489" t="s">
        <v>917</v>
      </c>
      <c r="S10489">
        <v>36</v>
      </c>
      <c r="T10489" s="29" t="str">
        <f>HYPERLINK("https://ictv.global/ictv/proposals/2020.095B.R.Leviviricetes.zip","2020.095B.R.Leviviricetes.zip")</f>
        <v>2020.095B.R.Leviviricetes.zip</v>
      </c>
      <c r="U10489" s="29" t="str">
        <f>HYPERLINK("https://ictv.global/taxonomy/taxondetails?taxnode_id=202311324","ictv.global=202311324")</f>
        <v>ictv.global=202311324</v>
      </c>
    </row>
    <row r="10490" spans="1:21">
      <c r="A10490">
        <v>10489</v>
      </c>
      <c r="B10490" s="30" t="s">
        <v>1226</v>
      </c>
      <c r="D10490" s="30" t="s">
        <v>2024</v>
      </c>
      <c r="F10490" s="30" t="s">
        <v>2046</v>
      </c>
      <c r="H10490" s="30" t="s">
        <v>2859</v>
      </c>
      <c r="J10490" s="30" t="s">
        <v>3390</v>
      </c>
      <c r="L10490" s="30" t="s">
        <v>3442</v>
      </c>
      <c r="N10490" s="30" t="s">
        <v>3562</v>
      </c>
      <c r="P10490" s="30" t="s">
        <v>16973</v>
      </c>
      <c r="Q10490" t="s">
        <v>621</v>
      </c>
      <c r="R10490" t="s">
        <v>917</v>
      </c>
      <c r="S10490">
        <v>39</v>
      </c>
      <c r="T10490" s="29" t="str">
        <f>HYPERLINK("https://ictv.global/ictv/proposals/2023.001B.Leviviricetes_reorg.zip","2023.001B.Leviviricetes_reorg.zip")</f>
        <v>2023.001B.Leviviricetes_reorg.zip</v>
      </c>
      <c r="U10490" s="29" t="str">
        <f>HYPERLINK("https://ictv.global/taxonomy/taxondetails?taxnode_id=202317538","ictv.global=202317538")</f>
        <v>ictv.global=202317538</v>
      </c>
    </row>
    <row r="10491" spans="1:21">
      <c r="A10491">
        <v>10490</v>
      </c>
      <c r="B10491" s="30" t="s">
        <v>1226</v>
      </c>
      <c r="D10491" s="30" t="s">
        <v>2024</v>
      </c>
      <c r="F10491" s="30" t="s">
        <v>2046</v>
      </c>
      <c r="H10491" s="30" t="s">
        <v>2859</v>
      </c>
      <c r="J10491" s="30" t="s">
        <v>3390</v>
      </c>
      <c r="L10491" s="30" t="s">
        <v>3442</v>
      </c>
      <c r="N10491" s="30" t="s">
        <v>3562</v>
      </c>
      <c r="P10491" s="30" t="s">
        <v>3563</v>
      </c>
      <c r="Q10491" t="s">
        <v>621</v>
      </c>
      <c r="R10491" t="s">
        <v>917</v>
      </c>
      <c r="S10491">
        <v>36</v>
      </c>
      <c r="T10491" s="29" t="str">
        <f>HYPERLINK("https://ictv.global/ictv/proposals/2020.095B.R.Leviviricetes.zip","2020.095B.R.Leviviricetes.zip")</f>
        <v>2020.095B.R.Leviviricetes.zip</v>
      </c>
      <c r="U10491" s="29" t="str">
        <f>HYPERLINK("https://ictv.global/taxonomy/taxondetails?taxnode_id=202311326","ictv.global=202311326")</f>
        <v>ictv.global=202311326</v>
      </c>
    </row>
    <row r="10492" spans="1:21">
      <c r="A10492">
        <v>10491</v>
      </c>
      <c r="B10492" s="30" t="s">
        <v>1226</v>
      </c>
      <c r="D10492" s="30" t="s">
        <v>2024</v>
      </c>
      <c r="F10492" s="30" t="s">
        <v>2046</v>
      </c>
      <c r="H10492" s="30" t="s">
        <v>2859</v>
      </c>
      <c r="J10492" s="30" t="s">
        <v>3390</v>
      </c>
      <c r="L10492" s="30" t="s">
        <v>3442</v>
      </c>
      <c r="N10492" s="30" t="s">
        <v>3562</v>
      </c>
      <c r="P10492" s="30" t="s">
        <v>3564</v>
      </c>
      <c r="Q10492" t="s">
        <v>621</v>
      </c>
      <c r="R10492" t="s">
        <v>917</v>
      </c>
      <c r="S10492">
        <v>36</v>
      </c>
      <c r="T10492" s="29" t="str">
        <f>HYPERLINK("https://ictv.global/ictv/proposals/2020.095B.R.Leviviricetes.zip","2020.095B.R.Leviviricetes.zip")</f>
        <v>2020.095B.R.Leviviricetes.zip</v>
      </c>
      <c r="U10492" s="29" t="str">
        <f>HYPERLINK("https://ictv.global/taxonomy/taxondetails?taxnode_id=202311328","ictv.global=202311328")</f>
        <v>ictv.global=202311328</v>
      </c>
    </row>
    <row r="10493" spans="1:21">
      <c r="A10493">
        <v>10492</v>
      </c>
      <c r="B10493" s="30" t="s">
        <v>1226</v>
      </c>
      <c r="D10493" s="30" t="s">
        <v>2024</v>
      </c>
      <c r="F10493" s="30" t="s">
        <v>2046</v>
      </c>
      <c r="H10493" s="30" t="s">
        <v>2859</v>
      </c>
      <c r="J10493" s="30" t="s">
        <v>3390</v>
      </c>
      <c r="L10493" s="30" t="s">
        <v>3442</v>
      </c>
      <c r="N10493" s="30" t="s">
        <v>3562</v>
      </c>
      <c r="P10493" s="30" t="s">
        <v>3565</v>
      </c>
      <c r="Q10493" t="s">
        <v>621</v>
      </c>
      <c r="R10493" t="s">
        <v>917</v>
      </c>
      <c r="S10493">
        <v>36</v>
      </c>
      <c r="T10493" s="29" t="str">
        <f>HYPERLINK("https://ictv.global/ictv/proposals/2020.095B.R.Leviviricetes.zip","2020.095B.R.Leviviricetes.zip")</f>
        <v>2020.095B.R.Leviviricetes.zip</v>
      </c>
      <c r="U10493" s="29" t="str">
        <f>HYPERLINK("https://ictv.global/taxonomy/taxondetails?taxnode_id=202311327","ictv.global=202311327")</f>
        <v>ictv.global=202311327</v>
      </c>
    </row>
    <row r="10494" spans="1:21">
      <c r="A10494">
        <v>10493</v>
      </c>
      <c r="B10494" s="30" t="s">
        <v>1226</v>
      </c>
      <c r="D10494" s="30" t="s">
        <v>2024</v>
      </c>
      <c r="F10494" s="30" t="s">
        <v>2046</v>
      </c>
      <c r="H10494" s="30" t="s">
        <v>2859</v>
      </c>
      <c r="J10494" s="30" t="s">
        <v>3390</v>
      </c>
      <c r="L10494" s="30" t="s">
        <v>3442</v>
      </c>
      <c r="N10494" s="30" t="s">
        <v>3562</v>
      </c>
      <c r="P10494" s="30" t="s">
        <v>16974</v>
      </c>
      <c r="Q10494" t="s">
        <v>621</v>
      </c>
      <c r="R10494" t="s">
        <v>917</v>
      </c>
      <c r="S10494">
        <v>39</v>
      </c>
      <c r="T10494" s="29" t="str">
        <f t="shared" ref="T10494:T10511" si="437">HYPERLINK("https://ictv.global/ictv/proposals/2023.001B.Leviviricetes_reorg.zip","2023.001B.Leviviricetes_reorg.zip")</f>
        <v>2023.001B.Leviviricetes_reorg.zip</v>
      </c>
      <c r="U10494" s="29" t="str">
        <f>HYPERLINK("https://ictv.global/taxonomy/taxondetails?taxnode_id=202317539","ictv.global=202317539")</f>
        <v>ictv.global=202317539</v>
      </c>
    </row>
    <row r="10495" spans="1:21">
      <c r="A10495">
        <v>10494</v>
      </c>
      <c r="B10495" s="30" t="s">
        <v>1226</v>
      </c>
      <c r="D10495" s="30" t="s">
        <v>2024</v>
      </c>
      <c r="F10495" s="30" t="s">
        <v>2046</v>
      </c>
      <c r="H10495" s="30" t="s">
        <v>2859</v>
      </c>
      <c r="J10495" s="30" t="s">
        <v>3390</v>
      </c>
      <c r="L10495" s="30" t="s">
        <v>3442</v>
      </c>
      <c r="N10495" s="30" t="s">
        <v>3562</v>
      </c>
      <c r="P10495" s="30" t="s">
        <v>16975</v>
      </c>
      <c r="Q10495" t="s">
        <v>621</v>
      </c>
      <c r="R10495" t="s">
        <v>917</v>
      </c>
      <c r="S10495">
        <v>39</v>
      </c>
      <c r="T10495" s="29" t="str">
        <f t="shared" si="437"/>
        <v>2023.001B.Leviviricetes_reorg.zip</v>
      </c>
      <c r="U10495" s="29" t="str">
        <f>HYPERLINK("https://ictv.global/taxonomy/taxondetails?taxnode_id=202317540","ictv.global=202317540")</f>
        <v>ictv.global=202317540</v>
      </c>
    </row>
    <row r="10496" spans="1:21">
      <c r="A10496">
        <v>10495</v>
      </c>
      <c r="B10496" s="30" t="s">
        <v>1226</v>
      </c>
      <c r="D10496" s="30" t="s">
        <v>2024</v>
      </c>
      <c r="F10496" s="30" t="s">
        <v>2046</v>
      </c>
      <c r="H10496" s="30" t="s">
        <v>2859</v>
      </c>
      <c r="J10496" s="30" t="s">
        <v>3390</v>
      </c>
      <c r="L10496" s="30" t="s">
        <v>3442</v>
      </c>
      <c r="N10496" s="30" t="s">
        <v>3562</v>
      </c>
      <c r="P10496" s="30" t="s">
        <v>16976</v>
      </c>
      <c r="Q10496" t="s">
        <v>621</v>
      </c>
      <c r="R10496" t="s">
        <v>917</v>
      </c>
      <c r="S10496">
        <v>39</v>
      </c>
      <c r="T10496" s="29" t="str">
        <f t="shared" si="437"/>
        <v>2023.001B.Leviviricetes_reorg.zip</v>
      </c>
      <c r="U10496" s="29" t="str">
        <f>HYPERLINK("https://ictv.global/taxonomy/taxondetails?taxnode_id=202317541","ictv.global=202317541")</f>
        <v>ictv.global=202317541</v>
      </c>
    </row>
    <row r="10497" spans="1:21">
      <c r="A10497">
        <v>10496</v>
      </c>
      <c r="B10497" s="30" t="s">
        <v>1226</v>
      </c>
      <c r="D10497" s="30" t="s">
        <v>2024</v>
      </c>
      <c r="F10497" s="30" t="s">
        <v>2046</v>
      </c>
      <c r="H10497" s="30" t="s">
        <v>2859</v>
      </c>
      <c r="J10497" s="30" t="s">
        <v>3390</v>
      </c>
      <c r="L10497" s="30" t="s">
        <v>3442</v>
      </c>
      <c r="N10497" s="30" t="s">
        <v>3562</v>
      </c>
      <c r="P10497" s="30" t="s">
        <v>16977</v>
      </c>
      <c r="Q10497" t="s">
        <v>621</v>
      </c>
      <c r="R10497" t="s">
        <v>917</v>
      </c>
      <c r="S10497">
        <v>39</v>
      </c>
      <c r="T10497" s="29" t="str">
        <f t="shared" si="437"/>
        <v>2023.001B.Leviviricetes_reorg.zip</v>
      </c>
      <c r="U10497" s="29" t="str">
        <f>HYPERLINK("https://ictv.global/taxonomy/taxondetails?taxnode_id=202317542","ictv.global=202317542")</f>
        <v>ictv.global=202317542</v>
      </c>
    </row>
    <row r="10498" spans="1:21">
      <c r="A10498">
        <v>10497</v>
      </c>
      <c r="B10498" s="30" t="s">
        <v>1226</v>
      </c>
      <c r="D10498" s="30" t="s">
        <v>2024</v>
      </c>
      <c r="F10498" s="30" t="s">
        <v>2046</v>
      </c>
      <c r="H10498" s="30" t="s">
        <v>2859</v>
      </c>
      <c r="J10498" s="30" t="s">
        <v>3390</v>
      </c>
      <c r="L10498" s="30" t="s">
        <v>3442</v>
      </c>
      <c r="N10498" s="30" t="s">
        <v>3562</v>
      </c>
      <c r="P10498" s="30" t="s">
        <v>16978</v>
      </c>
      <c r="Q10498" t="s">
        <v>621</v>
      </c>
      <c r="R10498" t="s">
        <v>917</v>
      </c>
      <c r="S10498">
        <v>39</v>
      </c>
      <c r="T10498" s="29" t="str">
        <f t="shared" si="437"/>
        <v>2023.001B.Leviviricetes_reorg.zip</v>
      </c>
      <c r="U10498" s="29" t="str">
        <f>HYPERLINK("https://ictv.global/taxonomy/taxondetails?taxnode_id=202317543","ictv.global=202317543")</f>
        <v>ictv.global=202317543</v>
      </c>
    </row>
    <row r="10499" spans="1:21">
      <c r="A10499">
        <v>10498</v>
      </c>
      <c r="B10499" s="30" t="s">
        <v>1226</v>
      </c>
      <c r="D10499" s="30" t="s">
        <v>2024</v>
      </c>
      <c r="F10499" s="30" t="s">
        <v>2046</v>
      </c>
      <c r="H10499" s="30" t="s">
        <v>2859</v>
      </c>
      <c r="J10499" s="30" t="s">
        <v>3390</v>
      </c>
      <c r="L10499" s="30" t="s">
        <v>3442</v>
      </c>
      <c r="N10499" s="30" t="s">
        <v>16979</v>
      </c>
      <c r="P10499" s="30" t="s">
        <v>16980</v>
      </c>
      <c r="Q10499" t="s">
        <v>621</v>
      </c>
      <c r="R10499" t="s">
        <v>917</v>
      </c>
      <c r="S10499">
        <v>39</v>
      </c>
      <c r="T10499" s="29" t="str">
        <f t="shared" si="437"/>
        <v>2023.001B.Leviviricetes_reorg.zip</v>
      </c>
      <c r="U10499" s="29" t="str">
        <f>HYPERLINK("https://ictv.global/taxonomy/taxondetails?taxnode_id=202317544","ictv.global=202317544")</f>
        <v>ictv.global=202317544</v>
      </c>
    </row>
    <row r="10500" spans="1:21">
      <c r="A10500">
        <v>10499</v>
      </c>
      <c r="B10500" s="30" t="s">
        <v>1226</v>
      </c>
      <c r="D10500" s="30" t="s">
        <v>2024</v>
      </c>
      <c r="F10500" s="30" t="s">
        <v>2046</v>
      </c>
      <c r="H10500" s="30" t="s">
        <v>2859</v>
      </c>
      <c r="J10500" s="30" t="s">
        <v>3390</v>
      </c>
      <c r="L10500" s="30" t="s">
        <v>3442</v>
      </c>
      <c r="N10500" s="30" t="s">
        <v>16979</v>
      </c>
      <c r="P10500" s="30" t="s">
        <v>16981</v>
      </c>
      <c r="Q10500" t="s">
        <v>621</v>
      </c>
      <c r="R10500" t="s">
        <v>917</v>
      </c>
      <c r="S10500">
        <v>39</v>
      </c>
      <c r="T10500" s="29" t="str">
        <f t="shared" si="437"/>
        <v>2023.001B.Leviviricetes_reorg.zip</v>
      </c>
      <c r="U10500" s="29" t="str">
        <f>HYPERLINK("https://ictv.global/taxonomy/taxondetails?taxnode_id=202317545","ictv.global=202317545")</f>
        <v>ictv.global=202317545</v>
      </c>
    </row>
    <row r="10501" spans="1:21">
      <c r="A10501">
        <v>10500</v>
      </c>
      <c r="B10501" s="30" t="s">
        <v>1226</v>
      </c>
      <c r="D10501" s="30" t="s">
        <v>2024</v>
      </c>
      <c r="F10501" s="30" t="s">
        <v>2046</v>
      </c>
      <c r="H10501" s="30" t="s">
        <v>2859</v>
      </c>
      <c r="J10501" s="30" t="s">
        <v>3390</v>
      </c>
      <c r="L10501" s="30" t="s">
        <v>3442</v>
      </c>
      <c r="N10501" s="30" t="s">
        <v>16979</v>
      </c>
      <c r="P10501" s="30" t="s">
        <v>16982</v>
      </c>
      <c r="Q10501" t="s">
        <v>621</v>
      </c>
      <c r="R10501" t="s">
        <v>918</v>
      </c>
      <c r="S10501">
        <v>39</v>
      </c>
      <c r="T10501" s="29" t="str">
        <f t="shared" si="437"/>
        <v>2023.001B.Leviviricetes_reorg.zip</v>
      </c>
      <c r="U10501" s="29" t="str">
        <f>HYPERLINK("https://ictv.global/taxonomy/taxondetails?taxnode_id=202311089","ictv.global=202311089")</f>
        <v>ictv.global=202311089</v>
      </c>
    </row>
    <row r="10502" spans="1:21">
      <c r="A10502">
        <v>10501</v>
      </c>
      <c r="B10502" s="30" t="s">
        <v>1226</v>
      </c>
      <c r="D10502" s="30" t="s">
        <v>2024</v>
      </c>
      <c r="F10502" s="30" t="s">
        <v>2046</v>
      </c>
      <c r="H10502" s="30" t="s">
        <v>2859</v>
      </c>
      <c r="J10502" s="30" t="s">
        <v>3390</v>
      </c>
      <c r="L10502" s="30" t="s">
        <v>3442</v>
      </c>
      <c r="N10502" s="30" t="s">
        <v>16979</v>
      </c>
      <c r="P10502" s="30" t="s">
        <v>16983</v>
      </c>
      <c r="Q10502" t="s">
        <v>621</v>
      </c>
      <c r="R10502" t="s">
        <v>918</v>
      </c>
      <c r="S10502">
        <v>39</v>
      </c>
      <c r="T10502" s="29" t="str">
        <f t="shared" si="437"/>
        <v>2023.001B.Leviviricetes_reorg.zip</v>
      </c>
      <c r="U10502" s="29" t="str">
        <f>HYPERLINK("https://ictv.global/taxonomy/taxondetails?taxnode_id=202311090","ictv.global=202311090")</f>
        <v>ictv.global=202311090</v>
      </c>
    </row>
    <row r="10503" spans="1:21">
      <c r="A10503">
        <v>10502</v>
      </c>
      <c r="B10503" s="30" t="s">
        <v>1226</v>
      </c>
      <c r="D10503" s="30" t="s">
        <v>2024</v>
      </c>
      <c r="F10503" s="30" t="s">
        <v>2046</v>
      </c>
      <c r="H10503" s="30" t="s">
        <v>2859</v>
      </c>
      <c r="J10503" s="30" t="s">
        <v>3390</v>
      </c>
      <c r="L10503" s="30" t="s">
        <v>3442</v>
      </c>
      <c r="N10503" s="30" t="s">
        <v>16979</v>
      </c>
      <c r="P10503" s="30" t="s">
        <v>16984</v>
      </c>
      <c r="Q10503" t="s">
        <v>621</v>
      </c>
      <c r="R10503" t="s">
        <v>918</v>
      </c>
      <c r="S10503">
        <v>39</v>
      </c>
      <c r="T10503" s="29" t="str">
        <f t="shared" si="437"/>
        <v>2023.001B.Leviviricetes_reorg.zip</v>
      </c>
      <c r="U10503" s="29" t="str">
        <f>HYPERLINK("https://ictv.global/taxonomy/taxondetails?taxnode_id=202311092","ictv.global=202311092")</f>
        <v>ictv.global=202311092</v>
      </c>
    </row>
    <row r="10504" spans="1:21">
      <c r="A10504">
        <v>10503</v>
      </c>
      <c r="B10504" s="30" t="s">
        <v>1226</v>
      </c>
      <c r="D10504" s="30" t="s">
        <v>2024</v>
      </c>
      <c r="F10504" s="30" t="s">
        <v>2046</v>
      </c>
      <c r="H10504" s="30" t="s">
        <v>2859</v>
      </c>
      <c r="J10504" s="30" t="s">
        <v>3390</v>
      </c>
      <c r="L10504" s="30" t="s">
        <v>3442</v>
      </c>
      <c r="N10504" s="30" t="s">
        <v>16979</v>
      </c>
      <c r="P10504" s="30" t="s">
        <v>16985</v>
      </c>
      <c r="Q10504" t="s">
        <v>621</v>
      </c>
      <c r="R10504" t="s">
        <v>918</v>
      </c>
      <c r="S10504">
        <v>39</v>
      </c>
      <c r="T10504" s="29" t="str">
        <f t="shared" si="437"/>
        <v>2023.001B.Leviviricetes_reorg.zip</v>
      </c>
      <c r="U10504" s="29" t="str">
        <f>HYPERLINK("https://ictv.global/taxonomy/taxondetails?taxnode_id=202311091","ictv.global=202311091")</f>
        <v>ictv.global=202311091</v>
      </c>
    </row>
    <row r="10505" spans="1:21">
      <c r="A10505">
        <v>10504</v>
      </c>
      <c r="B10505" s="30" t="s">
        <v>1226</v>
      </c>
      <c r="D10505" s="30" t="s">
        <v>2024</v>
      </c>
      <c r="F10505" s="30" t="s">
        <v>2046</v>
      </c>
      <c r="H10505" s="30" t="s">
        <v>2859</v>
      </c>
      <c r="J10505" s="30" t="s">
        <v>3390</v>
      </c>
      <c r="L10505" s="30" t="s">
        <v>3442</v>
      </c>
      <c r="N10505" s="30" t="s">
        <v>16979</v>
      </c>
      <c r="P10505" s="30" t="s">
        <v>16986</v>
      </c>
      <c r="Q10505" t="s">
        <v>621</v>
      </c>
      <c r="R10505" t="s">
        <v>918</v>
      </c>
      <c r="S10505">
        <v>39</v>
      </c>
      <c r="T10505" s="29" t="str">
        <f t="shared" si="437"/>
        <v>2023.001B.Leviviricetes_reorg.zip</v>
      </c>
      <c r="U10505" s="29" t="str">
        <f>HYPERLINK("https://ictv.global/taxonomy/taxondetails?taxnode_id=202311093","ictv.global=202311093")</f>
        <v>ictv.global=202311093</v>
      </c>
    </row>
    <row r="10506" spans="1:21">
      <c r="A10506">
        <v>10505</v>
      </c>
      <c r="B10506" s="30" t="s">
        <v>1226</v>
      </c>
      <c r="D10506" s="30" t="s">
        <v>2024</v>
      </c>
      <c r="F10506" s="30" t="s">
        <v>2046</v>
      </c>
      <c r="H10506" s="30" t="s">
        <v>2859</v>
      </c>
      <c r="J10506" s="30" t="s">
        <v>3390</v>
      </c>
      <c r="L10506" s="30" t="s">
        <v>3442</v>
      </c>
      <c r="N10506" s="30" t="s">
        <v>16979</v>
      </c>
      <c r="P10506" s="30" t="s">
        <v>16987</v>
      </c>
      <c r="Q10506" t="s">
        <v>621</v>
      </c>
      <c r="R10506" t="s">
        <v>918</v>
      </c>
      <c r="S10506">
        <v>39</v>
      </c>
      <c r="T10506" s="29" t="str">
        <f t="shared" si="437"/>
        <v>2023.001B.Leviviricetes_reorg.zip</v>
      </c>
      <c r="U10506" s="29" t="str">
        <f>HYPERLINK("https://ictv.global/taxonomy/taxondetails?taxnode_id=202311095","ictv.global=202311095")</f>
        <v>ictv.global=202311095</v>
      </c>
    </row>
    <row r="10507" spans="1:21">
      <c r="A10507">
        <v>10506</v>
      </c>
      <c r="B10507" s="30" t="s">
        <v>1226</v>
      </c>
      <c r="D10507" s="30" t="s">
        <v>2024</v>
      </c>
      <c r="F10507" s="30" t="s">
        <v>2046</v>
      </c>
      <c r="H10507" s="30" t="s">
        <v>2859</v>
      </c>
      <c r="J10507" s="30" t="s">
        <v>3390</v>
      </c>
      <c r="L10507" s="30" t="s">
        <v>3442</v>
      </c>
      <c r="N10507" s="30" t="s">
        <v>16979</v>
      </c>
      <c r="P10507" s="30" t="s">
        <v>16988</v>
      </c>
      <c r="Q10507" t="s">
        <v>621</v>
      </c>
      <c r="R10507" t="s">
        <v>918</v>
      </c>
      <c r="S10507">
        <v>39</v>
      </c>
      <c r="T10507" s="29" t="str">
        <f t="shared" si="437"/>
        <v>2023.001B.Leviviricetes_reorg.zip</v>
      </c>
      <c r="U10507" s="29" t="str">
        <f>HYPERLINK("https://ictv.global/taxonomy/taxondetails?taxnode_id=202311096","ictv.global=202311096")</f>
        <v>ictv.global=202311096</v>
      </c>
    </row>
    <row r="10508" spans="1:21">
      <c r="A10508">
        <v>10507</v>
      </c>
      <c r="B10508" s="30" t="s">
        <v>1226</v>
      </c>
      <c r="D10508" s="30" t="s">
        <v>2024</v>
      </c>
      <c r="F10508" s="30" t="s">
        <v>2046</v>
      </c>
      <c r="H10508" s="30" t="s">
        <v>2859</v>
      </c>
      <c r="J10508" s="30" t="s">
        <v>3390</v>
      </c>
      <c r="L10508" s="30" t="s">
        <v>3442</v>
      </c>
      <c r="N10508" s="30" t="s">
        <v>16979</v>
      </c>
      <c r="P10508" s="30" t="s">
        <v>16989</v>
      </c>
      <c r="Q10508" t="s">
        <v>621</v>
      </c>
      <c r="R10508" t="s">
        <v>917</v>
      </c>
      <c r="S10508">
        <v>39</v>
      </c>
      <c r="T10508" s="29" t="str">
        <f t="shared" si="437"/>
        <v>2023.001B.Leviviricetes_reorg.zip</v>
      </c>
      <c r="U10508" s="29" t="str">
        <f>HYPERLINK("https://ictv.global/taxonomy/taxondetails?taxnode_id=202317546","ictv.global=202317546")</f>
        <v>ictv.global=202317546</v>
      </c>
    </row>
    <row r="10509" spans="1:21">
      <c r="A10509">
        <v>10508</v>
      </c>
      <c r="B10509" s="30" t="s">
        <v>1226</v>
      </c>
      <c r="D10509" s="30" t="s">
        <v>2024</v>
      </c>
      <c r="F10509" s="30" t="s">
        <v>2046</v>
      </c>
      <c r="H10509" s="30" t="s">
        <v>2859</v>
      </c>
      <c r="J10509" s="30" t="s">
        <v>3390</v>
      </c>
      <c r="L10509" s="30" t="s">
        <v>3442</v>
      </c>
      <c r="N10509" s="30" t="s">
        <v>16979</v>
      </c>
      <c r="P10509" s="30" t="s">
        <v>16990</v>
      </c>
      <c r="Q10509" t="s">
        <v>621</v>
      </c>
      <c r="R10509" t="s">
        <v>917</v>
      </c>
      <c r="S10509">
        <v>39</v>
      </c>
      <c r="T10509" s="29" t="str">
        <f t="shared" si="437"/>
        <v>2023.001B.Leviviricetes_reorg.zip</v>
      </c>
      <c r="U10509" s="29" t="str">
        <f>HYPERLINK("https://ictv.global/taxonomy/taxondetails?taxnode_id=202317547","ictv.global=202317547")</f>
        <v>ictv.global=202317547</v>
      </c>
    </row>
    <row r="10510" spans="1:21">
      <c r="A10510">
        <v>10509</v>
      </c>
      <c r="B10510" s="30" t="s">
        <v>1226</v>
      </c>
      <c r="D10510" s="30" t="s">
        <v>2024</v>
      </c>
      <c r="F10510" s="30" t="s">
        <v>2046</v>
      </c>
      <c r="H10510" s="30" t="s">
        <v>2859</v>
      </c>
      <c r="J10510" s="30" t="s">
        <v>3390</v>
      </c>
      <c r="L10510" s="30" t="s">
        <v>3442</v>
      </c>
      <c r="N10510" s="30" t="s">
        <v>16991</v>
      </c>
      <c r="P10510" s="30" t="s">
        <v>16992</v>
      </c>
      <c r="Q10510" t="s">
        <v>621</v>
      </c>
      <c r="R10510" t="s">
        <v>918</v>
      </c>
      <c r="S10510">
        <v>39</v>
      </c>
      <c r="T10510" s="29" t="str">
        <f t="shared" si="437"/>
        <v>2023.001B.Leviviricetes_reorg.zip</v>
      </c>
      <c r="U10510" s="29" t="str">
        <f>HYPERLINK("https://ictv.global/taxonomy/taxondetails?taxnode_id=202311332","ictv.global=202311332")</f>
        <v>ictv.global=202311332</v>
      </c>
    </row>
    <row r="10511" spans="1:21">
      <c r="A10511">
        <v>10510</v>
      </c>
      <c r="B10511" s="30" t="s">
        <v>1226</v>
      </c>
      <c r="D10511" s="30" t="s">
        <v>2024</v>
      </c>
      <c r="F10511" s="30" t="s">
        <v>2046</v>
      </c>
      <c r="H10511" s="30" t="s">
        <v>2859</v>
      </c>
      <c r="J10511" s="30" t="s">
        <v>3390</v>
      </c>
      <c r="L10511" s="30" t="s">
        <v>3442</v>
      </c>
      <c r="N10511" s="30" t="s">
        <v>16993</v>
      </c>
      <c r="P10511" s="30" t="s">
        <v>16994</v>
      </c>
      <c r="Q10511" t="s">
        <v>621</v>
      </c>
      <c r="R10511" t="s">
        <v>917</v>
      </c>
      <c r="S10511">
        <v>39</v>
      </c>
      <c r="T10511" s="29" t="str">
        <f t="shared" si="437"/>
        <v>2023.001B.Leviviricetes_reorg.zip</v>
      </c>
      <c r="U10511" s="29" t="str">
        <f>HYPERLINK("https://ictv.global/taxonomy/taxondetails?taxnode_id=202317548","ictv.global=202317548")</f>
        <v>ictv.global=202317548</v>
      </c>
    </row>
    <row r="10512" spans="1:21">
      <c r="A10512">
        <v>10511</v>
      </c>
      <c r="B10512" s="30" t="s">
        <v>1226</v>
      </c>
      <c r="D10512" s="30" t="s">
        <v>2024</v>
      </c>
      <c r="F10512" s="30" t="s">
        <v>2046</v>
      </c>
      <c r="H10512" s="30" t="s">
        <v>2859</v>
      </c>
      <c r="J10512" s="30" t="s">
        <v>3390</v>
      </c>
      <c r="L10512" s="30" t="s">
        <v>3442</v>
      </c>
      <c r="N10512" s="30" t="s">
        <v>3566</v>
      </c>
      <c r="P10512" s="30" t="s">
        <v>3567</v>
      </c>
      <c r="Q10512" t="s">
        <v>621</v>
      </c>
      <c r="R10512" t="s">
        <v>917</v>
      </c>
      <c r="S10512">
        <v>36</v>
      </c>
      <c r="T10512" s="29" t="str">
        <f>HYPERLINK("https://ictv.global/ictv/proposals/2020.095B.R.Leviviricetes.zip","2020.095B.R.Leviviricetes.zip")</f>
        <v>2020.095B.R.Leviviricetes.zip</v>
      </c>
      <c r="U10512" s="29" t="str">
        <f>HYPERLINK("https://ictv.global/taxonomy/taxondetails?taxnode_id=202311339","ictv.global=202311339")</f>
        <v>ictv.global=202311339</v>
      </c>
    </row>
    <row r="10513" spans="1:21">
      <c r="A10513">
        <v>10512</v>
      </c>
      <c r="B10513" s="30" t="s">
        <v>1226</v>
      </c>
      <c r="D10513" s="30" t="s">
        <v>2024</v>
      </c>
      <c r="F10513" s="30" t="s">
        <v>2046</v>
      </c>
      <c r="H10513" s="30" t="s">
        <v>2859</v>
      </c>
      <c r="J10513" s="30" t="s">
        <v>3390</v>
      </c>
      <c r="L10513" s="30" t="s">
        <v>3442</v>
      </c>
      <c r="N10513" s="30" t="s">
        <v>16995</v>
      </c>
      <c r="P10513" s="30" t="s">
        <v>16996</v>
      </c>
      <c r="Q10513" t="s">
        <v>621</v>
      </c>
      <c r="R10513" t="s">
        <v>917</v>
      </c>
      <c r="S10513">
        <v>39</v>
      </c>
      <c r="T10513" s="29" t="str">
        <f>HYPERLINK("https://ictv.global/ictv/proposals/2023.001B.Leviviricetes_reorg.zip","2023.001B.Leviviricetes_reorg.zip")</f>
        <v>2023.001B.Leviviricetes_reorg.zip</v>
      </c>
      <c r="U10513" s="29" t="str">
        <f>HYPERLINK("https://ictv.global/taxonomy/taxondetails?taxnode_id=202317549","ictv.global=202317549")</f>
        <v>ictv.global=202317549</v>
      </c>
    </row>
    <row r="10514" spans="1:21">
      <c r="A10514">
        <v>10513</v>
      </c>
      <c r="B10514" s="30" t="s">
        <v>1226</v>
      </c>
      <c r="D10514" s="30" t="s">
        <v>2024</v>
      </c>
      <c r="F10514" s="30" t="s">
        <v>2046</v>
      </c>
      <c r="H10514" s="30" t="s">
        <v>2859</v>
      </c>
      <c r="J10514" s="30" t="s">
        <v>3390</v>
      </c>
      <c r="L10514" s="30" t="s">
        <v>3442</v>
      </c>
      <c r="N10514" s="30" t="s">
        <v>16997</v>
      </c>
      <c r="P10514" s="30" t="s">
        <v>16998</v>
      </c>
      <c r="Q10514" t="s">
        <v>621</v>
      </c>
      <c r="R10514" t="s">
        <v>917</v>
      </c>
      <c r="S10514">
        <v>39</v>
      </c>
      <c r="T10514" s="29" t="str">
        <f>HYPERLINK("https://ictv.global/ictv/proposals/2023.001B.Leviviricetes_reorg.zip","2023.001B.Leviviricetes_reorg.zip")</f>
        <v>2023.001B.Leviviricetes_reorg.zip</v>
      </c>
      <c r="U10514" s="29" t="str">
        <f>HYPERLINK("https://ictv.global/taxonomy/taxondetails?taxnode_id=202317550","ictv.global=202317550")</f>
        <v>ictv.global=202317550</v>
      </c>
    </row>
    <row r="10515" spans="1:21">
      <c r="A10515">
        <v>10514</v>
      </c>
      <c r="B10515" s="30" t="s">
        <v>1226</v>
      </c>
      <c r="D10515" s="30" t="s">
        <v>2024</v>
      </c>
      <c r="F10515" s="30" t="s">
        <v>2046</v>
      </c>
      <c r="H10515" s="30" t="s">
        <v>2859</v>
      </c>
      <c r="J10515" s="30" t="s">
        <v>3390</v>
      </c>
      <c r="L10515" s="30" t="s">
        <v>3442</v>
      </c>
      <c r="N10515" s="30" t="s">
        <v>3568</v>
      </c>
      <c r="P10515" s="30" t="s">
        <v>3569</v>
      </c>
      <c r="Q10515" t="s">
        <v>621</v>
      </c>
      <c r="R10515" t="s">
        <v>917</v>
      </c>
      <c r="S10515">
        <v>36</v>
      </c>
      <c r="T10515" s="29" t="str">
        <f>HYPERLINK("https://ictv.global/ictv/proposals/2020.095B.R.Leviviricetes.zip","2020.095B.R.Leviviricetes.zip")</f>
        <v>2020.095B.R.Leviviricetes.zip</v>
      </c>
      <c r="U10515" s="29" t="str">
        <f>HYPERLINK("https://ictv.global/taxonomy/taxondetails?taxnode_id=202311343","ictv.global=202311343")</f>
        <v>ictv.global=202311343</v>
      </c>
    </row>
    <row r="10516" spans="1:21">
      <c r="A10516">
        <v>10515</v>
      </c>
      <c r="B10516" s="30" t="s">
        <v>1226</v>
      </c>
      <c r="D10516" s="30" t="s">
        <v>2024</v>
      </c>
      <c r="F10516" s="30" t="s">
        <v>2046</v>
      </c>
      <c r="H10516" s="30" t="s">
        <v>2859</v>
      </c>
      <c r="J10516" s="30" t="s">
        <v>3390</v>
      </c>
      <c r="L10516" s="30" t="s">
        <v>3442</v>
      </c>
      <c r="N10516" s="30" t="s">
        <v>3570</v>
      </c>
      <c r="P10516" s="30" t="s">
        <v>16999</v>
      </c>
      <c r="Q10516" t="s">
        <v>621</v>
      </c>
      <c r="R10516" t="s">
        <v>917</v>
      </c>
      <c r="S10516">
        <v>39</v>
      </c>
      <c r="T10516" s="29" t="str">
        <f>HYPERLINK("https://ictv.global/ictv/proposals/2023.001B.Leviviricetes_reorg.zip","2023.001B.Leviviricetes_reorg.zip")</f>
        <v>2023.001B.Leviviricetes_reorg.zip</v>
      </c>
      <c r="U10516" s="29" t="str">
        <f>HYPERLINK("https://ictv.global/taxonomy/taxondetails?taxnode_id=202317551","ictv.global=202317551")</f>
        <v>ictv.global=202317551</v>
      </c>
    </row>
    <row r="10517" spans="1:21">
      <c r="A10517">
        <v>10516</v>
      </c>
      <c r="B10517" s="30" t="s">
        <v>1226</v>
      </c>
      <c r="D10517" s="30" t="s">
        <v>2024</v>
      </c>
      <c r="F10517" s="30" t="s">
        <v>2046</v>
      </c>
      <c r="H10517" s="30" t="s">
        <v>2859</v>
      </c>
      <c r="J10517" s="30" t="s">
        <v>3390</v>
      </c>
      <c r="L10517" s="30" t="s">
        <v>3442</v>
      </c>
      <c r="N10517" s="30" t="s">
        <v>3570</v>
      </c>
      <c r="P10517" s="30" t="s">
        <v>17000</v>
      </c>
      <c r="Q10517" t="s">
        <v>621</v>
      </c>
      <c r="R10517" t="s">
        <v>917</v>
      </c>
      <c r="S10517">
        <v>39</v>
      </c>
      <c r="T10517" s="29" t="str">
        <f>HYPERLINK("https://ictv.global/ictv/proposals/2023.001B.Leviviricetes_reorg.zip","2023.001B.Leviviricetes_reorg.zip")</f>
        <v>2023.001B.Leviviricetes_reorg.zip</v>
      </c>
      <c r="U10517" s="29" t="str">
        <f>HYPERLINK("https://ictv.global/taxonomy/taxondetails?taxnode_id=202317552","ictv.global=202317552")</f>
        <v>ictv.global=202317552</v>
      </c>
    </row>
    <row r="10518" spans="1:21">
      <c r="A10518">
        <v>10517</v>
      </c>
      <c r="B10518" s="30" t="s">
        <v>1226</v>
      </c>
      <c r="D10518" s="30" t="s">
        <v>2024</v>
      </c>
      <c r="F10518" s="30" t="s">
        <v>2046</v>
      </c>
      <c r="H10518" s="30" t="s">
        <v>2859</v>
      </c>
      <c r="J10518" s="30" t="s">
        <v>3390</v>
      </c>
      <c r="L10518" s="30" t="s">
        <v>3442</v>
      </c>
      <c r="N10518" s="30" t="s">
        <v>3570</v>
      </c>
      <c r="P10518" s="30" t="s">
        <v>3571</v>
      </c>
      <c r="Q10518" t="s">
        <v>621</v>
      </c>
      <c r="R10518" t="s">
        <v>917</v>
      </c>
      <c r="S10518">
        <v>36</v>
      </c>
      <c r="T10518" s="29" t="str">
        <f>HYPERLINK("https://ictv.global/ictv/proposals/2020.095B.R.Leviviricetes.zip","2020.095B.R.Leviviricetes.zip")</f>
        <v>2020.095B.R.Leviviricetes.zip</v>
      </c>
      <c r="U10518" s="29" t="str">
        <f>HYPERLINK("https://ictv.global/taxonomy/taxondetails?taxnode_id=202311347","ictv.global=202311347")</f>
        <v>ictv.global=202311347</v>
      </c>
    </row>
    <row r="10519" spans="1:21">
      <c r="A10519">
        <v>10518</v>
      </c>
      <c r="B10519" s="30" t="s">
        <v>1226</v>
      </c>
      <c r="D10519" s="30" t="s">
        <v>2024</v>
      </c>
      <c r="F10519" s="30" t="s">
        <v>2046</v>
      </c>
      <c r="H10519" s="30" t="s">
        <v>2859</v>
      </c>
      <c r="J10519" s="30" t="s">
        <v>3390</v>
      </c>
      <c r="L10519" s="30" t="s">
        <v>3442</v>
      </c>
      <c r="N10519" s="30" t="s">
        <v>17001</v>
      </c>
      <c r="P10519" s="30" t="s">
        <v>17002</v>
      </c>
      <c r="Q10519" t="s">
        <v>621</v>
      </c>
      <c r="R10519" t="s">
        <v>917</v>
      </c>
      <c r="S10519">
        <v>39</v>
      </c>
      <c r="T10519" s="29" t="str">
        <f>HYPERLINK("https://ictv.global/ictv/proposals/2023.001B.Leviviricetes_reorg.zip","2023.001B.Leviviricetes_reorg.zip")</f>
        <v>2023.001B.Leviviricetes_reorg.zip</v>
      </c>
      <c r="U10519" s="29" t="str">
        <f>HYPERLINK("https://ictv.global/taxonomy/taxondetails?taxnode_id=202317553","ictv.global=202317553")</f>
        <v>ictv.global=202317553</v>
      </c>
    </row>
    <row r="10520" spans="1:21">
      <c r="A10520">
        <v>10519</v>
      </c>
      <c r="B10520" s="30" t="s">
        <v>1226</v>
      </c>
      <c r="D10520" s="30" t="s">
        <v>2024</v>
      </c>
      <c r="F10520" s="30" t="s">
        <v>2046</v>
      </c>
      <c r="H10520" s="30" t="s">
        <v>2859</v>
      </c>
      <c r="J10520" s="30" t="s">
        <v>3390</v>
      </c>
      <c r="L10520" s="30" t="s">
        <v>3442</v>
      </c>
      <c r="N10520" s="30" t="s">
        <v>17001</v>
      </c>
      <c r="P10520" s="30" t="s">
        <v>17003</v>
      </c>
      <c r="Q10520" t="s">
        <v>621</v>
      </c>
      <c r="R10520" t="s">
        <v>917</v>
      </c>
      <c r="S10520">
        <v>39</v>
      </c>
      <c r="T10520" s="29" t="str">
        <f>HYPERLINK("https://ictv.global/ictv/proposals/2023.001B.Leviviricetes_reorg.zip","2023.001B.Leviviricetes_reorg.zip")</f>
        <v>2023.001B.Leviviricetes_reorg.zip</v>
      </c>
      <c r="U10520" s="29" t="str">
        <f>HYPERLINK("https://ictv.global/taxonomy/taxondetails?taxnode_id=202317554","ictv.global=202317554")</f>
        <v>ictv.global=202317554</v>
      </c>
    </row>
    <row r="10521" spans="1:21">
      <c r="A10521">
        <v>10520</v>
      </c>
      <c r="B10521" s="30" t="s">
        <v>1226</v>
      </c>
      <c r="D10521" s="30" t="s">
        <v>2024</v>
      </c>
      <c r="F10521" s="30" t="s">
        <v>2046</v>
      </c>
      <c r="H10521" s="30" t="s">
        <v>2859</v>
      </c>
      <c r="J10521" s="30" t="s">
        <v>3390</v>
      </c>
      <c r="L10521" s="30" t="s">
        <v>3442</v>
      </c>
      <c r="N10521" s="30" t="s">
        <v>17001</v>
      </c>
      <c r="P10521" s="30" t="s">
        <v>17004</v>
      </c>
      <c r="Q10521" t="s">
        <v>621</v>
      </c>
      <c r="R10521" t="s">
        <v>917</v>
      </c>
      <c r="S10521">
        <v>39</v>
      </c>
      <c r="T10521" s="29" t="str">
        <f>HYPERLINK("https://ictv.global/ictv/proposals/2023.001B.Leviviricetes_reorg.zip","2023.001B.Leviviricetes_reorg.zip")</f>
        <v>2023.001B.Leviviricetes_reorg.zip</v>
      </c>
      <c r="U10521" s="29" t="str">
        <f>HYPERLINK("https://ictv.global/taxonomy/taxondetails?taxnode_id=202317555","ictv.global=202317555")</f>
        <v>ictv.global=202317555</v>
      </c>
    </row>
    <row r="10522" spans="1:21">
      <c r="A10522">
        <v>10521</v>
      </c>
      <c r="B10522" s="30" t="s">
        <v>1226</v>
      </c>
      <c r="D10522" s="30" t="s">
        <v>2024</v>
      </c>
      <c r="F10522" s="30" t="s">
        <v>2046</v>
      </c>
      <c r="H10522" s="30" t="s">
        <v>2859</v>
      </c>
      <c r="J10522" s="30" t="s">
        <v>3390</v>
      </c>
      <c r="L10522" s="30" t="s">
        <v>3442</v>
      </c>
      <c r="N10522" s="30" t="s">
        <v>3572</v>
      </c>
      <c r="P10522" s="30" t="s">
        <v>3573</v>
      </c>
      <c r="Q10522" t="s">
        <v>621</v>
      </c>
      <c r="R10522" t="s">
        <v>917</v>
      </c>
      <c r="S10522">
        <v>36</v>
      </c>
      <c r="T10522" s="29" t="str">
        <f>HYPERLINK("https://ictv.global/ictv/proposals/2020.095B.R.Leviviricetes.zip","2020.095B.R.Leviviricetes.zip")</f>
        <v>2020.095B.R.Leviviricetes.zip</v>
      </c>
      <c r="U10522" s="29" t="str">
        <f>HYPERLINK("https://ictv.global/taxonomy/taxondetails?taxnode_id=202311351","ictv.global=202311351")</f>
        <v>ictv.global=202311351</v>
      </c>
    </row>
    <row r="10523" spans="1:21">
      <c r="A10523">
        <v>10522</v>
      </c>
      <c r="B10523" s="30" t="s">
        <v>1226</v>
      </c>
      <c r="D10523" s="30" t="s">
        <v>2024</v>
      </c>
      <c r="F10523" s="30" t="s">
        <v>2046</v>
      </c>
      <c r="H10523" s="30" t="s">
        <v>2859</v>
      </c>
      <c r="J10523" s="30" t="s">
        <v>3390</v>
      </c>
      <c r="L10523" s="30" t="s">
        <v>3442</v>
      </c>
      <c r="N10523" s="30" t="s">
        <v>3572</v>
      </c>
      <c r="P10523" s="30" t="s">
        <v>3574</v>
      </c>
      <c r="Q10523" t="s">
        <v>621</v>
      </c>
      <c r="R10523" t="s">
        <v>917</v>
      </c>
      <c r="S10523">
        <v>36</v>
      </c>
      <c r="T10523" s="29" t="str">
        <f>HYPERLINK("https://ictv.global/ictv/proposals/2020.095B.R.Leviviricetes.zip","2020.095B.R.Leviviricetes.zip")</f>
        <v>2020.095B.R.Leviviricetes.zip</v>
      </c>
      <c r="U10523" s="29" t="str">
        <f>HYPERLINK("https://ictv.global/taxonomy/taxondetails?taxnode_id=202311349","ictv.global=202311349")</f>
        <v>ictv.global=202311349</v>
      </c>
    </row>
    <row r="10524" spans="1:21">
      <c r="A10524">
        <v>10523</v>
      </c>
      <c r="B10524" s="30" t="s">
        <v>1226</v>
      </c>
      <c r="D10524" s="30" t="s">
        <v>2024</v>
      </c>
      <c r="F10524" s="30" t="s">
        <v>2046</v>
      </c>
      <c r="H10524" s="30" t="s">
        <v>2859</v>
      </c>
      <c r="J10524" s="30" t="s">
        <v>3390</v>
      </c>
      <c r="L10524" s="30" t="s">
        <v>3442</v>
      </c>
      <c r="N10524" s="30" t="s">
        <v>3572</v>
      </c>
      <c r="P10524" s="30" t="s">
        <v>3575</v>
      </c>
      <c r="Q10524" t="s">
        <v>621</v>
      </c>
      <c r="R10524" t="s">
        <v>917</v>
      </c>
      <c r="S10524">
        <v>36</v>
      </c>
      <c r="T10524" s="29" t="str">
        <f>HYPERLINK("https://ictv.global/ictv/proposals/2020.095B.R.Leviviricetes.zip","2020.095B.R.Leviviricetes.zip")</f>
        <v>2020.095B.R.Leviviricetes.zip</v>
      </c>
      <c r="U10524" s="29" t="str">
        <f>HYPERLINK("https://ictv.global/taxonomy/taxondetails?taxnode_id=202311350","ictv.global=202311350")</f>
        <v>ictv.global=202311350</v>
      </c>
    </row>
    <row r="10525" spans="1:21">
      <c r="A10525">
        <v>10524</v>
      </c>
      <c r="B10525" s="30" t="s">
        <v>1226</v>
      </c>
      <c r="D10525" s="30" t="s">
        <v>2024</v>
      </c>
      <c r="F10525" s="30" t="s">
        <v>2046</v>
      </c>
      <c r="H10525" s="30" t="s">
        <v>2859</v>
      </c>
      <c r="J10525" s="30" t="s">
        <v>3390</v>
      </c>
      <c r="L10525" s="30" t="s">
        <v>3442</v>
      </c>
      <c r="N10525" s="30" t="s">
        <v>17005</v>
      </c>
      <c r="P10525" s="30" t="s">
        <v>17006</v>
      </c>
      <c r="Q10525" t="s">
        <v>621</v>
      </c>
      <c r="R10525" t="s">
        <v>917</v>
      </c>
      <c r="S10525">
        <v>39</v>
      </c>
      <c r="T10525" s="29" t="str">
        <f>HYPERLINK("https://ictv.global/ictv/proposals/2023.001B.Leviviricetes_reorg.zip","2023.001B.Leviviricetes_reorg.zip")</f>
        <v>2023.001B.Leviviricetes_reorg.zip</v>
      </c>
      <c r="U10525" s="29" t="str">
        <f>HYPERLINK("https://ictv.global/taxonomy/taxondetails?taxnode_id=202317556","ictv.global=202317556")</f>
        <v>ictv.global=202317556</v>
      </c>
    </row>
    <row r="10526" spans="1:21">
      <c r="A10526">
        <v>10525</v>
      </c>
      <c r="B10526" s="30" t="s">
        <v>1226</v>
      </c>
      <c r="D10526" s="30" t="s">
        <v>2024</v>
      </c>
      <c r="F10526" s="30" t="s">
        <v>2046</v>
      </c>
      <c r="H10526" s="30" t="s">
        <v>2859</v>
      </c>
      <c r="J10526" s="30" t="s">
        <v>3390</v>
      </c>
      <c r="L10526" s="30" t="s">
        <v>3442</v>
      </c>
      <c r="N10526" s="30" t="s">
        <v>3576</v>
      </c>
      <c r="P10526" s="30" t="s">
        <v>17007</v>
      </c>
      <c r="Q10526" t="s">
        <v>621</v>
      </c>
      <c r="R10526" t="s">
        <v>917</v>
      </c>
      <c r="S10526">
        <v>39</v>
      </c>
      <c r="T10526" s="29" t="str">
        <f>HYPERLINK("https://ictv.global/ictv/proposals/2023.001B.Leviviricetes_reorg.zip","2023.001B.Leviviricetes_reorg.zip")</f>
        <v>2023.001B.Leviviricetes_reorg.zip</v>
      </c>
      <c r="U10526" s="29" t="str">
        <f>HYPERLINK("https://ictv.global/taxonomy/taxondetails?taxnode_id=202317557","ictv.global=202317557")</f>
        <v>ictv.global=202317557</v>
      </c>
    </row>
    <row r="10527" spans="1:21">
      <c r="A10527">
        <v>10526</v>
      </c>
      <c r="B10527" s="30" t="s">
        <v>1226</v>
      </c>
      <c r="D10527" s="30" t="s">
        <v>2024</v>
      </c>
      <c r="F10527" s="30" t="s">
        <v>2046</v>
      </c>
      <c r="H10527" s="30" t="s">
        <v>2859</v>
      </c>
      <c r="J10527" s="30" t="s">
        <v>3390</v>
      </c>
      <c r="L10527" s="30" t="s">
        <v>3442</v>
      </c>
      <c r="N10527" s="30" t="s">
        <v>3576</v>
      </c>
      <c r="P10527" s="30" t="s">
        <v>3577</v>
      </c>
      <c r="Q10527" t="s">
        <v>621</v>
      </c>
      <c r="R10527" t="s">
        <v>917</v>
      </c>
      <c r="S10527">
        <v>36</v>
      </c>
      <c r="T10527" s="29" t="str">
        <f>HYPERLINK("https://ictv.global/ictv/proposals/2020.095B.R.Leviviricetes.zip","2020.095B.R.Leviviricetes.zip")</f>
        <v>2020.095B.R.Leviviricetes.zip</v>
      </c>
      <c r="U10527" s="29" t="str">
        <f>HYPERLINK("https://ictv.global/taxonomy/taxondetails?taxnode_id=202311353","ictv.global=202311353")</f>
        <v>ictv.global=202311353</v>
      </c>
    </row>
    <row r="10528" spans="1:21">
      <c r="A10528">
        <v>10527</v>
      </c>
      <c r="B10528" s="30" t="s">
        <v>1226</v>
      </c>
      <c r="D10528" s="30" t="s">
        <v>2024</v>
      </c>
      <c r="F10528" s="30" t="s">
        <v>2046</v>
      </c>
      <c r="H10528" s="30" t="s">
        <v>2859</v>
      </c>
      <c r="J10528" s="30" t="s">
        <v>3390</v>
      </c>
      <c r="L10528" s="30" t="s">
        <v>3442</v>
      </c>
      <c r="N10528" s="30" t="s">
        <v>3576</v>
      </c>
      <c r="P10528" s="30" t="s">
        <v>3578</v>
      </c>
      <c r="Q10528" t="s">
        <v>621</v>
      </c>
      <c r="R10528" t="s">
        <v>917</v>
      </c>
      <c r="S10528">
        <v>36</v>
      </c>
      <c r="T10528" s="29" t="str">
        <f>HYPERLINK("https://ictv.global/ictv/proposals/2020.095B.R.Leviviricetes.zip","2020.095B.R.Leviviricetes.zip")</f>
        <v>2020.095B.R.Leviviricetes.zip</v>
      </c>
      <c r="U10528" s="29" t="str">
        <f>HYPERLINK("https://ictv.global/taxonomy/taxondetails?taxnode_id=202311354","ictv.global=202311354")</f>
        <v>ictv.global=202311354</v>
      </c>
    </row>
    <row r="10529" spans="1:21">
      <c r="A10529">
        <v>10528</v>
      </c>
      <c r="B10529" s="30" t="s">
        <v>1226</v>
      </c>
      <c r="D10529" s="30" t="s">
        <v>2024</v>
      </c>
      <c r="F10529" s="30" t="s">
        <v>2046</v>
      </c>
      <c r="H10529" s="30" t="s">
        <v>2859</v>
      </c>
      <c r="J10529" s="30" t="s">
        <v>3390</v>
      </c>
      <c r="L10529" s="30" t="s">
        <v>3442</v>
      </c>
      <c r="N10529" s="30" t="s">
        <v>3576</v>
      </c>
      <c r="P10529" s="30" t="s">
        <v>3579</v>
      </c>
      <c r="Q10529" t="s">
        <v>621</v>
      </c>
      <c r="R10529" t="s">
        <v>917</v>
      </c>
      <c r="S10529">
        <v>36</v>
      </c>
      <c r="T10529" s="29" t="str">
        <f>HYPERLINK("https://ictv.global/ictv/proposals/2020.095B.R.Leviviricetes.zip","2020.095B.R.Leviviricetes.zip")</f>
        <v>2020.095B.R.Leviviricetes.zip</v>
      </c>
      <c r="U10529" s="29" t="str">
        <f>HYPERLINK("https://ictv.global/taxonomy/taxondetails?taxnode_id=202311355","ictv.global=202311355")</f>
        <v>ictv.global=202311355</v>
      </c>
    </row>
    <row r="10530" spans="1:21">
      <c r="A10530">
        <v>10529</v>
      </c>
      <c r="B10530" s="30" t="s">
        <v>1226</v>
      </c>
      <c r="D10530" s="30" t="s">
        <v>2024</v>
      </c>
      <c r="F10530" s="30" t="s">
        <v>2046</v>
      </c>
      <c r="H10530" s="30" t="s">
        <v>2859</v>
      </c>
      <c r="J10530" s="30" t="s">
        <v>3390</v>
      </c>
      <c r="L10530" s="30" t="s">
        <v>3442</v>
      </c>
      <c r="N10530" s="30" t="s">
        <v>3576</v>
      </c>
      <c r="P10530" s="30" t="s">
        <v>3580</v>
      </c>
      <c r="Q10530" t="s">
        <v>621</v>
      </c>
      <c r="R10530" t="s">
        <v>917</v>
      </c>
      <c r="S10530">
        <v>36</v>
      </c>
      <c r="T10530" s="29" t="str">
        <f>HYPERLINK("https://ictv.global/ictv/proposals/2020.095B.R.Leviviricetes.zip","2020.095B.R.Leviviricetes.zip")</f>
        <v>2020.095B.R.Leviviricetes.zip</v>
      </c>
      <c r="U10530" s="29" t="str">
        <f>HYPERLINK("https://ictv.global/taxonomy/taxondetails?taxnode_id=202311356","ictv.global=202311356")</f>
        <v>ictv.global=202311356</v>
      </c>
    </row>
    <row r="10531" spans="1:21">
      <c r="A10531">
        <v>10530</v>
      </c>
      <c r="B10531" s="30" t="s">
        <v>1226</v>
      </c>
      <c r="D10531" s="30" t="s">
        <v>2024</v>
      </c>
      <c r="F10531" s="30" t="s">
        <v>2046</v>
      </c>
      <c r="H10531" s="30" t="s">
        <v>2859</v>
      </c>
      <c r="J10531" s="30" t="s">
        <v>3390</v>
      </c>
      <c r="L10531" s="30" t="s">
        <v>3442</v>
      </c>
      <c r="N10531" s="30" t="s">
        <v>3576</v>
      </c>
      <c r="P10531" s="30" t="s">
        <v>17008</v>
      </c>
      <c r="Q10531" t="s">
        <v>621</v>
      </c>
      <c r="R10531" t="s">
        <v>917</v>
      </c>
      <c r="S10531">
        <v>39</v>
      </c>
      <c r="T10531" s="29" t="str">
        <f t="shared" ref="T10531:T10538" si="438">HYPERLINK("https://ictv.global/ictv/proposals/2023.001B.Leviviricetes_reorg.zip","2023.001B.Leviviricetes_reorg.zip")</f>
        <v>2023.001B.Leviviricetes_reorg.zip</v>
      </c>
      <c r="U10531" s="29" t="str">
        <f>HYPERLINK("https://ictv.global/taxonomy/taxondetails?taxnode_id=202317558","ictv.global=202317558")</f>
        <v>ictv.global=202317558</v>
      </c>
    </row>
    <row r="10532" spans="1:21">
      <c r="A10532">
        <v>10531</v>
      </c>
      <c r="B10532" s="30" t="s">
        <v>1226</v>
      </c>
      <c r="D10532" s="30" t="s">
        <v>2024</v>
      </c>
      <c r="F10532" s="30" t="s">
        <v>2046</v>
      </c>
      <c r="H10532" s="30" t="s">
        <v>2859</v>
      </c>
      <c r="J10532" s="30" t="s">
        <v>3390</v>
      </c>
      <c r="L10532" s="30" t="s">
        <v>3442</v>
      </c>
      <c r="N10532" s="30" t="s">
        <v>3576</v>
      </c>
      <c r="P10532" s="30" t="s">
        <v>17009</v>
      </c>
      <c r="Q10532" t="s">
        <v>621</v>
      </c>
      <c r="R10532" t="s">
        <v>917</v>
      </c>
      <c r="S10532">
        <v>39</v>
      </c>
      <c r="T10532" s="29" t="str">
        <f t="shared" si="438"/>
        <v>2023.001B.Leviviricetes_reorg.zip</v>
      </c>
      <c r="U10532" s="29" t="str">
        <f>HYPERLINK("https://ictv.global/taxonomy/taxondetails?taxnode_id=202317559","ictv.global=202317559")</f>
        <v>ictv.global=202317559</v>
      </c>
    </row>
    <row r="10533" spans="1:21">
      <c r="A10533">
        <v>10532</v>
      </c>
      <c r="B10533" s="30" t="s">
        <v>1226</v>
      </c>
      <c r="D10533" s="30" t="s">
        <v>2024</v>
      </c>
      <c r="F10533" s="30" t="s">
        <v>2046</v>
      </c>
      <c r="H10533" s="30" t="s">
        <v>2859</v>
      </c>
      <c r="J10533" s="30" t="s">
        <v>3390</v>
      </c>
      <c r="L10533" s="30" t="s">
        <v>3442</v>
      </c>
      <c r="N10533" s="30" t="s">
        <v>3576</v>
      </c>
      <c r="P10533" s="30" t="s">
        <v>17010</v>
      </c>
      <c r="Q10533" t="s">
        <v>621</v>
      </c>
      <c r="R10533" t="s">
        <v>917</v>
      </c>
      <c r="S10533">
        <v>39</v>
      </c>
      <c r="T10533" s="29" t="str">
        <f t="shared" si="438"/>
        <v>2023.001B.Leviviricetes_reorg.zip</v>
      </c>
      <c r="U10533" s="29" t="str">
        <f>HYPERLINK("https://ictv.global/taxonomy/taxondetails?taxnode_id=202317560","ictv.global=202317560")</f>
        <v>ictv.global=202317560</v>
      </c>
    </row>
    <row r="10534" spans="1:21">
      <c r="A10534">
        <v>10533</v>
      </c>
      <c r="B10534" s="30" t="s">
        <v>1226</v>
      </c>
      <c r="D10534" s="30" t="s">
        <v>2024</v>
      </c>
      <c r="F10534" s="30" t="s">
        <v>2046</v>
      </c>
      <c r="H10534" s="30" t="s">
        <v>2859</v>
      </c>
      <c r="J10534" s="30" t="s">
        <v>3390</v>
      </c>
      <c r="L10534" s="30" t="s">
        <v>3442</v>
      </c>
      <c r="N10534" s="30" t="s">
        <v>3581</v>
      </c>
      <c r="P10534" s="30" t="s">
        <v>17011</v>
      </c>
      <c r="Q10534" t="s">
        <v>621</v>
      </c>
      <c r="R10534" t="s">
        <v>917</v>
      </c>
      <c r="S10534">
        <v>39</v>
      </c>
      <c r="T10534" s="29" t="str">
        <f t="shared" si="438"/>
        <v>2023.001B.Leviviricetes_reorg.zip</v>
      </c>
      <c r="U10534" s="29" t="str">
        <f>HYPERLINK("https://ictv.global/taxonomy/taxondetails?taxnode_id=202317561","ictv.global=202317561")</f>
        <v>ictv.global=202317561</v>
      </c>
    </row>
    <row r="10535" spans="1:21">
      <c r="A10535">
        <v>10534</v>
      </c>
      <c r="B10535" s="30" t="s">
        <v>1226</v>
      </c>
      <c r="D10535" s="30" t="s">
        <v>2024</v>
      </c>
      <c r="F10535" s="30" t="s">
        <v>2046</v>
      </c>
      <c r="H10535" s="30" t="s">
        <v>2859</v>
      </c>
      <c r="J10535" s="30" t="s">
        <v>3390</v>
      </c>
      <c r="L10535" s="30" t="s">
        <v>3442</v>
      </c>
      <c r="N10535" s="30" t="s">
        <v>3581</v>
      </c>
      <c r="P10535" s="30" t="s">
        <v>17012</v>
      </c>
      <c r="Q10535" t="s">
        <v>621</v>
      </c>
      <c r="R10535" t="s">
        <v>917</v>
      </c>
      <c r="S10535">
        <v>39</v>
      </c>
      <c r="T10535" s="29" t="str">
        <f t="shared" si="438"/>
        <v>2023.001B.Leviviricetes_reorg.zip</v>
      </c>
      <c r="U10535" s="29" t="str">
        <f>HYPERLINK("https://ictv.global/taxonomy/taxondetails?taxnode_id=202317562","ictv.global=202317562")</f>
        <v>ictv.global=202317562</v>
      </c>
    </row>
    <row r="10536" spans="1:21">
      <c r="A10536">
        <v>10535</v>
      </c>
      <c r="B10536" s="30" t="s">
        <v>1226</v>
      </c>
      <c r="D10536" s="30" t="s">
        <v>2024</v>
      </c>
      <c r="F10536" s="30" t="s">
        <v>2046</v>
      </c>
      <c r="H10536" s="30" t="s">
        <v>2859</v>
      </c>
      <c r="J10536" s="30" t="s">
        <v>3390</v>
      </c>
      <c r="L10536" s="30" t="s">
        <v>3442</v>
      </c>
      <c r="N10536" s="30" t="s">
        <v>3581</v>
      </c>
      <c r="P10536" s="30" t="s">
        <v>17013</v>
      </c>
      <c r="Q10536" t="s">
        <v>621</v>
      </c>
      <c r="R10536" t="s">
        <v>917</v>
      </c>
      <c r="S10536">
        <v>39</v>
      </c>
      <c r="T10536" s="29" t="str">
        <f t="shared" si="438"/>
        <v>2023.001B.Leviviricetes_reorg.zip</v>
      </c>
      <c r="U10536" s="29" t="str">
        <f>HYPERLINK("https://ictv.global/taxonomy/taxondetails?taxnode_id=202317563","ictv.global=202317563")</f>
        <v>ictv.global=202317563</v>
      </c>
    </row>
    <row r="10537" spans="1:21">
      <c r="A10537">
        <v>10536</v>
      </c>
      <c r="B10537" s="30" t="s">
        <v>1226</v>
      </c>
      <c r="D10537" s="30" t="s">
        <v>2024</v>
      </c>
      <c r="F10537" s="30" t="s">
        <v>2046</v>
      </c>
      <c r="H10537" s="30" t="s">
        <v>2859</v>
      </c>
      <c r="J10537" s="30" t="s">
        <v>3390</v>
      </c>
      <c r="L10537" s="30" t="s">
        <v>3442</v>
      </c>
      <c r="N10537" s="30" t="s">
        <v>3581</v>
      </c>
      <c r="P10537" s="30" t="s">
        <v>17014</v>
      </c>
      <c r="Q10537" t="s">
        <v>621</v>
      </c>
      <c r="R10537" t="s">
        <v>917</v>
      </c>
      <c r="S10537">
        <v>39</v>
      </c>
      <c r="T10537" s="29" t="str">
        <f t="shared" si="438"/>
        <v>2023.001B.Leviviricetes_reorg.zip</v>
      </c>
      <c r="U10537" s="29" t="str">
        <f>HYPERLINK("https://ictv.global/taxonomy/taxondetails?taxnode_id=202317564","ictv.global=202317564")</f>
        <v>ictv.global=202317564</v>
      </c>
    </row>
    <row r="10538" spans="1:21">
      <c r="A10538">
        <v>10537</v>
      </c>
      <c r="B10538" s="30" t="s">
        <v>1226</v>
      </c>
      <c r="D10538" s="30" t="s">
        <v>2024</v>
      </c>
      <c r="F10538" s="30" t="s">
        <v>2046</v>
      </c>
      <c r="H10538" s="30" t="s">
        <v>2859</v>
      </c>
      <c r="J10538" s="30" t="s">
        <v>3390</v>
      </c>
      <c r="L10538" s="30" t="s">
        <v>3442</v>
      </c>
      <c r="N10538" s="30" t="s">
        <v>3581</v>
      </c>
      <c r="P10538" s="30" t="s">
        <v>17015</v>
      </c>
      <c r="Q10538" t="s">
        <v>621</v>
      </c>
      <c r="R10538" t="s">
        <v>917</v>
      </c>
      <c r="S10538">
        <v>39</v>
      </c>
      <c r="T10538" s="29" t="str">
        <f t="shared" si="438"/>
        <v>2023.001B.Leviviricetes_reorg.zip</v>
      </c>
      <c r="U10538" s="29" t="str">
        <f>HYPERLINK("https://ictv.global/taxonomy/taxondetails?taxnode_id=202317565","ictv.global=202317565")</f>
        <v>ictv.global=202317565</v>
      </c>
    </row>
    <row r="10539" spans="1:21">
      <c r="A10539">
        <v>10538</v>
      </c>
      <c r="B10539" s="30" t="s">
        <v>1226</v>
      </c>
      <c r="D10539" s="30" t="s">
        <v>2024</v>
      </c>
      <c r="F10539" s="30" t="s">
        <v>2046</v>
      </c>
      <c r="H10539" s="30" t="s">
        <v>2859</v>
      </c>
      <c r="J10539" s="30" t="s">
        <v>3390</v>
      </c>
      <c r="L10539" s="30" t="s">
        <v>3442</v>
      </c>
      <c r="N10539" s="30" t="s">
        <v>3581</v>
      </c>
      <c r="P10539" s="30" t="s">
        <v>3582</v>
      </c>
      <c r="Q10539" t="s">
        <v>621</v>
      </c>
      <c r="R10539" t="s">
        <v>917</v>
      </c>
      <c r="S10539">
        <v>36</v>
      </c>
      <c r="T10539" s="29" t="str">
        <f>HYPERLINK("https://ictv.global/ictv/proposals/2020.095B.R.Leviviricetes.zip","2020.095B.R.Leviviricetes.zip")</f>
        <v>2020.095B.R.Leviviricetes.zip</v>
      </c>
      <c r="U10539" s="29" t="str">
        <f>HYPERLINK("https://ictv.global/taxonomy/taxondetails?taxnode_id=202311358","ictv.global=202311358")</f>
        <v>ictv.global=202311358</v>
      </c>
    </row>
    <row r="10540" spans="1:21">
      <c r="A10540">
        <v>10539</v>
      </c>
      <c r="B10540" s="30" t="s">
        <v>1226</v>
      </c>
      <c r="D10540" s="30" t="s">
        <v>2024</v>
      </c>
      <c r="F10540" s="30" t="s">
        <v>2046</v>
      </c>
      <c r="H10540" s="30" t="s">
        <v>2859</v>
      </c>
      <c r="J10540" s="30" t="s">
        <v>3390</v>
      </c>
      <c r="L10540" s="30" t="s">
        <v>3442</v>
      </c>
      <c r="N10540" s="30" t="s">
        <v>17016</v>
      </c>
      <c r="P10540" s="30" t="s">
        <v>17017</v>
      </c>
      <c r="Q10540" t="s">
        <v>621</v>
      </c>
      <c r="R10540" t="s">
        <v>917</v>
      </c>
      <c r="S10540">
        <v>39</v>
      </c>
      <c r="T10540" s="29" t="str">
        <f t="shared" ref="T10540:T10550" si="439">HYPERLINK("https://ictv.global/ictv/proposals/2023.001B.Leviviricetes_reorg.zip","2023.001B.Leviviricetes_reorg.zip")</f>
        <v>2023.001B.Leviviricetes_reorg.zip</v>
      </c>
      <c r="U10540" s="29" t="str">
        <f>HYPERLINK("https://ictv.global/taxonomy/taxondetails?taxnode_id=202317566","ictv.global=202317566")</f>
        <v>ictv.global=202317566</v>
      </c>
    </row>
    <row r="10541" spans="1:21">
      <c r="A10541">
        <v>10540</v>
      </c>
      <c r="B10541" s="30" t="s">
        <v>1226</v>
      </c>
      <c r="D10541" s="30" t="s">
        <v>2024</v>
      </c>
      <c r="F10541" s="30" t="s">
        <v>2046</v>
      </c>
      <c r="H10541" s="30" t="s">
        <v>2859</v>
      </c>
      <c r="J10541" s="30" t="s">
        <v>3390</v>
      </c>
      <c r="L10541" s="30" t="s">
        <v>3442</v>
      </c>
      <c r="N10541" s="30" t="s">
        <v>17018</v>
      </c>
      <c r="P10541" s="30" t="s">
        <v>17019</v>
      </c>
      <c r="Q10541" t="s">
        <v>621</v>
      </c>
      <c r="R10541" t="s">
        <v>917</v>
      </c>
      <c r="S10541">
        <v>39</v>
      </c>
      <c r="T10541" s="29" t="str">
        <f t="shared" si="439"/>
        <v>2023.001B.Leviviricetes_reorg.zip</v>
      </c>
      <c r="U10541" s="29" t="str">
        <f>HYPERLINK("https://ictv.global/taxonomy/taxondetails?taxnode_id=202317567","ictv.global=202317567")</f>
        <v>ictv.global=202317567</v>
      </c>
    </row>
    <row r="10542" spans="1:21">
      <c r="A10542">
        <v>10541</v>
      </c>
      <c r="B10542" s="30" t="s">
        <v>1226</v>
      </c>
      <c r="D10542" s="30" t="s">
        <v>2024</v>
      </c>
      <c r="F10542" s="30" t="s">
        <v>2046</v>
      </c>
      <c r="H10542" s="30" t="s">
        <v>2859</v>
      </c>
      <c r="J10542" s="30" t="s">
        <v>3390</v>
      </c>
      <c r="L10542" s="30" t="s">
        <v>3442</v>
      </c>
      <c r="N10542" s="30" t="s">
        <v>17020</v>
      </c>
      <c r="P10542" s="30" t="s">
        <v>17021</v>
      </c>
      <c r="Q10542" t="s">
        <v>621</v>
      </c>
      <c r="R10542" t="s">
        <v>917</v>
      </c>
      <c r="S10542">
        <v>39</v>
      </c>
      <c r="T10542" s="29" t="str">
        <f t="shared" si="439"/>
        <v>2023.001B.Leviviricetes_reorg.zip</v>
      </c>
      <c r="U10542" s="29" t="str">
        <f>HYPERLINK("https://ictv.global/taxonomy/taxondetails?taxnode_id=202317568","ictv.global=202317568")</f>
        <v>ictv.global=202317568</v>
      </c>
    </row>
    <row r="10543" spans="1:21">
      <c r="A10543">
        <v>10542</v>
      </c>
      <c r="B10543" s="30" t="s">
        <v>1226</v>
      </c>
      <c r="D10543" s="30" t="s">
        <v>2024</v>
      </c>
      <c r="F10543" s="30" t="s">
        <v>2046</v>
      </c>
      <c r="H10543" s="30" t="s">
        <v>2859</v>
      </c>
      <c r="J10543" s="30" t="s">
        <v>3390</v>
      </c>
      <c r="L10543" s="30" t="s">
        <v>3442</v>
      </c>
      <c r="N10543" s="30" t="s">
        <v>17020</v>
      </c>
      <c r="P10543" s="30" t="s">
        <v>17022</v>
      </c>
      <c r="Q10543" t="s">
        <v>621</v>
      </c>
      <c r="R10543" t="s">
        <v>917</v>
      </c>
      <c r="S10543">
        <v>39</v>
      </c>
      <c r="T10543" s="29" t="str">
        <f t="shared" si="439"/>
        <v>2023.001B.Leviviricetes_reorg.zip</v>
      </c>
      <c r="U10543" s="29" t="str">
        <f>HYPERLINK("https://ictv.global/taxonomy/taxondetails?taxnode_id=202317569","ictv.global=202317569")</f>
        <v>ictv.global=202317569</v>
      </c>
    </row>
    <row r="10544" spans="1:21">
      <c r="A10544">
        <v>10543</v>
      </c>
      <c r="B10544" s="30" t="s">
        <v>1226</v>
      </c>
      <c r="D10544" s="30" t="s">
        <v>2024</v>
      </c>
      <c r="F10544" s="30" t="s">
        <v>2046</v>
      </c>
      <c r="H10544" s="30" t="s">
        <v>2859</v>
      </c>
      <c r="J10544" s="30" t="s">
        <v>3390</v>
      </c>
      <c r="L10544" s="30" t="s">
        <v>3442</v>
      </c>
      <c r="N10544" s="30" t="s">
        <v>17023</v>
      </c>
      <c r="P10544" s="30" t="s">
        <v>17024</v>
      </c>
      <c r="Q10544" t="s">
        <v>621</v>
      </c>
      <c r="R10544" t="s">
        <v>918</v>
      </c>
      <c r="S10544">
        <v>39</v>
      </c>
      <c r="T10544" s="29" t="str">
        <f t="shared" si="439"/>
        <v>2023.001B.Leviviricetes_reorg.zip</v>
      </c>
      <c r="U10544" s="29" t="str">
        <f>HYPERLINK("https://ictv.global/taxonomy/taxondetails?taxnode_id=202311013","ictv.global=202311013")</f>
        <v>ictv.global=202311013</v>
      </c>
    </row>
    <row r="10545" spans="1:21">
      <c r="A10545">
        <v>10544</v>
      </c>
      <c r="B10545" s="30" t="s">
        <v>1226</v>
      </c>
      <c r="D10545" s="30" t="s">
        <v>2024</v>
      </c>
      <c r="F10545" s="30" t="s">
        <v>2046</v>
      </c>
      <c r="H10545" s="30" t="s">
        <v>2859</v>
      </c>
      <c r="J10545" s="30" t="s">
        <v>3390</v>
      </c>
      <c r="L10545" s="30" t="s">
        <v>3442</v>
      </c>
      <c r="N10545" s="30" t="s">
        <v>17023</v>
      </c>
      <c r="P10545" s="30" t="s">
        <v>17025</v>
      </c>
      <c r="Q10545" t="s">
        <v>621</v>
      </c>
      <c r="R10545" t="s">
        <v>917</v>
      </c>
      <c r="S10545">
        <v>39</v>
      </c>
      <c r="T10545" s="29" t="str">
        <f t="shared" si="439"/>
        <v>2023.001B.Leviviricetes_reorg.zip</v>
      </c>
      <c r="U10545" s="29" t="str">
        <f>HYPERLINK("https://ictv.global/taxonomy/taxondetails?taxnode_id=202317570","ictv.global=202317570")</f>
        <v>ictv.global=202317570</v>
      </c>
    </row>
    <row r="10546" spans="1:21">
      <c r="A10546">
        <v>10545</v>
      </c>
      <c r="B10546" s="30" t="s">
        <v>1226</v>
      </c>
      <c r="D10546" s="30" t="s">
        <v>2024</v>
      </c>
      <c r="F10546" s="30" t="s">
        <v>2046</v>
      </c>
      <c r="H10546" s="30" t="s">
        <v>2859</v>
      </c>
      <c r="J10546" s="30" t="s">
        <v>3390</v>
      </c>
      <c r="L10546" s="30" t="s">
        <v>3442</v>
      </c>
      <c r="N10546" s="30" t="s">
        <v>17026</v>
      </c>
      <c r="P10546" s="30" t="s">
        <v>17027</v>
      </c>
      <c r="Q10546" t="s">
        <v>621</v>
      </c>
      <c r="R10546" t="s">
        <v>917</v>
      </c>
      <c r="S10546">
        <v>39</v>
      </c>
      <c r="T10546" s="29" t="str">
        <f t="shared" si="439"/>
        <v>2023.001B.Leviviricetes_reorg.zip</v>
      </c>
      <c r="U10546" s="29" t="str">
        <f>HYPERLINK("https://ictv.global/taxonomy/taxondetails?taxnode_id=202317571","ictv.global=202317571")</f>
        <v>ictv.global=202317571</v>
      </c>
    </row>
    <row r="10547" spans="1:21">
      <c r="A10547">
        <v>10546</v>
      </c>
      <c r="B10547" s="30" t="s">
        <v>1226</v>
      </c>
      <c r="D10547" s="30" t="s">
        <v>2024</v>
      </c>
      <c r="F10547" s="30" t="s">
        <v>2046</v>
      </c>
      <c r="H10547" s="30" t="s">
        <v>2859</v>
      </c>
      <c r="J10547" s="30" t="s">
        <v>3390</v>
      </c>
      <c r="L10547" s="30" t="s">
        <v>3442</v>
      </c>
      <c r="N10547" s="30" t="s">
        <v>17026</v>
      </c>
      <c r="P10547" s="30" t="s">
        <v>17028</v>
      </c>
      <c r="Q10547" t="s">
        <v>621</v>
      </c>
      <c r="R10547" t="s">
        <v>917</v>
      </c>
      <c r="S10547">
        <v>39</v>
      </c>
      <c r="T10547" s="29" t="str">
        <f t="shared" si="439"/>
        <v>2023.001B.Leviviricetes_reorg.zip</v>
      </c>
      <c r="U10547" s="29" t="str">
        <f>HYPERLINK("https://ictv.global/taxonomy/taxondetails?taxnode_id=202317572","ictv.global=202317572")</f>
        <v>ictv.global=202317572</v>
      </c>
    </row>
    <row r="10548" spans="1:21">
      <c r="A10548">
        <v>10547</v>
      </c>
      <c r="B10548" s="30" t="s">
        <v>1226</v>
      </c>
      <c r="D10548" s="30" t="s">
        <v>2024</v>
      </c>
      <c r="F10548" s="30" t="s">
        <v>2046</v>
      </c>
      <c r="H10548" s="30" t="s">
        <v>2859</v>
      </c>
      <c r="J10548" s="30" t="s">
        <v>3390</v>
      </c>
      <c r="L10548" s="30" t="s">
        <v>3442</v>
      </c>
      <c r="N10548" s="30" t="s">
        <v>3583</v>
      </c>
      <c r="P10548" s="30" t="s">
        <v>17029</v>
      </c>
      <c r="Q10548" t="s">
        <v>621</v>
      </c>
      <c r="R10548" t="s">
        <v>917</v>
      </c>
      <c r="S10548">
        <v>39</v>
      </c>
      <c r="T10548" s="29" t="str">
        <f t="shared" si="439"/>
        <v>2023.001B.Leviviricetes_reorg.zip</v>
      </c>
      <c r="U10548" s="29" t="str">
        <f>HYPERLINK("https://ictv.global/taxonomy/taxondetails?taxnode_id=202317573","ictv.global=202317573")</f>
        <v>ictv.global=202317573</v>
      </c>
    </row>
    <row r="10549" spans="1:21">
      <c r="A10549">
        <v>10548</v>
      </c>
      <c r="B10549" s="30" t="s">
        <v>1226</v>
      </c>
      <c r="D10549" s="30" t="s">
        <v>2024</v>
      </c>
      <c r="F10549" s="30" t="s">
        <v>2046</v>
      </c>
      <c r="H10549" s="30" t="s">
        <v>2859</v>
      </c>
      <c r="J10549" s="30" t="s">
        <v>3390</v>
      </c>
      <c r="L10549" s="30" t="s">
        <v>3442</v>
      </c>
      <c r="N10549" s="30" t="s">
        <v>3583</v>
      </c>
      <c r="P10549" s="30" t="s">
        <v>17030</v>
      </c>
      <c r="Q10549" t="s">
        <v>621</v>
      </c>
      <c r="R10549" t="s">
        <v>917</v>
      </c>
      <c r="S10549">
        <v>39</v>
      </c>
      <c r="T10549" s="29" t="str">
        <f t="shared" si="439"/>
        <v>2023.001B.Leviviricetes_reorg.zip</v>
      </c>
      <c r="U10549" s="29" t="str">
        <f>HYPERLINK("https://ictv.global/taxonomy/taxondetails?taxnode_id=202317574","ictv.global=202317574")</f>
        <v>ictv.global=202317574</v>
      </c>
    </row>
    <row r="10550" spans="1:21">
      <c r="A10550">
        <v>10549</v>
      </c>
      <c r="B10550" s="30" t="s">
        <v>1226</v>
      </c>
      <c r="D10550" s="30" t="s">
        <v>2024</v>
      </c>
      <c r="F10550" s="30" t="s">
        <v>2046</v>
      </c>
      <c r="H10550" s="30" t="s">
        <v>2859</v>
      </c>
      <c r="J10550" s="30" t="s">
        <v>3390</v>
      </c>
      <c r="L10550" s="30" t="s">
        <v>3442</v>
      </c>
      <c r="N10550" s="30" t="s">
        <v>3583</v>
      </c>
      <c r="P10550" s="30" t="s">
        <v>17031</v>
      </c>
      <c r="Q10550" t="s">
        <v>621</v>
      </c>
      <c r="R10550" t="s">
        <v>917</v>
      </c>
      <c r="S10550">
        <v>39</v>
      </c>
      <c r="T10550" s="29" t="str">
        <f t="shared" si="439"/>
        <v>2023.001B.Leviviricetes_reorg.zip</v>
      </c>
      <c r="U10550" s="29" t="str">
        <f>HYPERLINK("https://ictv.global/taxonomy/taxondetails?taxnode_id=202317575","ictv.global=202317575")</f>
        <v>ictv.global=202317575</v>
      </c>
    </row>
    <row r="10551" spans="1:21">
      <c r="A10551">
        <v>10550</v>
      </c>
      <c r="B10551" s="30" t="s">
        <v>1226</v>
      </c>
      <c r="D10551" s="30" t="s">
        <v>2024</v>
      </c>
      <c r="F10551" s="30" t="s">
        <v>2046</v>
      </c>
      <c r="H10551" s="30" t="s">
        <v>2859</v>
      </c>
      <c r="J10551" s="30" t="s">
        <v>3390</v>
      </c>
      <c r="L10551" s="30" t="s">
        <v>3442</v>
      </c>
      <c r="N10551" s="30" t="s">
        <v>3583</v>
      </c>
      <c r="P10551" s="30" t="s">
        <v>3584</v>
      </c>
      <c r="Q10551" t="s">
        <v>621</v>
      </c>
      <c r="R10551" t="s">
        <v>917</v>
      </c>
      <c r="S10551">
        <v>36</v>
      </c>
      <c r="T10551" s="29" t="str">
        <f>HYPERLINK("https://ictv.global/ictv/proposals/2020.095B.R.Leviviricetes.zip","2020.095B.R.Leviviricetes.zip")</f>
        <v>2020.095B.R.Leviviricetes.zip</v>
      </c>
      <c r="U10551" s="29" t="str">
        <f>HYPERLINK("https://ictv.global/taxonomy/taxondetails?taxnode_id=202311365","ictv.global=202311365")</f>
        <v>ictv.global=202311365</v>
      </c>
    </row>
    <row r="10552" spans="1:21">
      <c r="A10552">
        <v>10551</v>
      </c>
      <c r="B10552" s="30" t="s">
        <v>1226</v>
      </c>
      <c r="D10552" s="30" t="s">
        <v>2024</v>
      </c>
      <c r="F10552" s="30" t="s">
        <v>2046</v>
      </c>
      <c r="H10552" s="30" t="s">
        <v>2859</v>
      </c>
      <c r="J10552" s="30" t="s">
        <v>3390</v>
      </c>
      <c r="L10552" s="30" t="s">
        <v>3442</v>
      </c>
      <c r="N10552" s="30" t="s">
        <v>3583</v>
      </c>
      <c r="P10552" s="30" t="s">
        <v>17032</v>
      </c>
      <c r="Q10552" t="s">
        <v>621</v>
      </c>
      <c r="R10552" t="s">
        <v>917</v>
      </c>
      <c r="S10552">
        <v>39</v>
      </c>
      <c r="T10552" s="29" t="str">
        <f t="shared" ref="T10552:T10569" si="440">HYPERLINK("https://ictv.global/ictv/proposals/2023.001B.Leviviricetes_reorg.zip","2023.001B.Leviviricetes_reorg.zip")</f>
        <v>2023.001B.Leviviricetes_reorg.zip</v>
      </c>
      <c r="U10552" s="29" t="str">
        <f>HYPERLINK("https://ictv.global/taxonomy/taxondetails?taxnode_id=202317576","ictv.global=202317576")</f>
        <v>ictv.global=202317576</v>
      </c>
    </row>
    <row r="10553" spans="1:21">
      <c r="A10553">
        <v>10552</v>
      </c>
      <c r="B10553" s="30" t="s">
        <v>1226</v>
      </c>
      <c r="D10553" s="30" t="s">
        <v>2024</v>
      </c>
      <c r="F10553" s="30" t="s">
        <v>2046</v>
      </c>
      <c r="H10553" s="30" t="s">
        <v>2859</v>
      </c>
      <c r="J10553" s="30" t="s">
        <v>3390</v>
      </c>
      <c r="L10553" s="30" t="s">
        <v>3442</v>
      </c>
      <c r="N10553" s="30" t="s">
        <v>3583</v>
      </c>
      <c r="P10553" s="30" t="s">
        <v>17033</v>
      </c>
      <c r="Q10553" t="s">
        <v>621</v>
      </c>
      <c r="R10553" t="s">
        <v>917</v>
      </c>
      <c r="S10553">
        <v>39</v>
      </c>
      <c r="T10553" s="29" t="str">
        <f t="shared" si="440"/>
        <v>2023.001B.Leviviricetes_reorg.zip</v>
      </c>
      <c r="U10553" s="29" t="str">
        <f>HYPERLINK("https://ictv.global/taxonomy/taxondetails?taxnode_id=202317577","ictv.global=202317577")</f>
        <v>ictv.global=202317577</v>
      </c>
    </row>
    <row r="10554" spans="1:21">
      <c r="A10554">
        <v>10553</v>
      </c>
      <c r="B10554" s="30" t="s">
        <v>1226</v>
      </c>
      <c r="D10554" s="30" t="s">
        <v>2024</v>
      </c>
      <c r="F10554" s="30" t="s">
        <v>2046</v>
      </c>
      <c r="H10554" s="30" t="s">
        <v>2859</v>
      </c>
      <c r="J10554" s="30" t="s">
        <v>3390</v>
      </c>
      <c r="L10554" s="30" t="s">
        <v>3442</v>
      </c>
      <c r="N10554" s="30" t="s">
        <v>3583</v>
      </c>
      <c r="P10554" s="30" t="s">
        <v>17034</v>
      </c>
      <c r="Q10554" t="s">
        <v>621</v>
      </c>
      <c r="R10554" t="s">
        <v>917</v>
      </c>
      <c r="S10554">
        <v>39</v>
      </c>
      <c r="T10554" s="29" t="str">
        <f t="shared" si="440"/>
        <v>2023.001B.Leviviricetes_reorg.zip</v>
      </c>
      <c r="U10554" s="29" t="str">
        <f>HYPERLINK("https://ictv.global/taxonomy/taxondetails?taxnode_id=202317578","ictv.global=202317578")</f>
        <v>ictv.global=202317578</v>
      </c>
    </row>
    <row r="10555" spans="1:21">
      <c r="A10555">
        <v>10554</v>
      </c>
      <c r="B10555" s="30" t="s">
        <v>1226</v>
      </c>
      <c r="D10555" s="30" t="s">
        <v>2024</v>
      </c>
      <c r="F10555" s="30" t="s">
        <v>2046</v>
      </c>
      <c r="H10555" s="30" t="s">
        <v>2859</v>
      </c>
      <c r="J10555" s="30" t="s">
        <v>3390</v>
      </c>
      <c r="L10555" s="30" t="s">
        <v>3442</v>
      </c>
      <c r="N10555" s="30" t="s">
        <v>3583</v>
      </c>
      <c r="P10555" s="30" t="s">
        <v>17035</v>
      </c>
      <c r="Q10555" t="s">
        <v>621</v>
      </c>
      <c r="R10555" t="s">
        <v>917</v>
      </c>
      <c r="S10555">
        <v>39</v>
      </c>
      <c r="T10555" s="29" t="str">
        <f t="shared" si="440"/>
        <v>2023.001B.Leviviricetes_reorg.zip</v>
      </c>
      <c r="U10555" s="29" t="str">
        <f>HYPERLINK("https://ictv.global/taxonomy/taxondetails?taxnode_id=202317579","ictv.global=202317579")</f>
        <v>ictv.global=202317579</v>
      </c>
    </row>
    <row r="10556" spans="1:21">
      <c r="A10556">
        <v>10555</v>
      </c>
      <c r="B10556" s="30" t="s">
        <v>1226</v>
      </c>
      <c r="D10556" s="30" t="s">
        <v>2024</v>
      </c>
      <c r="F10556" s="30" t="s">
        <v>2046</v>
      </c>
      <c r="H10556" s="30" t="s">
        <v>2859</v>
      </c>
      <c r="J10556" s="30" t="s">
        <v>3390</v>
      </c>
      <c r="L10556" s="30" t="s">
        <v>3442</v>
      </c>
      <c r="N10556" s="30" t="s">
        <v>3583</v>
      </c>
      <c r="P10556" s="30" t="s">
        <v>17036</v>
      </c>
      <c r="Q10556" t="s">
        <v>621</v>
      </c>
      <c r="R10556" t="s">
        <v>917</v>
      </c>
      <c r="S10556">
        <v>39</v>
      </c>
      <c r="T10556" s="29" t="str">
        <f t="shared" si="440"/>
        <v>2023.001B.Leviviricetes_reorg.zip</v>
      </c>
      <c r="U10556" s="29" t="str">
        <f>HYPERLINK("https://ictv.global/taxonomy/taxondetails?taxnode_id=202317580","ictv.global=202317580")</f>
        <v>ictv.global=202317580</v>
      </c>
    </row>
    <row r="10557" spans="1:21">
      <c r="A10557">
        <v>10556</v>
      </c>
      <c r="B10557" s="30" t="s">
        <v>1226</v>
      </c>
      <c r="D10557" s="30" t="s">
        <v>2024</v>
      </c>
      <c r="F10557" s="30" t="s">
        <v>2046</v>
      </c>
      <c r="H10557" s="30" t="s">
        <v>2859</v>
      </c>
      <c r="J10557" s="30" t="s">
        <v>3390</v>
      </c>
      <c r="L10557" s="30" t="s">
        <v>3442</v>
      </c>
      <c r="N10557" s="30" t="s">
        <v>17037</v>
      </c>
      <c r="P10557" s="30" t="s">
        <v>17038</v>
      </c>
      <c r="Q10557" t="s">
        <v>621</v>
      </c>
      <c r="R10557" t="s">
        <v>917</v>
      </c>
      <c r="S10557">
        <v>39</v>
      </c>
      <c r="T10557" s="29" t="str">
        <f t="shared" si="440"/>
        <v>2023.001B.Leviviricetes_reorg.zip</v>
      </c>
      <c r="U10557" s="29" t="str">
        <f>HYPERLINK("https://ictv.global/taxonomy/taxondetails?taxnode_id=202317581","ictv.global=202317581")</f>
        <v>ictv.global=202317581</v>
      </c>
    </row>
    <row r="10558" spans="1:21">
      <c r="A10558">
        <v>10557</v>
      </c>
      <c r="B10558" s="30" t="s">
        <v>1226</v>
      </c>
      <c r="D10558" s="30" t="s">
        <v>2024</v>
      </c>
      <c r="F10558" s="30" t="s">
        <v>2046</v>
      </c>
      <c r="H10558" s="30" t="s">
        <v>2859</v>
      </c>
      <c r="J10558" s="30" t="s">
        <v>3390</v>
      </c>
      <c r="L10558" s="30" t="s">
        <v>3442</v>
      </c>
      <c r="N10558" s="30" t="s">
        <v>17039</v>
      </c>
      <c r="P10558" s="30" t="s">
        <v>17040</v>
      </c>
      <c r="Q10558" t="s">
        <v>621</v>
      </c>
      <c r="R10558" t="s">
        <v>917</v>
      </c>
      <c r="S10558">
        <v>39</v>
      </c>
      <c r="T10558" s="29" t="str">
        <f t="shared" si="440"/>
        <v>2023.001B.Leviviricetes_reorg.zip</v>
      </c>
      <c r="U10558" s="29" t="str">
        <f>HYPERLINK("https://ictv.global/taxonomy/taxondetails?taxnode_id=202317582","ictv.global=202317582")</f>
        <v>ictv.global=202317582</v>
      </c>
    </row>
    <row r="10559" spans="1:21">
      <c r="A10559">
        <v>10558</v>
      </c>
      <c r="B10559" s="30" t="s">
        <v>1226</v>
      </c>
      <c r="D10559" s="30" t="s">
        <v>2024</v>
      </c>
      <c r="F10559" s="30" t="s">
        <v>2046</v>
      </c>
      <c r="H10559" s="30" t="s">
        <v>2859</v>
      </c>
      <c r="J10559" s="30" t="s">
        <v>3390</v>
      </c>
      <c r="L10559" s="30" t="s">
        <v>3442</v>
      </c>
      <c r="N10559" s="30" t="s">
        <v>17041</v>
      </c>
      <c r="P10559" s="30" t="s">
        <v>17042</v>
      </c>
      <c r="Q10559" t="s">
        <v>621</v>
      </c>
      <c r="R10559" t="s">
        <v>917</v>
      </c>
      <c r="S10559">
        <v>39</v>
      </c>
      <c r="T10559" s="29" t="str">
        <f t="shared" si="440"/>
        <v>2023.001B.Leviviricetes_reorg.zip</v>
      </c>
      <c r="U10559" s="29" t="str">
        <f>HYPERLINK("https://ictv.global/taxonomy/taxondetails?taxnode_id=202317583","ictv.global=202317583")</f>
        <v>ictv.global=202317583</v>
      </c>
    </row>
    <row r="10560" spans="1:21">
      <c r="A10560">
        <v>10559</v>
      </c>
      <c r="B10560" s="30" t="s">
        <v>1226</v>
      </c>
      <c r="D10560" s="30" t="s">
        <v>2024</v>
      </c>
      <c r="F10560" s="30" t="s">
        <v>2046</v>
      </c>
      <c r="H10560" s="30" t="s">
        <v>2859</v>
      </c>
      <c r="J10560" s="30" t="s">
        <v>3390</v>
      </c>
      <c r="L10560" s="30" t="s">
        <v>3442</v>
      </c>
      <c r="N10560" s="30" t="s">
        <v>17041</v>
      </c>
      <c r="P10560" s="30" t="s">
        <v>17043</v>
      </c>
      <c r="Q10560" t="s">
        <v>621</v>
      </c>
      <c r="R10560" t="s">
        <v>917</v>
      </c>
      <c r="S10560">
        <v>39</v>
      </c>
      <c r="T10560" s="29" t="str">
        <f t="shared" si="440"/>
        <v>2023.001B.Leviviricetes_reorg.zip</v>
      </c>
      <c r="U10560" s="29" t="str">
        <f>HYPERLINK("https://ictv.global/taxonomy/taxondetails?taxnode_id=202317584","ictv.global=202317584")</f>
        <v>ictv.global=202317584</v>
      </c>
    </row>
    <row r="10561" spans="1:21">
      <c r="A10561">
        <v>10560</v>
      </c>
      <c r="B10561" s="30" t="s">
        <v>1226</v>
      </c>
      <c r="D10561" s="30" t="s">
        <v>2024</v>
      </c>
      <c r="F10561" s="30" t="s">
        <v>2046</v>
      </c>
      <c r="H10561" s="30" t="s">
        <v>2859</v>
      </c>
      <c r="J10561" s="30" t="s">
        <v>3390</v>
      </c>
      <c r="L10561" s="30" t="s">
        <v>3442</v>
      </c>
      <c r="N10561" s="30" t="s">
        <v>17041</v>
      </c>
      <c r="P10561" s="30" t="s">
        <v>17044</v>
      </c>
      <c r="Q10561" t="s">
        <v>621</v>
      </c>
      <c r="R10561" t="s">
        <v>917</v>
      </c>
      <c r="S10561">
        <v>39</v>
      </c>
      <c r="T10561" s="29" t="str">
        <f t="shared" si="440"/>
        <v>2023.001B.Leviviricetes_reorg.zip</v>
      </c>
      <c r="U10561" s="29" t="str">
        <f>HYPERLINK("https://ictv.global/taxonomy/taxondetails?taxnode_id=202317585","ictv.global=202317585")</f>
        <v>ictv.global=202317585</v>
      </c>
    </row>
    <row r="10562" spans="1:21">
      <c r="A10562">
        <v>10561</v>
      </c>
      <c r="B10562" s="30" t="s">
        <v>1226</v>
      </c>
      <c r="D10562" s="30" t="s">
        <v>2024</v>
      </c>
      <c r="F10562" s="30" t="s">
        <v>2046</v>
      </c>
      <c r="H10562" s="30" t="s">
        <v>2859</v>
      </c>
      <c r="J10562" s="30" t="s">
        <v>3390</v>
      </c>
      <c r="L10562" s="30" t="s">
        <v>3442</v>
      </c>
      <c r="N10562" s="30" t="s">
        <v>17041</v>
      </c>
      <c r="P10562" s="30" t="s">
        <v>17045</v>
      </c>
      <c r="Q10562" t="s">
        <v>621</v>
      </c>
      <c r="R10562" t="s">
        <v>917</v>
      </c>
      <c r="S10562">
        <v>39</v>
      </c>
      <c r="T10562" s="29" t="str">
        <f t="shared" si="440"/>
        <v>2023.001B.Leviviricetes_reorg.zip</v>
      </c>
      <c r="U10562" s="29" t="str">
        <f>HYPERLINK("https://ictv.global/taxonomy/taxondetails?taxnode_id=202317586","ictv.global=202317586")</f>
        <v>ictv.global=202317586</v>
      </c>
    </row>
    <row r="10563" spans="1:21">
      <c r="A10563">
        <v>10562</v>
      </c>
      <c r="B10563" s="30" t="s">
        <v>1226</v>
      </c>
      <c r="D10563" s="30" t="s">
        <v>2024</v>
      </c>
      <c r="F10563" s="30" t="s">
        <v>2046</v>
      </c>
      <c r="H10563" s="30" t="s">
        <v>2859</v>
      </c>
      <c r="J10563" s="30" t="s">
        <v>3390</v>
      </c>
      <c r="L10563" s="30" t="s">
        <v>3442</v>
      </c>
      <c r="N10563" s="30" t="s">
        <v>17041</v>
      </c>
      <c r="P10563" s="30" t="s">
        <v>17046</v>
      </c>
      <c r="Q10563" t="s">
        <v>621</v>
      </c>
      <c r="R10563" t="s">
        <v>917</v>
      </c>
      <c r="S10563">
        <v>39</v>
      </c>
      <c r="T10563" s="29" t="str">
        <f t="shared" si="440"/>
        <v>2023.001B.Leviviricetes_reorg.zip</v>
      </c>
      <c r="U10563" s="29" t="str">
        <f>HYPERLINK("https://ictv.global/taxonomy/taxondetails?taxnode_id=202317587","ictv.global=202317587")</f>
        <v>ictv.global=202317587</v>
      </c>
    </row>
    <row r="10564" spans="1:21">
      <c r="A10564">
        <v>10563</v>
      </c>
      <c r="B10564" s="30" t="s">
        <v>1226</v>
      </c>
      <c r="D10564" s="30" t="s">
        <v>2024</v>
      </c>
      <c r="F10564" s="30" t="s">
        <v>2046</v>
      </c>
      <c r="H10564" s="30" t="s">
        <v>2859</v>
      </c>
      <c r="J10564" s="30" t="s">
        <v>3390</v>
      </c>
      <c r="L10564" s="30" t="s">
        <v>3442</v>
      </c>
      <c r="N10564" s="30" t="s">
        <v>17041</v>
      </c>
      <c r="P10564" s="30" t="s">
        <v>17047</v>
      </c>
      <c r="Q10564" t="s">
        <v>621</v>
      </c>
      <c r="R10564" t="s">
        <v>917</v>
      </c>
      <c r="S10564">
        <v>39</v>
      </c>
      <c r="T10564" s="29" t="str">
        <f t="shared" si="440"/>
        <v>2023.001B.Leviviricetes_reorg.zip</v>
      </c>
      <c r="U10564" s="29" t="str">
        <f>HYPERLINK("https://ictv.global/taxonomy/taxondetails?taxnode_id=202317588","ictv.global=202317588")</f>
        <v>ictv.global=202317588</v>
      </c>
    </row>
    <row r="10565" spans="1:21">
      <c r="A10565">
        <v>10564</v>
      </c>
      <c r="B10565" s="30" t="s">
        <v>1226</v>
      </c>
      <c r="D10565" s="30" t="s">
        <v>2024</v>
      </c>
      <c r="F10565" s="30" t="s">
        <v>2046</v>
      </c>
      <c r="H10565" s="30" t="s">
        <v>2859</v>
      </c>
      <c r="J10565" s="30" t="s">
        <v>3390</v>
      </c>
      <c r="L10565" s="30" t="s">
        <v>3442</v>
      </c>
      <c r="N10565" s="30" t="s">
        <v>3585</v>
      </c>
      <c r="P10565" s="30" t="s">
        <v>17048</v>
      </c>
      <c r="Q10565" t="s">
        <v>621</v>
      </c>
      <c r="R10565" t="s">
        <v>917</v>
      </c>
      <c r="S10565">
        <v>39</v>
      </c>
      <c r="T10565" s="29" t="str">
        <f t="shared" si="440"/>
        <v>2023.001B.Leviviricetes_reorg.zip</v>
      </c>
      <c r="U10565" s="29" t="str">
        <f>HYPERLINK("https://ictv.global/taxonomy/taxondetails?taxnode_id=202317589","ictv.global=202317589")</f>
        <v>ictv.global=202317589</v>
      </c>
    </row>
    <row r="10566" spans="1:21">
      <c r="A10566">
        <v>10565</v>
      </c>
      <c r="B10566" s="30" t="s">
        <v>1226</v>
      </c>
      <c r="D10566" s="30" t="s">
        <v>2024</v>
      </c>
      <c r="F10566" s="30" t="s">
        <v>2046</v>
      </c>
      <c r="H10566" s="30" t="s">
        <v>2859</v>
      </c>
      <c r="J10566" s="30" t="s">
        <v>3390</v>
      </c>
      <c r="L10566" s="30" t="s">
        <v>3442</v>
      </c>
      <c r="N10566" s="30" t="s">
        <v>3585</v>
      </c>
      <c r="P10566" s="30" t="s">
        <v>17049</v>
      </c>
      <c r="Q10566" t="s">
        <v>621</v>
      </c>
      <c r="R10566" t="s">
        <v>917</v>
      </c>
      <c r="S10566">
        <v>39</v>
      </c>
      <c r="T10566" s="29" t="str">
        <f t="shared" si="440"/>
        <v>2023.001B.Leviviricetes_reorg.zip</v>
      </c>
      <c r="U10566" s="29" t="str">
        <f>HYPERLINK("https://ictv.global/taxonomy/taxondetails?taxnode_id=202317590","ictv.global=202317590")</f>
        <v>ictv.global=202317590</v>
      </c>
    </row>
    <row r="10567" spans="1:21">
      <c r="A10567">
        <v>10566</v>
      </c>
      <c r="B10567" s="30" t="s">
        <v>1226</v>
      </c>
      <c r="D10567" s="30" t="s">
        <v>2024</v>
      </c>
      <c r="F10567" s="30" t="s">
        <v>2046</v>
      </c>
      <c r="H10567" s="30" t="s">
        <v>2859</v>
      </c>
      <c r="J10567" s="30" t="s">
        <v>3390</v>
      </c>
      <c r="L10567" s="30" t="s">
        <v>3442</v>
      </c>
      <c r="N10567" s="30" t="s">
        <v>3585</v>
      </c>
      <c r="P10567" s="30" t="s">
        <v>17050</v>
      </c>
      <c r="Q10567" t="s">
        <v>621</v>
      </c>
      <c r="R10567" t="s">
        <v>917</v>
      </c>
      <c r="S10567">
        <v>39</v>
      </c>
      <c r="T10567" s="29" t="str">
        <f t="shared" si="440"/>
        <v>2023.001B.Leviviricetes_reorg.zip</v>
      </c>
      <c r="U10567" s="29" t="str">
        <f>HYPERLINK("https://ictv.global/taxonomy/taxondetails?taxnode_id=202317591","ictv.global=202317591")</f>
        <v>ictv.global=202317591</v>
      </c>
    </row>
    <row r="10568" spans="1:21">
      <c r="A10568">
        <v>10567</v>
      </c>
      <c r="B10568" s="30" t="s">
        <v>1226</v>
      </c>
      <c r="D10568" s="30" t="s">
        <v>2024</v>
      </c>
      <c r="F10568" s="30" t="s">
        <v>2046</v>
      </c>
      <c r="H10568" s="30" t="s">
        <v>2859</v>
      </c>
      <c r="J10568" s="30" t="s">
        <v>3390</v>
      </c>
      <c r="L10568" s="30" t="s">
        <v>3442</v>
      </c>
      <c r="N10568" s="30" t="s">
        <v>3585</v>
      </c>
      <c r="P10568" s="30" t="s">
        <v>17051</v>
      </c>
      <c r="Q10568" t="s">
        <v>621</v>
      </c>
      <c r="R10568" t="s">
        <v>917</v>
      </c>
      <c r="S10568">
        <v>39</v>
      </c>
      <c r="T10568" s="29" t="str">
        <f t="shared" si="440"/>
        <v>2023.001B.Leviviricetes_reorg.zip</v>
      </c>
      <c r="U10568" s="29" t="str">
        <f>HYPERLINK("https://ictv.global/taxonomy/taxondetails?taxnode_id=202317592","ictv.global=202317592")</f>
        <v>ictv.global=202317592</v>
      </c>
    </row>
    <row r="10569" spans="1:21">
      <c r="A10569">
        <v>10568</v>
      </c>
      <c r="B10569" s="30" t="s">
        <v>1226</v>
      </c>
      <c r="D10569" s="30" t="s">
        <v>2024</v>
      </c>
      <c r="F10569" s="30" t="s">
        <v>2046</v>
      </c>
      <c r="H10569" s="30" t="s">
        <v>2859</v>
      </c>
      <c r="J10569" s="30" t="s">
        <v>3390</v>
      </c>
      <c r="L10569" s="30" t="s">
        <v>3442</v>
      </c>
      <c r="N10569" s="30" t="s">
        <v>3585</v>
      </c>
      <c r="P10569" s="30" t="s">
        <v>17052</v>
      </c>
      <c r="Q10569" t="s">
        <v>621</v>
      </c>
      <c r="R10569" t="s">
        <v>917</v>
      </c>
      <c r="S10569">
        <v>39</v>
      </c>
      <c r="T10569" s="29" t="str">
        <f t="shared" si="440"/>
        <v>2023.001B.Leviviricetes_reorg.zip</v>
      </c>
      <c r="U10569" s="29" t="str">
        <f>HYPERLINK("https://ictv.global/taxonomy/taxondetails?taxnode_id=202317593","ictv.global=202317593")</f>
        <v>ictv.global=202317593</v>
      </c>
    </row>
    <row r="10570" spans="1:21">
      <c r="A10570">
        <v>10569</v>
      </c>
      <c r="B10570" s="30" t="s">
        <v>1226</v>
      </c>
      <c r="D10570" s="30" t="s">
        <v>2024</v>
      </c>
      <c r="F10570" s="30" t="s">
        <v>2046</v>
      </c>
      <c r="H10570" s="30" t="s">
        <v>2859</v>
      </c>
      <c r="J10570" s="30" t="s">
        <v>3390</v>
      </c>
      <c r="L10570" s="30" t="s">
        <v>3442</v>
      </c>
      <c r="N10570" s="30" t="s">
        <v>3585</v>
      </c>
      <c r="P10570" s="30" t="s">
        <v>3586</v>
      </c>
      <c r="Q10570" t="s">
        <v>621</v>
      </c>
      <c r="R10570" t="s">
        <v>917</v>
      </c>
      <c r="S10570">
        <v>36</v>
      </c>
      <c r="T10570" s="29" t="str">
        <f>HYPERLINK("https://ictv.global/ictv/proposals/2020.095B.R.Leviviricetes.zip","2020.095B.R.Leviviricetes.zip")</f>
        <v>2020.095B.R.Leviviricetes.zip</v>
      </c>
      <c r="U10570" s="29" t="str">
        <f>HYPERLINK("https://ictv.global/taxonomy/taxondetails?taxnode_id=202311375","ictv.global=202311375")</f>
        <v>ictv.global=202311375</v>
      </c>
    </row>
    <row r="10571" spans="1:21">
      <c r="A10571">
        <v>10570</v>
      </c>
      <c r="B10571" s="30" t="s">
        <v>1226</v>
      </c>
      <c r="D10571" s="30" t="s">
        <v>2024</v>
      </c>
      <c r="F10571" s="30" t="s">
        <v>2046</v>
      </c>
      <c r="H10571" s="30" t="s">
        <v>2859</v>
      </c>
      <c r="J10571" s="30" t="s">
        <v>3390</v>
      </c>
      <c r="L10571" s="30" t="s">
        <v>3442</v>
      </c>
      <c r="N10571" s="30" t="s">
        <v>3585</v>
      </c>
      <c r="P10571" s="30" t="s">
        <v>17053</v>
      </c>
      <c r="Q10571" t="s">
        <v>621</v>
      </c>
      <c r="R10571" t="s">
        <v>917</v>
      </c>
      <c r="S10571">
        <v>39</v>
      </c>
      <c r="T10571" s="29" t="str">
        <f>HYPERLINK("https://ictv.global/ictv/proposals/2023.001B.Leviviricetes_reorg.zip","2023.001B.Leviviricetes_reorg.zip")</f>
        <v>2023.001B.Leviviricetes_reorg.zip</v>
      </c>
      <c r="U10571" s="29" t="str">
        <f>HYPERLINK("https://ictv.global/taxonomy/taxondetails?taxnode_id=202317594","ictv.global=202317594")</f>
        <v>ictv.global=202317594</v>
      </c>
    </row>
    <row r="10572" spans="1:21">
      <c r="A10572">
        <v>10571</v>
      </c>
      <c r="B10572" s="30" t="s">
        <v>1226</v>
      </c>
      <c r="D10572" s="30" t="s">
        <v>2024</v>
      </c>
      <c r="F10572" s="30" t="s">
        <v>2046</v>
      </c>
      <c r="H10572" s="30" t="s">
        <v>2859</v>
      </c>
      <c r="J10572" s="30" t="s">
        <v>3390</v>
      </c>
      <c r="L10572" s="30" t="s">
        <v>3442</v>
      </c>
      <c r="N10572" s="30" t="s">
        <v>3585</v>
      </c>
      <c r="P10572" s="30" t="s">
        <v>17054</v>
      </c>
      <c r="Q10572" t="s">
        <v>621</v>
      </c>
      <c r="R10572" t="s">
        <v>917</v>
      </c>
      <c r="S10572">
        <v>39</v>
      </c>
      <c r="T10572" s="29" t="str">
        <f>HYPERLINK("https://ictv.global/ictv/proposals/2023.001B.Leviviricetes_reorg.zip","2023.001B.Leviviricetes_reorg.zip")</f>
        <v>2023.001B.Leviviricetes_reorg.zip</v>
      </c>
      <c r="U10572" s="29" t="str">
        <f>HYPERLINK("https://ictv.global/taxonomy/taxondetails?taxnode_id=202317595","ictv.global=202317595")</f>
        <v>ictv.global=202317595</v>
      </c>
    </row>
    <row r="10573" spans="1:21">
      <c r="A10573">
        <v>10572</v>
      </c>
      <c r="B10573" s="30" t="s">
        <v>1226</v>
      </c>
      <c r="D10573" s="30" t="s">
        <v>2024</v>
      </c>
      <c r="F10573" s="30" t="s">
        <v>2046</v>
      </c>
      <c r="H10573" s="30" t="s">
        <v>2859</v>
      </c>
      <c r="J10573" s="30" t="s">
        <v>3390</v>
      </c>
      <c r="L10573" s="30" t="s">
        <v>3442</v>
      </c>
      <c r="N10573" s="30" t="s">
        <v>3585</v>
      </c>
      <c r="P10573" s="30" t="s">
        <v>17055</v>
      </c>
      <c r="Q10573" t="s">
        <v>621</v>
      </c>
      <c r="R10573" t="s">
        <v>917</v>
      </c>
      <c r="S10573">
        <v>39</v>
      </c>
      <c r="T10573" s="29" t="str">
        <f>HYPERLINK("https://ictv.global/ictv/proposals/2023.001B.Leviviricetes_reorg.zip","2023.001B.Leviviricetes_reorg.zip")</f>
        <v>2023.001B.Leviviricetes_reorg.zip</v>
      </c>
      <c r="U10573" s="29" t="str">
        <f>HYPERLINK("https://ictv.global/taxonomy/taxondetails?taxnode_id=202317596","ictv.global=202317596")</f>
        <v>ictv.global=202317596</v>
      </c>
    </row>
    <row r="10574" spans="1:21">
      <c r="A10574">
        <v>10573</v>
      </c>
      <c r="B10574" s="30" t="s">
        <v>1226</v>
      </c>
      <c r="D10574" s="30" t="s">
        <v>2024</v>
      </c>
      <c r="F10574" s="30" t="s">
        <v>2046</v>
      </c>
      <c r="H10574" s="30" t="s">
        <v>2859</v>
      </c>
      <c r="J10574" s="30" t="s">
        <v>3390</v>
      </c>
      <c r="L10574" s="30" t="s">
        <v>3442</v>
      </c>
      <c r="N10574" s="30" t="s">
        <v>3585</v>
      </c>
      <c r="P10574" s="30" t="s">
        <v>17056</v>
      </c>
      <c r="Q10574" t="s">
        <v>621</v>
      </c>
      <c r="R10574" t="s">
        <v>917</v>
      </c>
      <c r="S10574">
        <v>39</v>
      </c>
      <c r="T10574" s="29" t="str">
        <f>HYPERLINK("https://ictv.global/ictv/proposals/2023.001B.Leviviricetes_reorg.zip","2023.001B.Leviviricetes_reorg.zip")</f>
        <v>2023.001B.Leviviricetes_reorg.zip</v>
      </c>
      <c r="U10574" s="29" t="str">
        <f>HYPERLINK("https://ictv.global/taxonomy/taxondetails?taxnode_id=202317597","ictv.global=202317597")</f>
        <v>ictv.global=202317597</v>
      </c>
    </row>
    <row r="10575" spans="1:21">
      <c r="A10575">
        <v>10574</v>
      </c>
      <c r="B10575" s="30" t="s">
        <v>1226</v>
      </c>
      <c r="D10575" s="30" t="s">
        <v>2024</v>
      </c>
      <c r="F10575" s="30" t="s">
        <v>2046</v>
      </c>
      <c r="H10575" s="30" t="s">
        <v>2859</v>
      </c>
      <c r="J10575" s="30" t="s">
        <v>3390</v>
      </c>
      <c r="L10575" s="30" t="s">
        <v>3442</v>
      </c>
      <c r="N10575" s="30" t="s">
        <v>3587</v>
      </c>
      <c r="P10575" s="30" t="s">
        <v>3588</v>
      </c>
      <c r="Q10575" t="s">
        <v>621</v>
      </c>
      <c r="R10575" t="s">
        <v>917</v>
      </c>
      <c r="S10575">
        <v>36</v>
      </c>
      <c r="T10575" s="29" t="str">
        <f>HYPERLINK("https://ictv.global/ictv/proposals/2020.095B.R.Leviviricetes.zip","2020.095B.R.Leviviricetes.zip")</f>
        <v>2020.095B.R.Leviviricetes.zip</v>
      </c>
      <c r="U10575" s="29" t="str">
        <f>HYPERLINK("https://ictv.global/taxonomy/taxondetails?taxnode_id=202311377","ictv.global=202311377")</f>
        <v>ictv.global=202311377</v>
      </c>
    </row>
    <row r="10576" spans="1:21">
      <c r="A10576">
        <v>10575</v>
      </c>
      <c r="B10576" s="30" t="s">
        <v>1226</v>
      </c>
      <c r="D10576" s="30" t="s">
        <v>2024</v>
      </c>
      <c r="F10576" s="30" t="s">
        <v>2046</v>
      </c>
      <c r="H10576" s="30" t="s">
        <v>2859</v>
      </c>
      <c r="J10576" s="30" t="s">
        <v>3390</v>
      </c>
      <c r="L10576" s="30" t="s">
        <v>3442</v>
      </c>
      <c r="N10576" s="30" t="s">
        <v>3589</v>
      </c>
      <c r="P10576" s="30" t="s">
        <v>3590</v>
      </c>
      <c r="Q10576" t="s">
        <v>621</v>
      </c>
      <c r="R10576" t="s">
        <v>917</v>
      </c>
      <c r="S10576">
        <v>36</v>
      </c>
      <c r="T10576" s="29" t="str">
        <f>HYPERLINK("https://ictv.global/ictv/proposals/2020.095B.R.Leviviricetes.zip","2020.095B.R.Leviviricetes.zip")</f>
        <v>2020.095B.R.Leviviricetes.zip</v>
      </c>
      <c r="U10576" s="29" t="str">
        <f>HYPERLINK("https://ictv.global/taxonomy/taxondetails?taxnode_id=202311379","ictv.global=202311379")</f>
        <v>ictv.global=202311379</v>
      </c>
    </row>
    <row r="10577" spans="1:21">
      <c r="A10577">
        <v>10576</v>
      </c>
      <c r="B10577" s="30" t="s">
        <v>1226</v>
      </c>
      <c r="D10577" s="30" t="s">
        <v>2024</v>
      </c>
      <c r="F10577" s="30" t="s">
        <v>2046</v>
      </c>
      <c r="H10577" s="30" t="s">
        <v>2859</v>
      </c>
      <c r="J10577" s="30" t="s">
        <v>3390</v>
      </c>
      <c r="L10577" s="30" t="s">
        <v>3442</v>
      </c>
      <c r="N10577" s="30" t="s">
        <v>17057</v>
      </c>
      <c r="P10577" s="30" t="s">
        <v>17058</v>
      </c>
      <c r="Q10577" t="s">
        <v>621</v>
      </c>
      <c r="R10577" t="s">
        <v>917</v>
      </c>
      <c r="S10577">
        <v>39</v>
      </c>
      <c r="T10577" s="29" t="str">
        <f>HYPERLINK("https://ictv.global/ictv/proposals/2023.001B.Leviviricetes_reorg.zip","2023.001B.Leviviricetes_reorg.zip")</f>
        <v>2023.001B.Leviviricetes_reorg.zip</v>
      </c>
      <c r="U10577" s="29" t="str">
        <f>HYPERLINK("https://ictv.global/taxonomy/taxondetails?taxnode_id=202317598","ictv.global=202317598")</f>
        <v>ictv.global=202317598</v>
      </c>
    </row>
    <row r="10578" spans="1:21">
      <c r="A10578">
        <v>10577</v>
      </c>
      <c r="B10578" s="30" t="s">
        <v>1226</v>
      </c>
      <c r="D10578" s="30" t="s">
        <v>2024</v>
      </c>
      <c r="F10578" s="30" t="s">
        <v>2046</v>
      </c>
      <c r="H10578" s="30" t="s">
        <v>2859</v>
      </c>
      <c r="J10578" s="30" t="s">
        <v>3390</v>
      </c>
      <c r="L10578" s="30" t="s">
        <v>3442</v>
      </c>
      <c r="N10578" s="30" t="s">
        <v>3591</v>
      </c>
      <c r="P10578" s="30" t="s">
        <v>17059</v>
      </c>
      <c r="Q10578" t="s">
        <v>621</v>
      </c>
      <c r="R10578" t="s">
        <v>917</v>
      </c>
      <c r="S10578">
        <v>39</v>
      </c>
      <c r="T10578" s="29" t="str">
        <f>HYPERLINK("https://ictv.global/ictv/proposals/2023.001B.Leviviricetes_reorg.zip","2023.001B.Leviviricetes_reorg.zip")</f>
        <v>2023.001B.Leviviricetes_reorg.zip</v>
      </c>
      <c r="U10578" s="29" t="str">
        <f>HYPERLINK("https://ictv.global/taxonomy/taxondetails?taxnode_id=202317599","ictv.global=202317599")</f>
        <v>ictv.global=202317599</v>
      </c>
    </row>
    <row r="10579" spans="1:21">
      <c r="A10579">
        <v>10578</v>
      </c>
      <c r="B10579" s="30" t="s">
        <v>1226</v>
      </c>
      <c r="D10579" s="30" t="s">
        <v>2024</v>
      </c>
      <c r="F10579" s="30" t="s">
        <v>2046</v>
      </c>
      <c r="H10579" s="30" t="s">
        <v>2859</v>
      </c>
      <c r="J10579" s="30" t="s">
        <v>3390</v>
      </c>
      <c r="L10579" s="30" t="s">
        <v>3442</v>
      </c>
      <c r="N10579" s="30" t="s">
        <v>3591</v>
      </c>
      <c r="P10579" s="30" t="s">
        <v>17060</v>
      </c>
      <c r="Q10579" t="s">
        <v>621</v>
      </c>
      <c r="R10579" t="s">
        <v>917</v>
      </c>
      <c r="S10579">
        <v>39</v>
      </c>
      <c r="T10579" s="29" t="str">
        <f>HYPERLINK("https://ictv.global/ictv/proposals/2023.001B.Leviviricetes_reorg.zip","2023.001B.Leviviricetes_reorg.zip")</f>
        <v>2023.001B.Leviviricetes_reorg.zip</v>
      </c>
      <c r="U10579" s="29" t="str">
        <f>HYPERLINK("https://ictv.global/taxonomy/taxondetails?taxnode_id=202317600","ictv.global=202317600")</f>
        <v>ictv.global=202317600</v>
      </c>
    </row>
    <row r="10580" spans="1:21">
      <c r="A10580">
        <v>10579</v>
      </c>
      <c r="B10580" s="30" t="s">
        <v>1226</v>
      </c>
      <c r="D10580" s="30" t="s">
        <v>2024</v>
      </c>
      <c r="F10580" s="30" t="s">
        <v>2046</v>
      </c>
      <c r="H10580" s="30" t="s">
        <v>2859</v>
      </c>
      <c r="J10580" s="30" t="s">
        <v>3390</v>
      </c>
      <c r="L10580" s="30" t="s">
        <v>3442</v>
      </c>
      <c r="N10580" s="30" t="s">
        <v>3591</v>
      </c>
      <c r="P10580" s="30" t="s">
        <v>3592</v>
      </c>
      <c r="Q10580" t="s">
        <v>621</v>
      </c>
      <c r="R10580" t="s">
        <v>917</v>
      </c>
      <c r="S10580">
        <v>36</v>
      </c>
      <c r="T10580" s="29" t="str">
        <f>HYPERLINK("https://ictv.global/ictv/proposals/2020.095B.R.Leviviricetes.zip","2020.095B.R.Leviviricetes.zip")</f>
        <v>2020.095B.R.Leviviricetes.zip</v>
      </c>
      <c r="U10580" s="29" t="str">
        <f>HYPERLINK("https://ictv.global/taxonomy/taxondetails?taxnode_id=202311381","ictv.global=202311381")</f>
        <v>ictv.global=202311381</v>
      </c>
    </row>
    <row r="10581" spans="1:21">
      <c r="A10581">
        <v>10580</v>
      </c>
      <c r="B10581" s="30" t="s">
        <v>1226</v>
      </c>
      <c r="D10581" s="30" t="s">
        <v>2024</v>
      </c>
      <c r="F10581" s="30" t="s">
        <v>2046</v>
      </c>
      <c r="H10581" s="30" t="s">
        <v>2859</v>
      </c>
      <c r="J10581" s="30" t="s">
        <v>3390</v>
      </c>
      <c r="L10581" s="30" t="s">
        <v>3442</v>
      </c>
      <c r="N10581" s="30" t="s">
        <v>3591</v>
      </c>
      <c r="P10581" s="30" t="s">
        <v>17061</v>
      </c>
      <c r="Q10581" t="s">
        <v>621</v>
      </c>
      <c r="R10581" t="s">
        <v>917</v>
      </c>
      <c r="S10581">
        <v>39</v>
      </c>
      <c r="T10581" s="29" t="str">
        <f>HYPERLINK("https://ictv.global/ictv/proposals/2023.001B.Leviviricetes_reorg.zip","2023.001B.Leviviricetes_reorg.zip")</f>
        <v>2023.001B.Leviviricetes_reorg.zip</v>
      </c>
      <c r="U10581" s="29" t="str">
        <f>HYPERLINK("https://ictv.global/taxonomy/taxondetails?taxnode_id=202317601","ictv.global=202317601")</f>
        <v>ictv.global=202317601</v>
      </c>
    </row>
    <row r="10582" spans="1:21">
      <c r="A10582">
        <v>10581</v>
      </c>
      <c r="B10582" s="30" t="s">
        <v>1226</v>
      </c>
      <c r="D10582" s="30" t="s">
        <v>2024</v>
      </c>
      <c r="F10582" s="30" t="s">
        <v>2046</v>
      </c>
      <c r="H10582" s="30" t="s">
        <v>2859</v>
      </c>
      <c r="J10582" s="30" t="s">
        <v>3390</v>
      </c>
      <c r="L10582" s="30" t="s">
        <v>3442</v>
      </c>
      <c r="N10582" s="30" t="s">
        <v>3593</v>
      </c>
      <c r="P10582" s="30" t="s">
        <v>17062</v>
      </c>
      <c r="Q10582" t="s">
        <v>621</v>
      </c>
      <c r="R10582" t="s">
        <v>917</v>
      </c>
      <c r="S10582">
        <v>39</v>
      </c>
      <c r="T10582" s="29" t="str">
        <f>HYPERLINK("https://ictv.global/ictv/proposals/2023.001B.Leviviricetes_reorg.zip","2023.001B.Leviviricetes_reorg.zip")</f>
        <v>2023.001B.Leviviricetes_reorg.zip</v>
      </c>
      <c r="U10582" s="29" t="str">
        <f>HYPERLINK("https://ictv.global/taxonomy/taxondetails?taxnode_id=202317602","ictv.global=202317602")</f>
        <v>ictv.global=202317602</v>
      </c>
    </row>
    <row r="10583" spans="1:21">
      <c r="A10583">
        <v>10582</v>
      </c>
      <c r="B10583" s="30" t="s">
        <v>1226</v>
      </c>
      <c r="D10583" s="30" t="s">
        <v>2024</v>
      </c>
      <c r="F10583" s="30" t="s">
        <v>2046</v>
      </c>
      <c r="H10583" s="30" t="s">
        <v>2859</v>
      </c>
      <c r="J10583" s="30" t="s">
        <v>3390</v>
      </c>
      <c r="L10583" s="30" t="s">
        <v>3442</v>
      </c>
      <c r="N10583" s="30" t="s">
        <v>3593</v>
      </c>
      <c r="P10583" s="30" t="s">
        <v>17063</v>
      </c>
      <c r="Q10583" t="s">
        <v>621</v>
      </c>
      <c r="R10583" t="s">
        <v>917</v>
      </c>
      <c r="S10583">
        <v>39</v>
      </c>
      <c r="T10583" s="29" t="str">
        <f>HYPERLINK("https://ictv.global/ictv/proposals/2023.001B.Leviviricetes_reorg.zip","2023.001B.Leviviricetes_reorg.zip")</f>
        <v>2023.001B.Leviviricetes_reorg.zip</v>
      </c>
      <c r="U10583" s="29" t="str">
        <f>HYPERLINK("https://ictv.global/taxonomy/taxondetails?taxnode_id=202317603","ictv.global=202317603")</f>
        <v>ictv.global=202317603</v>
      </c>
    </row>
    <row r="10584" spans="1:21">
      <c r="A10584">
        <v>10583</v>
      </c>
      <c r="B10584" s="30" t="s">
        <v>1226</v>
      </c>
      <c r="D10584" s="30" t="s">
        <v>2024</v>
      </c>
      <c r="F10584" s="30" t="s">
        <v>2046</v>
      </c>
      <c r="H10584" s="30" t="s">
        <v>2859</v>
      </c>
      <c r="J10584" s="30" t="s">
        <v>3390</v>
      </c>
      <c r="L10584" s="30" t="s">
        <v>3442</v>
      </c>
      <c r="N10584" s="30" t="s">
        <v>3593</v>
      </c>
      <c r="P10584" s="30" t="s">
        <v>3594</v>
      </c>
      <c r="Q10584" t="s">
        <v>621</v>
      </c>
      <c r="R10584" t="s">
        <v>917</v>
      </c>
      <c r="S10584">
        <v>36</v>
      </c>
      <c r="T10584" s="29" t="str">
        <f>HYPERLINK("https://ictv.global/ictv/proposals/2020.095B.R.Leviviricetes.zip","2020.095B.R.Leviviricetes.zip")</f>
        <v>2020.095B.R.Leviviricetes.zip</v>
      </c>
      <c r="U10584" s="29" t="str">
        <f>HYPERLINK("https://ictv.global/taxonomy/taxondetails?taxnode_id=202311391","ictv.global=202311391")</f>
        <v>ictv.global=202311391</v>
      </c>
    </row>
    <row r="10585" spans="1:21">
      <c r="A10585">
        <v>10584</v>
      </c>
      <c r="B10585" s="30" t="s">
        <v>1226</v>
      </c>
      <c r="D10585" s="30" t="s">
        <v>2024</v>
      </c>
      <c r="F10585" s="30" t="s">
        <v>2046</v>
      </c>
      <c r="H10585" s="30" t="s">
        <v>2859</v>
      </c>
      <c r="J10585" s="30" t="s">
        <v>3390</v>
      </c>
      <c r="L10585" s="30" t="s">
        <v>3442</v>
      </c>
      <c r="N10585" s="30" t="s">
        <v>17064</v>
      </c>
      <c r="P10585" s="30" t="s">
        <v>17065</v>
      </c>
      <c r="Q10585" t="s">
        <v>621</v>
      </c>
      <c r="R10585" t="s">
        <v>917</v>
      </c>
      <c r="S10585">
        <v>39</v>
      </c>
      <c r="T10585" s="29" t="str">
        <f t="shared" ref="T10585:T10599" si="441">HYPERLINK("https://ictv.global/ictv/proposals/2023.001B.Leviviricetes_reorg.zip","2023.001B.Leviviricetes_reorg.zip")</f>
        <v>2023.001B.Leviviricetes_reorg.zip</v>
      </c>
      <c r="U10585" s="29" t="str">
        <f>HYPERLINK("https://ictv.global/taxonomy/taxondetails?taxnode_id=202317604","ictv.global=202317604")</f>
        <v>ictv.global=202317604</v>
      </c>
    </row>
    <row r="10586" spans="1:21">
      <c r="A10586">
        <v>10585</v>
      </c>
      <c r="B10586" s="30" t="s">
        <v>1226</v>
      </c>
      <c r="D10586" s="30" t="s">
        <v>2024</v>
      </c>
      <c r="F10586" s="30" t="s">
        <v>2046</v>
      </c>
      <c r="H10586" s="30" t="s">
        <v>2859</v>
      </c>
      <c r="J10586" s="30" t="s">
        <v>3390</v>
      </c>
      <c r="L10586" s="30" t="s">
        <v>3442</v>
      </c>
      <c r="N10586" s="30" t="s">
        <v>17064</v>
      </c>
      <c r="P10586" s="30" t="s">
        <v>17066</v>
      </c>
      <c r="Q10586" t="s">
        <v>621</v>
      </c>
      <c r="R10586" t="s">
        <v>917</v>
      </c>
      <c r="S10586">
        <v>39</v>
      </c>
      <c r="T10586" s="29" t="str">
        <f t="shared" si="441"/>
        <v>2023.001B.Leviviricetes_reorg.zip</v>
      </c>
      <c r="U10586" s="29" t="str">
        <f>HYPERLINK("https://ictv.global/taxonomy/taxondetails?taxnode_id=202317605","ictv.global=202317605")</f>
        <v>ictv.global=202317605</v>
      </c>
    </row>
    <row r="10587" spans="1:21">
      <c r="A10587">
        <v>10586</v>
      </c>
      <c r="B10587" s="30" t="s">
        <v>1226</v>
      </c>
      <c r="D10587" s="30" t="s">
        <v>2024</v>
      </c>
      <c r="F10587" s="30" t="s">
        <v>2046</v>
      </c>
      <c r="H10587" s="30" t="s">
        <v>2859</v>
      </c>
      <c r="J10587" s="30" t="s">
        <v>3390</v>
      </c>
      <c r="L10587" s="30" t="s">
        <v>3442</v>
      </c>
      <c r="N10587" s="30" t="s">
        <v>17064</v>
      </c>
      <c r="P10587" s="30" t="s">
        <v>17067</v>
      </c>
      <c r="Q10587" t="s">
        <v>621</v>
      </c>
      <c r="R10587" t="s">
        <v>917</v>
      </c>
      <c r="S10587">
        <v>39</v>
      </c>
      <c r="T10587" s="29" t="str">
        <f t="shared" si="441"/>
        <v>2023.001B.Leviviricetes_reorg.zip</v>
      </c>
      <c r="U10587" s="29" t="str">
        <f>HYPERLINK("https://ictv.global/taxonomy/taxondetails?taxnode_id=202317606","ictv.global=202317606")</f>
        <v>ictv.global=202317606</v>
      </c>
    </row>
    <row r="10588" spans="1:21">
      <c r="A10588">
        <v>10587</v>
      </c>
      <c r="B10588" s="30" t="s">
        <v>1226</v>
      </c>
      <c r="D10588" s="30" t="s">
        <v>2024</v>
      </c>
      <c r="F10588" s="30" t="s">
        <v>2046</v>
      </c>
      <c r="H10588" s="30" t="s">
        <v>2859</v>
      </c>
      <c r="J10588" s="30" t="s">
        <v>3390</v>
      </c>
      <c r="L10588" s="30" t="s">
        <v>3442</v>
      </c>
      <c r="N10588" s="30" t="s">
        <v>17064</v>
      </c>
      <c r="P10588" s="30" t="s">
        <v>17068</v>
      </c>
      <c r="Q10588" t="s">
        <v>621</v>
      </c>
      <c r="R10588" t="s">
        <v>917</v>
      </c>
      <c r="S10588">
        <v>39</v>
      </c>
      <c r="T10588" s="29" t="str">
        <f t="shared" si="441"/>
        <v>2023.001B.Leviviricetes_reorg.zip</v>
      </c>
      <c r="U10588" s="29" t="str">
        <f>HYPERLINK("https://ictv.global/taxonomy/taxondetails?taxnode_id=202317607","ictv.global=202317607")</f>
        <v>ictv.global=202317607</v>
      </c>
    </row>
    <row r="10589" spans="1:21">
      <c r="A10589">
        <v>10588</v>
      </c>
      <c r="B10589" s="30" t="s">
        <v>1226</v>
      </c>
      <c r="D10589" s="30" t="s">
        <v>2024</v>
      </c>
      <c r="F10589" s="30" t="s">
        <v>2046</v>
      </c>
      <c r="H10589" s="30" t="s">
        <v>2859</v>
      </c>
      <c r="J10589" s="30" t="s">
        <v>3390</v>
      </c>
      <c r="L10589" s="30" t="s">
        <v>3442</v>
      </c>
      <c r="N10589" s="30" t="s">
        <v>17064</v>
      </c>
      <c r="P10589" s="30" t="s">
        <v>17069</v>
      </c>
      <c r="Q10589" t="s">
        <v>621</v>
      </c>
      <c r="R10589" t="s">
        <v>917</v>
      </c>
      <c r="S10589">
        <v>39</v>
      </c>
      <c r="T10589" s="29" t="str">
        <f t="shared" si="441"/>
        <v>2023.001B.Leviviricetes_reorg.zip</v>
      </c>
      <c r="U10589" s="29" t="str">
        <f>HYPERLINK("https://ictv.global/taxonomy/taxondetails?taxnode_id=202317608","ictv.global=202317608")</f>
        <v>ictv.global=202317608</v>
      </c>
    </row>
    <row r="10590" spans="1:21">
      <c r="A10590">
        <v>10589</v>
      </c>
      <c r="B10590" s="30" t="s">
        <v>1226</v>
      </c>
      <c r="D10590" s="30" t="s">
        <v>2024</v>
      </c>
      <c r="F10590" s="30" t="s">
        <v>2046</v>
      </c>
      <c r="H10590" s="30" t="s">
        <v>2859</v>
      </c>
      <c r="J10590" s="30" t="s">
        <v>3390</v>
      </c>
      <c r="L10590" s="30" t="s">
        <v>3442</v>
      </c>
      <c r="N10590" s="30" t="s">
        <v>17064</v>
      </c>
      <c r="P10590" s="30" t="s">
        <v>17070</v>
      </c>
      <c r="Q10590" t="s">
        <v>621</v>
      </c>
      <c r="R10590" t="s">
        <v>917</v>
      </c>
      <c r="S10590">
        <v>39</v>
      </c>
      <c r="T10590" s="29" t="str">
        <f t="shared" si="441"/>
        <v>2023.001B.Leviviricetes_reorg.zip</v>
      </c>
      <c r="U10590" s="29" t="str">
        <f>HYPERLINK("https://ictv.global/taxonomy/taxondetails?taxnode_id=202317609","ictv.global=202317609")</f>
        <v>ictv.global=202317609</v>
      </c>
    </row>
    <row r="10591" spans="1:21">
      <c r="A10591">
        <v>10590</v>
      </c>
      <c r="B10591" s="30" t="s">
        <v>1226</v>
      </c>
      <c r="D10591" s="30" t="s">
        <v>2024</v>
      </c>
      <c r="F10591" s="30" t="s">
        <v>2046</v>
      </c>
      <c r="H10591" s="30" t="s">
        <v>2859</v>
      </c>
      <c r="J10591" s="30" t="s">
        <v>3390</v>
      </c>
      <c r="L10591" s="30" t="s">
        <v>3442</v>
      </c>
      <c r="N10591" s="30" t="s">
        <v>17064</v>
      </c>
      <c r="P10591" s="30" t="s">
        <v>17071</v>
      </c>
      <c r="Q10591" t="s">
        <v>621</v>
      </c>
      <c r="R10591" t="s">
        <v>917</v>
      </c>
      <c r="S10591">
        <v>39</v>
      </c>
      <c r="T10591" s="29" t="str">
        <f t="shared" si="441"/>
        <v>2023.001B.Leviviricetes_reorg.zip</v>
      </c>
      <c r="U10591" s="29" t="str">
        <f>HYPERLINK("https://ictv.global/taxonomy/taxondetails?taxnode_id=202317610","ictv.global=202317610")</f>
        <v>ictv.global=202317610</v>
      </c>
    </row>
    <row r="10592" spans="1:21">
      <c r="A10592">
        <v>10591</v>
      </c>
      <c r="B10592" s="30" t="s">
        <v>1226</v>
      </c>
      <c r="D10592" s="30" t="s">
        <v>2024</v>
      </c>
      <c r="F10592" s="30" t="s">
        <v>2046</v>
      </c>
      <c r="H10592" s="30" t="s">
        <v>2859</v>
      </c>
      <c r="J10592" s="30" t="s">
        <v>3390</v>
      </c>
      <c r="L10592" s="30" t="s">
        <v>3442</v>
      </c>
      <c r="N10592" s="30" t="s">
        <v>17064</v>
      </c>
      <c r="P10592" s="30" t="s">
        <v>17072</v>
      </c>
      <c r="Q10592" t="s">
        <v>621</v>
      </c>
      <c r="R10592" t="s">
        <v>917</v>
      </c>
      <c r="S10592">
        <v>39</v>
      </c>
      <c r="T10592" s="29" t="str">
        <f t="shared" si="441"/>
        <v>2023.001B.Leviviricetes_reorg.zip</v>
      </c>
      <c r="U10592" s="29" t="str">
        <f>HYPERLINK("https://ictv.global/taxonomy/taxondetails?taxnode_id=202317611","ictv.global=202317611")</f>
        <v>ictv.global=202317611</v>
      </c>
    </row>
    <row r="10593" spans="1:21">
      <c r="A10593">
        <v>10592</v>
      </c>
      <c r="B10593" s="30" t="s">
        <v>1226</v>
      </c>
      <c r="D10593" s="30" t="s">
        <v>2024</v>
      </c>
      <c r="F10593" s="30" t="s">
        <v>2046</v>
      </c>
      <c r="H10593" s="30" t="s">
        <v>2859</v>
      </c>
      <c r="J10593" s="30" t="s">
        <v>3390</v>
      </c>
      <c r="L10593" s="30" t="s">
        <v>3442</v>
      </c>
      <c r="N10593" s="30" t="s">
        <v>17064</v>
      </c>
      <c r="P10593" s="30" t="s">
        <v>17073</v>
      </c>
      <c r="Q10593" t="s">
        <v>621</v>
      </c>
      <c r="R10593" t="s">
        <v>917</v>
      </c>
      <c r="S10593">
        <v>39</v>
      </c>
      <c r="T10593" s="29" t="str">
        <f t="shared" si="441"/>
        <v>2023.001B.Leviviricetes_reorg.zip</v>
      </c>
      <c r="U10593" s="29" t="str">
        <f>HYPERLINK("https://ictv.global/taxonomy/taxondetails?taxnode_id=202317612","ictv.global=202317612")</f>
        <v>ictv.global=202317612</v>
      </c>
    </row>
    <row r="10594" spans="1:21">
      <c r="A10594">
        <v>10593</v>
      </c>
      <c r="B10594" s="30" t="s">
        <v>1226</v>
      </c>
      <c r="D10594" s="30" t="s">
        <v>2024</v>
      </c>
      <c r="F10594" s="30" t="s">
        <v>2046</v>
      </c>
      <c r="H10594" s="30" t="s">
        <v>2859</v>
      </c>
      <c r="J10594" s="30" t="s">
        <v>3390</v>
      </c>
      <c r="L10594" s="30" t="s">
        <v>3442</v>
      </c>
      <c r="N10594" s="30" t="s">
        <v>17064</v>
      </c>
      <c r="P10594" s="30" t="s">
        <v>17074</v>
      </c>
      <c r="Q10594" t="s">
        <v>621</v>
      </c>
      <c r="R10594" t="s">
        <v>917</v>
      </c>
      <c r="S10594">
        <v>39</v>
      </c>
      <c r="T10594" s="29" t="str">
        <f t="shared" si="441"/>
        <v>2023.001B.Leviviricetes_reorg.zip</v>
      </c>
      <c r="U10594" s="29" t="str">
        <f>HYPERLINK("https://ictv.global/taxonomy/taxondetails?taxnode_id=202317613","ictv.global=202317613")</f>
        <v>ictv.global=202317613</v>
      </c>
    </row>
    <row r="10595" spans="1:21">
      <c r="A10595">
        <v>10594</v>
      </c>
      <c r="B10595" s="30" t="s">
        <v>1226</v>
      </c>
      <c r="D10595" s="30" t="s">
        <v>2024</v>
      </c>
      <c r="F10595" s="30" t="s">
        <v>2046</v>
      </c>
      <c r="H10595" s="30" t="s">
        <v>2859</v>
      </c>
      <c r="J10595" s="30" t="s">
        <v>3390</v>
      </c>
      <c r="L10595" s="30" t="s">
        <v>3442</v>
      </c>
      <c r="N10595" s="30" t="s">
        <v>17064</v>
      </c>
      <c r="P10595" s="30" t="s">
        <v>17075</v>
      </c>
      <c r="Q10595" t="s">
        <v>621</v>
      </c>
      <c r="R10595" t="s">
        <v>917</v>
      </c>
      <c r="S10595">
        <v>39</v>
      </c>
      <c r="T10595" s="29" t="str">
        <f t="shared" si="441"/>
        <v>2023.001B.Leviviricetes_reorg.zip</v>
      </c>
      <c r="U10595" s="29" t="str">
        <f>HYPERLINK("https://ictv.global/taxonomy/taxondetails?taxnode_id=202317614","ictv.global=202317614")</f>
        <v>ictv.global=202317614</v>
      </c>
    </row>
    <row r="10596" spans="1:21">
      <c r="A10596">
        <v>10595</v>
      </c>
      <c r="B10596" s="30" t="s">
        <v>1226</v>
      </c>
      <c r="D10596" s="30" t="s">
        <v>2024</v>
      </c>
      <c r="F10596" s="30" t="s">
        <v>2046</v>
      </c>
      <c r="H10596" s="30" t="s">
        <v>2859</v>
      </c>
      <c r="J10596" s="30" t="s">
        <v>3390</v>
      </c>
      <c r="L10596" s="30" t="s">
        <v>3442</v>
      </c>
      <c r="N10596" s="30" t="s">
        <v>17064</v>
      </c>
      <c r="P10596" s="30" t="s">
        <v>17076</v>
      </c>
      <c r="Q10596" t="s">
        <v>621</v>
      </c>
      <c r="R10596" t="s">
        <v>917</v>
      </c>
      <c r="S10596">
        <v>39</v>
      </c>
      <c r="T10596" s="29" t="str">
        <f t="shared" si="441"/>
        <v>2023.001B.Leviviricetes_reorg.zip</v>
      </c>
      <c r="U10596" s="29" t="str">
        <f>HYPERLINK("https://ictv.global/taxonomy/taxondetails?taxnode_id=202317615","ictv.global=202317615")</f>
        <v>ictv.global=202317615</v>
      </c>
    </row>
    <row r="10597" spans="1:21">
      <c r="A10597">
        <v>10596</v>
      </c>
      <c r="B10597" s="30" t="s">
        <v>1226</v>
      </c>
      <c r="D10597" s="30" t="s">
        <v>2024</v>
      </c>
      <c r="F10597" s="30" t="s">
        <v>2046</v>
      </c>
      <c r="H10597" s="30" t="s">
        <v>2859</v>
      </c>
      <c r="J10597" s="30" t="s">
        <v>3390</v>
      </c>
      <c r="L10597" s="30" t="s">
        <v>3442</v>
      </c>
      <c r="N10597" s="30" t="s">
        <v>17064</v>
      </c>
      <c r="P10597" s="30" t="s">
        <v>17077</v>
      </c>
      <c r="Q10597" t="s">
        <v>621</v>
      </c>
      <c r="R10597" t="s">
        <v>917</v>
      </c>
      <c r="S10597">
        <v>39</v>
      </c>
      <c r="T10597" s="29" t="str">
        <f t="shared" si="441"/>
        <v>2023.001B.Leviviricetes_reorg.zip</v>
      </c>
      <c r="U10597" s="29" t="str">
        <f>HYPERLINK("https://ictv.global/taxonomy/taxondetails?taxnode_id=202317616","ictv.global=202317616")</f>
        <v>ictv.global=202317616</v>
      </c>
    </row>
    <row r="10598" spans="1:21">
      <c r="A10598">
        <v>10597</v>
      </c>
      <c r="B10598" s="30" t="s">
        <v>1226</v>
      </c>
      <c r="D10598" s="30" t="s">
        <v>2024</v>
      </c>
      <c r="F10598" s="30" t="s">
        <v>2046</v>
      </c>
      <c r="H10598" s="30" t="s">
        <v>2859</v>
      </c>
      <c r="J10598" s="30" t="s">
        <v>3390</v>
      </c>
      <c r="L10598" s="30" t="s">
        <v>3442</v>
      </c>
      <c r="N10598" s="30" t="s">
        <v>17078</v>
      </c>
      <c r="P10598" s="30" t="s">
        <v>17079</v>
      </c>
      <c r="Q10598" t="s">
        <v>621</v>
      </c>
      <c r="R10598" t="s">
        <v>917</v>
      </c>
      <c r="S10598">
        <v>39</v>
      </c>
      <c r="T10598" s="29" t="str">
        <f t="shared" si="441"/>
        <v>2023.001B.Leviviricetes_reorg.zip</v>
      </c>
      <c r="U10598" s="29" t="str">
        <f>HYPERLINK("https://ictv.global/taxonomy/taxondetails?taxnode_id=202317617","ictv.global=202317617")</f>
        <v>ictv.global=202317617</v>
      </c>
    </row>
    <row r="10599" spans="1:21">
      <c r="A10599">
        <v>10598</v>
      </c>
      <c r="B10599" s="30" t="s">
        <v>1226</v>
      </c>
      <c r="D10599" s="30" t="s">
        <v>2024</v>
      </c>
      <c r="F10599" s="30" t="s">
        <v>2046</v>
      </c>
      <c r="H10599" s="30" t="s">
        <v>2859</v>
      </c>
      <c r="J10599" s="30" t="s">
        <v>3390</v>
      </c>
      <c r="L10599" s="30" t="s">
        <v>3442</v>
      </c>
      <c r="N10599" s="30" t="s">
        <v>3595</v>
      </c>
      <c r="P10599" s="30" t="s">
        <v>17080</v>
      </c>
      <c r="Q10599" t="s">
        <v>621</v>
      </c>
      <c r="R10599" t="s">
        <v>917</v>
      </c>
      <c r="S10599">
        <v>39</v>
      </c>
      <c r="T10599" s="29" t="str">
        <f t="shared" si="441"/>
        <v>2023.001B.Leviviricetes_reorg.zip</v>
      </c>
      <c r="U10599" s="29" t="str">
        <f>HYPERLINK("https://ictv.global/taxonomy/taxondetails?taxnode_id=202317618","ictv.global=202317618")</f>
        <v>ictv.global=202317618</v>
      </c>
    </row>
    <row r="10600" spans="1:21">
      <c r="A10600">
        <v>10599</v>
      </c>
      <c r="B10600" s="30" t="s">
        <v>1226</v>
      </c>
      <c r="D10600" s="30" t="s">
        <v>2024</v>
      </c>
      <c r="F10600" s="30" t="s">
        <v>2046</v>
      </c>
      <c r="H10600" s="30" t="s">
        <v>2859</v>
      </c>
      <c r="J10600" s="30" t="s">
        <v>3390</v>
      </c>
      <c r="L10600" s="30" t="s">
        <v>3442</v>
      </c>
      <c r="N10600" s="30" t="s">
        <v>3595</v>
      </c>
      <c r="P10600" s="30" t="s">
        <v>3596</v>
      </c>
      <c r="Q10600" t="s">
        <v>621</v>
      </c>
      <c r="R10600" t="s">
        <v>917</v>
      </c>
      <c r="S10600">
        <v>36</v>
      </c>
      <c r="T10600" s="29" t="str">
        <f>HYPERLINK("https://ictv.global/ictv/proposals/2020.095B.R.Leviviricetes.zip","2020.095B.R.Leviviricetes.zip")</f>
        <v>2020.095B.R.Leviviricetes.zip</v>
      </c>
      <c r="U10600" s="29" t="str">
        <f>HYPERLINK("https://ictv.global/taxonomy/taxondetails?taxnode_id=202311413","ictv.global=202311413")</f>
        <v>ictv.global=202311413</v>
      </c>
    </row>
    <row r="10601" spans="1:21">
      <c r="A10601">
        <v>10600</v>
      </c>
      <c r="B10601" s="30" t="s">
        <v>1226</v>
      </c>
      <c r="D10601" s="30" t="s">
        <v>2024</v>
      </c>
      <c r="F10601" s="30" t="s">
        <v>2046</v>
      </c>
      <c r="H10601" s="30" t="s">
        <v>2859</v>
      </c>
      <c r="J10601" s="30" t="s">
        <v>3390</v>
      </c>
      <c r="L10601" s="30" t="s">
        <v>3442</v>
      </c>
      <c r="N10601" s="30" t="s">
        <v>17081</v>
      </c>
      <c r="P10601" s="30" t="s">
        <v>17082</v>
      </c>
      <c r="Q10601" t="s">
        <v>621</v>
      </c>
      <c r="R10601" t="s">
        <v>917</v>
      </c>
      <c r="S10601">
        <v>39</v>
      </c>
      <c r="T10601" s="29" t="str">
        <f t="shared" ref="T10601:T10617" si="442">HYPERLINK("https://ictv.global/ictv/proposals/2023.001B.Leviviricetes_reorg.zip","2023.001B.Leviviricetes_reorg.zip")</f>
        <v>2023.001B.Leviviricetes_reorg.zip</v>
      </c>
      <c r="U10601" s="29" t="str">
        <f>HYPERLINK("https://ictv.global/taxonomy/taxondetails?taxnode_id=202317619","ictv.global=202317619")</f>
        <v>ictv.global=202317619</v>
      </c>
    </row>
    <row r="10602" spans="1:21">
      <c r="A10602">
        <v>10601</v>
      </c>
      <c r="B10602" s="30" t="s">
        <v>1226</v>
      </c>
      <c r="D10602" s="30" t="s">
        <v>2024</v>
      </c>
      <c r="F10602" s="30" t="s">
        <v>2046</v>
      </c>
      <c r="H10602" s="30" t="s">
        <v>2859</v>
      </c>
      <c r="J10602" s="30" t="s">
        <v>3390</v>
      </c>
      <c r="L10602" s="30" t="s">
        <v>3442</v>
      </c>
      <c r="N10602" s="30" t="s">
        <v>17081</v>
      </c>
      <c r="P10602" s="30" t="s">
        <v>17083</v>
      </c>
      <c r="Q10602" t="s">
        <v>621</v>
      </c>
      <c r="R10602" t="s">
        <v>917</v>
      </c>
      <c r="S10602">
        <v>39</v>
      </c>
      <c r="T10602" s="29" t="str">
        <f t="shared" si="442"/>
        <v>2023.001B.Leviviricetes_reorg.zip</v>
      </c>
      <c r="U10602" s="29" t="str">
        <f>HYPERLINK("https://ictv.global/taxonomy/taxondetails?taxnode_id=202317620","ictv.global=202317620")</f>
        <v>ictv.global=202317620</v>
      </c>
    </row>
    <row r="10603" spans="1:21">
      <c r="A10603">
        <v>10602</v>
      </c>
      <c r="B10603" s="30" t="s">
        <v>1226</v>
      </c>
      <c r="D10603" s="30" t="s">
        <v>2024</v>
      </c>
      <c r="F10603" s="30" t="s">
        <v>2046</v>
      </c>
      <c r="H10603" s="30" t="s">
        <v>2859</v>
      </c>
      <c r="J10603" s="30" t="s">
        <v>3390</v>
      </c>
      <c r="L10603" s="30" t="s">
        <v>3442</v>
      </c>
      <c r="N10603" s="30" t="s">
        <v>17081</v>
      </c>
      <c r="P10603" s="30" t="s">
        <v>17084</v>
      </c>
      <c r="Q10603" t="s">
        <v>621</v>
      </c>
      <c r="R10603" t="s">
        <v>917</v>
      </c>
      <c r="S10603">
        <v>39</v>
      </c>
      <c r="T10603" s="29" t="str">
        <f t="shared" si="442"/>
        <v>2023.001B.Leviviricetes_reorg.zip</v>
      </c>
      <c r="U10603" s="29" t="str">
        <f>HYPERLINK("https://ictv.global/taxonomy/taxondetails?taxnode_id=202317621","ictv.global=202317621")</f>
        <v>ictv.global=202317621</v>
      </c>
    </row>
    <row r="10604" spans="1:21">
      <c r="A10604">
        <v>10603</v>
      </c>
      <c r="B10604" s="30" t="s">
        <v>1226</v>
      </c>
      <c r="D10604" s="30" t="s">
        <v>2024</v>
      </c>
      <c r="F10604" s="30" t="s">
        <v>2046</v>
      </c>
      <c r="H10604" s="30" t="s">
        <v>2859</v>
      </c>
      <c r="J10604" s="30" t="s">
        <v>3390</v>
      </c>
      <c r="L10604" s="30" t="s">
        <v>3442</v>
      </c>
      <c r="N10604" s="30" t="s">
        <v>17081</v>
      </c>
      <c r="P10604" s="30" t="s">
        <v>17085</v>
      </c>
      <c r="Q10604" t="s">
        <v>621</v>
      </c>
      <c r="R10604" t="s">
        <v>917</v>
      </c>
      <c r="S10604">
        <v>39</v>
      </c>
      <c r="T10604" s="29" t="str">
        <f t="shared" si="442"/>
        <v>2023.001B.Leviviricetes_reorg.zip</v>
      </c>
      <c r="U10604" s="29" t="str">
        <f>HYPERLINK("https://ictv.global/taxonomy/taxondetails?taxnode_id=202317622","ictv.global=202317622")</f>
        <v>ictv.global=202317622</v>
      </c>
    </row>
    <row r="10605" spans="1:21">
      <c r="A10605">
        <v>10604</v>
      </c>
      <c r="B10605" s="30" t="s">
        <v>1226</v>
      </c>
      <c r="D10605" s="30" t="s">
        <v>2024</v>
      </c>
      <c r="F10605" s="30" t="s">
        <v>2046</v>
      </c>
      <c r="H10605" s="30" t="s">
        <v>2859</v>
      </c>
      <c r="J10605" s="30" t="s">
        <v>3390</v>
      </c>
      <c r="L10605" s="30" t="s">
        <v>3442</v>
      </c>
      <c r="N10605" s="30" t="s">
        <v>17081</v>
      </c>
      <c r="P10605" s="30" t="s">
        <v>17086</v>
      </c>
      <c r="Q10605" t="s">
        <v>621</v>
      </c>
      <c r="R10605" t="s">
        <v>917</v>
      </c>
      <c r="S10605">
        <v>39</v>
      </c>
      <c r="T10605" s="29" t="str">
        <f t="shared" si="442"/>
        <v>2023.001B.Leviviricetes_reorg.zip</v>
      </c>
      <c r="U10605" s="29" t="str">
        <f>HYPERLINK("https://ictv.global/taxonomy/taxondetails?taxnode_id=202317623","ictv.global=202317623")</f>
        <v>ictv.global=202317623</v>
      </c>
    </row>
    <row r="10606" spans="1:21">
      <c r="A10606">
        <v>10605</v>
      </c>
      <c r="B10606" s="30" t="s">
        <v>1226</v>
      </c>
      <c r="D10606" s="30" t="s">
        <v>2024</v>
      </c>
      <c r="F10606" s="30" t="s">
        <v>2046</v>
      </c>
      <c r="H10606" s="30" t="s">
        <v>2859</v>
      </c>
      <c r="J10606" s="30" t="s">
        <v>3390</v>
      </c>
      <c r="L10606" s="30" t="s">
        <v>3442</v>
      </c>
      <c r="N10606" s="30" t="s">
        <v>17081</v>
      </c>
      <c r="P10606" s="30" t="s">
        <v>17087</v>
      </c>
      <c r="Q10606" t="s">
        <v>621</v>
      </c>
      <c r="R10606" t="s">
        <v>917</v>
      </c>
      <c r="S10606">
        <v>39</v>
      </c>
      <c r="T10606" s="29" t="str">
        <f t="shared" si="442"/>
        <v>2023.001B.Leviviricetes_reorg.zip</v>
      </c>
      <c r="U10606" s="29" t="str">
        <f>HYPERLINK("https://ictv.global/taxonomy/taxondetails?taxnode_id=202317624","ictv.global=202317624")</f>
        <v>ictv.global=202317624</v>
      </c>
    </row>
    <row r="10607" spans="1:21">
      <c r="A10607">
        <v>10606</v>
      </c>
      <c r="B10607" s="30" t="s">
        <v>1226</v>
      </c>
      <c r="D10607" s="30" t="s">
        <v>2024</v>
      </c>
      <c r="F10607" s="30" t="s">
        <v>2046</v>
      </c>
      <c r="H10607" s="30" t="s">
        <v>2859</v>
      </c>
      <c r="J10607" s="30" t="s">
        <v>3390</v>
      </c>
      <c r="L10607" s="30" t="s">
        <v>3442</v>
      </c>
      <c r="N10607" s="30" t="s">
        <v>17081</v>
      </c>
      <c r="P10607" s="30" t="s">
        <v>17088</v>
      </c>
      <c r="Q10607" t="s">
        <v>621</v>
      </c>
      <c r="R10607" t="s">
        <v>917</v>
      </c>
      <c r="S10607">
        <v>39</v>
      </c>
      <c r="T10607" s="29" t="str">
        <f t="shared" si="442"/>
        <v>2023.001B.Leviviricetes_reorg.zip</v>
      </c>
      <c r="U10607" s="29" t="str">
        <f>HYPERLINK("https://ictv.global/taxonomy/taxondetails?taxnode_id=202317625","ictv.global=202317625")</f>
        <v>ictv.global=202317625</v>
      </c>
    </row>
    <row r="10608" spans="1:21">
      <c r="A10608">
        <v>10607</v>
      </c>
      <c r="B10608" s="30" t="s">
        <v>1226</v>
      </c>
      <c r="D10608" s="30" t="s">
        <v>2024</v>
      </c>
      <c r="F10608" s="30" t="s">
        <v>2046</v>
      </c>
      <c r="H10608" s="30" t="s">
        <v>2859</v>
      </c>
      <c r="J10608" s="30" t="s">
        <v>3390</v>
      </c>
      <c r="L10608" s="30" t="s">
        <v>3442</v>
      </c>
      <c r="N10608" s="30" t="s">
        <v>17089</v>
      </c>
      <c r="P10608" s="30" t="s">
        <v>17090</v>
      </c>
      <c r="Q10608" t="s">
        <v>621</v>
      </c>
      <c r="R10608" t="s">
        <v>917</v>
      </c>
      <c r="S10608">
        <v>39</v>
      </c>
      <c r="T10608" s="29" t="str">
        <f t="shared" si="442"/>
        <v>2023.001B.Leviviricetes_reorg.zip</v>
      </c>
      <c r="U10608" s="29" t="str">
        <f>HYPERLINK("https://ictv.global/taxonomy/taxondetails?taxnode_id=202317626","ictv.global=202317626")</f>
        <v>ictv.global=202317626</v>
      </c>
    </row>
    <row r="10609" spans="1:21">
      <c r="A10609">
        <v>10608</v>
      </c>
      <c r="B10609" s="30" t="s">
        <v>1226</v>
      </c>
      <c r="D10609" s="30" t="s">
        <v>2024</v>
      </c>
      <c r="F10609" s="30" t="s">
        <v>2046</v>
      </c>
      <c r="H10609" s="30" t="s">
        <v>2859</v>
      </c>
      <c r="J10609" s="30" t="s">
        <v>3390</v>
      </c>
      <c r="L10609" s="30" t="s">
        <v>3442</v>
      </c>
      <c r="N10609" s="30" t="s">
        <v>17091</v>
      </c>
      <c r="P10609" s="30" t="s">
        <v>17092</v>
      </c>
      <c r="Q10609" t="s">
        <v>621</v>
      </c>
      <c r="R10609" t="s">
        <v>917</v>
      </c>
      <c r="S10609">
        <v>39</v>
      </c>
      <c r="T10609" s="29" t="str">
        <f t="shared" si="442"/>
        <v>2023.001B.Leviviricetes_reorg.zip</v>
      </c>
      <c r="U10609" s="29" t="str">
        <f>HYPERLINK("https://ictv.global/taxonomy/taxondetails?taxnode_id=202317627","ictv.global=202317627")</f>
        <v>ictv.global=202317627</v>
      </c>
    </row>
    <row r="10610" spans="1:21">
      <c r="A10610">
        <v>10609</v>
      </c>
      <c r="B10610" s="30" t="s">
        <v>1226</v>
      </c>
      <c r="D10610" s="30" t="s">
        <v>2024</v>
      </c>
      <c r="F10610" s="30" t="s">
        <v>2046</v>
      </c>
      <c r="H10610" s="30" t="s">
        <v>2859</v>
      </c>
      <c r="J10610" s="30" t="s">
        <v>3390</v>
      </c>
      <c r="L10610" s="30" t="s">
        <v>3442</v>
      </c>
      <c r="N10610" s="30" t="s">
        <v>17091</v>
      </c>
      <c r="P10610" s="30" t="s">
        <v>17093</v>
      </c>
      <c r="Q10610" t="s">
        <v>621</v>
      </c>
      <c r="R10610" t="s">
        <v>917</v>
      </c>
      <c r="S10610">
        <v>39</v>
      </c>
      <c r="T10610" s="29" t="str">
        <f t="shared" si="442"/>
        <v>2023.001B.Leviviricetes_reorg.zip</v>
      </c>
      <c r="U10610" s="29" t="str">
        <f>HYPERLINK("https://ictv.global/taxonomy/taxondetails?taxnode_id=202317628","ictv.global=202317628")</f>
        <v>ictv.global=202317628</v>
      </c>
    </row>
    <row r="10611" spans="1:21">
      <c r="A10611">
        <v>10610</v>
      </c>
      <c r="B10611" s="30" t="s">
        <v>1226</v>
      </c>
      <c r="D10611" s="30" t="s">
        <v>2024</v>
      </c>
      <c r="F10611" s="30" t="s">
        <v>2046</v>
      </c>
      <c r="H10611" s="30" t="s">
        <v>2859</v>
      </c>
      <c r="J10611" s="30" t="s">
        <v>3390</v>
      </c>
      <c r="L10611" s="30" t="s">
        <v>3442</v>
      </c>
      <c r="N10611" s="30" t="s">
        <v>17091</v>
      </c>
      <c r="P10611" s="30" t="s">
        <v>17094</v>
      </c>
      <c r="Q10611" t="s">
        <v>621</v>
      </c>
      <c r="R10611" t="s">
        <v>917</v>
      </c>
      <c r="S10611">
        <v>39</v>
      </c>
      <c r="T10611" s="29" t="str">
        <f t="shared" si="442"/>
        <v>2023.001B.Leviviricetes_reorg.zip</v>
      </c>
      <c r="U10611" s="29" t="str">
        <f>HYPERLINK("https://ictv.global/taxonomy/taxondetails?taxnode_id=202317629","ictv.global=202317629")</f>
        <v>ictv.global=202317629</v>
      </c>
    </row>
    <row r="10612" spans="1:21">
      <c r="A10612">
        <v>10611</v>
      </c>
      <c r="B10612" s="30" t="s">
        <v>1226</v>
      </c>
      <c r="D10612" s="30" t="s">
        <v>2024</v>
      </c>
      <c r="F10612" s="30" t="s">
        <v>2046</v>
      </c>
      <c r="H10612" s="30" t="s">
        <v>2859</v>
      </c>
      <c r="J10612" s="30" t="s">
        <v>3390</v>
      </c>
      <c r="L10612" s="30" t="s">
        <v>3442</v>
      </c>
      <c r="N10612" s="30" t="s">
        <v>17095</v>
      </c>
      <c r="P10612" s="30" t="s">
        <v>17096</v>
      </c>
      <c r="Q10612" t="s">
        <v>621</v>
      </c>
      <c r="R10612" t="s">
        <v>917</v>
      </c>
      <c r="S10612">
        <v>39</v>
      </c>
      <c r="T10612" s="29" t="str">
        <f t="shared" si="442"/>
        <v>2023.001B.Leviviricetes_reorg.zip</v>
      </c>
      <c r="U10612" s="29" t="str">
        <f>HYPERLINK("https://ictv.global/taxonomy/taxondetails?taxnode_id=202317630","ictv.global=202317630")</f>
        <v>ictv.global=202317630</v>
      </c>
    </row>
    <row r="10613" spans="1:21">
      <c r="A10613">
        <v>10612</v>
      </c>
      <c r="B10613" s="30" t="s">
        <v>1226</v>
      </c>
      <c r="D10613" s="30" t="s">
        <v>2024</v>
      </c>
      <c r="F10613" s="30" t="s">
        <v>2046</v>
      </c>
      <c r="H10613" s="30" t="s">
        <v>2859</v>
      </c>
      <c r="J10613" s="30" t="s">
        <v>3390</v>
      </c>
      <c r="L10613" s="30" t="s">
        <v>3442</v>
      </c>
      <c r="N10613" s="30" t="s">
        <v>17097</v>
      </c>
      <c r="P10613" s="30" t="s">
        <v>17098</v>
      </c>
      <c r="Q10613" t="s">
        <v>621</v>
      </c>
      <c r="R10613" t="s">
        <v>917</v>
      </c>
      <c r="S10613">
        <v>39</v>
      </c>
      <c r="T10613" s="29" t="str">
        <f t="shared" si="442"/>
        <v>2023.001B.Leviviricetes_reorg.zip</v>
      </c>
      <c r="U10613" s="29" t="str">
        <f>HYPERLINK("https://ictv.global/taxonomy/taxondetails?taxnode_id=202317631","ictv.global=202317631")</f>
        <v>ictv.global=202317631</v>
      </c>
    </row>
    <row r="10614" spans="1:21">
      <c r="A10614">
        <v>10613</v>
      </c>
      <c r="B10614" s="30" t="s">
        <v>1226</v>
      </c>
      <c r="D10614" s="30" t="s">
        <v>2024</v>
      </c>
      <c r="F10614" s="30" t="s">
        <v>2046</v>
      </c>
      <c r="H10614" s="30" t="s">
        <v>2859</v>
      </c>
      <c r="J10614" s="30" t="s">
        <v>3390</v>
      </c>
      <c r="L10614" s="30" t="s">
        <v>3442</v>
      </c>
      <c r="N10614" s="30" t="s">
        <v>17099</v>
      </c>
      <c r="P10614" s="30" t="s">
        <v>17100</v>
      </c>
      <c r="Q10614" t="s">
        <v>621</v>
      </c>
      <c r="R10614" t="s">
        <v>917</v>
      </c>
      <c r="S10614">
        <v>39</v>
      </c>
      <c r="T10614" s="29" t="str">
        <f t="shared" si="442"/>
        <v>2023.001B.Leviviricetes_reorg.zip</v>
      </c>
      <c r="U10614" s="29" t="str">
        <f>HYPERLINK("https://ictv.global/taxonomy/taxondetails?taxnode_id=202317632","ictv.global=202317632")</f>
        <v>ictv.global=202317632</v>
      </c>
    </row>
    <row r="10615" spans="1:21">
      <c r="A10615">
        <v>10614</v>
      </c>
      <c r="B10615" s="30" t="s">
        <v>1226</v>
      </c>
      <c r="D10615" s="30" t="s">
        <v>2024</v>
      </c>
      <c r="F10615" s="30" t="s">
        <v>2046</v>
      </c>
      <c r="H10615" s="30" t="s">
        <v>2859</v>
      </c>
      <c r="J10615" s="30" t="s">
        <v>3390</v>
      </c>
      <c r="L10615" s="30" t="s">
        <v>3442</v>
      </c>
      <c r="N10615" s="30" t="s">
        <v>17101</v>
      </c>
      <c r="P10615" s="30" t="s">
        <v>17102</v>
      </c>
      <c r="Q10615" t="s">
        <v>621</v>
      </c>
      <c r="R10615" t="s">
        <v>917</v>
      </c>
      <c r="S10615">
        <v>39</v>
      </c>
      <c r="T10615" s="29" t="str">
        <f t="shared" si="442"/>
        <v>2023.001B.Leviviricetes_reorg.zip</v>
      </c>
      <c r="U10615" s="29" t="str">
        <f>HYPERLINK("https://ictv.global/taxonomy/taxondetails?taxnode_id=202317633","ictv.global=202317633")</f>
        <v>ictv.global=202317633</v>
      </c>
    </row>
    <row r="10616" spans="1:21">
      <c r="A10616">
        <v>10615</v>
      </c>
      <c r="B10616" s="30" t="s">
        <v>1226</v>
      </c>
      <c r="D10616" s="30" t="s">
        <v>2024</v>
      </c>
      <c r="F10616" s="30" t="s">
        <v>2046</v>
      </c>
      <c r="H10616" s="30" t="s">
        <v>2859</v>
      </c>
      <c r="J10616" s="30" t="s">
        <v>3390</v>
      </c>
      <c r="L10616" s="30" t="s">
        <v>3442</v>
      </c>
      <c r="N10616" s="30" t="s">
        <v>17103</v>
      </c>
      <c r="P10616" s="30" t="s">
        <v>17104</v>
      </c>
      <c r="Q10616" t="s">
        <v>621</v>
      </c>
      <c r="R10616" t="s">
        <v>917</v>
      </c>
      <c r="S10616">
        <v>39</v>
      </c>
      <c r="T10616" s="29" t="str">
        <f t="shared" si="442"/>
        <v>2023.001B.Leviviricetes_reorg.zip</v>
      </c>
      <c r="U10616" s="29" t="str">
        <f>HYPERLINK("https://ictv.global/taxonomy/taxondetails?taxnode_id=202317634","ictv.global=202317634")</f>
        <v>ictv.global=202317634</v>
      </c>
    </row>
    <row r="10617" spans="1:21">
      <c r="A10617">
        <v>10616</v>
      </c>
      <c r="B10617" s="30" t="s">
        <v>1226</v>
      </c>
      <c r="D10617" s="30" t="s">
        <v>2024</v>
      </c>
      <c r="F10617" s="30" t="s">
        <v>2046</v>
      </c>
      <c r="H10617" s="30" t="s">
        <v>2859</v>
      </c>
      <c r="J10617" s="30" t="s">
        <v>3390</v>
      </c>
      <c r="L10617" s="30" t="s">
        <v>3442</v>
      </c>
      <c r="N10617" s="30" t="s">
        <v>17105</v>
      </c>
      <c r="P10617" s="30" t="s">
        <v>17106</v>
      </c>
      <c r="Q10617" t="s">
        <v>621</v>
      </c>
      <c r="R10617" t="s">
        <v>917</v>
      </c>
      <c r="S10617">
        <v>39</v>
      </c>
      <c r="T10617" s="29" t="str">
        <f t="shared" si="442"/>
        <v>2023.001B.Leviviricetes_reorg.zip</v>
      </c>
      <c r="U10617" s="29" t="str">
        <f>HYPERLINK("https://ictv.global/taxonomy/taxondetails?taxnode_id=202317635","ictv.global=202317635")</f>
        <v>ictv.global=202317635</v>
      </c>
    </row>
    <row r="10618" spans="1:21">
      <c r="A10618">
        <v>10617</v>
      </c>
      <c r="B10618" s="30" t="s">
        <v>1226</v>
      </c>
      <c r="D10618" s="30" t="s">
        <v>2024</v>
      </c>
      <c r="F10618" s="30" t="s">
        <v>2046</v>
      </c>
      <c r="H10618" s="30" t="s">
        <v>2859</v>
      </c>
      <c r="J10618" s="30" t="s">
        <v>3390</v>
      </c>
      <c r="L10618" s="30" t="s">
        <v>3442</v>
      </c>
      <c r="N10618" s="30" t="s">
        <v>3597</v>
      </c>
      <c r="P10618" s="30" t="s">
        <v>3598</v>
      </c>
      <c r="Q10618" t="s">
        <v>621</v>
      </c>
      <c r="R10618" t="s">
        <v>917</v>
      </c>
      <c r="S10618">
        <v>36</v>
      </c>
      <c r="T10618" s="29" t="str">
        <f>HYPERLINK("https://ictv.global/ictv/proposals/2020.095B.R.Leviviricetes.zip","2020.095B.R.Leviviricetes.zip")</f>
        <v>2020.095B.R.Leviviricetes.zip</v>
      </c>
      <c r="U10618" s="29" t="str">
        <f>HYPERLINK("https://ictv.global/taxonomy/taxondetails?taxnode_id=202311423","ictv.global=202311423")</f>
        <v>ictv.global=202311423</v>
      </c>
    </row>
    <row r="10619" spans="1:21">
      <c r="A10619">
        <v>10618</v>
      </c>
      <c r="B10619" s="30" t="s">
        <v>1226</v>
      </c>
      <c r="D10619" s="30" t="s">
        <v>2024</v>
      </c>
      <c r="F10619" s="30" t="s">
        <v>2046</v>
      </c>
      <c r="H10619" s="30" t="s">
        <v>2859</v>
      </c>
      <c r="J10619" s="30" t="s">
        <v>3390</v>
      </c>
      <c r="L10619" s="30" t="s">
        <v>3442</v>
      </c>
      <c r="N10619" s="30" t="s">
        <v>3599</v>
      </c>
      <c r="P10619" s="30" t="s">
        <v>3600</v>
      </c>
      <c r="Q10619" t="s">
        <v>621</v>
      </c>
      <c r="R10619" t="s">
        <v>917</v>
      </c>
      <c r="S10619">
        <v>36</v>
      </c>
      <c r="T10619" s="29" t="str">
        <f>HYPERLINK("https://ictv.global/ictv/proposals/2020.095B.R.Leviviricetes.zip","2020.095B.R.Leviviricetes.zip")</f>
        <v>2020.095B.R.Leviviricetes.zip</v>
      </c>
      <c r="U10619" s="29" t="str">
        <f>HYPERLINK("https://ictv.global/taxonomy/taxondetails?taxnode_id=202311427","ictv.global=202311427")</f>
        <v>ictv.global=202311427</v>
      </c>
    </row>
    <row r="10620" spans="1:21">
      <c r="A10620">
        <v>10619</v>
      </c>
      <c r="B10620" s="30" t="s">
        <v>1226</v>
      </c>
      <c r="D10620" s="30" t="s">
        <v>2024</v>
      </c>
      <c r="F10620" s="30" t="s">
        <v>2046</v>
      </c>
      <c r="H10620" s="30" t="s">
        <v>2859</v>
      </c>
      <c r="J10620" s="30" t="s">
        <v>3390</v>
      </c>
      <c r="L10620" s="30" t="s">
        <v>3442</v>
      </c>
      <c r="N10620" s="30" t="s">
        <v>3601</v>
      </c>
      <c r="P10620" s="30" t="s">
        <v>3602</v>
      </c>
      <c r="Q10620" t="s">
        <v>621</v>
      </c>
      <c r="R10620" t="s">
        <v>917</v>
      </c>
      <c r="S10620">
        <v>36</v>
      </c>
      <c r="T10620" s="29" t="str">
        <f>HYPERLINK("https://ictv.global/ictv/proposals/2020.095B.R.Leviviricetes.zip","2020.095B.R.Leviviricetes.zip")</f>
        <v>2020.095B.R.Leviviricetes.zip</v>
      </c>
      <c r="U10620" s="29" t="str">
        <f>HYPERLINK("https://ictv.global/taxonomy/taxondetails?taxnode_id=202311431","ictv.global=202311431")</f>
        <v>ictv.global=202311431</v>
      </c>
    </row>
    <row r="10621" spans="1:21">
      <c r="A10621">
        <v>10620</v>
      </c>
      <c r="B10621" s="30" t="s">
        <v>1226</v>
      </c>
      <c r="D10621" s="30" t="s">
        <v>2024</v>
      </c>
      <c r="F10621" s="30" t="s">
        <v>2046</v>
      </c>
      <c r="H10621" s="30" t="s">
        <v>2859</v>
      </c>
      <c r="J10621" s="30" t="s">
        <v>3390</v>
      </c>
      <c r="L10621" s="30" t="s">
        <v>3442</v>
      </c>
      <c r="N10621" s="30" t="s">
        <v>3601</v>
      </c>
      <c r="P10621" s="30" t="s">
        <v>17107</v>
      </c>
      <c r="Q10621" t="s">
        <v>621</v>
      </c>
      <c r="R10621" t="s">
        <v>917</v>
      </c>
      <c r="S10621">
        <v>39</v>
      </c>
      <c r="T10621" s="29" t="str">
        <f t="shared" ref="T10621:T10628" si="443">HYPERLINK("https://ictv.global/ictv/proposals/2023.001B.Leviviricetes_reorg.zip","2023.001B.Leviviricetes_reorg.zip")</f>
        <v>2023.001B.Leviviricetes_reorg.zip</v>
      </c>
      <c r="U10621" s="29" t="str">
        <f>HYPERLINK("https://ictv.global/taxonomy/taxondetails?taxnode_id=202317636","ictv.global=202317636")</f>
        <v>ictv.global=202317636</v>
      </c>
    </row>
    <row r="10622" spans="1:21">
      <c r="A10622">
        <v>10621</v>
      </c>
      <c r="B10622" s="30" t="s">
        <v>1226</v>
      </c>
      <c r="D10622" s="30" t="s">
        <v>2024</v>
      </c>
      <c r="F10622" s="30" t="s">
        <v>2046</v>
      </c>
      <c r="H10622" s="30" t="s">
        <v>2859</v>
      </c>
      <c r="J10622" s="30" t="s">
        <v>3390</v>
      </c>
      <c r="L10622" s="30" t="s">
        <v>3442</v>
      </c>
      <c r="N10622" s="30" t="s">
        <v>17108</v>
      </c>
      <c r="P10622" s="30" t="s">
        <v>17109</v>
      </c>
      <c r="Q10622" t="s">
        <v>621</v>
      </c>
      <c r="R10622" t="s">
        <v>917</v>
      </c>
      <c r="S10622">
        <v>39</v>
      </c>
      <c r="T10622" s="29" t="str">
        <f t="shared" si="443"/>
        <v>2023.001B.Leviviricetes_reorg.zip</v>
      </c>
      <c r="U10622" s="29" t="str">
        <f>HYPERLINK("https://ictv.global/taxonomy/taxondetails?taxnode_id=202317637","ictv.global=202317637")</f>
        <v>ictv.global=202317637</v>
      </c>
    </row>
    <row r="10623" spans="1:21">
      <c r="A10623">
        <v>10622</v>
      </c>
      <c r="B10623" s="30" t="s">
        <v>1226</v>
      </c>
      <c r="D10623" s="30" t="s">
        <v>2024</v>
      </c>
      <c r="F10623" s="30" t="s">
        <v>2046</v>
      </c>
      <c r="H10623" s="30" t="s">
        <v>2859</v>
      </c>
      <c r="J10623" s="30" t="s">
        <v>3390</v>
      </c>
      <c r="L10623" s="30" t="s">
        <v>3442</v>
      </c>
      <c r="N10623" s="30" t="s">
        <v>17108</v>
      </c>
      <c r="P10623" s="30" t="s">
        <v>17110</v>
      </c>
      <c r="Q10623" t="s">
        <v>621</v>
      </c>
      <c r="R10623" t="s">
        <v>917</v>
      </c>
      <c r="S10623">
        <v>39</v>
      </c>
      <c r="T10623" s="29" t="str">
        <f t="shared" si="443"/>
        <v>2023.001B.Leviviricetes_reorg.zip</v>
      </c>
      <c r="U10623" s="29" t="str">
        <f>HYPERLINK("https://ictv.global/taxonomy/taxondetails?taxnode_id=202317638","ictv.global=202317638")</f>
        <v>ictv.global=202317638</v>
      </c>
    </row>
    <row r="10624" spans="1:21">
      <c r="A10624">
        <v>10623</v>
      </c>
      <c r="B10624" s="30" t="s">
        <v>1226</v>
      </c>
      <c r="D10624" s="30" t="s">
        <v>2024</v>
      </c>
      <c r="F10624" s="30" t="s">
        <v>2046</v>
      </c>
      <c r="H10624" s="30" t="s">
        <v>2859</v>
      </c>
      <c r="J10624" s="30" t="s">
        <v>3390</v>
      </c>
      <c r="L10624" s="30" t="s">
        <v>3442</v>
      </c>
      <c r="N10624" s="30" t="s">
        <v>17111</v>
      </c>
      <c r="P10624" s="30" t="s">
        <v>17112</v>
      </c>
      <c r="Q10624" t="s">
        <v>621</v>
      </c>
      <c r="R10624" t="s">
        <v>918</v>
      </c>
      <c r="S10624">
        <v>39</v>
      </c>
      <c r="T10624" s="29" t="str">
        <f t="shared" si="443"/>
        <v>2023.001B.Leviviricetes_reorg.zip</v>
      </c>
      <c r="U10624" s="29" t="str">
        <f>HYPERLINK("https://ictv.global/taxonomy/taxondetails?taxnode_id=202311474","ictv.global=202311474")</f>
        <v>ictv.global=202311474</v>
      </c>
    </row>
    <row r="10625" spans="1:21">
      <c r="A10625">
        <v>10624</v>
      </c>
      <c r="B10625" s="30" t="s">
        <v>1226</v>
      </c>
      <c r="D10625" s="30" t="s">
        <v>2024</v>
      </c>
      <c r="F10625" s="30" t="s">
        <v>2046</v>
      </c>
      <c r="H10625" s="30" t="s">
        <v>2859</v>
      </c>
      <c r="J10625" s="30" t="s">
        <v>3390</v>
      </c>
      <c r="L10625" s="30" t="s">
        <v>3442</v>
      </c>
      <c r="N10625" s="30" t="s">
        <v>17111</v>
      </c>
      <c r="P10625" s="30" t="s">
        <v>17113</v>
      </c>
      <c r="Q10625" t="s">
        <v>621</v>
      </c>
      <c r="R10625" t="s">
        <v>918</v>
      </c>
      <c r="S10625">
        <v>39</v>
      </c>
      <c r="T10625" s="29" t="str">
        <f t="shared" si="443"/>
        <v>2023.001B.Leviviricetes_reorg.zip</v>
      </c>
      <c r="U10625" s="29" t="str">
        <f>HYPERLINK("https://ictv.global/taxonomy/taxondetails?taxnode_id=202311481","ictv.global=202311481")</f>
        <v>ictv.global=202311481</v>
      </c>
    </row>
    <row r="10626" spans="1:21">
      <c r="A10626">
        <v>10625</v>
      </c>
      <c r="B10626" s="30" t="s">
        <v>1226</v>
      </c>
      <c r="D10626" s="30" t="s">
        <v>2024</v>
      </c>
      <c r="F10626" s="30" t="s">
        <v>2046</v>
      </c>
      <c r="H10626" s="30" t="s">
        <v>2859</v>
      </c>
      <c r="J10626" s="30" t="s">
        <v>3390</v>
      </c>
      <c r="L10626" s="30" t="s">
        <v>3442</v>
      </c>
      <c r="N10626" s="30" t="s">
        <v>17111</v>
      </c>
      <c r="P10626" s="30" t="s">
        <v>17114</v>
      </c>
      <c r="Q10626" t="s">
        <v>621</v>
      </c>
      <c r="R10626" t="s">
        <v>918</v>
      </c>
      <c r="S10626">
        <v>39</v>
      </c>
      <c r="T10626" s="29" t="str">
        <f t="shared" si="443"/>
        <v>2023.001B.Leviviricetes_reorg.zip</v>
      </c>
      <c r="U10626" s="29" t="str">
        <f>HYPERLINK("https://ictv.global/taxonomy/taxondetails?taxnode_id=202311471","ictv.global=202311471")</f>
        <v>ictv.global=202311471</v>
      </c>
    </row>
    <row r="10627" spans="1:21">
      <c r="A10627">
        <v>10626</v>
      </c>
      <c r="B10627" s="30" t="s">
        <v>1226</v>
      </c>
      <c r="D10627" s="30" t="s">
        <v>2024</v>
      </c>
      <c r="F10627" s="30" t="s">
        <v>2046</v>
      </c>
      <c r="H10627" s="30" t="s">
        <v>2859</v>
      </c>
      <c r="J10627" s="30" t="s">
        <v>3390</v>
      </c>
      <c r="L10627" s="30" t="s">
        <v>3442</v>
      </c>
      <c r="N10627" s="30" t="s">
        <v>17115</v>
      </c>
      <c r="P10627" s="30" t="s">
        <v>17116</v>
      </c>
      <c r="Q10627" t="s">
        <v>621</v>
      </c>
      <c r="R10627" t="s">
        <v>917</v>
      </c>
      <c r="S10627">
        <v>39</v>
      </c>
      <c r="T10627" s="29" t="str">
        <f t="shared" si="443"/>
        <v>2023.001B.Leviviricetes_reorg.zip</v>
      </c>
      <c r="U10627" s="29" t="str">
        <f>HYPERLINK("https://ictv.global/taxonomy/taxondetails?taxnode_id=202317639","ictv.global=202317639")</f>
        <v>ictv.global=202317639</v>
      </c>
    </row>
    <row r="10628" spans="1:21">
      <c r="A10628">
        <v>10627</v>
      </c>
      <c r="B10628" s="30" t="s">
        <v>1226</v>
      </c>
      <c r="D10628" s="30" t="s">
        <v>2024</v>
      </c>
      <c r="F10628" s="30" t="s">
        <v>2046</v>
      </c>
      <c r="H10628" s="30" t="s">
        <v>2859</v>
      </c>
      <c r="J10628" s="30" t="s">
        <v>3390</v>
      </c>
      <c r="L10628" s="30" t="s">
        <v>3442</v>
      </c>
      <c r="N10628" s="30" t="s">
        <v>17117</v>
      </c>
      <c r="P10628" s="30" t="s">
        <v>17118</v>
      </c>
      <c r="Q10628" t="s">
        <v>621</v>
      </c>
      <c r="R10628" t="s">
        <v>917</v>
      </c>
      <c r="S10628">
        <v>39</v>
      </c>
      <c r="T10628" s="29" t="str">
        <f t="shared" si="443"/>
        <v>2023.001B.Leviviricetes_reorg.zip</v>
      </c>
      <c r="U10628" s="29" t="str">
        <f>HYPERLINK("https://ictv.global/taxonomy/taxondetails?taxnode_id=202317640","ictv.global=202317640")</f>
        <v>ictv.global=202317640</v>
      </c>
    </row>
    <row r="10629" spans="1:21">
      <c r="A10629">
        <v>10628</v>
      </c>
      <c r="B10629" s="30" t="s">
        <v>1226</v>
      </c>
      <c r="D10629" s="30" t="s">
        <v>2024</v>
      </c>
      <c r="F10629" s="30" t="s">
        <v>2046</v>
      </c>
      <c r="H10629" s="30" t="s">
        <v>2859</v>
      </c>
      <c r="J10629" s="30" t="s">
        <v>3390</v>
      </c>
      <c r="L10629" s="30" t="s">
        <v>3442</v>
      </c>
      <c r="N10629" s="30" t="s">
        <v>3603</v>
      </c>
      <c r="P10629" s="30" t="s">
        <v>3604</v>
      </c>
      <c r="Q10629" t="s">
        <v>621</v>
      </c>
      <c r="R10629" t="s">
        <v>917</v>
      </c>
      <c r="S10629">
        <v>36</v>
      </c>
      <c r="T10629" s="29" t="str">
        <f>HYPERLINK("https://ictv.global/ictv/proposals/2020.095B.R.Leviviricetes.zip","2020.095B.R.Leviviricetes.zip")</f>
        <v>2020.095B.R.Leviviricetes.zip</v>
      </c>
      <c r="U10629" s="29" t="str">
        <f>HYPERLINK("https://ictv.global/taxonomy/taxondetails?taxnode_id=202311434","ictv.global=202311434")</f>
        <v>ictv.global=202311434</v>
      </c>
    </row>
    <row r="10630" spans="1:21">
      <c r="A10630">
        <v>10629</v>
      </c>
      <c r="B10630" s="30" t="s">
        <v>1226</v>
      </c>
      <c r="D10630" s="30" t="s">
        <v>2024</v>
      </c>
      <c r="F10630" s="30" t="s">
        <v>2046</v>
      </c>
      <c r="H10630" s="30" t="s">
        <v>2859</v>
      </c>
      <c r="J10630" s="30" t="s">
        <v>3390</v>
      </c>
      <c r="L10630" s="30" t="s">
        <v>3442</v>
      </c>
      <c r="N10630" s="30" t="s">
        <v>3603</v>
      </c>
      <c r="P10630" s="30" t="s">
        <v>17119</v>
      </c>
      <c r="Q10630" t="s">
        <v>621</v>
      </c>
      <c r="R10630" t="s">
        <v>917</v>
      </c>
      <c r="S10630">
        <v>39</v>
      </c>
      <c r="T10630" s="29" t="str">
        <f>HYPERLINK("https://ictv.global/ictv/proposals/2023.001B.Leviviricetes_reorg.zip","2023.001B.Leviviricetes_reorg.zip")</f>
        <v>2023.001B.Leviviricetes_reorg.zip</v>
      </c>
      <c r="U10630" s="29" t="str">
        <f>HYPERLINK("https://ictv.global/taxonomy/taxondetails?taxnode_id=202317641","ictv.global=202317641")</f>
        <v>ictv.global=202317641</v>
      </c>
    </row>
    <row r="10631" spans="1:21">
      <c r="A10631">
        <v>10630</v>
      </c>
      <c r="B10631" s="30" t="s">
        <v>1226</v>
      </c>
      <c r="D10631" s="30" t="s">
        <v>2024</v>
      </c>
      <c r="F10631" s="30" t="s">
        <v>2046</v>
      </c>
      <c r="H10631" s="30" t="s">
        <v>2859</v>
      </c>
      <c r="J10631" s="30" t="s">
        <v>3390</v>
      </c>
      <c r="L10631" s="30" t="s">
        <v>3442</v>
      </c>
      <c r="N10631" s="30" t="s">
        <v>3603</v>
      </c>
      <c r="P10631" s="30" t="s">
        <v>3605</v>
      </c>
      <c r="Q10631" t="s">
        <v>621</v>
      </c>
      <c r="R10631" t="s">
        <v>917</v>
      </c>
      <c r="S10631">
        <v>36</v>
      </c>
      <c r="T10631" s="29" t="str">
        <f>HYPERLINK("https://ictv.global/ictv/proposals/2020.095B.R.Leviviricetes.zip","2020.095B.R.Leviviricetes.zip")</f>
        <v>2020.095B.R.Leviviricetes.zip</v>
      </c>
      <c r="U10631" s="29" t="str">
        <f>HYPERLINK("https://ictv.global/taxonomy/taxondetails?taxnode_id=202311435","ictv.global=202311435")</f>
        <v>ictv.global=202311435</v>
      </c>
    </row>
    <row r="10632" spans="1:21">
      <c r="A10632">
        <v>10631</v>
      </c>
      <c r="B10632" s="30" t="s">
        <v>1226</v>
      </c>
      <c r="D10632" s="30" t="s">
        <v>2024</v>
      </c>
      <c r="F10632" s="30" t="s">
        <v>2046</v>
      </c>
      <c r="H10632" s="30" t="s">
        <v>2859</v>
      </c>
      <c r="J10632" s="30" t="s">
        <v>3390</v>
      </c>
      <c r="L10632" s="30" t="s">
        <v>3442</v>
      </c>
      <c r="N10632" s="30" t="s">
        <v>3603</v>
      </c>
      <c r="P10632" s="30" t="s">
        <v>17120</v>
      </c>
      <c r="Q10632" t="s">
        <v>621</v>
      </c>
      <c r="R10632" t="s">
        <v>917</v>
      </c>
      <c r="S10632">
        <v>39</v>
      </c>
      <c r="T10632" s="29" t="str">
        <f>HYPERLINK("https://ictv.global/ictv/proposals/2023.001B.Leviviricetes_reorg.zip","2023.001B.Leviviricetes_reorg.zip")</f>
        <v>2023.001B.Leviviricetes_reorg.zip</v>
      </c>
      <c r="U10632" s="29" t="str">
        <f>HYPERLINK("https://ictv.global/taxonomy/taxondetails?taxnode_id=202317642","ictv.global=202317642")</f>
        <v>ictv.global=202317642</v>
      </c>
    </row>
    <row r="10633" spans="1:21">
      <c r="A10633">
        <v>10632</v>
      </c>
      <c r="B10633" s="30" t="s">
        <v>1226</v>
      </c>
      <c r="D10633" s="30" t="s">
        <v>2024</v>
      </c>
      <c r="F10633" s="30" t="s">
        <v>2046</v>
      </c>
      <c r="H10633" s="30" t="s">
        <v>2859</v>
      </c>
      <c r="J10633" s="30" t="s">
        <v>3390</v>
      </c>
      <c r="L10633" s="30" t="s">
        <v>3442</v>
      </c>
      <c r="N10633" s="30" t="s">
        <v>3606</v>
      </c>
      <c r="P10633" s="30" t="s">
        <v>3607</v>
      </c>
      <c r="Q10633" t="s">
        <v>621</v>
      </c>
      <c r="R10633" t="s">
        <v>917</v>
      </c>
      <c r="S10633">
        <v>36</v>
      </c>
      <c r="T10633" s="29" t="str">
        <f>HYPERLINK("https://ictv.global/ictv/proposals/2020.095B.R.Leviviricetes.zip","2020.095B.R.Leviviricetes.zip")</f>
        <v>2020.095B.R.Leviviricetes.zip</v>
      </c>
      <c r="U10633" s="29" t="str">
        <f>HYPERLINK("https://ictv.global/taxonomy/taxondetails?taxnode_id=202311438","ictv.global=202311438")</f>
        <v>ictv.global=202311438</v>
      </c>
    </row>
    <row r="10634" spans="1:21">
      <c r="A10634">
        <v>10633</v>
      </c>
      <c r="B10634" s="30" t="s">
        <v>1226</v>
      </c>
      <c r="D10634" s="30" t="s">
        <v>2024</v>
      </c>
      <c r="F10634" s="30" t="s">
        <v>2046</v>
      </c>
      <c r="H10634" s="30" t="s">
        <v>2859</v>
      </c>
      <c r="J10634" s="30" t="s">
        <v>3390</v>
      </c>
      <c r="L10634" s="30" t="s">
        <v>3442</v>
      </c>
      <c r="N10634" s="30" t="s">
        <v>3606</v>
      </c>
      <c r="P10634" s="30" t="s">
        <v>3608</v>
      </c>
      <c r="Q10634" t="s">
        <v>621</v>
      </c>
      <c r="R10634" t="s">
        <v>917</v>
      </c>
      <c r="S10634">
        <v>36</v>
      </c>
      <c r="T10634" s="29" t="str">
        <f>HYPERLINK("https://ictv.global/ictv/proposals/2020.095B.R.Leviviricetes.zip","2020.095B.R.Leviviricetes.zip")</f>
        <v>2020.095B.R.Leviviricetes.zip</v>
      </c>
      <c r="U10634" s="29" t="str">
        <f>HYPERLINK("https://ictv.global/taxonomy/taxondetails?taxnode_id=202311437","ictv.global=202311437")</f>
        <v>ictv.global=202311437</v>
      </c>
    </row>
    <row r="10635" spans="1:21">
      <c r="A10635">
        <v>10634</v>
      </c>
      <c r="B10635" s="30" t="s">
        <v>1226</v>
      </c>
      <c r="D10635" s="30" t="s">
        <v>2024</v>
      </c>
      <c r="F10635" s="30" t="s">
        <v>2046</v>
      </c>
      <c r="H10635" s="30" t="s">
        <v>2859</v>
      </c>
      <c r="J10635" s="30" t="s">
        <v>3390</v>
      </c>
      <c r="L10635" s="30" t="s">
        <v>3442</v>
      </c>
      <c r="N10635" s="30" t="s">
        <v>3609</v>
      </c>
      <c r="P10635" s="30" t="s">
        <v>3610</v>
      </c>
      <c r="Q10635" t="s">
        <v>621</v>
      </c>
      <c r="R10635" t="s">
        <v>917</v>
      </c>
      <c r="S10635">
        <v>36</v>
      </c>
      <c r="T10635" s="29" t="str">
        <f>HYPERLINK("https://ictv.global/ictv/proposals/2020.095B.R.Leviviricetes.zip","2020.095B.R.Leviviricetes.zip")</f>
        <v>2020.095B.R.Leviviricetes.zip</v>
      </c>
      <c r="U10635" s="29" t="str">
        <f>HYPERLINK("https://ictv.global/taxonomy/taxondetails?taxnode_id=202311440","ictv.global=202311440")</f>
        <v>ictv.global=202311440</v>
      </c>
    </row>
    <row r="10636" spans="1:21">
      <c r="A10636">
        <v>10635</v>
      </c>
      <c r="B10636" s="30" t="s">
        <v>1226</v>
      </c>
      <c r="D10636" s="30" t="s">
        <v>2024</v>
      </c>
      <c r="F10636" s="30" t="s">
        <v>2046</v>
      </c>
      <c r="H10636" s="30" t="s">
        <v>2859</v>
      </c>
      <c r="J10636" s="30" t="s">
        <v>3390</v>
      </c>
      <c r="L10636" s="30" t="s">
        <v>3442</v>
      </c>
      <c r="N10636" s="30" t="s">
        <v>3611</v>
      </c>
      <c r="P10636" s="30" t="s">
        <v>3612</v>
      </c>
      <c r="Q10636" t="s">
        <v>621</v>
      </c>
      <c r="R10636" t="s">
        <v>917</v>
      </c>
      <c r="S10636">
        <v>36</v>
      </c>
      <c r="T10636" s="29" t="str">
        <f>HYPERLINK("https://ictv.global/ictv/proposals/2020.095B.R.Leviviricetes.zip","2020.095B.R.Leviviricetes.zip")</f>
        <v>2020.095B.R.Leviviricetes.zip</v>
      </c>
      <c r="U10636" s="29" t="str">
        <f>HYPERLINK("https://ictv.global/taxonomy/taxondetails?taxnode_id=202311442","ictv.global=202311442")</f>
        <v>ictv.global=202311442</v>
      </c>
    </row>
    <row r="10637" spans="1:21">
      <c r="A10637">
        <v>10636</v>
      </c>
      <c r="B10637" s="30" t="s">
        <v>1226</v>
      </c>
      <c r="D10637" s="30" t="s">
        <v>2024</v>
      </c>
      <c r="F10637" s="30" t="s">
        <v>2046</v>
      </c>
      <c r="H10637" s="30" t="s">
        <v>2859</v>
      </c>
      <c r="J10637" s="30" t="s">
        <v>3390</v>
      </c>
      <c r="L10637" s="30" t="s">
        <v>3442</v>
      </c>
      <c r="N10637" s="30" t="s">
        <v>3613</v>
      </c>
      <c r="P10637" s="30" t="s">
        <v>17121</v>
      </c>
      <c r="Q10637" t="s">
        <v>621</v>
      </c>
      <c r="R10637" t="s">
        <v>917</v>
      </c>
      <c r="S10637">
        <v>39</v>
      </c>
      <c r="T10637" s="29" t="str">
        <f>HYPERLINK("https://ictv.global/ictv/proposals/2023.001B.Leviviricetes_reorg.zip","2023.001B.Leviviricetes_reorg.zip")</f>
        <v>2023.001B.Leviviricetes_reorg.zip</v>
      </c>
      <c r="U10637" s="29" t="str">
        <f>HYPERLINK("https://ictv.global/taxonomy/taxondetails?taxnode_id=202317643","ictv.global=202317643")</f>
        <v>ictv.global=202317643</v>
      </c>
    </row>
    <row r="10638" spans="1:21">
      <c r="A10638">
        <v>10637</v>
      </c>
      <c r="B10638" s="30" t="s">
        <v>1226</v>
      </c>
      <c r="D10638" s="30" t="s">
        <v>2024</v>
      </c>
      <c r="F10638" s="30" t="s">
        <v>2046</v>
      </c>
      <c r="H10638" s="30" t="s">
        <v>2859</v>
      </c>
      <c r="J10638" s="30" t="s">
        <v>3390</v>
      </c>
      <c r="L10638" s="30" t="s">
        <v>3442</v>
      </c>
      <c r="N10638" s="30" t="s">
        <v>3613</v>
      </c>
      <c r="P10638" s="30" t="s">
        <v>3614</v>
      </c>
      <c r="Q10638" t="s">
        <v>621</v>
      </c>
      <c r="R10638" t="s">
        <v>917</v>
      </c>
      <c r="S10638">
        <v>36</v>
      </c>
      <c r="T10638" s="29" t="str">
        <f>HYPERLINK("https://ictv.global/ictv/proposals/2020.095B.R.Leviviricetes.zip","2020.095B.R.Leviviricetes.zip")</f>
        <v>2020.095B.R.Leviviricetes.zip</v>
      </c>
      <c r="U10638" s="29" t="str">
        <f>HYPERLINK("https://ictv.global/taxonomy/taxondetails?taxnode_id=202311446","ictv.global=202311446")</f>
        <v>ictv.global=202311446</v>
      </c>
    </row>
    <row r="10639" spans="1:21">
      <c r="A10639">
        <v>10638</v>
      </c>
      <c r="B10639" s="30" t="s">
        <v>1226</v>
      </c>
      <c r="D10639" s="30" t="s">
        <v>2024</v>
      </c>
      <c r="F10639" s="30" t="s">
        <v>2046</v>
      </c>
      <c r="H10639" s="30" t="s">
        <v>2859</v>
      </c>
      <c r="J10639" s="30" t="s">
        <v>3390</v>
      </c>
      <c r="L10639" s="30" t="s">
        <v>3442</v>
      </c>
      <c r="N10639" s="30" t="s">
        <v>3613</v>
      </c>
      <c r="P10639" s="30" t="s">
        <v>17122</v>
      </c>
      <c r="Q10639" t="s">
        <v>621</v>
      </c>
      <c r="R10639" t="s">
        <v>917</v>
      </c>
      <c r="S10639">
        <v>39</v>
      </c>
      <c r="T10639" s="29" t="str">
        <f>HYPERLINK("https://ictv.global/ictv/proposals/2023.001B.Leviviricetes_reorg.zip","2023.001B.Leviviricetes_reorg.zip")</f>
        <v>2023.001B.Leviviricetes_reorg.zip</v>
      </c>
      <c r="U10639" s="29" t="str">
        <f>HYPERLINK("https://ictv.global/taxonomy/taxondetails?taxnode_id=202317644","ictv.global=202317644")</f>
        <v>ictv.global=202317644</v>
      </c>
    </row>
    <row r="10640" spans="1:21">
      <c r="A10640">
        <v>10639</v>
      </c>
      <c r="B10640" s="30" t="s">
        <v>1226</v>
      </c>
      <c r="D10640" s="30" t="s">
        <v>2024</v>
      </c>
      <c r="F10640" s="30" t="s">
        <v>2046</v>
      </c>
      <c r="H10640" s="30" t="s">
        <v>2859</v>
      </c>
      <c r="J10640" s="30" t="s">
        <v>3390</v>
      </c>
      <c r="L10640" s="30" t="s">
        <v>3442</v>
      </c>
      <c r="N10640" s="30" t="s">
        <v>3613</v>
      </c>
      <c r="P10640" s="30" t="s">
        <v>17123</v>
      </c>
      <c r="Q10640" t="s">
        <v>621</v>
      </c>
      <c r="R10640" t="s">
        <v>917</v>
      </c>
      <c r="S10640">
        <v>39</v>
      </c>
      <c r="T10640" s="29" t="str">
        <f>HYPERLINK("https://ictv.global/ictv/proposals/2023.001B.Leviviricetes_reorg.zip","2023.001B.Leviviricetes_reorg.zip")</f>
        <v>2023.001B.Leviviricetes_reorg.zip</v>
      </c>
      <c r="U10640" s="29" t="str">
        <f>HYPERLINK("https://ictv.global/taxonomy/taxondetails?taxnode_id=202317645","ictv.global=202317645")</f>
        <v>ictv.global=202317645</v>
      </c>
    </row>
    <row r="10641" spans="1:21">
      <c r="A10641">
        <v>10640</v>
      </c>
      <c r="B10641" s="30" t="s">
        <v>1226</v>
      </c>
      <c r="D10641" s="30" t="s">
        <v>2024</v>
      </c>
      <c r="F10641" s="30" t="s">
        <v>2046</v>
      </c>
      <c r="H10641" s="30" t="s">
        <v>2859</v>
      </c>
      <c r="J10641" s="30" t="s">
        <v>3390</v>
      </c>
      <c r="L10641" s="30" t="s">
        <v>3442</v>
      </c>
      <c r="N10641" s="30" t="s">
        <v>3613</v>
      </c>
      <c r="P10641" s="30" t="s">
        <v>17124</v>
      </c>
      <c r="Q10641" t="s">
        <v>621</v>
      </c>
      <c r="R10641" t="s">
        <v>917</v>
      </c>
      <c r="S10641">
        <v>39</v>
      </c>
      <c r="T10641" s="29" t="str">
        <f>HYPERLINK("https://ictv.global/ictv/proposals/2023.001B.Leviviricetes_reorg.zip","2023.001B.Leviviricetes_reorg.zip")</f>
        <v>2023.001B.Leviviricetes_reorg.zip</v>
      </c>
      <c r="U10641" s="29" t="str">
        <f>HYPERLINK("https://ictv.global/taxonomy/taxondetails?taxnode_id=202317646","ictv.global=202317646")</f>
        <v>ictv.global=202317646</v>
      </c>
    </row>
    <row r="10642" spans="1:21">
      <c r="A10642">
        <v>10641</v>
      </c>
      <c r="B10642" s="30" t="s">
        <v>1226</v>
      </c>
      <c r="D10642" s="30" t="s">
        <v>2024</v>
      </c>
      <c r="F10642" s="30" t="s">
        <v>2046</v>
      </c>
      <c r="H10642" s="30" t="s">
        <v>2859</v>
      </c>
      <c r="J10642" s="30" t="s">
        <v>3390</v>
      </c>
      <c r="L10642" s="30" t="s">
        <v>3442</v>
      </c>
      <c r="N10642" s="30" t="s">
        <v>3613</v>
      </c>
      <c r="P10642" s="30" t="s">
        <v>17125</v>
      </c>
      <c r="Q10642" t="s">
        <v>621</v>
      </c>
      <c r="R10642" t="s">
        <v>917</v>
      </c>
      <c r="S10642">
        <v>39</v>
      </c>
      <c r="T10642" s="29" t="str">
        <f>HYPERLINK("https://ictv.global/ictv/proposals/2023.001B.Leviviricetes_reorg.zip","2023.001B.Leviviricetes_reorg.zip")</f>
        <v>2023.001B.Leviviricetes_reorg.zip</v>
      </c>
      <c r="U10642" s="29" t="str">
        <f>HYPERLINK("https://ictv.global/taxonomy/taxondetails?taxnode_id=202317647","ictv.global=202317647")</f>
        <v>ictv.global=202317647</v>
      </c>
    </row>
    <row r="10643" spans="1:21">
      <c r="A10643">
        <v>10642</v>
      </c>
      <c r="B10643" s="30" t="s">
        <v>1226</v>
      </c>
      <c r="D10643" s="30" t="s">
        <v>2024</v>
      </c>
      <c r="F10643" s="30" t="s">
        <v>2046</v>
      </c>
      <c r="H10643" s="30" t="s">
        <v>2859</v>
      </c>
      <c r="J10643" s="30" t="s">
        <v>3390</v>
      </c>
      <c r="L10643" s="30" t="s">
        <v>3442</v>
      </c>
      <c r="N10643" s="30" t="s">
        <v>3613</v>
      </c>
      <c r="P10643" s="30" t="s">
        <v>17126</v>
      </c>
      <c r="Q10643" t="s">
        <v>621</v>
      </c>
      <c r="R10643" t="s">
        <v>917</v>
      </c>
      <c r="S10643">
        <v>39</v>
      </c>
      <c r="T10643" s="29" t="str">
        <f>HYPERLINK("https://ictv.global/ictv/proposals/2023.001B.Leviviricetes_reorg.zip","2023.001B.Leviviricetes_reorg.zip")</f>
        <v>2023.001B.Leviviricetes_reorg.zip</v>
      </c>
      <c r="U10643" s="29" t="str">
        <f>HYPERLINK("https://ictv.global/taxonomy/taxondetails?taxnode_id=202317648","ictv.global=202317648")</f>
        <v>ictv.global=202317648</v>
      </c>
    </row>
    <row r="10644" spans="1:21">
      <c r="A10644">
        <v>10643</v>
      </c>
      <c r="B10644" s="30" t="s">
        <v>1226</v>
      </c>
      <c r="D10644" s="30" t="s">
        <v>2024</v>
      </c>
      <c r="F10644" s="30" t="s">
        <v>2046</v>
      </c>
      <c r="H10644" s="30" t="s">
        <v>2859</v>
      </c>
      <c r="J10644" s="30" t="s">
        <v>3390</v>
      </c>
      <c r="L10644" s="30" t="s">
        <v>3442</v>
      </c>
      <c r="N10644" s="30" t="s">
        <v>3615</v>
      </c>
      <c r="P10644" s="30" t="s">
        <v>3616</v>
      </c>
      <c r="Q10644" t="s">
        <v>621</v>
      </c>
      <c r="R10644" t="s">
        <v>917</v>
      </c>
      <c r="S10644">
        <v>36</v>
      </c>
      <c r="T10644" s="29" t="str">
        <f>HYPERLINK("https://ictv.global/ictv/proposals/2020.095B.R.Leviviricetes.zip","2020.095B.R.Leviviricetes.zip")</f>
        <v>2020.095B.R.Leviviricetes.zip</v>
      </c>
      <c r="U10644" s="29" t="str">
        <f>HYPERLINK("https://ictv.global/taxonomy/taxondetails?taxnode_id=202311449","ictv.global=202311449")</f>
        <v>ictv.global=202311449</v>
      </c>
    </row>
    <row r="10645" spans="1:21">
      <c r="A10645">
        <v>10644</v>
      </c>
      <c r="B10645" s="30" t="s">
        <v>1226</v>
      </c>
      <c r="D10645" s="30" t="s">
        <v>2024</v>
      </c>
      <c r="F10645" s="30" t="s">
        <v>2046</v>
      </c>
      <c r="H10645" s="30" t="s">
        <v>2859</v>
      </c>
      <c r="J10645" s="30" t="s">
        <v>3390</v>
      </c>
      <c r="L10645" s="30" t="s">
        <v>3442</v>
      </c>
      <c r="N10645" s="30" t="s">
        <v>17127</v>
      </c>
      <c r="P10645" s="30" t="s">
        <v>17128</v>
      </c>
      <c r="Q10645" t="s">
        <v>621</v>
      </c>
      <c r="R10645" t="s">
        <v>917</v>
      </c>
      <c r="S10645">
        <v>39</v>
      </c>
      <c r="T10645" s="29" t="str">
        <f>HYPERLINK("https://ictv.global/ictv/proposals/2023.001B.Leviviricetes_reorg.zip","2023.001B.Leviviricetes_reorg.zip")</f>
        <v>2023.001B.Leviviricetes_reorg.zip</v>
      </c>
      <c r="U10645" s="29" t="str">
        <f>HYPERLINK("https://ictv.global/taxonomy/taxondetails?taxnode_id=202317649","ictv.global=202317649")</f>
        <v>ictv.global=202317649</v>
      </c>
    </row>
    <row r="10646" spans="1:21">
      <c r="A10646">
        <v>10645</v>
      </c>
      <c r="B10646" s="30" t="s">
        <v>1226</v>
      </c>
      <c r="D10646" s="30" t="s">
        <v>2024</v>
      </c>
      <c r="F10646" s="30" t="s">
        <v>2046</v>
      </c>
      <c r="H10646" s="30" t="s">
        <v>2859</v>
      </c>
      <c r="J10646" s="30" t="s">
        <v>3390</v>
      </c>
      <c r="L10646" s="30" t="s">
        <v>3442</v>
      </c>
      <c r="N10646" s="30" t="s">
        <v>3617</v>
      </c>
      <c r="P10646" s="30" t="s">
        <v>17129</v>
      </c>
      <c r="Q10646" t="s">
        <v>621</v>
      </c>
      <c r="R10646" t="s">
        <v>917</v>
      </c>
      <c r="S10646">
        <v>39</v>
      </c>
      <c r="T10646" s="29" t="str">
        <f>HYPERLINK("https://ictv.global/ictv/proposals/2023.001B.Leviviricetes_reorg.zip","2023.001B.Leviviricetes_reorg.zip")</f>
        <v>2023.001B.Leviviricetes_reorg.zip</v>
      </c>
      <c r="U10646" s="29" t="str">
        <f>HYPERLINK("https://ictv.global/taxonomy/taxondetails?taxnode_id=202317650","ictv.global=202317650")</f>
        <v>ictv.global=202317650</v>
      </c>
    </row>
    <row r="10647" spans="1:21">
      <c r="A10647">
        <v>10646</v>
      </c>
      <c r="B10647" s="30" t="s">
        <v>1226</v>
      </c>
      <c r="D10647" s="30" t="s">
        <v>2024</v>
      </c>
      <c r="F10647" s="30" t="s">
        <v>2046</v>
      </c>
      <c r="H10647" s="30" t="s">
        <v>2859</v>
      </c>
      <c r="J10647" s="30" t="s">
        <v>3390</v>
      </c>
      <c r="L10647" s="30" t="s">
        <v>3442</v>
      </c>
      <c r="N10647" s="30" t="s">
        <v>3617</v>
      </c>
      <c r="P10647" s="30" t="s">
        <v>17130</v>
      </c>
      <c r="Q10647" t="s">
        <v>621</v>
      </c>
      <c r="R10647" t="s">
        <v>917</v>
      </c>
      <c r="S10647">
        <v>39</v>
      </c>
      <c r="T10647" s="29" t="str">
        <f>HYPERLINK("https://ictv.global/ictv/proposals/2023.001B.Leviviricetes_reorg.zip","2023.001B.Leviviricetes_reorg.zip")</f>
        <v>2023.001B.Leviviricetes_reorg.zip</v>
      </c>
      <c r="U10647" s="29" t="str">
        <f>HYPERLINK("https://ictv.global/taxonomy/taxondetails?taxnode_id=202317651","ictv.global=202317651")</f>
        <v>ictv.global=202317651</v>
      </c>
    </row>
    <row r="10648" spans="1:21">
      <c r="A10648">
        <v>10647</v>
      </c>
      <c r="B10648" s="30" t="s">
        <v>1226</v>
      </c>
      <c r="D10648" s="30" t="s">
        <v>2024</v>
      </c>
      <c r="F10648" s="30" t="s">
        <v>2046</v>
      </c>
      <c r="H10648" s="30" t="s">
        <v>2859</v>
      </c>
      <c r="J10648" s="30" t="s">
        <v>3390</v>
      </c>
      <c r="L10648" s="30" t="s">
        <v>3442</v>
      </c>
      <c r="N10648" s="30" t="s">
        <v>3617</v>
      </c>
      <c r="P10648" s="30" t="s">
        <v>17131</v>
      </c>
      <c r="Q10648" t="s">
        <v>621</v>
      </c>
      <c r="R10648" t="s">
        <v>917</v>
      </c>
      <c r="S10648">
        <v>39</v>
      </c>
      <c r="T10648" s="29" t="str">
        <f>HYPERLINK("https://ictv.global/ictv/proposals/2023.001B.Leviviricetes_reorg.zip","2023.001B.Leviviricetes_reorg.zip")</f>
        <v>2023.001B.Leviviricetes_reorg.zip</v>
      </c>
      <c r="U10648" s="29" t="str">
        <f>HYPERLINK("https://ictv.global/taxonomy/taxondetails?taxnode_id=202317652","ictv.global=202317652")</f>
        <v>ictv.global=202317652</v>
      </c>
    </row>
    <row r="10649" spans="1:21">
      <c r="A10649">
        <v>10648</v>
      </c>
      <c r="B10649" s="30" t="s">
        <v>1226</v>
      </c>
      <c r="D10649" s="30" t="s">
        <v>2024</v>
      </c>
      <c r="F10649" s="30" t="s">
        <v>2046</v>
      </c>
      <c r="H10649" s="30" t="s">
        <v>2859</v>
      </c>
      <c r="J10649" s="30" t="s">
        <v>3390</v>
      </c>
      <c r="L10649" s="30" t="s">
        <v>3442</v>
      </c>
      <c r="N10649" s="30" t="s">
        <v>3617</v>
      </c>
      <c r="P10649" s="30" t="s">
        <v>17132</v>
      </c>
      <c r="Q10649" t="s">
        <v>621</v>
      </c>
      <c r="R10649" t="s">
        <v>917</v>
      </c>
      <c r="S10649">
        <v>39</v>
      </c>
      <c r="T10649" s="29" t="str">
        <f>HYPERLINK("https://ictv.global/ictv/proposals/2023.001B.Leviviricetes_reorg.zip","2023.001B.Leviviricetes_reorg.zip")</f>
        <v>2023.001B.Leviviricetes_reorg.zip</v>
      </c>
      <c r="U10649" s="29" t="str">
        <f>HYPERLINK("https://ictv.global/taxonomy/taxondetails?taxnode_id=202317653","ictv.global=202317653")</f>
        <v>ictv.global=202317653</v>
      </c>
    </row>
    <row r="10650" spans="1:21">
      <c r="A10650">
        <v>10649</v>
      </c>
      <c r="B10650" s="30" t="s">
        <v>1226</v>
      </c>
      <c r="D10650" s="30" t="s">
        <v>2024</v>
      </c>
      <c r="F10650" s="30" t="s">
        <v>2046</v>
      </c>
      <c r="H10650" s="30" t="s">
        <v>2859</v>
      </c>
      <c r="J10650" s="30" t="s">
        <v>3390</v>
      </c>
      <c r="L10650" s="30" t="s">
        <v>3442</v>
      </c>
      <c r="N10650" s="30" t="s">
        <v>3617</v>
      </c>
      <c r="P10650" s="30" t="s">
        <v>3618</v>
      </c>
      <c r="Q10650" t="s">
        <v>621</v>
      </c>
      <c r="R10650" t="s">
        <v>917</v>
      </c>
      <c r="S10650">
        <v>36</v>
      </c>
      <c r="T10650" s="29" t="str">
        <f>HYPERLINK("https://ictv.global/ictv/proposals/2020.095B.R.Leviviricetes.zip","2020.095B.R.Leviviricetes.zip")</f>
        <v>2020.095B.R.Leviviricetes.zip</v>
      </c>
      <c r="U10650" s="29" t="str">
        <f>HYPERLINK("https://ictv.global/taxonomy/taxondetails?taxnode_id=202311453","ictv.global=202311453")</f>
        <v>ictv.global=202311453</v>
      </c>
    </row>
    <row r="10651" spans="1:21">
      <c r="A10651">
        <v>10650</v>
      </c>
      <c r="B10651" s="30" t="s">
        <v>1226</v>
      </c>
      <c r="D10651" s="30" t="s">
        <v>2024</v>
      </c>
      <c r="F10651" s="30" t="s">
        <v>2046</v>
      </c>
      <c r="H10651" s="30" t="s">
        <v>2859</v>
      </c>
      <c r="J10651" s="30" t="s">
        <v>3390</v>
      </c>
      <c r="L10651" s="30" t="s">
        <v>3442</v>
      </c>
      <c r="N10651" s="30" t="s">
        <v>3617</v>
      </c>
      <c r="P10651" s="30" t="s">
        <v>17133</v>
      </c>
      <c r="Q10651" t="s">
        <v>621</v>
      </c>
      <c r="R10651" t="s">
        <v>918</v>
      </c>
      <c r="S10651">
        <v>39</v>
      </c>
      <c r="T10651" s="29" t="str">
        <f t="shared" ref="T10651:T10683" si="444">HYPERLINK("https://ictv.global/ictv/proposals/2023.001B.Leviviricetes_reorg.zip","2023.001B.Leviviricetes_reorg.zip")</f>
        <v>2023.001B.Leviviricetes_reorg.zip</v>
      </c>
      <c r="U10651" s="29" t="str">
        <f>HYPERLINK("https://ictv.global/taxonomy/taxondetails?taxnode_id=202311399","ictv.global=202311399")</f>
        <v>ictv.global=202311399</v>
      </c>
    </row>
    <row r="10652" spans="1:21">
      <c r="A10652">
        <v>10651</v>
      </c>
      <c r="B10652" s="30" t="s">
        <v>1226</v>
      </c>
      <c r="D10652" s="30" t="s">
        <v>2024</v>
      </c>
      <c r="F10652" s="30" t="s">
        <v>2046</v>
      </c>
      <c r="H10652" s="30" t="s">
        <v>2859</v>
      </c>
      <c r="J10652" s="30" t="s">
        <v>3390</v>
      </c>
      <c r="L10652" s="30" t="s">
        <v>3442</v>
      </c>
      <c r="N10652" s="30" t="s">
        <v>3617</v>
      </c>
      <c r="P10652" s="30" t="s">
        <v>17134</v>
      </c>
      <c r="Q10652" t="s">
        <v>621</v>
      </c>
      <c r="R10652" t="s">
        <v>918</v>
      </c>
      <c r="S10652">
        <v>39</v>
      </c>
      <c r="T10652" s="29" t="str">
        <f t="shared" si="444"/>
        <v>2023.001B.Leviviricetes_reorg.zip</v>
      </c>
      <c r="U10652" s="29" t="str">
        <f>HYPERLINK("https://ictv.global/taxonomy/taxondetails?taxnode_id=202311401","ictv.global=202311401")</f>
        <v>ictv.global=202311401</v>
      </c>
    </row>
    <row r="10653" spans="1:21">
      <c r="A10653">
        <v>10652</v>
      </c>
      <c r="B10653" s="30" t="s">
        <v>1226</v>
      </c>
      <c r="D10653" s="30" t="s">
        <v>2024</v>
      </c>
      <c r="F10653" s="30" t="s">
        <v>2046</v>
      </c>
      <c r="H10653" s="30" t="s">
        <v>2859</v>
      </c>
      <c r="J10653" s="30" t="s">
        <v>3390</v>
      </c>
      <c r="L10653" s="30" t="s">
        <v>3442</v>
      </c>
      <c r="N10653" s="30" t="s">
        <v>3617</v>
      </c>
      <c r="P10653" s="30" t="s">
        <v>17135</v>
      </c>
      <c r="Q10653" t="s">
        <v>621</v>
      </c>
      <c r="R10653" t="s">
        <v>918</v>
      </c>
      <c r="S10653">
        <v>39</v>
      </c>
      <c r="T10653" s="29" t="str">
        <f t="shared" si="444"/>
        <v>2023.001B.Leviviricetes_reorg.zip</v>
      </c>
      <c r="U10653" s="29" t="str">
        <f>HYPERLINK("https://ictv.global/taxonomy/taxondetails?taxnode_id=202311400","ictv.global=202311400")</f>
        <v>ictv.global=202311400</v>
      </c>
    </row>
    <row r="10654" spans="1:21">
      <c r="A10654">
        <v>10653</v>
      </c>
      <c r="B10654" s="30" t="s">
        <v>1226</v>
      </c>
      <c r="D10654" s="30" t="s">
        <v>2024</v>
      </c>
      <c r="F10654" s="30" t="s">
        <v>2046</v>
      </c>
      <c r="H10654" s="30" t="s">
        <v>2859</v>
      </c>
      <c r="J10654" s="30" t="s">
        <v>3390</v>
      </c>
      <c r="L10654" s="30" t="s">
        <v>3442</v>
      </c>
      <c r="N10654" s="30" t="s">
        <v>3617</v>
      </c>
      <c r="P10654" s="30" t="s">
        <v>17136</v>
      </c>
      <c r="Q10654" t="s">
        <v>621</v>
      </c>
      <c r="R10654" t="s">
        <v>918</v>
      </c>
      <c r="S10654">
        <v>39</v>
      </c>
      <c r="T10654" s="29" t="str">
        <f t="shared" si="444"/>
        <v>2023.001B.Leviviricetes_reorg.zip</v>
      </c>
      <c r="U10654" s="29" t="str">
        <f>HYPERLINK("https://ictv.global/taxonomy/taxondetails?taxnode_id=202311402","ictv.global=202311402")</f>
        <v>ictv.global=202311402</v>
      </c>
    </row>
    <row r="10655" spans="1:21">
      <c r="A10655">
        <v>10654</v>
      </c>
      <c r="B10655" s="30" t="s">
        <v>1226</v>
      </c>
      <c r="D10655" s="30" t="s">
        <v>2024</v>
      </c>
      <c r="F10655" s="30" t="s">
        <v>2046</v>
      </c>
      <c r="H10655" s="30" t="s">
        <v>2859</v>
      </c>
      <c r="J10655" s="30" t="s">
        <v>3390</v>
      </c>
      <c r="L10655" s="30" t="s">
        <v>3442</v>
      </c>
      <c r="N10655" s="30" t="s">
        <v>3617</v>
      </c>
      <c r="P10655" s="30" t="s">
        <v>17137</v>
      </c>
      <c r="Q10655" t="s">
        <v>621</v>
      </c>
      <c r="R10655" t="s">
        <v>918</v>
      </c>
      <c r="S10655">
        <v>39</v>
      </c>
      <c r="T10655" s="29" t="str">
        <f t="shared" si="444"/>
        <v>2023.001B.Leviviricetes_reorg.zip</v>
      </c>
      <c r="U10655" s="29" t="str">
        <f>HYPERLINK("https://ictv.global/taxonomy/taxondetails?taxnode_id=202311403","ictv.global=202311403")</f>
        <v>ictv.global=202311403</v>
      </c>
    </row>
    <row r="10656" spans="1:21">
      <c r="A10656">
        <v>10655</v>
      </c>
      <c r="B10656" s="30" t="s">
        <v>1226</v>
      </c>
      <c r="D10656" s="30" t="s">
        <v>2024</v>
      </c>
      <c r="F10656" s="30" t="s">
        <v>2046</v>
      </c>
      <c r="H10656" s="30" t="s">
        <v>2859</v>
      </c>
      <c r="J10656" s="30" t="s">
        <v>3390</v>
      </c>
      <c r="L10656" s="30" t="s">
        <v>3442</v>
      </c>
      <c r="N10656" s="30" t="s">
        <v>3617</v>
      </c>
      <c r="P10656" s="30" t="s">
        <v>17138</v>
      </c>
      <c r="Q10656" t="s">
        <v>621</v>
      </c>
      <c r="R10656" t="s">
        <v>918</v>
      </c>
      <c r="S10656">
        <v>39</v>
      </c>
      <c r="T10656" s="29" t="str">
        <f t="shared" si="444"/>
        <v>2023.001B.Leviviricetes_reorg.zip</v>
      </c>
      <c r="U10656" s="29" t="str">
        <f>HYPERLINK("https://ictv.global/taxonomy/taxondetails?taxnode_id=202311404","ictv.global=202311404")</f>
        <v>ictv.global=202311404</v>
      </c>
    </row>
    <row r="10657" spans="1:21">
      <c r="A10657">
        <v>10656</v>
      </c>
      <c r="B10657" s="30" t="s">
        <v>1226</v>
      </c>
      <c r="D10657" s="30" t="s">
        <v>2024</v>
      </c>
      <c r="F10657" s="30" t="s">
        <v>2046</v>
      </c>
      <c r="H10657" s="30" t="s">
        <v>2859</v>
      </c>
      <c r="J10657" s="30" t="s">
        <v>3390</v>
      </c>
      <c r="L10657" s="30" t="s">
        <v>3442</v>
      </c>
      <c r="N10657" s="30" t="s">
        <v>3617</v>
      </c>
      <c r="P10657" s="30" t="s">
        <v>17139</v>
      </c>
      <c r="Q10657" t="s">
        <v>621</v>
      </c>
      <c r="R10657" t="s">
        <v>917</v>
      </c>
      <c r="S10657">
        <v>39</v>
      </c>
      <c r="T10657" s="29" t="str">
        <f t="shared" si="444"/>
        <v>2023.001B.Leviviricetes_reorg.zip</v>
      </c>
      <c r="U10657" s="29" t="str">
        <f>HYPERLINK("https://ictv.global/taxonomy/taxondetails?taxnode_id=202317654","ictv.global=202317654")</f>
        <v>ictv.global=202317654</v>
      </c>
    </row>
    <row r="10658" spans="1:21">
      <c r="A10658">
        <v>10657</v>
      </c>
      <c r="B10658" s="30" t="s">
        <v>1226</v>
      </c>
      <c r="D10658" s="30" t="s">
        <v>2024</v>
      </c>
      <c r="F10658" s="30" t="s">
        <v>2046</v>
      </c>
      <c r="H10658" s="30" t="s">
        <v>2859</v>
      </c>
      <c r="J10658" s="30" t="s">
        <v>3390</v>
      </c>
      <c r="L10658" s="30" t="s">
        <v>3442</v>
      </c>
      <c r="N10658" s="30" t="s">
        <v>3617</v>
      </c>
      <c r="P10658" s="30" t="s">
        <v>17140</v>
      </c>
      <c r="Q10658" t="s">
        <v>621</v>
      </c>
      <c r="R10658" t="s">
        <v>917</v>
      </c>
      <c r="S10658">
        <v>39</v>
      </c>
      <c r="T10658" s="29" t="str">
        <f t="shared" si="444"/>
        <v>2023.001B.Leviviricetes_reorg.zip</v>
      </c>
      <c r="U10658" s="29" t="str">
        <f>HYPERLINK("https://ictv.global/taxonomy/taxondetails?taxnode_id=202317655","ictv.global=202317655")</f>
        <v>ictv.global=202317655</v>
      </c>
    </row>
    <row r="10659" spans="1:21">
      <c r="A10659">
        <v>10658</v>
      </c>
      <c r="B10659" s="30" t="s">
        <v>1226</v>
      </c>
      <c r="D10659" s="30" t="s">
        <v>2024</v>
      </c>
      <c r="F10659" s="30" t="s">
        <v>2046</v>
      </c>
      <c r="H10659" s="30" t="s">
        <v>2859</v>
      </c>
      <c r="J10659" s="30" t="s">
        <v>3390</v>
      </c>
      <c r="L10659" s="30" t="s">
        <v>3442</v>
      </c>
      <c r="N10659" s="30" t="s">
        <v>3617</v>
      </c>
      <c r="P10659" s="30" t="s">
        <v>17141</v>
      </c>
      <c r="Q10659" t="s">
        <v>621</v>
      </c>
      <c r="R10659" t="s">
        <v>917</v>
      </c>
      <c r="S10659">
        <v>39</v>
      </c>
      <c r="T10659" s="29" t="str">
        <f t="shared" si="444"/>
        <v>2023.001B.Leviviricetes_reorg.zip</v>
      </c>
      <c r="U10659" s="29" t="str">
        <f>HYPERLINK("https://ictv.global/taxonomy/taxondetails?taxnode_id=202317656","ictv.global=202317656")</f>
        <v>ictv.global=202317656</v>
      </c>
    </row>
    <row r="10660" spans="1:21">
      <c r="A10660">
        <v>10659</v>
      </c>
      <c r="B10660" s="30" t="s">
        <v>1226</v>
      </c>
      <c r="D10660" s="30" t="s">
        <v>2024</v>
      </c>
      <c r="F10660" s="30" t="s">
        <v>2046</v>
      </c>
      <c r="H10660" s="30" t="s">
        <v>2859</v>
      </c>
      <c r="J10660" s="30" t="s">
        <v>3390</v>
      </c>
      <c r="L10660" s="30" t="s">
        <v>3442</v>
      </c>
      <c r="N10660" s="30" t="s">
        <v>3617</v>
      </c>
      <c r="P10660" s="30" t="s">
        <v>17142</v>
      </c>
      <c r="Q10660" t="s">
        <v>621</v>
      </c>
      <c r="R10660" t="s">
        <v>917</v>
      </c>
      <c r="S10660">
        <v>39</v>
      </c>
      <c r="T10660" s="29" t="str">
        <f t="shared" si="444"/>
        <v>2023.001B.Leviviricetes_reorg.zip</v>
      </c>
      <c r="U10660" s="29" t="str">
        <f>HYPERLINK("https://ictv.global/taxonomy/taxondetails?taxnode_id=202317657","ictv.global=202317657")</f>
        <v>ictv.global=202317657</v>
      </c>
    </row>
    <row r="10661" spans="1:21">
      <c r="A10661">
        <v>10660</v>
      </c>
      <c r="B10661" s="30" t="s">
        <v>1226</v>
      </c>
      <c r="D10661" s="30" t="s">
        <v>2024</v>
      </c>
      <c r="F10661" s="30" t="s">
        <v>2046</v>
      </c>
      <c r="H10661" s="30" t="s">
        <v>2859</v>
      </c>
      <c r="J10661" s="30" t="s">
        <v>3390</v>
      </c>
      <c r="L10661" s="30" t="s">
        <v>3442</v>
      </c>
      <c r="N10661" s="30" t="s">
        <v>3617</v>
      </c>
      <c r="P10661" s="30" t="s">
        <v>17143</v>
      </c>
      <c r="Q10661" t="s">
        <v>621</v>
      </c>
      <c r="R10661" t="s">
        <v>918</v>
      </c>
      <c r="S10661">
        <v>39</v>
      </c>
      <c r="T10661" s="29" t="str">
        <f t="shared" si="444"/>
        <v>2023.001B.Leviviricetes_reorg.zip</v>
      </c>
      <c r="U10661" s="29" t="str">
        <f>HYPERLINK("https://ictv.global/taxonomy/taxondetails?taxnode_id=202311405","ictv.global=202311405")</f>
        <v>ictv.global=202311405</v>
      </c>
    </row>
    <row r="10662" spans="1:21">
      <c r="A10662">
        <v>10661</v>
      </c>
      <c r="B10662" s="30" t="s">
        <v>1226</v>
      </c>
      <c r="D10662" s="30" t="s">
        <v>2024</v>
      </c>
      <c r="F10662" s="30" t="s">
        <v>2046</v>
      </c>
      <c r="H10662" s="30" t="s">
        <v>2859</v>
      </c>
      <c r="J10662" s="30" t="s">
        <v>3390</v>
      </c>
      <c r="L10662" s="30" t="s">
        <v>3442</v>
      </c>
      <c r="N10662" s="30" t="s">
        <v>3617</v>
      </c>
      <c r="P10662" s="30" t="s">
        <v>17144</v>
      </c>
      <c r="Q10662" t="s">
        <v>621</v>
      </c>
      <c r="R10662" t="s">
        <v>918</v>
      </c>
      <c r="S10662">
        <v>39</v>
      </c>
      <c r="T10662" s="29" t="str">
        <f t="shared" si="444"/>
        <v>2023.001B.Leviviricetes_reorg.zip</v>
      </c>
      <c r="U10662" s="29" t="str">
        <f>HYPERLINK("https://ictv.global/taxonomy/taxondetails?taxnode_id=202311406","ictv.global=202311406")</f>
        <v>ictv.global=202311406</v>
      </c>
    </row>
    <row r="10663" spans="1:21">
      <c r="A10663">
        <v>10662</v>
      </c>
      <c r="B10663" s="30" t="s">
        <v>1226</v>
      </c>
      <c r="D10663" s="30" t="s">
        <v>2024</v>
      </c>
      <c r="F10663" s="30" t="s">
        <v>2046</v>
      </c>
      <c r="H10663" s="30" t="s">
        <v>2859</v>
      </c>
      <c r="J10663" s="30" t="s">
        <v>3390</v>
      </c>
      <c r="L10663" s="30" t="s">
        <v>3442</v>
      </c>
      <c r="N10663" s="30" t="s">
        <v>3617</v>
      </c>
      <c r="P10663" s="30" t="s">
        <v>17145</v>
      </c>
      <c r="Q10663" t="s">
        <v>621</v>
      </c>
      <c r="R10663" t="s">
        <v>918</v>
      </c>
      <c r="S10663">
        <v>39</v>
      </c>
      <c r="T10663" s="29" t="str">
        <f t="shared" si="444"/>
        <v>2023.001B.Leviviricetes_reorg.zip</v>
      </c>
      <c r="U10663" s="29" t="str">
        <f>HYPERLINK("https://ictv.global/taxonomy/taxondetails?taxnode_id=202311407","ictv.global=202311407")</f>
        <v>ictv.global=202311407</v>
      </c>
    </row>
    <row r="10664" spans="1:21">
      <c r="A10664">
        <v>10663</v>
      </c>
      <c r="B10664" s="30" t="s">
        <v>1226</v>
      </c>
      <c r="D10664" s="30" t="s">
        <v>2024</v>
      </c>
      <c r="F10664" s="30" t="s">
        <v>2046</v>
      </c>
      <c r="H10664" s="30" t="s">
        <v>2859</v>
      </c>
      <c r="J10664" s="30" t="s">
        <v>3390</v>
      </c>
      <c r="L10664" s="30" t="s">
        <v>3442</v>
      </c>
      <c r="N10664" s="30" t="s">
        <v>3617</v>
      </c>
      <c r="P10664" s="30" t="s">
        <v>17146</v>
      </c>
      <c r="Q10664" t="s">
        <v>621</v>
      </c>
      <c r="R10664" t="s">
        <v>918</v>
      </c>
      <c r="S10664">
        <v>39</v>
      </c>
      <c r="T10664" s="29" t="str">
        <f t="shared" si="444"/>
        <v>2023.001B.Leviviricetes_reorg.zip</v>
      </c>
      <c r="U10664" s="29" t="str">
        <f>HYPERLINK("https://ictv.global/taxonomy/taxondetails?taxnode_id=202311408","ictv.global=202311408")</f>
        <v>ictv.global=202311408</v>
      </c>
    </row>
    <row r="10665" spans="1:21">
      <c r="A10665">
        <v>10664</v>
      </c>
      <c r="B10665" s="30" t="s">
        <v>1226</v>
      </c>
      <c r="D10665" s="30" t="s">
        <v>2024</v>
      </c>
      <c r="F10665" s="30" t="s">
        <v>2046</v>
      </c>
      <c r="H10665" s="30" t="s">
        <v>2859</v>
      </c>
      <c r="J10665" s="30" t="s">
        <v>3390</v>
      </c>
      <c r="L10665" s="30" t="s">
        <v>3442</v>
      </c>
      <c r="N10665" s="30" t="s">
        <v>3617</v>
      </c>
      <c r="P10665" s="30" t="s">
        <v>17147</v>
      </c>
      <c r="Q10665" t="s">
        <v>621</v>
      </c>
      <c r="R10665" t="s">
        <v>918</v>
      </c>
      <c r="S10665">
        <v>39</v>
      </c>
      <c r="T10665" s="29" t="str">
        <f t="shared" si="444"/>
        <v>2023.001B.Leviviricetes_reorg.zip</v>
      </c>
      <c r="U10665" s="29" t="str">
        <f>HYPERLINK("https://ictv.global/taxonomy/taxondetails?taxnode_id=202311409","ictv.global=202311409")</f>
        <v>ictv.global=202311409</v>
      </c>
    </row>
    <row r="10666" spans="1:21">
      <c r="A10666">
        <v>10665</v>
      </c>
      <c r="B10666" s="30" t="s">
        <v>1226</v>
      </c>
      <c r="D10666" s="30" t="s">
        <v>2024</v>
      </c>
      <c r="F10666" s="30" t="s">
        <v>2046</v>
      </c>
      <c r="H10666" s="30" t="s">
        <v>2859</v>
      </c>
      <c r="J10666" s="30" t="s">
        <v>3390</v>
      </c>
      <c r="L10666" s="30" t="s">
        <v>3442</v>
      </c>
      <c r="N10666" s="30" t="s">
        <v>3617</v>
      </c>
      <c r="P10666" s="30" t="s">
        <v>17148</v>
      </c>
      <c r="Q10666" t="s">
        <v>621</v>
      </c>
      <c r="R10666" t="s">
        <v>918</v>
      </c>
      <c r="S10666">
        <v>39</v>
      </c>
      <c r="T10666" s="29" t="str">
        <f t="shared" si="444"/>
        <v>2023.001B.Leviviricetes_reorg.zip</v>
      </c>
      <c r="U10666" s="29" t="str">
        <f>HYPERLINK("https://ictv.global/taxonomy/taxondetails?taxnode_id=202311410","ictv.global=202311410")</f>
        <v>ictv.global=202311410</v>
      </c>
    </row>
    <row r="10667" spans="1:21">
      <c r="A10667">
        <v>10666</v>
      </c>
      <c r="B10667" s="30" t="s">
        <v>1226</v>
      </c>
      <c r="D10667" s="30" t="s">
        <v>2024</v>
      </c>
      <c r="F10667" s="30" t="s">
        <v>2046</v>
      </c>
      <c r="H10667" s="30" t="s">
        <v>2859</v>
      </c>
      <c r="J10667" s="30" t="s">
        <v>3390</v>
      </c>
      <c r="L10667" s="30" t="s">
        <v>3442</v>
      </c>
      <c r="N10667" s="30" t="s">
        <v>3617</v>
      </c>
      <c r="P10667" s="30" t="s">
        <v>17149</v>
      </c>
      <c r="Q10667" t="s">
        <v>621</v>
      </c>
      <c r="R10667" t="s">
        <v>917</v>
      </c>
      <c r="S10667">
        <v>39</v>
      </c>
      <c r="T10667" s="29" t="str">
        <f t="shared" si="444"/>
        <v>2023.001B.Leviviricetes_reorg.zip</v>
      </c>
      <c r="U10667" s="29" t="str">
        <f>HYPERLINK("https://ictv.global/taxonomy/taxondetails?taxnode_id=202317658","ictv.global=202317658")</f>
        <v>ictv.global=202317658</v>
      </c>
    </row>
    <row r="10668" spans="1:21">
      <c r="A10668">
        <v>10667</v>
      </c>
      <c r="B10668" s="30" t="s">
        <v>1226</v>
      </c>
      <c r="D10668" s="30" t="s">
        <v>2024</v>
      </c>
      <c r="F10668" s="30" t="s">
        <v>2046</v>
      </c>
      <c r="H10668" s="30" t="s">
        <v>2859</v>
      </c>
      <c r="J10668" s="30" t="s">
        <v>3390</v>
      </c>
      <c r="L10668" s="30" t="s">
        <v>3442</v>
      </c>
      <c r="N10668" s="30" t="s">
        <v>3617</v>
      </c>
      <c r="P10668" s="30" t="s">
        <v>17150</v>
      </c>
      <c r="Q10668" t="s">
        <v>621</v>
      </c>
      <c r="R10668" t="s">
        <v>917</v>
      </c>
      <c r="S10668">
        <v>39</v>
      </c>
      <c r="T10668" s="29" t="str">
        <f t="shared" si="444"/>
        <v>2023.001B.Leviviricetes_reorg.zip</v>
      </c>
      <c r="U10668" s="29" t="str">
        <f>HYPERLINK("https://ictv.global/taxonomy/taxondetails?taxnode_id=202317659","ictv.global=202317659")</f>
        <v>ictv.global=202317659</v>
      </c>
    </row>
    <row r="10669" spans="1:21">
      <c r="A10669">
        <v>10668</v>
      </c>
      <c r="B10669" s="30" t="s">
        <v>1226</v>
      </c>
      <c r="D10669" s="30" t="s">
        <v>2024</v>
      </c>
      <c r="F10669" s="30" t="s">
        <v>2046</v>
      </c>
      <c r="H10669" s="30" t="s">
        <v>2859</v>
      </c>
      <c r="J10669" s="30" t="s">
        <v>3390</v>
      </c>
      <c r="L10669" s="30" t="s">
        <v>3442</v>
      </c>
      <c r="N10669" s="30" t="s">
        <v>3617</v>
      </c>
      <c r="P10669" s="30" t="s">
        <v>17151</v>
      </c>
      <c r="Q10669" t="s">
        <v>621</v>
      </c>
      <c r="R10669" t="s">
        <v>917</v>
      </c>
      <c r="S10669">
        <v>39</v>
      </c>
      <c r="T10669" s="29" t="str">
        <f t="shared" si="444"/>
        <v>2023.001B.Leviviricetes_reorg.zip</v>
      </c>
      <c r="U10669" s="29" t="str">
        <f>HYPERLINK("https://ictv.global/taxonomy/taxondetails?taxnode_id=202317660","ictv.global=202317660")</f>
        <v>ictv.global=202317660</v>
      </c>
    </row>
    <row r="10670" spans="1:21">
      <c r="A10670">
        <v>10669</v>
      </c>
      <c r="B10670" s="30" t="s">
        <v>1226</v>
      </c>
      <c r="D10670" s="30" t="s">
        <v>2024</v>
      </c>
      <c r="F10670" s="30" t="s">
        <v>2046</v>
      </c>
      <c r="H10670" s="30" t="s">
        <v>2859</v>
      </c>
      <c r="J10670" s="30" t="s">
        <v>3390</v>
      </c>
      <c r="L10670" s="30" t="s">
        <v>3442</v>
      </c>
      <c r="N10670" s="30" t="s">
        <v>3617</v>
      </c>
      <c r="P10670" s="30" t="s">
        <v>17152</v>
      </c>
      <c r="Q10670" t="s">
        <v>621</v>
      </c>
      <c r="R10670" t="s">
        <v>917</v>
      </c>
      <c r="S10670">
        <v>39</v>
      </c>
      <c r="T10670" s="29" t="str">
        <f t="shared" si="444"/>
        <v>2023.001B.Leviviricetes_reorg.zip</v>
      </c>
      <c r="U10670" s="29" t="str">
        <f>HYPERLINK("https://ictv.global/taxonomy/taxondetails?taxnode_id=202317661","ictv.global=202317661")</f>
        <v>ictv.global=202317661</v>
      </c>
    </row>
    <row r="10671" spans="1:21">
      <c r="A10671">
        <v>10670</v>
      </c>
      <c r="B10671" s="30" t="s">
        <v>1226</v>
      </c>
      <c r="D10671" s="30" t="s">
        <v>2024</v>
      </c>
      <c r="F10671" s="30" t="s">
        <v>2046</v>
      </c>
      <c r="H10671" s="30" t="s">
        <v>2859</v>
      </c>
      <c r="J10671" s="30" t="s">
        <v>3390</v>
      </c>
      <c r="L10671" s="30" t="s">
        <v>3442</v>
      </c>
      <c r="N10671" s="30" t="s">
        <v>3617</v>
      </c>
      <c r="P10671" s="30" t="s">
        <v>17153</v>
      </c>
      <c r="Q10671" t="s">
        <v>621</v>
      </c>
      <c r="R10671" t="s">
        <v>917</v>
      </c>
      <c r="S10671">
        <v>39</v>
      </c>
      <c r="T10671" s="29" t="str">
        <f t="shared" si="444"/>
        <v>2023.001B.Leviviricetes_reorg.zip</v>
      </c>
      <c r="U10671" s="29" t="str">
        <f>HYPERLINK("https://ictv.global/taxonomy/taxondetails?taxnode_id=202317662","ictv.global=202317662")</f>
        <v>ictv.global=202317662</v>
      </c>
    </row>
    <row r="10672" spans="1:21">
      <c r="A10672">
        <v>10671</v>
      </c>
      <c r="B10672" s="30" t="s">
        <v>1226</v>
      </c>
      <c r="D10672" s="30" t="s">
        <v>2024</v>
      </c>
      <c r="F10672" s="30" t="s">
        <v>2046</v>
      </c>
      <c r="H10672" s="30" t="s">
        <v>2859</v>
      </c>
      <c r="J10672" s="30" t="s">
        <v>3390</v>
      </c>
      <c r="L10672" s="30" t="s">
        <v>3442</v>
      </c>
      <c r="N10672" s="30" t="s">
        <v>3617</v>
      </c>
      <c r="P10672" s="30" t="s">
        <v>17154</v>
      </c>
      <c r="Q10672" t="s">
        <v>621</v>
      </c>
      <c r="R10672" t="s">
        <v>917</v>
      </c>
      <c r="S10672">
        <v>39</v>
      </c>
      <c r="T10672" s="29" t="str">
        <f t="shared" si="444"/>
        <v>2023.001B.Leviviricetes_reorg.zip</v>
      </c>
      <c r="U10672" s="29" t="str">
        <f>HYPERLINK("https://ictv.global/taxonomy/taxondetails?taxnode_id=202317663","ictv.global=202317663")</f>
        <v>ictv.global=202317663</v>
      </c>
    </row>
    <row r="10673" spans="1:21">
      <c r="A10673">
        <v>10672</v>
      </c>
      <c r="B10673" s="30" t="s">
        <v>1226</v>
      </c>
      <c r="D10673" s="30" t="s">
        <v>2024</v>
      </c>
      <c r="F10673" s="30" t="s">
        <v>2046</v>
      </c>
      <c r="H10673" s="30" t="s">
        <v>2859</v>
      </c>
      <c r="J10673" s="30" t="s">
        <v>3390</v>
      </c>
      <c r="L10673" s="30" t="s">
        <v>3442</v>
      </c>
      <c r="N10673" s="30" t="s">
        <v>3617</v>
      </c>
      <c r="P10673" s="30" t="s">
        <v>17155</v>
      </c>
      <c r="Q10673" t="s">
        <v>621</v>
      </c>
      <c r="R10673" t="s">
        <v>917</v>
      </c>
      <c r="S10673">
        <v>39</v>
      </c>
      <c r="T10673" s="29" t="str">
        <f t="shared" si="444"/>
        <v>2023.001B.Leviviricetes_reorg.zip</v>
      </c>
      <c r="U10673" s="29" t="str">
        <f>HYPERLINK("https://ictv.global/taxonomy/taxondetails?taxnode_id=202317664","ictv.global=202317664")</f>
        <v>ictv.global=202317664</v>
      </c>
    </row>
    <row r="10674" spans="1:21">
      <c r="A10674">
        <v>10673</v>
      </c>
      <c r="B10674" s="30" t="s">
        <v>1226</v>
      </c>
      <c r="D10674" s="30" t="s">
        <v>2024</v>
      </c>
      <c r="F10674" s="30" t="s">
        <v>2046</v>
      </c>
      <c r="H10674" s="30" t="s">
        <v>2859</v>
      </c>
      <c r="J10674" s="30" t="s">
        <v>3390</v>
      </c>
      <c r="L10674" s="30" t="s">
        <v>3442</v>
      </c>
      <c r="N10674" s="30" t="s">
        <v>3617</v>
      </c>
      <c r="P10674" s="30" t="s">
        <v>17156</v>
      </c>
      <c r="Q10674" t="s">
        <v>621</v>
      </c>
      <c r="R10674" t="s">
        <v>917</v>
      </c>
      <c r="S10674">
        <v>39</v>
      </c>
      <c r="T10674" s="29" t="str">
        <f t="shared" si="444"/>
        <v>2023.001B.Leviviricetes_reorg.zip</v>
      </c>
      <c r="U10674" s="29" t="str">
        <f>HYPERLINK("https://ictv.global/taxonomy/taxondetails?taxnode_id=202317665","ictv.global=202317665")</f>
        <v>ictv.global=202317665</v>
      </c>
    </row>
    <row r="10675" spans="1:21">
      <c r="A10675">
        <v>10674</v>
      </c>
      <c r="B10675" s="30" t="s">
        <v>1226</v>
      </c>
      <c r="D10675" s="30" t="s">
        <v>2024</v>
      </c>
      <c r="F10675" s="30" t="s">
        <v>2046</v>
      </c>
      <c r="H10675" s="30" t="s">
        <v>2859</v>
      </c>
      <c r="J10675" s="30" t="s">
        <v>3390</v>
      </c>
      <c r="L10675" s="30" t="s">
        <v>3442</v>
      </c>
      <c r="N10675" s="30" t="s">
        <v>3617</v>
      </c>
      <c r="P10675" s="30" t="s">
        <v>17157</v>
      </c>
      <c r="Q10675" t="s">
        <v>621</v>
      </c>
      <c r="R10675" t="s">
        <v>917</v>
      </c>
      <c r="S10675">
        <v>39</v>
      </c>
      <c r="T10675" s="29" t="str">
        <f t="shared" si="444"/>
        <v>2023.001B.Leviviricetes_reorg.zip</v>
      </c>
      <c r="U10675" s="29" t="str">
        <f>HYPERLINK("https://ictv.global/taxonomy/taxondetails?taxnode_id=202317666","ictv.global=202317666")</f>
        <v>ictv.global=202317666</v>
      </c>
    </row>
    <row r="10676" spans="1:21">
      <c r="A10676">
        <v>10675</v>
      </c>
      <c r="B10676" s="30" t="s">
        <v>1226</v>
      </c>
      <c r="D10676" s="30" t="s">
        <v>2024</v>
      </c>
      <c r="F10676" s="30" t="s">
        <v>2046</v>
      </c>
      <c r="H10676" s="30" t="s">
        <v>2859</v>
      </c>
      <c r="J10676" s="30" t="s">
        <v>3390</v>
      </c>
      <c r="L10676" s="30" t="s">
        <v>3442</v>
      </c>
      <c r="N10676" s="30" t="s">
        <v>3617</v>
      </c>
      <c r="P10676" s="30" t="s">
        <v>17158</v>
      </c>
      <c r="Q10676" t="s">
        <v>621</v>
      </c>
      <c r="R10676" t="s">
        <v>918</v>
      </c>
      <c r="S10676">
        <v>39</v>
      </c>
      <c r="T10676" s="29" t="str">
        <f t="shared" si="444"/>
        <v>2023.001B.Leviviricetes_reorg.zip</v>
      </c>
      <c r="U10676" s="29" t="str">
        <f>HYPERLINK("https://ictv.global/taxonomy/taxondetails?taxnode_id=202311394","ictv.global=202311394")</f>
        <v>ictv.global=202311394</v>
      </c>
    </row>
    <row r="10677" spans="1:21">
      <c r="A10677">
        <v>10676</v>
      </c>
      <c r="B10677" s="30" t="s">
        <v>1226</v>
      </c>
      <c r="D10677" s="30" t="s">
        <v>2024</v>
      </c>
      <c r="F10677" s="30" t="s">
        <v>2046</v>
      </c>
      <c r="H10677" s="30" t="s">
        <v>2859</v>
      </c>
      <c r="J10677" s="30" t="s">
        <v>3390</v>
      </c>
      <c r="L10677" s="30" t="s">
        <v>3442</v>
      </c>
      <c r="N10677" s="30" t="s">
        <v>3617</v>
      </c>
      <c r="P10677" s="30" t="s">
        <v>17159</v>
      </c>
      <c r="Q10677" t="s">
        <v>621</v>
      </c>
      <c r="R10677" t="s">
        <v>918</v>
      </c>
      <c r="S10677">
        <v>39</v>
      </c>
      <c r="T10677" s="29" t="str">
        <f t="shared" si="444"/>
        <v>2023.001B.Leviviricetes_reorg.zip</v>
      </c>
      <c r="U10677" s="29" t="str">
        <f>HYPERLINK("https://ictv.global/taxonomy/taxondetails?taxnode_id=202311393","ictv.global=202311393")</f>
        <v>ictv.global=202311393</v>
      </c>
    </row>
    <row r="10678" spans="1:21">
      <c r="A10678">
        <v>10677</v>
      </c>
      <c r="B10678" s="30" t="s">
        <v>1226</v>
      </c>
      <c r="D10678" s="30" t="s">
        <v>2024</v>
      </c>
      <c r="F10678" s="30" t="s">
        <v>2046</v>
      </c>
      <c r="H10678" s="30" t="s">
        <v>2859</v>
      </c>
      <c r="J10678" s="30" t="s">
        <v>3390</v>
      </c>
      <c r="L10678" s="30" t="s">
        <v>3442</v>
      </c>
      <c r="N10678" s="30" t="s">
        <v>3617</v>
      </c>
      <c r="P10678" s="30" t="s">
        <v>17160</v>
      </c>
      <c r="Q10678" t="s">
        <v>621</v>
      </c>
      <c r="R10678" t="s">
        <v>918</v>
      </c>
      <c r="S10678">
        <v>39</v>
      </c>
      <c r="T10678" s="29" t="str">
        <f t="shared" si="444"/>
        <v>2023.001B.Leviviricetes_reorg.zip</v>
      </c>
      <c r="U10678" s="29" t="str">
        <f>HYPERLINK("https://ictv.global/taxonomy/taxondetails?taxnode_id=202311395","ictv.global=202311395")</f>
        <v>ictv.global=202311395</v>
      </c>
    </row>
    <row r="10679" spans="1:21">
      <c r="A10679">
        <v>10678</v>
      </c>
      <c r="B10679" s="30" t="s">
        <v>1226</v>
      </c>
      <c r="D10679" s="30" t="s">
        <v>2024</v>
      </c>
      <c r="F10679" s="30" t="s">
        <v>2046</v>
      </c>
      <c r="H10679" s="30" t="s">
        <v>2859</v>
      </c>
      <c r="J10679" s="30" t="s">
        <v>3390</v>
      </c>
      <c r="L10679" s="30" t="s">
        <v>3442</v>
      </c>
      <c r="N10679" s="30" t="s">
        <v>3617</v>
      </c>
      <c r="P10679" s="30" t="s">
        <v>17161</v>
      </c>
      <c r="Q10679" t="s">
        <v>621</v>
      </c>
      <c r="R10679" t="s">
        <v>918</v>
      </c>
      <c r="S10679">
        <v>39</v>
      </c>
      <c r="T10679" s="29" t="str">
        <f t="shared" si="444"/>
        <v>2023.001B.Leviviricetes_reorg.zip</v>
      </c>
      <c r="U10679" s="29" t="str">
        <f>HYPERLINK("https://ictv.global/taxonomy/taxondetails?taxnode_id=202311396","ictv.global=202311396")</f>
        <v>ictv.global=202311396</v>
      </c>
    </row>
    <row r="10680" spans="1:21">
      <c r="A10680">
        <v>10679</v>
      </c>
      <c r="B10680" s="30" t="s">
        <v>1226</v>
      </c>
      <c r="D10680" s="30" t="s">
        <v>2024</v>
      </c>
      <c r="F10680" s="30" t="s">
        <v>2046</v>
      </c>
      <c r="H10680" s="30" t="s">
        <v>2859</v>
      </c>
      <c r="J10680" s="30" t="s">
        <v>3390</v>
      </c>
      <c r="L10680" s="30" t="s">
        <v>3442</v>
      </c>
      <c r="N10680" s="30" t="s">
        <v>3617</v>
      </c>
      <c r="P10680" s="30" t="s">
        <v>17162</v>
      </c>
      <c r="Q10680" t="s">
        <v>621</v>
      </c>
      <c r="R10680" t="s">
        <v>918</v>
      </c>
      <c r="S10680">
        <v>39</v>
      </c>
      <c r="T10680" s="29" t="str">
        <f t="shared" si="444"/>
        <v>2023.001B.Leviviricetes_reorg.zip</v>
      </c>
      <c r="U10680" s="29" t="str">
        <f>HYPERLINK("https://ictv.global/taxonomy/taxondetails?taxnode_id=202311397","ictv.global=202311397")</f>
        <v>ictv.global=202311397</v>
      </c>
    </row>
    <row r="10681" spans="1:21">
      <c r="A10681">
        <v>10680</v>
      </c>
      <c r="B10681" s="30" t="s">
        <v>1226</v>
      </c>
      <c r="D10681" s="30" t="s">
        <v>2024</v>
      </c>
      <c r="F10681" s="30" t="s">
        <v>2046</v>
      </c>
      <c r="H10681" s="30" t="s">
        <v>2859</v>
      </c>
      <c r="J10681" s="30" t="s">
        <v>3390</v>
      </c>
      <c r="L10681" s="30" t="s">
        <v>3442</v>
      </c>
      <c r="N10681" s="30" t="s">
        <v>3617</v>
      </c>
      <c r="P10681" s="30" t="s">
        <v>17163</v>
      </c>
      <c r="Q10681" t="s">
        <v>621</v>
      </c>
      <c r="R10681" t="s">
        <v>918</v>
      </c>
      <c r="S10681">
        <v>39</v>
      </c>
      <c r="T10681" s="29" t="str">
        <f t="shared" si="444"/>
        <v>2023.001B.Leviviricetes_reorg.zip</v>
      </c>
      <c r="U10681" s="29" t="str">
        <f>HYPERLINK("https://ictv.global/taxonomy/taxondetails?taxnode_id=202311398","ictv.global=202311398")</f>
        <v>ictv.global=202311398</v>
      </c>
    </row>
    <row r="10682" spans="1:21">
      <c r="A10682">
        <v>10681</v>
      </c>
      <c r="B10682" s="30" t="s">
        <v>1226</v>
      </c>
      <c r="D10682" s="30" t="s">
        <v>2024</v>
      </c>
      <c r="F10682" s="30" t="s">
        <v>2046</v>
      </c>
      <c r="H10682" s="30" t="s">
        <v>2859</v>
      </c>
      <c r="J10682" s="30" t="s">
        <v>3390</v>
      </c>
      <c r="L10682" s="30" t="s">
        <v>3442</v>
      </c>
      <c r="N10682" s="30" t="s">
        <v>3617</v>
      </c>
      <c r="P10682" s="30" t="s">
        <v>17164</v>
      </c>
      <c r="Q10682" t="s">
        <v>621</v>
      </c>
      <c r="R10682" t="s">
        <v>918</v>
      </c>
      <c r="S10682">
        <v>39</v>
      </c>
      <c r="T10682" s="29" t="str">
        <f t="shared" si="444"/>
        <v>2023.001B.Leviviricetes_reorg.zip</v>
      </c>
      <c r="U10682" s="29" t="str">
        <f>HYPERLINK("https://ictv.global/taxonomy/taxondetails?taxnode_id=202311411","ictv.global=202311411")</f>
        <v>ictv.global=202311411</v>
      </c>
    </row>
    <row r="10683" spans="1:21">
      <c r="A10683">
        <v>10682</v>
      </c>
      <c r="B10683" s="30" t="s">
        <v>1226</v>
      </c>
      <c r="D10683" s="30" t="s">
        <v>2024</v>
      </c>
      <c r="F10683" s="30" t="s">
        <v>2046</v>
      </c>
      <c r="H10683" s="30" t="s">
        <v>2859</v>
      </c>
      <c r="J10683" s="30" t="s">
        <v>3390</v>
      </c>
      <c r="L10683" s="30" t="s">
        <v>3442</v>
      </c>
      <c r="N10683" s="30" t="s">
        <v>3617</v>
      </c>
      <c r="P10683" s="30" t="s">
        <v>17165</v>
      </c>
      <c r="Q10683" t="s">
        <v>621</v>
      </c>
      <c r="R10683" t="s">
        <v>917</v>
      </c>
      <c r="S10683">
        <v>39</v>
      </c>
      <c r="T10683" s="29" t="str">
        <f t="shared" si="444"/>
        <v>2023.001B.Leviviricetes_reorg.zip</v>
      </c>
      <c r="U10683" s="29" t="str">
        <f>HYPERLINK("https://ictv.global/taxonomy/taxondetails?taxnode_id=202317667","ictv.global=202317667")</f>
        <v>ictv.global=202317667</v>
      </c>
    </row>
    <row r="10684" spans="1:21">
      <c r="A10684">
        <v>10683</v>
      </c>
      <c r="B10684" s="30" t="s">
        <v>1226</v>
      </c>
      <c r="D10684" s="30" t="s">
        <v>2024</v>
      </c>
      <c r="F10684" s="30" t="s">
        <v>2046</v>
      </c>
      <c r="H10684" s="30" t="s">
        <v>2859</v>
      </c>
      <c r="J10684" s="30" t="s">
        <v>3390</v>
      </c>
      <c r="L10684" s="30" t="s">
        <v>3442</v>
      </c>
      <c r="N10684" s="30" t="s">
        <v>3619</v>
      </c>
      <c r="P10684" s="30" t="s">
        <v>3620</v>
      </c>
      <c r="Q10684" t="s">
        <v>621</v>
      </c>
      <c r="R10684" t="s">
        <v>917</v>
      </c>
      <c r="S10684">
        <v>36</v>
      </c>
      <c r="T10684" s="29" t="str">
        <f>HYPERLINK("https://ictv.global/ictv/proposals/2020.095B.R.Leviviricetes.zip","2020.095B.R.Leviviricetes.zip")</f>
        <v>2020.095B.R.Leviviricetes.zip</v>
      </c>
      <c r="U10684" s="29" t="str">
        <f>HYPERLINK("https://ictv.global/taxonomy/taxondetails?taxnode_id=202311455","ictv.global=202311455")</f>
        <v>ictv.global=202311455</v>
      </c>
    </row>
    <row r="10685" spans="1:21">
      <c r="A10685">
        <v>10684</v>
      </c>
      <c r="B10685" s="30" t="s">
        <v>1226</v>
      </c>
      <c r="D10685" s="30" t="s">
        <v>2024</v>
      </c>
      <c r="F10685" s="30" t="s">
        <v>2046</v>
      </c>
      <c r="H10685" s="30" t="s">
        <v>2859</v>
      </c>
      <c r="J10685" s="30" t="s">
        <v>3390</v>
      </c>
      <c r="L10685" s="30" t="s">
        <v>3442</v>
      </c>
      <c r="N10685" s="30" t="s">
        <v>3621</v>
      </c>
      <c r="P10685" s="30" t="s">
        <v>3622</v>
      </c>
      <c r="Q10685" t="s">
        <v>621</v>
      </c>
      <c r="R10685" t="s">
        <v>917</v>
      </c>
      <c r="S10685">
        <v>36</v>
      </c>
      <c r="T10685" s="29" t="str">
        <f>HYPERLINK("https://ictv.global/ictv/proposals/2020.095B.R.Leviviricetes.zip","2020.095B.R.Leviviricetes.zip")</f>
        <v>2020.095B.R.Leviviricetes.zip</v>
      </c>
      <c r="U10685" s="29" t="str">
        <f>HYPERLINK("https://ictv.global/taxonomy/taxondetails?taxnode_id=202311457","ictv.global=202311457")</f>
        <v>ictv.global=202311457</v>
      </c>
    </row>
    <row r="10686" spans="1:21">
      <c r="A10686">
        <v>10685</v>
      </c>
      <c r="B10686" s="30" t="s">
        <v>1226</v>
      </c>
      <c r="D10686" s="30" t="s">
        <v>2024</v>
      </c>
      <c r="F10686" s="30" t="s">
        <v>2046</v>
      </c>
      <c r="H10686" s="30" t="s">
        <v>2859</v>
      </c>
      <c r="J10686" s="30" t="s">
        <v>3390</v>
      </c>
      <c r="L10686" s="30" t="s">
        <v>3442</v>
      </c>
      <c r="N10686" s="30" t="s">
        <v>3623</v>
      </c>
      <c r="P10686" s="30" t="s">
        <v>17166</v>
      </c>
      <c r="Q10686" t="s">
        <v>621</v>
      </c>
      <c r="R10686" t="s">
        <v>917</v>
      </c>
      <c r="S10686">
        <v>39</v>
      </c>
      <c r="T10686" s="29" t="str">
        <f>HYPERLINK("https://ictv.global/ictv/proposals/2023.001B.Leviviricetes_reorg.zip","2023.001B.Leviviricetes_reorg.zip")</f>
        <v>2023.001B.Leviviricetes_reorg.zip</v>
      </c>
      <c r="U10686" s="29" t="str">
        <f>HYPERLINK("https://ictv.global/taxonomy/taxondetails?taxnode_id=202317668","ictv.global=202317668")</f>
        <v>ictv.global=202317668</v>
      </c>
    </row>
    <row r="10687" spans="1:21">
      <c r="A10687">
        <v>10686</v>
      </c>
      <c r="B10687" s="30" t="s">
        <v>1226</v>
      </c>
      <c r="D10687" s="30" t="s">
        <v>2024</v>
      </c>
      <c r="F10687" s="30" t="s">
        <v>2046</v>
      </c>
      <c r="H10687" s="30" t="s">
        <v>2859</v>
      </c>
      <c r="J10687" s="30" t="s">
        <v>3390</v>
      </c>
      <c r="L10687" s="30" t="s">
        <v>3442</v>
      </c>
      <c r="N10687" s="30" t="s">
        <v>3623</v>
      </c>
      <c r="P10687" s="30" t="s">
        <v>3624</v>
      </c>
      <c r="Q10687" t="s">
        <v>621</v>
      </c>
      <c r="R10687" t="s">
        <v>917</v>
      </c>
      <c r="S10687">
        <v>36</v>
      </c>
      <c r="T10687" s="29" t="str">
        <f>HYPERLINK("https://ictv.global/ictv/proposals/2020.095B.R.Leviviricetes.zip","2020.095B.R.Leviviricetes.zip")</f>
        <v>2020.095B.R.Leviviricetes.zip</v>
      </c>
      <c r="U10687" s="29" t="str">
        <f>HYPERLINK("https://ictv.global/taxonomy/taxondetails?taxnode_id=202311459","ictv.global=202311459")</f>
        <v>ictv.global=202311459</v>
      </c>
    </row>
    <row r="10688" spans="1:21">
      <c r="A10688">
        <v>10687</v>
      </c>
      <c r="B10688" s="30" t="s">
        <v>1226</v>
      </c>
      <c r="D10688" s="30" t="s">
        <v>2024</v>
      </c>
      <c r="F10688" s="30" t="s">
        <v>2046</v>
      </c>
      <c r="H10688" s="30" t="s">
        <v>2859</v>
      </c>
      <c r="J10688" s="30" t="s">
        <v>3390</v>
      </c>
      <c r="L10688" s="30" t="s">
        <v>3442</v>
      </c>
      <c r="N10688" s="30" t="s">
        <v>3623</v>
      </c>
      <c r="P10688" s="30" t="s">
        <v>17167</v>
      </c>
      <c r="Q10688" t="s">
        <v>621</v>
      </c>
      <c r="R10688" t="s">
        <v>917</v>
      </c>
      <c r="S10688">
        <v>39</v>
      </c>
      <c r="T10688" s="29" t="str">
        <f>HYPERLINK("https://ictv.global/ictv/proposals/2023.001B.Leviviricetes_reorg.zip","2023.001B.Leviviricetes_reorg.zip")</f>
        <v>2023.001B.Leviviricetes_reorg.zip</v>
      </c>
      <c r="U10688" s="29" t="str">
        <f>HYPERLINK("https://ictv.global/taxonomy/taxondetails?taxnode_id=202317669","ictv.global=202317669")</f>
        <v>ictv.global=202317669</v>
      </c>
    </row>
    <row r="10689" spans="1:21">
      <c r="A10689">
        <v>10688</v>
      </c>
      <c r="B10689" s="30" t="s">
        <v>1226</v>
      </c>
      <c r="D10689" s="30" t="s">
        <v>2024</v>
      </c>
      <c r="F10689" s="30" t="s">
        <v>2046</v>
      </c>
      <c r="H10689" s="30" t="s">
        <v>2859</v>
      </c>
      <c r="J10689" s="30" t="s">
        <v>3390</v>
      </c>
      <c r="L10689" s="30" t="s">
        <v>3442</v>
      </c>
      <c r="N10689" s="30" t="s">
        <v>3625</v>
      </c>
      <c r="P10689" s="30" t="s">
        <v>3626</v>
      </c>
      <c r="Q10689" t="s">
        <v>621</v>
      </c>
      <c r="R10689" t="s">
        <v>917</v>
      </c>
      <c r="S10689">
        <v>36</v>
      </c>
      <c r="T10689" s="29" t="str">
        <f>HYPERLINK("https://ictv.global/ictv/proposals/2020.095B.R.Leviviricetes.zip","2020.095B.R.Leviviricetes.zip")</f>
        <v>2020.095B.R.Leviviricetes.zip</v>
      </c>
      <c r="U10689" s="29" t="str">
        <f>HYPERLINK("https://ictv.global/taxonomy/taxondetails?taxnode_id=202311461","ictv.global=202311461")</f>
        <v>ictv.global=202311461</v>
      </c>
    </row>
    <row r="10690" spans="1:21">
      <c r="A10690">
        <v>10689</v>
      </c>
      <c r="B10690" s="30" t="s">
        <v>1226</v>
      </c>
      <c r="D10690" s="30" t="s">
        <v>2024</v>
      </c>
      <c r="F10690" s="30" t="s">
        <v>2046</v>
      </c>
      <c r="H10690" s="30" t="s">
        <v>2859</v>
      </c>
      <c r="J10690" s="30" t="s">
        <v>3390</v>
      </c>
      <c r="L10690" s="30" t="s">
        <v>3442</v>
      </c>
      <c r="N10690" s="30" t="s">
        <v>3625</v>
      </c>
      <c r="P10690" s="30" t="s">
        <v>17168</v>
      </c>
      <c r="Q10690" t="s">
        <v>621</v>
      </c>
      <c r="R10690" t="s">
        <v>917</v>
      </c>
      <c r="S10690">
        <v>39</v>
      </c>
      <c r="T10690" s="29" t="str">
        <f>HYPERLINK("https://ictv.global/ictv/proposals/2023.001B.Leviviricetes_reorg.zip","2023.001B.Leviviricetes_reorg.zip")</f>
        <v>2023.001B.Leviviricetes_reorg.zip</v>
      </c>
      <c r="U10690" s="29" t="str">
        <f>HYPERLINK("https://ictv.global/taxonomy/taxondetails?taxnode_id=202317670","ictv.global=202317670")</f>
        <v>ictv.global=202317670</v>
      </c>
    </row>
    <row r="10691" spans="1:21">
      <c r="A10691">
        <v>10690</v>
      </c>
      <c r="B10691" s="30" t="s">
        <v>1226</v>
      </c>
      <c r="D10691" s="30" t="s">
        <v>2024</v>
      </c>
      <c r="F10691" s="30" t="s">
        <v>2046</v>
      </c>
      <c r="H10691" s="30" t="s">
        <v>2859</v>
      </c>
      <c r="J10691" s="30" t="s">
        <v>3390</v>
      </c>
      <c r="L10691" s="30" t="s">
        <v>3442</v>
      </c>
      <c r="N10691" s="30" t="s">
        <v>17169</v>
      </c>
      <c r="P10691" s="30" t="s">
        <v>17170</v>
      </c>
      <c r="Q10691" t="s">
        <v>621</v>
      </c>
      <c r="R10691" t="s">
        <v>917</v>
      </c>
      <c r="S10691">
        <v>39</v>
      </c>
      <c r="T10691" s="29" t="str">
        <f>HYPERLINK("https://ictv.global/ictv/proposals/2023.001B.Leviviricetes_reorg.zip","2023.001B.Leviviricetes_reorg.zip")</f>
        <v>2023.001B.Leviviricetes_reorg.zip</v>
      </c>
      <c r="U10691" s="29" t="str">
        <f>HYPERLINK("https://ictv.global/taxonomy/taxondetails?taxnode_id=202317671","ictv.global=202317671")</f>
        <v>ictv.global=202317671</v>
      </c>
    </row>
    <row r="10692" spans="1:21">
      <c r="A10692">
        <v>10691</v>
      </c>
      <c r="B10692" s="30" t="s">
        <v>1226</v>
      </c>
      <c r="D10692" s="30" t="s">
        <v>2024</v>
      </c>
      <c r="F10692" s="30" t="s">
        <v>2046</v>
      </c>
      <c r="H10692" s="30" t="s">
        <v>2859</v>
      </c>
      <c r="J10692" s="30" t="s">
        <v>3390</v>
      </c>
      <c r="L10692" s="30" t="s">
        <v>3442</v>
      </c>
      <c r="N10692" s="30" t="s">
        <v>3627</v>
      </c>
      <c r="P10692" s="30" t="s">
        <v>3628</v>
      </c>
      <c r="Q10692" t="s">
        <v>621</v>
      </c>
      <c r="R10692" t="s">
        <v>917</v>
      </c>
      <c r="S10692">
        <v>36</v>
      </c>
      <c r="T10692" s="29" t="str">
        <f>HYPERLINK("https://ictv.global/ictv/proposals/2020.095B.R.Leviviricetes.zip","2020.095B.R.Leviviricetes.zip")</f>
        <v>2020.095B.R.Leviviricetes.zip</v>
      </c>
      <c r="U10692" s="29" t="str">
        <f>HYPERLINK("https://ictv.global/taxonomy/taxondetails?taxnode_id=202311467","ictv.global=202311467")</f>
        <v>ictv.global=202311467</v>
      </c>
    </row>
    <row r="10693" spans="1:21">
      <c r="A10693">
        <v>10692</v>
      </c>
      <c r="B10693" s="30" t="s">
        <v>1226</v>
      </c>
      <c r="D10693" s="30" t="s">
        <v>2024</v>
      </c>
      <c r="F10693" s="30" t="s">
        <v>2046</v>
      </c>
      <c r="H10693" s="30" t="s">
        <v>2859</v>
      </c>
      <c r="J10693" s="30" t="s">
        <v>3390</v>
      </c>
      <c r="L10693" s="30" t="s">
        <v>3442</v>
      </c>
      <c r="N10693" s="30" t="s">
        <v>17171</v>
      </c>
      <c r="P10693" s="30" t="s">
        <v>17172</v>
      </c>
      <c r="Q10693" t="s">
        <v>621</v>
      </c>
      <c r="R10693" t="s">
        <v>917</v>
      </c>
      <c r="S10693">
        <v>39</v>
      </c>
      <c r="T10693" s="29" t="str">
        <f t="shared" ref="T10693:T10720" si="445">HYPERLINK("https://ictv.global/ictv/proposals/2023.001B.Leviviricetes_reorg.zip","2023.001B.Leviviricetes_reorg.zip")</f>
        <v>2023.001B.Leviviricetes_reorg.zip</v>
      </c>
      <c r="U10693" s="29" t="str">
        <f>HYPERLINK("https://ictv.global/taxonomy/taxondetails?taxnode_id=202317672","ictv.global=202317672")</f>
        <v>ictv.global=202317672</v>
      </c>
    </row>
    <row r="10694" spans="1:21">
      <c r="A10694">
        <v>10693</v>
      </c>
      <c r="B10694" s="30" t="s">
        <v>1226</v>
      </c>
      <c r="D10694" s="30" t="s">
        <v>2024</v>
      </c>
      <c r="F10694" s="30" t="s">
        <v>2046</v>
      </c>
      <c r="H10694" s="30" t="s">
        <v>2859</v>
      </c>
      <c r="J10694" s="30" t="s">
        <v>3390</v>
      </c>
      <c r="L10694" s="30" t="s">
        <v>3442</v>
      </c>
      <c r="N10694" s="30" t="s">
        <v>17171</v>
      </c>
      <c r="P10694" s="30" t="s">
        <v>17173</v>
      </c>
      <c r="Q10694" t="s">
        <v>621</v>
      </c>
      <c r="R10694" t="s">
        <v>917</v>
      </c>
      <c r="S10694">
        <v>39</v>
      </c>
      <c r="T10694" s="29" t="str">
        <f t="shared" si="445"/>
        <v>2023.001B.Leviviricetes_reorg.zip</v>
      </c>
      <c r="U10694" s="29" t="str">
        <f>HYPERLINK("https://ictv.global/taxonomy/taxondetails?taxnode_id=202317673","ictv.global=202317673")</f>
        <v>ictv.global=202317673</v>
      </c>
    </row>
    <row r="10695" spans="1:21">
      <c r="A10695">
        <v>10694</v>
      </c>
      <c r="B10695" s="30" t="s">
        <v>1226</v>
      </c>
      <c r="D10695" s="30" t="s">
        <v>2024</v>
      </c>
      <c r="F10695" s="30" t="s">
        <v>2046</v>
      </c>
      <c r="H10695" s="30" t="s">
        <v>2859</v>
      </c>
      <c r="J10695" s="30" t="s">
        <v>3390</v>
      </c>
      <c r="L10695" s="30" t="s">
        <v>3442</v>
      </c>
      <c r="N10695" s="30" t="s">
        <v>17174</v>
      </c>
      <c r="P10695" s="30" t="s">
        <v>17175</v>
      </c>
      <c r="Q10695" t="s">
        <v>621</v>
      </c>
      <c r="R10695" t="s">
        <v>917</v>
      </c>
      <c r="S10695">
        <v>39</v>
      </c>
      <c r="T10695" s="29" t="str">
        <f t="shared" si="445"/>
        <v>2023.001B.Leviviricetes_reorg.zip</v>
      </c>
      <c r="U10695" s="29" t="str">
        <f>HYPERLINK("https://ictv.global/taxonomy/taxondetails?taxnode_id=202317674","ictv.global=202317674")</f>
        <v>ictv.global=202317674</v>
      </c>
    </row>
    <row r="10696" spans="1:21">
      <c r="A10696">
        <v>10695</v>
      </c>
      <c r="B10696" s="30" t="s">
        <v>1226</v>
      </c>
      <c r="D10696" s="30" t="s">
        <v>2024</v>
      </c>
      <c r="F10696" s="30" t="s">
        <v>2046</v>
      </c>
      <c r="H10696" s="30" t="s">
        <v>2859</v>
      </c>
      <c r="J10696" s="30" t="s">
        <v>3390</v>
      </c>
      <c r="L10696" s="30" t="s">
        <v>3442</v>
      </c>
      <c r="N10696" s="30" t="s">
        <v>17174</v>
      </c>
      <c r="P10696" s="30" t="s">
        <v>17176</v>
      </c>
      <c r="Q10696" t="s">
        <v>621</v>
      </c>
      <c r="R10696" t="s">
        <v>917</v>
      </c>
      <c r="S10696">
        <v>39</v>
      </c>
      <c r="T10696" s="29" t="str">
        <f t="shared" si="445"/>
        <v>2023.001B.Leviviricetes_reorg.zip</v>
      </c>
      <c r="U10696" s="29" t="str">
        <f>HYPERLINK("https://ictv.global/taxonomy/taxondetails?taxnode_id=202317675","ictv.global=202317675")</f>
        <v>ictv.global=202317675</v>
      </c>
    </row>
    <row r="10697" spans="1:21">
      <c r="A10697">
        <v>10696</v>
      </c>
      <c r="B10697" s="30" t="s">
        <v>1226</v>
      </c>
      <c r="D10697" s="30" t="s">
        <v>2024</v>
      </c>
      <c r="F10697" s="30" t="s">
        <v>2046</v>
      </c>
      <c r="H10697" s="30" t="s">
        <v>2859</v>
      </c>
      <c r="J10697" s="30" t="s">
        <v>3390</v>
      </c>
      <c r="L10697" s="30" t="s">
        <v>3442</v>
      </c>
      <c r="N10697" s="30" t="s">
        <v>17174</v>
      </c>
      <c r="P10697" s="30" t="s">
        <v>17177</v>
      </c>
      <c r="Q10697" t="s">
        <v>621</v>
      </c>
      <c r="R10697" t="s">
        <v>917</v>
      </c>
      <c r="S10697">
        <v>39</v>
      </c>
      <c r="T10697" s="29" t="str">
        <f t="shared" si="445"/>
        <v>2023.001B.Leviviricetes_reorg.zip</v>
      </c>
      <c r="U10697" s="29" t="str">
        <f>HYPERLINK("https://ictv.global/taxonomy/taxondetails?taxnode_id=202317676","ictv.global=202317676")</f>
        <v>ictv.global=202317676</v>
      </c>
    </row>
    <row r="10698" spans="1:21">
      <c r="A10698">
        <v>10697</v>
      </c>
      <c r="B10698" s="30" t="s">
        <v>1226</v>
      </c>
      <c r="D10698" s="30" t="s">
        <v>2024</v>
      </c>
      <c r="F10698" s="30" t="s">
        <v>2046</v>
      </c>
      <c r="H10698" s="30" t="s">
        <v>2859</v>
      </c>
      <c r="J10698" s="30" t="s">
        <v>3390</v>
      </c>
      <c r="L10698" s="30" t="s">
        <v>3442</v>
      </c>
      <c r="N10698" s="30" t="s">
        <v>17174</v>
      </c>
      <c r="P10698" s="30" t="s">
        <v>17178</v>
      </c>
      <c r="Q10698" t="s">
        <v>621</v>
      </c>
      <c r="R10698" t="s">
        <v>917</v>
      </c>
      <c r="S10698">
        <v>39</v>
      </c>
      <c r="T10698" s="29" t="str">
        <f t="shared" si="445"/>
        <v>2023.001B.Leviviricetes_reorg.zip</v>
      </c>
      <c r="U10698" s="29" t="str">
        <f>HYPERLINK("https://ictv.global/taxonomy/taxondetails?taxnode_id=202317677","ictv.global=202317677")</f>
        <v>ictv.global=202317677</v>
      </c>
    </row>
    <row r="10699" spans="1:21">
      <c r="A10699">
        <v>10698</v>
      </c>
      <c r="B10699" s="30" t="s">
        <v>1226</v>
      </c>
      <c r="D10699" s="30" t="s">
        <v>2024</v>
      </c>
      <c r="F10699" s="30" t="s">
        <v>2046</v>
      </c>
      <c r="H10699" s="30" t="s">
        <v>2859</v>
      </c>
      <c r="J10699" s="30" t="s">
        <v>3390</v>
      </c>
      <c r="L10699" s="30" t="s">
        <v>3442</v>
      </c>
      <c r="N10699" s="30" t="s">
        <v>17179</v>
      </c>
      <c r="P10699" s="30" t="s">
        <v>17180</v>
      </c>
      <c r="Q10699" t="s">
        <v>621</v>
      </c>
      <c r="R10699" t="s">
        <v>917</v>
      </c>
      <c r="S10699">
        <v>39</v>
      </c>
      <c r="T10699" s="29" t="str">
        <f t="shared" si="445"/>
        <v>2023.001B.Leviviricetes_reorg.zip</v>
      </c>
      <c r="U10699" s="29" t="str">
        <f>HYPERLINK("https://ictv.global/taxonomy/taxondetails?taxnode_id=202317678","ictv.global=202317678")</f>
        <v>ictv.global=202317678</v>
      </c>
    </row>
    <row r="10700" spans="1:21">
      <c r="A10700">
        <v>10699</v>
      </c>
      <c r="B10700" s="30" t="s">
        <v>1226</v>
      </c>
      <c r="D10700" s="30" t="s">
        <v>2024</v>
      </c>
      <c r="F10700" s="30" t="s">
        <v>2046</v>
      </c>
      <c r="H10700" s="30" t="s">
        <v>2859</v>
      </c>
      <c r="J10700" s="30" t="s">
        <v>3390</v>
      </c>
      <c r="L10700" s="30" t="s">
        <v>3442</v>
      </c>
      <c r="N10700" s="30" t="s">
        <v>17181</v>
      </c>
      <c r="P10700" s="30" t="s">
        <v>17182</v>
      </c>
      <c r="Q10700" t="s">
        <v>621</v>
      </c>
      <c r="R10700" t="s">
        <v>917</v>
      </c>
      <c r="S10700">
        <v>39</v>
      </c>
      <c r="T10700" s="29" t="str">
        <f t="shared" si="445"/>
        <v>2023.001B.Leviviricetes_reorg.zip</v>
      </c>
      <c r="U10700" s="29" t="str">
        <f>HYPERLINK("https://ictv.global/taxonomy/taxondetails?taxnode_id=202317679","ictv.global=202317679")</f>
        <v>ictv.global=202317679</v>
      </c>
    </row>
    <row r="10701" spans="1:21">
      <c r="A10701">
        <v>10700</v>
      </c>
      <c r="B10701" s="30" t="s">
        <v>1226</v>
      </c>
      <c r="D10701" s="30" t="s">
        <v>2024</v>
      </c>
      <c r="F10701" s="30" t="s">
        <v>2046</v>
      </c>
      <c r="H10701" s="30" t="s">
        <v>2859</v>
      </c>
      <c r="J10701" s="30" t="s">
        <v>3390</v>
      </c>
      <c r="L10701" s="30" t="s">
        <v>3442</v>
      </c>
      <c r="N10701" s="30" t="s">
        <v>17183</v>
      </c>
      <c r="P10701" s="30" t="s">
        <v>17184</v>
      </c>
      <c r="Q10701" t="s">
        <v>621</v>
      </c>
      <c r="R10701" t="s">
        <v>917</v>
      </c>
      <c r="S10701">
        <v>39</v>
      </c>
      <c r="T10701" s="29" t="str">
        <f t="shared" si="445"/>
        <v>2023.001B.Leviviricetes_reorg.zip</v>
      </c>
      <c r="U10701" s="29" t="str">
        <f>HYPERLINK("https://ictv.global/taxonomy/taxondetails?taxnode_id=202317680","ictv.global=202317680")</f>
        <v>ictv.global=202317680</v>
      </c>
    </row>
    <row r="10702" spans="1:21">
      <c r="A10702">
        <v>10701</v>
      </c>
      <c r="B10702" s="30" t="s">
        <v>1226</v>
      </c>
      <c r="D10702" s="30" t="s">
        <v>2024</v>
      </c>
      <c r="F10702" s="30" t="s">
        <v>2046</v>
      </c>
      <c r="H10702" s="30" t="s">
        <v>2859</v>
      </c>
      <c r="J10702" s="30" t="s">
        <v>3390</v>
      </c>
      <c r="L10702" s="30" t="s">
        <v>3442</v>
      </c>
      <c r="N10702" s="30" t="s">
        <v>17185</v>
      </c>
      <c r="P10702" s="30" t="s">
        <v>17186</v>
      </c>
      <c r="Q10702" t="s">
        <v>621</v>
      </c>
      <c r="R10702" t="s">
        <v>917</v>
      </c>
      <c r="S10702">
        <v>39</v>
      </c>
      <c r="T10702" s="29" t="str">
        <f t="shared" si="445"/>
        <v>2023.001B.Leviviricetes_reorg.zip</v>
      </c>
      <c r="U10702" s="29" t="str">
        <f>HYPERLINK("https://ictv.global/taxonomy/taxondetails?taxnode_id=202317681","ictv.global=202317681")</f>
        <v>ictv.global=202317681</v>
      </c>
    </row>
    <row r="10703" spans="1:21">
      <c r="A10703">
        <v>10702</v>
      </c>
      <c r="B10703" s="30" t="s">
        <v>1226</v>
      </c>
      <c r="D10703" s="30" t="s">
        <v>2024</v>
      </c>
      <c r="F10703" s="30" t="s">
        <v>2046</v>
      </c>
      <c r="H10703" s="30" t="s">
        <v>2859</v>
      </c>
      <c r="J10703" s="30" t="s">
        <v>3390</v>
      </c>
      <c r="L10703" s="30" t="s">
        <v>3442</v>
      </c>
      <c r="N10703" s="30" t="s">
        <v>17187</v>
      </c>
      <c r="P10703" s="30" t="s">
        <v>17188</v>
      </c>
      <c r="Q10703" t="s">
        <v>621</v>
      </c>
      <c r="R10703" t="s">
        <v>917</v>
      </c>
      <c r="S10703">
        <v>39</v>
      </c>
      <c r="T10703" s="29" t="str">
        <f t="shared" si="445"/>
        <v>2023.001B.Leviviricetes_reorg.zip</v>
      </c>
      <c r="U10703" s="29" t="str">
        <f>HYPERLINK("https://ictv.global/taxonomy/taxondetails?taxnode_id=202317682","ictv.global=202317682")</f>
        <v>ictv.global=202317682</v>
      </c>
    </row>
    <row r="10704" spans="1:21">
      <c r="A10704">
        <v>10703</v>
      </c>
      <c r="B10704" s="30" t="s">
        <v>1226</v>
      </c>
      <c r="D10704" s="30" t="s">
        <v>2024</v>
      </c>
      <c r="F10704" s="30" t="s">
        <v>2046</v>
      </c>
      <c r="H10704" s="30" t="s">
        <v>2859</v>
      </c>
      <c r="J10704" s="30" t="s">
        <v>3390</v>
      </c>
      <c r="L10704" s="30" t="s">
        <v>3442</v>
      </c>
      <c r="N10704" s="30" t="s">
        <v>17189</v>
      </c>
      <c r="P10704" s="30" t="s">
        <v>17190</v>
      </c>
      <c r="Q10704" t="s">
        <v>621</v>
      </c>
      <c r="R10704" t="s">
        <v>917</v>
      </c>
      <c r="S10704">
        <v>39</v>
      </c>
      <c r="T10704" s="29" t="str">
        <f t="shared" si="445"/>
        <v>2023.001B.Leviviricetes_reorg.zip</v>
      </c>
      <c r="U10704" s="29" t="str">
        <f>HYPERLINK("https://ictv.global/taxonomy/taxondetails?taxnode_id=202317683","ictv.global=202317683")</f>
        <v>ictv.global=202317683</v>
      </c>
    </row>
    <row r="10705" spans="1:21">
      <c r="A10705">
        <v>10704</v>
      </c>
      <c r="B10705" s="30" t="s">
        <v>1226</v>
      </c>
      <c r="D10705" s="30" t="s">
        <v>2024</v>
      </c>
      <c r="F10705" s="30" t="s">
        <v>2046</v>
      </c>
      <c r="H10705" s="30" t="s">
        <v>2859</v>
      </c>
      <c r="J10705" s="30" t="s">
        <v>3390</v>
      </c>
      <c r="L10705" s="30" t="s">
        <v>3442</v>
      </c>
      <c r="N10705" s="30" t="s">
        <v>17191</v>
      </c>
      <c r="P10705" s="30" t="s">
        <v>17192</v>
      </c>
      <c r="Q10705" t="s">
        <v>621</v>
      </c>
      <c r="R10705" t="s">
        <v>917</v>
      </c>
      <c r="S10705">
        <v>39</v>
      </c>
      <c r="T10705" s="29" t="str">
        <f t="shared" si="445"/>
        <v>2023.001B.Leviviricetes_reorg.zip</v>
      </c>
      <c r="U10705" s="29" t="str">
        <f>HYPERLINK("https://ictv.global/taxonomy/taxondetails?taxnode_id=202317684","ictv.global=202317684")</f>
        <v>ictv.global=202317684</v>
      </c>
    </row>
    <row r="10706" spans="1:21">
      <c r="A10706">
        <v>10705</v>
      </c>
      <c r="B10706" s="30" t="s">
        <v>1226</v>
      </c>
      <c r="D10706" s="30" t="s">
        <v>2024</v>
      </c>
      <c r="F10706" s="30" t="s">
        <v>2046</v>
      </c>
      <c r="H10706" s="30" t="s">
        <v>2859</v>
      </c>
      <c r="J10706" s="30" t="s">
        <v>3390</v>
      </c>
      <c r="L10706" s="30" t="s">
        <v>3442</v>
      </c>
      <c r="N10706" s="30" t="s">
        <v>17193</v>
      </c>
      <c r="P10706" s="30" t="s">
        <v>17194</v>
      </c>
      <c r="Q10706" t="s">
        <v>621</v>
      </c>
      <c r="R10706" t="s">
        <v>917</v>
      </c>
      <c r="S10706">
        <v>39</v>
      </c>
      <c r="T10706" s="29" t="str">
        <f t="shared" si="445"/>
        <v>2023.001B.Leviviricetes_reorg.zip</v>
      </c>
      <c r="U10706" s="29" t="str">
        <f>HYPERLINK("https://ictv.global/taxonomy/taxondetails?taxnode_id=202317685","ictv.global=202317685")</f>
        <v>ictv.global=202317685</v>
      </c>
    </row>
    <row r="10707" spans="1:21">
      <c r="A10707">
        <v>10706</v>
      </c>
      <c r="B10707" s="30" t="s">
        <v>1226</v>
      </c>
      <c r="D10707" s="30" t="s">
        <v>2024</v>
      </c>
      <c r="F10707" s="30" t="s">
        <v>2046</v>
      </c>
      <c r="H10707" s="30" t="s">
        <v>2859</v>
      </c>
      <c r="J10707" s="30" t="s">
        <v>3390</v>
      </c>
      <c r="L10707" s="30" t="s">
        <v>3442</v>
      </c>
      <c r="N10707" s="30" t="s">
        <v>17193</v>
      </c>
      <c r="P10707" s="30" t="s">
        <v>17195</v>
      </c>
      <c r="Q10707" t="s">
        <v>621</v>
      </c>
      <c r="R10707" t="s">
        <v>917</v>
      </c>
      <c r="S10707">
        <v>39</v>
      </c>
      <c r="T10707" s="29" t="str">
        <f t="shared" si="445"/>
        <v>2023.001B.Leviviricetes_reorg.zip</v>
      </c>
      <c r="U10707" s="29" t="str">
        <f>HYPERLINK("https://ictv.global/taxonomy/taxondetails?taxnode_id=202317686","ictv.global=202317686")</f>
        <v>ictv.global=202317686</v>
      </c>
    </row>
    <row r="10708" spans="1:21">
      <c r="A10708">
        <v>10707</v>
      </c>
      <c r="B10708" s="30" t="s">
        <v>1226</v>
      </c>
      <c r="D10708" s="30" t="s">
        <v>2024</v>
      </c>
      <c r="F10708" s="30" t="s">
        <v>2046</v>
      </c>
      <c r="H10708" s="30" t="s">
        <v>2859</v>
      </c>
      <c r="J10708" s="30" t="s">
        <v>3390</v>
      </c>
      <c r="L10708" s="30" t="s">
        <v>3442</v>
      </c>
      <c r="N10708" s="30" t="s">
        <v>17193</v>
      </c>
      <c r="P10708" s="30" t="s">
        <v>17196</v>
      </c>
      <c r="Q10708" t="s">
        <v>621</v>
      </c>
      <c r="R10708" t="s">
        <v>917</v>
      </c>
      <c r="S10708">
        <v>39</v>
      </c>
      <c r="T10708" s="29" t="str">
        <f t="shared" si="445"/>
        <v>2023.001B.Leviviricetes_reorg.zip</v>
      </c>
      <c r="U10708" s="29" t="str">
        <f>HYPERLINK("https://ictv.global/taxonomy/taxondetails?taxnode_id=202317687","ictv.global=202317687")</f>
        <v>ictv.global=202317687</v>
      </c>
    </row>
    <row r="10709" spans="1:21">
      <c r="A10709">
        <v>10708</v>
      </c>
      <c r="B10709" s="30" t="s">
        <v>1226</v>
      </c>
      <c r="D10709" s="30" t="s">
        <v>2024</v>
      </c>
      <c r="F10709" s="30" t="s">
        <v>2046</v>
      </c>
      <c r="H10709" s="30" t="s">
        <v>2859</v>
      </c>
      <c r="J10709" s="30" t="s">
        <v>3390</v>
      </c>
      <c r="L10709" s="30" t="s">
        <v>3442</v>
      </c>
      <c r="N10709" s="30" t="s">
        <v>17193</v>
      </c>
      <c r="P10709" s="30" t="s">
        <v>17197</v>
      </c>
      <c r="Q10709" t="s">
        <v>621</v>
      </c>
      <c r="R10709" t="s">
        <v>917</v>
      </c>
      <c r="S10709">
        <v>39</v>
      </c>
      <c r="T10709" s="29" t="str">
        <f t="shared" si="445"/>
        <v>2023.001B.Leviviricetes_reorg.zip</v>
      </c>
      <c r="U10709" s="29" t="str">
        <f>HYPERLINK("https://ictv.global/taxonomy/taxondetails?taxnode_id=202317688","ictv.global=202317688")</f>
        <v>ictv.global=202317688</v>
      </c>
    </row>
    <row r="10710" spans="1:21">
      <c r="A10710">
        <v>10709</v>
      </c>
      <c r="B10710" s="30" t="s">
        <v>1226</v>
      </c>
      <c r="D10710" s="30" t="s">
        <v>2024</v>
      </c>
      <c r="F10710" s="30" t="s">
        <v>2046</v>
      </c>
      <c r="H10710" s="30" t="s">
        <v>2859</v>
      </c>
      <c r="J10710" s="30" t="s">
        <v>3390</v>
      </c>
      <c r="L10710" s="30" t="s">
        <v>3442</v>
      </c>
      <c r="N10710" s="30" t="s">
        <v>17193</v>
      </c>
      <c r="P10710" s="30" t="s">
        <v>17198</v>
      </c>
      <c r="Q10710" t="s">
        <v>621</v>
      </c>
      <c r="R10710" t="s">
        <v>917</v>
      </c>
      <c r="S10710">
        <v>39</v>
      </c>
      <c r="T10710" s="29" t="str">
        <f t="shared" si="445"/>
        <v>2023.001B.Leviviricetes_reorg.zip</v>
      </c>
      <c r="U10710" s="29" t="str">
        <f>HYPERLINK("https://ictv.global/taxonomy/taxondetails?taxnode_id=202317689","ictv.global=202317689")</f>
        <v>ictv.global=202317689</v>
      </c>
    </row>
    <row r="10711" spans="1:21">
      <c r="A10711">
        <v>10710</v>
      </c>
      <c r="B10711" s="30" t="s">
        <v>1226</v>
      </c>
      <c r="D10711" s="30" t="s">
        <v>2024</v>
      </c>
      <c r="F10711" s="30" t="s">
        <v>2046</v>
      </c>
      <c r="H10711" s="30" t="s">
        <v>2859</v>
      </c>
      <c r="J10711" s="30" t="s">
        <v>3390</v>
      </c>
      <c r="L10711" s="30" t="s">
        <v>3442</v>
      </c>
      <c r="N10711" s="30" t="s">
        <v>17193</v>
      </c>
      <c r="P10711" s="30" t="s">
        <v>17199</v>
      </c>
      <c r="Q10711" t="s">
        <v>621</v>
      </c>
      <c r="R10711" t="s">
        <v>917</v>
      </c>
      <c r="S10711">
        <v>39</v>
      </c>
      <c r="T10711" s="29" t="str">
        <f t="shared" si="445"/>
        <v>2023.001B.Leviviricetes_reorg.zip</v>
      </c>
      <c r="U10711" s="29" t="str">
        <f>HYPERLINK("https://ictv.global/taxonomy/taxondetails?taxnode_id=202317690","ictv.global=202317690")</f>
        <v>ictv.global=202317690</v>
      </c>
    </row>
    <row r="10712" spans="1:21">
      <c r="A10712">
        <v>10711</v>
      </c>
      <c r="B10712" s="30" t="s">
        <v>1226</v>
      </c>
      <c r="D10712" s="30" t="s">
        <v>2024</v>
      </c>
      <c r="F10712" s="30" t="s">
        <v>2046</v>
      </c>
      <c r="H10712" s="30" t="s">
        <v>2859</v>
      </c>
      <c r="J10712" s="30" t="s">
        <v>3390</v>
      </c>
      <c r="L10712" s="30" t="s">
        <v>3442</v>
      </c>
      <c r="N10712" s="30" t="s">
        <v>17193</v>
      </c>
      <c r="P10712" s="30" t="s">
        <v>17200</v>
      </c>
      <c r="Q10712" t="s">
        <v>621</v>
      </c>
      <c r="R10712" t="s">
        <v>917</v>
      </c>
      <c r="S10712">
        <v>39</v>
      </c>
      <c r="T10712" s="29" t="str">
        <f t="shared" si="445"/>
        <v>2023.001B.Leviviricetes_reorg.zip</v>
      </c>
      <c r="U10712" s="29" t="str">
        <f>HYPERLINK("https://ictv.global/taxonomy/taxondetails?taxnode_id=202317691","ictv.global=202317691")</f>
        <v>ictv.global=202317691</v>
      </c>
    </row>
    <row r="10713" spans="1:21">
      <c r="A10713">
        <v>10712</v>
      </c>
      <c r="B10713" s="30" t="s">
        <v>1226</v>
      </c>
      <c r="D10713" s="30" t="s">
        <v>2024</v>
      </c>
      <c r="F10713" s="30" t="s">
        <v>2046</v>
      </c>
      <c r="H10713" s="30" t="s">
        <v>2859</v>
      </c>
      <c r="J10713" s="30" t="s">
        <v>3390</v>
      </c>
      <c r="L10713" s="30" t="s">
        <v>3442</v>
      </c>
      <c r="N10713" s="30" t="s">
        <v>17193</v>
      </c>
      <c r="P10713" s="30" t="s">
        <v>17201</v>
      </c>
      <c r="Q10713" t="s">
        <v>621</v>
      </c>
      <c r="R10713" t="s">
        <v>917</v>
      </c>
      <c r="S10713">
        <v>39</v>
      </c>
      <c r="T10713" s="29" t="str">
        <f t="shared" si="445"/>
        <v>2023.001B.Leviviricetes_reorg.zip</v>
      </c>
      <c r="U10713" s="29" t="str">
        <f>HYPERLINK("https://ictv.global/taxonomy/taxondetails?taxnode_id=202317692","ictv.global=202317692")</f>
        <v>ictv.global=202317692</v>
      </c>
    </row>
    <row r="10714" spans="1:21">
      <c r="A10714">
        <v>10713</v>
      </c>
      <c r="B10714" s="30" t="s">
        <v>1226</v>
      </c>
      <c r="D10714" s="30" t="s">
        <v>2024</v>
      </c>
      <c r="F10714" s="30" t="s">
        <v>2046</v>
      </c>
      <c r="H10714" s="30" t="s">
        <v>2859</v>
      </c>
      <c r="J10714" s="30" t="s">
        <v>3390</v>
      </c>
      <c r="L10714" s="30" t="s">
        <v>3442</v>
      </c>
      <c r="N10714" s="30" t="s">
        <v>17193</v>
      </c>
      <c r="P10714" s="30" t="s">
        <v>17202</v>
      </c>
      <c r="Q10714" t="s">
        <v>621</v>
      </c>
      <c r="R10714" t="s">
        <v>917</v>
      </c>
      <c r="S10714">
        <v>39</v>
      </c>
      <c r="T10714" s="29" t="str">
        <f t="shared" si="445"/>
        <v>2023.001B.Leviviricetes_reorg.zip</v>
      </c>
      <c r="U10714" s="29" t="str">
        <f>HYPERLINK("https://ictv.global/taxonomy/taxondetails?taxnode_id=202317693","ictv.global=202317693")</f>
        <v>ictv.global=202317693</v>
      </c>
    </row>
    <row r="10715" spans="1:21">
      <c r="A10715">
        <v>10714</v>
      </c>
      <c r="B10715" s="30" t="s">
        <v>1226</v>
      </c>
      <c r="D10715" s="30" t="s">
        <v>2024</v>
      </c>
      <c r="F10715" s="30" t="s">
        <v>2046</v>
      </c>
      <c r="H10715" s="30" t="s">
        <v>2859</v>
      </c>
      <c r="J10715" s="30" t="s">
        <v>3390</v>
      </c>
      <c r="L10715" s="30" t="s">
        <v>3442</v>
      </c>
      <c r="N10715" s="30" t="s">
        <v>17193</v>
      </c>
      <c r="P10715" s="30" t="s">
        <v>17203</v>
      </c>
      <c r="Q10715" t="s">
        <v>621</v>
      </c>
      <c r="R10715" t="s">
        <v>917</v>
      </c>
      <c r="S10715">
        <v>39</v>
      </c>
      <c r="T10715" s="29" t="str">
        <f t="shared" si="445"/>
        <v>2023.001B.Leviviricetes_reorg.zip</v>
      </c>
      <c r="U10715" s="29" t="str">
        <f>HYPERLINK("https://ictv.global/taxonomy/taxondetails?taxnode_id=202317694","ictv.global=202317694")</f>
        <v>ictv.global=202317694</v>
      </c>
    </row>
    <row r="10716" spans="1:21">
      <c r="A10716">
        <v>10715</v>
      </c>
      <c r="B10716" s="30" t="s">
        <v>1226</v>
      </c>
      <c r="D10716" s="30" t="s">
        <v>2024</v>
      </c>
      <c r="F10716" s="30" t="s">
        <v>2046</v>
      </c>
      <c r="H10716" s="30" t="s">
        <v>2859</v>
      </c>
      <c r="J10716" s="30" t="s">
        <v>3390</v>
      </c>
      <c r="L10716" s="30" t="s">
        <v>3442</v>
      </c>
      <c r="N10716" s="30" t="s">
        <v>17193</v>
      </c>
      <c r="P10716" s="30" t="s">
        <v>17204</v>
      </c>
      <c r="Q10716" t="s">
        <v>621</v>
      </c>
      <c r="R10716" t="s">
        <v>917</v>
      </c>
      <c r="S10716">
        <v>39</v>
      </c>
      <c r="T10716" s="29" t="str">
        <f t="shared" si="445"/>
        <v>2023.001B.Leviviricetes_reorg.zip</v>
      </c>
      <c r="U10716" s="29" t="str">
        <f>HYPERLINK("https://ictv.global/taxonomy/taxondetails?taxnode_id=202317695","ictv.global=202317695")</f>
        <v>ictv.global=202317695</v>
      </c>
    </row>
    <row r="10717" spans="1:21">
      <c r="A10717">
        <v>10716</v>
      </c>
      <c r="B10717" s="30" t="s">
        <v>1226</v>
      </c>
      <c r="D10717" s="30" t="s">
        <v>2024</v>
      </c>
      <c r="F10717" s="30" t="s">
        <v>2046</v>
      </c>
      <c r="H10717" s="30" t="s">
        <v>2859</v>
      </c>
      <c r="J10717" s="30" t="s">
        <v>3390</v>
      </c>
      <c r="L10717" s="30" t="s">
        <v>3442</v>
      </c>
      <c r="N10717" s="30" t="s">
        <v>17193</v>
      </c>
      <c r="P10717" s="30" t="s">
        <v>17205</v>
      </c>
      <c r="Q10717" t="s">
        <v>621</v>
      </c>
      <c r="R10717" t="s">
        <v>917</v>
      </c>
      <c r="S10717">
        <v>39</v>
      </c>
      <c r="T10717" s="29" t="str">
        <f t="shared" si="445"/>
        <v>2023.001B.Leviviricetes_reorg.zip</v>
      </c>
      <c r="U10717" s="29" t="str">
        <f>HYPERLINK("https://ictv.global/taxonomy/taxondetails?taxnode_id=202317696","ictv.global=202317696")</f>
        <v>ictv.global=202317696</v>
      </c>
    </row>
    <row r="10718" spans="1:21">
      <c r="A10718">
        <v>10717</v>
      </c>
      <c r="B10718" s="30" t="s">
        <v>1226</v>
      </c>
      <c r="D10718" s="30" t="s">
        <v>2024</v>
      </c>
      <c r="F10718" s="30" t="s">
        <v>2046</v>
      </c>
      <c r="H10718" s="30" t="s">
        <v>2859</v>
      </c>
      <c r="J10718" s="30" t="s">
        <v>3390</v>
      </c>
      <c r="L10718" s="30" t="s">
        <v>3442</v>
      </c>
      <c r="N10718" s="30" t="s">
        <v>17193</v>
      </c>
      <c r="P10718" s="30" t="s">
        <v>17206</v>
      </c>
      <c r="Q10718" t="s">
        <v>621</v>
      </c>
      <c r="R10718" t="s">
        <v>917</v>
      </c>
      <c r="S10718">
        <v>39</v>
      </c>
      <c r="T10718" s="29" t="str">
        <f t="shared" si="445"/>
        <v>2023.001B.Leviviricetes_reorg.zip</v>
      </c>
      <c r="U10718" s="29" t="str">
        <f>HYPERLINK("https://ictv.global/taxonomy/taxondetails?taxnode_id=202317697","ictv.global=202317697")</f>
        <v>ictv.global=202317697</v>
      </c>
    </row>
    <row r="10719" spans="1:21">
      <c r="A10719">
        <v>10718</v>
      </c>
      <c r="B10719" s="30" t="s">
        <v>1226</v>
      </c>
      <c r="D10719" s="30" t="s">
        <v>2024</v>
      </c>
      <c r="F10719" s="30" t="s">
        <v>2046</v>
      </c>
      <c r="H10719" s="30" t="s">
        <v>2859</v>
      </c>
      <c r="J10719" s="30" t="s">
        <v>3390</v>
      </c>
      <c r="L10719" s="30" t="s">
        <v>3442</v>
      </c>
      <c r="N10719" s="30" t="s">
        <v>17193</v>
      </c>
      <c r="P10719" s="30" t="s">
        <v>17207</v>
      </c>
      <c r="Q10719" t="s">
        <v>621</v>
      </c>
      <c r="R10719" t="s">
        <v>917</v>
      </c>
      <c r="S10719">
        <v>39</v>
      </c>
      <c r="T10719" s="29" t="str">
        <f t="shared" si="445"/>
        <v>2023.001B.Leviviricetes_reorg.zip</v>
      </c>
      <c r="U10719" s="29" t="str">
        <f>HYPERLINK("https://ictv.global/taxonomy/taxondetails?taxnode_id=202317698","ictv.global=202317698")</f>
        <v>ictv.global=202317698</v>
      </c>
    </row>
    <row r="10720" spans="1:21">
      <c r="A10720">
        <v>10719</v>
      </c>
      <c r="B10720" s="30" t="s">
        <v>1226</v>
      </c>
      <c r="D10720" s="30" t="s">
        <v>2024</v>
      </c>
      <c r="F10720" s="30" t="s">
        <v>2046</v>
      </c>
      <c r="H10720" s="30" t="s">
        <v>2859</v>
      </c>
      <c r="J10720" s="30" t="s">
        <v>3390</v>
      </c>
      <c r="L10720" s="30" t="s">
        <v>3442</v>
      </c>
      <c r="N10720" s="30" t="s">
        <v>17193</v>
      </c>
      <c r="P10720" s="30" t="s">
        <v>17208</v>
      </c>
      <c r="Q10720" t="s">
        <v>621</v>
      </c>
      <c r="R10720" t="s">
        <v>917</v>
      </c>
      <c r="S10720">
        <v>39</v>
      </c>
      <c r="T10720" s="29" t="str">
        <f t="shared" si="445"/>
        <v>2023.001B.Leviviricetes_reorg.zip</v>
      </c>
      <c r="U10720" s="29" t="str">
        <f>HYPERLINK("https://ictv.global/taxonomy/taxondetails?taxnode_id=202317699","ictv.global=202317699")</f>
        <v>ictv.global=202317699</v>
      </c>
    </row>
    <row r="10721" spans="1:21">
      <c r="A10721">
        <v>10720</v>
      </c>
      <c r="B10721" s="30" t="s">
        <v>1226</v>
      </c>
      <c r="D10721" s="30" t="s">
        <v>2024</v>
      </c>
      <c r="F10721" s="30" t="s">
        <v>2046</v>
      </c>
      <c r="H10721" s="30" t="s">
        <v>2859</v>
      </c>
      <c r="J10721" s="30" t="s">
        <v>3390</v>
      </c>
      <c r="L10721" s="30" t="s">
        <v>3442</v>
      </c>
      <c r="N10721" s="30" t="s">
        <v>3629</v>
      </c>
      <c r="P10721" s="30" t="s">
        <v>3630</v>
      </c>
      <c r="Q10721" t="s">
        <v>621</v>
      </c>
      <c r="R10721" t="s">
        <v>917</v>
      </c>
      <c r="S10721">
        <v>36</v>
      </c>
      <c r="T10721" s="29" t="str">
        <f>HYPERLINK("https://ictv.global/ictv/proposals/2020.095B.R.Leviviricetes.zip","2020.095B.R.Leviviricetes.zip")</f>
        <v>2020.095B.R.Leviviricetes.zip</v>
      </c>
      <c r="U10721" s="29" t="str">
        <f>HYPERLINK("https://ictv.global/taxonomy/taxondetails?taxnode_id=202311502","ictv.global=202311502")</f>
        <v>ictv.global=202311502</v>
      </c>
    </row>
    <row r="10722" spans="1:21">
      <c r="A10722">
        <v>10721</v>
      </c>
      <c r="B10722" s="30" t="s">
        <v>1226</v>
      </c>
      <c r="D10722" s="30" t="s">
        <v>2024</v>
      </c>
      <c r="F10722" s="30" t="s">
        <v>2046</v>
      </c>
      <c r="H10722" s="30" t="s">
        <v>2859</v>
      </c>
      <c r="J10722" s="30" t="s">
        <v>3390</v>
      </c>
      <c r="L10722" s="30" t="s">
        <v>3442</v>
      </c>
      <c r="N10722" s="30" t="s">
        <v>17209</v>
      </c>
      <c r="P10722" s="30" t="s">
        <v>17210</v>
      </c>
      <c r="Q10722" t="s">
        <v>621</v>
      </c>
      <c r="R10722" t="s">
        <v>917</v>
      </c>
      <c r="S10722">
        <v>39</v>
      </c>
      <c r="T10722" s="29" t="str">
        <f t="shared" ref="T10722:T10741" si="446">HYPERLINK("https://ictv.global/ictv/proposals/2023.001B.Leviviricetes_reorg.zip","2023.001B.Leviviricetes_reorg.zip")</f>
        <v>2023.001B.Leviviricetes_reorg.zip</v>
      </c>
      <c r="U10722" s="29" t="str">
        <f>HYPERLINK("https://ictv.global/taxonomy/taxondetails?taxnode_id=202317700","ictv.global=202317700")</f>
        <v>ictv.global=202317700</v>
      </c>
    </row>
    <row r="10723" spans="1:21">
      <c r="A10723">
        <v>10722</v>
      </c>
      <c r="B10723" s="30" t="s">
        <v>1226</v>
      </c>
      <c r="D10723" s="30" t="s">
        <v>2024</v>
      </c>
      <c r="F10723" s="30" t="s">
        <v>2046</v>
      </c>
      <c r="H10723" s="30" t="s">
        <v>2859</v>
      </c>
      <c r="J10723" s="30" t="s">
        <v>3390</v>
      </c>
      <c r="L10723" s="30" t="s">
        <v>3442</v>
      </c>
      <c r="N10723" s="30" t="s">
        <v>17211</v>
      </c>
      <c r="P10723" s="30" t="s">
        <v>17212</v>
      </c>
      <c r="Q10723" t="s">
        <v>621</v>
      </c>
      <c r="R10723" t="s">
        <v>917</v>
      </c>
      <c r="S10723">
        <v>39</v>
      </c>
      <c r="T10723" s="29" t="str">
        <f t="shared" si="446"/>
        <v>2023.001B.Leviviricetes_reorg.zip</v>
      </c>
      <c r="U10723" s="29" t="str">
        <f>HYPERLINK("https://ictv.global/taxonomy/taxondetails?taxnode_id=202317701","ictv.global=202317701")</f>
        <v>ictv.global=202317701</v>
      </c>
    </row>
    <row r="10724" spans="1:21">
      <c r="A10724">
        <v>10723</v>
      </c>
      <c r="B10724" s="30" t="s">
        <v>1226</v>
      </c>
      <c r="D10724" s="30" t="s">
        <v>2024</v>
      </c>
      <c r="F10724" s="30" t="s">
        <v>2046</v>
      </c>
      <c r="H10724" s="30" t="s">
        <v>2859</v>
      </c>
      <c r="J10724" s="30" t="s">
        <v>3390</v>
      </c>
      <c r="L10724" s="30" t="s">
        <v>3442</v>
      </c>
      <c r="N10724" s="30" t="s">
        <v>17213</v>
      </c>
      <c r="P10724" s="30" t="s">
        <v>17214</v>
      </c>
      <c r="Q10724" t="s">
        <v>621</v>
      </c>
      <c r="R10724" t="s">
        <v>917</v>
      </c>
      <c r="S10724">
        <v>39</v>
      </c>
      <c r="T10724" s="29" t="str">
        <f t="shared" si="446"/>
        <v>2023.001B.Leviviricetes_reorg.zip</v>
      </c>
      <c r="U10724" s="29" t="str">
        <f>HYPERLINK("https://ictv.global/taxonomy/taxondetails?taxnode_id=202317702","ictv.global=202317702")</f>
        <v>ictv.global=202317702</v>
      </c>
    </row>
    <row r="10725" spans="1:21">
      <c r="A10725">
        <v>10724</v>
      </c>
      <c r="B10725" s="30" t="s">
        <v>1226</v>
      </c>
      <c r="D10725" s="30" t="s">
        <v>2024</v>
      </c>
      <c r="F10725" s="30" t="s">
        <v>2046</v>
      </c>
      <c r="H10725" s="30" t="s">
        <v>2859</v>
      </c>
      <c r="J10725" s="30" t="s">
        <v>3390</v>
      </c>
      <c r="L10725" s="30" t="s">
        <v>3442</v>
      </c>
      <c r="N10725" s="30" t="s">
        <v>17215</v>
      </c>
      <c r="P10725" s="30" t="s">
        <v>17216</v>
      </c>
      <c r="Q10725" t="s">
        <v>621</v>
      </c>
      <c r="R10725" t="s">
        <v>917</v>
      </c>
      <c r="S10725">
        <v>39</v>
      </c>
      <c r="T10725" s="29" t="str">
        <f t="shared" si="446"/>
        <v>2023.001B.Leviviricetes_reorg.zip</v>
      </c>
      <c r="U10725" s="29" t="str">
        <f>HYPERLINK("https://ictv.global/taxonomy/taxondetails?taxnode_id=202317703","ictv.global=202317703")</f>
        <v>ictv.global=202317703</v>
      </c>
    </row>
    <row r="10726" spans="1:21">
      <c r="A10726">
        <v>10725</v>
      </c>
      <c r="B10726" s="30" t="s">
        <v>1226</v>
      </c>
      <c r="D10726" s="30" t="s">
        <v>2024</v>
      </c>
      <c r="F10726" s="30" t="s">
        <v>2046</v>
      </c>
      <c r="H10726" s="30" t="s">
        <v>2859</v>
      </c>
      <c r="J10726" s="30" t="s">
        <v>3390</v>
      </c>
      <c r="L10726" s="30" t="s">
        <v>3442</v>
      </c>
      <c r="N10726" s="30" t="s">
        <v>17217</v>
      </c>
      <c r="P10726" s="30" t="s">
        <v>17218</v>
      </c>
      <c r="Q10726" t="s">
        <v>621</v>
      </c>
      <c r="R10726" t="s">
        <v>917</v>
      </c>
      <c r="S10726">
        <v>39</v>
      </c>
      <c r="T10726" s="29" t="str">
        <f t="shared" si="446"/>
        <v>2023.001B.Leviviricetes_reorg.zip</v>
      </c>
      <c r="U10726" s="29" t="str">
        <f>HYPERLINK("https://ictv.global/taxonomy/taxondetails?taxnode_id=202317704","ictv.global=202317704")</f>
        <v>ictv.global=202317704</v>
      </c>
    </row>
    <row r="10727" spans="1:21">
      <c r="A10727">
        <v>10726</v>
      </c>
      <c r="B10727" s="30" t="s">
        <v>1226</v>
      </c>
      <c r="D10727" s="30" t="s">
        <v>2024</v>
      </c>
      <c r="F10727" s="30" t="s">
        <v>2046</v>
      </c>
      <c r="H10727" s="30" t="s">
        <v>2859</v>
      </c>
      <c r="J10727" s="30" t="s">
        <v>3390</v>
      </c>
      <c r="L10727" s="30" t="s">
        <v>3442</v>
      </c>
      <c r="N10727" s="30" t="s">
        <v>17219</v>
      </c>
      <c r="P10727" s="30" t="s">
        <v>17220</v>
      </c>
      <c r="Q10727" t="s">
        <v>621</v>
      </c>
      <c r="R10727" t="s">
        <v>917</v>
      </c>
      <c r="S10727">
        <v>39</v>
      </c>
      <c r="T10727" s="29" t="str">
        <f t="shared" si="446"/>
        <v>2023.001B.Leviviricetes_reorg.zip</v>
      </c>
      <c r="U10727" s="29" t="str">
        <f>HYPERLINK("https://ictv.global/taxonomy/taxondetails?taxnode_id=202317705","ictv.global=202317705")</f>
        <v>ictv.global=202317705</v>
      </c>
    </row>
    <row r="10728" spans="1:21">
      <c r="A10728">
        <v>10727</v>
      </c>
      <c r="B10728" s="30" t="s">
        <v>1226</v>
      </c>
      <c r="D10728" s="30" t="s">
        <v>2024</v>
      </c>
      <c r="F10728" s="30" t="s">
        <v>2046</v>
      </c>
      <c r="H10728" s="30" t="s">
        <v>2859</v>
      </c>
      <c r="J10728" s="30" t="s">
        <v>3390</v>
      </c>
      <c r="L10728" s="30" t="s">
        <v>3442</v>
      </c>
      <c r="N10728" s="30" t="s">
        <v>17221</v>
      </c>
      <c r="P10728" s="30" t="s">
        <v>17222</v>
      </c>
      <c r="Q10728" t="s">
        <v>621</v>
      </c>
      <c r="R10728" t="s">
        <v>917</v>
      </c>
      <c r="S10728">
        <v>39</v>
      </c>
      <c r="T10728" s="29" t="str">
        <f t="shared" si="446"/>
        <v>2023.001B.Leviviricetes_reorg.zip</v>
      </c>
      <c r="U10728" s="29" t="str">
        <f>HYPERLINK("https://ictv.global/taxonomy/taxondetails?taxnode_id=202317706","ictv.global=202317706")</f>
        <v>ictv.global=202317706</v>
      </c>
    </row>
    <row r="10729" spans="1:21">
      <c r="A10729">
        <v>10728</v>
      </c>
      <c r="B10729" s="30" t="s">
        <v>1226</v>
      </c>
      <c r="D10729" s="30" t="s">
        <v>2024</v>
      </c>
      <c r="F10729" s="30" t="s">
        <v>2046</v>
      </c>
      <c r="H10729" s="30" t="s">
        <v>2859</v>
      </c>
      <c r="J10729" s="30" t="s">
        <v>3390</v>
      </c>
      <c r="L10729" s="30" t="s">
        <v>3442</v>
      </c>
      <c r="N10729" s="30" t="s">
        <v>17223</v>
      </c>
      <c r="P10729" s="30" t="s">
        <v>17224</v>
      </c>
      <c r="Q10729" t="s">
        <v>621</v>
      </c>
      <c r="R10729" t="s">
        <v>917</v>
      </c>
      <c r="S10729">
        <v>39</v>
      </c>
      <c r="T10729" s="29" t="str">
        <f t="shared" si="446"/>
        <v>2023.001B.Leviviricetes_reorg.zip</v>
      </c>
      <c r="U10729" s="29" t="str">
        <f>HYPERLINK("https://ictv.global/taxonomy/taxondetails?taxnode_id=202317707","ictv.global=202317707")</f>
        <v>ictv.global=202317707</v>
      </c>
    </row>
    <row r="10730" spans="1:21">
      <c r="A10730">
        <v>10729</v>
      </c>
      <c r="B10730" s="30" t="s">
        <v>1226</v>
      </c>
      <c r="D10730" s="30" t="s">
        <v>2024</v>
      </c>
      <c r="F10730" s="30" t="s">
        <v>2046</v>
      </c>
      <c r="H10730" s="30" t="s">
        <v>2859</v>
      </c>
      <c r="J10730" s="30" t="s">
        <v>3390</v>
      </c>
      <c r="L10730" s="30" t="s">
        <v>3442</v>
      </c>
      <c r="N10730" s="30" t="s">
        <v>17223</v>
      </c>
      <c r="P10730" s="30" t="s">
        <v>17225</v>
      </c>
      <c r="Q10730" t="s">
        <v>621</v>
      </c>
      <c r="R10730" t="s">
        <v>917</v>
      </c>
      <c r="S10730">
        <v>39</v>
      </c>
      <c r="T10730" s="29" t="str">
        <f t="shared" si="446"/>
        <v>2023.001B.Leviviricetes_reorg.zip</v>
      </c>
      <c r="U10730" s="29" t="str">
        <f>HYPERLINK("https://ictv.global/taxonomy/taxondetails?taxnode_id=202317708","ictv.global=202317708")</f>
        <v>ictv.global=202317708</v>
      </c>
    </row>
    <row r="10731" spans="1:21">
      <c r="A10731">
        <v>10730</v>
      </c>
      <c r="B10731" s="30" t="s">
        <v>1226</v>
      </c>
      <c r="D10731" s="30" t="s">
        <v>2024</v>
      </c>
      <c r="F10731" s="30" t="s">
        <v>2046</v>
      </c>
      <c r="H10731" s="30" t="s">
        <v>2859</v>
      </c>
      <c r="J10731" s="30" t="s">
        <v>3390</v>
      </c>
      <c r="L10731" s="30" t="s">
        <v>3442</v>
      </c>
      <c r="N10731" s="30" t="s">
        <v>17223</v>
      </c>
      <c r="P10731" s="30" t="s">
        <v>17226</v>
      </c>
      <c r="Q10731" t="s">
        <v>621</v>
      </c>
      <c r="R10731" t="s">
        <v>917</v>
      </c>
      <c r="S10731">
        <v>39</v>
      </c>
      <c r="T10731" s="29" t="str">
        <f t="shared" si="446"/>
        <v>2023.001B.Leviviricetes_reorg.zip</v>
      </c>
      <c r="U10731" s="29" t="str">
        <f>HYPERLINK("https://ictv.global/taxonomy/taxondetails?taxnode_id=202317709","ictv.global=202317709")</f>
        <v>ictv.global=202317709</v>
      </c>
    </row>
    <row r="10732" spans="1:21">
      <c r="A10732">
        <v>10731</v>
      </c>
      <c r="B10732" s="30" t="s">
        <v>1226</v>
      </c>
      <c r="D10732" s="30" t="s">
        <v>2024</v>
      </c>
      <c r="F10732" s="30" t="s">
        <v>2046</v>
      </c>
      <c r="H10732" s="30" t="s">
        <v>2859</v>
      </c>
      <c r="J10732" s="30" t="s">
        <v>3390</v>
      </c>
      <c r="L10732" s="30" t="s">
        <v>3442</v>
      </c>
      <c r="N10732" s="30" t="s">
        <v>17227</v>
      </c>
      <c r="P10732" s="30" t="s">
        <v>17228</v>
      </c>
      <c r="Q10732" t="s">
        <v>621</v>
      </c>
      <c r="R10732" t="s">
        <v>917</v>
      </c>
      <c r="S10732">
        <v>39</v>
      </c>
      <c r="T10732" s="29" t="str">
        <f t="shared" si="446"/>
        <v>2023.001B.Leviviricetes_reorg.zip</v>
      </c>
      <c r="U10732" s="29" t="str">
        <f>HYPERLINK("https://ictv.global/taxonomy/taxondetails?taxnode_id=202317710","ictv.global=202317710")</f>
        <v>ictv.global=202317710</v>
      </c>
    </row>
    <row r="10733" spans="1:21">
      <c r="A10733">
        <v>10732</v>
      </c>
      <c r="B10733" s="30" t="s">
        <v>1226</v>
      </c>
      <c r="D10733" s="30" t="s">
        <v>2024</v>
      </c>
      <c r="F10733" s="30" t="s">
        <v>2046</v>
      </c>
      <c r="H10733" s="30" t="s">
        <v>2859</v>
      </c>
      <c r="J10733" s="30" t="s">
        <v>3390</v>
      </c>
      <c r="L10733" s="30" t="s">
        <v>3442</v>
      </c>
      <c r="N10733" s="30" t="s">
        <v>17229</v>
      </c>
      <c r="P10733" s="30" t="s">
        <v>17230</v>
      </c>
      <c r="Q10733" t="s">
        <v>621</v>
      </c>
      <c r="R10733" t="s">
        <v>917</v>
      </c>
      <c r="S10733">
        <v>39</v>
      </c>
      <c r="T10733" s="29" t="str">
        <f t="shared" si="446"/>
        <v>2023.001B.Leviviricetes_reorg.zip</v>
      </c>
      <c r="U10733" s="29" t="str">
        <f>HYPERLINK("https://ictv.global/taxonomy/taxondetails?taxnode_id=202317711","ictv.global=202317711")</f>
        <v>ictv.global=202317711</v>
      </c>
    </row>
    <row r="10734" spans="1:21">
      <c r="A10734">
        <v>10733</v>
      </c>
      <c r="B10734" s="30" t="s">
        <v>1226</v>
      </c>
      <c r="D10734" s="30" t="s">
        <v>2024</v>
      </c>
      <c r="F10734" s="30" t="s">
        <v>2046</v>
      </c>
      <c r="H10734" s="30" t="s">
        <v>2859</v>
      </c>
      <c r="J10734" s="30" t="s">
        <v>3390</v>
      </c>
      <c r="L10734" s="30" t="s">
        <v>3442</v>
      </c>
      <c r="N10734" s="30" t="s">
        <v>17229</v>
      </c>
      <c r="P10734" s="30" t="s">
        <v>17231</v>
      </c>
      <c r="Q10734" t="s">
        <v>621</v>
      </c>
      <c r="R10734" t="s">
        <v>917</v>
      </c>
      <c r="S10734">
        <v>39</v>
      </c>
      <c r="T10734" s="29" t="str">
        <f t="shared" si="446"/>
        <v>2023.001B.Leviviricetes_reorg.zip</v>
      </c>
      <c r="U10734" s="29" t="str">
        <f>HYPERLINK("https://ictv.global/taxonomy/taxondetails?taxnode_id=202317712","ictv.global=202317712")</f>
        <v>ictv.global=202317712</v>
      </c>
    </row>
    <row r="10735" spans="1:21">
      <c r="A10735">
        <v>10734</v>
      </c>
      <c r="B10735" s="30" t="s">
        <v>1226</v>
      </c>
      <c r="D10735" s="30" t="s">
        <v>2024</v>
      </c>
      <c r="F10735" s="30" t="s">
        <v>2046</v>
      </c>
      <c r="H10735" s="30" t="s">
        <v>2859</v>
      </c>
      <c r="J10735" s="30" t="s">
        <v>3390</v>
      </c>
      <c r="L10735" s="30" t="s">
        <v>3442</v>
      </c>
      <c r="N10735" s="30" t="s">
        <v>3631</v>
      </c>
      <c r="P10735" s="30" t="s">
        <v>17232</v>
      </c>
      <c r="Q10735" t="s">
        <v>621</v>
      </c>
      <c r="R10735" t="s">
        <v>917</v>
      </c>
      <c r="S10735">
        <v>39</v>
      </c>
      <c r="T10735" s="29" t="str">
        <f t="shared" si="446"/>
        <v>2023.001B.Leviviricetes_reorg.zip</v>
      </c>
      <c r="U10735" s="29" t="str">
        <f>HYPERLINK("https://ictv.global/taxonomy/taxondetails?taxnode_id=202317713","ictv.global=202317713")</f>
        <v>ictv.global=202317713</v>
      </c>
    </row>
    <row r="10736" spans="1:21">
      <c r="A10736">
        <v>10735</v>
      </c>
      <c r="B10736" s="30" t="s">
        <v>1226</v>
      </c>
      <c r="D10736" s="30" t="s">
        <v>2024</v>
      </c>
      <c r="F10736" s="30" t="s">
        <v>2046</v>
      </c>
      <c r="H10736" s="30" t="s">
        <v>2859</v>
      </c>
      <c r="J10736" s="30" t="s">
        <v>3390</v>
      </c>
      <c r="L10736" s="30" t="s">
        <v>3442</v>
      </c>
      <c r="N10736" s="30" t="s">
        <v>3631</v>
      </c>
      <c r="P10736" s="30" t="s">
        <v>17233</v>
      </c>
      <c r="Q10736" t="s">
        <v>621</v>
      </c>
      <c r="R10736" t="s">
        <v>917</v>
      </c>
      <c r="S10736">
        <v>39</v>
      </c>
      <c r="T10736" s="29" t="str">
        <f t="shared" si="446"/>
        <v>2023.001B.Leviviricetes_reorg.zip</v>
      </c>
      <c r="U10736" s="29" t="str">
        <f>HYPERLINK("https://ictv.global/taxonomy/taxondetails?taxnode_id=202317714","ictv.global=202317714")</f>
        <v>ictv.global=202317714</v>
      </c>
    </row>
    <row r="10737" spans="1:21">
      <c r="A10737">
        <v>10736</v>
      </c>
      <c r="B10737" s="30" t="s">
        <v>1226</v>
      </c>
      <c r="D10737" s="30" t="s">
        <v>2024</v>
      </c>
      <c r="F10737" s="30" t="s">
        <v>2046</v>
      </c>
      <c r="H10737" s="30" t="s">
        <v>2859</v>
      </c>
      <c r="J10737" s="30" t="s">
        <v>3390</v>
      </c>
      <c r="L10737" s="30" t="s">
        <v>3442</v>
      </c>
      <c r="N10737" s="30" t="s">
        <v>3631</v>
      </c>
      <c r="P10737" s="30" t="s">
        <v>17234</v>
      </c>
      <c r="Q10737" t="s">
        <v>621</v>
      </c>
      <c r="R10737" t="s">
        <v>917</v>
      </c>
      <c r="S10737">
        <v>39</v>
      </c>
      <c r="T10737" s="29" t="str">
        <f t="shared" si="446"/>
        <v>2023.001B.Leviviricetes_reorg.zip</v>
      </c>
      <c r="U10737" s="29" t="str">
        <f>HYPERLINK("https://ictv.global/taxonomy/taxondetails?taxnode_id=202317715","ictv.global=202317715")</f>
        <v>ictv.global=202317715</v>
      </c>
    </row>
    <row r="10738" spans="1:21">
      <c r="A10738">
        <v>10737</v>
      </c>
      <c r="B10738" s="30" t="s">
        <v>1226</v>
      </c>
      <c r="D10738" s="30" t="s">
        <v>2024</v>
      </c>
      <c r="F10738" s="30" t="s">
        <v>2046</v>
      </c>
      <c r="H10738" s="30" t="s">
        <v>2859</v>
      </c>
      <c r="J10738" s="30" t="s">
        <v>3390</v>
      </c>
      <c r="L10738" s="30" t="s">
        <v>3442</v>
      </c>
      <c r="N10738" s="30" t="s">
        <v>3631</v>
      </c>
      <c r="P10738" s="30" t="s">
        <v>17235</v>
      </c>
      <c r="Q10738" t="s">
        <v>621</v>
      </c>
      <c r="R10738" t="s">
        <v>917</v>
      </c>
      <c r="S10738">
        <v>39</v>
      </c>
      <c r="T10738" s="29" t="str">
        <f t="shared" si="446"/>
        <v>2023.001B.Leviviricetes_reorg.zip</v>
      </c>
      <c r="U10738" s="29" t="str">
        <f>HYPERLINK("https://ictv.global/taxonomy/taxondetails?taxnode_id=202317716","ictv.global=202317716")</f>
        <v>ictv.global=202317716</v>
      </c>
    </row>
    <row r="10739" spans="1:21">
      <c r="A10739">
        <v>10738</v>
      </c>
      <c r="B10739" s="30" t="s">
        <v>1226</v>
      </c>
      <c r="D10739" s="30" t="s">
        <v>2024</v>
      </c>
      <c r="F10739" s="30" t="s">
        <v>2046</v>
      </c>
      <c r="H10739" s="30" t="s">
        <v>2859</v>
      </c>
      <c r="J10739" s="30" t="s">
        <v>3390</v>
      </c>
      <c r="L10739" s="30" t="s">
        <v>3442</v>
      </c>
      <c r="N10739" s="30" t="s">
        <v>3631</v>
      </c>
      <c r="P10739" s="30" t="s">
        <v>17236</v>
      </c>
      <c r="Q10739" t="s">
        <v>621</v>
      </c>
      <c r="R10739" t="s">
        <v>917</v>
      </c>
      <c r="S10739">
        <v>39</v>
      </c>
      <c r="T10739" s="29" t="str">
        <f t="shared" si="446"/>
        <v>2023.001B.Leviviricetes_reorg.zip</v>
      </c>
      <c r="U10739" s="29" t="str">
        <f>HYPERLINK("https://ictv.global/taxonomy/taxondetails?taxnode_id=202317717","ictv.global=202317717")</f>
        <v>ictv.global=202317717</v>
      </c>
    </row>
    <row r="10740" spans="1:21">
      <c r="A10740">
        <v>10739</v>
      </c>
      <c r="B10740" s="30" t="s">
        <v>1226</v>
      </c>
      <c r="D10740" s="30" t="s">
        <v>2024</v>
      </c>
      <c r="F10740" s="30" t="s">
        <v>2046</v>
      </c>
      <c r="H10740" s="30" t="s">
        <v>2859</v>
      </c>
      <c r="J10740" s="30" t="s">
        <v>3390</v>
      </c>
      <c r="L10740" s="30" t="s">
        <v>3442</v>
      </c>
      <c r="N10740" s="30" t="s">
        <v>3631</v>
      </c>
      <c r="P10740" s="30" t="s">
        <v>17237</v>
      </c>
      <c r="Q10740" t="s">
        <v>621</v>
      </c>
      <c r="R10740" t="s">
        <v>917</v>
      </c>
      <c r="S10740">
        <v>39</v>
      </c>
      <c r="T10740" s="29" t="str">
        <f t="shared" si="446"/>
        <v>2023.001B.Leviviricetes_reorg.zip</v>
      </c>
      <c r="U10740" s="29" t="str">
        <f>HYPERLINK("https://ictv.global/taxonomy/taxondetails?taxnode_id=202317718","ictv.global=202317718")</f>
        <v>ictv.global=202317718</v>
      </c>
    </row>
    <row r="10741" spans="1:21">
      <c r="A10741">
        <v>10740</v>
      </c>
      <c r="B10741" s="30" t="s">
        <v>1226</v>
      </c>
      <c r="D10741" s="30" t="s">
        <v>2024</v>
      </c>
      <c r="F10741" s="30" t="s">
        <v>2046</v>
      </c>
      <c r="H10741" s="30" t="s">
        <v>2859</v>
      </c>
      <c r="J10741" s="30" t="s">
        <v>3390</v>
      </c>
      <c r="L10741" s="30" t="s">
        <v>3442</v>
      </c>
      <c r="N10741" s="30" t="s">
        <v>3631</v>
      </c>
      <c r="P10741" s="30" t="s">
        <v>17238</v>
      </c>
      <c r="Q10741" t="s">
        <v>621</v>
      </c>
      <c r="R10741" t="s">
        <v>917</v>
      </c>
      <c r="S10741">
        <v>39</v>
      </c>
      <c r="T10741" s="29" t="str">
        <f t="shared" si="446"/>
        <v>2023.001B.Leviviricetes_reorg.zip</v>
      </c>
      <c r="U10741" s="29" t="str">
        <f>HYPERLINK("https://ictv.global/taxonomy/taxondetails?taxnode_id=202317719","ictv.global=202317719")</f>
        <v>ictv.global=202317719</v>
      </c>
    </row>
    <row r="10742" spans="1:21">
      <c r="A10742">
        <v>10741</v>
      </c>
      <c r="B10742" s="30" t="s">
        <v>1226</v>
      </c>
      <c r="D10742" s="30" t="s">
        <v>2024</v>
      </c>
      <c r="F10742" s="30" t="s">
        <v>2046</v>
      </c>
      <c r="H10742" s="30" t="s">
        <v>2859</v>
      </c>
      <c r="J10742" s="30" t="s">
        <v>3390</v>
      </c>
      <c r="L10742" s="30" t="s">
        <v>3442</v>
      </c>
      <c r="N10742" s="30" t="s">
        <v>3631</v>
      </c>
      <c r="P10742" s="30" t="s">
        <v>3632</v>
      </c>
      <c r="Q10742" t="s">
        <v>621</v>
      </c>
      <c r="R10742" t="s">
        <v>917</v>
      </c>
      <c r="S10742">
        <v>36</v>
      </c>
      <c r="T10742" s="29" t="str">
        <f>HYPERLINK("https://ictv.global/ictv/proposals/2020.095B.R.Leviviricetes.zip","2020.095B.R.Leviviricetes.zip")</f>
        <v>2020.095B.R.Leviviricetes.zip</v>
      </c>
      <c r="U10742" s="29" t="str">
        <f>HYPERLINK("https://ictv.global/taxonomy/taxondetails?taxnode_id=202311504","ictv.global=202311504")</f>
        <v>ictv.global=202311504</v>
      </c>
    </row>
    <row r="10743" spans="1:21">
      <c r="A10743">
        <v>10742</v>
      </c>
      <c r="B10743" s="30" t="s">
        <v>1226</v>
      </c>
      <c r="D10743" s="30" t="s">
        <v>2024</v>
      </c>
      <c r="F10743" s="30" t="s">
        <v>2046</v>
      </c>
      <c r="H10743" s="30" t="s">
        <v>2859</v>
      </c>
      <c r="J10743" s="30" t="s">
        <v>3390</v>
      </c>
      <c r="L10743" s="30" t="s">
        <v>3442</v>
      </c>
      <c r="N10743" s="30" t="s">
        <v>3631</v>
      </c>
      <c r="P10743" s="30" t="s">
        <v>17239</v>
      </c>
      <c r="Q10743" t="s">
        <v>621</v>
      </c>
      <c r="R10743" t="s">
        <v>917</v>
      </c>
      <c r="S10743">
        <v>39</v>
      </c>
      <c r="T10743" s="29" t="str">
        <f t="shared" ref="T10743:T10759" si="447">HYPERLINK("https://ictv.global/ictv/proposals/2023.001B.Leviviricetes_reorg.zip","2023.001B.Leviviricetes_reorg.zip")</f>
        <v>2023.001B.Leviviricetes_reorg.zip</v>
      </c>
      <c r="U10743" s="29" t="str">
        <f>HYPERLINK("https://ictv.global/taxonomy/taxondetails?taxnode_id=202317720","ictv.global=202317720")</f>
        <v>ictv.global=202317720</v>
      </c>
    </row>
    <row r="10744" spans="1:21">
      <c r="A10744">
        <v>10743</v>
      </c>
      <c r="B10744" s="30" t="s">
        <v>1226</v>
      </c>
      <c r="D10744" s="30" t="s">
        <v>2024</v>
      </c>
      <c r="F10744" s="30" t="s">
        <v>2046</v>
      </c>
      <c r="H10744" s="30" t="s">
        <v>2859</v>
      </c>
      <c r="J10744" s="30" t="s">
        <v>3390</v>
      </c>
      <c r="L10744" s="30" t="s">
        <v>3442</v>
      </c>
      <c r="N10744" s="30" t="s">
        <v>3631</v>
      </c>
      <c r="P10744" s="30" t="s">
        <v>17240</v>
      </c>
      <c r="Q10744" t="s">
        <v>621</v>
      </c>
      <c r="R10744" t="s">
        <v>917</v>
      </c>
      <c r="S10744">
        <v>39</v>
      </c>
      <c r="T10744" s="29" t="str">
        <f t="shared" si="447"/>
        <v>2023.001B.Leviviricetes_reorg.zip</v>
      </c>
      <c r="U10744" s="29" t="str">
        <f>HYPERLINK("https://ictv.global/taxonomy/taxondetails?taxnode_id=202317721","ictv.global=202317721")</f>
        <v>ictv.global=202317721</v>
      </c>
    </row>
    <row r="10745" spans="1:21">
      <c r="A10745">
        <v>10744</v>
      </c>
      <c r="B10745" s="30" t="s">
        <v>1226</v>
      </c>
      <c r="D10745" s="30" t="s">
        <v>2024</v>
      </c>
      <c r="F10745" s="30" t="s">
        <v>2046</v>
      </c>
      <c r="H10745" s="30" t="s">
        <v>2859</v>
      </c>
      <c r="J10745" s="30" t="s">
        <v>3390</v>
      </c>
      <c r="L10745" s="30" t="s">
        <v>3442</v>
      </c>
      <c r="N10745" s="30" t="s">
        <v>3631</v>
      </c>
      <c r="P10745" s="30" t="s">
        <v>17241</v>
      </c>
      <c r="Q10745" t="s">
        <v>621</v>
      </c>
      <c r="R10745" t="s">
        <v>917</v>
      </c>
      <c r="S10745">
        <v>39</v>
      </c>
      <c r="T10745" s="29" t="str">
        <f t="shared" si="447"/>
        <v>2023.001B.Leviviricetes_reorg.zip</v>
      </c>
      <c r="U10745" s="29" t="str">
        <f>HYPERLINK("https://ictv.global/taxonomy/taxondetails?taxnode_id=202317722","ictv.global=202317722")</f>
        <v>ictv.global=202317722</v>
      </c>
    </row>
    <row r="10746" spans="1:21">
      <c r="A10746">
        <v>10745</v>
      </c>
      <c r="B10746" s="30" t="s">
        <v>1226</v>
      </c>
      <c r="D10746" s="30" t="s">
        <v>2024</v>
      </c>
      <c r="F10746" s="30" t="s">
        <v>2046</v>
      </c>
      <c r="H10746" s="30" t="s">
        <v>2859</v>
      </c>
      <c r="J10746" s="30" t="s">
        <v>3390</v>
      </c>
      <c r="L10746" s="30" t="s">
        <v>3442</v>
      </c>
      <c r="N10746" s="30" t="s">
        <v>3631</v>
      </c>
      <c r="P10746" s="30" t="s">
        <v>17242</v>
      </c>
      <c r="Q10746" t="s">
        <v>621</v>
      </c>
      <c r="R10746" t="s">
        <v>917</v>
      </c>
      <c r="S10746">
        <v>39</v>
      </c>
      <c r="T10746" s="29" t="str">
        <f t="shared" si="447"/>
        <v>2023.001B.Leviviricetes_reorg.zip</v>
      </c>
      <c r="U10746" s="29" t="str">
        <f>HYPERLINK("https://ictv.global/taxonomy/taxondetails?taxnode_id=202317723","ictv.global=202317723")</f>
        <v>ictv.global=202317723</v>
      </c>
    </row>
    <row r="10747" spans="1:21">
      <c r="A10747">
        <v>10746</v>
      </c>
      <c r="B10747" s="30" t="s">
        <v>1226</v>
      </c>
      <c r="D10747" s="30" t="s">
        <v>2024</v>
      </c>
      <c r="F10747" s="30" t="s">
        <v>2046</v>
      </c>
      <c r="H10747" s="30" t="s">
        <v>2859</v>
      </c>
      <c r="J10747" s="30" t="s">
        <v>3390</v>
      </c>
      <c r="L10747" s="30" t="s">
        <v>3442</v>
      </c>
      <c r="N10747" s="30" t="s">
        <v>3631</v>
      </c>
      <c r="P10747" s="30" t="s">
        <v>17243</v>
      </c>
      <c r="Q10747" t="s">
        <v>621</v>
      </c>
      <c r="R10747" t="s">
        <v>917</v>
      </c>
      <c r="S10747">
        <v>39</v>
      </c>
      <c r="T10747" s="29" t="str">
        <f t="shared" si="447"/>
        <v>2023.001B.Leviviricetes_reorg.zip</v>
      </c>
      <c r="U10747" s="29" t="str">
        <f>HYPERLINK("https://ictv.global/taxonomy/taxondetails?taxnode_id=202317724","ictv.global=202317724")</f>
        <v>ictv.global=202317724</v>
      </c>
    </row>
    <row r="10748" spans="1:21">
      <c r="A10748">
        <v>10747</v>
      </c>
      <c r="B10748" s="30" t="s">
        <v>1226</v>
      </c>
      <c r="D10748" s="30" t="s">
        <v>2024</v>
      </c>
      <c r="F10748" s="30" t="s">
        <v>2046</v>
      </c>
      <c r="H10748" s="30" t="s">
        <v>2859</v>
      </c>
      <c r="J10748" s="30" t="s">
        <v>3390</v>
      </c>
      <c r="L10748" s="30" t="s">
        <v>3442</v>
      </c>
      <c r="N10748" s="30" t="s">
        <v>3631</v>
      </c>
      <c r="P10748" s="30" t="s">
        <v>17244</v>
      </c>
      <c r="Q10748" t="s">
        <v>621</v>
      </c>
      <c r="R10748" t="s">
        <v>917</v>
      </c>
      <c r="S10748">
        <v>39</v>
      </c>
      <c r="T10748" s="29" t="str">
        <f t="shared" si="447"/>
        <v>2023.001B.Leviviricetes_reorg.zip</v>
      </c>
      <c r="U10748" s="29" t="str">
        <f>HYPERLINK("https://ictv.global/taxonomy/taxondetails?taxnode_id=202317725","ictv.global=202317725")</f>
        <v>ictv.global=202317725</v>
      </c>
    </row>
    <row r="10749" spans="1:21">
      <c r="A10749">
        <v>10748</v>
      </c>
      <c r="B10749" s="30" t="s">
        <v>1226</v>
      </c>
      <c r="D10749" s="30" t="s">
        <v>2024</v>
      </c>
      <c r="F10749" s="30" t="s">
        <v>2046</v>
      </c>
      <c r="H10749" s="30" t="s">
        <v>2859</v>
      </c>
      <c r="J10749" s="30" t="s">
        <v>3390</v>
      </c>
      <c r="L10749" s="30" t="s">
        <v>3442</v>
      </c>
      <c r="N10749" s="30" t="s">
        <v>3631</v>
      </c>
      <c r="P10749" s="30" t="s">
        <v>17245</v>
      </c>
      <c r="Q10749" t="s">
        <v>621</v>
      </c>
      <c r="R10749" t="s">
        <v>917</v>
      </c>
      <c r="S10749">
        <v>39</v>
      </c>
      <c r="T10749" s="29" t="str">
        <f t="shared" si="447"/>
        <v>2023.001B.Leviviricetes_reorg.zip</v>
      </c>
      <c r="U10749" s="29" t="str">
        <f>HYPERLINK("https://ictv.global/taxonomy/taxondetails?taxnode_id=202317726","ictv.global=202317726")</f>
        <v>ictv.global=202317726</v>
      </c>
    </row>
    <row r="10750" spans="1:21">
      <c r="A10750">
        <v>10749</v>
      </c>
      <c r="B10750" s="30" t="s">
        <v>1226</v>
      </c>
      <c r="D10750" s="30" t="s">
        <v>2024</v>
      </c>
      <c r="F10750" s="30" t="s">
        <v>2046</v>
      </c>
      <c r="H10750" s="30" t="s">
        <v>2859</v>
      </c>
      <c r="J10750" s="30" t="s">
        <v>3390</v>
      </c>
      <c r="L10750" s="30" t="s">
        <v>3442</v>
      </c>
      <c r="N10750" s="30" t="s">
        <v>3631</v>
      </c>
      <c r="P10750" s="30" t="s">
        <v>17246</v>
      </c>
      <c r="Q10750" t="s">
        <v>621</v>
      </c>
      <c r="R10750" t="s">
        <v>917</v>
      </c>
      <c r="S10750">
        <v>39</v>
      </c>
      <c r="T10750" s="29" t="str">
        <f t="shared" si="447"/>
        <v>2023.001B.Leviviricetes_reorg.zip</v>
      </c>
      <c r="U10750" s="29" t="str">
        <f>HYPERLINK("https://ictv.global/taxonomy/taxondetails?taxnode_id=202317727","ictv.global=202317727")</f>
        <v>ictv.global=202317727</v>
      </c>
    </row>
    <row r="10751" spans="1:21">
      <c r="A10751">
        <v>10750</v>
      </c>
      <c r="B10751" s="30" t="s">
        <v>1226</v>
      </c>
      <c r="D10751" s="30" t="s">
        <v>2024</v>
      </c>
      <c r="F10751" s="30" t="s">
        <v>2046</v>
      </c>
      <c r="H10751" s="30" t="s">
        <v>2859</v>
      </c>
      <c r="J10751" s="30" t="s">
        <v>3390</v>
      </c>
      <c r="L10751" s="30" t="s">
        <v>3442</v>
      </c>
      <c r="N10751" s="30" t="s">
        <v>3631</v>
      </c>
      <c r="P10751" s="30" t="s">
        <v>17247</v>
      </c>
      <c r="Q10751" t="s">
        <v>621</v>
      </c>
      <c r="R10751" t="s">
        <v>918</v>
      </c>
      <c r="S10751">
        <v>39</v>
      </c>
      <c r="T10751" s="29" t="str">
        <f t="shared" si="447"/>
        <v>2023.001B.Leviviricetes_reorg.zip</v>
      </c>
      <c r="U10751" s="29" t="str">
        <f>HYPERLINK("https://ictv.global/taxonomy/taxondetails?taxnode_id=202311056","ictv.global=202311056")</f>
        <v>ictv.global=202311056</v>
      </c>
    </row>
    <row r="10752" spans="1:21">
      <c r="A10752">
        <v>10751</v>
      </c>
      <c r="B10752" s="30" t="s">
        <v>1226</v>
      </c>
      <c r="D10752" s="30" t="s">
        <v>2024</v>
      </c>
      <c r="F10752" s="30" t="s">
        <v>2046</v>
      </c>
      <c r="H10752" s="30" t="s">
        <v>2859</v>
      </c>
      <c r="J10752" s="30" t="s">
        <v>3390</v>
      </c>
      <c r="L10752" s="30" t="s">
        <v>3442</v>
      </c>
      <c r="N10752" s="30" t="s">
        <v>3631</v>
      </c>
      <c r="P10752" s="30" t="s">
        <v>17248</v>
      </c>
      <c r="Q10752" t="s">
        <v>621</v>
      </c>
      <c r="R10752" t="s">
        <v>917</v>
      </c>
      <c r="S10752">
        <v>39</v>
      </c>
      <c r="T10752" s="29" t="str">
        <f t="shared" si="447"/>
        <v>2023.001B.Leviviricetes_reorg.zip</v>
      </c>
      <c r="U10752" s="29" t="str">
        <f>HYPERLINK("https://ictv.global/taxonomy/taxondetails?taxnode_id=202317728","ictv.global=202317728")</f>
        <v>ictv.global=202317728</v>
      </c>
    </row>
    <row r="10753" spans="1:21">
      <c r="A10753">
        <v>10752</v>
      </c>
      <c r="B10753" s="30" t="s">
        <v>1226</v>
      </c>
      <c r="D10753" s="30" t="s">
        <v>2024</v>
      </c>
      <c r="F10753" s="30" t="s">
        <v>2046</v>
      </c>
      <c r="H10753" s="30" t="s">
        <v>2859</v>
      </c>
      <c r="J10753" s="30" t="s">
        <v>3390</v>
      </c>
      <c r="L10753" s="30" t="s">
        <v>3442</v>
      </c>
      <c r="N10753" s="30" t="s">
        <v>3631</v>
      </c>
      <c r="P10753" s="30" t="s">
        <v>17249</v>
      </c>
      <c r="Q10753" t="s">
        <v>621</v>
      </c>
      <c r="R10753" t="s">
        <v>917</v>
      </c>
      <c r="S10753">
        <v>39</v>
      </c>
      <c r="T10753" s="29" t="str">
        <f t="shared" si="447"/>
        <v>2023.001B.Leviviricetes_reorg.zip</v>
      </c>
      <c r="U10753" s="29" t="str">
        <f>HYPERLINK("https://ictv.global/taxonomy/taxondetails?taxnode_id=202317729","ictv.global=202317729")</f>
        <v>ictv.global=202317729</v>
      </c>
    </row>
    <row r="10754" spans="1:21">
      <c r="A10754">
        <v>10753</v>
      </c>
      <c r="B10754" s="30" t="s">
        <v>1226</v>
      </c>
      <c r="D10754" s="30" t="s">
        <v>2024</v>
      </c>
      <c r="F10754" s="30" t="s">
        <v>2046</v>
      </c>
      <c r="H10754" s="30" t="s">
        <v>2859</v>
      </c>
      <c r="J10754" s="30" t="s">
        <v>3390</v>
      </c>
      <c r="L10754" s="30" t="s">
        <v>3442</v>
      </c>
      <c r="N10754" s="30" t="s">
        <v>3631</v>
      </c>
      <c r="P10754" s="30" t="s">
        <v>17250</v>
      </c>
      <c r="Q10754" t="s">
        <v>621</v>
      </c>
      <c r="R10754" t="s">
        <v>917</v>
      </c>
      <c r="S10754">
        <v>39</v>
      </c>
      <c r="T10754" s="29" t="str">
        <f t="shared" si="447"/>
        <v>2023.001B.Leviviricetes_reorg.zip</v>
      </c>
      <c r="U10754" s="29" t="str">
        <f>HYPERLINK("https://ictv.global/taxonomy/taxondetails?taxnode_id=202317730","ictv.global=202317730")</f>
        <v>ictv.global=202317730</v>
      </c>
    </row>
    <row r="10755" spans="1:21">
      <c r="A10755">
        <v>10754</v>
      </c>
      <c r="B10755" s="30" t="s">
        <v>1226</v>
      </c>
      <c r="D10755" s="30" t="s">
        <v>2024</v>
      </c>
      <c r="F10755" s="30" t="s">
        <v>2046</v>
      </c>
      <c r="H10755" s="30" t="s">
        <v>2859</v>
      </c>
      <c r="J10755" s="30" t="s">
        <v>3390</v>
      </c>
      <c r="L10755" s="30" t="s">
        <v>3442</v>
      </c>
      <c r="N10755" s="30" t="s">
        <v>3631</v>
      </c>
      <c r="P10755" s="30" t="s">
        <v>17251</v>
      </c>
      <c r="Q10755" t="s">
        <v>621</v>
      </c>
      <c r="R10755" t="s">
        <v>917</v>
      </c>
      <c r="S10755">
        <v>39</v>
      </c>
      <c r="T10755" s="29" t="str">
        <f t="shared" si="447"/>
        <v>2023.001B.Leviviricetes_reorg.zip</v>
      </c>
      <c r="U10755" s="29" t="str">
        <f>HYPERLINK("https://ictv.global/taxonomy/taxondetails?taxnode_id=202317731","ictv.global=202317731")</f>
        <v>ictv.global=202317731</v>
      </c>
    </row>
    <row r="10756" spans="1:21">
      <c r="A10756">
        <v>10755</v>
      </c>
      <c r="B10756" s="30" t="s">
        <v>1226</v>
      </c>
      <c r="D10756" s="30" t="s">
        <v>2024</v>
      </c>
      <c r="F10756" s="30" t="s">
        <v>2046</v>
      </c>
      <c r="H10756" s="30" t="s">
        <v>2859</v>
      </c>
      <c r="J10756" s="30" t="s">
        <v>3390</v>
      </c>
      <c r="L10756" s="30" t="s">
        <v>3442</v>
      </c>
      <c r="N10756" s="30" t="s">
        <v>3631</v>
      </c>
      <c r="P10756" s="30" t="s">
        <v>17252</v>
      </c>
      <c r="Q10756" t="s">
        <v>621</v>
      </c>
      <c r="R10756" t="s">
        <v>917</v>
      </c>
      <c r="S10756">
        <v>39</v>
      </c>
      <c r="T10756" s="29" t="str">
        <f t="shared" si="447"/>
        <v>2023.001B.Leviviricetes_reorg.zip</v>
      </c>
      <c r="U10756" s="29" t="str">
        <f>HYPERLINK("https://ictv.global/taxonomy/taxondetails?taxnode_id=202317732","ictv.global=202317732")</f>
        <v>ictv.global=202317732</v>
      </c>
    </row>
    <row r="10757" spans="1:21">
      <c r="A10757">
        <v>10756</v>
      </c>
      <c r="B10757" s="30" t="s">
        <v>1226</v>
      </c>
      <c r="D10757" s="30" t="s">
        <v>2024</v>
      </c>
      <c r="F10757" s="30" t="s">
        <v>2046</v>
      </c>
      <c r="H10757" s="30" t="s">
        <v>2859</v>
      </c>
      <c r="J10757" s="30" t="s">
        <v>3390</v>
      </c>
      <c r="L10757" s="30" t="s">
        <v>3442</v>
      </c>
      <c r="N10757" s="30" t="s">
        <v>3631</v>
      </c>
      <c r="P10757" s="30" t="s">
        <v>17253</v>
      </c>
      <c r="Q10757" t="s">
        <v>621</v>
      </c>
      <c r="R10757" t="s">
        <v>917</v>
      </c>
      <c r="S10757">
        <v>39</v>
      </c>
      <c r="T10757" s="29" t="str">
        <f t="shared" si="447"/>
        <v>2023.001B.Leviviricetes_reorg.zip</v>
      </c>
      <c r="U10757" s="29" t="str">
        <f>HYPERLINK("https://ictv.global/taxonomy/taxondetails?taxnode_id=202317733","ictv.global=202317733")</f>
        <v>ictv.global=202317733</v>
      </c>
    </row>
    <row r="10758" spans="1:21">
      <c r="A10758">
        <v>10757</v>
      </c>
      <c r="B10758" s="30" t="s">
        <v>1226</v>
      </c>
      <c r="D10758" s="30" t="s">
        <v>2024</v>
      </c>
      <c r="F10758" s="30" t="s">
        <v>2046</v>
      </c>
      <c r="H10758" s="30" t="s">
        <v>2859</v>
      </c>
      <c r="N10758" s="30" t="s">
        <v>17254</v>
      </c>
      <c r="P10758" s="30" t="s">
        <v>17255</v>
      </c>
      <c r="Q10758" t="s">
        <v>621</v>
      </c>
      <c r="R10758" t="s">
        <v>917</v>
      </c>
      <c r="S10758">
        <v>39</v>
      </c>
      <c r="T10758" s="29" t="str">
        <f t="shared" si="447"/>
        <v>2023.001B.Leviviricetes_reorg.zip</v>
      </c>
      <c r="U10758" s="29" t="str">
        <f>HYPERLINK("https://ictv.global/taxonomy/taxondetails?taxnode_id=202316028","ictv.global=202316028")</f>
        <v>ictv.global=202316028</v>
      </c>
    </row>
    <row r="10759" spans="1:21">
      <c r="A10759">
        <v>10758</v>
      </c>
      <c r="B10759" s="30" t="s">
        <v>1226</v>
      </c>
      <c r="D10759" s="30" t="s">
        <v>2024</v>
      </c>
      <c r="F10759" s="30" t="s">
        <v>2046</v>
      </c>
      <c r="H10759" s="30" t="s">
        <v>2859</v>
      </c>
      <c r="N10759" s="30" t="s">
        <v>3635</v>
      </c>
      <c r="P10759" s="30" t="s">
        <v>17256</v>
      </c>
      <c r="Q10759" t="s">
        <v>621</v>
      </c>
      <c r="R10759" t="s">
        <v>917</v>
      </c>
      <c r="S10759">
        <v>39</v>
      </c>
      <c r="T10759" s="29" t="str">
        <f t="shared" si="447"/>
        <v>2023.001B.Leviviricetes_reorg.zip</v>
      </c>
      <c r="U10759" s="29" t="str">
        <f>HYPERLINK("https://ictv.global/taxonomy/taxondetails?taxnode_id=202316029","ictv.global=202316029")</f>
        <v>ictv.global=202316029</v>
      </c>
    </row>
    <row r="10760" spans="1:21">
      <c r="A10760">
        <v>10759</v>
      </c>
      <c r="B10760" s="30" t="s">
        <v>1226</v>
      </c>
      <c r="D10760" s="30" t="s">
        <v>2024</v>
      </c>
      <c r="F10760" s="30" t="s">
        <v>2046</v>
      </c>
      <c r="H10760" s="30" t="s">
        <v>2859</v>
      </c>
      <c r="N10760" s="30" t="s">
        <v>3635</v>
      </c>
      <c r="P10760" s="30" t="s">
        <v>3636</v>
      </c>
      <c r="Q10760" t="s">
        <v>621</v>
      </c>
      <c r="R10760" t="s">
        <v>917</v>
      </c>
      <c r="S10760">
        <v>36</v>
      </c>
      <c r="T10760" s="29" t="str">
        <f>HYPERLINK("https://ictv.global/ictv/proposals/2020.095B.R.Leviviricetes.zip","2020.095B.R.Leviviricetes.zip")</f>
        <v>2020.095B.R.Leviviricetes.zip</v>
      </c>
      <c r="U10760" s="29" t="str">
        <f>HYPERLINK("https://ictv.global/taxonomy/taxondetails?taxnode_id=202311514","ictv.global=202311514")</f>
        <v>ictv.global=202311514</v>
      </c>
    </row>
    <row r="10761" spans="1:21">
      <c r="A10761">
        <v>10760</v>
      </c>
      <c r="B10761" s="30" t="s">
        <v>1226</v>
      </c>
      <c r="D10761" s="30" t="s">
        <v>2024</v>
      </c>
      <c r="F10761" s="30" t="s">
        <v>2046</v>
      </c>
      <c r="H10761" s="30" t="s">
        <v>2859</v>
      </c>
      <c r="N10761" s="30" t="s">
        <v>3637</v>
      </c>
      <c r="P10761" s="30" t="s">
        <v>3638</v>
      </c>
      <c r="Q10761" t="s">
        <v>621</v>
      </c>
      <c r="R10761" t="s">
        <v>917</v>
      </c>
      <c r="S10761">
        <v>36</v>
      </c>
      <c r="T10761" s="29" t="str">
        <f>HYPERLINK("https://ictv.global/ictv/proposals/2020.095B.R.Leviviricetes.zip","2020.095B.R.Leviviricetes.zip")</f>
        <v>2020.095B.R.Leviviricetes.zip</v>
      </c>
      <c r="U10761" s="29" t="str">
        <f>HYPERLINK("https://ictv.global/taxonomy/taxondetails?taxnode_id=202311518","ictv.global=202311518")</f>
        <v>ictv.global=202311518</v>
      </c>
    </row>
    <row r="10762" spans="1:21">
      <c r="A10762">
        <v>10761</v>
      </c>
      <c r="B10762" s="30" t="s">
        <v>1226</v>
      </c>
      <c r="D10762" s="30" t="s">
        <v>2024</v>
      </c>
      <c r="F10762" s="30" t="s">
        <v>2046</v>
      </c>
      <c r="H10762" s="30" t="s">
        <v>2859</v>
      </c>
      <c r="N10762" s="30" t="s">
        <v>17257</v>
      </c>
      <c r="P10762" s="30" t="s">
        <v>17258</v>
      </c>
      <c r="Q10762" t="s">
        <v>621</v>
      </c>
      <c r="R10762" t="s">
        <v>917</v>
      </c>
      <c r="S10762">
        <v>39</v>
      </c>
      <c r="T10762" s="29" t="str">
        <f>HYPERLINK("https://ictv.global/ictv/proposals/2023.001B.Leviviricetes_reorg.zip","2023.001B.Leviviricetes_reorg.zip")</f>
        <v>2023.001B.Leviviricetes_reorg.zip</v>
      </c>
      <c r="U10762" s="29" t="str">
        <f>HYPERLINK("https://ictv.global/taxonomy/taxondetails?taxnode_id=202316030","ictv.global=202316030")</f>
        <v>ictv.global=202316030</v>
      </c>
    </row>
    <row r="10763" spans="1:21">
      <c r="A10763">
        <v>10762</v>
      </c>
      <c r="B10763" s="30" t="s">
        <v>1226</v>
      </c>
      <c r="D10763" s="30" t="s">
        <v>2024</v>
      </c>
      <c r="F10763" s="30" t="s">
        <v>2046</v>
      </c>
      <c r="H10763" s="30" t="s">
        <v>2859</v>
      </c>
      <c r="N10763" s="30" t="s">
        <v>17257</v>
      </c>
      <c r="P10763" s="30" t="s">
        <v>17259</v>
      </c>
      <c r="Q10763" t="s">
        <v>621</v>
      </c>
      <c r="R10763" t="s">
        <v>917</v>
      </c>
      <c r="S10763">
        <v>39</v>
      </c>
      <c r="T10763" s="29" t="str">
        <f>HYPERLINK("https://ictv.global/ictv/proposals/2023.001B.Leviviricetes_reorg.zip","2023.001B.Leviviricetes_reorg.zip")</f>
        <v>2023.001B.Leviviricetes_reorg.zip</v>
      </c>
      <c r="U10763" s="29" t="str">
        <f>HYPERLINK("https://ictv.global/taxonomy/taxondetails?taxnode_id=202316031","ictv.global=202316031")</f>
        <v>ictv.global=202316031</v>
      </c>
    </row>
    <row r="10764" spans="1:21">
      <c r="A10764">
        <v>10763</v>
      </c>
      <c r="B10764" s="30" t="s">
        <v>1226</v>
      </c>
      <c r="D10764" s="30" t="s">
        <v>2024</v>
      </c>
      <c r="F10764" s="30" t="s">
        <v>2046</v>
      </c>
      <c r="H10764" s="30" t="s">
        <v>2859</v>
      </c>
      <c r="N10764" s="30" t="s">
        <v>3639</v>
      </c>
      <c r="P10764" s="30" t="s">
        <v>3640</v>
      </c>
      <c r="Q10764" t="s">
        <v>621</v>
      </c>
      <c r="R10764" t="s">
        <v>917</v>
      </c>
      <c r="S10764">
        <v>36</v>
      </c>
      <c r="T10764" s="29" t="str">
        <f>HYPERLINK("https://ictv.global/ictv/proposals/2020.095B.R.Leviviricetes.zip","2020.095B.R.Leviviricetes.zip")</f>
        <v>2020.095B.R.Leviviricetes.zip</v>
      </c>
      <c r="U10764" s="29" t="str">
        <f>HYPERLINK("https://ictv.global/taxonomy/taxondetails?taxnode_id=202311522","ictv.global=202311522")</f>
        <v>ictv.global=202311522</v>
      </c>
    </row>
    <row r="10765" spans="1:21">
      <c r="A10765">
        <v>10764</v>
      </c>
      <c r="B10765" s="30" t="s">
        <v>1226</v>
      </c>
      <c r="D10765" s="30" t="s">
        <v>2024</v>
      </c>
      <c r="F10765" s="30" t="s">
        <v>2046</v>
      </c>
      <c r="H10765" s="30" t="s">
        <v>2859</v>
      </c>
      <c r="N10765" s="30" t="s">
        <v>3639</v>
      </c>
      <c r="P10765" s="30" t="s">
        <v>17260</v>
      </c>
      <c r="Q10765" t="s">
        <v>621</v>
      </c>
      <c r="R10765" t="s">
        <v>917</v>
      </c>
      <c r="S10765">
        <v>39</v>
      </c>
      <c r="T10765" s="29" t="str">
        <f>HYPERLINK("https://ictv.global/ictv/proposals/2023.001B.Leviviricetes_reorg.zip","2023.001B.Leviviricetes_reorg.zip")</f>
        <v>2023.001B.Leviviricetes_reorg.zip</v>
      </c>
      <c r="U10765" s="29" t="str">
        <f>HYPERLINK("https://ictv.global/taxonomy/taxondetails?taxnode_id=202316032","ictv.global=202316032")</f>
        <v>ictv.global=202316032</v>
      </c>
    </row>
    <row r="10766" spans="1:21">
      <c r="A10766">
        <v>10765</v>
      </c>
      <c r="B10766" s="30" t="s">
        <v>1226</v>
      </c>
      <c r="D10766" s="30" t="s">
        <v>2024</v>
      </c>
      <c r="F10766" s="30" t="s">
        <v>2046</v>
      </c>
      <c r="H10766" s="30" t="s">
        <v>2859</v>
      </c>
      <c r="N10766" s="30" t="s">
        <v>3639</v>
      </c>
      <c r="P10766" s="30" t="s">
        <v>17261</v>
      </c>
      <c r="Q10766" t="s">
        <v>621</v>
      </c>
      <c r="R10766" t="s">
        <v>917</v>
      </c>
      <c r="S10766">
        <v>39</v>
      </c>
      <c r="T10766" s="29" t="str">
        <f>HYPERLINK("https://ictv.global/ictv/proposals/2023.001B.Leviviricetes_reorg.zip","2023.001B.Leviviricetes_reorg.zip")</f>
        <v>2023.001B.Leviviricetes_reorg.zip</v>
      </c>
      <c r="U10766" s="29" t="str">
        <f>HYPERLINK("https://ictv.global/taxonomy/taxondetails?taxnode_id=202316033","ictv.global=202316033")</f>
        <v>ictv.global=202316033</v>
      </c>
    </row>
    <row r="10767" spans="1:21">
      <c r="A10767">
        <v>10766</v>
      </c>
      <c r="B10767" s="30" t="s">
        <v>1226</v>
      </c>
      <c r="D10767" s="30" t="s">
        <v>2024</v>
      </c>
      <c r="F10767" s="30" t="s">
        <v>2046</v>
      </c>
      <c r="H10767" s="30" t="s">
        <v>2859</v>
      </c>
      <c r="N10767" s="30" t="s">
        <v>3639</v>
      </c>
      <c r="P10767" s="30" t="s">
        <v>17262</v>
      </c>
      <c r="Q10767" t="s">
        <v>621</v>
      </c>
      <c r="R10767" t="s">
        <v>917</v>
      </c>
      <c r="S10767">
        <v>39</v>
      </c>
      <c r="T10767" s="29" t="str">
        <f>HYPERLINK("https://ictv.global/ictv/proposals/2023.001B.Leviviricetes_reorg.zip","2023.001B.Leviviricetes_reorg.zip")</f>
        <v>2023.001B.Leviviricetes_reorg.zip</v>
      </c>
      <c r="U10767" s="29" t="str">
        <f>HYPERLINK("https://ictv.global/taxonomy/taxondetails?taxnode_id=202316034","ictv.global=202316034")</f>
        <v>ictv.global=202316034</v>
      </c>
    </row>
    <row r="10768" spans="1:21">
      <c r="A10768">
        <v>10767</v>
      </c>
      <c r="B10768" s="30" t="s">
        <v>1226</v>
      </c>
      <c r="D10768" s="30" t="s">
        <v>2024</v>
      </c>
      <c r="F10768" s="30" t="s">
        <v>2046</v>
      </c>
      <c r="H10768" s="30" t="s">
        <v>2859</v>
      </c>
      <c r="N10768" s="30" t="s">
        <v>3639</v>
      </c>
      <c r="P10768" s="30" t="s">
        <v>17263</v>
      </c>
      <c r="Q10768" t="s">
        <v>621</v>
      </c>
      <c r="R10768" t="s">
        <v>917</v>
      </c>
      <c r="S10768">
        <v>39</v>
      </c>
      <c r="T10768" s="29" t="str">
        <f>HYPERLINK("https://ictv.global/ictv/proposals/2023.001B.Leviviricetes_reorg.zip","2023.001B.Leviviricetes_reorg.zip")</f>
        <v>2023.001B.Leviviricetes_reorg.zip</v>
      </c>
      <c r="U10768" s="29" t="str">
        <f>HYPERLINK("https://ictv.global/taxonomy/taxondetails?taxnode_id=202316035","ictv.global=202316035")</f>
        <v>ictv.global=202316035</v>
      </c>
    </row>
    <row r="10769" spans="1:21">
      <c r="A10769">
        <v>10768</v>
      </c>
      <c r="B10769" s="30" t="s">
        <v>1226</v>
      </c>
      <c r="D10769" s="30" t="s">
        <v>2024</v>
      </c>
      <c r="F10769" s="30" t="s">
        <v>2046</v>
      </c>
      <c r="H10769" s="30" t="s">
        <v>2052</v>
      </c>
      <c r="J10769" s="30" t="s">
        <v>2053</v>
      </c>
      <c r="L10769" s="30" t="s">
        <v>1290</v>
      </c>
      <c r="N10769" s="30" t="s">
        <v>9544</v>
      </c>
      <c r="P10769" s="30" t="s">
        <v>9545</v>
      </c>
      <c r="Q10769" t="s">
        <v>621</v>
      </c>
      <c r="R10769" t="s">
        <v>917</v>
      </c>
      <c r="S10769">
        <v>37</v>
      </c>
      <c r="T10769" s="29" t="str">
        <f t="shared" ref="T10769:T10794" si="448">HYPERLINK("https://ictv.global/ictv/proposals/2021.009F.R.Botourmiaviridae_6newgen_109newsp.zip","2021.009F.R.Botourmiaviridae_6newgen_109newsp.zip")</f>
        <v>2021.009F.R.Botourmiaviridae_6newgen_109newsp.zip</v>
      </c>
      <c r="U10769" s="29" t="str">
        <f>HYPERLINK("https://ictv.global/taxonomy/taxondetails?taxnode_id=202312532","ictv.global=202312532")</f>
        <v>ictv.global=202312532</v>
      </c>
    </row>
    <row r="10770" spans="1:21">
      <c r="A10770">
        <v>10769</v>
      </c>
      <c r="B10770" s="30" t="s">
        <v>1226</v>
      </c>
      <c r="D10770" s="30" t="s">
        <v>2024</v>
      </c>
      <c r="F10770" s="30" t="s">
        <v>2046</v>
      </c>
      <c r="H10770" s="30" t="s">
        <v>2052</v>
      </c>
      <c r="J10770" s="30" t="s">
        <v>2053</v>
      </c>
      <c r="L10770" s="30" t="s">
        <v>1290</v>
      </c>
      <c r="N10770" s="30" t="s">
        <v>9544</v>
      </c>
      <c r="P10770" s="30" t="s">
        <v>9546</v>
      </c>
      <c r="Q10770" t="s">
        <v>621</v>
      </c>
      <c r="R10770" t="s">
        <v>917</v>
      </c>
      <c r="S10770">
        <v>37</v>
      </c>
      <c r="T10770" s="29" t="str">
        <f t="shared" si="448"/>
        <v>2021.009F.R.Botourmiaviridae_6newgen_109newsp.zip</v>
      </c>
      <c r="U10770" s="29" t="str">
        <f>HYPERLINK("https://ictv.global/taxonomy/taxondetails?taxnode_id=202312533","ictv.global=202312533")</f>
        <v>ictv.global=202312533</v>
      </c>
    </row>
    <row r="10771" spans="1:21">
      <c r="A10771">
        <v>10770</v>
      </c>
      <c r="B10771" s="30" t="s">
        <v>1226</v>
      </c>
      <c r="D10771" s="30" t="s">
        <v>2024</v>
      </c>
      <c r="F10771" s="30" t="s">
        <v>2046</v>
      </c>
      <c r="H10771" s="30" t="s">
        <v>2052</v>
      </c>
      <c r="J10771" s="30" t="s">
        <v>2053</v>
      </c>
      <c r="L10771" s="30" t="s">
        <v>1290</v>
      </c>
      <c r="N10771" s="30" t="s">
        <v>9544</v>
      </c>
      <c r="P10771" s="30" t="s">
        <v>9547</v>
      </c>
      <c r="Q10771" t="s">
        <v>621</v>
      </c>
      <c r="R10771" t="s">
        <v>917</v>
      </c>
      <c r="S10771">
        <v>37</v>
      </c>
      <c r="T10771" s="29" t="str">
        <f t="shared" si="448"/>
        <v>2021.009F.R.Botourmiaviridae_6newgen_109newsp.zip</v>
      </c>
      <c r="U10771" s="29" t="str">
        <f>HYPERLINK("https://ictv.global/taxonomy/taxondetails?taxnode_id=202312535","ictv.global=202312535")</f>
        <v>ictv.global=202312535</v>
      </c>
    </row>
    <row r="10772" spans="1:21">
      <c r="A10772">
        <v>10771</v>
      </c>
      <c r="B10772" s="30" t="s">
        <v>1226</v>
      </c>
      <c r="D10772" s="30" t="s">
        <v>2024</v>
      </c>
      <c r="F10772" s="30" t="s">
        <v>2046</v>
      </c>
      <c r="H10772" s="30" t="s">
        <v>2052</v>
      </c>
      <c r="J10772" s="30" t="s">
        <v>2053</v>
      </c>
      <c r="L10772" s="30" t="s">
        <v>1290</v>
      </c>
      <c r="N10772" s="30" t="s">
        <v>9544</v>
      </c>
      <c r="P10772" s="30" t="s">
        <v>9548</v>
      </c>
      <c r="Q10772" t="s">
        <v>621</v>
      </c>
      <c r="R10772" t="s">
        <v>918</v>
      </c>
      <c r="S10772">
        <v>37</v>
      </c>
      <c r="T10772" s="29" t="str">
        <f t="shared" si="448"/>
        <v>2021.009F.R.Botourmiaviridae_6newgen_109newsp.zip</v>
      </c>
      <c r="U10772" s="29" t="str">
        <f>HYPERLINK("https://ictv.global/taxonomy/taxondetails?taxnode_id=202308723","ictv.global=202308723")</f>
        <v>ictv.global=202308723</v>
      </c>
    </row>
    <row r="10773" spans="1:21">
      <c r="A10773">
        <v>10772</v>
      </c>
      <c r="B10773" s="30" t="s">
        <v>1226</v>
      </c>
      <c r="D10773" s="30" t="s">
        <v>2024</v>
      </c>
      <c r="F10773" s="30" t="s">
        <v>2046</v>
      </c>
      <c r="H10773" s="30" t="s">
        <v>2052</v>
      </c>
      <c r="J10773" s="30" t="s">
        <v>2053</v>
      </c>
      <c r="L10773" s="30" t="s">
        <v>1290</v>
      </c>
      <c r="N10773" s="30" t="s">
        <v>9544</v>
      </c>
      <c r="P10773" s="30" t="s">
        <v>9549</v>
      </c>
      <c r="Q10773" t="s">
        <v>621</v>
      </c>
      <c r="R10773" t="s">
        <v>917</v>
      </c>
      <c r="S10773">
        <v>37</v>
      </c>
      <c r="T10773" s="29" t="str">
        <f t="shared" si="448"/>
        <v>2021.009F.R.Botourmiaviridae_6newgen_109newsp.zip</v>
      </c>
      <c r="U10773" s="29" t="str">
        <f>HYPERLINK("https://ictv.global/taxonomy/taxondetails?taxnode_id=202312536","ictv.global=202312536")</f>
        <v>ictv.global=202312536</v>
      </c>
    </row>
    <row r="10774" spans="1:21">
      <c r="A10774">
        <v>10773</v>
      </c>
      <c r="B10774" s="30" t="s">
        <v>1226</v>
      </c>
      <c r="D10774" s="30" t="s">
        <v>2024</v>
      </c>
      <c r="F10774" s="30" t="s">
        <v>2046</v>
      </c>
      <c r="H10774" s="30" t="s">
        <v>2052</v>
      </c>
      <c r="J10774" s="30" t="s">
        <v>2053</v>
      </c>
      <c r="L10774" s="30" t="s">
        <v>1290</v>
      </c>
      <c r="N10774" s="30" t="s">
        <v>9544</v>
      </c>
      <c r="P10774" s="30" t="s">
        <v>9550</v>
      </c>
      <c r="Q10774" t="s">
        <v>621</v>
      </c>
      <c r="R10774" t="s">
        <v>917</v>
      </c>
      <c r="S10774">
        <v>37</v>
      </c>
      <c r="T10774" s="29" t="str">
        <f t="shared" si="448"/>
        <v>2021.009F.R.Botourmiaviridae_6newgen_109newsp.zip</v>
      </c>
      <c r="U10774" s="29" t="str">
        <f>HYPERLINK("https://ictv.global/taxonomy/taxondetails?taxnode_id=202312538","ictv.global=202312538")</f>
        <v>ictv.global=202312538</v>
      </c>
    </row>
    <row r="10775" spans="1:21">
      <c r="A10775">
        <v>10774</v>
      </c>
      <c r="B10775" s="30" t="s">
        <v>1226</v>
      </c>
      <c r="D10775" s="30" t="s">
        <v>2024</v>
      </c>
      <c r="F10775" s="30" t="s">
        <v>2046</v>
      </c>
      <c r="H10775" s="30" t="s">
        <v>2052</v>
      </c>
      <c r="J10775" s="30" t="s">
        <v>2053</v>
      </c>
      <c r="L10775" s="30" t="s">
        <v>1290</v>
      </c>
      <c r="N10775" s="30" t="s">
        <v>9544</v>
      </c>
      <c r="P10775" s="30" t="s">
        <v>9551</v>
      </c>
      <c r="Q10775" t="s">
        <v>621</v>
      </c>
      <c r="R10775" t="s">
        <v>917</v>
      </c>
      <c r="S10775">
        <v>37</v>
      </c>
      <c r="T10775" s="29" t="str">
        <f t="shared" si="448"/>
        <v>2021.009F.R.Botourmiaviridae_6newgen_109newsp.zip</v>
      </c>
      <c r="U10775" s="29" t="str">
        <f>HYPERLINK("https://ictv.global/taxonomy/taxondetails?taxnode_id=202312534","ictv.global=202312534")</f>
        <v>ictv.global=202312534</v>
      </c>
    </row>
    <row r="10776" spans="1:21">
      <c r="A10776">
        <v>10775</v>
      </c>
      <c r="B10776" s="30" t="s">
        <v>1226</v>
      </c>
      <c r="D10776" s="30" t="s">
        <v>2024</v>
      </c>
      <c r="F10776" s="30" t="s">
        <v>2046</v>
      </c>
      <c r="H10776" s="30" t="s">
        <v>2052</v>
      </c>
      <c r="J10776" s="30" t="s">
        <v>2053</v>
      </c>
      <c r="L10776" s="30" t="s">
        <v>1290</v>
      </c>
      <c r="N10776" s="30" t="s">
        <v>9544</v>
      </c>
      <c r="P10776" s="30" t="s">
        <v>9552</v>
      </c>
      <c r="Q10776" t="s">
        <v>621</v>
      </c>
      <c r="R10776" t="s">
        <v>918</v>
      </c>
      <c r="S10776">
        <v>37</v>
      </c>
      <c r="T10776" s="29" t="str">
        <f t="shared" si="448"/>
        <v>2021.009F.R.Botourmiaviridae_6newgen_109newsp.zip</v>
      </c>
      <c r="U10776" s="29" t="str">
        <f>HYPERLINK("https://ictv.global/taxonomy/taxondetails?taxnode_id=202308724","ictv.global=202308724")</f>
        <v>ictv.global=202308724</v>
      </c>
    </row>
    <row r="10777" spans="1:21">
      <c r="A10777">
        <v>10776</v>
      </c>
      <c r="B10777" s="30" t="s">
        <v>1226</v>
      </c>
      <c r="D10777" s="30" t="s">
        <v>2024</v>
      </c>
      <c r="F10777" s="30" t="s">
        <v>2046</v>
      </c>
      <c r="H10777" s="30" t="s">
        <v>2052</v>
      </c>
      <c r="J10777" s="30" t="s">
        <v>2053</v>
      </c>
      <c r="L10777" s="30" t="s">
        <v>1290</v>
      </c>
      <c r="N10777" s="30" t="s">
        <v>9544</v>
      </c>
      <c r="P10777" s="30" t="s">
        <v>9553</v>
      </c>
      <c r="Q10777" t="s">
        <v>621</v>
      </c>
      <c r="R10777" t="s">
        <v>917</v>
      </c>
      <c r="S10777">
        <v>37</v>
      </c>
      <c r="T10777" s="29" t="str">
        <f t="shared" si="448"/>
        <v>2021.009F.R.Botourmiaviridae_6newgen_109newsp.zip</v>
      </c>
      <c r="U10777" s="29" t="str">
        <f>HYPERLINK("https://ictv.global/taxonomy/taxondetails?taxnode_id=202312539","ictv.global=202312539")</f>
        <v>ictv.global=202312539</v>
      </c>
    </row>
    <row r="10778" spans="1:21">
      <c r="A10778">
        <v>10777</v>
      </c>
      <c r="B10778" s="30" t="s">
        <v>1226</v>
      </c>
      <c r="D10778" s="30" t="s">
        <v>2024</v>
      </c>
      <c r="F10778" s="30" t="s">
        <v>2046</v>
      </c>
      <c r="H10778" s="30" t="s">
        <v>2052</v>
      </c>
      <c r="J10778" s="30" t="s">
        <v>2053</v>
      </c>
      <c r="L10778" s="30" t="s">
        <v>1290</v>
      </c>
      <c r="N10778" s="30" t="s">
        <v>9544</v>
      </c>
      <c r="P10778" s="30" t="s">
        <v>9554</v>
      </c>
      <c r="Q10778" t="s">
        <v>621</v>
      </c>
      <c r="R10778" t="s">
        <v>917</v>
      </c>
      <c r="S10778">
        <v>37</v>
      </c>
      <c r="T10778" s="29" t="str">
        <f t="shared" si="448"/>
        <v>2021.009F.R.Botourmiaviridae_6newgen_109newsp.zip</v>
      </c>
      <c r="U10778" s="29" t="str">
        <f>HYPERLINK("https://ictv.global/taxonomy/taxondetails?taxnode_id=202312537","ictv.global=202312537")</f>
        <v>ictv.global=202312537</v>
      </c>
    </row>
    <row r="10779" spans="1:21">
      <c r="A10779">
        <v>10778</v>
      </c>
      <c r="B10779" s="30" t="s">
        <v>1226</v>
      </c>
      <c r="D10779" s="30" t="s">
        <v>2024</v>
      </c>
      <c r="F10779" s="30" t="s">
        <v>2046</v>
      </c>
      <c r="H10779" s="30" t="s">
        <v>2052</v>
      </c>
      <c r="J10779" s="30" t="s">
        <v>2053</v>
      </c>
      <c r="L10779" s="30" t="s">
        <v>1290</v>
      </c>
      <c r="N10779" s="30" t="s">
        <v>9555</v>
      </c>
      <c r="P10779" s="30" t="s">
        <v>9556</v>
      </c>
      <c r="Q10779" t="s">
        <v>621</v>
      </c>
      <c r="R10779" t="s">
        <v>917</v>
      </c>
      <c r="S10779">
        <v>37</v>
      </c>
      <c r="T10779" s="29" t="str">
        <f t="shared" si="448"/>
        <v>2021.009F.R.Botourmiaviridae_6newgen_109newsp.zip</v>
      </c>
      <c r="U10779" s="29" t="str">
        <f>HYPERLINK("https://ictv.global/taxonomy/taxondetails?taxnode_id=202313250","ictv.global=202313250")</f>
        <v>ictv.global=202313250</v>
      </c>
    </row>
    <row r="10780" spans="1:21">
      <c r="A10780">
        <v>10779</v>
      </c>
      <c r="B10780" s="30" t="s">
        <v>1226</v>
      </c>
      <c r="D10780" s="30" t="s">
        <v>2024</v>
      </c>
      <c r="F10780" s="30" t="s">
        <v>2046</v>
      </c>
      <c r="H10780" s="30" t="s">
        <v>2052</v>
      </c>
      <c r="J10780" s="30" t="s">
        <v>2053</v>
      </c>
      <c r="L10780" s="30" t="s">
        <v>1290</v>
      </c>
      <c r="N10780" s="30" t="s">
        <v>9557</v>
      </c>
      <c r="P10780" s="30" t="s">
        <v>9558</v>
      </c>
      <c r="Q10780" t="s">
        <v>621</v>
      </c>
      <c r="R10780" t="s">
        <v>917</v>
      </c>
      <c r="S10780">
        <v>37</v>
      </c>
      <c r="T10780" s="29" t="str">
        <f t="shared" si="448"/>
        <v>2021.009F.R.Botourmiaviridae_6newgen_109newsp.zip</v>
      </c>
      <c r="U10780" s="29" t="str">
        <f>HYPERLINK("https://ictv.global/taxonomy/taxondetails?taxnode_id=202312557","ictv.global=202312557")</f>
        <v>ictv.global=202312557</v>
      </c>
    </row>
    <row r="10781" spans="1:21">
      <c r="A10781">
        <v>10780</v>
      </c>
      <c r="B10781" s="30" t="s">
        <v>1226</v>
      </c>
      <c r="D10781" s="30" t="s">
        <v>2024</v>
      </c>
      <c r="F10781" s="30" t="s">
        <v>2046</v>
      </c>
      <c r="H10781" s="30" t="s">
        <v>2052</v>
      </c>
      <c r="J10781" s="30" t="s">
        <v>2053</v>
      </c>
      <c r="L10781" s="30" t="s">
        <v>1290</v>
      </c>
      <c r="N10781" s="30" t="s">
        <v>9557</v>
      </c>
      <c r="P10781" s="30" t="s">
        <v>9559</v>
      </c>
      <c r="Q10781" t="s">
        <v>621</v>
      </c>
      <c r="R10781" t="s">
        <v>917</v>
      </c>
      <c r="S10781">
        <v>37</v>
      </c>
      <c r="T10781" s="29" t="str">
        <f t="shared" si="448"/>
        <v>2021.009F.R.Botourmiaviridae_6newgen_109newsp.zip</v>
      </c>
      <c r="U10781" s="29" t="str">
        <f>HYPERLINK("https://ictv.global/taxonomy/taxondetails?taxnode_id=202312558","ictv.global=202312558")</f>
        <v>ictv.global=202312558</v>
      </c>
    </row>
    <row r="10782" spans="1:21">
      <c r="A10782">
        <v>10781</v>
      </c>
      <c r="B10782" s="30" t="s">
        <v>1226</v>
      </c>
      <c r="D10782" s="30" t="s">
        <v>2024</v>
      </c>
      <c r="F10782" s="30" t="s">
        <v>2046</v>
      </c>
      <c r="H10782" s="30" t="s">
        <v>2052</v>
      </c>
      <c r="J10782" s="30" t="s">
        <v>2053</v>
      </c>
      <c r="L10782" s="30" t="s">
        <v>1290</v>
      </c>
      <c r="N10782" s="30" t="s">
        <v>9557</v>
      </c>
      <c r="P10782" s="30" t="s">
        <v>9560</v>
      </c>
      <c r="Q10782" t="s">
        <v>621</v>
      </c>
      <c r="R10782" t="s">
        <v>917</v>
      </c>
      <c r="S10782">
        <v>37</v>
      </c>
      <c r="T10782" s="29" t="str">
        <f t="shared" si="448"/>
        <v>2021.009F.R.Botourmiaviridae_6newgen_109newsp.zip</v>
      </c>
      <c r="U10782" s="29" t="str">
        <f>HYPERLINK("https://ictv.global/taxonomy/taxondetails?taxnode_id=202312556","ictv.global=202312556")</f>
        <v>ictv.global=202312556</v>
      </c>
    </row>
    <row r="10783" spans="1:21">
      <c r="A10783">
        <v>10782</v>
      </c>
      <c r="B10783" s="30" t="s">
        <v>1226</v>
      </c>
      <c r="D10783" s="30" t="s">
        <v>2024</v>
      </c>
      <c r="F10783" s="30" t="s">
        <v>2046</v>
      </c>
      <c r="H10783" s="30" t="s">
        <v>2052</v>
      </c>
      <c r="J10783" s="30" t="s">
        <v>2053</v>
      </c>
      <c r="L10783" s="30" t="s">
        <v>1290</v>
      </c>
      <c r="N10783" s="30" t="s">
        <v>9557</v>
      </c>
      <c r="P10783" s="30" t="s">
        <v>9561</v>
      </c>
      <c r="Q10783" t="s">
        <v>621</v>
      </c>
      <c r="R10783" t="s">
        <v>917</v>
      </c>
      <c r="S10783">
        <v>37</v>
      </c>
      <c r="T10783" s="29" t="str">
        <f t="shared" si="448"/>
        <v>2021.009F.R.Botourmiaviridae_6newgen_109newsp.zip</v>
      </c>
      <c r="U10783" s="29" t="str">
        <f>HYPERLINK("https://ictv.global/taxonomy/taxondetails?taxnode_id=202312560","ictv.global=202312560")</f>
        <v>ictv.global=202312560</v>
      </c>
    </row>
    <row r="10784" spans="1:21">
      <c r="A10784">
        <v>10783</v>
      </c>
      <c r="B10784" s="30" t="s">
        <v>1226</v>
      </c>
      <c r="D10784" s="30" t="s">
        <v>2024</v>
      </c>
      <c r="F10784" s="30" t="s">
        <v>2046</v>
      </c>
      <c r="H10784" s="30" t="s">
        <v>2052</v>
      </c>
      <c r="J10784" s="30" t="s">
        <v>2053</v>
      </c>
      <c r="L10784" s="30" t="s">
        <v>1290</v>
      </c>
      <c r="N10784" s="30" t="s">
        <v>9557</v>
      </c>
      <c r="P10784" s="30" t="s">
        <v>9562</v>
      </c>
      <c r="Q10784" t="s">
        <v>621</v>
      </c>
      <c r="R10784" t="s">
        <v>917</v>
      </c>
      <c r="S10784">
        <v>37</v>
      </c>
      <c r="T10784" s="29" t="str">
        <f t="shared" si="448"/>
        <v>2021.009F.R.Botourmiaviridae_6newgen_109newsp.zip</v>
      </c>
      <c r="U10784" s="29" t="str">
        <f>HYPERLINK("https://ictv.global/taxonomy/taxondetails?taxnode_id=202312561","ictv.global=202312561")</f>
        <v>ictv.global=202312561</v>
      </c>
    </row>
    <row r="10785" spans="1:21">
      <c r="A10785">
        <v>10784</v>
      </c>
      <c r="B10785" s="30" t="s">
        <v>1226</v>
      </c>
      <c r="D10785" s="30" t="s">
        <v>2024</v>
      </c>
      <c r="F10785" s="30" t="s">
        <v>2046</v>
      </c>
      <c r="H10785" s="30" t="s">
        <v>2052</v>
      </c>
      <c r="J10785" s="30" t="s">
        <v>2053</v>
      </c>
      <c r="L10785" s="30" t="s">
        <v>1290</v>
      </c>
      <c r="N10785" s="30" t="s">
        <v>9557</v>
      </c>
      <c r="P10785" s="30" t="s">
        <v>9563</v>
      </c>
      <c r="Q10785" t="s">
        <v>621</v>
      </c>
      <c r="R10785" t="s">
        <v>917</v>
      </c>
      <c r="S10785">
        <v>37</v>
      </c>
      <c r="T10785" s="29" t="str">
        <f t="shared" si="448"/>
        <v>2021.009F.R.Botourmiaviridae_6newgen_109newsp.zip</v>
      </c>
      <c r="U10785" s="29" t="str">
        <f>HYPERLINK("https://ictv.global/taxonomy/taxondetails?taxnode_id=202312563","ictv.global=202312563")</f>
        <v>ictv.global=202312563</v>
      </c>
    </row>
    <row r="10786" spans="1:21">
      <c r="A10786">
        <v>10785</v>
      </c>
      <c r="B10786" s="30" t="s">
        <v>1226</v>
      </c>
      <c r="D10786" s="30" t="s">
        <v>2024</v>
      </c>
      <c r="F10786" s="30" t="s">
        <v>2046</v>
      </c>
      <c r="H10786" s="30" t="s">
        <v>2052</v>
      </c>
      <c r="J10786" s="30" t="s">
        <v>2053</v>
      </c>
      <c r="L10786" s="30" t="s">
        <v>1290</v>
      </c>
      <c r="N10786" s="30" t="s">
        <v>9557</v>
      </c>
      <c r="P10786" s="30" t="s">
        <v>9564</v>
      </c>
      <c r="Q10786" t="s">
        <v>621</v>
      </c>
      <c r="R10786" t="s">
        <v>917</v>
      </c>
      <c r="S10786">
        <v>37</v>
      </c>
      <c r="T10786" s="29" t="str">
        <f t="shared" si="448"/>
        <v>2021.009F.R.Botourmiaviridae_6newgen_109newsp.zip</v>
      </c>
      <c r="U10786" s="29" t="str">
        <f>HYPERLINK("https://ictv.global/taxonomy/taxondetails?taxnode_id=202312559","ictv.global=202312559")</f>
        <v>ictv.global=202312559</v>
      </c>
    </row>
    <row r="10787" spans="1:21">
      <c r="A10787">
        <v>10786</v>
      </c>
      <c r="B10787" s="30" t="s">
        <v>1226</v>
      </c>
      <c r="D10787" s="30" t="s">
        <v>2024</v>
      </c>
      <c r="F10787" s="30" t="s">
        <v>2046</v>
      </c>
      <c r="H10787" s="30" t="s">
        <v>2052</v>
      </c>
      <c r="J10787" s="30" t="s">
        <v>2053</v>
      </c>
      <c r="L10787" s="30" t="s">
        <v>1290</v>
      </c>
      <c r="N10787" s="30" t="s">
        <v>9557</v>
      </c>
      <c r="P10787" s="30" t="s">
        <v>9565</v>
      </c>
      <c r="Q10787" t="s">
        <v>621</v>
      </c>
      <c r="R10787" t="s">
        <v>917</v>
      </c>
      <c r="S10787">
        <v>37</v>
      </c>
      <c r="T10787" s="29" t="str">
        <f t="shared" si="448"/>
        <v>2021.009F.R.Botourmiaviridae_6newgen_109newsp.zip</v>
      </c>
      <c r="U10787" s="29" t="str">
        <f>HYPERLINK("https://ictv.global/taxonomy/taxondetails?taxnode_id=202312565","ictv.global=202312565")</f>
        <v>ictv.global=202312565</v>
      </c>
    </row>
    <row r="10788" spans="1:21">
      <c r="A10788">
        <v>10787</v>
      </c>
      <c r="B10788" s="30" t="s">
        <v>1226</v>
      </c>
      <c r="D10788" s="30" t="s">
        <v>2024</v>
      </c>
      <c r="F10788" s="30" t="s">
        <v>2046</v>
      </c>
      <c r="H10788" s="30" t="s">
        <v>2052</v>
      </c>
      <c r="J10788" s="30" t="s">
        <v>2053</v>
      </c>
      <c r="L10788" s="30" t="s">
        <v>1290</v>
      </c>
      <c r="N10788" s="30" t="s">
        <v>9557</v>
      </c>
      <c r="P10788" s="30" t="s">
        <v>9566</v>
      </c>
      <c r="Q10788" t="s">
        <v>621</v>
      </c>
      <c r="R10788" t="s">
        <v>917</v>
      </c>
      <c r="S10788">
        <v>37</v>
      </c>
      <c r="T10788" s="29" t="str">
        <f t="shared" si="448"/>
        <v>2021.009F.R.Botourmiaviridae_6newgen_109newsp.zip</v>
      </c>
      <c r="U10788" s="29" t="str">
        <f>HYPERLINK("https://ictv.global/taxonomy/taxondetails?taxnode_id=202312566","ictv.global=202312566")</f>
        <v>ictv.global=202312566</v>
      </c>
    </row>
    <row r="10789" spans="1:21">
      <c r="A10789">
        <v>10788</v>
      </c>
      <c r="B10789" s="30" t="s">
        <v>1226</v>
      </c>
      <c r="D10789" s="30" t="s">
        <v>2024</v>
      </c>
      <c r="F10789" s="30" t="s">
        <v>2046</v>
      </c>
      <c r="H10789" s="30" t="s">
        <v>2052</v>
      </c>
      <c r="J10789" s="30" t="s">
        <v>2053</v>
      </c>
      <c r="L10789" s="30" t="s">
        <v>1290</v>
      </c>
      <c r="N10789" s="30" t="s">
        <v>9557</v>
      </c>
      <c r="P10789" s="30" t="s">
        <v>9567</v>
      </c>
      <c r="Q10789" t="s">
        <v>621</v>
      </c>
      <c r="R10789" t="s">
        <v>917</v>
      </c>
      <c r="S10789">
        <v>37</v>
      </c>
      <c r="T10789" s="29" t="str">
        <f t="shared" si="448"/>
        <v>2021.009F.R.Botourmiaviridae_6newgen_109newsp.zip</v>
      </c>
      <c r="U10789" s="29" t="str">
        <f>HYPERLINK("https://ictv.global/taxonomy/taxondetails?taxnode_id=202312567","ictv.global=202312567")</f>
        <v>ictv.global=202312567</v>
      </c>
    </row>
    <row r="10790" spans="1:21">
      <c r="A10790">
        <v>10789</v>
      </c>
      <c r="B10790" s="30" t="s">
        <v>1226</v>
      </c>
      <c r="D10790" s="30" t="s">
        <v>2024</v>
      </c>
      <c r="F10790" s="30" t="s">
        <v>2046</v>
      </c>
      <c r="H10790" s="30" t="s">
        <v>2052</v>
      </c>
      <c r="J10790" s="30" t="s">
        <v>2053</v>
      </c>
      <c r="L10790" s="30" t="s">
        <v>1290</v>
      </c>
      <c r="N10790" s="30" t="s">
        <v>9557</v>
      </c>
      <c r="P10790" s="30" t="s">
        <v>9568</v>
      </c>
      <c r="Q10790" t="s">
        <v>621</v>
      </c>
      <c r="R10790" t="s">
        <v>917</v>
      </c>
      <c r="S10790">
        <v>37</v>
      </c>
      <c r="T10790" s="29" t="str">
        <f t="shared" si="448"/>
        <v>2021.009F.R.Botourmiaviridae_6newgen_109newsp.zip</v>
      </c>
      <c r="U10790" s="29" t="str">
        <f>HYPERLINK("https://ictv.global/taxonomy/taxondetails?taxnode_id=202312568","ictv.global=202312568")</f>
        <v>ictv.global=202312568</v>
      </c>
    </row>
    <row r="10791" spans="1:21">
      <c r="A10791">
        <v>10790</v>
      </c>
      <c r="B10791" s="30" t="s">
        <v>1226</v>
      </c>
      <c r="D10791" s="30" t="s">
        <v>2024</v>
      </c>
      <c r="F10791" s="30" t="s">
        <v>2046</v>
      </c>
      <c r="H10791" s="30" t="s">
        <v>2052</v>
      </c>
      <c r="J10791" s="30" t="s">
        <v>2053</v>
      </c>
      <c r="L10791" s="30" t="s">
        <v>1290</v>
      </c>
      <c r="N10791" s="30" t="s">
        <v>9557</v>
      </c>
      <c r="P10791" s="30" t="s">
        <v>9569</v>
      </c>
      <c r="Q10791" t="s">
        <v>621</v>
      </c>
      <c r="R10791" t="s">
        <v>918</v>
      </c>
      <c r="S10791">
        <v>37</v>
      </c>
      <c r="T10791" s="29" t="str">
        <f t="shared" si="448"/>
        <v>2021.009F.R.Botourmiaviridae_6newgen_109newsp.zip</v>
      </c>
      <c r="U10791" s="29" t="str">
        <f>HYPERLINK("https://ictv.global/taxonomy/taxondetails?taxnode_id=202308731","ictv.global=202308731")</f>
        <v>ictv.global=202308731</v>
      </c>
    </row>
    <row r="10792" spans="1:21">
      <c r="A10792">
        <v>10791</v>
      </c>
      <c r="B10792" s="30" t="s">
        <v>1226</v>
      </c>
      <c r="D10792" s="30" t="s">
        <v>2024</v>
      </c>
      <c r="F10792" s="30" t="s">
        <v>2046</v>
      </c>
      <c r="H10792" s="30" t="s">
        <v>2052</v>
      </c>
      <c r="J10792" s="30" t="s">
        <v>2053</v>
      </c>
      <c r="L10792" s="30" t="s">
        <v>1290</v>
      </c>
      <c r="N10792" s="30" t="s">
        <v>9557</v>
      </c>
      <c r="P10792" s="30" t="s">
        <v>9570</v>
      </c>
      <c r="Q10792" t="s">
        <v>621</v>
      </c>
      <c r="R10792" t="s">
        <v>917</v>
      </c>
      <c r="S10792">
        <v>37</v>
      </c>
      <c r="T10792" s="29" t="str">
        <f t="shared" si="448"/>
        <v>2021.009F.R.Botourmiaviridae_6newgen_109newsp.zip</v>
      </c>
      <c r="U10792" s="29" t="str">
        <f>HYPERLINK("https://ictv.global/taxonomy/taxondetails?taxnode_id=202312564","ictv.global=202312564")</f>
        <v>ictv.global=202312564</v>
      </c>
    </row>
    <row r="10793" spans="1:21">
      <c r="A10793">
        <v>10792</v>
      </c>
      <c r="B10793" s="30" t="s">
        <v>1226</v>
      </c>
      <c r="D10793" s="30" t="s">
        <v>2024</v>
      </c>
      <c r="F10793" s="30" t="s">
        <v>2046</v>
      </c>
      <c r="H10793" s="30" t="s">
        <v>2052</v>
      </c>
      <c r="J10793" s="30" t="s">
        <v>2053</v>
      </c>
      <c r="L10793" s="30" t="s">
        <v>1290</v>
      </c>
      <c r="N10793" s="30" t="s">
        <v>9557</v>
      </c>
      <c r="P10793" s="30" t="s">
        <v>9571</v>
      </c>
      <c r="Q10793" t="s">
        <v>621</v>
      </c>
      <c r="R10793" t="s">
        <v>917</v>
      </c>
      <c r="S10793">
        <v>37</v>
      </c>
      <c r="T10793" s="29" t="str">
        <f t="shared" si="448"/>
        <v>2021.009F.R.Botourmiaviridae_6newgen_109newsp.zip</v>
      </c>
      <c r="U10793" s="29" t="str">
        <f>HYPERLINK("https://ictv.global/taxonomy/taxondetails?taxnode_id=202312562","ictv.global=202312562")</f>
        <v>ictv.global=202312562</v>
      </c>
    </row>
    <row r="10794" spans="1:21">
      <c r="A10794">
        <v>10793</v>
      </c>
      <c r="B10794" s="30" t="s">
        <v>1226</v>
      </c>
      <c r="D10794" s="30" t="s">
        <v>2024</v>
      </c>
      <c r="F10794" s="30" t="s">
        <v>2046</v>
      </c>
      <c r="H10794" s="30" t="s">
        <v>2052</v>
      </c>
      <c r="J10794" s="30" t="s">
        <v>2053</v>
      </c>
      <c r="L10794" s="30" t="s">
        <v>1290</v>
      </c>
      <c r="N10794" s="30" t="s">
        <v>1291</v>
      </c>
      <c r="P10794" s="30" t="s">
        <v>9572</v>
      </c>
      <c r="Q10794" t="s">
        <v>621</v>
      </c>
      <c r="R10794" t="s">
        <v>917</v>
      </c>
      <c r="S10794">
        <v>37</v>
      </c>
      <c r="T10794" s="29" t="str">
        <f t="shared" si="448"/>
        <v>2021.009F.R.Botourmiaviridae_6newgen_109newsp.zip</v>
      </c>
      <c r="U10794" s="29" t="str">
        <f>HYPERLINK("https://ictv.global/taxonomy/taxondetails?taxnode_id=202312540","ictv.global=202312540")</f>
        <v>ictv.global=202312540</v>
      </c>
    </row>
    <row r="10795" spans="1:21">
      <c r="A10795">
        <v>10794</v>
      </c>
      <c r="B10795" s="30" t="s">
        <v>1226</v>
      </c>
      <c r="D10795" s="30" t="s">
        <v>2024</v>
      </c>
      <c r="F10795" s="30" t="s">
        <v>2046</v>
      </c>
      <c r="H10795" s="30" t="s">
        <v>2052</v>
      </c>
      <c r="J10795" s="30" t="s">
        <v>2053</v>
      </c>
      <c r="L10795" s="30" t="s">
        <v>1290</v>
      </c>
      <c r="N10795" s="30" t="s">
        <v>1291</v>
      </c>
      <c r="P10795" s="30" t="s">
        <v>9573</v>
      </c>
      <c r="Q10795" t="s">
        <v>621</v>
      </c>
      <c r="R10795" t="s">
        <v>917</v>
      </c>
      <c r="S10795">
        <v>38</v>
      </c>
      <c r="T10795" s="29" t="str">
        <f>HYPERLINK("https://ictv.global/ictv/proposals/2022.003F.Botourmiaviridae_15nsp.zip","2022.003F.Botourmiaviridae_15nsp.zip")</f>
        <v>2022.003F.Botourmiaviridae_15nsp.zip</v>
      </c>
      <c r="U10795" s="29" t="str">
        <f>HYPERLINK("https://ictv.global/taxonomy/taxondetails?taxnode_id=202315007","ictv.global=202315007")</f>
        <v>ictv.global=202315007</v>
      </c>
    </row>
    <row r="10796" spans="1:21">
      <c r="A10796">
        <v>10795</v>
      </c>
      <c r="B10796" s="30" t="s">
        <v>1226</v>
      </c>
      <c r="D10796" s="30" t="s">
        <v>2024</v>
      </c>
      <c r="F10796" s="30" t="s">
        <v>2046</v>
      </c>
      <c r="H10796" s="30" t="s">
        <v>2052</v>
      </c>
      <c r="J10796" s="30" t="s">
        <v>2053</v>
      </c>
      <c r="L10796" s="30" t="s">
        <v>1290</v>
      </c>
      <c r="N10796" s="30" t="s">
        <v>1291</v>
      </c>
      <c r="P10796" s="30" t="s">
        <v>9574</v>
      </c>
      <c r="Q10796" t="s">
        <v>621</v>
      </c>
      <c r="R10796" t="s">
        <v>917</v>
      </c>
      <c r="S10796">
        <v>37</v>
      </c>
      <c r="T10796" s="29" t="str">
        <f t="shared" ref="T10796:T10806" si="449">HYPERLINK("https://ictv.global/ictv/proposals/2021.009F.R.Botourmiaviridae_6newgen_109newsp.zip","2021.009F.R.Botourmiaviridae_6newgen_109newsp.zip")</f>
        <v>2021.009F.R.Botourmiaviridae_6newgen_109newsp.zip</v>
      </c>
      <c r="U10796" s="29" t="str">
        <f>HYPERLINK("https://ictv.global/taxonomy/taxondetails?taxnode_id=202312548","ictv.global=202312548")</f>
        <v>ictv.global=202312548</v>
      </c>
    </row>
    <row r="10797" spans="1:21">
      <c r="A10797">
        <v>10796</v>
      </c>
      <c r="B10797" s="30" t="s">
        <v>1226</v>
      </c>
      <c r="D10797" s="30" t="s">
        <v>2024</v>
      </c>
      <c r="F10797" s="30" t="s">
        <v>2046</v>
      </c>
      <c r="H10797" s="30" t="s">
        <v>2052</v>
      </c>
      <c r="J10797" s="30" t="s">
        <v>2053</v>
      </c>
      <c r="L10797" s="30" t="s">
        <v>1290</v>
      </c>
      <c r="N10797" s="30" t="s">
        <v>1291</v>
      </c>
      <c r="P10797" s="30" t="s">
        <v>9575</v>
      </c>
      <c r="Q10797" t="s">
        <v>621</v>
      </c>
      <c r="R10797" t="s">
        <v>917</v>
      </c>
      <c r="S10797">
        <v>37</v>
      </c>
      <c r="T10797" s="29" t="str">
        <f t="shared" si="449"/>
        <v>2021.009F.R.Botourmiaviridae_6newgen_109newsp.zip</v>
      </c>
      <c r="U10797" s="29" t="str">
        <f>HYPERLINK("https://ictv.global/taxonomy/taxondetails?taxnode_id=202312541","ictv.global=202312541")</f>
        <v>ictv.global=202312541</v>
      </c>
    </row>
    <row r="10798" spans="1:21">
      <c r="A10798">
        <v>10797</v>
      </c>
      <c r="B10798" s="30" t="s">
        <v>1226</v>
      </c>
      <c r="D10798" s="30" t="s">
        <v>2024</v>
      </c>
      <c r="F10798" s="30" t="s">
        <v>2046</v>
      </c>
      <c r="H10798" s="30" t="s">
        <v>2052</v>
      </c>
      <c r="J10798" s="30" t="s">
        <v>2053</v>
      </c>
      <c r="L10798" s="30" t="s">
        <v>1290</v>
      </c>
      <c r="N10798" s="30" t="s">
        <v>1291</v>
      </c>
      <c r="P10798" s="30" t="s">
        <v>9576</v>
      </c>
      <c r="Q10798" t="s">
        <v>621</v>
      </c>
      <c r="R10798" t="s">
        <v>917</v>
      </c>
      <c r="S10798">
        <v>37</v>
      </c>
      <c r="T10798" s="29" t="str">
        <f t="shared" si="449"/>
        <v>2021.009F.R.Botourmiaviridae_6newgen_109newsp.zip</v>
      </c>
      <c r="U10798" s="29" t="str">
        <f>HYPERLINK("https://ictv.global/taxonomy/taxondetails?taxnode_id=202312549","ictv.global=202312549")</f>
        <v>ictv.global=202312549</v>
      </c>
    </row>
    <row r="10799" spans="1:21">
      <c r="A10799">
        <v>10798</v>
      </c>
      <c r="B10799" s="30" t="s">
        <v>1226</v>
      </c>
      <c r="D10799" s="30" t="s">
        <v>2024</v>
      </c>
      <c r="F10799" s="30" t="s">
        <v>2046</v>
      </c>
      <c r="H10799" s="30" t="s">
        <v>2052</v>
      </c>
      <c r="J10799" s="30" t="s">
        <v>2053</v>
      </c>
      <c r="L10799" s="30" t="s">
        <v>1290</v>
      </c>
      <c r="N10799" s="30" t="s">
        <v>1291</v>
      </c>
      <c r="P10799" s="30" t="s">
        <v>9577</v>
      </c>
      <c r="Q10799" t="s">
        <v>621</v>
      </c>
      <c r="R10799" t="s">
        <v>917</v>
      </c>
      <c r="S10799">
        <v>37</v>
      </c>
      <c r="T10799" s="29" t="str">
        <f t="shared" si="449"/>
        <v>2021.009F.R.Botourmiaviridae_6newgen_109newsp.zip</v>
      </c>
      <c r="U10799" s="29" t="str">
        <f>HYPERLINK("https://ictv.global/taxonomy/taxondetails?taxnode_id=202312543","ictv.global=202312543")</f>
        <v>ictv.global=202312543</v>
      </c>
    </row>
    <row r="10800" spans="1:21">
      <c r="A10800">
        <v>10799</v>
      </c>
      <c r="B10800" s="30" t="s">
        <v>1226</v>
      </c>
      <c r="D10800" s="30" t="s">
        <v>2024</v>
      </c>
      <c r="F10800" s="30" t="s">
        <v>2046</v>
      </c>
      <c r="H10800" s="30" t="s">
        <v>2052</v>
      </c>
      <c r="J10800" s="30" t="s">
        <v>2053</v>
      </c>
      <c r="L10800" s="30" t="s">
        <v>1290</v>
      </c>
      <c r="N10800" s="30" t="s">
        <v>1291</v>
      </c>
      <c r="P10800" s="30" t="s">
        <v>9578</v>
      </c>
      <c r="Q10800" t="s">
        <v>621</v>
      </c>
      <c r="R10800" t="s">
        <v>917</v>
      </c>
      <c r="S10800">
        <v>37</v>
      </c>
      <c r="T10800" s="29" t="str">
        <f t="shared" si="449"/>
        <v>2021.009F.R.Botourmiaviridae_6newgen_109newsp.zip</v>
      </c>
      <c r="U10800" s="29" t="str">
        <f>HYPERLINK("https://ictv.global/taxonomy/taxondetails?taxnode_id=202312551","ictv.global=202312551")</f>
        <v>ictv.global=202312551</v>
      </c>
    </row>
    <row r="10801" spans="1:21">
      <c r="A10801">
        <v>10800</v>
      </c>
      <c r="B10801" s="30" t="s">
        <v>1226</v>
      </c>
      <c r="D10801" s="30" t="s">
        <v>2024</v>
      </c>
      <c r="F10801" s="30" t="s">
        <v>2046</v>
      </c>
      <c r="H10801" s="30" t="s">
        <v>2052</v>
      </c>
      <c r="J10801" s="30" t="s">
        <v>2053</v>
      </c>
      <c r="L10801" s="30" t="s">
        <v>1290</v>
      </c>
      <c r="N10801" s="30" t="s">
        <v>1291</v>
      </c>
      <c r="P10801" s="30" t="s">
        <v>9579</v>
      </c>
      <c r="Q10801" t="s">
        <v>621</v>
      </c>
      <c r="R10801" t="s">
        <v>917</v>
      </c>
      <c r="S10801">
        <v>37</v>
      </c>
      <c r="T10801" s="29" t="str">
        <f t="shared" si="449"/>
        <v>2021.009F.R.Botourmiaviridae_6newgen_109newsp.zip</v>
      </c>
      <c r="U10801" s="29" t="str">
        <f>HYPERLINK("https://ictv.global/taxonomy/taxondetails?taxnode_id=202312544","ictv.global=202312544")</f>
        <v>ictv.global=202312544</v>
      </c>
    </row>
    <row r="10802" spans="1:21">
      <c r="A10802">
        <v>10801</v>
      </c>
      <c r="B10802" s="30" t="s">
        <v>1226</v>
      </c>
      <c r="D10802" s="30" t="s">
        <v>2024</v>
      </c>
      <c r="F10802" s="30" t="s">
        <v>2046</v>
      </c>
      <c r="H10802" s="30" t="s">
        <v>2052</v>
      </c>
      <c r="J10802" s="30" t="s">
        <v>2053</v>
      </c>
      <c r="L10802" s="30" t="s">
        <v>1290</v>
      </c>
      <c r="N10802" s="30" t="s">
        <v>1291</v>
      </c>
      <c r="P10802" s="30" t="s">
        <v>9580</v>
      </c>
      <c r="Q10802" t="s">
        <v>621</v>
      </c>
      <c r="R10802" t="s">
        <v>917</v>
      </c>
      <c r="S10802">
        <v>37</v>
      </c>
      <c r="T10802" s="29" t="str">
        <f t="shared" si="449"/>
        <v>2021.009F.R.Botourmiaviridae_6newgen_109newsp.zip</v>
      </c>
      <c r="U10802" s="29" t="str">
        <f>HYPERLINK("https://ictv.global/taxonomy/taxondetails?taxnode_id=202312552","ictv.global=202312552")</f>
        <v>ictv.global=202312552</v>
      </c>
    </row>
    <row r="10803" spans="1:21">
      <c r="A10803">
        <v>10802</v>
      </c>
      <c r="B10803" s="30" t="s">
        <v>1226</v>
      </c>
      <c r="D10803" s="30" t="s">
        <v>2024</v>
      </c>
      <c r="F10803" s="30" t="s">
        <v>2046</v>
      </c>
      <c r="H10803" s="30" t="s">
        <v>2052</v>
      </c>
      <c r="J10803" s="30" t="s">
        <v>2053</v>
      </c>
      <c r="L10803" s="30" t="s">
        <v>1290</v>
      </c>
      <c r="N10803" s="30" t="s">
        <v>1291</v>
      </c>
      <c r="P10803" s="30" t="s">
        <v>9581</v>
      </c>
      <c r="Q10803" t="s">
        <v>621</v>
      </c>
      <c r="R10803" t="s">
        <v>917</v>
      </c>
      <c r="S10803">
        <v>37</v>
      </c>
      <c r="T10803" s="29" t="str">
        <f t="shared" si="449"/>
        <v>2021.009F.R.Botourmiaviridae_6newgen_109newsp.zip</v>
      </c>
      <c r="U10803" s="29" t="str">
        <f>HYPERLINK("https://ictv.global/taxonomy/taxondetails?taxnode_id=202312546","ictv.global=202312546")</f>
        <v>ictv.global=202312546</v>
      </c>
    </row>
    <row r="10804" spans="1:21">
      <c r="A10804">
        <v>10803</v>
      </c>
      <c r="B10804" s="30" t="s">
        <v>1226</v>
      </c>
      <c r="D10804" s="30" t="s">
        <v>2024</v>
      </c>
      <c r="F10804" s="30" t="s">
        <v>2046</v>
      </c>
      <c r="H10804" s="30" t="s">
        <v>2052</v>
      </c>
      <c r="J10804" s="30" t="s">
        <v>2053</v>
      </c>
      <c r="L10804" s="30" t="s">
        <v>1290</v>
      </c>
      <c r="N10804" s="30" t="s">
        <v>1291</v>
      </c>
      <c r="P10804" s="30" t="s">
        <v>9582</v>
      </c>
      <c r="Q10804" t="s">
        <v>621</v>
      </c>
      <c r="R10804" t="s">
        <v>917</v>
      </c>
      <c r="S10804">
        <v>37</v>
      </c>
      <c r="T10804" s="29" t="str">
        <f t="shared" si="449"/>
        <v>2021.009F.R.Botourmiaviridae_6newgen_109newsp.zip</v>
      </c>
      <c r="U10804" s="29" t="str">
        <f>HYPERLINK("https://ictv.global/taxonomy/taxondetails?taxnode_id=202312554","ictv.global=202312554")</f>
        <v>ictv.global=202312554</v>
      </c>
    </row>
    <row r="10805" spans="1:21">
      <c r="A10805">
        <v>10804</v>
      </c>
      <c r="B10805" s="30" t="s">
        <v>1226</v>
      </c>
      <c r="D10805" s="30" t="s">
        <v>2024</v>
      </c>
      <c r="F10805" s="30" t="s">
        <v>2046</v>
      </c>
      <c r="H10805" s="30" t="s">
        <v>2052</v>
      </c>
      <c r="J10805" s="30" t="s">
        <v>2053</v>
      </c>
      <c r="L10805" s="30" t="s">
        <v>1290</v>
      </c>
      <c r="N10805" s="30" t="s">
        <v>1291</v>
      </c>
      <c r="P10805" s="30" t="s">
        <v>9583</v>
      </c>
      <c r="Q10805" t="s">
        <v>621</v>
      </c>
      <c r="R10805" t="s">
        <v>917</v>
      </c>
      <c r="S10805">
        <v>37</v>
      </c>
      <c r="T10805" s="29" t="str">
        <f t="shared" si="449"/>
        <v>2021.009F.R.Botourmiaviridae_6newgen_109newsp.zip</v>
      </c>
      <c r="U10805" s="29" t="str">
        <f>HYPERLINK("https://ictv.global/taxonomy/taxondetails?taxnode_id=202312542","ictv.global=202312542")</f>
        <v>ictv.global=202312542</v>
      </c>
    </row>
    <row r="10806" spans="1:21">
      <c r="A10806">
        <v>10805</v>
      </c>
      <c r="B10806" s="30" t="s">
        <v>1226</v>
      </c>
      <c r="D10806" s="30" t="s">
        <v>2024</v>
      </c>
      <c r="F10806" s="30" t="s">
        <v>2046</v>
      </c>
      <c r="H10806" s="30" t="s">
        <v>2052</v>
      </c>
      <c r="J10806" s="30" t="s">
        <v>2053</v>
      </c>
      <c r="L10806" s="30" t="s">
        <v>1290</v>
      </c>
      <c r="N10806" s="30" t="s">
        <v>1291</v>
      </c>
      <c r="P10806" s="30" t="s">
        <v>9584</v>
      </c>
      <c r="Q10806" t="s">
        <v>621</v>
      </c>
      <c r="R10806" t="s">
        <v>917</v>
      </c>
      <c r="S10806">
        <v>37</v>
      </c>
      <c r="T10806" s="29" t="str">
        <f t="shared" si="449"/>
        <v>2021.009F.R.Botourmiaviridae_6newgen_109newsp.zip</v>
      </c>
      <c r="U10806" s="29" t="str">
        <f>HYPERLINK("https://ictv.global/taxonomy/taxondetails?taxnode_id=202312550","ictv.global=202312550")</f>
        <v>ictv.global=202312550</v>
      </c>
    </row>
    <row r="10807" spans="1:21">
      <c r="A10807">
        <v>10806</v>
      </c>
      <c r="B10807" s="30" t="s">
        <v>1226</v>
      </c>
      <c r="D10807" s="30" t="s">
        <v>2024</v>
      </c>
      <c r="F10807" s="30" t="s">
        <v>2046</v>
      </c>
      <c r="H10807" s="30" t="s">
        <v>2052</v>
      </c>
      <c r="J10807" s="30" t="s">
        <v>2053</v>
      </c>
      <c r="L10807" s="30" t="s">
        <v>1290</v>
      </c>
      <c r="N10807" s="30" t="s">
        <v>1291</v>
      </c>
      <c r="P10807" s="30" t="s">
        <v>9585</v>
      </c>
      <c r="Q10807" t="s">
        <v>621</v>
      </c>
      <c r="R10807" t="s">
        <v>917</v>
      </c>
      <c r="S10807">
        <v>38</v>
      </c>
      <c r="T10807" s="29" t="str">
        <f>HYPERLINK("https://ictv.global/ictv/proposals/2022.003F.Botourmiaviridae_15nsp.zip","2022.003F.Botourmiaviridae_15nsp.zip")</f>
        <v>2022.003F.Botourmiaviridae_15nsp.zip</v>
      </c>
      <c r="U10807" s="29" t="str">
        <f>HYPERLINK("https://ictv.global/taxonomy/taxondetails?taxnode_id=202315005","ictv.global=202315005")</f>
        <v>ictv.global=202315005</v>
      </c>
    </row>
    <row r="10808" spans="1:21">
      <c r="A10808">
        <v>10807</v>
      </c>
      <c r="B10808" s="30" t="s">
        <v>1226</v>
      </c>
      <c r="D10808" s="30" t="s">
        <v>2024</v>
      </c>
      <c r="F10808" s="30" t="s">
        <v>2046</v>
      </c>
      <c r="H10808" s="30" t="s">
        <v>2052</v>
      </c>
      <c r="J10808" s="30" t="s">
        <v>2053</v>
      </c>
      <c r="L10808" s="30" t="s">
        <v>1290</v>
      </c>
      <c r="N10808" s="30" t="s">
        <v>1291</v>
      </c>
      <c r="P10808" s="30" t="s">
        <v>9586</v>
      </c>
      <c r="Q10808" t="s">
        <v>621</v>
      </c>
      <c r="R10808" t="s">
        <v>917</v>
      </c>
      <c r="S10808">
        <v>38</v>
      </c>
      <c r="T10808" s="29" t="str">
        <f>HYPERLINK("https://ictv.global/ictv/proposals/2022.003F.Botourmiaviridae_15nsp.zip","2022.003F.Botourmiaviridae_15nsp.zip")</f>
        <v>2022.003F.Botourmiaviridae_15nsp.zip</v>
      </c>
      <c r="U10808" s="29" t="str">
        <f>HYPERLINK("https://ictv.global/taxonomy/taxondetails?taxnode_id=202315006","ictv.global=202315006")</f>
        <v>ictv.global=202315006</v>
      </c>
    </row>
    <row r="10809" spans="1:21">
      <c r="A10809">
        <v>10808</v>
      </c>
      <c r="B10809" s="30" t="s">
        <v>1226</v>
      </c>
      <c r="D10809" s="30" t="s">
        <v>2024</v>
      </c>
      <c r="F10809" s="30" t="s">
        <v>2046</v>
      </c>
      <c r="H10809" s="30" t="s">
        <v>2052</v>
      </c>
      <c r="J10809" s="30" t="s">
        <v>2053</v>
      </c>
      <c r="L10809" s="30" t="s">
        <v>1290</v>
      </c>
      <c r="N10809" s="30" t="s">
        <v>1291</v>
      </c>
      <c r="P10809" s="30" t="s">
        <v>9587</v>
      </c>
      <c r="Q10809" t="s">
        <v>621</v>
      </c>
      <c r="R10809" t="s">
        <v>917</v>
      </c>
      <c r="S10809">
        <v>37</v>
      </c>
      <c r="T10809" s="29" t="str">
        <f>HYPERLINK("https://ictv.global/ictv/proposals/2021.009F.R.Botourmiaviridae_6newgen_109newsp.zip","2021.009F.R.Botourmiaviridae_6newgen_109newsp.zip")</f>
        <v>2021.009F.R.Botourmiaviridae_6newgen_109newsp.zip</v>
      </c>
      <c r="U10809" s="29" t="str">
        <f>HYPERLINK("https://ictv.global/taxonomy/taxondetails?taxnode_id=202312547","ictv.global=202312547")</f>
        <v>ictv.global=202312547</v>
      </c>
    </row>
    <row r="10810" spans="1:21">
      <c r="A10810">
        <v>10809</v>
      </c>
      <c r="B10810" s="30" t="s">
        <v>1226</v>
      </c>
      <c r="D10810" s="30" t="s">
        <v>2024</v>
      </c>
      <c r="F10810" s="30" t="s">
        <v>2046</v>
      </c>
      <c r="H10810" s="30" t="s">
        <v>2052</v>
      </c>
      <c r="J10810" s="30" t="s">
        <v>2053</v>
      </c>
      <c r="L10810" s="30" t="s">
        <v>1290</v>
      </c>
      <c r="N10810" s="30" t="s">
        <v>1291</v>
      </c>
      <c r="P10810" s="30" t="s">
        <v>9588</v>
      </c>
      <c r="Q10810" t="s">
        <v>621</v>
      </c>
      <c r="R10810" t="s">
        <v>917</v>
      </c>
      <c r="S10810">
        <v>37</v>
      </c>
      <c r="T10810" s="29" t="str">
        <f>HYPERLINK("https://ictv.global/ictv/proposals/2021.009F.R.Botourmiaviridae_6newgen_109newsp.zip","2021.009F.R.Botourmiaviridae_6newgen_109newsp.zip")</f>
        <v>2021.009F.R.Botourmiaviridae_6newgen_109newsp.zip</v>
      </c>
      <c r="U10810" s="29" t="str">
        <f>HYPERLINK("https://ictv.global/taxonomy/taxondetails?taxnode_id=202312545","ictv.global=202312545")</f>
        <v>ictv.global=202312545</v>
      </c>
    </row>
    <row r="10811" spans="1:21">
      <c r="A10811">
        <v>10810</v>
      </c>
      <c r="B10811" s="30" t="s">
        <v>1226</v>
      </c>
      <c r="D10811" s="30" t="s">
        <v>2024</v>
      </c>
      <c r="F10811" s="30" t="s">
        <v>2046</v>
      </c>
      <c r="H10811" s="30" t="s">
        <v>2052</v>
      </c>
      <c r="J10811" s="30" t="s">
        <v>2053</v>
      </c>
      <c r="L10811" s="30" t="s">
        <v>1290</v>
      </c>
      <c r="N10811" s="30" t="s">
        <v>1291</v>
      </c>
      <c r="P10811" s="30" t="s">
        <v>9589</v>
      </c>
      <c r="Q10811" t="s">
        <v>621</v>
      </c>
      <c r="R10811" t="s">
        <v>917</v>
      </c>
      <c r="S10811">
        <v>37</v>
      </c>
      <c r="T10811" s="29" t="str">
        <f>HYPERLINK("https://ictv.global/ictv/proposals/2021.009F.R.Botourmiaviridae_6newgen_109newsp.zip","2021.009F.R.Botourmiaviridae_6newgen_109newsp.zip")</f>
        <v>2021.009F.R.Botourmiaviridae_6newgen_109newsp.zip</v>
      </c>
      <c r="U10811" s="29" t="str">
        <f>HYPERLINK("https://ictv.global/taxonomy/taxondetails?taxnode_id=202312553","ictv.global=202312553")</f>
        <v>ictv.global=202312553</v>
      </c>
    </row>
    <row r="10812" spans="1:21">
      <c r="A10812">
        <v>10811</v>
      </c>
      <c r="B10812" s="30" t="s">
        <v>1226</v>
      </c>
      <c r="D10812" s="30" t="s">
        <v>2024</v>
      </c>
      <c r="F10812" s="30" t="s">
        <v>2046</v>
      </c>
      <c r="H10812" s="30" t="s">
        <v>2052</v>
      </c>
      <c r="J10812" s="30" t="s">
        <v>2053</v>
      </c>
      <c r="L10812" s="30" t="s">
        <v>1290</v>
      </c>
      <c r="N10812" s="30" t="s">
        <v>1291</v>
      </c>
      <c r="P10812" s="30" t="s">
        <v>1292</v>
      </c>
      <c r="Q10812" t="s">
        <v>621</v>
      </c>
      <c r="R10812" t="s">
        <v>3894</v>
      </c>
      <c r="S10812">
        <v>36</v>
      </c>
      <c r="T10812" s="29" t="str">
        <f>HYPERLINK("https://ictv.global/ictv/proposals/2020.001G.R.Abolish_type_species.pdf","2020.001G.R.Abolish_type_species.pdf")</f>
        <v>2020.001G.R.Abolish_type_species.pdf</v>
      </c>
      <c r="U10812" s="29" t="str">
        <f>HYPERLINK("https://ictv.global/taxonomy/taxondetails?taxnode_id=202306575","ictv.global=202306575")</f>
        <v>ictv.global=202306575</v>
      </c>
    </row>
    <row r="10813" spans="1:21">
      <c r="A10813">
        <v>10812</v>
      </c>
      <c r="B10813" s="30" t="s">
        <v>1226</v>
      </c>
      <c r="D10813" s="30" t="s">
        <v>2024</v>
      </c>
      <c r="F10813" s="30" t="s">
        <v>2046</v>
      </c>
      <c r="H10813" s="30" t="s">
        <v>2052</v>
      </c>
      <c r="J10813" s="30" t="s">
        <v>2053</v>
      </c>
      <c r="L10813" s="30" t="s">
        <v>1290</v>
      </c>
      <c r="N10813" s="30" t="s">
        <v>1291</v>
      </c>
      <c r="P10813" s="30" t="s">
        <v>3641</v>
      </c>
      <c r="Q10813" t="s">
        <v>621</v>
      </c>
      <c r="R10813" t="s">
        <v>917</v>
      </c>
      <c r="S10813">
        <v>36</v>
      </c>
      <c r="T10813" s="29" t="str">
        <f>HYPERLINK("https://ictv.global/ictv/proposals/2020.001F.R.Botourmiaviridae.zip","2020.001F.R.Botourmiaviridae.zip")</f>
        <v>2020.001F.R.Botourmiaviridae.zip</v>
      </c>
      <c r="U10813" s="29" t="str">
        <f>HYPERLINK("https://ictv.global/taxonomy/taxondetails?taxnode_id=202308722","ictv.global=202308722")</f>
        <v>ictv.global=202308722</v>
      </c>
    </row>
    <row r="10814" spans="1:21">
      <c r="A10814">
        <v>10813</v>
      </c>
      <c r="B10814" s="30" t="s">
        <v>1226</v>
      </c>
      <c r="D10814" s="30" t="s">
        <v>2024</v>
      </c>
      <c r="F10814" s="30" t="s">
        <v>2046</v>
      </c>
      <c r="H10814" s="30" t="s">
        <v>2052</v>
      </c>
      <c r="J10814" s="30" t="s">
        <v>2053</v>
      </c>
      <c r="L10814" s="30" t="s">
        <v>1290</v>
      </c>
      <c r="N10814" s="30" t="s">
        <v>1291</v>
      </c>
      <c r="P10814" s="30" t="s">
        <v>1293</v>
      </c>
      <c r="Q10814" t="s">
        <v>621</v>
      </c>
      <c r="R10814" t="s">
        <v>919</v>
      </c>
      <c r="S10814">
        <v>35</v>
      </c>
      <c r="T10814" s="29" t="str">
        <f>HYPERLINK("https://ictv.global/ictv/proposals/2019.006G.zip","2019.006G.zip")</f>
        <v>2019.006G.zip</v>
      </c>
      <c r="U10814" s="29" t="str">
        <f>HYPERLINK("https://ictv.global/taxonomy/taxondetails?taxnode_id=202306576","ictv.global=202306576")</f>
        <v>ictv.global=202306576</v>
      </c>
    </row>
    <row r="10815" spans="1:21">
      <c r="A10815">
        <v>10814</v>
      </c>
      <c r="B10815" s="30" t="s">
        <v>1226</v>
      </c>
      <c r="D10815" s="30" t="s">
        <v>2024</v>
      </c>
      <c r="F10815" s="30" t="s">
        <v>2046</v>
      </c>
      <c r="H10815" s="30" t="s">
        <v>2052</v>
      </c>
      <c r="J10815" s="30" t="s">
        <v>2053</v>
      </c>
      <c r="L10815" s="30" t="s">
        <v>1290</v>
      </c>
      <c r="N10815" s="30" t="s">
        <v>1291</v>
      </c>
      <c r="P10815" s="30" t="s">
        <v>3642</v>
      </c>
      <c r="Q10815" t="s">
        <v>621</v>
      </c>
      <c r="R10815" t="s">
        <v>917</v>
      </c>
      <c r="S10815">
        <v>36</v>
      </c>
      <c r="T10815" s="29" t="str">
        <f>HYPERLINK("https://ictv.global/ictv/proposals/2020.001F.R.Botourmiaviridae.zip","2020.001F.R.Botourmiaviridae.zip")</f>
        <v>2020.001F.R.Botourmiaviridae.zip</v>
      </c>
      <c r="U10815" s="29" t="str">
        <f>HYPERLINK("https://ictv.global/taxonomy/taxondetails?taxnode_id=202308721","ictv.global=202308721")</f>
        <v>ictv.global=202308721</v>
      </c>
    </row>
    <row r="10816" spans="1:21">
      <c r="A10816">
        <v>10815</v>
      </c>
      <c r="B10816" s="30" t="s">
        <v>1226</v>
      </c>
      <c r="D10816" s="30" t="s">
        <v>2024</v>
      </c>
      <c r="F10816" s="30" t="s">
        <v>2046</v>
      </c>
      <c r="H10816" s="30" t="s">
        <v>2052</v>
      </c>
      <c r="J10816" s="30" t="s">
        <v>2053</v>
      </c>
      <c r="L10816" s="30" t="s">
        <v>1290</v>
      </c>
      <c r="N10816" s="30" t="s">
        <v>9590</v>
      </c>
      <c r="P10816" s="30" t="s">
        <v>9591</v>
      </c>
      <c r="Q10816" t="s">
        <v>621</v>
      </c>
      <c r="R10816" t="s">
        <v>917</v>
      </c>
      <c r="S10816">
        <v>37</v>
      </c>
      <c r="T10816" s="29" t="str">
        <f>HYPERLINK("https://ictv.global/ictv/proposals/2021.009F.R.Botourmiaviridae_6newgen_109newsp.zip","2021.009F.R.Botourmiaviridae_6newgen_109newsp.zip")</f>
        <v>2021.009F.R.Botourmiaviridae_6newgen_109newsp.zip</v>
      </c>
      <c r="U10816" s="29" t="str">
        <f>HYPERLINK("https://ictv.global/taxonomy/taxondetails?taxnode_id=202312574","ictv.global=202312574")</f>
        <v>ictv.global=202312574</v>
      </c>
    </row>
    <row r="10817" spans="1:21">
      <c r="A10817">
        <v>10816</v>
      </c>
      <c r="B10817" s="30" t="s">
        <v>1226</v>
      </c>
      <c r="D10817" s="30" t="s">
        <v>2024</v>
      </c>
      <c r="F10817" s="30" t="s">
        <v>2046</v>
      </c>
      <c r="H10817" s="30" t="s">
        <v>2052</v>
      </c>
      <c r="J10817" s="30" t="s">
        <v>2053</v>
      </c>
      <c r="L10817" s="30" t="s">
        <v>1290</v>
      </c>
      <c r="N10817" s="30" t="s">
        <v>9590</v>
      </c>
      <c r="P10817" s="30" t="s">
        <v>9592</v>
      </c>
      <c r="Q10817" t="s">
        <v>621</v>
      </c>
      <c r="R10817" t="s">
        <v>917</v>
      </c>
      <c r="S10817">
        <v>37</v>
      </c>
      <c r="T10817" s="29" t="str">
        <f>HYPERLINK("https://ictv.global/ictv/proposals/2021.009F.R.Botourmiaviridae_6newgen_109newsp.zip","2021.009F.R.Botourmiaviridae_6newgen_109newsp.zip")</f>
        <v>2021.009F.R.Botourmiaviridae_6newgen_109newsp.zip</v>
      </c>
      <c r="U10817" s="29" t="str">
        <f>HYPERLINK("https://ictv.global/taxonomy/taxondetails?taxnode_id=202312575","ictv.global=202312575")</f>
        <v>ictv.global=202312575</v>
      </c>
    </row>
    <row r="10818" spans="1:21">
      <c r="A10818">
        <v>10817</v>
      </c>
      <c r="B10818" s="30" t="s">
        <v>1226</v>
      </c>
      <c r="D10818" s="30" t="s">
        <v>2024</v>
      </c>
      <c r="F10818" s="30" t="s">
        <v>2046</v>
      </c>
      <c r="H10818" s="30" t="s">
        <v>2052</v>
      </c>
      <c r="J10818" s="30" t="s">
        <v>2053</v>
      </c>
      <c r="L10818" s="30" t="s">
        <v>1290</v>
      </c>
      <c r="N10818" s="30" t="s">
        <v>9590</v>
      </c>
      <c r="P10818" s="30" t="s">
        <v>9593</v>
      </c>
      <c r="Q10818" t="s">
        <v>621</v>
      </c>
      <c r="R10818" t="s">
        <v>917</v>
      </c>
      <c r="S10818">
        <v>37</v>
      </c>
      <c r="T10818" s="29" t="str">
        <f>HYPERLINK("https://ictv.global/ictv/proposals/2021.009F.R.Botourmiaviridae_6newgen_109newsp.zip","2021.009F.R.Botourmiaviridae_6newgen_109newsp.zip")</f>
        <v>2021.009F.R.Botourmiaviridae_6newgen_109newsp.zip</v>
      </c>
      <c r="U10818" s="29" t="str">
        <f>HYPERLINK("https://ictv.global/taxonomy/taxondetails?taxnode_id=202312573","ictv.global=202312573")</f>
        <v>ictv.global=202312573</v>
      </c>
    </row>
    <row r="10819" spans="1:21">
      <c r="A10819">
        <v>10818</v>
      </c>
      <c r="B10819" s="30" t="s">
        <v>1226</v>
      </c>
      <c r="D10819" s="30" t="s">
        <v>2024</v>
      </c>
      <c r="F10819" s="30" t="s">
        <v>2046</v>
      </c>
      <c r="H10819" s="30" t="s">
        <v>2052</v>
      </c>
      <c r="J10819" s="30" t="s">
        <v>2053</v>
      </c>
      <c r="L10819" s="30" t="s">
        <v>1290</v>
      </c>
      <c r="N10819" s="30" t="s">
        <v>9594</v>
      </c>
      <c r="P10819" s="30" t="s">
        <v>9595</v>
      </c>
      <c r="Q10819" t="s">
        <v>621</v>
      </c>
      <c r="R10819" t="s">
        <v>917</v>
      </c>
      <c r="S10819">
        <v>38</v>
      </c>
      <c r="T10819" s="29" t="str">
        <f>HYPERLINK("https://ictv.global/ictv/proposals/2022.003F.Botourmiaviridae_15nsp.zip","2022.003F.Botourmiaviridae_15nsp.zip")</f>
        <v>2022.003F.Botourmiaviridae_15nsp.zip</v>
      </c>
      <c r="U10819" s="29" t="str">
        <f>HYPERLINK("https://ictv.global/taxonomy/taxondetails?taxnode_id=202315016","ictv.global=202315016")</f>
        <v>ictv.global=202315016</v>
      </c>
    </row>
    <row r="10820" spans="1:21">
      <c r="A10820">
        <v>10819</v>
      </c>
      <c r="B10820" s="30" t="s">
        <v>1226</v>
      </c>
      <c r="D10820" s="30" t="s">
        <v>2024</v>
      </c>
      <c r="F10820" s="30" t="s">
        <v>2046</v>
      </c>
      <c r="H10820" s="30" t="s">
        <v>2052</v>
      </c>
      <c r="J10820" s="30" t="s">
        <v>2053</v>
      </c>
      <c r="L10820" s="30" t="s">
        <v>1290</v>
      </c>
      <c r="N10820" s="30" t="s">
        <v>9594</v>
      </c>
      <c r="P10820" s="30" t="s">
        <v>9596</v>
      </c>
      <c r="Q10820" t="s">
        <v>621</v>
      </c>
      <c r="R10820" t="s">
        <v>917</v>
      </c>
      <c r="S10820">
        <v>37</v>
      </c>
      <c r="T10820" s="29" t="str">
        <f>HYPERLINK("https://ictv.global/ictv/proposals/2021.009F.R.Botourmiaviridae_6newgen_109newsp.zip","2021.009F.R.Botourmiaviridae_6newgen_109newsp.zip")</f>
        <v>2021.009F.R.Botourmiaviridae_6newgen_109newsp.zip</v>
      </c>
      <c r="U10820" s="29" t="str">
        <f>HYPERLINK("https://ictv.global/taxonomy/taxondetails?taxnode_id=202312577","ictv.global=202312577")</f>
        <v>ictv.global=202312577</v>
      </c>
    </row>
    <row r="10821" spans="1:21">
      <c r="A10821">
        <v>10820</v>
      </c>
      <c r="B10821" s="30" t="s">
        <v>1226</v>
      </c>
      <c r="D10821" s="30" t="s">
        <v>2024</v>
      </c>
      <c r="F10821" s="30" t="s">
        <v>2046</v>
      </c>
      <c r="H10821" s="30" t="s">
        <v>2052</v>
      </c>
      <c r="J10821" s="30" t="s">
        <v>2053</v>
      </c>
      <c r="L10821" s="30" t="s">
        <v>1290</v>
      </c>
      <c r="N10821" s="30" t="s">
        <v>9597</v>
      </c>
      <c r="P10821" s="30" t="s">
        <v>9598</v>
      </c>
      <c r="Q10821" t="s">
        <v>621</v>
      </c>
      <c r="R10821" t="s">
        <v>917</v>
      </c>
      <c r="S10821">
        <v>38</v>
      </c>
      <c r="T10821" s="29" t="str">
        <f>HYPERLINK("https://ictv.global/ictv/proposals/2022.003F.Botourmiaviridae_15nsp.zip","2022.003F.Botourmiaviridae_15nsp.zip")</f>
        <v>2022.003F.Botourmiaviridae_15nsp.zip</v>
      </c>
      <c r="U10821" s="29" t="str">
        <f>HYPERLINK("https://ictv.global/taxonomy/taxondetails?taxnode_id=202315015","ictv.global=202315015")</f>
        <v>ictv.global=202315015</v>
      </c>
    </row>
    <row r="10822" spans="1:21">
      <c r="A10822">
        <v>10821</v>
      </c>
      <c r="B10822" s="30" t="s">
        <v>1226</v>
      </c>
      <c r="D10822" s="30" t="s">
        <v>2024</v>
      </c>
      <c r="F10822" s="30" t="s">
        <v>2046</v>
      </c>
      <c r="H10822" s="30" t="s">
        <v>2052</v>
      </c>
      <c r="J10822" s="30" t="s">
        <v>2053</v>
      </c>
      <c r="L10822" s="30" t="s">
        <v>1290</v>
      </c>
      <c r="N10822" s="30" t="s">
        <v>9597</v>
      </c>
      <c r="P10822" s="30" t="s">
        <v>9599</v>
      </c>
      <c r="Q10822" t="s">
        <v>621</v>
      </c>
      <c r="R10822" t="s">
        <v>917</v>
      </c>
      <c r="S10822">
        <v>37</v>
      </c>
      <c r="T10822" s="29" t="str">
        <f>HYPERLINK("https://ictv.global/ictv/proposals/2021.009F.R.Botourmiaviridae_6newgen_109newsp.zip","2021.009F.R.Botourmiaviridae_6newgen_109newsp.zip")</f>
        <v>2021.009F.R.Botourmiaviridae_6newgen_109newsp.zip</v>
      </c>
      <c r="U10822" s="29" t="str">
        <f>HYPERLINK("https://ictv.global/taxonomy/taxondetails?taxnode_id=202312570","ictv.global=202312570")</f>
        <v>ictv.global=202312570</v>
      </c>
    </row>
    <row r="10823" spans="1:21">
      <c r="A10823">
        <v>10822</v>
      </c>
      <c r="B10823" s="30" t="s">
        <v>1226</v>
      </c>
      <c r="D10823" s="30" t="s">
        <v>2024</v>
      </c>
      <c r="F10823" s="30" t="s">
        <v>2046</v>
      </c>
      <c r="H10823" s="30" t="s">
        <v>2052</v>
      </c>
      <c r="J10823" s="30" t="s">
        <v>2053</v>
      </c>
      <c r="L10823" s="30" t="s">
        <v>1290</v>
      </c>
      <c r="N10823" s="30" t="s">
        <v>9597</v>
      </c>
      <c r="P10823" s="30" t="s">
        <v>9600</v>
      </c>
      <c r="Q10823" t="s">
        <v>621</v>
      </c>
      <c r="R10823" t="s">
        <v>917</v>
      </c>
      <c r="S10823">
        <v>37</v>
      </c>
      <c r="T10823" s="29" t="str">
        <f>HYPERLINK("https://ictv.global/ictv/proposals/2021.009F.R.Botourmiaviridae_6newgen_109newsp.zip","2021.009F.R.Botourmiaviridae_6newgen_109newsp.zip")</f>
        <v>2021.009F.R.Botourmiaviridae_6newgen_109newsp.zip</v>
      </c>
      <c r="U10823" s="29" t="str">
        <f>HYPERLINK("https://ictv.global/taxonomy/taxondetails?taxnode_id=202312571","ictv.global=202312571")</f>
        <v>ictv.global=202312571</v>
      </c>
    </row>
    <row r="10824" spans="1:21">
      <c r="A10824">
        <v>10823</v>
      </c>
      <c r="B10824" s="30" t="s">
        <v>1226</v>
      </c>
      <c r="D10824" s="30" t="s">
        <v>2024</v>
      </c>
      <c r="F10824" s="30" t="s">
        <v>2046</v>
      </c>
      <c r="H10824" s="30" t="s">
        <v>2052</v>
      </c>
      <c r="J10824" s="30" t="s">
        <v>2053</v>
      </c>
      <c r="L10824" s="30" t="s">
        <v>1290</v>
      </c>
      <c r="N10824" s="30" t="s">
        <v>1294</v>
      </c>
      <c r="P10824" s="30" t="s">
        <v>3643</v>
      </c>
      <c r="Q10824" t="s">
        <v>621</v>
      </c>
      <c r="R10824" t="s">
        <v>917</v>
      </c>
      <c r="S10824">
        <v>36</v>
      </c>
      <c r="T10824" s="29" t="str">
        <f>HYPERLINK("https://ictv.global/ictv/proposals/2020.001F.R.Botourmiaviridae.zip","2020.001F.R.Botourmiaviridae.zip")</f>
        <v>2020.001F.R.Botourmiaviridae.zip</v>
      </c>
      <c r="U10824" s="29" t="str">
        <f>HYPERLINK("https://ictv.global/taxonomy/taxondetails?taxnode_id=202308726","ictv.global=202308726")</f>
        <v>ictv.global=202308726</v>
      </c>
    </row>
    <row r="10825" spans="1:21">
      <c r="A10825">
        <v>10824</v>
      </c>
      <c r="B10825" s="30" t="s">
        <v>1226</v>
      </c>
      <c r="D10825" s="30" t="s">
        <v>2024</v>
      </c>
      <c r="F10825" s="30" t="s">
        <v>2046</v>
      </c>
      <c r="H10825" s="30" t="s">
        <v>2052</v>
      </c>
      <c r="J10825" s="30" t="s">
        <v>2053</v>
      </c>
      <c r="L10825" s="30" t="s">
        <v>1290</v>
      </c>
      <c r="N10825" s="30" t="s">
        <v>1294</v>
      </c>
      <c r="P10825" s="30" t="s">
        <v>3644</v>
      </c>
      <c r="Q10825" t="s">
        <v>621</v>
      </c>
      <c r="R10825" t="s">
        <v>917</v>
      </c>
      <c r="S10825">
        <v>36</v>
      </c>
      <c r="T10825" s="29" t="str">
        <f>HYPERLINK("https://ictv.global/ictv/proposals/2020.001F.R.Botourmiaviridae.zip","2020.001F.R.Botourmiaviridae.zip")</f>
        <v>2020.001F.R.Botourmiaviridae.zip</v>
      </c>
      <c r="U10825" s="29" t="str">
        <f>HYPERLINK("https://ictv.global/taxonomy/taxondetails?taxnode_id=202308728","ictv.global=202308728")</f>
        <v>ictv.global=202308728</v>
      </c>
    </row>
    <row r="10826" spans="1:21">
      <c r="A10826">
        <v>10825</v>
      </c>
      <c r="B10826" s="30" t="s">
        <v>1226</v>
      </c>
      <c r="D10826" s="30" t="s">
        <v>2024</v>
      </c>
      <c r="F10826" s="30" t="s">
        <v>2046</v>
      </c>
      <c r="H10826" s="30" t="s">
        <v>2052</v>
      </c>
      <c r="J10826" s="30" t="s">
        <v>2053</v>
      </c>
      <c r="L10826" s="30" t="s">
        <v>1290</v>
      </c>
      <c r="N10826" s="30" t="s">
        <v>1294</v>
      </c>
      <c r="P10826" s="30" t="s">
        <v>3645</v>
      </c>
      <c r="Q10826" t="s">
        <v>621</v>
      </c>
      <c r="R10826" t="s">
        <v>917</v>
      </c>
      <c r="S10826">
        <v>36</v>
      </c>
      <c r="T10826" s="29" t="str">
        <f>HYPERLINK("https://ictv.global/ictv/proposals/2020.001F.R.Botourmiaviridae.zip","2020.001F.R.Botourmiaviridae.zip")</f>
        <v>2020.001F.R.Botourmiaviridae.zip</v>
      </c>
      <c r="U10826" s="29" t="str">
        <f>HYPERLINK("https://ictv.global/taxonomy/taxondetails?taxnode_id=202308729","ictv.global=202308729")</f>
        <v>ictv.global=202308729</v>
      </c>
    </row>
    <row r="10827" spans="1:21">
      <c r="A10827">
        <v>10826</v>
      </c>
      <c r="B10827" s="30" t="s">
        <v>1226</v>
      </c>
      <c r="D10827" s="30" t="s">
        <v>2024</v>
      </c>
      <c r="F10827" s="30" t="s">
        <v>2046</v>
      </c>
      <c r="H10827" s="30" t="s">
        <v>2052</v>
      </c>
      <c r="J10827" s="30" t="s">
        <v>2053</v>
      </c>
      <c r="L10827" s="30" t="s">
        <v>1290</v>
      </c>
      <c r="N10827" s="30" t="s">
        <v>1294</v>
      </c>
      <c r="P10827" s="30" t="s">
        <v>3646</v>
      </c>
      <c r="Q10827" t="s">
        <v>621</v>
      </c>
      <c r="R10827" t="s">
        <v>917</v>
      </c>
      <c r="S10827">
        <v>36</v>
      </c>
      <c r="T10827" s="29" t="str">
        <f>HYPERLINK("https://ictv.global/ictv/proposals/2020.001F.R.Botourmiaviridae.zip","2020.001F.R.Botourmiaviridae.zip")</f>
        <v>2020.001F.R.Botourmiaviridae.zip</v>
      </c>
      <c r="U10827" s="29" t="str">
        <f>HYPERLINK("https://ictv.global/taxonomy/taxondetails?taxnode_id=202308727","ictv.global=202308727")</f>
        <v>ictv.global=202308727</v>
      </c>
    </row>
    <row r="10828" spans="1:21">
      <c r="A10828">
        <v>10827</v>
      </c>
      <c r="B10828" s="30" t="s">
        <v>1226</v>
      </c>
      <c r="D10828" s="30" t="s">
        <v>2024</v>
      </c>
      <c r="F10828" s="30" t="s">
        <v>2046</v>
      </c>
      <c r="H10828" s="30" t="s">
        <v>2052</v>
      </c>
      <c r="J10828" s="30" t="s">
        <v>2053</v>
      </c>
      <c r="L10828" s="30" t="s">
        <v>1290</v>
      </c>
      <c r="N10828" s="30" t="s">
        <v>1294</v>
      </c>
      <c r="P10828" s="30" t="s">
        <v>1295</v>
      </c>
      <c r="Q10828" t="s">
        <v>621</v>
      </c>
      <c r="R10828" t="s">
        <v>3894</v>
      </c>
      <c r="S10828">
        <v>36</v>
      </c>
      <c r="T10828" s="29" t="str">
        <f>HYPERLINK("https://ictv.global/ictv/proposals/2020.001G.R.Abolish_type_species.pdf","2020.001G.R.Abolish_type_species.pdf")</f>
        <v>2020.001G.R.Abolish_type_species.pdf</v>
      </c>
      <c r="U10828" s="29" t="str">
        <f>HYPERLINK("https://ictv.global/taxonomy/taxondetails?taxnode_id=202306578","ictv.global=202306578")</f>
        <v>ictv.global=202306578</v>
      </c>
    </row>
    <row r="10829" spans="1:21">
      <c r="A10829">
        <v>10828</v>
      </c>
      <c r="B10829" s="30" t="s">
        <v>1226</v>
      </c>
      <c r="D10829" s="30" t="s">
        <v>2024</v>
      </c>
      <c r="F10829" s="30" t="s">
        <v>2046</v>
      </c>
      <c r="H10829" s="30" t="s">
        <v>2052</v>
      </c>
      <c r="J10829" s="30" t="s">
        <v>2053</v>
      </c>
      <c r="L10829" s="30" t="s">
        <v>1290</v>
      </c>
      <c r="N10829" s="30" t="s">
        <v>1294</v>
      </c>
      <c r="P10829" s="30" t="s">
        <v>9601</v>
      </c>
      <c r="Q10829" t="s">
        <v>621</v>
      </c>
      <c r="R10829" t="s">
        <v>917</v>
      </c>
      <c r="S10829">
        <v>37</v>
      </c>
      <c r="T10829" s="29" t="str">
        <f>HYPERLINK("https://ictv.global/ictv/proposals/2021.009F.R.Botourmiaviridae_6newgen_109newsp.zip","2021.009F.R.Botourmiaviridae_6newgen_109newsp.zip")</f>
        <v>2021.009F.R.Botourmiaviridae_6newgen_109newsp.zip</v>
      </c>
      <c r="U10829" s="29" t="str">
        <f>HYPERLINK("https://ictv.global/taxonomy/taxondetails?taxnode_id=202312597","ictv.global=202312597")</f>
        <v>ictv.global=202312597</v>
      </c>
    </row>
    <row r="10830" spans="1:21">
      <c r="A10830">
        <v>10829</v>
      </c>
      <c r="B10830" s="30" t="s">
        <v>1226</v>
      </c>
      <c r="D10830" s="30" t="s">
        <v>2024</v>
      </c>
      <c r="F10830" s="30" t="s">
        <v>2046</v>
      </c>
      <c r="H10830" s="30" t="s">
        <v>2052</v>
      </c>
      <c r="J10830" s="30" t="s">
        <v>2053</v>
      </c>
      <c r="L10830" s="30" t="s">
        <v>1290</v>
      </c>
      <c r="N10830" s="30" t="s">
        <v>1294</v>
      </c>
      <c r="P10830" s="30" t="s">
        <v>9602</v>
      </c>
      <c r="Q10830" t="s">
        <v>621</v>
      </c>
      <c r="R10830" t="s">
        <v>917</v>
      </c>
      <c r="S10830">
        <v>38</v>
      </c>
      <c r="T10830" s="29" t="str">
        <f>HYPERLINK("https://ictv.global/ictv/proposals/2022.003F.Botourmiaviridae_15nsp.zip","2022.003F.Botourmiaviridae_15nsp.zip")</f>
        <v>2022.003F.Botourmiaviridae_15nsp.zip</v>
      </c>
      <c r="U10830" s="29" t="str">
        <f>HYPERLINK("https://ictv.global/taxonomy/taxondetails?taxnode_id=202315011","ictv.global=202315011")</f>
        <v>ictv.global=202315011</v>
      </c>
    </row>
    <row r="10831" spans="1:21">
      <c r="A10831">
        <v>10830</v>
      </c>
      <c r="B10831" s="30" t="s">
        <v>1226</v>
      </c>
      <c r="D10831" s="30" t="s">
        <v>2024</v>
      </c>
      <c r="F10831" s="30" t="s">
        <v>2046</v>
      </c>
      <c r="H10831" s="30" t="s">
        <v>2052</v>
      </c>
      <c r="J10831" s="30" t="s">
        <v>2053</v>
      </c>
      <c r="L10831" s="30" t="s">
        <v>1290</v>
      </c>
      <c r="N10831" s="30" t="s">
        <v>1294</v>
      </c>
      <c r="P10831" s="30" t="s">
        <v>9603</v>
      </c>
      <c r="Q10831" t="s">
        <v>621</v>
      </c>
      <c r="R10831" t="s">
        <v>917</v>
      </c>
      <c r="S10831">
        <v>37</v>
      </c>
      <c r="T10831" s="29" t="str">
        <f>HYPERLINK("https://ictv.global/ictv/proposals/2021.009F.R.Botourmiaviridae_6newgen_109newsp.zip","2021.009F.R.Botourmiaviridae_6newgen_109newsp.zip")</f>
        <v>2021.009F.R.Botourmiaviridae_6newgen_109newsp.zip</v>
      </c>
      <c r="U10831" s="29" t="str">
        <f>HYPERLINK("https://ictv.global/taxonomy/taxondetails?taxnode_id=202312599","ictv.global=202312599")</f>
        <v>ictv.global=202312599</v>
      </c>
    </row>
    <row r="10832" spans="1:21">
      <c r="A10832">
        <v>10831</v>
      </c>
      <c r="B10832" s="30" t="s">
        <v>1226</v>
      </c>
      <c r="D10832" s="30" t="s">
        <v>2024</v>
      </c>
      <c r="F10832" s="30" t="s">
        <v>2046</v>
      </c>
      <c r="H10832" s="30" t="s">
        <v>2052</v>
      </c>
      <c r="J10832" s="30" t="s">
        <v>2053</v>
      </c>
      <c r="L10832" s="30" t="s">
        <v>1290</v>
      </c>
      <c r="N10832" s="30" t="s">
        <v>1294</v>
      </c>
      <c r="P10832" s="30" t="s">
        <v>9604</v>
      </c>
      <c r="Q10832" t="s">
        <v>621</v>
      </c>
      <c r="R10832" t="s">
        <v>917</v>
      </c>
      <c r="S10832">
        <v>38</v>
      </c>
      <c r="T10832" s="29" t="str">
        <f>HYPERLINK("https://ictv.global/ictv/proposals/2022.003F.Botourmiaviridae_15nsp.zip","2022.003F.Botourmiaviridae_15nsp.zip")</f>
        <v>2022.003F.Botourmiaviridae_15nsp.zip</v>
      </c>
      <c r="U10832" s="29" t="str">
        <f>HYPERLINK("https://ictv.global/taxonomy/taxondetails?taxnode_id=202315010","ictv.global=202315010")</f>
        <v>ictv.global=202315010</v>
      </c>
    </row>
    <row r="10833" spans="1:21">
      <c r="A10833">
        <v>10832</v>
      </c>
      <c r="B10833" s="30" t="s">
        <v>1226</v>
      </c>
      <c r="D10833" s="30" t="s">
        <v>2024</v>
      </c>
      <c r="F10833" s="30" t="s">
        <v>2046</v>
      </c>
      <c r="H10833" s="30" t="s">
        <v>2052</v>
      </c>
      <c r="J10833" s="30" t="s">
        <v>2053</v>
      </c>
      <c r="L10833" s="30" t="s">
        <v>1290</v>
      </c>
      <c r="N10833" s="30" t="s">
        <v>1294</v>
      </c>
      <c r="P10833" s="30" t="s">
        <v>9605</v>
      </c>
      <c r="Q10833" t="s">
        <v>621</v>
      </c>
      <c r="R10833" t="s">
        <v>917</v>
      </c>
      <c r="S10833">
        <v>38</v>
      </c>
      <c r="T10833" s="29" t="str">
        <f>HYPERLINK("https://ictv.global/ictv/proposals/2022.003F.Botourmiaviridae_15nsp.zip","2022.003F.Botourmiaviridae_15nsp.zip")</f>
        <v>2022.003F.Botourmiaviridae_15nsp.zip</v>
      </c>
      <c r="U10833" s="29" t="str">
        <f>HYPERLINK("https://ictv.global/taxonomy/taxondetails?taxnode_id=202315012","ictv.global=202315012")</f>
        <v>ictv.global=202315012</v>
      </c>
    </row>
    <row r="10834" spans="1:21">
      <c r="A10834">
        <v>10833</v>
      </c>
      <c r="B10834" s="30" t="s">
        <v>1226</v>
      </c>
      <c r="D10834" s="30" t="s">
        <v>2024</v>
      </c>
      <c r="F10834" s="30" t="s">
        <v>2046</v>
      </c>
      <c r="H10834" s="30" t="s">
        <v>2052</v>
      </c>
      <c r="J10834" s="30" t="s">
        <v>2053</v>
      </c>
      <c r="L10834" s="30" t="s">
        <v>1290</v>
      </c>
      <c r="N10834" s="30" t="s">
        <v>1294</v>
      </c>
      <c r="P10834" s="30" t="s">
        <v>9606</v>
      </c>
      <c r="Q10834" t="s">
        <v>621</v>
      </c>
      <c r="R10834" t="s">
        <v>917</v>
      </c>
      <c r="S10834">
        <v>38</v>
      </c>
      <c r="T10834" s="29" t="str">
        <f>HYPERLINK("https://ictv.global/ictv/proposals/2022.003F.Botourmiaviridae_15nsp.zip","2022.003F.Botourmiaviridae_15nsp.zip")</f>
        <v>2022.003F.Botourmiaviridae_15nsp.zip</v>
      </c>
      <c r="U10834" s="29" t="str">
        <f>HYPERLINK("https://ictv.global/taxonomy/taxondetails?taxnode_id=202315008","ictv.global=202315008")</f>
        <v>ictv.global=202315008</v>
      </c>
    </row>
    <row r="10835" spans="1:21">
      <c r="A10835">
        <v>10834</v>
      </c>
      <c r="B10835" s="30" t="s">
        <v>1226</v>
      </c>
      <c r="D10835" s="30" t="s">
        <v>2024</v>
      </c>
      <c r="F10835" s="30" t="s">
        <v>2046</v>
      </c>
      <c r="H10835" s="30" t="s">
        <v>2052</v>
      </c>
      <c r="J10835" s="30" t="s">
        <v>2053</v>
      </c>
      <c r="L10835" s="30" t="s">
        <v>1290</v>
      </c>
      <c r="N10835" s="30" t="s">
        <v>1294</v>
      </c>
      <c r="P10835" s="30" t="s">
        <v>9607</v>
      </c>
      <c r="Q10835" t="s">
        <v>621</v>
      </c>
      <c r="R10835" t="s">
        <v>917</v>
      </c>
      <c r="S10835">
        <v>38</v>
      </c>
      <c r="T10835" s="29" t="str">
        <f>HYPERLINK("https://ictv.global/ictv/proposals/2022.003F.Botourmiaviridae_15nsp.zip","2022.003F.Botourmiaviridae_15nsp.zip")</f>
        <v>2022.003F.Botourmiaviridae_15nsp.zip</v>
      </c>
      <c r="U10835" s="29" t="str">
        <f>HYPERLINK("https://ictv.global/taxonomy/taxondetails?taxnode_id=202315009","ictv.global=202315009")</f>
        <v>ictv.global=202315009</v>
      </c>
    </row>
    <row r="10836" spans="1:21">
      <c r="A10836">
        <v>10835</v>
      </c>
      <c r="B10836" s="30" t="s">
        <v>1226</v>
      </c>
      <c r="D10836" s="30" t="s">
        <v>2024</v>
      </c>
      <c r="F10836" s="30" t="s">
        <v>2046</v>
      </c>
      <c r="H10836" s="30" t="s">
        <v>2052</v>
      </c>
      <c r="J10836" s="30" t="s">
        <v>2053</v>
      </c>
      <c r="L10836" s="30" t="s">
        <v>1290</v>
      </c>
      <c r="N10836" s="30" t="s">
        <v>1294</v>
      </c>
      <c r="P10836" s="30" t="s">
        <v>9608</v>
      </c>
      <c r="Q10836" t="s">
        <v>621</v>
      </c>
      <c r="R10836" t="s">
        <v>917</v>
      </c>
      <c r="S10836">
        <v>37</v>
      </c>
      <c r="T10836" s="29" t="str">
        <f t="shared" ref="T10836:T10863" si="450">HYPERLINK("https://ictv.global/ictv/proposals/2021.009F.R.Botourmiaviridae_6newgen_109newsp.zip","2021.009F.R.Botourmiaviridae_6newgen_109newsp.zip")</f>
        <v>2021.009F.R.Botourmiaviridae_6newgen_109newsp.zip</v>
      </c>
      <c r="U10836" s="29" t="str">
        <f>HYPERLINK("https://ictv.global/taxonomy/taxondetails?taxnode_id=202312602","ictv.global=202312602")</f>
        <v>ictv.global=202312602</v>
      </c>
    </row>
    <row r="10837" spans="1:21">
      <c r="A10837">
        <v>10836</v>
      </c>
      <c r="B10837" s="30" t="s">
        <v>1226</v>
      </c>
      <c r="D10837" s="30" t="s">
        <v>2024</v>
      </c>
      <c r="F10837" s="30" t="s">
        <v>2046</v>
      </c>
      <c r="H10837" s="30" t="s">
        <v>2052</v>
      </c>
      <c r="J10837" s="30" t="s">
        <v>2053</v>
      </c>
      <c r="L10837" s="30" t="s">
        <v>1290</v>
      </c>
      <c r="N10837" s="30" t="s">
        <v>1294</v>
      </c>
      <c r="P10837" s="30" t="s">
        <v>9609</v>
      </c>
      <c r="Q10837" t="s">
        <v>621</v>
      </c>
      <c r="R10837" t="s">
        <v>917</v>
      </c>
      <c r="S10837">
        <v>37</v>
      </c>
      <c r="T10837" s="29" t="str">
        <f t="shared" si="450"/>
        <v>2021.009F.R.Botourmiaviridae_6newgen_109newsp.zip</v>
      </c>
      <c r="U10837" s="29" t="str">
        <f>HYPERLINK("https://ictv.global/taxonomy/taxondetails?taxnode_id=202312598","ictv.global=202312598")</f>
        <v>ictv.global=202312598</v>
      </c>
    </row>
    <row r="10838" spans="1:21">
      <c r="A10838">
        <v>10837</v>
      </c>
      <c r="B10838" s="30" t="s">
        <v>1226</v>
      </c>
      <c r="D10838" s="30" t="s">
        <v>2024</v>
      </c>
      <c r="F10838" s="30" t="s">
        <v>2046</v>
      </c>
      <c r="H10838" s="30" t="s">
        <v>2052</v>
      </c>
      <c r="J10838" s="30" t="s">
        <v>2053</v>
      </c>
      <c r="L10838" s="30" t="s">
        <v>1290</v>
      </c>
      <c r="N10838" s="30" t="s">
        <v>1294</v>
      </c>
      <c r="P10838" s="30" t="s">
        <v>9610</v>
      </c>
      <c r="Q10838" t="s">
        <v>621</v>
      </c>
      <c r="R10838" t="s">
        <v>917</v>
      </c>
      <c r="S10838">
        <v>37</v>
      </c>
      <c r="T10838" s="29" t="str">
        <f t="shared" si="450"/>
        <v>2021.009F.R.Botourmiaviridae_6newgen_109newsp.zip</v>
      </c>
      <c r="U10838" s="29" t="str">
        <f>HYPERLINK("https://ictv.global/taxonomy/taxondetails?taxnode_id=202312600","ictv.global=202312600")</f>
        <v>ictv.global=202312600</v>
      </c>
    </row>
    <row r="10839" spans="1:21">
      <c r="A10839">
        <v>10838</v>
      </c>
      <c r="B10839" s="30" t="s">
        <v>1226</v>
      </c>
      <c r="D10839" s="30" t="s">
        <v>2024</v>
      </c>
      <c r="F10839" s="30" t="s">
        <v>2046</v>
      </c>
      <c r="H10839" s="30" t="s">
        <v>2052</v>
      </c>
      <c r="J10839" s="30" t="s">
        <v>2053</v>
      </c>
      <c r="L10839" s="30" t="s">
        <v>1290</v>
      </c>
      <c r="N10839" s="30" t="s">
        <v>1294</v>
      </c>
      <c r="P10839" s="30" t="s">
        <v>9611</v>
      </c>
      <c r="Q10839" t="s">
        <v>621</v>
      </c>
      <c r="R10839" t="s">
        <v>917</v>
      </c>
      <c r="S10839">
        <v>37</v>
      </c>
      <c r="T10839" s="29" t="str">
        <f t="shared" si="450"/>
        <v>2021.009F.R.Botourmiaviridae_6newgen_109newsp.zip</v>
      </c>
      <c r="U10839" s="29" t="str">
        <f>HYPERLINK("https://ictv.global/taxonomy/taxondetails?taxnode_id=202312603","ictv.global=202312603")</f>
        <v>ictv.global=202312603</v>
      </c>
    </row>
    <row r="10840" spans="1:21">
      <c r="A10840">
        <v>10839</v>
      </c>
      <c r="B10840" s="30" t="s">
        <v>1226</v>
      </c>
      <c r="D10840" s="30" t="s">
        <v>2024</v>
      </c>
      <c r="F10840" s="30" t="s">
        <v>2046</v>
      </c>
      <c r="H10840" s="30" t="s">
        <v>2052</v>
      </c>
      <c r="J10840" s="30" t="s">
        <v>2053</v>
      </c>
      <c r="L10840" s="30" t="s">
        <v>1290</v>
      </c>
      <c r="N10840" s="30" t="s">
        <v>1294</v>
      </c>
      <c r="P10840" s="30" t="s">
        <v>9612</v>
      </c>
      <c r="Q10840" t="s">
        <v>621</v>
      </c>
      <c r="R10840" t="s">
        <v>917</v>
      </c>
      <c r="S10840">
        <v>37</v>
      </c>
      <c r="T10840" s="29" t="str">
        <f t="shared" si="450"/>
        <v>2021.009F.R.Botourmiaviridae_6newgen_109newsp.zip</v>
      </c>
      <c r="U10840" s="29" t="str">
        <f>HYPERLINK("https://ictv.global/taxonomy/taxondetails?taxnode_id=202312605","ictv.global=202312605")</f>
        <v>ictv.global=202312605</v>
      </c>
    </row>
    <row r="10841" spans="1:21">
      <c r="A10841">
        <v>10840</v>
      </c>
      <c r="B10841" s="30" t="s">
        <v>1226</v>
      </c>
      <c r="D10841" s="30" t="s">
        <v>2024</v>
      </c>
      <c r="F10841" s="30" t="s">
        <v>2046</v>
      </c>
      <c r="H10841" s="30" t="s">
        <v>2052</v>
      </c>
      <c r="J10841" s="30" t="s">
        <v>2053</v>
      </c>
      <c r="L10841" s="30" t="s">
        <v>1290</v>
      </c>
      <c r="N10841" s="30" t="s">
        <v>1294</v>
      </c>
      <c r="P10841" s="30" t="s">
        <v>9613</v>
      </c>
      <c r="Q10841" t="s">
        <v>621</v>
      </c>
      <c r="R10841" t="s">
        <v>917</v>
      </c>
      <c r="S10841">
        <v>37</v>
      </c>
      <c r="T10841" s="29" t="str">
        <f t="shared" si="450"/>
        <v>2021.009F.R.Botourmiaviridae_6newgen_109newsp.zip</v>
      </c>
      <c r="U10841" s="29" t="str">
        <f>HYPERLINK("https://ictv.global/taxonomy/taxondetails?taxnode_id=202312606","ictv.global=202312606")</f>
        <v>ictv.global=202312606</v>
      </c>
    </row>
    <row r="10842" spans="1:21">
      <c r="A10842">
        <v>10841</v>
      </c>
      <c r="B10842" s="30" t="s">
        <v>1226</v>
      </c>
      <c r="D10842" s="30" t="s">
        <v>2024</v>
      </c>
      <c r="F10842" s="30" t="s">
        <v>2046</v>
      </c>
      <c r="H10842" s="30" t="s">
        <v>2052</v>
      </c>
      <c r="J10842" s="30" t="s">
        <v>2053</v>
      </c>
      <c r="L10842" s="30" t="s">
        <v>1290</v>
      </c>
      <c r="N10842" s="30" t="s">
        <v>1294</v>
      </c>
      <c r="P10842" s="30" t="s">
        <v>9614</v>
      </c>
      <c r="Q10842" t="s">
        <v>621</v>
      </c>
      <c r="R10842" t="s">
        <v>917</v>
      </c>
      <c r="S10842">
        <v>37</v>
      </c>
      <c r="T10842" s="29" t="str">
        <f t="shared" si="450"/>
        <v>2021.009F.R.Botourmiaviridae_6newgen_109newsp.zip</v>
      </c>
      <c r="U10842" s="29" t="str">
        <f>HYPERLINK("https://ictv.global/taxonomy/taxondetails?taxnode_id=202313213","ictv.global=202313213")</f>
        <v>ictv.global=202313213</v>
      </c>
    </row>
    <row r="10843" spans="1:21">
      <c r="A10843">
        <v>10842</v>
      </c>
      <c r="B10843" s="30" t="s">
        <v>1226</v>
      </c>
      <c r="D10843" s="30" t="s">
        <v>2024</v>
      </c>
      <c r="F10843" s="30" t="s">
        <v>2046</v>
      </c>
      <c r="H10843" s="30" t="s">
        <v>2052</v>
      </c>
      <c r="J10843" s="30" t="s">
        <v>2053</v>
      </c>
      <c r="L10843" s="30" t="s">
        <v>1290</v>
      </c>
      <c r="N10843" s="30" t="s">
        <v>1294</v>
      </c>
      <c r="P10843" s="30" t="s">
        <v>9615</v>
      </c>
      <c r="Q10843" t="s">
        <v>621</v>
      </c>
      <c r="R10843" t="s">
        <v>917</v>
      </c>
      <c r="S10843">
        <v>37</v>
      </c>
      <c r="T10843" s="29" t="str">
        <f t="shared" si="450"/>
        <v>2021.009F.R.Botourmiaviridae_6newgen_109newsp.zip</v>
      </c>
      <c r="U10843" s="29" t="str">
        <f>HYPERLINK("https://ictv.global/taxonomy/taxondetails?taxnode_id=202313227","ictv.global=202313227")</f>
        <v>ictv.global=202313227</v>
      </c>
    </row>
    <row r="10844" spans="1:21">
      <c r="A10844">
        <v>10843</v>
      </c>
      <c r="B10844" s="30" t="s">
        <v>1226</v>
      </c>
      <c r="D10844" s="30" t="s">
        <v>2024</v>
      </c>
      <c r="F10844" s="30" t="s">
        <v>2046</v>
      </c>
      <c r="H10844" s="30" t="s">
        <v>2052</v>
      </c>
      <c r="J10844" s="30" t="s">
        <v>2053</v>
      </c>
      <c r="L10844" s="30" t="s">
        <v>1290</v>
      </c>
      <c r="N10844" s="30" t="s">
        <v>1294</v>
      </c>
      <c r="P10844" s="30" t="s">
        <v>9616</v>
      </c>
      <c r="Q10844" t="s">
        <v>621</v>
      </c>
      <c r="R10844" t="s">
        <v>917</v>
      </c>
      <c r="S10844">
        <v>37</v>
      </c>
      <c r="T10844" s="29" t="str">
        <f t="shared" si="450"/>
        <v>2021.009F.R.Botourmiaviridae_6newgen_109newsp.zip</v>
      </c>
      <c r="U10844" s="29" t="str">
        <f>HYPERLINK("https://ictv.global/taxonomy/taxondetails?taxnode_id=202312604","ictv.global=202312604")</f>
        <v>ictv.global=202312604</v>
      </c>
    </row>
    <row r="10845" spans="1:21">
      <c r="A10845">
        <v>10844</v>
      </c>
      <c r="B10845" s="30" t="s">
        <v>1226</v>
      </c>
      <c r="D10845" s="30" t="s">
        <v>2024</v>
      </c>
      <c r="F10845" s="30" t="s">
        <v>2046</v>
      </c>
      <c r="H10845" s="30" t="s">
        <v>2052</v>
      </c>
      <c r="J10845" s="30" t="s">
        <v>2053</v>
      </c>
      <c r="L10845" s="30" t="s">
        <v>1290</v>
      </c>
      <c r="N10845" s="30" t="s">
        <v>1294</v>
      </c>
      <c r="P10845" s="30" t="s">
        <v>9617</v>
      </c>
      <c r="Q10845" t="s">
        <v>621</v>
      </c>
      <c r="R10845" t="s">
        <v>917</v>
      </c>
      <c r="S10845">
        <v>37</v>
      </c>
      <c r="T10845" s="29" t="str">
        <f t="shared" si="450"/>
        <v>2021.009F.R.Botourmiaviridae_6newgen_109newsp.zip</v>
      </c>
      <c r="U10845" s="29" t="str">
        <f>HYPERLINK("https://ictv.global/taxonomy/taxondetails?taxnode_id=202313215","ictv.global=202313215")</f>
        <v>ictv.global=202313215</v>
      </c>
    </row>
    <row r="10846" spans="1:21">
      <c r="A10846">
        <v>10845</v>
      </c>
      <c r="B10846" s="30" t="s">
        <v>1226</v>
      </c>
      <c r="D10846" s="30" t="s">
        <v>2024</v>
      </c>
      <c r="F10846" s="30" t="s">
        <v>2046</v>
      </c>
      <c r="H10846" s="30" t="s">
        <v>2052</v>
      </c>
      <c r="J10846" s="30" t="s">
        <v>2053</v>
      </c>
      <c r="L10846" s="30" t="s">
        <v>1290</v>
      </c>
      <c r="N10846" s="30" t="s">
        <v>1294</v>
      </c>
      <c r="P10846" s="30" t="s">
        <v>9618</v>
      </c>
      <c r="Q10846" t="s">
        <v>621</v>
      </c>
      <c r="R10846" t="s">
        <v>917</v>
      </c>
      <c r="S10846">
        <v>37</v>
      </c>
      <c r="T10846" s="29" t="str">
        <f t="shared" si="450"/>
        <v>2021.009F.R.Botourmiaviridae_6newgen_109newsp.zip</v>
      </c>
      <c r="U10846" s="29" t="str">
        <f>HYPERLINK("https://ictv.global/taxonomy/taxondetails?taxnode_id=202313226","ictv.global=202313226")</f>
        <v>ictv.global=202313226</v>
      </c>
    </row>
    <row r="10847" spans="1:21">
      <c r="A10847">
        <v>10846</v>
      </c>
      <c r="B10847" s="30" t="s">
        <v>1226</v>
      </c>
      <c r="D10847" s="30" t="s">
        <v>2024</v>
      </c>
      <c r="F10847" s="30" t="s">
        <v>2046</v>
      </c>
      <c r="H10847" s="30" t="s">
        <v>2052</v>
      </c>
      <c r="J10847" s="30" t="s">
        <v>2053</v>
      </c>
      <c r="L10847" s="30" t="s">
        <v>1290</v>
      </c>
      <c r="N10847" s="30" t="s">
        <v>1294</v>
      </c>
      <c r="P10847" s="30" t="s">
        <v>9619</v>
      </c>
      <c r="Q10847" t="s">
        <v>621</v>
      </c>
      <c r="R10847" t="s">
        <v>917</v>
      </c>
      <c r="S10847">
        <v>37</v>
      </c>
      <c r="T10847" s="29" t="str">
        <f t="shared" si="450"/>
        <v>2021.009F.R.Botourmiaviridae_6newgen_109newsp.zip</v>
      </c>
      <c r="U10847" s="29" t="str">
        <f>HYPERLINK("https://ictv.global/taxonomy/taxondetails?taxnode_id=202313228","ictv.global=202313228")</f>
        <v>ictv.global=202313228</v>
      </c>
    </row>
    <row r="10848" spans="1:21">
      <c r="A10848">
        <v>10847</v>
      </c>
      <c r="B10848" s="30" t="s">
        <v>1226</v>
      </c>
      <c r="D10848" s="30" t="s">
        <v>2024</v>
      </c>
      <c r="F10848" s="30" t="s">
        <v>2046</v>
      </c>
      <c r="H10848" s="30" t="s">
        <v>2052</v>
      </c>
      <c r="J10848" s="30" t="s">
        <v>2053</v>
      </c>
      <c r="L10848" s="30" t="s">
        <v>1290</v>
      </c>
      <c r="N10848" s="30" t="s">
        <v>1294</v>
      </c>
      <c r="P10848" s="30" t="s">
        <v>9620</v>
      </c>
      <c r="Q10848" t="s">
        <v>621</v>
      </c>
      <c r="R10848" t="s">
        <v>917</v>
      </c>
      <c r="S10848">
        <v>37</v>
      </c>
      <c r="T10848" s="29" t="str">
        <f t="shared" si="450"/>
        <v>2021.009F.R.Botourmiaviridae_6newgen_109newsp.zip</v>
      </c>
      <c r="U10848" s="29" t="str">
        <f>HYPERLINK("https://ictv.global/taxonomy/taxondetails?taxnode_id=202313216","ictv.global=202313216")</f>
        <v>ictv.global=202313216</v>
      </c>
    </row>
    <row r="10849" spans="1:21">
      <c r="A10849">
        <v>10848</v>
      </c>
      <c r="B10849" s="30" t="s">
        <v>1226</v>
      </c>
      <c r="D10849" s="30" t="s">
        <v>2024</v>
      </c>
      <c r="F10849" s="30" t="s">
        <v>2046</v>
      </c>
      <c r="H10849" s="30" t="s">
        <v>2052</v>
      </c>
      <c r="J10849" s="30" t="s">
        <v>2053</v>
      </c>
      <c r="L10849" s="30" t="s">
        <v>1290</v>
      </c>
      <c r="N10849" s="30" t="s">
        <v>1294</v>
      </c>
      <c r="P10849" s="30" t="s">
        <v>9621</v>
      </c>
      <c r="Q10849" t="s">
        <v>621</v>
      </c>
      <c r="R10849" t="s">
        <v>917</v>
      </c>
      <c r="S10849">
        <v>37</v>
      </c>
      <c r="T10849" s="29" t="str">
        <f t="shared" si="450"/>
        <v>2021.009F.R.Botourmiaviridae_6newgen_109newsp.zip</v>
      </c>
      <c r="U10849" s="29" t="str">
        <f>HYPERLINK("https://ictv.global/taxonomy/taxondetails?taxnode_id=202313217","ictv.global=202313217")</f>
        <v>ictv.global=202313217</v>
      </c>
    </row>
    <row r="10850" spans="1:21">
      <c r="A10850">
        <v>10849</v>
      </c>
      <c r="B10850" s="30" t="s">
        <v>1226</v>
      </c>
      <c r="D10850" s="30" t="s">
        <v>2024</v>
      </c>
      <c r="F10850" s="30" t="s">
        <v>2046</v>
      </c>
      <c r="H10850" s="30" t="s">
        <v>2052</v>
      </c>
      <c r="J10850" s="30" t="s">
        <v>2053</v>
      </c>
      <c r="L10850" s="30" t="s">
        <v>1290</v>
      </c>
      <c r="N10850" s="30" t="s">
        <v>1294</v>
      </c>
      <c r="P10850" s="30" t="s">
        <v>9622</v>
      </c>
      <c r="Q10850" t="s">
        <v>621</v>
      </c>
      <c r="R10850" t="s">
        <v>917</v>
      </c>
      <c r="S10850">
        <v>37</v>
      </c>
      <c r="T10850" s="29" t="str">
        <f t="shared" si="450"/>
        <v>2021.009F.R.Botourmiaviridae_6newgen_109newsp.zip</v>
      </c>
      <c r="U10850" s="29" t="str">
        <f>HYPERLINK("https://ictv.global/taxonomy/taxondetails?taxnode_id=202312601","ictv.global=202312601")</f>
        <v>ictv.global=202312601</v>
      </c>
    </row>
    <row r="10851" spans="1:21">
      <c r="A10851">
        <v>10850</v>
      </c>
      <c r="B10851" s="30" t="s">
        <v>1226</v>
      </c>
      <c r="D10851" s="30" t="s">
        <v>2024</v>
      </c>
      <c r="F10851" s="30" t="s">
        <v>2046</v>
      </c>
      <c r="H10851" s="30" t="s">
        <v>2052</v>
      </c>
      <c r="J10851" s="30" t="s">
        <v>2053</v>
      </c>
      <c r="L10851" s="30" t="s">
        <v>1290</v>
      </c>
      <c r="N10851" s="30" t="s">
        <v>1294</v>
      </c>
      <c r="P10851" s="30" t="s">
        <v>9623</v>
      </c>
      <c r="Q10851" t="s">
        <v>621</v>
      </c>
      <c r="R10851" t="s">
        <v>917</v>
      </c>
      <c r="S10851">
        <v>37</v>
      </c>
      <c r="T10851" s="29" t="str">
        <f t="shared" si="450"/>
        <v>2021.009F.R.Botourmiaviridae_6newgen_109newsp.zip</v>
      </c>
      <c r="U10851" s="29" t="str">
        <f>HYPERLINK("https://ictv.global/taxonomy/taxondetails?taxnode_id=202313218","ictv.global=202313218")</f>
        <v>ictv.global=202313218</v>
      </c>
    </row>
    <row r="10852" spans="1:21">
      <c r="A10852">
        <v>10851</v>
      </c>
      <c r="B10852" s="30" t="s">
        <v>1226</v>
      </c>
      <c r="D10852" s="30" t="s">
        <v>2024</v>
      </c>
      <c r="F10852" s="30" t="s">
        <v>2046</v>
      </c>
      <c r="H10852" s="30" t="s">
        <v>2052</v>
      </c>
      <c r="J10852" s="30" t="s">
        <v>2053</v>
      </c>
      <c r="L10852" s="30" t="s">
        <v>1290</v>
      </c>
      <c r="N10852" s="30" t="s">
        <v>1294</v>
      </c>
      <c r="P10852" s="30" t="s">
        <v>9624</v>
      </c>
      <c r="Q10852" t="s">
        <v>621</v>
      </c>
      <c r="R10852" t="s">
        <v>917</v>
      </c>
      <c r="S10852">
        <v>37</v>
      </c>
      <c r="T10852" s="29" t="str">
        <f t="shared" si="450"/>
        <v>2021.009F.R.Botourmiaviridae_6newgen_109newsp.zip</v>
      </c>
      <c r="U10852" s="29" t="str">
        <f>HYPERLINK("https://ictv.global/taxonomy/taxondetails?taxnode_id=202313219","ictv.global=202313219")</f>
        <v>ictv.global=202313219</v>
      </c>
    </row>
    <row r="10853" spans="1:21">
      <c r="A10853">
        <v>10852</v>
      </c>
      <c r="B10853" s="30" t="s">
        <v>1226</v>
      </c>
      <c r="D10853" s="30" t="s">
        <v>2024</v>
      </c>
      <c r="F10853" s="30" t="s">
        <v>2046</v>
      </c>
      <c r="H10853" s="30" t="s">
        <v>2052</v>
      </c>
      <c r="J10853" s="30" t="s">
        <v>2053</v>
      </c>
      <c r="L10853" s="30" t="s">
        <v>1290</v>
      </c>
      <c r="N10853" s="30" t="s">
        <v>1294</v>
      </c>
      <c r="P10853" s="30" t="s">
        <v>9625</v>
      </c>
      <c r="Q10853" t="s">
        <v>621</v>
      </c>
      <c r="R10853" t="s">
        <v>917</v>
      </c>
      <c r="S10853">
        <v>37</v>
      </c>
      <c r="T10853" s="29" t="str">
        <f t="shared" si="450"/>
        <v>2021.009F.R.Botourmiaviridae_6newgen_109newsp.zip</v>
      </c>
      <c r="U10853" s="29" t="str">
        <f>HYPERLINK("https://ictv.global/taxonomy/taxondetails?taxnode_id=202313230","ictv.global=202313230")</f>
        <v>ictv.global=202313230</v>
      </c>
    </row>
    <row r="10854" spans="1:21">
      <c r="A10854">
        <v>10853</v>
      </c>
      <c r="B10854" s="30" t="s">
        <v>1226</v>
      </c>
      <c r="D10854" s="30" t="s">
        <v>2024</v>
      </c>
      <c r="F10854" s="30" t="s">
        <v>2046</v>
      </c>
      <c r="H10854" s="30" t="s">
        <v>2052</v>
      </c>
      <c r="J10854" s="30" t="s">
        <v>2053</v>
      </c>
      <c r="L10854" s="30" t="s">
        <v>1290</v>
      </c>
      <c r="N10854" s="30" t="s">
        <v>1294</v>
      </c>
      <c r="P10854" s="30" t="s">
        <v>9626</v>
      </c>
      <c r="Q10854" t="s">
        <v>621</v>
      </c>
      <c r="R10854" t="s">
        <v>917</v>
      </c>
      <c r="S10854">
        <v>37</v>
      </c>
      <c r="T10854" s="29" t="str">
        <f t="shared" si="450"/>
        <v>2021.009F.R.Botourmiaviridae_6newgen_109newsp.zip</v>
      </c>
      <c r="U10854" s="29" t="str">
        <f>HYPERLINK("https://ictv.global/taxonomy/taxondetails?taxnode_id=202313221","ictv.global=202313221")</f>
        <v>ictv.global=202313221</v>
      </c>
    </row>
    <row r="10855" spans="1:21">
      <c r="A10855">
        <v>10854</v>
      </c>
      <c r="B10855" s="30" t="s">
        <v>1226</v>
      </c>
      <c r="D10855" s="30" t="s">
        <v>2024</v>
      </c>
      <c r="F10855" s="30" t="s">
        <v>2046</v>
      </c>
      <c r="H10855" s="30" t="s">
        <v>2052</v>
      </c>
      <c r="J10855" s="30" t="s">
        <v>2053</v>
      </c>
      <c r="L10855" s="30" t="s">
        <v>1290</v>
      </c>
      <c r="N10855" s="30" t="s">
        <v>1294</v>
      </c>
      <c r="P10855" s="30" t="s">
        <v>9627</v>
      </c>
      <c r="Q10855" t="s">
        <v>621</v>
      </c>
      <c r="R10855" t="s">
        <v>917</v>
      </c>
      <c r="S10855">
        <v>37</v>
      </c>
      <c r="T10855" s="29" t="str">
        <f t="shared" si="450"/>
        <v>2021.009F.R.Botourmiaviridae_6newgen_109newsp.zip</v>
      </c>
      <c r="U10855" s="29" t="str">
        <f>HYPERLINK("https://ictv.global/taxonomy/taxondetails?taxnode_id=202313222","ictv.global=202313222")</f>
        <v>ictv.global=202313222</v>
      </c>
    </row>
    <row r="10856" spans="1:21">
      <c r="A10856">
        <v>10855</v>
      </c>
      <c r="B10856" s="30" t="s">
        <v>1226</v>
      </c>
      <c r="D10856" s="30" t="s">
        <v>2024</v>
      </c>
      <c r="F10856" s="30" t="s">
        <v>2046</v>
      </c>
      <c r="H10856" s="30" t="s">
        <v>2052</v>
      </c>
      <c r="J10856" s="30" t="s">
        <v>2053</v>
      </c>
      <c r="L10856" s="30" t="s">
        <v>1290</v>
      </c>
      <c r="N10856" s="30" t="s">
        <v>1294</v>
      </c>
      <c r="P10856" s="30" t="s">
        <v>9628</v>
      </c>
      <c r="Q10856" t="s">
        <v>621</v>
      </c>
      <c r="R10856" t="s">
        <v>917</v>
      </c>
      <c r="S10856">
        <v>37</v>
      </c>
      <c r="T10856" s="29" t="str">
        <f t="shared" si="450"/>
        <v>2021.009F.R.Botourmiaviridae_6newgen_109newsp.zip</v>
      </c>
      <c r="U10856" s="29" t="str">
        <f>HYPERLINK("https://ictv.global/taxonomy/taxondetails?taxnode_id=202313229","ictv.global=202313229")</f>
        <v>ictv.global=202313229</v>
      </c>
    </row>
    <row r="10857" spans="1:21">
      <c r="A10857">
        <v>10856</v>
      </c>
      <c r="B10857" s="30" t="s">
        <v>1226</v>
      </c>
      <c r="D10857" s="30" t="s">
        <v>2024</v>
      </c>
      <c r="F10857" s="30" t="s">
        <v>2046</v>
      </c>
      <c r="H10857" s="30" t="s">
        <v>2052</v>
      </c>
      <c r="J10857" s="30" t="s">
        <v>2053</v>
      </c>
      <c r="L10857" s="30" t="s">
        <v>1290</v>
      </c>
      <c r="N10857" s="30" t="s">
        <v>1294</v>
      </c>
      <c r="P10857" s="30" t="s">
        <v>9629</v>
      </c>
      <c r="Q10857" t="s">
        <v>621</v>
      </c>
      <c r="R10857" t="s">
        <v>917</v>
      </c>
      <c r="S10857">
        <v>37</v>
      </c>
      <c r="T10857" s="29" t="str">
        <f t="shared" si="450"/>
        <v>2021.009F.R.Botourmiaviridae_6newgen_109newsp.zip</v>
      </c>
      <c r="U10857" s="29" t="str">
        <f>HYPERLINK("https://ictv.global/taxonomy/taxondetails?taxnode_id=202313223","ictv.global=202313223")</f>
        <v>ictv.global=202313223</v>
      </c>
    </row>
    <row r="10858" spans="1:21">
      <c r="A10858">
        <v>10857</v>
      </c>
      <c r="B10858" s="30" t="s">
        <v>1226</v>
      </c>
      <c r="D10858" s="30" t="s">
        <v>2024</v>
      </c>
      <c r="F10858" s="30" t="s">
        <v>2046</v>
      </c>
      <c r="H10858" s="30" t="s">
        <v>2052</v>
      </c>
      <c r="J10858" s="30" t="s">
        <v>2053</v>
      </c>
      <c r="L10858" s="30" t="s">
        <v>1290</v>
      </c>
      <c r="N10858" s="30" t="s">
        <v>1294</v>
      </c>
      <c r="P10858" s="30" t="s">
        <v>9630</v>
      </c>
      <c r="Q10858" t="s">
        <v>621</v>
      </c>
      <c r="R10858" t="s">
        <v>917</v>
      </c>
      <c r="S10858">
        <v>37</v>
      </c>
      <c r="T10858" s="29" t="str">
        <f t="shared" si="450"/>
        <v>2021.009F.R.Botourmiaviridae_6newgen_109newsp.zip</v>
      </c>
      <c r="U10858" s="29" t="str">
        <f>HYPERLINK("https://ictv.global/taxonomy/taxondetails?taxnode_id=202313224","ictv.global=202313224")</f>
        <v>ictv.global=202313224</v>
      </c>
    </row>
    <row r="10859" spans="1:21">
      <c r="A10859">
        <v>10858</v>
      </c>
      <c r="B10859" s="30" t="s">
        <v>1226</v>
      </c>
      <c r="D10859" s="30" t="s">
        <v>2024</v>
      </c>
      <c r="F10859" s="30" t="s">
        <v>2046</v>
      </c>
      <c r="H10859" s="30" t="s">
        <v>2052</v>
      </c>
      <c r="J10859" s="30" t="s">
        <v>2053</v>
      </c>
      <c r="L10859" s="30" t="s">
        <v>1290</v>
      </c>
      <c r="N10859" s="30" t="s">
        <v>1294</v>
      </c>
      <c r="P10859" s="30" t="s">
        <v>9631</v>
      </c>
      <c r="Q10859" t="s">
        <v>621</v>
      </c>
      <c r="R10859" t="s">
        <v>917</v>
      </c>
      <c r="S10859">
        <v>37</v>
      </c>
      <c r="T10859" s="29" t="str">
        <f t="shared" si="450"/>
        <v>2021.009F.R.Botourmiaviridae_6newgen_109newsp.zip</v>
      </c>
      <c r="U10859" s="29" t="str">
        <f>HYPERLINK("https://ictv.global/taxonomy/taxondetails?taxnode_id=202313225","ictv.global=202313225")</f>
        <v>ictv.global=202313225</v>
      </c>
    </row>
    <row r="10860" spans="1:21">
      <c r="A10860">
        <v>10859</v>
      </c>
      <c r="B10860" s="30" t="s">
        <v>1226</v>
      </c>
      <c r="D10860" s="30" t="s">
        <v>2024</v>
      </c>
      <c r="F10860" s="30" t="s">
        <v>2046</v>
      </c>
      <c r="H10860" s="30" t="s">
        <v>2052</v>
      </c>
      <c r="J10860" s="30" t="s">
        <v>2053</v>
      </c>
      <c r="L10860" s="30" t="s">
        <v>1290</v>
      </c>
      <c r="N10860" s="30" t="s">
        <v>1294</v>
      </c>
      <c r="P10860" s="30" t="s">
        <v>9632</v>
      </c>
      <c r="Q10860" t="s">
        <v>621</v>
      </c>
      <c r="R10860" t="s">
        <v>917</v>
      </c>
      <c r="S10860">
        <v>37</v>
      </c>
      <c r="T10860" s="29" t="str">
        <f t="shared" si="450"/>
        <v>2021.009F.R.Botourmiaviridae_6newgen_109newsp.zip</v>
      </c>
      <c r="U10860" s="29" t="str">
        <f>HYPERLINK("https://ictv.global/taxonomy/taxondetails?taxnode_id=202313214","ictv.global=202313214")</f>
        <v>ictv.global=202313214</v>
      </c>
    </row>
    <row r="10861" spans="1:21">
      <c r="A10861">
        <v>10860</v>
      </c>
      <c r="B10861" s="30" t="s">
        <v>1226</v>
      </c>
      <c r="D10861" s="30" t="s">
        <v>2024</v>
      </c>
      <c r="F10861" s="30" t="s">
        <v>2046</v>
      </c>
      <c r="H10861" s="30" t="s">
        <v>2052</v>
      </c>
      <c r="J10861" s="30" t="s">
        <v>2053</v>
      </c>
      <c r="L10861" s="30" t="s">
        <v>1290</v>
      </c>
      <c r="N10861" s="30" t="s">
        <v>1294</v>
      </c>
      <c r="P10861" s="30" t="s">
        <v>9633</v>
      </c>
      <c r="Q10861" t="s">
        <v>621</v>
      </c>
      <c r="R10861" t="s">
        <v>917</v>
      </c>
      <c r="S10861">
        <v>37</v>
      </c>
      <c r="T10861" s="29" t="str">
        <f t="shared" si="450"/>
        <v>2021.009F.R.Botourmiaviridae_6newgen_109newsp.zip</v>
      </c>
      <c r="U10861" s="29" t="str">
        <f>HYPERLINK("https://ictv.global/taxonomy/taxondetails?taxnode_id=202313231","ictv.global=202313231")</f>
        <v>ictv.global=202313231</v>
      </c>
    </row>
    <row r="10862" spans="1:21">
      <c r="A10862">
        <v>10861</v>
      </c>
      <c r="B10862" s="30" t="s">
        <v>1226</v>
      </c>
      <c r="D10862" s="30" t="s">
        <v>2024</v>
      </c>
      <c r="F10862" s="30" t="s">
        <v>2046</v>
      </c>
      <c r="H10862" s="30" t="s">
        <v>2052</v>
      </c>
      <c r="J10862" s="30" t="s">
        <v>2053</v>
      </c>
      <c r="L10862" s="30" t="s">
        <v>1290</v>
      </c>
      <c r="N10862" s="30" t="s">
        <v>1294</v>
      </c>
      <c r="P10862" s="30" t="s">
        <v>9634</v>
      </c>
      <c r="Q10862" t="s">
        <v>621</v>
      </c>
      <c r="R10862" t="s">
        <v>917</v>
      </c>
      <c r="S10862">
        <v>37</v>
      </c>
      <c r="T10862" s="29" t="str">
        <f t="shared" si="450"/>
        <v>2021.009F.R.Botourmiaviridae_6newgen_109newsp.zip</v>
      </c>
      <c r="U10862" s="29" t="str">
        <f>HYPERLINK("https://ictv.global/taxonomy/taxondetails?taxnode_id=202313220","ictv.global=202313220")</f>
        <v>ictv.global=202313220</v>
      </c>
    </row>
    <row r="10863" spans="1:21">
      <c r="A10863">
        <v>10862</v>
      </c>
      <c r="B10863" s="30" t="s">
        <v>1226</v>
      </c>
      <c r="D10863" s="30" t="s">
        <v>2024</v>
      </c>
      <c r="F10863" s="30" t="s">
        <v>2046</v>
      </c>
      <c r="H10863" s="30" t="s">
        <v>2052</v>
      </c>
      <c r="J10863" s="30" t="s">
        <v>2053</v>
      </c>
      <c r="L10863" s="30" t="s">
        <v>1290</v>
      </c>
      <c r="N10863" s="30" t="s">
        <v>1294</v>
      </c>
      <c r="P10863" s="30" t="s">
        <v>9635</v>
      </c>
      <c r="Q10863" t="s">
        <v>621</v>
      </c>
      <c r="R10863" t="s">
        <v>917</v>
      </c>
      <c r="S10863">
        <v>37</v>
      </c>
      <c r="T10863" s="29" t="str">
        <f t="shared" si="450"/>
        <v>2021.009F.R.Botourmiaviridae_6newgen_109newsp.zip</v>
      </c>
      <c r="U10863" s="29" t="str">
        <f>HYPERLINK("https://ictv.global/taxonomy/taxondetails?taxnode_id=202313212","ictv.global=202313212")</f>
        <v>ictv.global=202313212</v>
      </c>
    </row>
    <row r="10864" spans="1:21">
      <c r="A10864">
        <v>10863</v>
      </c>
      <c r="B10864" s="30" t="s">
        <v>1226</v>
      </c>
      <c r="D10864" s="30" t="s">
        <v>2024</v>
      </c>
      <c r="F10864" s="30" t="s">
        <v>2046</v>
      </c>
      <c r="H10864" s="30" t="s">
        <v>2052</v>
      </c>
      <c r="J10864" s="30" t="s">
        <v>2053</v>
      </c>
      <c r="L10864" s="30" t="s">
        <v>1290</v>
      </c>
      <c r="N10864" s="30" t="s">
        <v>1294</v>
      </c>
      <c r="P10864" s="30" t="s">
        <v>3647</v>
      </c>
      <c r="Q10864" t="s">
        <v>621</v>
      </c>
      <c r="R10864" t="s">
        <v>917</v>
      </c>
      <c r="S10864">
        <v>36</v>
      </c>
      <c r="T10864" s="29" t="str">
        <f>HYPERLINK("https://ictv.global/ictv/proposals/2020.001F.R.Botourmiaviridae.zip","2020.001F.R.Botourmiaviridae.zip")</f>
        <v>2020.001F.R.Botourmiaviridae.zip</v>
      </c>
      <c r="U10864" s="29" t="str">
        <f>HYPERLINK("https://ictv.global/taxonomy/taxondetails?taxnode_id=202308730","ictv.global=202308730")</f>
        <v>ictv.global=202308730</v>
      </c>
    </row>
    <row r="10865" spans="1:21">
      <c r="A10865">
        <v>10864</v>
      </c>
      <c r="B10865" s="30" t="s">
        <v>1226</v>
      </c>
      <c r="D10865" s="30" t="s">
        <v>2024</v>
      </c>
      <c r="F10865" s="30" t="s">
        <v>2046</v>
      </c>
      <c r="H10865" s="30" t="s">
        <v>2052</v>
      </c>
      <c r="J10865" s="30" t="s">
        <v>2053</v>
      </c>
      <c r="L10865" s="30" t="s">
        <v>1290</v>
      </c>
      <c r="N10865" s="30" t="s">
        <v>1294</v>
      </c>
      <c r="P10865" s="30" t="s">
        <v>3648</v>
      </c>
      <c r="Q10865" t="s">
        <v>621</v>
      </c>
      <c r="R10865" t="s">
        <v>917</v>
      </c>
      <c r="S10865">
        <v>36</v>
      </c>
      <c r="T10865" s="29" t="str">
        <f>HYPERLINK("https://ictv.global/ictv/proposals/2020.001F.R.Botourmiaviridae.zip","2020.001F.R.Botourmiaviridae.zip")</f>
        <v>2020.001F.R.Botourmiaviridae.zip</v>
      </c>
      <c r="U10865" s="29" t="str">
        <f>HYPERLINK("https://ictv.global/taxonomy/taxondetails?taxnode_id=202308725","ictv.global=202308725")</f>
        <v>ictv.global=202308725</v>
      </c>
    </row>
    <row r="10866" spans="1:21">
      <c r="A10866">
        <v>10865</v>
      </c>
      <c r="B10866" s="30" t="s">
        <v>1226</v>
      </c>
      <c r="D10866" s="30" t="s">
        <v>2024</v>
      </c>
      <c r="F10866" s="30" t="s">
        <v>2046</v>
      </c>
      <c r="H10866" s="30" t="s">
        <v>2052</v>
      </c>
      <c r="J10866" s="30" t="s">
        <v>2053</v>
      </c>
      <c r="L10866" s="30" t="s">
        <v>1290</v>
      </c>
      <c r="N10866" s="30" t="s">
        <v>1294</v>
      </c>
      <c r="P10866" s="30" t="s">
        <v>1296</v>
      </c>
      <c r="Q10866" t="s">
        <v>621</v>
      </c>
      <c r="R10866" t="s">
        <v>919</v>
      </c>
      <c r="S10866">
        <v>35</v>
      </c>
      <c r="T10866" s="29" t="str">
        <f>HYPERLINK("https://ictv.global/ictv/proposals/2019.006G.zip","2019.006G.zip")</f>
        <v>2019.006G.zip</v>
      </c>
      <c r="U10866" s="29" t="str">
        <f>HYPERLINK("https://ictv.global/taxonomy/taxondetails?taxnode_id=202306579","ictv.global=202306579")</f>
        <v>ictv.global=202306579</v>
      </c>
    </row>
    <row r="10867" spans="1:21">
      <c r="A10867">
        <v>10866</v>
      </c>
      <c r="B10867" s="30" t="s">
        <v>1226</v>
      </c>
      <c r="D10867" s="30" t="s">
        <v>2024</v>
      </c>
      <c r="F10867" s="30" t="s">
        <v>2046</v>
      </c>
      <c r="H10867" s="30" t="s">
        <v>2052</v>
      </c>
      <c r="J10867" s="30" t="s">
        <v>2053</v>
      </c>
      <c r="L10867" s="30" t="s">
        <v>1290</v>
      </c>
      <c r="N10867" s="30" t="s">
        <v>126</v>
      </c>
      <c r="P10867" s="30" t="s">
        <v>127</v>
      </c>
      <c r="Q10867" t="s">
        <v>621</v>
      </c>
      <c r="R10867" t="s">
        <v>919</v>
      </c>
      <c r="S10867">
        <v>35</v>
      </c>
      <c r="T10867" s="29" t="str">
        <f>HYPERLINK("https://ictv.global/ictv/proposals/2019.006G.zip","2019.006G.zip")</f>
        <v>2019.006G.zip</v>
      </c>
      <c r="U10867" s="29" t="str">
        <f>HYPERLINK("https://ictv.global/taxonomy/taxondetails?taxnode_id=202305356","ictv.global=202305356")</f>
        <v>ictv.global=202305356</v>
      </c>
    </row>
    <row r="10868" spans="1:21">
      <c r="A10868">
        <v>10867</v>
      </c>
      <c r="B10868" s="30" t="s">
        <v>1226</v>
      </c>
      <c r="D10868" s="30" t="s">
        <v>2024</v>
      </c>
      <c r="F10868" s="30" t="s">
        <v>2046</v>
      </c>
      <c r="H10868" s="30" t="s">
        <v>2052</v>
      </c>
      <c r="J10868" s="30" t="s">
        <v>2053</v>
      </c>
      <c r="L10868" s="30" t="s">
        <v>1290</v>
      </c>
      <c r="N10868" s="30" t="s">
        <v>126</v>
      </c>
      <c r="P10868" s="30" t="s">
        <v>128</v>
      </c>
      <c r="Q10868" t="s">
        <v>621</v>
      </c>
      <c r="R10868" t="s">
        <v>919</v>
      </c>
      <c r="S10868">
        <v>35</v>
      </c>
      <c r="T10868" s="29" t="str">
        <f>HYPERLINK("https://ictv.global/ictv/proposals/2019.006G.zip","2019.006G.zip")</f>
        <v>2019.006G.zip</v>
      </c>
      <c r="U10868" s="29" t="str">
        <f>HYPERLINK("https://ictv.global/taxonomy/taxondetails?taxnode_id=202305357","ictv.global=202305357")</f>
        <v>ictv.global=202305357</v>
      </c>
    </row>
    <row r="10869" spans="1:21">
      <c r="A10869">
        <v>10868</v>
      </c>
      <c r="B10869" s="30" t="s">
        <v>1226</v>
      </c>
      <c r="D10869" s="30" t="s">
        <v>2024</v>
      </c>
      <c r="F10869" s="30" t="s">
        <v>2046</v>
      </c>
      <c r="H10869" s="30" t="s">
        <v>2052</v>
      </c>
      <c r="J10869" s="30" t="s">
        <v>2053</v>
      </c>
      <c r="L10869" s="30" t="s">
        <v>1290</v>
      </c>
      <c r="N10869" s="30" t="s">
        <v>126</v>
      </c>
      <c r="P10869" s="30" t="s">
        <v>129</v>
      </c>
      <c r="Q10869" t="s">
        <v>621</v>
      </c>
      <c r="R10869" t="s">
        <v>3894</v>
      </c>
      <c r="S10869">
        <v>36</v>
      </c>
      <c r="T10869" s="29" t="str">
        <f>HYPERLINK("https://ictv.global/ictv/proposals/2020.001G.R.Abolish_type_species.pdf","2020.001G.R.Abolish_type_species.pdf")</f>
        <v>2020.001G.R.Abolish_type_species.pdf</v>
      </c>
      <c r="U10869" s="29" t="str">
        <f>HYPERLINK("https://ictv.global/taxonomy/taxondetails?taxnode_id=202305358","ictv.global=202305358")</f>
        <v>ictv.global=202305358</v>
      </c>
    </row>
    <row r="10870" spans="1:21">
      <c r="A10870">
        <v>10869</v>
      </c>
      <c r="B10870" s="30" t="s">
        <v>1226</v>
      </c>
      <c r="D10870" s="30" t="s">
        <v>2024</v>
      </c>
      <c r="F10870" s="30" t="s">
        <v>2046</v>
      </c>
      <c r="H10870" s="30" t="s">
        <v>2052</v>
      </c>
      <c r="J10870" s="30" t="s">
        <v>2053</v>
      </c>
      <c r="L10870" s="30" t="s">
        <v>1290</v>
      </c>
      <c r="N10870" s="30" t="s">
        <v>3649</v>
      </c>
      <c r="P10870" s="30" t="s">
        <v>3650</v>
      </c>
      <c r="Q10870" t="s">
        <v>621</v>
      </c>
      <c r="R10870" t="s">
        <v>917</v>
      </c>
      <c r="S10870">
        <v>36</v>
      </c>
      <c r="T10870" s="29" t="str">
        <f t="shared" ref="T10870:T10875" si="451">HYPERLINK("https://ictv.global/ictv/proposals/2020.001F.R.Botourmiaviridae.zip","2020.001F.R.Botourmiaviridae.zip")</f>
        <v>2020.001F.R.Botourmiaviridae.zip</v>
      </c>
      <c r="U10870" s="29" t="str">
        <f>HYPERLINK("https://ictv.global/taxonomy/taxondetails?taxnode_id=202308743","ictv.global=202308743")</f>
        <v>ictv.global=202308743</v>
      </c>
    </row>
    <row r="10871" spans="1:21">
      <c r="A10871">
        <v>10870</v>
      </c>
      <c r="B10871" s="30" t="s">
        <v>1226</v>
      </c>
      <c r="D10871" s="30" t="s">
        <v>2024</v>
      </c>
      <c r="F10871" s="30" t="s">
        <v>2046</v>
      </c>
      <c r="H10871" s="30" t="s">
        <v>2052</v>
      </c>
      <c r="J10871" s="30" t="s">
        <v>2053</v>
      </c>
      <c r="L10871" s="30" t="s">
        <v>1290</v>
      </c>
      <c r="N10871" s="30" t="s">
        <v>3649</v>
      </c>
      <c r="P10871" s="30" t="s">
        <v>3651</v>
      </c>
      <c r="Q10871" t="s">
        <v>621</v>
      </c>
      <c r="R10871" t="s">
        <v>917</v>
      </c>
      <c r="S10871">
        <v>36</v>
      </c>
      <c r="T10871" s="29" t="str">
        <f t="shared" si="451"/>
        <v>2020.001F.R.Botourmiaviridae.zip</v>
      </c>
      <c r="U10871" s="29" t="str">
        <f>HYPERLINK("https://ictv.global/taxonomy/taxondetails?taxnode_id=202308741","ictv.global=202308741")</f>
        <v>ictv.global=202308741</v>
      </c>
    </row>
    <row r="10872" spans="1:21">
      <c r="A10872">
        <v>10871</v>
      </c>
      <c r="B10872" s="30" t="s">
        <v>1226</v>
      </c>
      <c r="D10872" s="30" t="s">
        <v>2024</v>
      </c>
      <c r="F10872" s="30" t="s">
        <v>2046</v>
      </c>
      <c r="H10872" s="30" t="s">
        <v>2052</v>
      </c>
      <c r="J10872" s="30" t="s">
        <v>2053</v>
      </c>
      <c r="L10872" s="30" t="s">
        <v>1290</v>
      </c>
      <c r="N10872" s="30" t="s">
        <v>3649</v>
      </c>
      <c r="P10872" s="30" t="s">
        <v>3652</v>
      </c>
      <c r="Q10872" t="s">
        <v>621</v>
      </c>
      <c r="R10872" t="s">
        <v>917</v>
      </c>
      <c r="S10872">
        <v>36</v>
      </c>
      <c r="T10872" s="29" t="str">
        <f t="shared" si="451"/>
        <v>2020.001F.R.Botourmiaviridae.zip</v>
      </c>
      <c r="U10872" s="29" t="str">
        <f>HYPERLINK("https://ictv.global/taxonomy/taxondetails?taxnode_id=202308742","ictv.global=202308742")</f>
        <v>ictv.global=202308742</v>
      </c>
    </row>
    <row r="10873" spans="1:21">
      <c r="A10873">
        <v>10872</v>
      </c>
      <c r="B10873" s="30" t="s">
        <v>1226</v>
      </c>
      <c r="D10873" s="30" t="s">
        <v>2024</v>
      </c>
      <c r="F10873" s="30" t="s">
        <v>2046</v>
      </c>
      <c r="H10873" s="30" t="s">
        <v>2052</v>
      </c>
      <c r="J10873" s="30" t="s">
        <v>2053</v>
      </c>
      <c r="L10873" s="30" t="s">
        <v>1290</v>
      </c>
      <c r="N10873" s="30" t="s">
        <v>3649</v>
      </c>
      <c r="P10873" s="30" t="s">
        <v>3653</v>
      </c>
      <c r="Q10873" t="s">
        <v>621</v>
      </c>
      <c r="R10873" t="s">
        <v>917</v>
      </c>
      <c r="S10873">
        <v>36</v>
      </c>
      <c r="T10873" s="29" t="str">
        <f t="shared" si="451"/>
        <v>2020.001F.R.Botourmiaviridae.zip</v>
      </c>
      <c r="U10873" s="29" t="str">
        <f>HYPERLINK("https://ictv.global/taxonomy/taxondetails?taxnode_id=202308746","ictv.global=202308746")</f>
        <v>ictv.global=202308746</v>
      </c>
    </row>
    <row r="10874" spans="1:21">
      <c r="A10874">
        <v>10873</v>
      </c>
      <c r="B10874" s="30" t="s">
        <v>1226</v>
      </c>
      <c r="D10874" s="30" t="s">
        <v>2024</v>
      </c>
      <c r="F10874" s="30" t="s">
        <v>2046</v>
      </c>
      <c r="H10874" s="30" t="s">
        <v>2052</v>
      </c>
      <c r="J10874" s="30" t="s">
        <v>2053</v>
      </c>
      <c r="L10874" s="30" t="s">
        <v>1290</v>
      </c>
      <c r="N10874" s="30" t="s">
        <v>3649</v>
      </c>
      <c r="P10874" s="30" t="s">
        <v>3654</v>
      </c>
      <c r="Q10874" t="s">
        <v>621</v>
      </c>
      <c r="R10874" t="s">
        <v>917</v>
      </c>
      <c r="S10874">
        <v>36</v>
      </c>
      <c r="T10874" s="29" t="str">
        <f t="shared" si="451"/>
        <v>2020.001F.R.Botourmiaviridae.zip</v>
      </c>
      <c r="U10874" s="29" t="str">
        <f>HYPERLINK("https://ictv.global/taxonomy/taxondetails?taxnode_id=202308745","ictv.global=202308745")</f>
        <v>ictv.global=202308745</v>
      </c>
    </row>
    <row r="10875" spans="1:21">
      <c r="A10875">
        <v>10874</v>
      </c>
      <c r="B10875" s="30" t="s">
        <v>1226</v>
      </c>
      <c r="D10875" s="30" t="s">
        <v>2024</v>
      </c>
      <c r="F10875" s="30" t="s">
        <v>2046</v>
      </c>
      <c r="H10875" s="30" t="s">
        <v>2052</v>
      </c>
      <c r="J10875" s="30" t="s">
        <v>2053</v>
      </c>
      <c r="L10875" s="30" t="s">
        <v>1290</v>
      </c>
      <c r="N10875" s="30" t="s">
        <v>3649</v>
      </c>
      <c r="P10875" s="30" t="s">
        <v>3655</v>
      </c>
      <c r="Q10875" t="s">
        <v>621</v>
      </c>
      <c r="R10875" t="s">
        <v>917</v>
      </c>
      <c r="S10875">
        <v>36</v>
      </c>
      <c r="T10875" s="29" t="str">
        <f t="shared" si="451"/>
        <v>2020.001F.R.Botourmiaviridae.zip</v>
      </c>
      <c r="U10875" s="29" t="str">
        <f>HYPERLINK("https://ictv.global/taxonomy/taxondetails?taxnode_id=202308737","ictv.global=202308737")</f>
        <v>ictv.global=202308737</v>
      </c>
    </row>
    <row r="10876" spans="1:21">
      <c r="A10876">
        <v>10875</v>
      </c>
      <c r="B10876" s="30" t="s">
        <v>1226</v>
      </c>
      <c r="D10876" s="30" t="s">
        <v>2024</v>
      </c>
      <c r="F10876" s="30" t="s">
        <v>2046</v>
      </c>
      <c r="H10876" s="30" t="s">
        <v>2052</v>
      </c>
      <c r="J10876" s="30" t="s">
        <v>2053</v>
      </c>
      <c r="L10876" s="30" t="s">
        <v>1290</v>
      </c>
      <c r="N10876" s="30" t="s">
        <v>3649</v>
      </c>
      <c r="P10876" s="30" t="s">
        <v>9636</v>
      </c>
      <c r="Q10876" t="s">
        <v>621</v>
      </c>
      <c r="R10876" t="s">
        <v>917</v>
      </c>
      <c r="S10876">
        <v>37</v>
      </c>
      <c r="T10876" s="29" t="str">
        <f>HYPERLINK("https://ictv.global/ictv/proposals/2021.009F.R.Botourmiaviridae_6newgen_109newsp.zip","2021.009F.R.Botourmiaviridae_6newgen_109newsp.zip")</f>
        <v>2021.009F.R.Botourmiaviridae_6newgen_109newsp.zip</v>
      </c>
      <c r="U10876" s="29" t="str">
        <f>HYPERLINK("https://ictv.global/taxonomy/taxondetails?taxnode_id=202313234","ictv.global=202313234")</f>
        <v>ictv.global=202313234</v>
      </c>
    </row>
    <row r="10877" spans="1:21">
      <c r="A10877">
        <v>10876</v>
      </c>
      <c r="B10877" s="30" t="s">
        <v>1226</v>
      </c>
      <c r="D10877" s="30" t="s">
        <v>2024</v>
      </c>
      <c r="F10877" s="30" t="s">
        <v>2046</v>
      </c>
      <c r="H10877" s="30" t="s">
        <v>2052</v>
      </c>
      <c r="J10877" s="30" t="s">
        <v>2053</v>
      </c>
      <c r="L10877" s="30" t="s">
        <v>1290</v>
      </c>
      <c r="N10877" s="30" t="s">
        <v>3649</v>
      </c>
      <c r="P10877" s="30" t="s">
        <v>9637</v>
      </c>
      <c r="Q10877" t="s">
        <v>621</v>
      </c>
      <c r="R10877" t="s">
        <v>917</v>
      </c>
      <c r="S10877">
        <v>38</v>
      </c>
      <c r="T10877" s="29" t="str">
        <f>HYPERLINK("https://ictv.global/ictv/proposals/2022.003F.Botourmiaviridae_15nsp.zip","2022.003F.Botourmiaviridae_15nsp.zip")</f>
        <v>2022.003F.Botourmiaviridae_15nsp.zip</v>
      </c>
      <c r="U10877" s="29" t="str">
        <f>HYPERLINK("https://ictv.global/taxonomy/taxondetails?taxnode_id=202315018","ictv.global=202315018")</f>
        <v>ictv.global=202315018</v>
      </c>
    </row>
    <row r="10878" spans="1:21">
      <c r="A10878">
        <v>10877</v>
      </c>
      <c r="B10878" s="30" t="s">
        <v>1226</v>
      </c>
      <c r="D10878" s="30" t="s">
        <v>2024</v>
      </c>
      <c r="F10878" s="30" t="s">
        <v>2046</v>
      </c>
      <c r="H10878" s="30" t="s">
        <v>2052</v>
      </c>
      <c r="J10878" s="30" t="s">
        <v>2053</v>
      </c>
      <c r="L10878" s="30" t="s">
        <v>1290</v>
      </c>
      <c r="N10878" s="30" t="s">
        <v>3649</v>
      </c>
      <c r="P10878" s="30" t="s">
        <v>9638</v>
      </c>
      <c r="Q10878" t="s">
        <v>621</v>
      </c>
      <c r="R10878" t="s">
        <v>917</v>
      </c>
      <c r="S10878">
        <v>38</v>
      </c>
      <c r="T10878" s="29" t="str">
        <f>HYPERLINK("https://ictv.global/ictv/proposals/2022.003F.Botourmiaviridae_15nsp.zip","2022.003F.Botourmiaviridae_15nsp.zip")</f>
        <v>2022.003F.Botourmiaviridae_15nsp.zip</v>
      </c>
      <c r="U10878" s="29" t="str">
        <f>HYPERLINK("https://ictv.global/taxonomy/taxondetails?taxnode_id=202315017","ictv.global=202315017")</f>
        <v>ictv.global=202315017</v>
      </c>
    </row>
    <row r="10879" spans="1:21">
      <c r="A10879">
        <v>10878</v>
      </c>
      <c r="B10879" s="30" t="s">
        <v>1226</v>
      </c>
      <c r="D10879" s="30" t="s">
        <v>2024</v>
      </c>
      <c r="F10879" s="30" t="s">
        <v>2046</v>
      </c>
      <c r="H10879" s="30" t="s">
        <v>2052</v>
      </c>
      <c r="J10879" s="30" t="s">
        <v>2053</v>
      </c>
      <c r="L10879" s="30" t="s">
        <v>1290</v>
      </c>
      <c r="N10879" s="30" t="s">
        <v>3649</v>
      </c>
      <c r="P10879" s="30" t="s">
        <v>9639</v>
      </c>
      <c r="Q10879" t="s">
        <v>621</v>
      </c>
      <c r="R10879" t="s">
        <v>917</v>
      </c>
      <c r="S10879">
        <v>37</v>
      </c>
      <c r="T10879" s="29" t="str">
        <f t="shared" ref="T10879:T10891" si="452">HYPERLINK("https://ictv.global/ictv/proposals/2021.009F.R.Botourmiaviridae_6newgen_109newsp.zip","2021.009F.R.Botourmiaviridae_6newgen_109newsp.zip")</f>
        <v>2021.009F.R.Botourmiaviridae_6newgen_109newsp.zip</v>
      </c>
      <c r="U10879" s="29" t="str">
        <f>HYPERLINK("https://ictv.global/taxonomy/taxondetails?taxnode_id=202313237","ictv.global=202313237")</f>
        <v>ictv.global=202313237</v>
      </c>
    </row>
    <row r="10880" spans="1:21">
      <c r="A10880">
        <v>10879</v>
      </c>
      <c r="B10880" s="30" t="s">
        <v>1226</v>
      </c>
      <c r="D10880" s="30" t="s">
        <v>2024</v>
      </c>
      <c r="F10880" s="30" t="s">
        <v>2046</v>
      </c>
      <c r="H10880" s="30" t="s">
        <v>2052</v>
      </c>
      <c r="J10880" s="30" t="s">
        <v>2053</v>
      </c>
      <c r="L10880" s="30" t="s">
        <v>1290</v>
      </c>
      <c r="N10880" s="30" t="s">
        <v>3649</v>
      </c>
      <c r="P10880" s="30" t="s">
        <v>9640</v>
      </c>
      <c r="Q10880" t="s">
        <v>621</v>
      </c>
      <c r="R10880" t="s">
        <v>917</v>
      </c>
      <c r="S10880">
        <v>37</v>
      </c>
      <c r="T10880" s="29" t="str">
        <f t="shared" si="452"/>
        <v>2021.009F.R.Botourmiaviridae_6newgen_109newsp.zip</v>
      </c>
      <c r="U10880" s="29" t="str">
        <f>HYPERLINK("https://ictv.global/taxonomy/taxondetails?taxnode_id=202313235","ictv.global=202313235")</f>
        <v>ictv.global=202313235</v>
      </c>
    </row>
    <row r="10881" spans="1:21">
      <c r="A10881">
        <v>10880</v>
      </c>
      <c r="B10881" s="30" t="s">
        <v>1226</v>
      </c>
      <c r="D10881" s="30" t="s">
        <v>2024</v>
      </c>
      <c r="F10881" s="30" t="s">
        <v>2046</v>
      </c>
      <c r="H10881" s="30" t="s">
        <v>2052</v>
      </c>
      <c r="J10881" s="30" t="s">
        <v>2053</v>
      </c>
      <c r="L10881" s="30" t="s">
        <v>1290</v>
      </c>
      <c r="N10881" s="30" t="s">
        <v>3649</v>
      </c>
      <c r="P10881" s="30" t="s">
        <v>9641</v>
      </c>
      <c r="Q10881" t="s">
        <v>621</v>
      </c>
      <c r="R10881" t="s">
        <v>917</v>
      </c>
      <c r="S10881">
        <v>37</v>
      </c>
      <c r="T10881" s="29" t="str">
        <f t="shared" si="452"/>
        <v>2021.009F.R.Botourmiaviridae_6newgen_109newsp.zip</v>
      </c>
      <c r="U10881" s="29" t="str">
        <f>HYPERLINK("https://ictv.global/taxonomy/taxondetails?taxnode_id=202313238","ictv.global=202313238")</f>
        <v>ictv.global=202313238</v>
      </c>
    </row>
    <row r="10882" spans="1:21">
      <c r="A10882">
        <v>10881</v>
      </c>
      <c r="B10882" s="30" t="s">
        <v>1226</v>
      </c>
      <c r="D10882" s="30" t="s">
        <v>2024</v>
      </c>
      <c r="F10882" s="30" t="s">
        <v>2046</v>
      </c>
      <c r="H10882" s="30" t="s">
        <v>2052</v>
      </c>
      <c r="J10882" s="30" t="s">
        <v>2053</v>
      </c>
      <c r="L10882" s="30" t="s">
        <v>1290</v>
      </c>
      <c r="N10882" s="30" t="s">
        <v>3649</v>
      </c>
      <c r="P10882" s="30" t="s">
        <v>9642</v>
      </c>
      <c r="Q10882" t="s">
        <v>621</v>
      </c>
      <c r="R10882" t="s">
        <v>917</v>
      </c>
      <c r="S10882">
        <v>37</v>
      </c>
      <c r="T10882" s="29" t="str">
        <f t="shared" si="452"/>
        <v>2021.009F.R.Botourmiaviridae_6newgen_109newsp.zip</v>
      </c>
      <c r="U10882" s="29" t="str">
        <f>HYPERLINK("https://ictv.global/taxonomy/taxondetails?taxnode_id=202313240","ictv.global=202313240")</f>
        <v>ictv.global=202313240</v>
      </c>
    </row>
    <row r="10883" spans="1:21">
      <c r="A10883">
        <v>10882</v>
      </c>
      <c r="B10883" s="30" t="s">
        <v>1226</v>
      </c>
      <c r="D10883" s="30" t="s">
        <v>2024</v>
      </c>
      <c r="F10883" s="30" t="s">
        <v>2046</v>
      </c>
      <c r="H10883" s="30" t="s">
        <v>2052</v>
      </c>
      <c r="J10883" s="30" t="s">
        <v>2053</v>
      </c>
      <c r="L10883" s="30" t="s">
        <v>1290</v>
      </c>
      <c r="N10883" s="30" t="s">
        <v>3649</v>
      </c>
      <c r="P10883" s="30" t="s">
        <v>9643</v>
      </c>
      <c r="Q10883" t="s">
        <v>621</v>
      </c>
      <c r="R10883" t="s">
        <v>917</v>
      </c>
      <c r="S10883">
        <v>37</v>
      </c>
      <c r="T10883" s="29" t="str">
        <f t="shared" si="452"/>
        <v>2021.009F.R.Botourmiaviridae_6newgen_109newsp.zip</v>
      </c>
      <c r="U10883" s="29" t="str">
        <f>HYPERLINK("https://ictv.global/taxonomy/taxondetails?taxnode_id=202313241","ictv.global=202313241")</f>
        <v>ictv.global=202313241</v>
      </c>
    </row>
    <row r="10884" spans="1:21">
      <c r="A10884">
        <v>10883</v>
      </c>
      <c r="B10884" s="30" t="s">
        <v>1226</v>
      </c>
      <c r="D10884" s="30" t="s">
        <v>2024</v>
      </c>
      <c r="F10884" s="30" t="s">
        <v>2046</v>
      </c>
      <c r="H10884" s="30" t="s">
        <v>2052</v>
      </c>
      <c r="J10884" s="30" t="s">
        <v>2053</v>
      </c>
      <c r="L10884" s="30" t="s">
        <v>1290</v>
      </c>
      <c r="N10884" s="30" t="s">
        <v>3649</v>
      </c>
      <c r="P10884" s="30" t="s">
        <v>9644</v>
      </c>
      <c r="Q10884" t="s">
        <v>621</v>
      </c>
      <c r="R10884" t="s">
        <v>917</v>
      </c>
      <c r="S10884">
        <v>37</v>
      </c>
      <c r="T10884" s="29" t="str">
        <f t="shared" si="452"/>
        <v>2021.009F.R.Botourmiaviridae_6newgen_109newsp.zip</v>
      </c>
      <c r="U10884" s="29" t="str">
        <f>HYPERLINK("https://ictv.global/taxonomy/taxondetails?taxnode_id=202313243","ictv.global=202313243")</f>
        <v>ictv.global=202313243</v>
      </c>
    </row>
    <row r="10885" spans="1:21">
      <c r="A10885">
        <v>10884</v>
      </c>
      <c r="B10885" s="30" t="s">
        <v>1226</v>
      </c>
      <c r="D10885" s="30" t="s">
        <v>2024</v>
      </c>
      <c r="F10885" s="30" t="s">
        <v>2046</v>
      </c>
      <c r="H10885" s="30" t="s">
        <v>2052</v>
      </c>
      <c r="J10885" s="30" t="s">
        <v>2053</v>
      </c>
      <c r="L10885" s="30" t="s">
        <v>1290</v>
      </c>
      <c r="N10885" s="30" t="s">
        <v>3649</v>
      </c>
      <c r="P10885" s="30" t="s">
        <v>9645</v>
      </c>
      <c r="Q10885" t="s">
        <v>621</v>
      </c>
      <c r="R10885" t="s">
        <v>917</v>
      </c>
      <c r="S10885">
        <v>37</v>
      </c>
      <c r="T10885" s="29" t="str">
        <f t="shared" si="452"/>
        <v>2021.009F.R.Botourmiaviridae_6newgen_109newsp.zip</v>
      </c>
      <c r="U10885" s="29" t="str">
        <f>HYPERLINK("https://ictv.global/taxonomy/taxondetails?taxnode_id=202313236","ictv.global=202313236")</f>
        <v>ictv.global=202313236</v>
      </c>
    </row>
    <row r="10886" spans="1:21">
      <c r="A10886">
        <v>10885</v>
      </c>
      <c r="B10886" s="30" t="s">
        <v>1226</v>
      </c>
      <c r="D10886" s="30" t="s">
        <v>2024</v>
      </c>
      <c r="F10886" s="30" t="s">
        <v>2046</v>
      </c>
      <c r="H10886" s="30" t="s">
        <v>2052</v>
      </c>
      <c r="J10886" s="30" t="s">
        <v>2053</v>
      </c>
      <c r="L10886" s="30" t="s">
        <v>1290</v>
      </c>
      <c r="N10886" s="30" t="s">
        <v>3649</v>
      </c>
      <c r="P10886" s="30" t="s">
        <v>9646</v>
      </c>
      <c r="Q10886" t="s">
        <v>621</v>
      </c>
      <c r="R10886" t="s">
        <v>917</v>
      </c>
      <c r="S10886">
        <v>37</v>
      </c>
      <c r="T10886" s="29" t="str">
        <f t="shared" si="452"/>
        <v>2021.009F.R.Botourmiaviridae_6newgen_109newsp.zip</v>
      </c>
      <c r="U10886" s="29" t="str">
        <f>HYPERLINK("https://ictv.global/taxonomy/taxondetails?taxnode_id=202313239","ictv.global=202313239")</f>
        <v>ictv.global=202313239</v>
      </c>
    </row>
    <row r="10887" spans="1:21">
      <c r="A10887">
        <v>10886</v>
      </c>
      <c r="B10887" s="30" t="s">
        <v>1226</v>
      </c>
      <c r="D10887" s="30" t="s">
        <v>2024</v>
      </c>
      <c r="F10887" s="30" t="s">
        <v>2046</v>
      </c>
      <c r="H10887" s="30" t="s">
        <v>2052</v>
      </c>
      <c r="J10887" s="30" t="s">
        <v>2053</v>
      </c>
      <c r="L10887" s="30" t="s">
        <v>1290</v>
      </c>
      <c r="N10887" s="30" t="s">
        <v>3649</v>
      </c>
      <c r="P10887" s="30" t="s">
        <v>9647</v>
      </c>
      <c r="Q10887" t="s">
        <v>621</v>
      </c>
      <c r="R10887" t="s">
        <v>917</v>
      </c>
      <c r="S10887">
        <v>37</v>
      </c>
      <c r="T10887" s="29" t="str">
        <f t="shared" si="452"/>
        <v>2021.009F.R.Botourmiaviridae_6newgen_109newsp.zip</v>
      </c>
      <c r="U10887" s="29" t="str">
        <f>HYPERLINK("https://ictv.global/taxonomy/taxondetails?taxnode_id=202313245","ictv.global=202313245")</f>
        <v>ictv.global=202313245</v>
      </c>
    </row>
    <row r="10888" spans="1:21">
      <c r="A10888">
        <v>10887</v>
      </c>
      <c r="B10888" s="30" t="s">
        <v>1226</v>
      </c>
      <c r="D10888" s="30" t="s">
        <v>2024</v>
      </c>
      <c r="F10888" s="30" t="s">
        <v>2046</v>
      </c>
      <c r="H10888" s="30" t="s">
        <v>2052</v>
      </c>
      <c r="J10888" s="30" t="s">
        <v>2053</v>
      </c>
      <c r="L10888" s="30" t="s">
        <v>1290</v>
      </c>
      <c r="N10888" s="30" t="s">
        <v>3649</v>
      </c>
      <c r="P10888" s="30" t="s">
        <v>9648</v>
      </c>
      <c r="Q10888" t="s">
        <v>621</v>
      </c>
      <c r="R10888" t="s">
        <v>917</v>
      </c>
      <c r="S10888">
        <v>37</v>
      </c>
      <c r="T10888" s="29" t="str">
        <f t="shared" si="452"/>
        <v>2021.009F.R.Botourmiaviridae_6newgen_109newsp.zip</v>
      </c>
      <c r="U10888" s="29" t="str">
        <f>HYPERLINK("https://ictv.global/taxonomy/taxondetails?taxnode_id=202313233","ictv.global=202313233")</f>
        <v>ictv.global=202313233</v>
      </c>
    </row>
    <row r="10889" spans="1:21">
      <c r="A10889">
        <v>10888</v>
      </c>
      <c r="B10889" s="30" t="s">
        <v>1226</v>
      </c>
      <c r="D10889" s="30" t="s">
        <v>2024</v>
      </c>
      <c r="F10889" s="30" t="s">
        <v>2046</v>
      </c>
      <c r="H10889" s="30" t="s">
        <v>2052</v>
      </c>
      <c r="J10889" s="30" t="s">
        <v>2053</v>
      </c>
      <c r="L10889" s="30" t="s">
        <v>1290</v>
      </c>
      <c r="N10889" s="30" t="s">
        <v>3649</v>
      </c>
      <c r="P10889" s="30" t="s">
        <v>9649</v>
      </c>
      <c r="Q10889" t="s">
        <v>621</v>
      </c>
      <c r="R10889" t="s">
        <v>917</v>
      </c>
      <c r="S10889">
        <v>37</v>
      </c>
      <c r="T10889" s="29" t="str">
        <f t="shared" si="452"/>
        <v>2021.009F.R.Botourmiaviridae_6newgen_109newsp.zip</v>
      </c>
      <c r="U10889" s="29" t="str">
        <f>HYPERLINK("https://ictv.global/taxonomy/taxondetails?taxnode_id=202313232","ictv.global=202313232")</f>
        <v>ictv.global=202313232</v>
      </c>
    </row>
    <row r="10890" spans="1:21">
      <c r="A10890">
        <v>10889</v>
      </c>
      <c r="B10890" s="30" t="s">
        <v>1226</v>
      </c>
      <c r="D10890" s="30" t="s">
        <v>2024</v>
      </c>
      <c r="F10890" s="30" t="s">
        <v>2046</v>
      </c>
      <c r="H10890" s="30" t="s">
        <v>2052</v>
      </c>
      <c r="J10890" s="30" t="s">
        <v>2053</v>
      </c>
      <c r="L10890" s="30" t="s">
        <v>1290</v>
      </c>
      <c r="N10890" s="30" t="s">
        <v>3649</v>
      </c>
      <c r="P10890" s="30" t="s">
        <v>9650</v>
      </c>
      <c r="Q10890" t="s">
        <v>621</v>
      </c>
      <c r="R10890" t="s">
        <v>917</v>
      </c>
      <c r="S10890">
        <v>37</v>
      </c>
      <c r="T10890" s="29" t="str">
        <f t="shared" si="452"/>
        <v>2021.009F.R.Botourmiaviridae_6newgen_109newsp.zip</v>
      </c>
      <c r="U10890" s="29" t="str">
        <f>HYPERLINK("https://ictv.global/taxonomy/taxondetails?taxnode_id=202313244","ictv.global=202313244")</f>
        <v>ictv.global=202313244</v>
      </c>
    </row>
    <row r="10891" spans="1:21">
      <c r="A10891">
        <v>10890</v>
      </c>
      <c r="B10891" s="30" t="s">
        <v>1226</v>
      </c>
      <c r="D10891" s="30" t="s">
        <v>2024</v>
      </c>
      <c r="F10891" s="30" t="s">
        <v>2046</v>
      </c>
      <c r="H10891" s="30" t="s">
        <v>2052</v>
      </c>
      <c r="J10891" s="30" t="s">
        <v>2053</v>
      </c>
      <c r="L10891" s="30" t="s">
        <v>1290</v>
      </c>
      <c r="N10891" s="30" t="s">
        <v>3649</v>
      </c>
      <c r="P10891" s="30" t="s">
        <v>9651</v>
      </c>
      <c r="Q10891" t="s">
        <v>621</v>
      </c>
      <c r="R10891" t="s">
        <v>917</v>
      </c>
      <c r="S10891">
        <v>37</v>
      </c>
      <c r="T10891" s="29" t="str">
        <f t="shared" si="452"/>
        <v>2021.009F.R.Botourmiaviridae_6newgen_109newsp.zip</v>
      </c>
      <c r="U10891" s="29" t="str">
        <f>HYPERLINK("https://ictv.global/taxonomy/taxondetails?taxnode_id=202313242","ictv.global=202313242")</f>
        <v>ictv.global=202313242</v>
      </c>
    </row>
    <row r="10892" spans="1:21">
      <c r="A10892">
        <v>10891</v>
      </c>
      <c r="B10892" s="30" t="s">
        <v>1226</v>
      </c>
      <c r="D10892" s="30" t="s">
        <v>2024</v>
      </c>
      <c r="F10892" s="30" t="s">
        <v>2046</v>
      </c>
      <c r="H10892" s="30" t="s">
        <v>2052</v>
      </c>
      <c r="J10892" s="30" t="s">
        <v>2053</v>
      </c>
      <c r="L10892" s="30" t="s">
        <v>1290</v>
      </c>
      <c r="N10892" s="30" t="s">
        <v>3649</v>
      </c>
      <c r="P10892" s="30" t="s">
        <v>3656</v>
      </c>
      <c r="Q10892" t="s">
        <v>621</v>
      </c>
      <c r="R10892" t="s">
        <v>917</v>
      </c>
      <c r="S10892">
        <v>36</v>
      </c>
      <c r="T10892" s="29" t="str">
        <f t="shared" ref="T10892:T10897" si="453">HYPERLINK("https://ictv.global/ictv/proposals/2020.001F.R.Botourmiaviridae.zip","2020.001F.R.Botourmiaviridae.zip")</f>
        <v>2020.001F.R.Botourmiaviridae.zip</v>
      </c>
      <c r="U10892" s="29" t="str">
        <f>HYPERLINK("https://ictv.global/taxonomy/taxondetails?taxnode_id=202308738","ictv.global=202308738")</f>
        <v>ictv.global=202308738</v>
      </c>
    </row>
    <row r="10893" spans="1:21">
      <c r="A10893">
        <v>10892</v>
      </c>
      <c r="B10893" s="30" t="s">
        <v>1226</v>
      </c>
      <c r="D10893" s="30" t="s">
        <v>2024</v>
      </c>
      <c r="F10893" s="30" t="s">
        <v>2046</v>
      </c>
      <c r="H10893" s="30" t="s">
        <v>2052</v>
      </c>
      <c r="J10893" s="30" t="s">
        <v>2053</v>
      </c>
      <c r="L10893" s="30" t="s">
        <v>1290</v>
      </c>
      <c r="N10893" s="30" t="s">
        <v>3649</v>
      </c>
      <c r="P10893" s="30" t="s">
        <v>3657</v>
      </c>
      <c r="Q10893" t="s">
        <v>621</v>
      </c>
      <c r="R10893" t="s">
        <v>917</v>
      </c>
      <c r="S10893">
        <v>36</v>
      </c>
      <c r="T10893" s="29" t="str">
        <f t="shared" si="453"/>
        <v>2020.001F.R.Botourmiaviridae.zip</v>
      </c>
      <c r="U10893" s="29" t="str">
        <f>HYPERLINK("https://ictv.global/taxonomy/taxondetails?taxnode_id=202308740","ictv.global=202308740")</f>
        <v>ictv.global=202308740</v>
      </c>
    </row>
    <row r="10894" spans="1:21">
      <c r="A10894">
        <v>10893</v>
      </c>
      <c r="B10894" s="30" t="s">
        <v>1226</v>
      </c>
      <c r="D10894" s="30" t="s">
        <v>2024</v>
      </c>
      <c r="F10894" s="30" t="s">
        <v>2046</v>
      </c>
      <c r="H10894" s="30" t="s">
        <v>2052</v>
      </c>
      <c r="J10894" s="30" t="s">
        <v>2053</v>
      </c>
      <c r="L10894" s="30" t="s">
        <v>1290</v>
      </c>
      <c r="N10894" s="30" t="s">
        <v>3649</v>
      </c>
      <c r="P10894" s="30" t="s">
        <v>3658</v>
      </c>
      <c r="Q10894" t="s">
        <v>621</v>
      </c>
      <c r="R10894" t="s">
        <v>917</v>
      </c>
      <c r="S10894">
        <v>36</v>
      </c>
      <c r="T10894" s="29" t="str">
        <f t="shared" si="453"/>
        <v>2020.001F.R.Botourmiaviridae.zip</v>
      </c>
      <c r="U10894" s="29" t="str">
        <f>HYPERLINK("https://ictv.global/taxonomy/taxondetails?taxnode_id=202308747","ictv.global=202308747")</f>
        <v>ictv.global=202308747</v>
      </c>
    </row>
    <row r="10895" spans="1:21">
      <c r="A10895">
        <v>10894</v>
      </c>
      <c r="B10895" s="30" t="s">
        <v>1226</v>
      </c>
      <c r="D10895" s="30" t="s">
        <v>2024</v>
      </c>
      <c r="F10895" s="30" t="s">
        <v>2046</v>
      </c>
      <c r="H10895" s="30" t="s">
        <v>2052</v>
      </c>
      <c r="J10895" s="30" t="s">
        <v>2053</v>
      </c>
      <c r="L10895" s="30" t="s">
        <v>1290</v>
      </c>
      <c r="N10895" s="30" t="s">
        <v>3649</v>
      </c>
      <c r="P10895" s="30" t="s">
        <v>3659</v>
      </c>
      <c r="Q10895" t="s">
        <v>621</v>
      </c>
      <c r="R10895" t="s">
        <v>917</v>
      </c>
      <c r="S10895">
        <v>36</v>
      </c>
      <c r="T10895" s="29" t="str">
        <f t="shared" si="453"/>
        <v>2020.001F.R.Botourmiaviridae.zip</v>
      </c>
      <c r="U10895" s="29" t="str">
        <f>HYPERLINK("https://ictv.global/taxonomy/taxondetails?taxnode_id=202308744","ictv.global=202308744")</f>
        <v>ictv.global=202308744</v>
      </c>
    </row>
    <row r="10896" spans="1:21">
      <c r="A10896">
        <v>10895</v>
      </c>
      <c r="B10896" s="30" t="s">
        <v>1226</v>
      </c>
      <c r="D10896" s="30" t="s">
        <v>2024</v>
      </c>
      <c r="F10896" s="30" t="s">
        <v>2046</v>
      </c>
      <c r="H10896" s="30" t="s">
        <v>2052</v>
      </c>
      <c r="J10896" s="30" t="s">
        <v>2053</v>
      </c>
      <c r="L10896" s="30" t="s">
        <v>1290</v>
      </c>
      <c r="N10896" s="30" t="s">
        <v>3649</v>
      </c>
      <c r="P10896" s="30" t="s">
        <v>3660</v>
      </c>
      <c r="Q10896" t="s">
        <v>621</v>
      </c>
      <c r="R10896" t="s">
        <v>917</v>
      </c>
      <c r="S10896">
        <v>36</v>
      </c>
      <c r="T10896" s="29" t="str">
        <f t="shared" si="453"/>
        <v>2020.001F.R.Botourmiaviridae.zip</v>
      </c>
      <c r="U10896" s="29" t="str">
        <f>HYPERLINK("https://ictv.global/taxonomy/taxondetails?taxnode_id=202308739","ictv.global=202308739")</f>
        <v>ictv.global=202308739</v>
      </c>
    </row>
    <row r="10897" spans="1:21">
      <c r="A10897">
        <v>10896</v>
      </c>
      <c r="B10897" s="30" t="s">
        <v>1226</v>
      </c>
      <c r="D10897" s="30" t="s">
        <v>2024</v>
      </c>
      <c r="F10897" s="30" t="s">
        <v>2046</v>
      </c>
      <c r="H10897" s="30" t="s">
        <v>2052</v>
      </c>
      <c r="J10897" s="30" t="s">
        <v>2053</v>
      </c>
      <c r="L10897" s="30" t="s">
        <v>1290</v>
      </c>
      <c r="N10897" s="30" t="s">
        <v>3661</v>
      </c>
      <c r="P10897" s="30" t="s">
        <v>3662</v>
      </c>
      <c r="Q10897" t="s">
        <v>621</v>
      </c>
      <c r="R10897" t="s">
        <v>917</v>
      </c>
      <c r="S10897">
        <v>36</v>
      </c>
      <c r="T10897" s="29" t="str">
        <f t="shared" si="453"/>
        <v>2020.001F.R.Botourmiaviridae.zip</v>
      </c>
      <c r="U10897" s="29" t="str">
        <f>HYPERLINK("https://ictv.global/taxonomy/taxondetails?taxnode_id=202308735","ictv.global=202308735")</f>
        <v>ictv.global=202308735</v>
      </c>
    </row>
    <row r="10898" spans="1:21">
      <c r="A10898">
        <v>10897</v>
      </c>
      <c r="B10898" s="30" t="s">
        <v>1226</v>
      </c>
      <c r="D10898" s="30" t="s">
        <v>2024</v>
      </c>
      <c r="F10898" s="30" t="s">
        <v>2046</v>
      </c>
      <c r="H10898" s="30" t="s">
        <v>2052</v>
      </c>
      <c r="J10898" s="30" t="s">
        <v>2053</v>
      </c>
      <c r="L10898" s="30" t="s">
        <v>1290</v>
      </c>
      <c r="N10898" s="30" t="s">
        <v>3661</v>
      </c>
      <c r="P10898" s="30" t="s">
        <v>17264</v>
      </c>
      <c r="Q10898" t="s">
        <v>621</v>
      </c>
      <c r="R10898" t="s">
        <v>918</v>
      </c>
      <c r="S10898">
        <v>39</v>
      </c>
      <c r="T10898" s="29" t="str">
        <f>HYPERLINK("https://ictv.global/ictv/proposals/2023.001F.Botourmiaviridae_move_rename1sp.zip","2023.001F.Botourmiaviridae_move_rename1sp.zip")</f>
        <v>2023.001F.Botourmiaviridae_move_rename1sp.zip</v>
      </c>
      <c r="U10898" s="29" t="str">
        <f>HYPERLINK("https://ictv.global/taxonomy/taxondetails?taxnode_id=202315019","ictv.global=202315019")</f>
        <v>ictv.global=202315019</v>
      </c>
    </row>
    <row r="10899" spans="1:21">
      <c r="A10899">
        <v>10898</v>
      </c>
      <c r="B10899" s="30" t="s">
        <v>1226</v>
      </c>
      <c r="D10899" s="30" t="s">
        <v>2024</v>
      </c>
      <c r="F10899" s="30" t="s">
        <v>2046</v>
      </c>
      <c r="H10899" s="30" t="s">
        <v>2052</v>
      </c>
      <c r="J10899" s="30" t="s">
        <v>2053</v>
      </c>
      <c r="L10899" s="30" t="s">
        <v>1290</v>
      </c>
      <c r="N10899" s="30" t="s">
        <v>3661</v>
      </c>
      <c r="P10899" s="30" t="s">
        <v>9652</v>
      </c>
      <c r="Q10899" t="s">
        <v>621</v>
      </c>
      <c r="R10899" t="s">
        <v>917</v>
      </c>
      <c r="S10899">
        <v>37</v>
      </c>
      <c r="T10899" s="29" t="str">
        <f>HYPERLINK("https://ictv.global/ictv/proposals/2021.009F.R.Botourmiaviridae_6newgen_109newsp.zip","2021.009F.R.Botourmiaviridae_6newgen_109newsp.zip")</f>
        <v>2021.009F.R.Botourmiaviridae_6newgen_109newsp.zip</v>
      </c>
      <c r="U10899" s="29" t="str">
        <f>HYPERLINK("https://ictv.global/taxonomy/taxondetails?taxnode_id=202313246","ictv.global=202313246")</f>
        <v>ictv.global=202313246</v>
      </c>
    </row>
    <row r="10900" spans="1:21">
      <c r="A10900">
        <v>10899</v>
      </c>
      <c r="B10900" s="30" t="s">
        <v>1226</v>
      </c>
      <c r="D10900" s="30" t="s">
        <v>2024</v>
      </c>
      <c r="F10900" s="30" t="s">
        <v>2046</v>
      </c>
      <c r="H10900" s="30" t="s">
        <v>2052</v>
      </c>
      <c r="J10900" s="30" t="s">
        <v>2053</v>
      </c>
      <c r="L10900" s="30" t="s">
        <v>1290</v>
      </c>
      <c r="N10900" s="30" t="s">
        <v>3661</v>
      </c>
      <c r="P10900" s="30" t="s">
        <v>9653</v>
      </c>
      <c r="Q10900" t="s">
        <v>621</v>
      </c>
      <c r="R10900" t="s">
        <v>917</v>
      </c>
      <c r="S10900">
        <v>37</v>
      </c>
      <c r="T10900" s="29" t="str">
        <f>HYPERLINK("https://ictv.global/ictv/proposals/2021.009F.R.Botourmiaviridae_6newgen_109newsp.zip","2021.009F.R.Botourmiaviridae_6newgen_109newsp.zip")</f>
        <v>2021.009F.R.Botourmiaviridae_6newgen_109newsp.zip</v>
      </c>
      <c r="U10900" s="29" t="str">
        <f>HYPERLINK("https://ictv.global/taxonomy/taxondetails?taxnode_id=202313247","ictv.global=202313247")</f>
        <v>ictv.global=202313247</v>
      </c>
    </row>
    <row r="10901" spans="1:21">
      <c r="A10901">
        <v>10900</v>
      </c>
      <c r="B10901" s="30" t="s">
        <v>1226</v>
      </c>
      <c r="D10901" s="30" t="s">
        <v>2024</v>
      </c>
      <c r="F10901" s="30" t="s">
        <v>2046</v>
      </c>
      <c r="H10901" s="30" t="s">
        <v>2052</v>
      </c>
      <c r="J10901" s="30" t="s">
        <v>2053</v>
      </c>
      <c r="L10901" s="30" t="s">
        <v>1290</v>
      </c>
      <c r="N10901" s="30" t="s">
        <v>3661</v>
      </c>
      <c r="P10901" s="30" t="s">
        <v>9654</v>
      </c>
      <c r="Q10901" t="s">
        <v>621</v>
      </c>
      <c r="R10901" t="s">
        <v>917</v>
      </c>
      <c r="S10901">
        <v>37</v>
      </c>
      <c r="T10901" s="29" t="str">
        <f>HYPERLINK("https://ictv.global/ictv/proposals/2021.009F.R.Botourmiaviridae_6newgen_109newsp.zip","2021.009F.R.Botourmiaviridae_6newgen_109newsp.zip")</f>
        <v>2021.009F.R.Botourmiaviridae_6newgen_109newsp.zip</v>
      </c>
      <c r="U10901" s="29" t="str">
        <f>HYPERLINK("https://ictv.global/taxonomy/taxondetails?taxnode_id=202313248","ictv.global=202313248")</f>
        <v>ictv.global=202313248</v>
      </c>
    </row>
    <row r="10902" spans="1:21">
      <c r="A10902">
        <v>10901</v>
      </c>
      <c r="B10902" s="30" t="s">
        <v>1226</v>
      </c>
      <c r="D10902" s="30" t="s">
        <v>2024</v>
      </c>
      <c r="F10902" s="30" t="s">
        <v>2046</v>
      </c>
      <c r="H10902" s="30" t="s">
        <v>2052</v>
      </c>
      <c r="J10902" s="30" t="s">
        <v>2053</v>
      </c>
      <c r="L10902" s="30" t="s">
        <v>1290</v>
      </c>
      <c r="N10902" s="30" t="s">
        <v>1297</v>
      </c>
      <c r="P10902" s="30" t="s">
        <v>3663</v>
      </c>
      <c r="Q10902" t="s">
        <v>621</v>
      </c>
      <c r="R10902" t="s">
        <v>917</v>
      </c>
      <c r="S10902">
        <v>36</v>
      </c>
      <c r="T10902" s="29" t="str">
        <f>HYPERLINK("https://ictv.global/ictv/proposals/2020.001F.R.Botourmiaviridae.zip","2020.001F.R.Botourmiaviridae.zip")</f>
        <v>2020.001F.R.Botourmiaviridae.zip</v>
      </c>
      <c r="U10902" s="29" t="str">
        <f>HYPERLINK("https://ictv.global/taxonomy/taxondetails?taxnode_id=202308732","ictv.global=202308732")</f>
        <v>ictv.global=202308732</v>
      </c>
    </row>
    <row r="10903" spans="1:21">
      <c r="A10903">
        <v>10902</v>
      </c>
      <c r="B10903" s="30" t="s">
        <v>1226</v>
      </c>
      <c r="D10903" s="30" t="s">
        <v>2024</v>
      </c>
      <c r="F10903" s="30" t="s">
        <v>2046</v>
      </c>
      <c r="H10903" s="30" t="s">
        <v>2052</v>
      </c>
      <c r="J10903" s="30" t="s">
        <v>2053</v>
      </c>
      <c r="L10903" s="30" t="s">
        <v>1290</v>
      </c>
      <c r="N10903" s="30" t="s">
        <v>1297</v>
      </c>
      <c r="P10903" s="30" t="s">
        <v>3664</v>
      </c>
      <c r="Q10903" t="s">
        <v>621</v>
      </c>
      <c r="R10903" t="s">
        <v>917</v>
      </c>
      <c r="S10903">
        <v>36</v>
      </c>
      <c r="T10903" s="29" t="str">
        <f>HYPERLINK("https://ictv.global/ictv/proposals/2020.001F.R.Botourmiaviridae.zip","2020.001F.R.Botourmiaviridae.zip")</f>
        <v>2020.001F.R.Botourmiaviridae.zip</v>
      </c>
      <c r="U10903" s="29" t="str">
        <f>HYPERLINK("https://ictv.global/taxonomy/taxondetails?taxnode_id=202308733","ictv.global=202308733")</f>
        <v>ictv.global=202308733</v>
      </c>
    </row>
    <row r="10904" spans="1:21">
      <c r="A10904">
        <v>10903</v>
      </c>
      <c r="B10904" s="30" t="s">
        <v>1226</v>
      </c>
      <c r="D10904" s="30" t="s">
        <v>2024</v>
      </c>
      <c r="F10904" s="30" t="s">
        <v>2046</v>
      </c>
      <c r="H10904" s="30" t="s">
        <v>2052</v>
      </c>
      <c r="J10904" s="30" t="s">
        <v>2053</v>
      </c>
      <c r="L10904" s="30" t="s">
        <v>1290</v>
      </c>
      <c r="N10904" s="30" t="s">
        <v>1297</v>
      </c>
      <c r="P10904" s="30" t="s">
        <v>1298</v>
      </c>
      <c r="Q10904" t="s">
        <v>621</v>
      </c>
      <c r="R10904" t="s">
        <v>3894</v>
      </c>
      <c r="S10904">
        <v>36</v>
      </c>
      <c r="T10904" s="29" t="str">
        <f>HYPERLINK("https://ictv.global/ictv/proposals/2020.001G.R.Abolish_type_species.pdf","2020.001G.R.Abolish_type_species.pdf")</f>
        <v>2020.001G.R.Abolish_type_species.pdf</v>
      </c>
      <c r="U10904" s="29" t="str">
        <f>HYPERLINK("https://ictv.global/taxonomy/taxondetails?taxnode_id=202306284","ictv.global=202306284")</f>
        <v>ictv.global=202306284</v>
      </c>
    </row>
    <row r="10905" spans="1:21">
      <c r="A10905">
        <v>10904</v>
      </c>
      <c r="B10905" s="30" t="s">
        <v>1226</v>
      </c>
      <c r="D10905" s="30" t="s">
        <v>2024</v>
      </c>
      <c r="F10905" s="30" t="s">
        <v>2046</v>
      </c>
      <c r="H10905" s="30" t="s">
        <v>2052</v>
      </c>
      <c r="J10905" s="30" t="s">
        <v>2053</v>
      </c>
      <c r="L10905" s="30" t="s">
        <v>1290</v>
      </c>
      <c r="N10905" s="30" t="s">
        <v>1297</v>
      </c>
      <c r="P10905" s="30" t="s">
        <v>9655</v>
      </c>
      <c r="Q10905" t="s">
        <v>621</v>
      </c>
      <c r="R10905" t="s">
        <v>917</v>
      </c>
      <c r="S10905">
        <v>38</v>
      </c>
      <c r="T10905" s="29" t="str">
        <f>HYPERLINK("https://ictv.global/ictv/proposals/2022.003F.Botourmiaviridae_15nsp.zip","2022.003F.Botourmiaviridae_15nsp.zip")</f>
        <v>2022.003F.Botourmiaviridae_15nsp.zip</v>
      </c>
      <c r="U10905" s="29" t="str">
        <f>HYPERLINK("https://ictv.global/taxonomy/taxondetails?taxnode_id=202315014","ictv.global=202315014")</f>
        <v>ictv.global=202315014</v>
      </c>
    </row>
    <row r="10906" spans="1:21">
      <c r="A10906">
        <v>10905</v>
      </c>
      <c r="B10906" s="30" t="s">
        <v>1226</v>
      </c>
      <c r="D10906" s="30" t="s">
        <v>2024</v>
      </c>
      <c r="F10906" s="30" t="s">
        <v>2046</v>
      </c>
      <c r="H10906" s="30" t="s">
        <v>2052</v>
      </c>
      <c r="J10906" s="30" t="s">
        <v>2053</v>
      </c>
      <c r="L10906" s="30" t="s">
        <v>1290</v>
      </c>
      <c r="N10906" s="30" t="s">
        <v>1297</v>
      </c>
      <c r="P10906" s="30" t="s">
        <v>9656</v>
      </c>
      <c r="Q10906" t="s">
        <v>621</v>
      </c>
      <c r="R10906" t="s">
        <v>917</v>
      </c>
      <c r="S10906">
        <v>38</v>
      </c>
      <c r="T10906" s="29" t="str">
        <f>HYPERLINK("https://ictv.global/ictv/proposals/2022.003F.Botourmiaviridae_15nsp.zip","2022.003F.Botourmiaviridae_15nsp.zip")</f>
        <v>2022.003F.Botourmiaviridae_15nsp.zip</v>
      </c>
      <c r="U10906" s="29" t="str">
        <f>HYPERLINK("https://ictv.global/taxonomy/taxondetails?taxnode_id=202315013","ictv.global=202315013")</f>
        <v>ictv.global=202315013</v>
      </c>
    </row>
    <row r="10907" spans="1:21">
      <c r="A10907">
        <v>10906</v>
      </c>
      <c r="B10907" s="30" t="s">
        <v>1226</v>
      </c>
      <c r="D10907" s="30" t="s">
        <v>2024</v>
      </c>
      <c r="F10907" s="30" t="s">
        <v>2046</v>
      </c>
      <c r="H10907" s="30" t="s">
        <v>2052</v>
      </c>
      <c r="J10907" s="30" t="s">
        <v>2053</v>
      </c>
      <c r="L10907" s="30" t="s">
        <v>1290</v>
      </c>
      <c r="N10907" s="30" t="s">
        <v>1297</v>
      </c>
      <c r="P10907" s="30" t="s">
        <v>9657</v>
      </c>
      <c r="Q10907" t="s">
        <v>621</v>
      </c>
      <c r="R10907" t="s">
        <v>917</v>
      </c>
      <c r="S10907">
        <v>37</v>
      </c>
      <c r="T10907" s="29" t="str">
        <f t="shared" ref="T10907:T10925" si="454">HYPERLINK("https://ictv.global/ictv/proposals/2021.009F.R.Botourmiaviridae_6newgen_109newsp.zip","2021.009F.R.Botourmiaviridae_6newgen_109newsp.zip")</f>
        <v>2021.009F.R.Botourmiaviridae_6newgen_109newsp.zip</v>
      </c>
      <c r="U10907" s="29" t="str">
        <f>HYPERLINK("https://ictv.global/taxonomy/taxondetails?taxnode_id=202312578","ictv.global=202312578")</f>
        <v>ictv.global=202312578</v>
      </c>
    </row>
    <row r="10908" spans="1:21">
      <c r="A10908">
        <v>10907</v>
      </c>
      <c r="B10908" s="30" t="s">
        <v>1226</v>
      </c>
      <c r="D10908" s="30" t="s">
        <v>2024</v>
      </c>
      <c r="F10908" s="30" t="s">
        <v>2046</v>
      </c>
      <c r="H10908" s="30" t="s">
        <v>2052</v>
      </c>
      <c r="J10908" s="30" t="s">
        <v>2053</v>
      </c>
      <c r="L10908" s="30" t="s">
        <v>1290</v>
      </c>
      <c r="N10908" s="30" t="s">
        <v>1297</v>
      </c>
      <c r="P10908" s="30" t="s">
        <v>9658</v>
      </c>
      <c r="Q10908" t="s">
        <v>621</v>
      </c>
      <c r="R10908" t="s">
        <v>917</v>
      </c>
      <c r="S10908">
        <v>37</v>
      </c>
      <c r="T10908" s="29" t="str">
        <f t="shared" si="454"/>
        <v>2021.009F.R.Botourmiaviridae_6newgen_109newsp.zip</v>
      </c>
      <c r="U10908" s="29" t="str">
        <f>HYPERLINK("https://ictv.global/taxonomy/taxondetails?taxnode_id=202312579","ictv.global=202312579")</f>
        <v>ictv.global=202312579</v>
      </c>
    </row>
    <row r="10909" spans="1:21">
      <c r="A10909">
        <v>10908</v>
      </c>
      <c r="B10909" s="30" t="s">
        <v>1226</v>
      </c>
      <c r="D10909" s="30" t="s">
        <v>2024</v>
      </c>
      <c r="F10909" s="30" t="s">
        <v>2046</v>
      </c>
      <c r="H10909" s="30" t="s">
        <v>2052</v>
      </c>
      <c r="J10909" s="30" t="s">
        <v>2053</v>
      </c>
      <c r="L10909" s="30" t="s">
        <v>1290</v>
      </c>
      <c r="N10909" s="30" t="s">
        <v>1297</v>
      </c>
      <c r="P10909" s="30" t="s">
        <v>9659</v>
      </c>
      <c r="Q10909" t="s">
        <v>621</v>
      </c>
      <c r="R10909" t="s">
        <v>917</v>
      </c>
      <c r="S10909">
        <v>37</v>
      </c>
      <c r="T10909" s="29" t="str">
        <f t="shared" si="454"/>
        <v>2021.009F.R.Botourmiaviridae_6newgen_109newsp.zip</v>
      </c>
      <c r="U10909" s="29" t="str">
        <f>HYPERLINK("https://ictv.global/taxonomy/taxondetails?taxnode_id=202312581","ictv.global=202312581")</f>
        <v>ictv.global=202312581</v>
      </c>
    </row>
    <row r="10910" spans="1:21">
      <c r="A10910">
        <v>10909</v>
      </c>
      <c r="B10910" s="30" t="s">
        <v>1226</v>
      </c>
      <c r="D10910" s="30" t="s">
        <v>2024</v>
      </c>
      <c r="F10910" s="30" t="s">
        <v>2046</v>
      </c>
      <c r="H10910" s="30" t="s">
        <v>2052</v>
      </c>
      <c r="J10910" s="30" t="s">
        <v>2053</v>
      </c>
      <c r="L10910" s="30" t="s">
        <v>1290</v>
      </c>
      <c r="N10910" s="30" t="s">
        <v>1297</v>
      </c>
      <c r="P10910" s="30" t="s">
        <v>9660</v>
      </c>
      <c r="Q10910" t="s">
        <v>621</v>
      </c>
      <c r="R10910" t="s">
        <v>917</v>
      </c>
      <c r="S10910">
        <v>37</v>
      </c>
      <c r="T10910" s="29" t="str">
        <f t="shared" si="454"/>
        <v>2021.009F.R.Botourmiaviridae_6newgen_109newsp.zip</v>
      </c>
      <c r="U10910" s="29" t="str">
        <f>HYPERLINK("https://ictv.global/taxonomy/taxondetails?taxnode_id=202312582","ictv.global=202312582")</f>
        <v>ictv.global=202312582</v>
      </c>
    </row>
    <row r="10911" spans="1:21">
      <c r="A10911">
        <v>10910</v>
      </c>
      <c r="B10911" s="30" t="s">
        <v>1226</v>
      </c>
      <c r="D10911" s="30" t="s">
        <v>2024</v>
      </c>
      <c r="F10911" s="30" t="s">
        <v>2046</v>
      </c>
      <c r="H10911" s="30" t="s">
        <v>2052</v>
      </c>
      <c r="J10911" s="30" t="s">
        <v>2053</v>
      </c>
      <c r="L10911" s="30" t="s">
        <v>1290</v>
      </c>
      <c r="N10911" s="30" t="s">
        <v>1297</v>
      </c>
      <c r="P10911" s="30" t="s">
        <v>9661</v>
      </c>
      <c r="Q10911" t="s">
        <v>621</v>
      </c>
      <c r="R10911" t="s">
        <v>917</v>
      </c>
      <c r="S10911">
        <v>37</v>
      </c>
      <c r="T10911" s="29" t="str">
        <f t="shared" si="454"/>
        <v>2021.009F.R.Botourmiaviridae_6newgen_109newsp.zip</v>
      </c>
      <c r="U10911" s="29" t="str">
        <f>HYPERLINK("https://ictv.global/taxonomy/taxondetails?taxnode_id=202312584","ictv.global=202312584")</f>
        <v>ictv.global=202312584</v>
      </c>
    </row>
    <row r="10912" spans="1:21">
      <c r="A10912">
        <v>10911</v>
      </c>
      <c r="B10912" s="30" t="s">
        <v>1226</v>
      </c>
      <c r="D10912" s="30" t="s">
        <v>2024</v>
      </c>
      <c r="F10912" s="30" t="s">
        <v>2046</v>
      </c>
      <c r="H10912" s="30" t="s">
        <v>2052</v>
      </c>
      <c r="J10912" s="30" t="s">
        <v>2053</v>
      </c>
      <c r="L10912" s="30" t="s">
        <v>1290</v>
      </c>
      <c r="N10912" s="30" t="s">
        <v>1297</v>
      </c>
      <c r="P10912" s="30" t="s">
        <v>9662</v>
      </c>
      <c r="Q10912" t="s">
        <v>621</v>
      </c>
      <c r="R10912" t="s">
        <v>917</v>
      </c>
      <c r="S10912">
        <v>37</v>
      </c>
      <c r="T10912" s="29" t="str">
        <f t="shared" si="454"/>
        <v>2021.009F.R.Botourmiaviridae_6newgen_109newsp.zip</v>
      </c>
      <c r="U10912" s="29" t="str">
        <f>HYPERLINK("https://ictv.global/taxonomy/taxondetails?taxnode_id=202312580","ictv.global=202312580")</f>
        <v>ictv.global=202312580</v>
      </c>
    </row>
    <row r="10913" spans="1:21">
      <c r="A10913">
        <v>10912</v>
      </c>
      <c r="B10913" s="30" t="s">
        <v>1226</v>
      </c>
      <c r="D10913" s="30" t="s">
        <v>2024</v>
      </c>
      <c r="F10913" s="30" t="s">
        <v>2046</v>
      </c>
      <c r="H10913" s="30" t="s">
        <v>2052</v>
      </c>
      <c r="J10913" s="30" t="s">
        <v>2053</v>
      </c>
      <c r="L10913" s="30" t="s">
        <v>1290</v>
      </c>
      <c r="N10913" s="30" t="s">
        <v>1297</v>
      </c>
      <c r="P10913" s="30" t="s">
        <v>9663</v>
      </c>
      <c r="Q10913" t="s">
        <v>621</v>
      </c>
      <c r="R10913" t="s">
        <v>917</v>
      </c>
      <c r="S10913">
        <v>37</v>
      </c>
      <c r="T10913" s="29" t="str">
        <f t="shared" si="454"/>
        <v>2021.009F.R.Botourmiaviridae_6newgen_109newsp.zip</v>
      </c>
      <c r="U10913" s="29" t="str">
        <f>HYPERLINK("https://ictv.global/taxonomy/taxondetails?taxnode_id=202312586","ictv.global=202312586")</f>
        <v>ictv.global=202312586</v>
      </c>
    </row>
    <row r="10914" spans="1:21">
      <c r="A10914">
        <v>10913</v>
      </c>
      <c r="B10914" s="30" t="s">
        <v>1226</v>
      </c>
      <c r="D10914" s="30" t="s">
        <v>2024</v>
      </c>
      <c r="F10914" s="30" t="s">
        <v>2046</v>
      </c>
      <c r="H10914" s="30" t="s">
        <v>2052</v>
      </c>
      <c r="J10914" s="30" t="s">
        <v>2053</v>
      </c>
      <c r="L10914" s="30" t="s">
        <v>1290</v>
      </c>
      <c r="N10914" s="30" t="s">
        <v>1297</v>
      </c>
      <c r="P10914" s="30" t="s">
        <v>9664</v>
      </c>
      <c r="Q10914" t="s">
        <v>621</v>
      </c>
      <c r="R10914" t="s">
        <v>917</v>
      </c>
      <c r="S10914">
        <v>37</v>
      </c>
      <c r="T10914" s="29" t="str">
        <f t="shared" si="454"/>
        <v>2021.009F.R.Botourmiaviridae_6newgen_109newsp.zip</v>
      </c>
      <c r="U10914" s="29" t="str">
        <f>HYPERLINK("https://ictv.global/taxonomy/taxondetails?taxnode_id=202312587","ictv.global=202312587")</f>
        <v>ictv.global=202312587</v>
      </c>
    </row>
    <row r="10915" spans="1:21">
      <c r="A10915">
        <v>10914</v>
      </c>
      <c r="B10915" s="30" t="s">
        <v>1226</v>
      </c>
      <c r="D10915" s="30" t="s">
        <v>2024</v>
      </c>
      <c r="F10915" s="30" t="s">
        <v>2046</v>
      </c>
      <c r="H10915" s="30" t="s">
        <v>2052</v>
      </c>
      <c r="J10915" s="30" t="s">
        <v>2053</v>
      </c>
      <c r="L10915" s="30" t="s">
        <v>1290</v>
      </c>
      <c r="N10915" s="30" t="s">
        <v>1297</v>
      </c>
      <c r="P10915" s="30" t="s">
        <v>9665</v>
      </c>
      <c r="Q10915" t="s">
        <v>621</v>
      </c>
      <c r="R10915" t="s">
        <v>917</v>
      </c>
      <c r="S10915">
        <v>37</v>
      </c>
      <c r="T10915" s="29" t="str">
        <f t="shared" si="454"/>
        <v>2021.009F.R.Botourmiaviridae_6newgen_109newsp.zip</v>
      </c>
      <c r="U10915" s="29" t="str">
        <f>HYPERLINK("https://ictv.global/taxonomy/taxondetails?taxnode_id=202312588","ictv.global=202312588")</f>
        <v>ictv.global=202312588</v>
      </c>
    </row>
    <row r="10916" spans="1:21">
      <c r="A10916">
        <v>10915</v>
      </c>
      <c r="B10916" s="30" t="s">
        <v>1226</v>
      </c>
      <c r="D10916" s="30" t="s">
        <v>2024</v>
      </c>
      <c r="F10916" s="30" t="s">
        <v>2046</v>
      </c>
      <c r="H10916" s="30" t="s">
        <v>2052</v>
      </c>
      <c r="J10916" s="30" t="s">
        <v>2053</v>
      </c>
      <c r="L10916" s="30" t="s">
        <v>1290</v>
      </c>
      <c r="N10916" s="30" t="s">
        <v>1297</v>
      </c>
      <c r="P10916" s="30" t="s">
        <v>9666</v>
      </c>
      <c r="Q10916" t="s">
        <v>621</v>
      </c>
      <c r="R10916" t="s">
        <v>917</v>
      </c>
      <c r="S10916">
        <v>37</v>
      </c>
      <c r="T10916" s="29" t="str">
        <f t="shared" si="454"/>
        <v>2021.009F.R.Botourmiaviridae_6newgen_109newsp.zip</v>
      </c>
      <c r="U10916" s="29" t="str">
        <f>HYPERLINK("https://ictv.global/taxonomy/taxondetails?taxnode_id=202312589","ictv.global=202312589")</f>
        <v>ictv.global=202312589</v>
      </c>
    </row>
    <row r="10917" spans="1:21">
      <c r="A10917">
        <v>10916</v>
      </c>
      <c r="B10917" s="30" t="s">
        <v>1226</v>
      </c>
      <c r="D10917" s="30" t="s">
        <v>2024</v>
      </c>
      <c r="F10917" s="30" t="s">
        <v>2046</v>
      </c>
      <c r="H10917" s="30" t="s">
        <v>2052</v>
      </c>
      <c r="J10917" s="30" t="s">
        <v>2053</v>
      </c>
      <c r="L10917" s="30" t="s">
        <v>1290</v>
      </c>
      <c r="N10917" s="30" t="s">
        <v>1297</v>
      </c>
      <c r="P10917" s="30" t="s">
        <v>9667</v>
      </c>
      <c r="Q10917" t="s">
        <v>621</v>
      </c>
      <c r="R10917" t="s">
        <v>917</v>
      </c>
      <c r="S10917">
        <v>37</v>
      </c>
      <c r="T10917" s="29" t="str">
        <f t="shared" si="454"/>
        <v>2021.009F.R.Botourmiaviridae_6newgen_109newsp.zip</v>
      </c>
      <c r="U10917" s="29" t="str">
        <f>HYPERLINK("https://ictv.global/taxonomy/taxondetails?taxnode_id=202312590","ictv.global=202312590")</f>
        <v>ictv.global=202312590</v>
      </c>
    </row>
    <row r="10918" spans="1:21">
      <c r="A10918">
        <v>10917</v>
      </c>
      <c r="B10918" s="30" t="s">
        <v>1226</v>
      </c>
      <c r="D10918" s="30" t="s">
        <v>2024</v>
      </c>
      <c r="F10918" s="30" t="s">
        <v>2046</v>
      </c>
      <c r="H10918" s="30" t="s">
        <v>2052</v>
      </c>
      <c r="J10918" s="30" t="s">
        <v>2053</v>
      </c>
      <c r="L10918" s="30" t="s">
        <v>1290</v>
      </c>
      <c r="N10918" s="30" t="s">
        <v>1297</v>
      </c>
      <c r="P10918" s="30" t="s">
        <v>9668</v>
      </c>
      <c r="Q10918" t="s">
        <v>621</v>
      </c>
      <c r="R10918" t="s">
        <v>917</v>
      </c>
      <c r="S10918">
        <v>37</v>
      </c>
      <c r="T10918" s="29" t="str">
        <f t="shared" si="454"/>
        <v>2021.009F.R.Botourmiaviridae_6newgen_109newsp.zip</v>
      </c>
      <c r="U10918" s="29" t="str">
        <f>HYPERLINK("https://ictv.global/taxonomy/taxondetails?taxnode_id=202312596","ictv.global=202312596")</f>
        <v>ictv.global=202312596</v>
      </c>
    </row>
    <row r="10919" spans="1:21">
      <c r="A10919">
        <v>10918</v>
      </c>
      <c r="B10919" s="30" t="s">
        <v>1226</v>
      </c>
      <c r="D10919" s="30" t="s">
        <v>2024</v>
      </c>
      <c r="F10919" s="30" t="s">
        <v>2046</v>
      </c>
      <c r="H10919" s="30" t="s">
        <v>2052</v>
      </c>
      <c r="J10919" s="30" t="s">
        <v>2053</v>
      </c>
      <c r="L10919" s="30" t="s">
        <v>1290</v>
      </c>
      <c r="N10919" s="30" t="s">
        <v>1297</v>
      </c>
      <c r="P10919" s="30" t="s">
        <v>9669</v>
      </c>
      <c r="Q10919" t="s">
        <v>621</v>
      </c>
      <c r="R10919" t="s">
        <v>917</v>
      </c>
      <c r="S10919">
        <v>37</v>
      </c>
      <c r="T10919" s="29" t="str">
        <f t="shared" si="454"/>
        <v>2021.009F.R.Botourmiaviridae_6newgen_109newsp.zip</v>
      </c>
      <c r="U10919" s="29" t="str">
        <f>HYPERLINK("https://ictv.global/taxonomy/taxondetails?taxnode_id=202312592","ictv.global=202312592")</f>
        <v>ictv.global=202312592</v>
      </c>
    </row>
    <row r="10920" spans="1:21">
      <c r="A10920">
        <v>10919</v>
      </c>
      <c r="B10920" s="30" t="s">
        <v>1226</v>
      </c>
      <c r="D10920" s="30" t="s">
        <v>2024</v>
      </c>
      <c r="F10920" s="30" t="s">
        <v>2046</v>
      </c>
      <c r="H10920" s="30" t="s">
        <v>2052</v>
      </c>
      <c r="J10920" s="30" t="s">
        <v>2053</v>
      </c>
      <c r="L10920" s="30" t="s">
        <v>1290</v>
      </c>
      <c r="N10920" s="30" t="s">
        <v>1297</v>
      </c>
      <c r="P10920" s="30" t="s">
        <v>9670</v>
      </c>
      <c r="Q10920" t="s">
        <v>621</v>
      </c>
      <c r="R10920" t="s">
        <v>917</v>
      </c>
      <c r="S10920">
        <v>37</v>
      </c>
      <c r="T10920" s="29" t="str">
        <f t="shared" si="454"/>
        <v>2021.009F.R.Botourmiaviridae_6newgen_109newsp.zip</v>
      </c>
      <c r="U10920" s="29" t="str">
        <f>HYPERLINK("https://ictv.global/taxonomy/taxondetails?taxnode_id=202312593","ictv.global=202312593")</f>
        <v>ictv.global=202312593</v>
      </c>
    </row>
    <row r="10921" spans="1:21">
      <c r="A10921">
        <v>10920</v>
      </c>
      <c r="B10921" s="30" t="s">
        <v>1226</v>
      </c>
      <c r="D10921" s="30" t="s">
        <v>2024</v>
      </c>
      <c r="F10921" s="30" t="s">
        <v>2046</v>
      </c>
      <c r="H10921" s="30" t="s">
        <v>2052</v>
      </c>
      <c r="J10921" s="30" t="s">
        <v>2053</v>
      </c>
      <c r="L10921" s="30" t="s">
        <v>1290</v>
      </c>
      <c r="N10921" s="30" t="s">
        <v>1297</v>
      </c>
      <c r="P10921" s="30" t="s">
        <v>9671</v>
      </c>
      <c r="Q10921" t="s">
        <v>621</v>
      </c>
      <c r="R10921" t="s">
        <v>917</v>
      </c>
      <c r="S10921">
        <v>37</v>
      </c>
      <c r="T10921" s="29" t="str">
        <f t="shared" si="454"/>
        <v>2021.009F.R.Botourmiaviridae_6newgen_109newsp.zip</v>
      </c>
      <c r="U10921" s="29" t="str">
        <f>HYPERLINK("https://ictv.global/taxonomy/taxondetails?taxnode_id=202312594","ictv.global=202312594")</f>
        <v>ictv.global=202312594</v>
      </c>
    </row>
    <row r="10922" spans="1:21">
      <c r="A10922">
        <v>10921</v>
      </c>
      <c r="B10922" s="30" t="s">
        <v>1226</v>
      </c>
      <c r="D10922" s="30" t="s">
        <v>2024</v>
      </c>
      <c r="F10922" s="30" t="s">
        <v>2046</v>
      </c>
      <c r="H10922" s="30" t="s">
        <v>2052</v>
      </c>
      <c r="J10922" s="30" t="s">
        <v>2053</v>
      </c>
      <c r="L10922" s="30" t="s">
        <v>1290</v>
      </c>
      <c r="N10922" s="30" t="s">
        <v>1297</v>
      </c>
      <c r="P10922" s="30" t="s">
        <v>9672</v>
      </c>
      <c r="Q10922" t="s">
        <v>621</v>
      </c>
      <c r="R10922" t="s">
        <v>917</v>
      </c>
      <c r="S10922">
        <v>37</v>
      </c>
      <c r="T10922" s="29" t="str">
        <f t="shared" si="454"/>
        <v>2021.009F.R.Botourmiaviridae_6newgen_109newsp.zip</v>
      </c>
      <c r="U10922" s="29" t="str">
        <f>HYPERLINK("https://ictv.global/taxonomy/taxondetails?taxnode_id=202312595","ictv.global=202312595")</f>
        <v>ictv.global=202312595</v>
      </c>
    </row>
    <row r="10923" spans="1:21">
      <c r="A10923">
        <v>10922</v>
      </c>
      <c r="B10923" s="30" t="s">
        <v>1226</v>
      </c>
      <c r="D10923" s="30" t="s">
        <v>2024</v>
      </c>
      <c r="F10923" s="30" t="s">
        <v>2046</v>
      </c>
      <c r="H10923" s="30" t="s">
        <v>2052</v>
      </c>
      <c r="J10923" s="30" t="s">
        <v>2053</v>
      </c>
      <c r="L10923" s="30" t="s">
        <v>1290</v>
      </c>
      <c r="N10923" s="30" t="s">
        <v>1297</v>
      </c>
      <c r="P10923" s="30" t="s">
        <v>9673</v>
      </c>
      <c r="Q10923" t="s">
        <v>621</v>
      </c>
      <c r="R10923" t="s">
        <v>917</v>
      </c>
      <c r="S10923">
        <v>37</v>
      </c>
      <c r="T10923" s="29" t="str">
        <f t="shared" si="454"/>
        <v>2021.009F.R.Botourmiaviridae_6newgen_109newsp.zip</v>
      </c>
      <c r="U10923" s="29" t="str">
        <f>HYPERLINK("https://ictv.global/taxonomy/taxondetails?taxnode_id=202312585","ictv.global=202312585")</f>
        <v>ictv.global=202312585</v>
      </c>
    </row>
    <row r="10924" spans="1:21">
      <c r="A10924">
        <v>10923</v>
      </c>
      <c r="B10924" s="30" t="s">
        <v>1226</v>
      </c>
      <c r="D10924" s="30" t="s">
        <v>2024</v>
      </c>
      <c r="F10924" s="30" t="s">
        <v>2046</v>
      </c>
      <c r="H10924" s="30" t="s">
        <v>2052</v>
      </c>
      <c r="J10924" s="30" t="s">
        <v>2053</v>
      </c>
      <c r="L10924" s="30" t="s">
        <v>1290</v>
      </c>
      <c r="N10924" s="30" t="s">
        <v>1297</v>
      </c>
      <c r="P10924" s="30" t="s">
        <v>9674</v>
      </c>
      <c r="Q10924" t="s">
        <v>621</v>
      </c>
      <c r="R10924" t="s">
        <v>917</v>
      </c>
      <c r="S10924">
        <v>37</v>
      </c>
      <c r="T10924" s="29" t="str">
        <f t="shared" si="454"/>
        <v>2021.009F.R.Botourmiaviridae_6newgen_109newsp.zip</v>
      </c>
      <c r="U10924" s="29" t="str">
        <f>HYPERLINK("https://ictv.global/taxonomy/taxondetails?taxnode_id=202312591","ictv.global=202312591")</f>
        <v>ictv.global=202312591</v>
      </c>
    </row>
    <row r="10925" spans="1:21">
      <c r="A10925">
        <v>10924</v>
      </c>
      <c r="B10925" s="30" t="s">
        <v>1226</v>
      </c>
      <c r="D10925" s="30" t="s">
        <v>2024</v>
      </c>
      <c r="F10925" s="30" t="s">
        <v>2046</v>
      </c>
      <c r="H10925" s="30" t="s">
        <v>2052</v>
      </c>
      <c r="J10925" s="30" t="s">
        <v>2053</v>
      </c>
      <c r="L10925" s="30" t="s">
        <v>1290</v>
      </c>
      <c r="N10925" s="30" t="s">
        <v>1297</v>
      </c>
      <c r="P10925" s="30" t="s">
        <v>9675</v>
      </c>
      <c r="Q10925" t="s">
        <v>621</v>
      </c>
      <c r="R10925" t="s">
        <v>917</v>
      </c>
      <c r="S10925">
        <v>37</v>
      </c>
      <c r="T10925" s="29" t="str">
        <f t="shared" si="454"/>
        <v>2021.009F.R.Botourmiaviridae_6newgen_109newsp.zip</v>
      </c>
      <c r="U10925" s="29" t="str">
        <f>HYPERLINK("https://ictv.global/taxonomy/taxondetails?taxnode_id=202312583","ictv.global=202312583")</f>
        <v>ictv.global=202312583</v>
      </c>
    </row>
    <row r="10926" spans="1:21">
      <c r="A10926">
        <v>10925</v>
      </c>
      <c r="B10926" s="30" t="s">
        <v>1226</v>
      </c>
      <c r="D10926" s="30" t="s">
        <v>2024</v>
      </c>
      <c r="F10926" s="30" t="s">
        <v>2046</v>
      </c>
      <c r="H10926" s="30" t="s">
        <v>2052</v>
      </c>
      <c r="J10926" s="30" t="s">
        <v>2053</v>
      </c>
      <c r="L10926" s="30" t="s">
        <v>1290</v>
      </c>
      <c r="N10926" s="30" t="s">
        <v>1297</v>
      </c>
      <c r="P10926" s="30" t="s">
        <v>1299</v>
      </c>
      <c r="Q10926" t="s">
        <v>621</v>
      </c>
      <c r="R10926" t="s">
        <v>919</v>
      </c>
      <c r="S10926">
        <v>35</v>
      </c>
      <c r="T10926" s="29" t="str">
        <f>HYPERLINK("https://ictv.global/ictv/proposals/2019.006G.zip","2019.006G.zip")</f>
        <v>2019.006G.zip</v>
      </c>
      <c r="U10926" s="29" t="str">
        <f>HYPERLINK("https://ictv.global/taxonomy/taxondetails?taxnode_id=202306285","ictv.global=202306285")</f>
        <v>ictv.global=202306285</v>
      </c>
    </row>
    <row r="10927" spans="1:21">
      <c r="A10927">
        <v>10926</v>
      </c>
      <c r="B10927" s="30" t="s">
        <v>1226</v>
      </c>
      <c r="D10927" s="30" t="s">
        <v>2024</v>
      </c>
      <c r="F10927" s="30" t="s">
        <v>2046</v>
      </c>
      <c r="H10927" s="30" t="s">
        <v>2052</v>
      </c>
      <c r="J10927" s="30" t="s">
        <v>2053</v>
      </c>
      <c r="L10927" s="30" t="s">
        <v>1290</v>
      </c>
      <c r="N10927" s="30" t="s">
        <v>1297</v>
      </c>
      <c r="P10927" s="30" t="s">
        <v>1300</v>
      </c>
      <c r="Q10927" t="s">
        <v>621</v>
      </c>
      <c r="R10927" t="s">
        <v>919</v>
      </c>
      <c r="S10927">
        <v>35</v>
      </c>
      <c r="T10927" s="29" t="str">
        <f>HYPERLINK("https://ictv.global/ictv/proposals/2019.006G.zip","2019.006G.zip")</f>
        <v>2019.006G.zip</v>
      </c>
      <c r="U10927" s="29" t="str">
        <f>HYPERLINK("https://ictv.global/taxonomy/taxondetails?taxnode_id=202306286","ictv.global=202306286")</f>
        <v>ictv.global=202306286</v>
      </c>
    </row>
    <row r="10928" spans="1:21">
      <c r="A10928">
        <v>10927</v>
      </c>
      <c r="B10928" s="30" t="s">
        <v>1226</v>
      </c>
      <c r="D10928" s="30" t="s">
        <v>2024</v>
      </c>
      <c r="F10928" s="30" t="s">
        <v>1040</v>
      </c>
      <c r="G10928" s="30" t="s">
        <v>1041</v>
      </c>
      <c r="H10928" s="30" t="s">
        <v>1042</v>
      </c>
      <c r="J10928" s="30" t="s">
        <v>1043</v>
      </c>
      <c r="L10928" s="30" t="s">
        <v>1044</v>
      </c>
      <c r="N10928" s="30" t="s">
        <v>1045</v>
      </c>
      <c r="P10928" s="30" t="s">
        <v>9676</v>
      </c>
      <c r="Q10928" t="s">
        <v>620</v>
      </c>
      <c r="R10928" t="s">
        <v>920</v>
      </c>
      <c r="S10928">
        <v>37</v>
      </c>
      <c r="T10928" s="29" t="str">
        <f t="shared" ref="T10928:T10935" si="455">HYPERLINK("https://ictv.global/ictv/proposals/2021.018M.R.Negarnaviricota_sprename.zip","2021.018M.R.Negarnaviricota_sprename.zip")</f>
        <v>2021.018M.R.Negarnaviricota_sprename.zip</v>
      </c>
      <c r="U10928" s="29" t="str">
        <f>HYPERLINK("https://ictv.global/taxonomy/taxondetails?taxnode_id=202306030","ictv.global=202306030")</f>
        <v>ictv.global=202306030</v>
      </c>
    </row>
    <row r="10929" spans="1:21">
      <c r="A10929">
        <v>10928</v>
      </c>
      <c r="B10929" s="30" t="s">
        <v>1226</v>
      </c>
      <c r="D10929" s="30" t="s">
        <v>2024</v>
      </c>
      <c r="F10929" s="30" t="s">
        <v>1040</v>
      </c>
      <c r="G10929" s="30" t="s">
        <v>1041</v>
      </c>
      <c r="H10929" s="30" t="s">
        <v>1042</v>
      </c>
      <c r="J10929" s="30" t="s">
        <v>1043</v>
      </c>
      <c r="L10929" s="30" t="s">
        <v>1044</v>
      </c>
      <c r="N10929" s="30" t="s">
        <v>1045</v>
      </c>
      <c r="P10929" s="30" t="s">
        <v>9677</v>
      </c>
      <c r="Q10929" t="s">
        <v>620</v>
      </c>
      <c r="R10929" t="s">
        <v>920</v>
      </c>
      <c r="S10929">
        <v>37</v>
      </c>
      <c r="T10929" s="29" t="str">
        <f t="shared" si="455"/>
        <v>2021.018M.R.Negarnaviricota_sprename.zip</v>
      </c>
      <c r="U10929" s="29" t="str">
        <f>HYPERLINK("https://ictv.global/taxonomy/taxondetails?taxnode_id=202306031","ictv.global=202306031")</f>
        <v>ictv.global=202306031</v>
      </c>
    </row>
    <row r="10930" spans="1:21">
      <c r="A10930">
        <v>10929</v>
      </c>
      <c r="B10930" s="30" t="s">
        <v>1226</v>
      </c>
      <c r="D10930" s="30" t="s">
        <v>2024</v>
      </c>
      <c r="F10930" s="30" t="s">
        <v>1040</v>
      </c>
      <c r="G10930" s="30" t="s">
        <v>1041</v>
      </c>
      <c r="H10930" s="30" t="s">
        <v>1042</v>
      </c>
      <c r="J10930" s="30" t="s">
        <v>1043</v>
      </c>
      <c r="L10930" s="30" t="s">
        <v>1044</v>
      </c>
      <c r="N10930" s="30" t="s">
        <v>1045</v>
      </c>
      <c r="P10930" s="30" t="s">
        <v>9678</v>
      </c>
      <c r="Q10930" t="s">
        <v>620</v>
      </c>
      <c r="R10930" t="s">
        <v>920</v>
      </c>
      <c r="S10930">
        <v>37</v>
      </c>
      <c r="T10930" s="29" t="str">
        <f t="shared" si="455"/>
        <v>2021.018M.R.Negarnaviricota_sprename.zip</v>
      </c>
      <c r="U10930" s="29" t="str">
        <f>HYPERLINK("https://ictv.global/taxonomy/taxondetails?taxnode_id=202306032","ictv.global=202306032")</f>
        <v>ictv.global=202306032</v>
      </c>
    </row>
    <row r="10931" spans="1:21">
      <c r="A10931">
        <v>10930</v>
      </c>
      <c r="B10931" s="30" t="s">
        <v>1226</v>
      </c>
      <c r="D10931" s="30" t="s">
        <v>2024</v>
      </c>
      <c r="F10931" s="30" t="s">
        <v>1040</v>
      </c>
      <c r="G10931" s="30" t="s">
        <v>1041</v>
      </c>
      <c r="H10931" s="30" t="s">
        <v>1042</v>
      </c>
      <c r="J10931" s="30" t="s">
        <v>1043</v>
      </c>
      <c r="L10931" s="30" t="s">
        <v>1044</v>
      </c>
      <c r="N10931" s="30" t="s">
        <v>1045</v>
      </c>
      <c r="P10931" s="30" t="s">
        <v>9679</v>
      </c>
      <c r="Q10931" t="s">
        <v>620</v>
      </c>
      <c r="R10931" t="s">
        <v>920</v>
      </c>
      <c r="S10931">
        <v>37</v>
      </c>
      <c r="T10931" s="29" t="str">
        <f t="shared" si="455"/>
        <v>2021.018M.R.Negarnaviricota_sprename.zip</v>
      </c>
      <c r="U10931" s="29" t="str">
        <f>HYPERLINK("https://ictv.global/taxonomy/taxondetails?taxnode_id=202306033","ictv.global=202306033")</f>
        <v>ictv.global=202306033</v>
      </c>
    </row>
    <row r="10932" spans="1:21">
      <c r="A10932">
        <v>10931</v>
      </c>
      <c r="B10932" s="30" t="s">
        <v>1226</v>
      </c>
      <c r="D10932" s="30" t="s">
        <v>2024</v>
      </c>
      <c r="F10932" s="30" t="s">
        <v>1040</v>
      </c>
      <c r="G10932" s="30" t="s">
        <v>1041</v>
      </c>
      <c r="H10932" s="30" t="s">
        <v>1042</v>
      </c>
      <c r="J10932" s="30" t="s">
        <v>1043</v>
      </c>
      <c r="L10932" s="30" t="s">
        <v>1044</v>
      </c>
      <c r="N10932" s="30" t="s">
        <v>1045</v>
      </c>
      <c r="P10932" s="30" t="s">
        <v>9680</v>
      </c>
      <c r="Q10932" t="s">
        <v>620</v>
      </c>
      <c r="R10932" t="s">
        <v>920</v>
      </c>
      <c r="S10932">
        <v>37</v>
      </c>
      <c r="T10932" s="29" t="str">
        <f t="shared" si="455"/>
        <v>2021.018M.R.Negarnaviricota_sprename.zip</v>
      </c>
      <c r="U10932" s="29" t="str">
        <f>HYPERLINK("https://ictv.global/taxonomy/taxondetails?taxnode_id=202306034","ictv.global=202306034")</f>
        <v>ictv.global=202306034</v>
      </c>
    </row>
    <row r="10933" spans="1:21">
      <c r="A10933">
        <v>10932</v>
      </c>
      <c r="B10933" s="30" t="s">
        <v>1226</v>
      </c>
      <c r="D10933" s="30" t="s">
        <v>2024</v>
      </c>
      <c r="F10933" s="30" t="s">
        <v>1040</v>
      </c>
      <c r="G10933" s="30" t="s">
        <v>1041</v>
      </c>
      <c r="H10933" s="30" t="s">
        <v>1042</v>
      </c>
      <c r="J10933" s="30" t="s">
        <v>1043</v>
      </c>
      <c r="L10933" s="30" t="s">
        <v>1044</v>
      </c>
      <c r="N10933" s="30" t="s">
        <v>1045</v>
      </c>
      <c r="P10933" s="30" t="s">
        <v>9681</v>
      </c>
      <c r="Q10933" t="s">
        <v>620</v>
      </c>
      <c r="R10933" t="s">
        <v>920</v>
      </c>
      <c r="S10933">
        <v>37</v>
      </c>
      <c r="T10933" s="29" t="str">
        <f t="shared" si="455"/>
        <v>2021.018M.R.Negarnaviricota_sprename.zip</v>
      </c>
      <c r="U10933" s="29" t="str">
        <f>HYPERLINK("https://ictv.global/taxonomy/taxondetails?taxnode_id=202306035","ictv.global=202306035")</f>
        <v>ictv.global=202306035</v>
      </c>
    </row>
    <row r="10934" spans="1:21">
      <c r="A10934">
        <v>10933</v>
      </c>
      <c r="B10934" s="30" t="s">
        <v>1226</v>
      </c>
      <c r="D10934" s="30" t="s">
        <v>2024</v>
      </c>
      <c r="F10934" s="30" t="s">
        <v>1040</v>
      </c>
      <c r="G10934" s="30" t="s">
        <v>1041</v>
      </c>
      <c r="H10934" s="30" t="s">
        <v>1042</v>
      </c>
      <c r="J10934" s="30" t="s">
        <v>1043</v>
      </c>
      <c r="L10934" s="30" t="s">
        <v>1044</v>
      </c>
      <c r="N10934" s="30" t="s">
        <v>1045</v>
      </c>
      <c r="P10934" s="30" t="s">
        <v>9682</v>
      </c>
      <c r="Q10934" t="s">
        <v>620</v>
      </c>
      <c r="R10934" t="s">
        <v>920</v>
      </c>
      <c r="S10934">
        <v>37</v>
      </c>
      <c r="T10934" s="29" t="str">
        <f t="shared" si="455"/>
        <v>2021.018M.R.Negarnaviricota_sprename.zip</v>
      </c>
      <c r="U10934" s="29" t="str">
        <f>HYPERLINK("https://ictv.global/taxonomy/taxondetails?taxnode_id=202306036","ictv.global=202306036")</f>
        <v>ictv.global=202306036</v>
      </c>
    </row>
    <row r="10935" spans="1:21">
      <c r="A10935">
        <v>10934</v>
      </c>
      <c r="B10935" s="30" t="s">
        <v>1226</v>
      </c>
      <c r="D10935" s="30" t="s">
        <v>2024</v>
      </c>
      <c r="F10935" s="30" t="s">
        <v>1040</v>
      </c>
      <c r="G10935" s="30" t="s">
        <v>1041</v>
      </c>
      <c r="H10935" s="30" t="s">
        <v>1042</v>
      </c>
      <c r="J10935" s="30" t="s">
        <v>1043</v>
      </c>
      <c r="L10935" s="30" t="s">
        <v>1044</v>
      </c>
      <c r="N10935" s="30" t="s">
        <v>1045</v>
      </c>
      <c r="P10935" s="30" t="s">
        <v>9683</v>
      </c>
      <c r="Q10935" t="s">
        <v>620</v>
      </c>
      <c r="R10935" t="s">
        <v>920</v>
      </c>
      <c r="S10935">
        <v>37</v>
      </c>
      <c r="T10935" s="29" t="str">
        <f t="shared" si="455"/>
        <v>2021.018M.R.Negarnaviricota_sprename.zip</v>
      </c>
      <c r="U10935" s="29" t="str">
        <f>HYPERLINK("https://ictv.global/taxonomy/taxondetails?taxnode_id=202306037","ictv.global=202306037")</f>
        <v>ictv.global=202306037</v>
      </c>
    </row>
    <row r="10936" spans="1:21">
      <c r="A10936">
        <v>10935</v>
      </c>
      <c r="B10936" s="30" t="s">
        <v>1226</v>
      </c>
      <c r="D10936" s="30" t="s">
        <v>2024</v>
      </c>
      <c r="F10936" s="30" t="s">
        <v>1040</v>
      </c>
      <c r="G10936" s="30" t="s">
        <v>1041</v>
      </c>
      <c r="H10936" s="30" t="s">
        <v>1046</v>
      </c>
      <c r="J10936" s="30" t="s">
        <v>17265</v>
      </c>
      <c r="L10936" s="30" t="s">
        <v>984</v>
      </c>
      <c r="N10936" s="30" t="s">
        <v>391</v>
      </c>
      <c r="P10936" s="30" t="s">
        <v>17266</v>
      </c>
      <c r="Q10936" t="s">
        <v>620</v>
      </c>
      <c r="R10936" t="s">
        <v>917</v>
      </c>
      <c r="S10936">
        <v>39</v>
      </c>
      <c r="T10936" s="29" t="str">
        <f>HYPERLINK("https://ictv.global/ictv/proposals/2023.008P.Aspiviridae_1nsp.zip","2023.008P.Aspiviridae_1nsp.zip")</f>
        <v>2023.008P.Aspiviridae_1nsp.zip</v>
      </c>
      <c r="U10936" s="29" t="str">
        <f>HYPERLINK("https://ictv.global/taxonomy/taxondetails?taxnode_id=202317926","ictv.global=202317926")</f>
        <v>ictv.global=202317926</v>
      </c>
    </row>
    <row r="10937" spans="1:21">
      <c r="A10937">
        <v>10936</v>
      </c>
      <c r="B10937" s="30" t="s">
        <v>1226</v>
      </c>
      <c r="D10937" s="30" t="s">
        <v>2024</v>
      </c>
      <c r="F10937" s="30" t="s">
        <v>1040</v>
      </c>
      <c r="G10937" s="30" t="s">
        <v>1041</v>
      </c>
      <c r="H10937" s="30" t="s">
        <v>1046</v>
      </c>
      <c r="J10937" s="30" t="s">
        <v>17265</v>
      </c>
      <c r="L10937" s="30" t="s">
        <v>984</v>
      </c>
      <c r="N10937" s="30" t="s">
        <v>391</v>
      </c>
      <c r="P10937" s="30" t="s">
        <v>9684</v>
      </c>
      <c r="Q10937" t="s">
        <v>620</v>
      </c>
      <c r="R10937" t="s">
        <v>920</v>
      </c>
      <c r="S10937">
        <v>39</v>
      </c>
      <c r="T10937" s="29" t="str">
        <f t="shared" ref="T10937:T10943" si="456">HYPERLINK("https://ictv.global/ictv/proposals/2023.007P.Serpentovirales_1nord_rename.zip","2023.007P.Serpentovirales_1nord_rename.zip")</f>
        <v>2023.007P.Serpentovirales_1nord_rename.zip</v>
      </c>
      <c r="U10937" s="29" t="str">
        <f>HYPERLINK("https://ictv.global/taxonomy/taxondetails?taxnode_id=202303947","ictv.global=202303947")</f>
        <v>ictv.global=202303947</v>
      </c>
    </row>
    <row r="10938" spans="1:21">
      <c r="A10938">
        <v>10937</v>
      </c>
      <c r="B10938" s="30" t="s">
        <v>1226</v>
      </c>
      <c r="D10938" s="30" t="s">
        <v>2024</v>
      </c>
      <c r="F10938" s="30" t="s">
        <v>1040</v>
      </c>
      <c r="G10938" s="30" t="s">
        <v>1041</v>
      </c>
      <c r="H10938" s="30" t="s">
        <v>1046</v>
      </c>
      <c r="J10938" s="30" t="s">
        <v>17265</v>
      </c>
      <c r="L10938" s="30" t="s">
        <v>984</v>
      </c>
      <c r="N10938" s="30" t="s">
        <v>391</v>
      </c>
      <c r="P10938" s="30" t="s">
        <v>9685</v>
      </c>
      <c r="Q10938" t="s">
        <v>620</v>
      </c>
      <c r="R10938" t="s">
        <v>920</v>
      </c>
      <c r="S10938">
        <v>39</v>
      </c>
      <c r="T10938" s="29" t="str">
        <f t="shared" si="456"/>
        <v>2023.007P.Serpentovirales_1nord_rename.zip</v>
      </c>
      <c r="U10938" s="29" t="str">
        <f>HYPERLINK("https://ictv.global/taxonomy/taxondetails?taxnode_id=202303948","ictv.global=202303948")</f>
        <v>ictv.global=202303948</v>
      </c>
    </row>
    <row r="10939" spans="1:21">
      <c r="A10939">
        <v>10938</v>
      </c>
      <c r="B10939" s="30" t="s">
        <v>1226</v>
      </c>
      <c r="D10939" s="30" t="s">
        <v>2024</v>
      </c>
      <c r="F10939" s="30" t="s">
        <v>1040</v>
      </c>
      <c r="G10939" s="30" t="s">
        <v>1041</v>
      </c>
      <c r="H10939" s="30" t="s">
        <v>1046</v>
      </c>
      <c r="J10939" s="30" t="s">
        <v>17265</v>
      </c>
      <c r="L10939" s="30" t="s">
        <v>984</v>
      </c>
      <c r="N10939" s="30" t="s">
        <v>391</v>
      </c>
      <c r="P10939" s="30" t="s">
        <v>9686</v>
      </c>
      <c r="Q10939" t="s">
        <v>620</v>
      </c>
      <c r="R10939" t="s">
        <v>920</v>
      </c>
      <c r="S10939">
        <v>39</v>
      </c>
      <c r="T10939" s="29" t="str">
        <f t="shared" si="456"/>
        <v>2023.007P.Serpentovirales_1nord_rename.zip</v>
      </c>
      <c r="U10939" s="29" t="str">
        <f>HYPERLINK("https://ictv.global/taxonomy/taxondetails?taxnode_id=202303949","ictv.global=202303949")</f>
        <v>ictv.global=202303949</v>
      </c>
    </row>
    <row r="10940" spans="1:21">
      <c r="A10940">
        <v>10939</v>
      </c>
      <c r="B10940" s="30" t="s">
        <v>1226</v>
      </c>
      <c r="D10940" s="30" t="s">
        <v>2024</v>
      </c>
      <c r="F10940" s="30" t="s">
        <v>1040</v>
      </c>
      <c r="G10940" s="30" t="s">
        <v>1041</v>
      </c>
      <c r="H10940" s="30" t="s">
        <v>1046</v>
      </c>
      <c r="J10940" s="30" t="s">
        <v>17265</v>
      </c>
      <c r="L10940" s="30" t="s">
        <v>984</v>
      </c>
      <c r="N10940" s="30" t="s">
        <v>391</v>
      </c>
      <c r="P10940" s="30" t="s">
        <v>9687</v>
      </c>
      <c r="Q10940" t="s">
        <v>620</v>
      </c>
      <c r="R10940" t="s">
        <v>920</v>
      </c>
      <c r="S10940">
        <v>39</v>
      </c>
      <c r="T10940" s="29" t="str">
        <f t="shared" si="456"/>
        <v>2023.007P.Serpentovirales_1nord_rename.zip</v>
      </c>
      <c r="U10940" s="29" t="str">
        <f>HYPERLINK("https://ictv.global/taxonomy/taxondetails?taxnode_id=202303950","ictv.global=202303950")</f>
        <v>ictv.global=202303950</v>
      </c>
    </row>
    <row r="10941" spans="1:21">
      <c r="A10941">
        <v>10940</v>
      </c>
      <c r="B10941" s="30" t="s">
        <v>1226</v>
      </c>
      <c r="D10941" s="30" t="s">
        <v>2024</v>
      </c>
      <c r="F10941" s="30" t="s">
        <v>1040</v>
      </c>
      <c r="G10941" s="30" t="s">
        <v>1041</v>
      </c>
      <c r="H10941" s="30" t="s">
        <v>1046</v>
      </c>
      <c r="J10941" s="30" t="s">
        <v>17265</v>
      </c>
      <c r="L10941" s="30" t="s">
        <v>984</v>
      </c>
      <c r="N10941" s="30" t="s">
        <v>391</v>
      </c>
      <c r="P10941" s="30" t="s">
        <v>9688</v>
      </c>
      <c r="Q10941" t="s">
        <v>620</v>
      </c>
      <c r="R10941" t="s">
        <v>920</v>
      </c>
      <c r="S10941">
        <v>39</v>
      </c>
      <c r="T10941" s="29" t="str">
        <f t="shared" si="456"/>
        <v>2023.007P.Serpentovirales_1nord_rename.zip</v>
      </c>
      <c r="U10941" s="29" t="str">
        <f>HYPERLINK("https://ictv.global/taxonomy/taxondetails?taxnode_id=202303951","ictv.global=202303951")</f>
        <v>ictv.global=202303951</v>
      </c>
    </row>
    <row r="10942" spans="1:21">
      <c r="A10942">
        <v>10941</v>
      </c>
      <c r="B10942" s="30" t="s">
        <v>1226</v>
      </c>
      <c r="D10942" s="30" t="s">
        <v>2024</v>
      </c>
      <c r="F10942" s="30" t="s">
        <v>1040</v>
      </c>
      <c r="G10942" s="30" t="s">
        <v>1041</v>
      </c>
      <c r="H10942" s="30" t="s">
        <v>1046</v>
      </c>
      <c r="J10942" s="30" t="s">
        <v>17265</v>
      </c>
      <c r="L10942" s="30" t="s">
        <v>984</v>
      </c>
      <c r="N10942" s="30" t="s">
        <v>391</v>
      </c>
      <c r="P10942" s="30" t="s">
        <v>9689</v>
      </c>
      <c r="Q10942" t="s">
        <v>620</v>
      </c>
      <c r="R10942" t="s">
        <v>920</v>
      </c>
      <c r="S10942">
        <v>39</v>
      </c>
      <c r="T10942" s="29" t="str">
        <f t="shared" si="456"/>
        <v>2023.007P.Serpentovirales_1nord_rename.zip</v>
      </c>
      <c r="U10942" s="29" t="str">
        <f>HYPERLINK("https://ictv.global/taxonomy/taxondetails?taxnode_id=202303952","ictv.global=202303952")</f>
        <v>ictv.global=202303952</v>
      </c>
    </row>
    <row r="10943" spans="1:21">
      <c r="A10943">
        <v>10942</v>
      </c>
      <c r="B10943" s="30" t="s">
        <v>1226</v>
      </c>
      <c r="D10943" s="30" t="s">
        <v>2024</v>
      </c>
      <c r="F10943" s="30" t="s">
        <v>1040</v>
      </c>
      <c r="G10943" s="30" t="s">
        <v>1041</v>
      </c>
      <c r="H10943" s="30" t="s">
        <v>1046</v>
      </c>
      <c r="J10943" s="30" t="s">
        <v>17265</v>
      </c>
      <c r="L10943" s="30" t="s">
        <v>984</v>
      </c>
      <c r="N10943" s="30" t="s">
        <v>391</v>
      </c>
      <c r="P10943" s="30" t="s">
        <v>9690</v>
      </c>
      <c r="Q10943" t="s">
        <v>620</v>
      </c>
      <c r="R10943" t="s">
        <v>920</v>
      </c>
      <c r="S10943">
        <v>39</v>
      </c>
      <c r="T10943" s="29" t="str">
        <f t="shared" si="456"/>
        <v>2023.007P.Serpentovirales_1nord_rename.zip</v>
      </c>
      <c r="U10943" s="29" t="str">
        <f>HYPERLINK("https://ictv.global/taxonomy/taxondetails?taxnode_id=202303946","ictv.global=202303946")</f>
        <v>ictv.global=202303946</v>
      </c>
    </row>
    <row r="10944" spans="1:21">
      <c r="A10944">
        <v>10943</v>
      </c>
      <c r="B10944" s="30" t="s">
        <v>1226</v>
      </c>
      <c r="D10944" s="30" t="s">
        <v>2024</v>
      </c>
      <c r="F10944" s="30" t="s">
        <v>1040</v>
      </c>
      <c r="G10944" s="30" t="s">
        <v>1041</v>
      </c>
      <c r="H10944" s="30" t="s">
        <v>1047</v>
      </c>
      <c r="J10944" s="30" t="s">
        <v>1048</v>
      </c>
      <c r="L10944" s="30" t="s">
        <v>3665</v>
      </c>
      <c r="N10944" s="30" t="s">
        <v>3666</v>
      </c>
      <c r="P10944" s="30" t="s">
        <v>3667</v>
      </c>
      <c r="Q10944" t="s">
        <v>620</v>
      </c>
      <c r="R10944" t="s">
        <v>917</v>
      </c>
      <c r="S10944">
        <v>36</v>
      </c>
      <c r="T10944" s="29" t="str">
        <f t="shared" ref="T10944:T10949" si="457">HYPERLINK("https://ictv.global/ictv/proposals/2020.026M.R.Jingchuvirales.zip","2020.026M.R.Jingchuvirales.zip")</f>
        <v>2020.026M.R.Jingchuvirales.zip</v>
      </c>
      <c r="U10944" s="29" t="str">
        <f>HYPERLINK("https://ictv.global/taxonomy/taxondetails?taxnode_id=202309744","ictv.global=202309744")</f>
        <v>ictv.global=202309744</v>
      </c>
    </row>
    <row r="10945" spans="1:21">
      <c r="A10945">
        <v>10944</v>
      </c>
      <c r="B10945" s="30" t="s">
        <v>1226</v>
      </c>
      <c r="D10945" s="30" t="s">
        <v>2024</v>
      </c>
      <c r="F10945" s="30" t="s">
        <v>1040</v>
      </c>
      <c r="G10945" s="30" t="s">
        <v>1041</v>
      </c>
      <c r="H10945" s="30" t="s">
        <v>1047</v>
      </c>
      <c r="J10945" s="30" t="s">
        <v>1048</v>
      </c>
      <c r="L10945" s="30" t="s">
        <v>3665</v>
      </c>
      <c r="N10945" s="30" t="s">
        <v>3668</v>
      </c>
      <c r="P10945" s="30" t="s">
        <v>3669</v>
      </c>
      <c r="Q10945" t="s">
        <v>620</v>
      </c>
      <c r="R10945" t="s">
        <v>918</v>
      </c>
      <c r="S10945">
        <v>36</v>
      </c>
      <c r="T10945" s="29" t="str">
        <f t="shared" si="457"/>
        <v>2020.026M.R.Jingchuvirales.zip</v>
      </c>
      <c r="U10945" s="29" t="str">
        <f>HYPERLINK("https://ictv.global/taxonomy/taxondetails?taxnode_id=202306043","ictv.global=202306043")</f>
        <v>ictv.global=202306043</v>
      </c>
    </row>
    <row r="10946" spans="1:21">
      <c r="A10946">
        <v>10945</v>
      </c>
      <c r="B10946" s="30" t="s">
        <v>1226</v>
      </c>
      <c r="D10946" s="30" t="s">
        <v>2024</v>
      </c>
      <c r="F10946" s="30" t="s">
        <v>1040</v>
      </c>
      <c r="G10946" s="30" t="s">
        <v>1041</v>
      </c>
      <c r="H10946" s="30" t="s">
        <v>1047</v>
      </c>
      <c r="J10946" s="30" t="s">
        <v>1048</v>
      </c>
      <c r="L10946" s="30" t="s">
        <v>3665</v>
      </c>
      <c r="N10946" s="30" t="s">
        <v>3668</v>
      </c>
      <c r="P10946" s="30" t="s">
        <v>3670</v>
      </c>
      <c r="Q10946" t="s">
        <v>620</v>
      </c>
      <c r="R10946" t="s">
        <v>917</v>
      </c>
      <c r="S10946">
        <v>36</v>
      </c>
      <c r="T10946" s="29" t="str">
        <f t="shared" si="457"/>
        <v>2020.026M.R.Jingchuvirales.zip</v>
      </c>
      <c r="U10946" s="29" t="str">
        <f>HYPERLINK("https://ictv.global/taxonomy/taxondetails?taxnode_id=202309746","ictv.global=202309746")</f>
        <v>ictv.global=202309746</v>
      </c>
    </row>
    <row r="10947" spans="1:21">
      <c r="A10947">
        <v>10946</v>
      </c>
      <c r="B10947" s="30" t="s">
        <v>1226</v>
      </c>
      <c r="D10947" s="30" t="s">
        <v>2024</v>
      </c>
      <c r="F10947" s="30" t="s">
        <v>1040</v>
      </c>
      <c r="G10947" s="30" t="s">
        <v>1041</v>
      </c>
      <c r="H10947" s="30" t="s">
        <v>1047</v>
      </c>
      <c r="J10947" s="30" t="s">
        <v>1048</v>
      </c>
      <c r="L10947" s="30" t="s">
        <v>3665</v>
      </c>
      <c r="N10947" s="30" t="s">
        <v>3668</v>
      </c>
      <c r="P10947" s="30" t="s">
        <v>3671</v>
      </c>
      <c r="Q10947" t="s">
        <v>620</v>
      </c>
      <c r="R10947" t="s">
        <v>917</v>
      </c>
      <c r="S10947">
        <v>36</v>
      </c>
      <c r="T10947" s="29" t="str">
        <f t="shared" si="457"/>
        <v>2020.026M.R.Jingchuvirales.zip</v>
      </c>
      <c r="U10947" s="29" t="str">
        <f>HYPERLINK("https://ictv.global/taxonomy/taxondetails?taxnode_id=202309747","ictv.global=202309747")</f>
        <v>ictv.global=202309747</v>
      </c>
    </row>
    <row r="10948" spans="1:21">
      <c r="A10948">
        <v>10947</v>
      </c>
      <c r="B10948" s="30" t="s">
        <v>1226</v>
      </c>
      <c r="D10948" s="30" t="s">
        <v>2024</v>
      </c>
      <c r="F10948" s="30" t="s">
        <v>1040</v>
      </c>
      <c r="G10948" s="30" t="s">
        <v>1041</v>
      </c>
      <c r="H10948" s="30" t="s">
        <v>1047</v>
      </c>
      <c r="J10948" s="30" t="s">
        <v>1048</v>
      </c>
      <c r="L10948" s="30" t="s">
        <v>3665</v>
      </c>
      <c r="N10948" s="30" t="s">
        <v>3668</v>
      </c>
      <c r="P10948" s="30" t="s">
        <v>3672</v>
      </c>
      <c r="Q10948" t="s">
        <v>620</v>
      </c>
      <c r="R10948" t="s">
        <v>917</v>
      </c>
      <c r="S10948">
        <v>36</v>
      </c>
      <c r="T10948" s="29" t="str">
        <f t="shared" si="457"/>
        <v>2020.026M.R.Jingchuvirales.zip</v>
      </c>
      <c r="U10948" s="29" t="str">
        <f>HYPERLINK("https://ictv.global/taxonomy/taxondetails?taxnode_id=202309748","ictv.global=202309748")</f>
        <v>ictv.global=202309748</v>
      </c>
    </row>
    <row r="10949" spans="1:21">
      <c r="A10949">
        <v>10948</v>
      </c>
      <c r="B10949" s="30" t="s">
        <v>1226</v>
      </c>
      <c r="D10949" s="30" t="s">
        <v>2024</v>
      </c>
      <c r="F10949" s="30" t="s">
        <v>1040</v>
      </c>
      <c r="G10949" s="30" t="s">
        <v>1041</v>
      </c>
      <c r="H10949" s="30" t="s">
        <v>1047</v>
      </c>
      <c r="J10949" s="30" t="s">
        <v>1048</v>
      </c>
      <c r="L10949" s="30" t="s">
        <v>3665</v>
      </c>
      <c r="N10949" s="30" t="s">
        <v>3668</v>
      </c>
      <c r="P10949" s="30" t="s">
        <v>3673</v>
      </c>
      <c r="Q10949" t="s">
        <v>620</v>
      </c>
      <c r="R10949" t="s">
        <v>917</v>
      </c>
      <c r="S10949">
        <v>36</v>
      </c>
      <c r="T10949" s="29" t="str">
        <f t="shared" si="457"/>
        <v>2020.026M.R.Jingchuvirales.zip</v>
      </c>
      <c r="U10949" s="29" t="str">
        <f>HYPERLINK("https://ictv.global/taxonomy/taxondetails?taxnode_id=202309749","ictv.global=202309749")</f>
        <v>ictv.global=202309749</v>
      </c>
    </row>
    <row r="10950" spans="1:21">
      <c r="A10950">
        <v>10949</v>
      </c>
      <c r="B10950" s="30" t="s">
        <v>1226</v>
      </c>
      <c r="D10950" s="30" t="s">
        <v>2024</v>
      </c>
      <c r="F10950" s="30" t="s">
        <v>1040</v>
      </c>
      <c r="G10950" s="30" t="s">
        <v>1041</v>
      </c>
      <c r="H10950" s="30" t="s">
        <v>1047</v>
      </c>
      <c r="J10950" s="30" t="s">
        <v>1048</v>
      </c>
      <c r="L10950" s="30" t="s">
        <v>3665</v>
      </c>
      <c r="N10950" s="30" t="s">
        <v>3668</v>
      </c>
      <c r="P10950" s="30" t="s">
        <v>9691</v>
      </c>
      <c r="Q10950" t="s">
        <v>620</v>
      </c>
      <c r="R10950" t="s">
        <v>917</v>
      </c>
      <c r="S10950">
        <v>38</v>
      </c>
      <c r="T10950" s="29" t="str">
        <f>HYPERLINK("https://ictv.global/ictv/proposals/2021.015M.Jingchuvirales_2ngen_10nsp.zip","2021.015M.Jingchuvirales_2ngen_10nsp.zip")</f>
        <v>2021.015M.Jingchuvirales_2ngen_10nsp.zip</v>
      </c>
      <c r="U10950" s="29" t="str">
        <f>HYPERLINK("https://ictv.global/taxonomy/taxondetails?taxnode_id=202314130","ictv.global=202314130")</f>
        <v>ictv.global=202314130</v>
      </c>
    </row>
    <row r="10951" spans="1:21">
      <c r="A10951">
        <v>10950</v>
      </c>
      <c r="B10951" s="30" t="s">
        <v>1226</v>
      </c>
      <c r="D10951" s="30" t="s">
        <v>2024</v>
      </c>
      <c r="F10951" s="30" t="s">
        <v>1040</v>
      </c>
      <c r="G10951" s="30" t="s">
        <v>1041</v>
      </c>
      <c r="H10951" s="30" t="s">
        <v>1047</v>
      </c>
      <c r="J10951" s="30" t="s">
        <v>1048</v>
      </c>
      <c r="L10951" s="30" t="s">
        <v>3665</v>
      </c>
      <c r="N10951" s="30" t="s">
        <v>3668</v>
      </c>
      <c r="P10951" s="30" t="s">
        <v>9692</v>
      </c>
      <c r="Q10951" t="s">
        <v>620</v>
      </c>
      <c r="R10951" t="s">
        <v>917</v>
      </c>
      <c r="S10951">
        <v>38</v>
      </c>
      <c r="T10951" s="29" t="str">
        <f>HYPERLINK("https://ictv.global/ictv/proposals/2021.015M.Jingchuvirales_2ngen_10nsp.zip","2021.015M.Jingchuvirales_2ngen_10nsp.zip")</f>
        <v>2021.015M.Jingchuvirales_2ngen_10nsp.zip</v>
      </c>
      <c r="U10951" s="29" t="str">
        <f>HYPERLINK("https://ictv.global/taxonomy/taxondetails?taxnode_id=202314129","ictv.global=202314129")</f>
        <v>ictv.global=202314129</v>
      </c>
    </row>
    <row r="10952" spans="1:21">
      <c r="A10952">
        <v>10951</v>
      </c>
      <c r="B10952" s="30" t="s">
        <v>1226</v>
      </c>
      <c r="D10952" s="30" t="s">
        <v>2024</v>
      </c>
      <c r="F10952" s="30" t="s">
        <v>1040</v>
      </c>
      <c r="G10952" s="30" t="s">
        <v>1041</v>
      </c>
      <c r="H10952" s="30" t="s">
        <v>1047</v>
      </c>
      <c r="J10952" s="30" t="s">
        <v>1048</v>
      </c>
      <c r="L10952" s="30" t="s">
        <v>3665</v>
      </c>
      <c r="N10952" s="30" t="s">
        <v>3668</v>
      </c>
      <c r="P10952" s="30" t="s">
        <v>9693</v>
      </c>
      <c r="Q10952" t="s">
        <v>620</v>
      </c>
      <c r="R10952" t="s">
        <v>917</v>
      </c>
      <c r="S10952">
        <v>38</v>
      </c>
      <c r="T10952" s="29" t="str">
        <f>HYPERLINK("https://ictv.global/ictv/proposals/2021.015M.Jingchuvirales_2ngen_10nsp.zip","2021.015M.Jingchuvirales_2ngen_10nsp.zip")</f>
        <v>2021.015M.Jingchuvirales_2ngen_10nsp.zip</v>
      </c>
      <c r="U10952" s="29" t="str">
        <f>HYPERLINK("https://ictv.global/taxonomy/taxondetails?taxnode_id=202314131","ictv.global=202314131")</f>
        <v>ictv.global=202314131</v>
      </c>
    </row>
    <row r="10953" spans="1:21">
      <c r="A10953">
        <v>10952</v>
      </c>
      <c r="B10953" s="30" t="s">
        <v>1226</v>
      </c>
      <c r="D10953" s="30" t="s">
        <v>2024</v>
      </c>
      <c r="F10953" s="30" t="s">
        <v>1040</v>
      </c>
      <c r="G10953" s="30" t="s">
        <v>1041</v>
      </c>
      <c r="H10953" s="30" t="s">
        <v>1047</v>
      </c>
      <c r="J10953" s="30" t="s">
        <v>1048</v>
      </c>
      <c r="L10953" s="30" t="s">
        <v>3665</v>
      </c>
      <c r="N10953" s="30" t="s">
        <v>3668</v>
      </c>
      <c r="P10953" s="30" t="s">
        <v>3674</v>
      </c>
      <c r="Q10953" t="s">
        <v>620</v>
      </c>
      <c r="R10953" t="s">
        <v>917</v>
      </c>
      <c r="S10953">
        <v>36</v>
      </c>
      <c r="T10953" s="29" t="str">
        <f>HYPERLINK("https://ictv.global/ictv/proposals/2020.026M.R.Jingchuvirales.zip","2020.026M.R.Jingchuvirales.zip")</f>
        <v>2020.026M.R.Jingchuvirales.zip</v>
      </c>
      <c r="U10953" s="29" t="str">
        <f>HYPERLINK("https://ictv.global/taxonomy/taxondetails?taxnode_id=202309750","ictv.global=202309750")</f>
        <v>ictv.global=202309750</v>
      </c>
    </row>
    <row r="10954" spans="1:21">
      <c r="A10954">
        <v>10953</v>
      </c>
      <c r="B10954" s="30" t="s">
        <v>1226</v>
      </c>
      <c r="D10954" s="30" t="s">
        <v>2024</v>
      </c>
      <c r="F10954" s="30" t="s">
        <v>1040</v>
      </c>
      <c r="G10954" s="30" t="s">
        <v>1041</v>
      </c>
      <c r="H10954" s="30" t="s">
        <v>1047</v>
      </c>
      <c r="J10954" s="30" t="s">
        <v>1048</v>
      </c>
      <c r="L10954" s="30" t="s">
        <v>3665</v>
      </c>
      <c r="N10954" s="30" t="s">
        <v>3668</v>
      </c>
      <c r="P10954" s="30" t="s">
        <v>9694</v>
      </c>
      <c r="Q10954" t="s">
        <v>620</v>
      </c>
      <c r="R10954" t="s">
        <v>920</v>
      </c>
      <c r="S10954">
        <v>37</v>
      </c>
      <c r="T10954" s="29" t="str">
        <f>HYPERLINK("https://ictv.global/ictv/proposals/2021.042M.R.Corrections_Riboviria_Duplodnaviria.zip","2021.042M.R.Corrections_Riboviria_Duplodnaviria.zip")</f>
        <v>2021.042M.R.Corrections_Riboviria_Duplodnaviria.zip</v>
      </c>
      <c r="U10954" s="29" t="str">
        <f>HYPERLINK("https://ictv.global/taxonomy/taxondetails?taxnode_id=202306066","ictv.global=202306066")</f>
        <v>ictv.global=202306066</v>
      </c>
    </row>
    <row r="10955" spans="1:21">
      <c r="A10955">
        <v>10954</v>
      </c>
      <c r="B10955" s="30" t="s">
        <v>1226</v>
      </c>
      <c r="D10955" s="30" t="s">
        <v>2024</v>
      </c>
      <c r="F10955" s="30" t="s">
        <v>1040</v>
      </c>
      <c r="G10955" s="30" t="s">
        <v>1041</v>
      </c>
      <c r="H10955" s="30" t="s">
        <v>1047</v>
      </c>
      <c r="J10955" s="30" t="s">
        <v>1048</v>
      </c>
      <c r="L10955" s="30" t="s">
        <v>3665</v>
      </c>
      <c r="N10955" s="30" t="s">
        <v>3668</v>
      </c>
      <c r="P10955" s="30" t="s">
        <v>3675</v>
      </c>
      <c r="Q10955" t="s">
        <v>620</v>
      </c>
      <c r="R10955" t="s">
        <v>918</v>
      </c>
      <c r="S10955">
        <v>36</v>
      </c>
      <c r="T10955" s="29" t="str">
        <f t="shared" ref="T10955:T10966" si="458">HYPERLINK("https://ictv.global/ictv/proposals/2020.026M.R.Jingchuvirales.zip","2020.026M.R.Jingchuvirales.zip")</f>
        <v>2020.026M.R.Jingchuvirales.zip</v>
      </c>
      <c r="U10955" s="29" t="str">
        <f>HYPERLINK("https://ictv.global/taxonomy/taxondetails?taxnode_id=202307449","ictv.global=202307449")</f>
        <v>ictv.global=202307449</v>
      </c>
    </row>
    <row r="10956" spans="1:21">
      <c r="A10956">
        <v>10955</v>
      </c>
      <c r="B10956" s="30" t="s">
        <v>1226</v>
      </c>
      <c r="D10956" s="30" t="s">
        <v>2024</v>
      </c>
      <c r="F10956" s="30" t="s">
        <v>1040</v>
      </c>
      <c r="G10956" s="30" t="s">
        <v>1041</v>
      </c>
      <c r="H10956" s="30" t="s">
        <v>1047</v>
      </c>
      <c r="J10956" s="30" t="s">
        <v>1048</v>
      </c>
      <c r="L10956" s="30" t="s">
        <v>1049</v>
      </c>
      <c r="N10956" s="30" t="s">
        <v>3676</v>
      </c>
      <c r="P10956" s="30" t="s">
        <v>3677</v>
      </c>
      <c r="Q10956" t="s">
        <v>620</v>
      </c>
      <c r="R10956" t="s">
        <v>918</v>
      </c>
      <c r="S10956">
        <v>36</v>
      </c>
      <c r="T10956" s="29" t="str">
        <f t="shared" si="458"/>
        <v>2020.026M.R.Jingchuvirales.zip</v>
      </c>
      <c r="U10956" s="29" t="str">
        <f>HYPERLINK("https://ictv.global/taxonomy/taxondetails?taxnode_id=202306054","ictv.global=202306054")</f>
        <v>ictv.global=202306054</v>
      </c>
    </row>
    <row r="10957" spans="1:21">
      <c r="A10957">
        <v>10956</v>
      </c>
      <c r="B10957" s="30" t="s">
        <v>1226</v>
      </c>
      <c r="D10957" s="30" t="s">
        <v>2024</v>
      </c>
      <c r="F10957" s="30" t="s">
        <v>1040</v>
      </c>
      <c r="G10957" s="30" t="s">
        <v>1041</v>
      </c>
      <c r="H10957" s="30" t="s">
        <v>1047</v>
      </c>
      <c r="J10957" s="30" t="s">
        <v>1048</v>
      </c>
      <c r="L10957" s="30" t="s">
        <v>1049</v>
      </c>
      <c r="N10957" s="30" t="s">
        <v>3676</v>
      </c>
      <c r="P10957" s="30" t="s">
        <v>3678</v>
      </c>
      <c r="Q10957" t="s">
        <v>620</v>
      </c>
      <c r="R10957" t="s">
        <v>918</v>
      </c>
      <c r="S10957">
        <v>36</v>
      </c>
      <c r="T10957" s="29" t="str">
        <f t="shared" si="458"/>
        <v>2020.026M.R.Jingchuvirales.zip</v>
      </c>
      <c r="U10957" s="29" t="str">
        <f>HYPERLINK("https://ictv.global/taxonomy/taxondetails?taxnode_id=202306061","ictv.global=202306061")</f>
        <v>ictv.global=202306061</v>
      </c>
    </row>
    <row r="10958" spans="1:21">
      <c r="A10958">
        <v>10957</v>
      </c>
      <c r="B10958" s="30" t="s">
        <v>1226</v>
      </c>
      <c r="D10958" s="30" t="s">
        <v>2024</v>
      </c>
      <c r="F10958" s="30" t="s">
        <v>1040</v>
      </c>
      <c r="G10958" s="30" t="s">
        <v>1041</v>
      </c>
      <c r="H10958" s="30" t="s">
        <v>1047</v>
      </c>
      <c r="J10958" s="30" t="s">
        <v>1048</v>
      </c>
      <c r="L10958" s="30" t="s">
        <v>1049</v>
      </c>
      <c r="N10958" s="30" t="s">
        <v>3679</v>
      </c>
      <c r="P10958" s="30" t="s">
        <v>3680</v>
      </c>
      <c r="Q10958" t="s">
        <v>620</v>
      </c>
      <c r="R10958" t="s">
        <v>918</v>
      </c>
      <c r="S10958">
        <v>36</v>
      </c>
      <c r="T10958" s="29" t="str">
        <f t="shared" si="458"/>
        <v>2020.026M.R.Jingchuvirales.zip</v>
      </c>
      <c r="U10958" s="29" t="str">
        <f>HYPERLINK("https://ictv.global/taxonomy/taxondetails?taxnode_id=202306045","ictv.global=202306045")</f>
        <v>ictv.global=202306045</v>
      </c>
    </row>
    <row r="10959" spans="1:21">
      <c r="A10959">
        <v>10958</v>
      </c>
      <c r="B10959" s="30" t="s">
        <v>1226</v>
      </c>
      <c r="D10959" s="30" t="s">
        <v>2024</v>
      </c>
      <c r="F10959" s="30" t="s">
        <v>1040</v>
      </c>
      <c r="G10959" s="30" t="s">
        <v>1041</v>
      </c>
      <c r="H10959" s="30" t="s">
        <v>1047</v>
      </c>
      <c r="J10959" s="30" t="s">
        <v>1048</v>
      </c>
      <c r="L10959" s="30" t="s">
        <v>1049</v>
      </c>
      <c r="N10959" s="30" t="s">
        <v>3679</v>
      </c>
      <c r="P10959" s="30" t="s">
        <v>3681</v>
      </c>
      <c r="Q10959" t="s">
        <v>620</v>
      </c>
      <c r="R10959" t="s">
        <v>918</v>
      </c>
      <c r="S10959">
        <v>36</v>
      </c>
      <c r="T10959" s="29" t="str">
        <f t="shared" si="458"/>
        <v>2020.026M.R.Jingchuvirales.zip</v>
      </c>
      <c r="U10959" s="29" t="str">
        <f>HYPERLINK("https://ictv.global/taxonomy/taxondetails?taxnode_id=202306049","ictv.global=202306049")</f>
        <v>ictv.global=202306049</v>
      </c>
    </row>
    <row r="10960" spans="1:21">
      <c r="A10960">
        <v>10959</v>
      </c>
      <c r="B10960" s="30" t="s">
        <v>1226</v>
      </c>
      <c r="D10960" s="30" t="s">
        <v>2024</v>
      </c>
      <c r="F10960" s="30" t="s">
        <v>1040</v>
      </c>
      <c r="G10960" s="30" t="s">
        <v>1041</v>
      </c>
      <c r="H10960" s="30" t="s">
        <v>1047</v>
      </c>
      <c r="J10960" s="30" t="s">
        <v>1048</v>
      </c>
      <c r="L10960" s="30" t="s">
        <v>1049</v>
      </c>
      <c r="N10960" s="30" t="s">
        <v>3682</v>
      </c>
      <c r="P10960" s="30" t="s">
        <v>3683</v>
      </c>
      <c r="Q10960" t="s">
        <v>620</v>
      </c>
      <c r="R10960" t="s">
        <v>918</v>
      </c>
      <c r="S10960">
        <v>36</v>
      </c>
      <c r="T10960" s="29" t="str">
        <f t="shared" si="458"/>
        <v>2020.026M.R.Jingchuvirales.zip</v>
      </c>
      <c r="U10960" s="29" t="str">
        <f>HYPERLINK("https://ictv.global/taxonomy/taxondetails?taxnode_id=202306062","ictv.global=202306062")</f>
        <v>ictv.global=202306062</v>
      </c>
    </row>
    <row r="10961" spans="1:21">
      <c r="A10961">
        <v>10960</v>
      </c>
      <c r="B10961" s="30" t="s">
        <v>1226</v>
      </c>
      <c r="D10961" s="30" t="s">
        <v>2024</v>
      </c>
      <c r="F10961" s="30" t="s">
        <v>1040</v>
      </c>
      <c r="G10961" s="30" t="s">
        <v>1041</v>
      </c>
      <c r="H10961" s="30" t="s">
        <v>1047</v>
      </c>
      <c r="J10961" s="30" t="s">
        <v>1048</v>
      </c>
      <c r="L10961" s="30" t="s">
        <v>1049</v>
      </c>
      <c r="N10961" s="30" t="s">
        <v>3682</v>
      </c>
      <c r="P10961" s="30" t="s">
        <v>3684</v>
      </c>
      <c r="Q10961" t="s">
        <v>620</v>
      </c>
      <c r="R10961" t="s">
        <v>917</v>
      </c>
      <c r="S10961">
        <v>36</v>
      </c>
      <c r="T10961" s="29" t="str">
        <f t="shared" si="458"/>
        <v>2020.026M.R.Jingchuvirales.zip</v>
      </c>
      <c r="U10961" s="29" t="str">
        <f>HYPERLINK("https://ictv.global/taxonomy/taxondetails?taxnode_id=202309719","ictv.global=202309719")</f>
        <v>ictv.global=202309719</v>
      </c>
    </row>
    <row r="10962" spans="1:21">
      <c r="A10962">
        <v>10961</v>
      </c>
      <c r="B10962" s="30" t="s">
        <v>1226</v>
      </c>
      <c r="D10962" s="30" t="s">
        <v>2024</v>
      </c>
      <c r="F10962" s="30" t="s">
        <v>1040</v>
      </c>
      <c r="G10962" s="30" t="s">
        <v>1041</v>
      </c>
      <c r="H10962" s="30" t="s">
        <v>1047</v>
      </c>
      <c r="J10962" s="30" t="s">
        <v>1048</v>
      </c>
      <c r="L10962" s="30" t="s">
        <v>1049</v>
      </c>
      <c r="N10962" s="30" t="s">
        <v>3682</v>
      </c>
      <c r="P10962" s="30" t="s">
        <v>3685</v>
      </c>
      <c r="Q10962" t="s">
        <v>620</v>
      </c>
      <c r="R10962" t="s">
        <v>918</v>
      </c>
      <c r="S10962">
        <v>36</v>
      </c>
      <c r="T10962" s="29" t="str">
        <f t="shared" si="458"/>
        <v>2020.026M.R.Jingchuvirales.zip</v>
      </c>
      <c r="U10962" s="29" t="str">
        <f>HYPERLINK("https://ictv.global/taxonomy/taxondetails?taxnode_id=202306057","ictv.global=202306057")</f>
        <v>ictv.global=202306057</v>
      </c>
    </row>
    <row r="10963" spans="1:21">
      <c r="A10963">
        <v>10962</v>
      </c>
      <c r="B10963" s="30" t="s">
        <v>1226</v>
      </c>
      <c r="D10963" s="30" t="s">
        <v>2024</v>
      </c>
      <c r="F10963" s="30" t="s">
        <v>1040</v>
      </c>
      <c r="G10963" s="30" t="s">
        <v>1041</v>
      </c>
      <c r="H10963" s="30" t="s">
        <v>1047</v>
      </c>
      <c r="J10963" s="30" t="s">
        <v>1048</v>
      </c>
      <c r="L10963" s="30" t="s">
        <v>1049</v>
      </c>
      <c r="N10963" s="30" t="s">
        <v>3682</v>
      </c>
      <c r="P10963" s="30" t="s">
        <v>3686</v>
      </c>
      <c r="Q10963" t="s">
        <v>620</v>
      </c>
      <c r="R10963" t="s">
        <v>917</v>
      </c>
      <c r="S10963">
        <v>36</v>
      </c>
      <c r="T10963" s="29" t="str">
        <f t="shared" si="458"/>
        <v>2020.026M.R.Jingchuvirales.zip</v>
      </c>
      <c r="U10963" s="29" t="str">
        <f>HYPERLINK("https://ictv.global/taxonomy/taxondetails?taxnode_id=202309720","ictv.global=202309720")</f>
        <v>ictv.global=202309720</v>
      </c>
    </row>
    <row r="10964" spans="1:21">
      <c r="A10964">
        <v>10963</v>
      </c>
      <c r="B10964" s="30" t="s">
        <v>1226</v>
      </c>
      <c r="D10964" s="30" t="s">
        <v>2024</v>
      </c>
      <c r="F10964" s="30" t="s">
        <v>1040</v>
      </c>
      <c r="G10964" s="30" t="s">
        <v>1041</v>
      </c>
      <c r="H10964" s="30" t="s">
        <v>1047</v>
      </c>
      <c r="J10964" s="30" t="s">
        <v>1048</v>
      </c>
      <c r="L10964" s="30" t="s">
        <v>1049</v>
      </c>
      <c r="N10964" s="30" t="s">
        <v>3687</v>
      </c>
      <c r="P10964" s="30" t="s">
        <v>3688</v>
      </c>
      <c r="Q10964" t="s">
        <v>620</v>
      </c>
      <c r="R10964" t="s">
        <v>917</v>
      </c>
      <c r="S10964">
        <v>36</v>
      </c>
      <c r="T10964" s="29" t="str">
        <f t="shared" si="458"/>
        <v>2020.026M.R.Jingchuvirales.zip</v>
      </c>
      <c r="U10964" s="29" t="str">
        <f>HYPERLINK("https://ictv.global/taxonomy/taxondetails?taxnode_id=202309715","ictv.global=202309715")</f>
        <v>ictv.global=202309715</v>
      </c>
    </row>
    <row r="10965" spans="1:21">
      <c r="A10965">
        <v>10964</v>
      </c>
      <c r="B10965" s="30" t="s">
        <v>1226</v>
      </c>
      <c r="D10965" s="30" t="s">
        <v>2024</v>
      </c>
      <c r="F10965" s="30" t="s">
        <v>1040</v>
      </c>
      <c r="G10965" s="30" t="s">
        <v>1041</v>
      </c>
      <c r="H10965" s="30" t="s">
        <v>1047</v>
      </c>
      <c r="J10965" s="30" t="s">
        <v>1048</v>
      </c>
      <c r="L10965" s="30" t="s">
        <v>1049</v>
      </c>
      <c r="N10965" s="30" t="s">
        <v>3689</v>
      </c>
      <c r="P10965" s="30" t="s">
        <v>3690</v>
      </c>
      <c r="Q10965" t="s">
        <v>620</v>
      </c>
      <c r="R10965" t="s">
        <v>917</v>
      </c>
      <c r="S10965">
        <v>36</v>
      </c>
      <c r="T10965" s="29" t="str">
        <f t="shared" si="458"/>
        <v>2020.026M.R.Jingchuvirales.zip</v>
      </c>
      <c r="U10965" s="29" t="str">
        <f>HYPERLINK("https://ictv.global/taxonomy/taxondetails?taxnode_id=202309722","ictv.global=202309722")</f>
        <v>ictv.global=202309722</v>
      </c>
    </row>
    <row r="10966" spans="1:21">
      <c r="A10966">
        <v>10965</v>
      </c>
      <c r="B10966" s="30" t="s">
        <v>1226</v>
      </c>
      <c r="D10966" s="30" t="s">
        <v>2024</v>
      </c>
      <c r="F10966" s="30" t="s">
        <v>1040</v>
      </c>
      <c r="G10966" s="30" t="s">
        <v>1041</v>
      </c>
      <c r="H10966" s="30" t="s">
        <v>1047</v>
      </c>
      <c r="J10966" s="30" t="s">
        <v>1048</v>
      </c>
      <c r="L10966" s="30" t="s">
        <v>1049</v>
      </c>
      <c r="N10966" s="30" t="s">
        <v>1050</v>
      </c>
      <c r="P10966" s="30" t="s">
        <v>3691</v>
      </c>
      <c r="Q10966" t="s">
        <v>620</v>
      </c>
      <c r="R10966" t="s">
        <v>920</v>
      </c>
      <c r="S10966">
        <v>36</v>
      </c>
      <c r="T10966" s="29" t="str">
        <f t="shared" si="458"/>
        <v>2020.026M.R.Jingchuvirales.zip</v>
      </c>
      <c r="U10966" s="29" t="str">
        <f>HYPERLINK("https://ictv.global/taxonomy/taxondetails?taxnode_id=202306060","ictv.global=202306060")</f>
        <v>ictv.global=202306060</v>
      </c>
    </row>
    <row r="10967" spans="1:21">
      <c r="A10967">
        <v>10966</v>
      </c>
      <c r="B10967" s="30" t="s">
        <v>1226</v>
      </c>
      <c r="D10967" s="30" t="s">
        <v>2024</v>
      </c>
      <c r="F10967" s="30" t="s">
        <v>1040</v>
      </c>
      <c r="G10967" s="30" t="s">
        <v>1041</v>
      </c>
      <c r="H10967" s="30" t="s">
        <v>1047</v>
      </c>
      <c r="J10967" s="30" t="s">
        <v>1048</v>
      </c>
      <c r="L10967" s="30" t="s">
        <v>1049</v>
      </c>
      <c r="N10967" s="30" t="s">
        <v>1050</v>
      </c>
      <c r="P10967" s="30" t="s">
        <v>9695</v>
      </c>
      <c r="Q10967" t="s">
        <v>620</v>
      </c>
      <c r="R10967" t="s">
        <v>917</v>
      </c>
      <c r="S10967">
        <v>38</v>
      </c>
      <c r="T10967" s="29" t="str">
        <f>HYPERLINK("https://ictv.global/ictv/proposals/2021.015M.Jingchuvirales_2ngen_10nsp.zip","2021.015M.Jingchuvirales_2ngen_10nsp.zip")</f>
        <v>2021.015M.Jingchuvirales_2ngen_10nsp.zip</v>
      </c>
      <c r="U10967" s="29" t="str">
        <f>HYPERLINK("https://ictv.global/taxonomy/taxondetails?taxnode_id=202314136","ictv.global=202314136")</f>
        <v>ictv.global=202314136</v>
      </c>
    </row>
    <row r="10968" spans="1:21">
      <c r="A10968">
        <v>10967</v>
      </c>
      <c r="B10968" s="30" t="s">
        <v>1226</v>
      </c>
      <c r="D10968" s="30" t="s">
        <v>2024</v>
      </c>
      <c r="F10968" s="30" t="s">
        <v>1040</v>
      </c>
      <c r="G10968" s="30" t="s">
        <v>1041</v>
      </c>
      <c r="H10968" s="30" t="s">
        <v>1047</v>
      </c>
      <c r="J10968" s="30" t="s">
        <v>1048</v>
      </c>
      <c r="L10968" s="30" t="s">
        <v>1049</v>
      </c>
      <c r="N10968" s="30" t="s">
        <v>1050</v>
      </c>
      <c r="P10968" s="30" t="s">
        <v>3692</v>
      </c>
      <c r="Q10968" t="s">
        <v>620</v>
      </c>
      <c r="R10968" t="s">
        <v>920</v>
      </c>
      <c r="S10968">
        <v>36</v>
      </c>
      <c r="T10968" s="29" t="str">
        <f t="shared" ref="T10968:T10977" si="459">HYPERLINK("https://ictv.global/ictv/proposals/2020.026M.R.Jingchuvirales.zip","2020.026M.R.Jingchuvirales.zip")</f>
        <v>2020.026M.R.Jingchuvirales.zip</v>
      </c>
      <c r="U10968" s="29" t="str">
        <f>HYPERLINK("https://ictv.global/taxonomy/taxondetails?taxnode_id=202306044","ictv.global=202306044")</f>
        <v>ictv.global=202306044</v>
      </c>
    </row>
    <row r="10969" spans="1:21">
      <c r="A10969">
        <v>10968</v>
      </c>
      <c r="B10969" s="30" t="s">
        <v>1226</v>
      </c>
      <c r="D10969" s="30" t="s">
        <v>2024</v>
      </c>
      <c r="F10969" s="30" t="s">
        <v>1040</v>
      </c>
      <c r="G10969" s="30" t="s">
        <v>1041</v>
      </c>
      <c r="H10969" s="30" t="s">
        <v>1047</v>
      </c>
      <c r="J10969" s="30" t="s">
        <v>1048</v>
      </c>
      <c r="L10969" s="30" t="s">
        <v>1049</v>
      </c>
      <c r="N10969" s="30" t="s">
        <v>1050</v>
      </c>
      <c r="P10969" s="30" t="s">
        <v>3693</v>
      </c>
      <c r="Q10969" t="s">
        <v>620</v>
      </c>
      <c r="R10969" t="s">
        <v>920</v>
      </c>
      <c r="S10969">
        <v>36</v>
      </c>
      <c r="T10969" s="29" t="str">
        <f t="shared" si="459"/>
        <v>2020.026M.R.Jingchuvirales.zip</v>
      </c>
      <c r="U10969" s="29" t="str">
        <f>HYPERLINK("https://ictv.global/taxonomy/taxondetails?taxnode_id=202306046","ictv.global=202306046")</f>
        <v>ictv.global=202306046</v>
      </c>
    </row>
    <row r="10970" spans="1:21">
      <c r="A10970">
        <v>10969</v>
      </c>
      <c r="B10970" s="30" t="s">
        <v>1226</v>
      </c>
      <c r="D10970" s="30" t="s">
        <v>2024</v>
      </c>
      <c r="F10970" s="30" t="s">
        <v>1040</v>
      </c>
      <c r="G10970" s="30" t="s">
        <v>1041</v>
      </c>
      <c r="H10970" s="30" t="s">
        <v>1047</v>
      </c>
      <c r="J10970" s="30" t="s">
        <v>1048</v>
      </c>
      <c r="L10970" s="30" t="s">
        <v>1049</v>
      </c>
      <c r="N10970" s="30" t="s">
        <v>1050</v>
      </c>
      <c r="P10970" s="30" t="s">
        <v>3694</v>
      </c>
      <c r="Q10970" t="s">
        <v>620</v>
      </c>
      <c r="R10970" t="s">
        <v>920</v>
      </c>
      <c r="S10970">
        <v>36</v>
      </c>
      <c r="T10970" s="29" t="str">
        <f t="shared" si="459"/>
        <v>2020.026M.R.Jingchuvirales.zip</v>
      </c>
      <c r="U10970" s="29" t="str">
        <f>HYPERLINK("https://ictv.global/taxonomy/taxondetails?taxnode_id=202306051","ictv.global=202306051")</f>
        <v>ictv.global=202306051</v>
      </c>
    </row>
    <row r="10971" spans="1:21">
      <c r="A10971">
        <v>10970</v>
      </c>
      <c r="B10971" s="30" t="s">
        <v>1226</v>
      </c>
      <c r="D10971" s="30" t="s">
        <v>2024</v>
      </c>
      <c r="F10971" s="30" t="s">
        <v>1040</v>
      </c>
      <c r="G10971" s="30" t="s">
        <v>1041</v>
      </c>
      <c r="H10971" s="30" t="s">
        <v>1047</v>
      </c>
      <c r="J10971" s="30" t="s">
        <v>1048</v>
      </c>
      <c r="L10971" s="30" t="s">
        <v>1049</v>
      </c>
      <c r="N10971" s="30" t="s">
        <v>1050</v>
      </c>
      <c r="P10971" s="30" t="s">
        <v>3695</v>
      </c>
      <c r="Q10971" t="s">
        <v>620</v>
      </c>
      <c r="R10971" t="s">
        <v>917</v>
      </c>
      <c r="S10971">
        <v>36</v>
      </c>
      <c r="T10971" s="29" t="str">
        <f t="shared" si="459"/>
        <v>2020.026M.R.Jingchuvirales.zip</v>
      </c>
      <c r="U10971" s="29" t="str">
        <f>HYPERLINK("https://ictv.global/taxonomy/taxondetails?taxnode_id=202309723","ictv.global=202309723")</f>
        <v>ictv.global=202309723</v>
      </c>
    </row>
    <row r="10972" spans="1:21">
      <c r="A10972">
        <v>10971</v>
      </c>
      <c r="B10972" s="30" t="s">
        <v>1226</v>
      </c>
      <c r="D10972" s="30" t="s">
        <v>2024</v>
      </c>
      <c r="F10972" s="30" t="s">
        <v>1040</v>
      </c>
      <c r="G10972" s="30" t="s">
        <v>1041</v>
      </c>
      <c r="H10972" s="30" t="s">
        <v>1047</v>
      </c>
      <c r="J10972" s="30" t="s">
        <v>1048</v>
      </c>
      <c r="L10972" s="30" t="s">
        <v>1049</v>
      </c>
      <c r="N10972" s="30" t="s">
        <v>1050</v>
      </c>
      <c r="P10972" s="30" t="s">
        <v>3696</v>
      </c>
      <c r="Q10972" t="s">
        <v>620</v>
      </c>
      <c r="R10972" t="s">
        <v>917</v>
      </c>
      <c r="S10972">
        <v>36</v>
      </c>
      <c r="T10972" s="29" t="str">
        <f t="shared" si="459"/>
        <v>2020.026M.R.Jingchuvirales.zip</v>
      </c>
      <c r="U10972" s="29" t="str">
        <f>HYPERLINK("https://ictv.global/taxonomy/taxondetails?taxnode_id=202309724","ictv.global=202309724")</f>
        <v>ictv.global=202309724</v>
      </c>
    </row>
    <row r="10973" spans="1:21">
      <c r="A10973">
        <v>10972</v>
      </c>
      <c r="B10973" s="30" t="s">
        <v>1226</v>
      </c>
      <c r="D10973" s="30" t="s">
        <v>2024</v>
      </c>
      <c r="F10973" s="30" t="s">
        <v>1040</v>
      </c>
      <c r="G10973" s="30" t="s">
        <v>1041</v>
      </c>
      <c r="H10973" s="30" t="s">
        <v>1047</v>
      </c>
      <c r="J10973" s="30" t="s">
        <v>1048</v>
      </c>
      <c r="L10973" s="30" t="s">
        <v>1049</v>
      </c>
      <c r="N10973" s="30" t="s">
        <v>1050</v>
      </c>
      <c r="P10973" s="30" t="s">
        <v>3697</v>
      </c>
      <c r="Q10973" t="s">
        <v>620</v>
      </c>
      <c r="R10973" t="s">
        <v>917</v>
      </c>
      <c r="S10973">
        <v>36</v>
      </c>
      <c r="T10973" s="29" t="str">
        <f t="shared" si="459"/>
        <v>2020.026M.R.Jingchuvirales.zip</v>
      </c>
      <c r="U10973" s="29" t="str">
        <f>HYPERLINK("https://ictv.global/taxonomy/taxondetails?taxnode_id=202309725","ictv.global=202309725")</f>
        <v>ictv.global=202309725</v>
      </c>
    </row>
    <row r="10974" spans="1:21">
      <c r="A10974">
        <v>10973</v>
      </c>
      <c r="B10974" s="30" t="s">
        <v>1226</v>
      </c>
      <c r="D10974" s="30" t="s">
        <v>2024</v>
      </c>
      <c r="F10974" s="30" t="s">
        <v>1040</v>
      </c>
      <c r="G10974" s="30" t="s">
        <v>1041</v>
      </c>
      <c r="H10974" s="30" t="s">
        <v>1047</v>
      </c>
      <c r="J10974" s="30" t="s">
        <v>1048</v>
      </c>
      <c r="L10974" s="30" t="s">
        <v>1049</v>
      </c>
      <c r="N10974" s="30" t="s">
        <v>1050</v>
      </c>
      <c r="P10974" s="30" t="s">
        <v>3698</v>
      </c>
      <c r="Q10974" t="s">
        <v>620</v>
      </c>
      <c r="R10974" t="s">
        <v>920</v>
      </c>
      <c r="S10974">
        <v>36</v>
      </c>
      <c r="T10974" s="29" t="str">
        <f t="shared" si="459"/>
        <v>2020.026M.R.Jingchuvirales.zip</v>
      </c>
      <c r="U10974" s="29" t="str">
        <f>HYPERLINK("https://ictv.global/taxonomy/taxondetails?taxnode_id=202306067","ictv.global=202306067")</f>
        <v>ictv.global=202306067</v>
      </c>
    </row>
    <row r="10975" spans="1:21">
      <c r="A10975">
        <v>10974</v>
      </c>
      <c r="B10975" s="30" t="s">
        <v>1226</v>
      </c>
      <c r="D10975" s="30" t="s">
        <v>2024</v>
      </c>
      <c r="F10975" s="30" t="s">
        <v>1040</v>
      </c>
      <c r="G10975" s="30" t="s">
        <v>1041</v>
      </c>
      <c r="H10975" s="30" t="s">
        <v>1047</v>
      </c>
      <c r="J10975" s="30" t="s">
        <v>1048</v>
      </c>
      <c r="L10975" s="30" t="s">
        <v>1049</v>
      </c>
      <c r="N10975" s="30" t="s">
        <v>1050</v>
      </c>
      <c r="P10975" s="30" t="s">
        <v>3699</v>
      </c>
      <c r="Q10975" t="s">
        <v>620</v>
      </c>
      <c r="R10975" t="s">
        <v>920</v>
      </c>
      <c r="S10975">
        <v>36</v>
      </c>
      <c r="T10975" s="29" t="str">
        <f t="shared" si="459"/>
        <v>2020.026M.R.Jingchuvirales.zip</v>
      </c>
      <c r="U10975" s="29" t="str">
        <f>HYPERLINK("https://ictv.global/taxonomy/taxondetails?taxnode_id=202306069","ictv.global=202306069")</f>
        <v>ictv.global=202306069</v>
      </c>
    </row>
    <row r="10976" spans="1:21">
      <c r="A10976">
        <v>10975</v>
      </c>
      <c r="B10976" s="30" t="s">
        <v>1226</v>
      </c>
      <c r="D10976" s="30" t="s">
        <v>2024</v>
      </c>
      <c r="F10976" s="30" t="s">
        <v>1040</v>
      </c>
      <c r="G10976" s="30" t="s">
        <v>1041</v>
      </c>
      <c r="H10976" s="30" t="s">
        <v>1047</v>
      </c>
      <c r="J10976" s="30" t="s">
        <v>1048</v>
      </c>
      <c r="L10976" s="30" t="s">
        <v>1049</v>
      </c>
      <c r="N10976" s="30" t="s">
        <v>3700</v>
      </c>
      <c r="P10976" s="30" t="s">
        <v>3701</v>
      </c>
      <c r="Q10976" t="s">
        <v>620</v>
      </c>
      <c r="R10976" t="s">
        <v>918</v>
      </c>
      <c r="S10976">
        <v>36</v>
      </c>
      <c r="T10976" s="29" t="str">
        <f t="shared" si="459"/>
        <v>2020.026M.R.Jingchuvirales.zip</v>
      </c>
      <c r="U10976" s="29" t="str">
        <f>HYPERLINK("https://ictv.global/taxonomy/taxondetails?taxnode_id=202306041","ictv.global=202306041")</f>
        <v>ictv.global=202306041</v>
      </c>
    </row>
    <row r="10977" spans="1:21">
      <c r="A10977">
        <v>10976</v>
      </c>
      <c r="B10977" s="30" t="s">
        <v>1226</v>
      </c>
      <c r="D10977" s="30" t="s">
        <v>2024</v>
      </c>
      <c r="F10977" s="30" t="s">
        <v>1040</v>
      </c>
      <c r="G10977" s="30" t="s">
        <v>1041</v>
      </c>
      <c r="H10977" s="30" t="s">
        <v>1047</v>
      </c>
      <c r="J10977" s="30" t="s">
        <v>1048</v>
      </c>
      <c r="L10977" s="30" t="s">
        <v>1049</v>
      </c>
      <c r="N10977" s="30" t="s">
        <v>3702</v>
      </c>
      <c r="P10977" s="30" t="s">
        <v>3703</v>
      </c>
      <c r="Q10977" t="s">
        <v>620</v>
      </c>
      <c r="R10977" t="s">
        <v>917</v>
      </c>
      <c r="S10977">
        <v>36</v>
      </c>
      <c r="T10977" s="29" t="str">
        <f t="shared" si="459"/>
        <v>2020.026M.R.Jingchuvirales.zip</v>
      </c>
      <c r="U10977" s="29" t="str">
        <f>HYPERLINK("https://ictv.global/taxonomy/taxondetails?taxnode_id=202309728","ictv.global=202309728")</f>
        <v>ictv.global=202309728</v>
      </c>
    </row>
    <row r="10978" spans="1:21">
      <c r="A10978">
        <v>10977</v>
      </c>
      <c r="B10978" s="30" t="s">
        <v>1226</v>
      </c>
      <c r="D10978" s="30" t="s">
        <v>2024</v>
      </c>
      <c r="F10978" s="30" t="s">
        <v>1040</v>
      </c>
      <c r="G10978" s="30" t="s">
        <v>1041</v>
      </c>
      <c r="H10978" s="30" t="s">
        <v>1047</v>
      </c>
      <c r="J10978" s="30" t="s">
        <v>1048</v>
      </c>
      <c r="L10978" s="30" t="s">
        <v>1049</v>
      </c>
      <c r="N10978" s="30" t="s">
        <v>3702</v>
      </c>
      <c r="P10978" s="30" t="s">
        <v>9696</v>
      </c>
      <c r="Q10978" t="s">
        <v>620</v>
      </c>
      <c r="R10978" t="s">
        <v>917</v>
      </c>
      <c r="S10978">
        <v>38</v>
      </c>
      <c r="T10978" s="29" t="str">
        <f>HYPERLINK("https://ictv.global/ictv/proposals/2021.015M.Jingchuvirales_2ngen_10nsp.zip","2021.015M.Jingchuvirales_2ngen_10nsp.zip")</f>
        <v>2021.015M.Jingchuvirales_2ngen_10nsp.zip</v>
      </c>
      <c r="U10978" s="29" t="str">
        <f>HYPERLINK("https://ictv.global/taxonomy/taxondetails?taxnode_id=202314137","ictv.global=202314137")</f>
        <v>ictv.global=202314137</v>
      </c>
    </row>
    <row r="10979" spans="1:21">
      <c r="A10979">
        <v>10978</v>
      </c>
      <c r="B10979" s="30" t="s">
        <v>1226</v>
      </c>
      <c r="D10979" s="30" t="s">
        <v>2024</v>
      </c>
      <c r="F10979" s="30" t="s">
        <v>1040</v>
      </c>
      <c r="G10979" s="30" t="s">
        <v>1041</v>
      </c>
      <c r="H10979" s="30" t="s">
        <v>1047</v>
      </c>
      <c r="J10979" s="30" t="s">
        <v>1048</v>
      </c>
      <c r="L10979" s="30" t="s">
        <v>1049</v>
      </c>
      <c r="N10979" s="30" t="s">
        <v>3704</v>
      </c>
      <c r="P10979" s="30" t="s">
        <v>3705</v>
      </c>
      <c r="Q10979" t="s">
        <v>620</v>
      </c>
      <c r="R10979" t="s">
        <v>917</v>
      </c>
      <c r="S10979">
        <v>36</v>
      </c>
      <c r="T10979" s="29" t="str">
        <f>HYPERLINK("https://ictv.global/ictv/proposals/2020.026M.R.Jingchuvirales.zip","2020.026M.R.Jingchuvirales.zip")</f>
        <v>2020.026M.R.Jingchuvirales.zip</v>
      </c>
      <c r="U10979" s="29" t="str">
        <f>HYPERLINK("https://ictv.global/taxonomy/taxondetails?taxnode_id=202309730","ictv.global=202309730")</f>
        <v>ictv.global=202309730</v>
      </c>
    </row>
    <row r="10980" spans="1:21">
      <c r="A10980">
        <v>10979</v>
      </c>
      <c r="B10980" s="30" t="s">
        <v>1226</v>
      </c>
      <c r="D10980" s="30" t="s">
        <v>2024</v>
      </c>
      <c r="F10980" s="30" t="s">
        <v>1040</v>
      </c>
      <c r="G10980" s="30" t="s">
        <v>1041</v>
      </c>
      <c r="H10980" s="30" t="s">
        <v>1047</v>
      </c>
      <c r="J10980" s="30" t="s">
        <v>1048</v>
      </c>
      <c r="L10980" s="30" t="s">
        <v>1049</v>
      </c>
      <c r="N10980" s="30" t="s">
        <v>3704</v>
      </c>
      <c r="P10980" s="30" t="s">
        <v>3706</v>
      </c>
      <c r="Q10980" t="s">
        <v>620</v>
      </c>
      <c r="R10980" t="s">
        <v>918</v>
      </c>
      <c r="S10980">
        <v>36</v>
      </c>
      <c r="T10980" s="29" t="str">
        <f>HYPERLINK("https://ictv.global/ictv/proposals/2020.026M.R.Jingchuvirales.zip","2020.026M.R.Jingchuvirales.zip")</f>
        <v>2020.026M.R.Jingchuvirales.zip</v>
      </c>
      <c r="U10980" s="29" t="str">
        <f>HYPERLINK("https://ictv.global/taxonomy/taxondetails?taxnode_id=202306064","ictv.global=202306064")</f>
        <v>ictv.global=202306064</v>
      </c>
    </row>
    <row r="10981" spans="1:21">
      <c r="A10981">
        <v>10980</v>
      </c>
      <c r="B10981" s="30" t="s">
        <v>1226</v>
      </c>
      <c r="D10981" s="30" t="s">
        <v>2024</v>
      </c>
      <c r="F10981" s="30" t="s">
        <v>1040</v>
      </c>
      <c r="G10981" s="30" t="s">
        <v>1041</v>
      </c>
      <c r="H10981" s="30" t="s">
        <v>1047</v>
      </c>
      <c r="J10981" s="30" t="s">
        <v>1048</v>
      </c>
      <c r="L10981" s="30" t="s">
        <v>1049</v>
      </c>
      <c r="N10981" s="30" t="s">
        <v>3704</v>
      </c>
      <c r="P10981" s="30" t="s">
        <v>3707</v>
      </c>
      <c r="Q10981" t="s">
        <v>620</v>
      </c>
      <c r="R10981" t="s">
        <v>917</v>
      </c>
      <c r="S10981">
        <v>36</v>
      </c>
      <c r="T10981" s="29" t="str">
        <f>HYPERLINK("https://ictv.global/ictv/proposals/2020.026M.R.Jingchuvirales.zip","2020.026M.R.Jingchuvirales.zip")</f>
        <v>2020.026M.R.Jingchuvirales.zip</v>
      </c>
      <c r="U10981" s="29" t="str">
        <f>HYPERLINK("https://ictv.global/taxonomy/taxondetails?taxnode_id=202309731","ictv.global=202309731")</f>
        <v>ictv.global=202309731</v>
      </c>
    </row>
    <row r="10982" spans="1:21">
      <c r="A10982">
        <v>10981</v>
      </c>
      <c r="B10982" s="30" t="s">
        <v>1226</v>
      </c>
      <c r="D10982" s="30" t="s">
        <v>2024</v>
      </c>
      <c r="F10982" s="30" t="s">
        <v>1040</v>
      </c>
      <c r="G10982" s="30" t="s">
        <v>1041</v>
      </c>
      <c r="H10982" s="30" t="s">
        <v>1047</v>
      </c>
      <c r="J10982" s="30" t="s">
        <v>1048</v>
      </c>
      <c r="L10982" s="30" t="s">
        <v>1049</v>
      </c>
      <c r="N10982" s="30" t="s">
        <v>3708</v>
      </c>
      <c r="P10982" s="30" t="s">
        <v>3709</v>
      </c>
      <c r="Q10982" t="s">
        <v>620</v>
      </c>
      <c r="R10982" t="s">
        <v>3893</v>
      </c>
      <c r="S10982">
        <v>36</v>
      </c>
      <c r="T10982" s="29" t="str">
        <f>HYPERLINK("https://ictv.global/ictv/proposals/2020.026M.R.Jingchuvirales.zip","2020.026M.R.Jingchuvirales.zip;2020.001G.R.Abolish_type_species.pdf")</f>
        <v>2020.026M.R.Jingchuvirales.zip;2020.001G.R.Abolish_type_species.pdf</v>
      </c>
      <c r="U10982" s="29" t="str">
        <f>HYPERLINK("https://ictv.global/taxonomy/taxondetails?taxnode_id=202306042","ictv.global=202306042")</f>
        <v>ictv.global=202306042</v>
      </c>
    </row>
    <row r="10983" spans="1:21">
      <c r="A10983">
        <v>10982</v>
      </c>
      <c r="B10983" s="30" t="s">
        <v>1226</v>
      </c>
      <c r="D10983" s="30" t="s">
        <v>2024</v>
      </c>
      <c r="F10983" s="30" t="s">
        <v>1040</v>
      </c>
      <c r="G10983" s="30" t="s">
        <v>1041</v>
      </c>
      <c r="H10983" s="30" t="s">
        <v>1047</v>
      </c>
      <c r="J10983" s="30" t="s">
        <v>1048</v>
      </c>
      <c r="L10983" s="30" t="s">
        <v>1049</v>
      </c>
      <c r="N10983" s="30" t="s">
        <v>3710</v>
      </c>
      <c r="P10983" s="30" t="s">
        <v>9697</v>
      </c>
      <c r="Q10983" t="s">
        <v>620</v>
      </c>
      <c r="R10983" t="s">
        <v>917</v>
      </c>
      <c r="S10983">
        <v>38</v>
      </c>
      <c r="T10983" s="29" t="str">
        <f>HYPERLINK("https://ictv.global/ictv/proposals/2021.015M.Jingchuvirales_2ngen_10nsp.zip","2021.015M.Jingchuvirales_2ngen_10nsp.zip")</f>
        <v>2021.015M.Jingchuvirales_2ngen_10nsp.zip</v>
      </c>
      <c r="U10983" s="29" t="str">
        <f>HYPERLINK("https://ictv.global/taxonomy/taxondetails?taxnode_id=202314138","ictv.global=202314138")</f>
        <v>ictv.global=202314138</v>
      </c>
    </row>
    <row r="10984" spans="1:21">
      <c r="A10984">
        <v>10983</v>
      </c>
      <c r="B10984" s="30" t="s">
        <v>1226</v>
      </c>
      <c r="D10984" s="30" t="s">
        <v>2024</v>
      </c>
      <c r="F10984" s="30" t="s">
        <v>1040</v>
      </c>
      <c r="G10984" s="30" t="s">
        <v>1041</v>
      </c>
      <c r="H10984" s="30" t="s">
        <v>1047</v>
      </c>
      <c r="J10984" s="30" t="s">
        <v>1048</v>
      </c>
      <c r="L10984" s="30" t="s">
        <v>1049</v>
      </c>
      <c r="N10984" s="30" t="s">
        <v>3710</v>
      </c>
      <c r="P10984" s="30" t="s">
        <v>3711</v>
      </c>
      <c r="Q10984" t="s">
        <v>620</v>
      </c>
      <c r="R10984" t="s">
        <v>917</v>
      </c>
      <c r="S10984">
        <v>36</v>
      </c>
      <c r="T10984" s="29" t="str">
        <f>HYPERLINK("https://ictv.global/ictv/proposals/2020.026M.R.Jingchuvirales.zip","2020.026M.R.Jingchuvirales.zip")</f>
        <v>2020.026M.R.Jingchuvirales.zip</v>
      </c>
      <c r="U10984" s="29" t="str">
        <f>HYPERLINK("https://ictv.global/taxonomy/taxondetails?taxnode_id=202309734","ictv.global=202309734")</f>
        <v>ictv.global=202309734</v>
      </c>
    </row>
    <row r="10985" spans="1:21">
      <c r="A10985">
        <v>10984</v>
      </c>
      <c r="B10985" s="30" t="s">
        <v>1226</v>
      </c>
      <c r="D10985" s="30" t="s">
        <v>2024</v>
      </c>
      <c r="F10985" s="30" t="s">
        <v>1040</v>
      </c>
      <c r="G10985" s="30" t="s">
        <v>1041</v>
      </c>
      <c r="H10985" s="30" t="s">
        <v>1047</v>
      </c>
      <c r="J10985" s="30" t="s">
        <v>1048</v>
      </c>
      <c r="L10985" s="30" t="s">
        <v>1049</v>
      </c>
      <c r="N10985" s="30" t="s">
        <v>3710</v>
      </c>
      <c r="P10985" s="30" t="s">
        <v>3712</v>
      </c>
      <c r="Q10985" t="s">
        <v>620</v>
      </c>
      <c r="R10985" t="s">
        <v>917</v>
      </c>
      <c r="S10985">
        <v>36</v>
      </c>
      <c r="T10985" s="29" t="str">
        <f>HYPERLINK("https://ictv.global/ictv/proposals/2020.026M.R.Jingchuvirales.zip","2020.026M.R.Jingchuvirales.zip")</f>
        <v>2020.026M.R.Jingchuvirales.zip</v>
      </c>
      <c r="U10985" s="29" t="str">
        <f>HYPERLINK("https://ictv.global/taxonomy/taxondetails?taxnode_id=202309735","ictv.global=202309735")</f>
        <v>ictv.global=202309735</v>
      </c>
    </row>
    <row r="10986" spans="1:21">
      <c r="A10986">
        <v>10985</v>
      </c>
      <c r="B10986" s="30" t="s">
        <v>1226</v>
      </c>
      <c r="D10986" s="30" t="s">
        <v>2024</v>
      </c>
      <c r="F10986" s="30" t="s">
        <v>1040</v>
      </c>
      <c r="G10986" s="30" t="s">
        <v>1041</v>
      </c>
      <c r="H10986" s="30" t="s">
        <v>1047</v>
      </c>
      <c r="J10986" s="30" t="s">
        <v>1048</v>
      </c>
      <c r="L10986" s="30" t="s">
        <v>1049</v>
      </c>
      <c r="N10986" s="30" t="s">
        <v>3710</v>
      </c>
      <c r="P10986" s="30" t="s">
        <v>3713</v>
      </c>
      <c r="Q10986" t="s">
        <v>620</v>
      </c>
      <c r="R10986" t="s">
        <v>918</v>
      </c>
      <c r="S10986">
        <v>36</v>
      </c>
      <c r="T10986" s="29" t="str">
        <f>HYPERLINK("https://ictv.global/ictv/proposals/2020.026M.R.Jingchuvirales.zip","2020.026M.R.Jingchuvirales.zip")</f>
        <v>2020.026M.R.Jingchuvirales.zip</v>
      </c>
      <c r="U10986" s="29" t="str">
        <f>HYPERLINK("https://ictv.global/taxonomy/taxondetails?taxnode_id=202306065","ictv.global=202306065")</f>
        <v>ictv.global=202306065</v>
      </c>
    </row>
    <row r="10987" spans="1:21">
      <c r="A10987">
        <v>10986</v>
      </c>
      <c r="B10987" s="30" t="s">
        <v>1226</v>
      </c>
      <c r="D10987" s="30" t="s">
        <v>2024</v>
      </c>
      <c r="F10987" s="30" t="s">
        <v>1040</v>
      </c>
      <c r="G10987" s="30" t="s">
        <v>1041</v>
      </c>
      <c r="H10987" s="30" t="s">
        <v>1047</v>
      </c>
      <c r="J10987" s="30" t="s">
        <v>1048</v>
      </c>
      <c r="L10987" s="30" t="s">
        <v>1049</v>
      </c>
      <c r="N10987" s="30" t="s">
        <v>3710</v>
      </c>
      <c r="P10987" s="30" t="s">
        <v>3714</v>
      </c>
      <c r="Q10987" t="s">
        <v>620</v>
      </c>
      <c r="R10987" t="s">
        <v>917</v>
      </c>
      <c r="S10987">
        <v>36</v>
      </c>
      <c r="T10987" s="29" t="str">
        <f>HYPERLINK("https://ictv.global/ictv/proposals/2020.026M.R.Jingchuvirales.zip","2020.026M.R.Jingchuvirales.zip")</f>
        <v>2020.026M.R.Jingchuvirales.zip</v>
      </c>
      <c r="U10987" s="29" t="str">
        <f>HYPERLINK("https://ictv.global/taxonomy/taxondetails?taxnode_id=202309736","ictv.global=202309736")</f>
        <v>ictv.global=202309736</v>
      </c>
    </row>
    <row r="10988" spans="1:21">
      <c r="A10988">
        <v>10987</v>
      </c>
      <c r="B10988" s="30" t="s">
        <v>1226</v>
      </c>
      <c r="D10988" s="30" t="s">
        <v>2024</v>
      </c>
      <c r="F10988" s="30" t="s">
        <v>1040</v>
      </c>
      <c r="G10988" s="30" t="s">
        <v>1041</v>
      </c>
      <c r="H10988" s="30" t="s">
        <v>1047</v>
      </c>
      <c r="J10988" s="30" t="s">
        <v>1048</v>
      </c>
      <c r="L10988" s="30" t="s">
        <v>1049</v>
      </c>
      <c r="N10988" s="30" t="s">
        <v>3715</v>
      </c>
      <c r="P10988" s="30" t="s">
        <v>3716</v>
      </c>
      <c r="Q10988" t="s">
        <v>620</v>
      </c>
      <c r="R10988" t="s">
        <v>917</v>
      </c>
      <c r="S10988">
        <v>36</v>
      </c>
      <c r="T10988" s="29" t="str">
        <f>HYPERLINK("https://ictv.global/ictv/proposals/2020.026M.R.Jingchuvirales.zip","2020.026M.R.Jingchuvirales.zip")</f>
        <v>2020.026M.R.Jingchuvirales.zip</v>
      </c>
      <c r="U10988" s="29" t="str">
        <f>HYPERLINK("https://ictv.global/taxonomy/taxondetails?taxnode_id=202309738","ictv.global=202309738")</f>
        <v>ictv.global=202309738</v>
      </c>
    </row>
    <row r="10989" spans="1:21">
      <c r="A10989">
        <v>10988</v>
      </c>
      <c r="B10989" s="30" t="s">
        <v>1226</v>
      </c>
      <c r="D10989" s="30" t="s">
        <v>2024</v>
      </c>
      <c r="F10989" s="30" t="s">
        <v>1040</v>
      </c>
      <c r="G10989" s="30" t="s">
        <v>1041</v>
      </c>
      <c r="H10989" s="30" t="s">
        <v>1047</v>
      </c>
      <c r="J10989" s="30" t="s">
        <v>1048</v>
      </c>
      <c r="L10989" s="30" t="s">
        <v>1049</v>
      </c>
      <c r="N10989" s="30" t="s">
        <v>9698</v>
      </c>
      <c r="P10989" s="30" t="s">
        <v>9699</v>
      </c>
      <c r="Q10989" t="s">
        <v>620</v>
      </c>
      <c r="R10989" t="s">
        <v>917</v>
      </c>
      <c r="S10989">
        <v>38</v>
      </c>
      <c r="T10989" s="29" t="str">
        <f>HYPERLINK("https://ictv.global/ictv/proposals/2021.015M.Jingchuvirales_2ngen_10nsp.zip","2021.015M.Jingchuvirales_2ngen_10nsp.zip")</f>
        <v>2021.015M.Jingchuvirales_2ngen_10nsp.zip</v>
      </c>
      <c r="U10989" s="29" t="str">
        <f>HYPERLINK("https://ictv.global/taxonomy/taxondetails?taxnode_id=202314132","ictv.global=202314132")</f>
        <v>ictv.global=202314132</v>
      </c>
    </row>
    <row r="10990" spans="1:21">
      <c r="A10990">
        <v>10989</v>
      </c>
      <c r="B10990" s="30" t="s">
        <v>1226</v>
      </c>
      <c r="D10990" s="30" t="s">
        <v>2024</v>
      </c>
      <c r="F10990" s="30" t="s">
        <v>1040</v>
      </c>
      <c r="G10990" s="30" t="s">
        <v>1041</v>
      </c>
      <c r="H10990" s="30" t="s">
        <v>1047</v>
      </c>
      <c r="J10990" s="30" t="s">
        <v>1048</v>
      </c>
      <c r="L10990" s="30" t="s">
        <v>1049</v>
      </c>
      <c r="N10990" s="30" t="s">
        <v>3717</v>
      </c>
      <c r="P10990" s="30" t="s">
        <v>3718</v>
      </c>
      <c r="Q10990" t="s">
        <v>620</v>
      </c>
      <c r="R10990" t="s">
        <v>918</v>
      </c>
      <c r="S10990">
        <v>36</v>
      </c>
      <c r="T10990" s="29" t="str">
        <f>HYPERLINK("https://ictv.global/ictv/proposals/2020.026M.R.Jingchuvirales.zip","2020.026M.R.Jingchuvirales.zip")</f>
        <v>2020.026M.R.Jingchuvirales.zip</v>
      </c>
      <c r="U10990" s="29" t="str">
        <f>HYPERLINK("https://ictv.global/taxonomy/taxondetails?taxnode_id=202306048","ictv.global=202306048")</f>
        <v>ictv.global=202306048</v>
      </c>
    </row>
    <row r="10991" spans="1:21">
      <c r="A10991">
        <v>10990</v>
      </c>
      <c r="B10991" s="30" t="s">
        <v>1226</v>
      </c>
      <c r="D10991" s="30" t="s">
        <v>2024</v>
      </c>
      <c r="F10991" s="30" t="s">
        <v>1040</v>
      </c>
      <c r="G10991" s="30" t="s">
        <v>1041</v>
      </c>
      <c r="H10991" s="30" t="s">
        <v>1047</v>
      </c>
      <c r="J10991" s="30" t="s">
        <v>1048</v>
      </c>
      <c r="L10991" s="30" t="s">
        <v>1049</v>
      </c>
      <c r="N10991" s="30" t="s">
        <v>3717</v>
      </c>
      <c r="P10991" s="30" t="s">
        <v>3719</v>
      </c>
      <c r="Q10991" t="s">
        <v>620</v>
      </c>
      <c r="R10991" t="s">
        <v>918</v>
      </c>
      <c r="S10991">
        <v>36</v>
      </c>
      <c r="T10991" s="29" t="str">
        <f>HYPERLINK("https://ictv.global/ictv/proposals/2020.026M.R.Jingchuvirales.zip","2020.026M.R.Jingchuvirales.zip")</f>
        <v>2020.026M.R.Jingchuvirales.zip</v>
      </c>
      <c r="U10991" s="29" t="str">
        <f>HYPERLINK("https://ictv.global/taxonomy/taxondetails?taxnode_id=202306056","ictv.global=202306056")</f>
        <v>ictv.global=202306056</v>
      </c>
    </row>
    <row r="10992" spans="1:21">
      <c r="A10992">
        <v>10991</v>
      </c>
      <c r="B10992" s="30" t="s">
        <v>1226</v>
      </c>
      <c r="D10992" s="30" t="s">
        <v>2024</v>
      </c>
      <c r="F10992" s="30" t="s">
        <v>1040</v>
      </c>
      <c r="G10992" s="30" t="s">
        <v>1041</v>
      </c>
      <c r="H10992" s="30" t="s">
        <v>1047</v>
      </c>
      <c r="J10992" s="30" t="s">
        <v>1048</v>
      </c>
      <c r="L10992" s="30" t="s">
        <v>1049</v>
      </c>
      <c r="N10992" s="30" t="s">
        <v>3717</v>
      </c>
      <c r="P10992" s="30" t="s">
        <v>3720</v>
      </c>
      <c r="Q10992" t="s">
        <v>620</v>
      </c>
      <c r="R10992" t="s">
        <v>918</v>
      </c>
      <c r="S10992">
        <v>36</v>
      </c>
      <c r="T10992" s="29" t="str">
        <f>HYPERLINK("https://ictv.global/ictv/proposals/2020.026M.R.Jingchuvirales.zip","2020.026M.R.Jingchuvirales.zip")</f>
        <v>2020.026M.R.Jingchuvirales.zip</v>
      </c>
      <c r="U10992" s="29" t="str">
        <f>HYPERLINK("https://ictv.global/taxonomy/taxondetails?taxnode_id=202306055","ictv.global=202306055")</f>
        <v>ictv.global=202306055</v>
      </c>
    </row>
    <row r="10993" spans="1:21">
      <c r="A10993">
        <v>10992</v>
      </c>
      <c r="B10993" s="30" t="s">
        <v>1226</v>
      </c>
      <c r="D10993" s="30" t="s">
        <v>2024</v>
      </c>
      <c r="F10993" s="30" t="s">
        <v>1040</v>
      </c>
      <c r="G10993" s="30" t="s">
        <v>1041</v>
      </c>
      <c r="H10993" s="30" t="s">
        <v>1047</v>
      </c>
      <c r="J10993" s="30" t="s">
        <v>1048</v>
      </c>
      <c r="L10993" s="30" t="s">
        <v>1049</v>
      </c>
      <c r="N10993" s="30" t="s">
        <v>3717</v>
      </c>
      <c r="P10993" s="30" t="s">
        <v>3721</v>
      </c>
      <c r="Q10993" t="s">
        <v>620</v>
      </c>
      <c r="R10993" t="s">
        <v>917</v>
      </c>
      <c r="S10993">
        <v>36</v>
      </c>
      <c r="T10993" s="29" t="str">
        <f>HYPERLINK("https://ictv.global/ictv/proposals/2020.026M.R.Jingchuvirales.zip","2020.026M.R.Jingchuvirales.zip")</f>
        <v>2020.026M.R.Jingchuvirales.zip</v>
      </c>
      <c r="U10993" s="29" t="str">
        <f>HYPERLINK("https://ictv.global/taxonomy/taxondetails?taxnode_id=202309740","ictv.global=202309740")</f>
        <v>ictv.global=202309740</v>
      </c>
    </row>
    <row r="10994" spans="1:21">
      <c r="A10994">
        <v>10993</v>
      </c>
      <c r="B10994" s="30" t="s">
        <v>1226</v>
      </c>
      <c r="D10994" s="30" t="s">
        <v>2024</v>
      </c>
      <c r="F10994" s="30" t="s">
        <v>1040</v>
      </c>
      <c r="G10994" s="30" t="s">
        <v>1041</v>
      </c>
      <c r="H10994" s="30" t="s">
        <v>1047</v>
      </c>
      <c r="J10994" s="30" t="s">
        <v>1048</v>
      </c>
      <c r="L10994" s="30" t="s">
        <v>1049</v>
      </c>
      <c r="N10994" s="30" t="s">
        <v>3717</v>
      </c>
      <c r="P10994" s="30" t="s">
        <v>3722</v>
      </c>
      <c r="Q10994" t="s">
        <v>620</v>
      </c>
      <c r="R10994" t="s">
        <v>918</v>
      </c>
      <c r="S10994">
        <v>36</v>
      </c>
      <c r="T10994" s="29" t="str">
        <f>HYPERLINK("https://ictv.global/ictv/proposals/2020.026M.R.Jingchuvirales.zip","2020.026M.R.Jingchuvirales.zip")</f>
        <v>2020.026M.R.Jingchuvirales.zip</v>
      </c>
      <c r="U10994" s="29" t="str">
        <f>HYPERLINK("https://ictv.global/taxonomy/taxondetails?taxnode_id=202306059","ictv.global=202306059")</f>
        <v>ictv.global=202306059</v>
      </c>
    </row>
    <row r="10995" spans="1:21">
      <c r="A10995">
        <v>10994</v>
      </c>
      <c r="B10995" s="30" t="s">
        <v>1226</v>
      </c>
      <c r="D10995" s="30" t="s">
        <v>2024</v>
      </c>
      <c r="F10995" s="30" t="s">
        <v>1040</v>
      </c>
      <c r="G10995" s="30" t="s">
        <v>1041</v>
      </c>
      <c r="H10995" s="30" t="s">
        <v>1047</v>
      </c>
      <c r="J10995" s="30" t="s">
        <v>1048</v>
      </c>
      <c r="L10995" s="30" t="s">
        <v>1049</v>
      </c>
      <c r="N10995" s="30" t="s">
        <v>3717</v>
      </c>
      <c r="P10995" s="30" t="s">
        <v>9700</v>
      </c>
      <c r="Q10995" t="s">
        <v>620</v>
      </c>
      <c r="R10995" t="s">
        <v>917</v>
      </c>
      <c r="S10995">
        <v>38</v>
      </c>
      <c r="T10995" s="29" t="str">
        <f>HYPERLINK("https://ictv.global/ictv/proposals/2021.015M.Jingchuvirales_2ngen_10nsp.zip","2021.015M.Jingchuvirales_2ngen_10nsp.zip")</f>
        <v>2021.015M.Jingchuvirales_2ngen_10nsp.zip</v>
      </c>
      <c r="U10995" s="29" t="str">
        <f>HYPERLINK("https://ictv.global/taxonomy/taxondetails?taxnode_id=202314133","ictv.global=202314133")</f>
        <v>ictv.global=202314133</v>
      </c>
    </row>
    <row r="10996" spans="1:21">
      <c r="A10996">
        <v>10995</v>
      </c>
      <c r="B10996" s="30" t="s">
        <v>1226</v>
      </c>
      <c r="D10996" s="30" t="s">
        <v>2024</v>
      </c>
      <c r="F10996" s="30" t="s">
        <v>1040</v>
      </c>
      <c r="G10996" s="30" t="s">
        <v>1041</v>
      </c>
      <c r="H10996" s="30" t="s">
        <v>1047</v>
      </c>
      <c r="J10996" s="30" t="s">
        <v>1048</v>
      </c>
      <c r="L10996" s="30" t="s">
        <v>1049</v>
      </c>
      <c r="N10996" s="30" t="s">
        <v>3717</v>
      </c>
      <c r="P10996" s="30" t="s">
        <v>9701</v>
      </c>
      <c r="Q10996" t="s">
        <v>620</v>
      </c>
      <c r="R10996" t="s">
        <v>917</v>
      </c>
      <c r="S10996">
        <v>38</v>
      </c>
      <c r="T10996" s="29" t="str">
        <f>HYPERLINK("https://ictv.global/ictv/proposals/2021.015M.Jingchuvirales_2ngen_10nsp.zip","2021.015M.Jingchuvirales_2ngen_10nsp.zip")</f>
        <v>2021.015M.Jingchuvirales_2ngen_10nsp.zip</v>
      </c>
      <c r="U10996" s="29" t="str">
        <f>HYPERLINK("https://ictv.global/taxonomy/taxondetails?taxnode_id=202314135","ictv.global=202314135")</f>
        <v>ictv.global=202314135</v>
      </c>
    </row>
    <row r="10997" spans="1:21">
      <c r="A10997">
        <v>10996</v>
      </c>
      <c r="B10997" s="30" t="s">
        <v>1226</v>
      </c>
      <c r="D10997" s="30" t="s">
        <v>2024</v>
      </c>
      <c r="F10997" s="30" t="s">
        <v>1040</v>
      </c>
      <c r="G10997" s="30" t="s">
        <v>1041</v>
      </c>
      <c r="H10997" s="30" t="s">
        <v>1047</v>
      </c>
      <c r="J10997" s="30" t="s">
        <v>1048</v>
      </c>
      <c r="L10997" s="30" t="s">
        <v>1049</v>
      </c>
      <c r="N10997" s="30" t="s">
        <v>3723</v>
      </c>
      <c r="P10997" s="30" t="s">
        <v>3724</v>
      </c>
      <c r="Q10997" t="s">
        <v>620</v>
      </c>
      <c r="R10997" t="s">
        <v>918</v>
      </c>
      <c r="S10997">
        <v>36</v>
      </c>
      <c r="T10997" s="29" t="str">
        <f>HYPERLINK("https://ictv.global/ictv/proposals/2020.026M.R.Jingchuvirales.zip","2020.026M.R.Jingchuvirales.zip")</f>
        <v>2020.026M.R.Jingchuvirales.zip</v>
      </c>
      <c r="U10997" s="29" t="str">
        <f>HYPERLINK("https://ictv.global/taxonomy/taxondetails?taxnode_id=202306068","ictv.global=202306068")</f>
        <v>ictv.global=202306068</v>
      </c>
    </row>
    <row r="10998" spans="1:21">
      <c r="A10998">
        <v>10997</v>
      </c>
      <c r="B10998" s="30" t="s">
        <v>1226</v>
      </c>
      <c r="D10998" s="30" t="s">
        <v>2024</v>
      </c>
      <c r="F10998" s="30" t="s">
        <v>1040</v>
      </c>
      <c r="G10998" s="30" t="s">
        <v>1041</v>
      </c>
      <c r="H10998" s="30" t="s">
        <v>1047</v>
      </c>
      <c r="J10998" s="30" t="s">
        <v>1048</v>
      </c>
      <c r="L10998" s="30" t="s">
        <v>1049</v>
      </c>
      <c r="N10998" s="30" t="s">
        <v>9702</v>
      </c>
      <c r="P10998" s="30" t="s">
        <v>9703</v>
      </c>
      <c r="Q10998" t="s">
        <v>620</v>
      </c>
      <c r="R10998" t="s">
        <v>917</v>
      </c>
      <c r="S10998">
        <v>38</v>
      </c>
      <c r="T10998" s="29" t="str">
        <f>HYPERLINK("https://ictv.global/ictv/proposals/2021.015M.Jingchuvirales_2ngen_10nsp.zip","2021.015M.Jingchuvirales_2ngen_10nsp.zip")</f>
        <v>2021.015M.Jingchuvirales_2ngen_10nsp.zip</v>
      </c>
      <c r="U10998" s="29" t="str">
        <f>HYPERLINK("https://ictv.global/taxonomy/taxondetails?taxnode_id=202314134","ictv.global=202314134")</f>
        <v>ictv.global=202314134</v>
      </c>
    </row>
    <row r="10999" spans="1:21">
      <c r="A10999">
        <v>10998</v>
      </c>
      <c r="B10999" s="30" t="s">
        <v>1226</v>
      </c>
      <c r="D10999" s="30" t="s">
        <v>2024</v>
      </c>
      <c r="F10999" s="30" t="s">
        <v>1040</v>
      </c>
      <c r="G10999" s="30" t="s">
        <v>1041</v>
      </c>
      <c r="H10999" s="30" t="s">
        <v>1047</v>
      </c>
      <c r="J10999" s="30" t="s">
        <v>1048</v>
      </c>
      <c r="L10999" s="30" t="s">
        <v>3725</v>
      </c>
      <c r="N10999" s="30" t="s">
        <v>3726</v>
      </c>
      <c r="P10999" s="30" t="s">
        <v>3727</v>
      </c>
      <c r="Q10999" t="s">
        <v>620</v>
      </c>
      <c r="R10999" t="s">
        <v>917</v>
      </c>
      <c r="S10999">
        <v>36</v>
      </c>
      <c r="T10999" s="29" t="str">
        <f>HYPERLINK("https://ictv.global/ictv/proposals/2020.026M.R.Jingchuvirales.zip","2020.026M.R.Jingchuvirales.zip")</f>
        <v>2020.026M.R.Jingchuvirales.zip</v>
      </c>
      <c r="U10999" s="29" t="str">
        <f>HYPERLINK("https://ictv.global/taxonomy/taxondetails?taxnode_id=202309711","ictv.global=202309711")</f>
        <v>ictv.global=202309711</v>
      </c>
    </row>
    <row r="11000" spans="1:21">
      <c r="A11000">
        <v>10999</v>
      </c>
      <c r="B11000" s="30" t="s">
        <v>1226</v>
      </c>
      <c r="D11000" s="30" t="s">
        <v>2024</v>
      </c>
      <c r="F11000" s="30" t="s">
        <v>1040</v>
      </c>
      <c r="G11000" s="30" t="s">
        <v>1041</v>
      </c>
      <c r="H11000" s="30" t="s">
        <v>1047</v>
      </c>
      <c r="J11000" s="30" t="s">
        <v>1048</v>
      </c>
      <c r="L11000" s="30" t="s">
        <v>3728</v>
      </c>
      <c r="N11000" s="30" t="s">
        <v>3729</v>
      </c>
      <c r="P11000" s="30" t="s">
        <v>3730</v>
      </c>
      <c r="Q11000" t="s">
        <v>620</v>
      </c>
      <c r="R11000" t="s">
        <v>918</v>
      </c>
      <c r="S11000">
        <v>36</v>
      </c>
      <c r="T11000" s="29" t="str">
        <f>HYPERLINK("https://ictv.global/ictv/proposals/2020.026M.R.Jingchuvirales.zip","2020.026M.R.Jingchuvirales.zip")</f>
        <v>2020.026M.R.Jingchuvirales.zip</v>
      </c>
      <c r="U11000" s="29" t="str">
        <f>HYPERLINK("https://ictv.global/taxonomy/taxondetails?taxnode_id=202306063","ictv.global=202306063")</f>
        <v>ictv.global=202306063</v>
      </c>
    </row>
    <row r="11001" spans="1:21">
      <c r="A11001">
        <v>11000</v>
      </c>
      <c r="B11001" s="30" t="s">
        <v>1226</v>
      </c>
      <c r="D11001" s="30" t="s">
        <v>2024</v>
      </c>
      <c r="F11001" s="30" t="s">
        <v>1040</v>
      </c>
      <c r="G11001" s="30" t="s">
        <v>1041</v>
      </c>
      <c r="H11001" s="30" t="s">
        <v>1047</v>
      </c>
      <c r="J11001" s="30" t="s">
        <v>1048</v>
      </c>
      <c r="L11001" s="30" t="s">
        <v>3731</v>
      </c>
      <c r="N11001" s="30" t="s">
        <v>3732</v>
      </c>
      <c r="P11001" s="30" t="s">
        <v>3733</v>
      </c>
      <c r="Q11001" t="s">
        <v>620</v>
      </c>
      <c r="R11001" t="s">
        <v>918</v>
      </c>
      <c r="S11001">
        <v>36</v>
      </c>
      <c r="T11001" s="29" t="str">
        <f>HYPERLINK("https://ictv.global/ictv/proposals/2020.026M.R.Jingchuvirales.zip","2020.026M.R.Jingchuvirales.zip")</f>
        <v>2020.026M.R.Jingchuvirales.zip</v>
      </c>
      <c r="U11001" s="29" t="str">
        <f>HYPERLINK("https://ictv.global/taxonomy/taxondetails?taxnode_id=202306047","ictv.global=202306047")</f>
        <v>ictv.global=202306047</v>
      </c>
    </row>
    <row r="11002" spans="1:21">
      <c r="A11002">
        <v>11001</v>
      </c>
      <c r="B11002" s="30" t="s">
        <v>1226</v>
      </c>
      <c r="D11002" s="30" t="s">
        <v>2024</v>
      </c>
      <c r="F11002" s="30" t="s">
        <v>1040</v>
      </c>
      <c r="G11002" s="30" t="s">
        <v>1041</v>
      </c>
      <c r="H11002" s="30" t="s">
        <v>1047</v>
      </c>
      <c r="J11002" s="30" t="s">
        <v>255</v>
      </c>
      <c r="L11002" s="30" t="s">
        <v>1051</v>
      </c>
      <c r="N11002" s="30" t="s">
        <v>2054</v>
      </c>
      <c r="P11002" s="30" t="s">
        <v>9704</v>
      </c>
      <c r="Q11002" t="s">
        <v>620</v>
      </c>
      <c r="R11002" t="s">
        <v>920</v>
      </c>
      <c r="S11002">
        <v>37</v>
      </c>
      <c r="T11002" s="29" t="str">
        <f t="shared" ref="T11002:T11008" si="460">HYPERLINK("https://ictv.global/ictv/proposals/2021.009M.R.Artoviridae_sprename.zip","2021.009M.R.Artoviridae_sprename.zip")</f>
        <v>2021.009M.R.Artoviridae_sprename.zip</v>
      </c>
      <c r="U11002" s="29" t="str">
        <f>HYPERLINK("https://ictv.global/taxonomy/taxondetails?taxnode_id=202306269","ictv.global=202306269")</f>
        <v>ictv.global=202306269</v>
      </c>
    </row>
    <row r="11003" spans="1:21">
      <c r="A11003">
        <v>11002</v>
      </c>
      <c r="B11003" s="30" t="s">
        <v>1226</v>
      </c>
      <c r="D11003" s="30" t="s">
        <v>2024</v>
      </c>
      <c r="F11003" s="30" t="s">
        <v>1040</v>
      </c>
      <c r="G11003" s="30" t="s">
        <v>1041</v>
      </c>
      <c r="H11003" s="30" t="s">
        <v>1047</v>
      </c>
      <c r="J11003" s="30" t="s">
        <v>255</v>
      </c>
      <c r="L11003" s="30" t="s">
        <v>1051</v>
      </c>
      <c r="N11003" s="30" t="s">
        <v>2054</v>
      </c>
      <c r="P11003" s="30" t="s">
        <v>9705</v>
      </c>
      <c r="Q11003" t="s">
        <v>620</v>
      </c>
      <c r="R11003" t="s">
        <v>920</v>
      </c>
      <c r="S11003">
        <v>37</v>
      </c>
      <c r="T11003" s="29" t="str">
        <f t="shared" si="460"/>
        <v>2021.009M.R.Artoviridae_sprename.zip</v>
      </c>
      <c r="U11003" s="29" t="str">
        <f>HYPERLINK("https://ictv.global/taxonomy/taxondetails?taxnode_id=202307514","ictv.global=202307514")</f>
        <v>ictv.global=202307514</v>
      </c>
    </row>
    <row r="11004" spans="1:21">
      <c r="A11004">
        <v>11003</v>
      </c>
      <c r="B11004" s="30" t="s">
        <v>1226</v>
      </c>
      <c r="D11004" s="30" t="s">
        <v>2024</v>
      </c>
      <c r="F11004" s="30" t="s">
        <v>1040</v>
      </c>
      <c r="G11004" s="30" t="s">
        <v>1041</v>
      </c>
      <c r="H11004" s="30" t="s">
        <v>1047</v>
      </c>
      <c r="J11004" s="30" t="s">
        <v>255</v>
      </c>
      <c r="L11004" s="30" t="s">
        <v>1051</v>
      </c>
      <c r="N11004" s="30" t="s">
        <v>888</v>
      </c>
      <c r="P11004" s="30" t="s">
        <v>9706</v>
      </c>
      <c r="Q11004" t="s">
        <v>620</v>
      </c>
      <c r="R11004" t="s">
        <v>920</v>
      </c>
      <c r="S11004">
        <v>37</v>
      </c>
      <c r="T11004" s="29" t="str">
        <f t="shared" si="460"/>
        <v>2021.009M.R.Artoviridae_sprename.zip</v>
      </c>
      <c r="U11004" s="29" t="str">
        <f>HYPERLINK("https://ictv.global/taxonomy/taxondetails?taxnode_id=202306272","ictv.global=202306272")</f>
        <v>ictv.global=202306272</v>
      </c>
    </row>
    <row r="11005" spans="1:21">
      <c r="A11005">
        <v>11004</v>
      </c>
      <c r="B11005" s="30" t="s">
        <v>1226</v>
      </c>
      <c r="D11005" s="30" t="s">
        <v>2024</v>
      </c>
      <c r="F11005" s="30" t="s">
        <v>1040</v>
      </c>
      <c r="G11005" s="30" t="s">
        <v>1041</v>
      </c>
      <c r="H11005" s="30" t="s">
        <v>1047</v>
      </c>
      <c r="J11005" s="30" t="s">
        <v>255</v>
      </c>
      <c r="L11005" s="30" t="s">
        <v>1051</v>
      </c>
      <c r="N11005" s="30" t="s">
        <v>888</v>
      </c>
      <c r="P11005" s="30" t="s">
        <v>9707</v>
      </c>
      <c r="Q11005" t="s">
        <v>620</v>
      </c>
      <c r="R11005" t="s">
        <v>920</v>
      </c>
      <c r="S11005">
        <v>37</v>
      </c>
      <c r="T11005" s="29" t="str">
        <f t="shared" si="460"/>
        <v>2021.009M.R.Artoviridae_sprename.zip</v>
      </c>
      <c r="U11005" s="29" t="str">
        <f>HYPERLINK("https://ictv.global/taxonomy/taxondetails?taxnode_id=202306270","ictv.global=202306270")</f>
        <v>ictv.global=202306270</v>
      </c>
    </row>
    <row r="11006" spans="1:21">
      <c r="A11006">
        <v>11005</v>
      </c>
      <c r="B11006" s="30" t="s">
        <v>1226</v>
      </c>
      <c r="D11006" s="30" t="s">
        <v>2024</v>
      </c>
      <c r="F11006" s="30" t="s">
        <v>1040</v>
      </c>
      <c r="G11006" s="30" t="s">
        <v>1041</v>
      </c>
      <c r="H11006" s="30" t="s">
        <v>1047</v>
      </c>
      <c r="J11006" s="30" t="s">
        <v>255</v>
      </c>
      <c r="L11006" s="30" t="s">
        <v>1051</v>
      </c>
      <c r="N11006" s="30" t="s">
        <v>888</v>
      </c>
      <c r="P11006" s="30" t="s">
        <v>9708</v>
      </c>
      <c r="Q11006" t="s">
        <v>620</v>
      </c>
      <c r="R11006" t="s">
        <v>920</v>
      </c>
      <c r="S11006">
        <v>37</v>
      </c>
      <c r="T11006" s="29" t="str">
        <f t="shared" si="460"/>
        <v>2021.009M.R.Artoviridae_sprename.zip</v>
      </c>
      <c r="U11006" s="29" t="str">
        <f>HYPERLINK("https://ictv.global/taxonomy/taxondetails?taxnode_id=202306271","ictv.global=202306271")</f>
        <v>ictv.global=202306271</v>
      </c>
    </row>
    <row r="11007" spans="1:21">
      <c r="A11007">
        <v>11006</v>
      </c>
      <c r="B11007" s="30" t="s">
        <v>1226</v>
      </c>
      <c r="D11007" s="30" t="s">
        <v>2024</v>
      </c>
      <c r="F11007" s="30" t="s">
        <v>1040</v>
      </c>
      <c r="G11007" s="30" t="s">
        <v>1041</v>
      </c>
      <c r="H11007" s="30" t="s">
        <v>1047</v>
      </c>
      <c r="J11007" s="30" t="s">
        <v>255</v>
      </c>
      <c r="L11007" s="30" t="s">
        <v>1051</v>
      </c>
      <c r="N11007" s="30" t="s">
        <v>888</v>
      </c>
      <c r="P11007" s="30" t="s">
        <v>9709</v>
      </c>
      <c r="Q11007" t="s">
        <v>620</v>
      </c>
      <c r="R11007" t="s">
        <v>920</v>
      </c>
      <c r="S11007">
        <v>37</v>
      </c>
      <c r="T11007" s="29" t="str">
        <f t="shared" si="460"/>
        <v>2021.009M.R.Artoviridae_sprename.zip</v>
      </c>
      <c r="U11007" s="29" t="str">
        <f>HYPERLINK("https://ictv.global/taxonomy/taxondetails?taxnode_id=202306274","ictv.global=202306274")</f>
        <v>ictv.global=202306274</v>
      </c>
    </row>
    <row r="11008" spans="1:21">
      <c r="A11008">
        <v>11007</v>
      </c>
      <c r="B11008" s="30" t="s">
        <v>1226</v>
      </c>
      <c r="D11008" s="30" t="s">
        <v>2024</v>
      </c>
      <c r="F11008" s="30" t="s">
        <v>1040</v>
      </c>
      <c r="G11008" s="30" t="s">
        <v>1041</v>
      </c>
      <c r="H11008" s="30" t="s">
        <v>1047</v>
      </c>
      <c r="J11008" s="30" t="s">
        <v>255</v>
      </c>
      <c r="L11008" s="30" t="s">
        <v>1051</v>
      </c>
      <c r="N11008" s="30" t="s">
        <v>888</v>
      </c>
      <c r="P11008" s="30" t="s">
        <v>9710</v>
      </c>
      <c r="Q11008" t="s">
        <v>620</v>
      </c>
      <c r="R11008" t="s">
        <v>920</v>
      </c>
      <c r="S11008">
        <v>37</v>
      </c>
      <c r="T11008" s="29" t="str">
        <f t="shared" si="460"/>
        <v>2021.009M.R.Artoviridae_sprename.zip</v>
      </c>
      <c r="U11008" s="29" t="str">
        <f>HYPERLINK("https://ictv.global/taxonomy/taxondetails?taxnode_id=202306273","ictv.global=202306273")</f>
        <v>ictv.global=202306273</v>
      </c>
    </row>
    <row r="11009" spans="1:21">
      <c r="A11009">
        <v>11008</v>
      </c>
      <c r="B11009" s="30" t="s">
        <v>1226</v>
      </c>
      <c r="D11009" s="30" t="s">
        <v>2024</v>
      </c>
      <c r="F11009" s="30" t="s">
        <v>1040</v>
      </c>
      <c r="G11009" s="30" t="s">
        <v>1041</v>
      </c>
      <c r="H11009" s="30" t="s">
        <v>1047</v>
      </c>
      <c r="J11009" s="30" t="s">
        <v>255</v>
      </c>
      <c r="L11009" s="30" t="s">
        <v>1051</v>
      </c>
      <c r="N11009" s="30" t="s">
        <v>888</v>
      </c>
      <c r="P11009" s="30" t="s">
        <v>9711</v>
      </c>
      <c r="Q11009" t="s">
        <v>620</v>
      </c>
      <c r="R11009" t="s">
        <v>917</v>
      </c>
      <c r="S11009">
        <v>37</v>
      </c>
      <c r="T11009" s="29" t="str">
        <f>HYPERLINK("https://ictv.global/ictv/proposals/2021.029M.R.Peropuvirus_1nsp.zip","2021.029M.R.Peropuvirus_1nsp.zip")</f>
        <v>2021.029M.R.Peropuvirus_1nsp.zip</v>
      </c>
      <c r="U11009" s="29" t="str">
        <f>HYPERLINK("https://ictv.global/taxonomy/taxondetails?taxnode_id=202312237","ictv.global=202312237")</f>
        <v>ictv.global=202312237</v>
      </c>
    </row>
    <row r="11010" spans="1:21">
      <c r="A11010">
        <v>11009</v>
      </c>
      <c r="B11010" s="30" t="s">
        <v>1226</v>
      </c>
      <c r="D11010" s="30" t="s">
        <v>2024</v>
      </c>
      <c r="F11010" s="30" t="s">
        <v>1040</v>
      </c>
      <c r="G11010" s="30" t="s">
        <v>1041</v>
      </c>
      <c r="H11010" s="30" t="s">
        <v>1047</v>
      </c>
      <c r="J11010" s="30" t="s">
        <v>255</v>
      </c>
      <c r="L11010" s="30" t="s">
        <v>1051</v>
      </c>
      <c r="N11010" s="30" t="s">
        <v>888</v>
      </c>
      <c r="P11010" s="30" t="s">
        <v>9712</v>
      </c>
      <c r="Q11010" t="s">
        <v>620</v>
      </c>
      <c r="R11010" t="s">
        <v>920</v>
      </c>
      <c r="S11010">
        <v>37</v>
      </c>
      <c r="T11010" s="29" t="str">
        <f>HYPERLINK("https://ictv.global/ictv/proposals/2021.009M.R.Artoviridae_sprename.zip","2021.009M.R.Artoviridae_sprename.zip")</f>
        <v>2021.009M.R.Artoviridae_sprename.zip</v>
      </c>
      <c r="U11010" s="29" t="str">
        <f>HYPERLINK("https://ictv.global/taxonomy/taxondetails?taxnode_id=202301583","ictv.global=202301583")</f>
        <v>ictv.global=202301583</v>
      </c>
    </row>
    <row r="11011" spans="1:21">
      <c r="A11011">
        <v>11010</v>
      </c>
      <c r="B11011" s="30" t="s">
        <v>1226</v>
      </c>
      <c r="D11011" s="30" t="s">
        <v>2024</v>
      </c>
      <c r="F11011" s="30" t="s">
        <v>1040</v>
      </c>
      <c r="G11011" s="30" t="s">
        <v>1041</v>
      </c>
      <c r="H11011" s="30" t="s">
        <v>1047</v>
      </c>
      <c r="J11011" s="30" t="s">
        <v>255</v>
      </c>
      <c r="L11011" s="30" t="s">
        <v>368</v>
      </c>
      <c r="N11011" s="30" t="s">
        <v>943</v>
      </c>
      <c r="P11011" s="30" t="s">
        <v>9713</v>
      </c>
      <c r="Q11011" t="s">
        <v>620</v>
      </c>
      <c r="R11011" t="s">
        <v>920</v>
      </c>
      <c r="S11011">
        <v>37</v>
      </c>
      <c r="T11011" s="29" t="str">
        <f>HYPERLINK("https://ictv.global/ictv/proposals/2021.010M.R.Bornaviridae_sprename.zip","2021.010M.R.Bornaviridae_sprename.zip")</f>
        <v>2021.010M.R.Bornaviridae_sprename.zip</v>
      </c>
      <c r="U11011" s="29" t="str">
        <f>HYPERLINK("https://ictv.global/taxonomy/taxondetails?taxnode_id=202305571","ictv.global=202305571")</f>
        <v>ictv.global=202305571</v>
      </c>
    </row>
    <row r="11012" spans="1:21">
      <c r="A11012">
        <v>11011</v>
      </c>
      <c r="B11012" s="30" t="s">
        <v>1226</v>
      </c>
      <c r="D11012" s="30" t="s">
        <v>2024</v>
      </c>
      <c r="F11012" s="30" t="s">
        <v>1040</v>
      </c>
      <c r="G11012" s="30" t="s">
        <v>1041</v>
      </c>
      <c r="H11012" s="30" t="s">
        <v>1047</v>
      </c>
      <c r="J11012" s="30" t="s">
        <v>255</v>
      </c>
      <c r="L11012" s="30" t="s">
        <v>368</v>
      </c>
      <c r="N11012" s="30" t="s">
        <v>943</v>
      </c>
      <c r="P11012" s="30" t="s">
        <v>9714</v>
      </c>
      <c r="Q11012" t="s">
        <v>620</v>
      </c>
      <c r="R11012" t="s">
        <v>920</v>
      </c>
      <c r="S11012">
        <v>37</v>
      </c>
      <c r="T11012" s="29" t="str">
        <f>HYPERLINK("https://ictv.global/ictv/proposals/2021.010M.R.Bornaviridae_sprename.zip","2021.010M.R.Bornaviridae_sprename.zip")</f>
        <v>2021.010M.R.Bornaviridae_sprename.zip</v>
      </c>
      <c r="U11012" s="29" t="str">
        <f>HYPERLINK("https://ictv.global/taxonomy/taxondetails?taxnode_id=202305572","ictv.global=202305572")</f>
        <v>ictv.global=202305572</v>
      </c>
    </row>
    <row r="11013" spans="1:21">
      <c r="A11013">
        <v>11012</v>
      </c>
      <c r="B11013" s="30" t="s">
        <v>1226</v>
      </c>
      <c r="D11013" s="30" t="s">
        <v>2024</v>
      </c>
      <c r="F11013" s="30" t="s">
        <v>1040</v>
      </c>
      <c r="G11013" s="30" t="s">
        <v>1041</v>
      </c>
      <c r="H11013" s="30" t="s">
        <v>1047</v>
      </c>
      <c r="J11013" s="30" t="s">
        <v>255</v>
      </c>
      <c r="L11013" s="30" t="s">
        <v>368</v>
      </c>
      <c r="N11013" s="30" t="s">
        <v>17267</v>
      </c>
      <c r="P11013" s="30" t="s">
        <v>17268</v>
      </c>
      <c r="Q11013" t="s">
        <v>620</v>
      </c>
      <c r="R11013" t="s">
        <v>917</v>
      </c>
      <c r="S11013">
        <v>39</v>
      </c>
      <c r="T11013" s="29" t="str">
        <f>HYPERLINK("https://ictv.global/ictv/proposals/2023.005M.Bornaviridae_1ngen_3nsp.zip","2023.005M.Bornaviridae_1ngen_3nsp.zip")</f>
        <v>2023.005M.Bornaviridae_1ngen_3nsp.zip</v>
      </c>
      <c r="U11013" s="29" t="str">
        <f>HYPERLINK("https://ictv.global/taxonomy/taxondetails?taxnode_id=202317817","ictv.global=202317817")</f>
        <v>ictv.global=202317817</v>
      </c>
    </row>
    <row r="11014" spans="1:21">
      <c r="A11014">
        <v>11013</v>
      </c>
      <c r="B11014" s="30" t="s">
        <v>1226</v>
      </c>
      <c r="D11014" s="30" t="s">
        <v>2024</v>
      </c>
      <c r="F11014" s="30" t="s">
        <v>1040</v>
      </c>
      <c r="G11014" s="30" t="s">
        <v>1041</v>
      </c>
      <c r="H11014" s="30" t="s">
        <v>1047</v>
      </c>
      <c r="J11014" s="30" t="s">
        <v>255</v>
      </c>
      <c r="L11014" s="30" t="s">
        <v>368</v>
      </c>
      <c r="N11014" s="30" t="s">
        <v>1227</v>
      </c>
      <c r="P11014" s="30" t="s">
        <v>17269</v>
      </c>
      <c r="Q11014" t="s">
        <v>620</v>
      </c>
      <c r="R11014" t="s">
        <v>917</v>
      </c>
      <c r="S11014">
        <v>39</v>
      </c>
      <c r="T11014" s="29" t="str">
        <f>HYPERLINK("https://ictv.global/ictv/proposals/2023.005M.Bornaviridae_1ngen_3nsp.zip","2023.005M.Bornaviridae_1ngen_3nsp.zip")</f>
        <v>2023.005M.Bornaviridae_1ngen_3nsp.zip</v>
      </c>
      <c r="U11014" s="29" t="str">
        <f>HYPERLINK("https://ictv.global/taxonomy/taxondetails?taxnode_id=202317815","ictv.global=202317815")</f>
        <v>ictv.global=202317815</v>
      </c>
    </row>
    <row r="11015" spans="1:21">
      <c r="A11015">
        <v>11014</v>
      </c>
      <c r="B11015" s="30" t="s">
        <v>1226</v>
      </c>
      <c r="D11015" s="30" t="s">
        <v>2024</v>
      </c>
      <c r="F11015" s="30" t="s">
        <v>1040</v>
      </c>
      <c r="G11015" s="30" t="s">
        <v>1041</v>
      </c>
      <c r="H11015" s="30" t="s">
        <v>1047</v>
      </c>
      <c r="J11015" s="30" t="s">
        <v>255</v>
      </c>
      <c r="L11015" s="30" t="s">
        <v>368</v>
      </c>
      <c r="N11015" s="30" t="s">
        <v>1227</v>
      </c>
      <c r="P11015" s="30" t="s">
        <v>9715</v>
      </c>
      <c r="Q11015" t="s">
        <v>620</v>
      </c>
      <c r="R11015" t="s">
        <v>920</v>
      </c>
      <c r="S11015">
        <v>37</v>
      </c>
      <c r="T11015" s="29" t="str">
        <f>HYPERLINK("https://ictv.global/ictv/proposals/2021.010M.R.Bornaviridae_sprename.zip","2021.010M.R.Bornaviridae_sprename.zip")</f>
        <v>2021.010M.R.Bornaviridae_sprename.zip</v>
      </c>
      <c r="U11015" s="29" t="str">
        <f>HYPERLINK("https://ictv.global/taxonomy/taxondetails?taxnode_id=202306589","ictv.global=202306589")</f>
        <v>ictv.global=202306589</v>
      </c>
    </row>
    <row r="11016" spans="1:21">
      <c r="A11016">
        <v>11015</v>
      </c>
      <c r="B11016" s="30" t="s">
        <v>1226</v>
      </c>
      <c r="D11016" s="30" t="s">
        <v>2024</v>
      </c>
      <c r="F11016" s="30" t="s">
        <v>1040</v>
      </c>
      <c r="G11016" s="30" t="s">
        <v>1041</v>
      </c>
      <c r="H11016" s="30" t="s">
        <v>1047</v>
      </c>
      <c r="J11016" s="30" t="s">
        <v>255</v>
      </c>
      <c r="L11016" s="30" t="s">
        <v>368</v>
      </c>
      <c r="N11016" s="30" t="s">
        <v>1227</v>
      </c>
      <c r="P11016" s="30" t="s">
        <v>17270</v>
      </c>
      <c r="Q11016" t="s">
        <v>620</v>
      </c>
      <c r="R11016" t="s">
        <v>917</v>
      </c>
      <c r="S11016">
        <v>39</v>
      </c>
      <c r="T11016" s="29" t="str">
        <f>HYPERLINK("https://ictv.global/ictv/proposals/2023.005M.Bornaviridae_1ngen_3nsp.zip","2023.005M.Bornaviridae_1ngen_3nsp.zip")</f>
        <v>2023.005M.Bornaviridae_1ngen_3nsp.zip</v>
      </c>
      <c r="U11016" s="29" t="str">
        <f>HYPERLINK("https://ictv.global/taxonomy/taxondetails?taxnode_id=202317816","ictv.global=202317816")</f>
        <v>ictv.global=202317816</v>
      </c>
    </row>
    <row r="11017" spans="1:21">
      <c r="A11017">
        <v>11016</v>
      </c>
      <c r="B11017" s="30" t="s">
        <v>1226</v>
      </c>
      <c r="D11017" s="30" t="s">
        <v>2024</v>
      </c>
      <c r="F11017" s="30" t="s">
        <v>1040</v>
      </c>
      <c r="G11017" s="30" t="s">
        <v>1041</v>
      </c>
      <c r="H11017" s="30" t="s">
        <v>1047</v>
      </c>
      <c r="J11017" s="30" t="s">
        <v>255</v>
      </c>
      <c r="L11017" s="30" t="s">
        <v>368</v>
      </c>
      <c r="N11017" s="30" t="s">
        <v>944</v>
      </c>
      <c r="P11017" s="30" t="s">
        <v>9716</v>
      </c>
      <c r="Q11017" t="s">
        <v>620</v>
      </c>
      <c r="R11017" t="s">
        <v>920</v>
      </c>
      <c r="S11017">
        <v>37</v>
      </c>
      <c r="T11017" s="29" t="str">
        <f>HYPERLINK("https://ictv.global/ictv/proposals/2021.010M.R.Bornaviridae_sprename.zip","2021.010M.R.Bornaviridae_sprename.zip")</f>
        <v>2021.010M.R.Bornaviridae_sprename.zip</v>
      </c>
      <c r="U11017" s="29" t="str">
        <f>HYPERLINK("https://ictv.global/taxonomy/taxondetails?taxnode_id=202301557","ictv.global=202301557")</f>
        <v>ictv.global=202301557</v>
      </c>
    </row>
    <row r="11018" spans="1:21">
      <c r="A11018">
        <v>11017</v>
      </c>
      <c r="B11018" s="30" t="s">
        <v>1226</v>
      </c>
      <c r="D11018" s="30" t="s">
        <v>2024</v>
      </c>
      <c r="F11018" s="30" t="s">
        <v>1040</v>
      </c>
      <c r="G11018" s="30" t="s">
        <v>1041</v>
      </c>
      <c r="H11018" s="30" t="s">
        <v>1047</v>
      </c>
      <c r="J11018" s="30" t="s">
        <v>255</v>
      </c>
      <c r="L11018" s="30" t="s">
        <v>368</v>
      </c>
      <c r="N11018" s="30" t="s">
        <v>944</v>
      </c>
      <c r="P11018" s="30" t="s">
        <v>9717</v>
      </c>
      <c r="Q11018" t="s">
        <v>620</v>
      </c>
      <c r="R11018" t="s">
        <v>920</v>
      </c>
      <c r="S11018">
        <v>37</v>
      </c>
      <c r="T11018" s="29" t="str">
        <f>HYPERLINK("https://ictv.global/ictv/proposals/2021.010M.R.Bornaviridae_sprename.zip","2021.010M.R.Bornaviridae_sprename.zip")</f>
        <v>2021.010M.R.Bornaviridae_sprename.zip</v>
      </c>
      <c r="U11018" s="29" t="str">
        <f>HYPERLINK("https://ictv.global/taxonomy/taxondetails?taxnode_id=202301559","ictv.global=202301559")</f>
        <v>ictv.global=202301559</v>
      </c>
    </row>
    <row r="11019" spans="1:21">
      <c r="A11019">
        <v>11018</v>
      </c>
      <c r="B11019" s="30" t="s">
        <v>1226</v>
      </c>
      <c r="D11019" s="30" t="s">
        <v>2024</v>
      </c>
      <c r="F11019" s="30" t="s">
        <v>1040</v>
      </c>
      <c r="G11019" s="30" t="s">
        <v>1041</v>
      </c>
      <c r="H11019" s="30" t="s">
        <v>1047</v>
      </c>
      <c r="J11019" s="30" t="s">
        <v>255</v>
      </c>
      <c r="L11019" s="30" t="s">
        <v>368</v>
      </c>
      <c r="N11019" s="30" t="s">
        <v>944</v>
      </c>
      <c r="P11019" s="30" t="s">
        <v>9718</v>
      </c>
      <c r="Q11019" t="s">
        <v>620</v>
      </c>
      <c r="R11019" t="s">
        <v>920</v>
      </c>
      <c r="S11019">
        <v>37</v>
      </c>
      <c r="T11019" s="29" t="str">
        <f>HYPERLINK("https://ictv.global/ictv/proposals/2021.010M.R.Bornaviridae_sprename.zip","2021.010M.R.Bornaviridae_sprename.zip")</f>
        <v>2021.010M.R.Bornaviridae_sprename.zip</v>
      </c>
      <c r="U11019" s="29" t="str">
        <f>HYPERLINK("https://ictv.global/taxonomy/taxondetails?taxnode_id=202301558","ictv.global=202301558")</f>
        <v>ictv.global=202301558</v>
      </c>
    </row>
    <row r="11020" spans="1:21">
      <c r="A11020">
        <v>11019</v>
      </c>
      <c r="B11020" s="30" t="s">
        <v>1226</v>
      </c>
      <c r="D11020" s="30" t="s">
        <v>2024</v>
      </c>
      <c r="F11020" s="30" t="s">
        <v>1040</v>
      </c>
      <c r="G11020" s="30" t="s">
        <v>1041</v>
      </c>
      <c r="H11020" s="30" t="s">
        <v>1047</v>
      </c>
      <c r="J11020" s="30" t="s">
        <v>255</v>
      </c>
      <c r="L11020" s="30" t="s">
        <v>368</v>
      </c>
      <c r="N11020" s="30" t="s">
        <v>944</v>
      </c>
      <c r="P11020" s="30" t="s">
        <v>9719</v>
      </c>
      <c r="Q11020" t="s">
        <v>620</v>
      </c>
      <c r="R11020" t="s">
        <v>920</v>
      </c>
      <c r="S11020">
        <v>37</v>
      </c>
      <c r="T11020" s="29" t="str">
        <f>HYPERLINK("https://ictv.global/ictv/proposals/2021.010M.R.Bornaviridae_sprename.zip","2021.010M.R.Bornaviridae_sprename.zip")</f>
        <v>2021.010M.R.Bornaviridae_sprename.zip</v>
      </c>
      <c r="U11020" s="29" t="str">
        <f>HYPERLINK("https://ictv.global/taxonomy/taxondetails?taxnode_id=202301553","ictv.global=202301553")</f>
        <v>ictv.global=202301553</v>
      </c>
    </row>
    <row r="11021" spans="1:21">
      <c r="A11021">
        <v>11020</v>
      </c>
      <c r="B11021" s="30" t="s">
        <v>1226</v>
      </c>
      <c r="D11021" s="30" t="s">
        <v>2024</v>
      </c>
      <c r="F11021" s="30" t="s">
        <v>1040</v>
      </c>
      <c r="G11021" s="30" t="s">
        <v>1041</v>
      </c>
      <c r="H11021" s="30" t="s">
        <v>1047</v>
      </c>
      <c r="J11021" s="30" t="s">
        <v>255</v>
      </c>
      <c r="L11021" s="30" t="s">
        <v>368</v>
      </c>
      <c r="N11021" s="30" t="s">
        <v>944</v>
      </c>
      <c r="P11021" s="30" t="s">
        <v>9720</v>
      </c>
      <c r="Q11021" t="s">
        <v>620</v>
      </c>
      <c r="R11021" t="s">
        <v>917</v>
      </c>
      <c r="S11021">
        <v>37</v>
      </c>
      <c r="T11021" s="29" t="str">
        <f>HYPERLINK("https://ictv.global/ictv/proposals/2021.021M.R.Orthobornavirus_1nsp.zip","2021.021M.R.Orthobornavirus_1nsp.zip")</f>
        <v>2021.021M.R.Orthobornavirus_1nsp.zip</v>
      </c>
      <c r="U11021" s="29" t="str">
        <f>HYPERLINK("https://ictv.global/taxonomy/taxondetails?taxnode_id=202312226","ictv.global=202312226")</f>
        <v>ictv.global=202312226</v>
      </c>
    </row>
    <row r="11022" spans="1:21">
      <c r="A11022">
        <v>11021</v>
      </c>
      <c r="B11022" s="30" t="s">
        <v>1226</v>
      </c>
      <c r="D11022" s="30" t="s">
        <v>2024</v>
      </c>
      <c r="F11022" s="30" t="s">
        <v>1040</v>
      </c>
      <c r="G11022" s="30" t="s">
        <v>1041</v>
      </c>
      <c r="H11022" s="30" t="s">
        <v>1047</v>
      </c>
      <c r="J11022" s="30" t="s">
        <v>255</v>
      </c>
      <c r="L11022" s="30" t="s">
        <v>368</v>
      </c>
      <c r="N11022" s="30" t="s">
        <v>944</v>
      </c>
      <c r="P11022" s="30" t="s">
        <v>9721</v>
      </c>
      <c r="Q11022" t="s">
        <v>620</v>
      </c>
      <c r="R11022" t="s">
        <v>920</v>
      </c>
      <c r="S11022">
        <v>37</v>
      </c>
      <c r="T11022" s="29" t="str">
        <f>HYPERLINK("https://ictv.global/ictv/proposals/2021.010M.R.Bornaviridae_sprename.zip","2021.010M.R.Bornaviridae_sprename.zip")</f>
        <v>2021.010M.R.Bornaviridae_sprename.zip</v>
      </c>
      <c r="U11022" s="29" t="str">
        <f>HYPERLINK("https://ictv.global/taxonomy/taxondetails?taxnode_id=202301552","ictv.global=202301552")</f>
        <v>ictv.global=202301552</v>
      </c>
    </row>
    <row r="11023" spans="1:21">
      <c r="A11023">
        <v>11022</v>
      </c>
      <c r="B11023" s="30" t="s">
        <v>1226</v>
      </c>
      <c r="D11023" s="30" t="s">
        <v>2024</v>
      </c>
      <c r="F11023" s="30" t="s">
        <v>1040</v>
      </c>
      <c r="G11023" s="30" t="s">
        <v>1041</v>
      </c>
      <c r="H11023" s="30" t="s">
        <v>1047</v>
      </c>
      <c r="J11023" s="30" t="s">
        <v>255</v>
      </c>
      <c r="L11023" s="30" t="s">
        <v>368</v>
      </c>
      <c r="N11023" s="30" t="s">
        <v>944</v>
      </c>
      <c r="P11023" s="30" t="s">
        <v>9722</v>
      </c>
      <c r="Q11023" t="s">
        <v>620</v>
      </c>
      <c r="R11023" t="s">
        <v>920</v>
      </c>
      <c r="S11023">
        <v>37</v>
      </c>
      <c r="T11023" s="29" t="str">
        <f>HYPERLINK("https://ictv.global/ictv/proposals/2021.010M.R.Bornaviridae_sprename.zip","2021.010M.R.Bornaviridae_sprename.zip")</f>
        <v>2021.010M.R.Bornaviridae_sprename.zip</v>
      </c>
      <c r="U11023" s="29" t="str">
        <f>HYPERLINK("https://ictv.global/taxonomy/taxondetails?taxnode_id=202301556","ictv.global=202301556")</f>
        <v>ictv.global=202301556</v>
      </c>
    </row>
    <row r="11024" spans="1:21">
      <c r="A11024">
        <v>11023</v>
      </c>
      <c r="B11024" s="30" t="s">
        <v>1226</v>
      </c>
      <c r="D11024" s="30" t="s">
        <v>2024</v>
      </c>
      <c r="F11024" s="30" t="s">
        <v>1040</v>
      </c>
      <c r="G11024" s="30" t="s">
        <v>1041</v>
      </c>
      <c r="H11024" s="30" t="s">
        <v>1047</v>
      </c>
      <c r="J11024" s="30" t="s">
        <v>255</v>
      </c>
      <c r="L11024" s="30" t="s">
        <v>368</v>
      </c>
      <c r="N11024" s="30" t="s">
        <v>944</v>
      </c>
      <c r="P11024" s="30" t="s">
        <v>9723</v>
      </c>
      <c r="Q11024" t="s">
        <v>620</v>
      </c>
      <c r="R11024" t="s">
        <v>920</v>
      </c>
      <c r="S11024">
        <v>37</v>
      </c>
      <c r="T11024" s="29" t="str">
        <f>HYPERLINK("https://ictv.global/ictv/proposals/2021.010M.R.Bornaviridae_sprename.zip","2021.010M.R.Bornaviridae_sprename.zip")</f>
        <v>2021.010M.R.Bornaviridae_sprename.zip</v>
      </c>
      <c r="U11024" s="29" t="str">
        <f>HYPERLINK("https://ictv.global/taxonomy/taxondetails?taxnode_id=202301554","ictv.global=202301554")</f>
        <v>ictv.global=202301554</v>
      </c>
    </row>
    <row r="11025" spans="1:21">
      <c r="A11025">
        <v>11024</v>
      </c>
      <c r="B11025" s="30" t="s">
        <v>1226</v>
      </c>
      <c r="D11025" s="30" t="s">
        <v>2024</v>
      </c>
      <c r="F11025" s="30" t="s">
        <v>1040</v>
      </c>
      <c r="G11025" s="30" t="s">
        <v>1041</v>
      </c>
      <c r="H11025" s="30" t="s">
        <v>1047</v>
      </c>
      <c r="J11025" s="30" t="s">
        <v>255</v>
      </c>
      <c r="L11025" s="30" t="s">
        <v>368</v>
      </c>
      <c r="N11025" s="30" t="s">
        <v>944</v>
      </c>
      <c r="P11025" s="30" t="s">
        <v>9724</v>
      </c>
      <c r="Q11025" t="s">
        <v>620</v>
      </c>
      <c r="R11025" t="s">
        <v>920</v>
      </c>
      <c r="S11025">
        <v>37</v>
      </c>
      <c r="T11025" s="29" t="str">
        <f>HYPERLINK("https://ictv.global/ictv/proposals/2021.010M.R.Bornaviridae_sprename.zip","2021.010M.R.Bornaviridae_sprename.zip")</f>
        <v>2021.010M.R.Bornaviridae_sprename.zip</v>
      </c>
      <c r="U11025" s="29" t="str">
        <f>HYPERLINK("https://ictv.global/taxonomy/taxondetails?taxnode_id=202301555","ictv.global=202301555")</f>
        <v>ictv.global=202301555</v>
      </c>
    </row>
    <row r="11026" spans="1:21">
      <c r="A11026">
        <v>11025</v>
      </c>
      <c r="B11026" s="30" t="s">
        <v>1226</v>
      </c>
      <c r="D11026" s="30" t="s">
        <v>2024</v>
      </c>
      <c r="F11026" s="30" t="s">
        <v>1040</v>
      </c>
      <c r="G11026" s="30" t="s">
        <v>1041</v>
      </c>
      <c r="H11026" s="30" t="s">
        <v>1047</v>
      </c>
      <c r="J11026" s="30" t="s">
        <v>255</v>
      </c>
      <c r="L11026" s="30" t="s">
        <v>369</v>
      </c>
      <c r="N11026" s="30" t="s">
        <v>533</v>
      </c>
      <c r="P11026" s="30" t="s">
        <v>9725</v>
      </c>
      <c r="Q11026" t="s">
        <v>620</v>
      </c>
      <c r="R11026" t="s">
        <v>920</v>
      </c>
      <c r="S11026">
        <v>38</v>
      </c>
      <c r="T11026" s="29" t="str">
        <f>HYPERLINK("https://ictv.global/ictv/proposals/2021.012M.Filoviridae_sprenamed.zip","2021.012M.Filoviridae_sprenamed.zip")</f>
        <v>2021.012M.Filoviridae_sprenamed.zip</v>
      </c>
      <c r="U11026" s="29" t="str">
        <f>HYPERLINK("https://ictv.global/taxonomy/taxondetails?taxnode_id=202301563","ictv.global=202301563")</f>
        <v>ictv.global=202301563</v>
      </c>
    </row>
    <row r="11027" spans="1:21">
      <c r="A11027">
        <v>11026</v>
      </c>
      <c r="B11027" s="30" t="s">
        <v>1226</v>
      </c>
      <c r="D11027" s="30" t="s">
        <v>2024</v>
      </c>
      <c r="F11027" s="30" t="s">
        <v>1040</v>
      </c>
      <c r="G11027" s="30" t="s">
        <v>1041</v>
      </c>
      <c r="H11027" s="30" t="s">
        <v>1047</v>
      </c>
      <c r="J11027" s="30" t="s">
        <v>255</v>
      </c>
      <c r="L11027" s="30" t="s">
        <v>369</v>
      </c>
      <c r="N11027" s="30" t="s">
        <v>2055</v>
      </c>
      <c r="P11027" s="30" t="s">
        <v>9726</v>
      </c>
      <c r="Q11027" t="s">
        <v>620</v>
      </c>
      <c r="R11027" t="s">
        <v>920</v>
      </c>
      <c r="S11027">
        <v>38</v>
      </c>
      <c r="T11027" s="29" t="str">
        <f>HYPERLINK("https://ictv.global/ictv/proposals/2021.012M.Filoviridae_sprenamed.zip","2021.012M.Filoviridae_sprenamed.zip")</f>
        <v>2021.012M.Filoviridae_sprenamed.zip</v>
      </c>
      <c r="U11027" s="29" t="str">
        <f>HYPERLINK("https://ictv.global/taxonomy/taxondetails?taxnode_id=202307367","ictv.global=202307367")</f>
        <v>ictv.global=202307367</v>
      </c>
    </row>
    <row r="11028" spans="1:21">
      <c r="A11028">
        <v>11027</v>
      </c>
      <c r="B11028" s="30" t="s">
        <v>1226</v>
      </c>
      <c r="D11028" s="30" t="s">
        <v>2024</v>
      </c>
      <c r="F11028" s="30" t="s">
        <v>1040</v>
      </c>
      <c r="G11028" s="30" t="s">
        <v>1041</v>
      </c>
      <c r="H11028" s="30" t="s">
        <v>1047</v>
      </c>
      <c r="J11028" s="30" t="s">
        <v>255</v>
      </c>
      <c r="L11028" s="30" t="s">
        <v>369</v>
      </c>
      <c r="N11028" s="30" t="s">
        <v>17271</v>
      </c>
      <c r="P11028" s="30" t="s">
        <v>17272</v>
      </c>
      <c r="Q11028" t="s">
        <v>620</v>
      </c>
      <c r="R11028" t="s">
        <v>917</v>
      </c>
      <c r="S11028">
        <v>39</v>
      </c>
      <c r="T11028" s="29" t="str">
        <f>HYPERLINK("https://ictv.global/ictv/proposals/2023.025M.Filoviridae_1ng_1nsp.zip","2023.025M.Filoviridae_1ng_1nsp.zip")</f>
        <v>2023.025M.Filoviridae_1ng_1nsp.zip</v>
      </c>
      <c r="U11028" s="29" t="str">
        <f>HYPERLINK("https://ictv.global/taxonomy/taxondetails?taxnode_id=202318978","ictv.global=202318978")</f>
        <v>ictv.global=202318978</v>
      </c>
    </row>
    <row r="11029" spans="1:21">
      <c r="A11029">
        <v>11028</v>
      </c>
      <c r="B11029" s="30" t="s">
        <v>1226</v>
      </c>
      <c r="D11029" s="30" t="s">
        <v>2024</v>
      </c>
      <c r="F11029" s="30" t="s">
        <v>1040</v>
      </c>
      <c r="G11029" s="30" t="s">
        <v>1041</v>
      </c>
      <c r="H11029" s="30" t="s">
        <v>1047</v>
      </c>
      <c r="J11029" s="30" t="s">
        <v>255</v>
      </c>
      <c r="L11029" s="30" t="s">
        <v>369</v>
      </c>
      <c r="N11029" s="30" t="s">
        <v>9727</v>
      </c>
      <c r="P11029" s="30" t="s">
        <v>9728</v>
      </c>
      <c r="Q11029" t="s">
        <v>620</v>
      </c>
      <c r="R11029" t="s">
        <v>917</v>
      </c>
      <c r="S11029">
        <v>37</v>
      </c>
      <c r="T11029" s="29" t="str">
        <f>HYPERLINK("https://ictv.global/ictv/proposals/2021.011M.R.Filoviridae_1ngen_3nsp.zip","2021.011M.R.Filoviridae_1ngen_3nsp.zip")</f>
        <v>2021.011M.R.Filoviridae_1ngen_3nsp.zip</v>
      </c>
      <c r="U11029" s="29" t="str">
        <f>HYPERLINK("https://ictv.global/taxonomy/taxondetails?taxnode_id=202313343","ictv.global=202313343")</f>
        <v>ictv.global=202313343</v>
      </c>
    </row>
    <row r="11030" spans="1:21">
      <c r="A11030">
        <v>11029</v>
      </c>
      <c r="B11030" s="30" t="s">
        <v>1226</v>
      </c>
      <c r="D11030" s="30" t="s">
        <v>2024</v>
      </c>
      <c r="F11030" s="30" t="s">
        <v>1040</v>
      </c>
      <c r="G11030" s="30" t="s">
        <v>1041</v>
      </c>
      <c r="H11030" s="30" t="s">
        <v>1047</v>
      </c>
      <c r="J11030" s="30" t="s">
        <v>255</v>
      </c>
      <c r="L11030" s="30" t="s">
        <v>369</v>
      </c>
      <c r="N11030" s="30" t="s">
        <v>9729</v>
      </c>
      <c r="P11030" s="30" t="s">
        <v>9730</v>
      </c>
      <c r="Q11030" t="s">
        <v>620</v>
      </c>
      <c r="R11030" t="s">
        <v>920</v>
      </c>
      <c r="S11030">
        <v>38</v>
      </c>
      <c r="T11030" s="29" t="str">
        <f t="shared" ref="T11030:T11036" si="461">HYPERLINK("https://ictv.global/ictv/proposals/2022.009M.Filoviridae_2genrenamed.zip","2022.009M.Filoviridae_2genrenamed.zip")</f>
        <v>2022.009M.Filoviridae_2genrenamed.zip</v>
      </c>
      <c r="U11030" s="29" t="str">
        <f>HYPERLINK("https://ictv.global/taxonomy/taxondetails?taxnode_id=202307261","ictv.global=202307261")</f>
        <v>ictv.global=202307261</v>
      </c>
    </row>
    <row r="11031" spans="1:21">
      <c r="A11031">
        <v>11030</v>
      </c>
      <c r="B11031" s="30" t="s">
        <v>1226</v>
      </c>
      <c r="D11031" s="30" t="s">
        <v>2024</v>
      </c>
      <c r="F11031" s="30" t="s">
        <v>1040</v>
      </c>
      <c r="G11031" s="30" t="s">
        <v>1041</v>
      </c>
      <c r="H11031" s="30" t="s">
        <v>1047</v>
      </c>
      <c r="J11031" s="30" t="s">
        <v>255</v>
      </c>
      <c r="L11031" s="30" t="s">
        <v>369</v>
      </c>
      <c r="N11031" s="30" t="s">
        <v>9729</v>
      </c>
      <c r="P11031" s="30" t="s">
        <v>9731</v>
      </c>
      <c r="Q11031" t="s">
        <v>620</v>
      </c>
      <c r="R11031" t="s">
        <v>920</v>
      </c>
      <c r="S11031">
        <v>38</v>
      </c>
      <c r="T11031" s="29" t="str">
        <f t="shared" si="461"/>
        <v>2022.009M.Filoviridae_2genrenamed.zip</v>
      </c>
      <c r="U11031" s="29" t="str">
        <f>HYPERLINK("https://ictv.global/taxonomy/taxondetails?taxnode_id=202301565","ictv.global=202301565")</f>
        <v>ictv.global=202301565</v>
      </c>
    </row>
    <row r="11032" spans="1:21">
      <c r="A11032">
        <v>11031</v>
      </c>
      <c r="B11032" s="30" t="s">
        <v>1226</v>
      </c>
      <c r="D11032" s="30" t="s">
        <v>2024</v>
      </c>
      <c r="F11032" s="30" t="s">
        <v>1040</v>
      </c>
      <c r="G11032" s="30" t="s">
        <v>1041</v>
      </c>
      <c r="H11032" s="30" t="s">
        <v>1047</v>
      </c>
      <c r="J11032" s="30" t="s">
        <v>255</v>
      </c>
      <c r="L11032" s="30" t="s">
        <v>369</v>
      </c>
      <c r="N11032" s="30" t="s">
        <v>9729</v>
      </c>
      <c r="P11032" s="30" t="s">
        <v>9732</v>
      </c>
      <c r="Q11032" t="s">
        <v>620</v>
      </c>
      <c r="R11032" t="s">
        <v>920</v>
      </c>
      <c r="S11032">
        <v>38</v>
      </c>
      <c r="T11032" s="29" t="str">
        <f t="shared" si="461"/>
        <v>2022.009M.Filoviridae_2genrenamed.zip</v>
      </c>
      <c r="U11032" s="29" t="str">
        <f>HYPERLINK("https://ictv.global/taxonomy/taxondetails?taxnode_id=202301566","ictv.global=202301566")</f>
        <v>ictv.global=202301566</v>
      </c>
    </row>
    <row r="11033" spans="1:21">
      <c r="A11033">
        <v>11032</v>
      </c>
      <c r="B11033" s="30" t="s">
        <v>1226</v>
      </c>
      <c r="D11033" s="30" t="s">
        <v>2024</v>
      </c>
      <c r="F11033" s="30" t="s">
        <v>1040</v>
      </c>
      <c r="G11033" s="30" t="s">
        <v>1041</v>
      </c>
      <c r="H11033" s="30" t="s">
        <v>1047</v>
      </c>
      <c r="J11033" s="30" t="s">
        <v>255</v>
      </c>
      <c r="L11033" s="30" t="s">
        <v>369</v>
      </c>
      <c r="N11033" s="30" t="s">
        <v>9729</v>
      </c>
      <c r="P11033" s="30" t="s">
        <v>9733</v>
      </c>
      <c r="Q11033" t="s">
        <v>620</v>
      </c>
      <c r="R11033" t="s">
        <v>920</v>
      </c>
      <c r="S11033">
        <v>38</v>
      </c>
      <c r="T11033" s="29" t="str">
        <f t="shared" si="461"/>
        <v>2022.009M.Filoviridae_2genrenamed.zip</v>
      </c>
      <c r="U11033" s="29" t="str">
        <f>HYPERLINK("https://ictv.global/taxonomy/taxondetails?taxnode_id=202301567","ictv.global=202301567")</f>
        <v>ictv.global=202301567</v>
      </c>
    </row>
    <row r="11034" spans="1:21">
      <c r="A11034">
        <v>11033</v>
      </c>
      <c r="B11034" s="30" t="s">
        <v>1226</v>
      </c>
      <c r="D11034" s="30" t="s">
        <v>2024</v>
      </c>
      <c r="F11034" s="30" t="s">
        <v>1040</v>
      </c>
      <c r="G11034" s="30" t="s">
        <v>1041</v>
      </c>
      <c r="H11034" s="30" t="s">
        <v>1047</v>
      </c>
      <c r="J11034" s="30" t="s">
        <v>255</v>
      </c>
      <c r="L11034" s="30" t="s">
        <v>369</v>
      </c>
      <c r="N11034" s="30" t="s">
        <v>9729</v>
      </c>
      <c r="P11034" s="30" t="s">
        <v>9734</v>
      </c>
      <c r="Q11034" t="s">
        <v>620</v>
      </c>
      <c r="R11034" t="s">
        <v>920</v>
      </c>
      <c r="S11034">
        <v>38</v>
      </c>
      <c r="T11034" s="29" t="str">
        <f t="shared" si="461"/>
        <v>2022.009M.Filoviridae_2genrenamed.zip</v>
      </c>
      <c r="U11034" s="29" t="str">
        <f>HYPERLINK("https://ictv.global/taxonomy/taxondetails?taxnode_id=202301568","ictv.global=202301568")</f>
        <v>ictv.global=202301568</v>
      </c>
    </row>
    <row r="11035" spans="1:21">
      <c r="A11035">
        <v>11034</v>
      </c>
      <c r="B11035" s="30" t="s">
        <v>1226</v>
      </c>
      <c r="D11035" s="30" t="s">
        <v>2024</v>
      </c>
      <c r="F11035" s="30" t="s">
        <v>1040</v>
      </c>
      <c r="G11035" s="30" t="s">
        <v>1041</v>
      </c>
      <c r="H11035" s="30" t="s">
        <v>1047</v>
      </c>
      <c r="J11035" s="30" t="s">
        <v>255</v>
      </c>
      <c r="L11035" s="30" t="s">
        <v>369</v>
      </c>
      <c r="N11035" s="30" t="s">
        <v>9729</v>
      </c>
      <c r="P11035" s="30" t="s">
        <v>9735</v>
      </c>
      <c r="Q11035" t="s">
        <v>620</v>
      </c>
      <c r="R11035" t="s">
        <v>920</v>
      </c>
      <c r="S11035">
        <v>38</v>
      </c>
      <c r="T11035" s="29" t="str">
        <f t="shared" si="461"/>
        <v>2022.009M.Filoviridae_2genrenamed.zip</v>
      </c>
      <c r="U11035" s="29" t="str">
        <f>HYPERLINK("https://ictv.global/taxonomy/taxondetails?taxnode_id=202301569","ictv.global=202301569")</f>
        <v>ictv.global=202301569</v>
      </c>
    </row>
    <row r="11036" spans="1:21">
      <c r="A11036">
        <v>11035</v>
      </c>
      <c r="B11036" s="30" t="s">
        <v>1226</v>
      </c>
      <c r="D11036" s="30" t="s">
        <v>2024</v>
      </c>
      <c r="F11036" s="30" t="s">
        <v>1040</v>
      </c>
      <c r="G11036" s="30" t="s">
        <v>1041</v>
      </c>
      <c r="H11036" s="30" t="s">
        <v>1047</v>
      </c>
      <c r="J11036" s="30" t="s">
        <v>255</v>
      </c>
      <c r="L11036" s="30" t="s">
        <v>369</v>
      </c>
      <c r="N11036" s="30" t="s">
        <v>9736</v>
      </c>
      <c r="P11036" s="30" t="s">
        <v>9737</v>
      </c>
      <c r="Q11036" t="s">
        <v>620</v>
      </c>
      <c r="R11036" t="s">
        <v>920</v>
      </c>
      <c r="S11036">
        <v>38</v>
      </c>
      <c r="T11036" s="29" t="str">
        <f t="shared" si="461"/>
        <v>2022.009M.Filoviridae_2genrenamed.zip</v>
      </c>
      <c r="U11036" s="29" t="str">
        <f>HYPERLINK("https://ictv.global/taxonomy/taxondetails?taxnode_id=202301571","ictv.global=202301571")</f>
        <v>ictv.global=202301571</v>
      </c>
    </row>
    <row r="11037" spans="1:21">
      <c r="A11037">
        <v>11036</v>
      </c>
      <c r="B11037" s="30" t="s">
        <v>1226</v>
      </c>
      <c r="D11037" s="30" t="s">
        <v>2024</v>
      </c>
      <c r="F11037" s="30" t="s">
        <v>1040</v>
      </c>
      <c r="G11037" s="30" t="s">
        <v>1041</v>
      </c>
      <c r="H11037" s="30" t="s">
        <v>1047</v>
      </c>
      <c r="J11037" s="30" t="s">
        <v>255</v>
      </c>
      <c r="L11037" s="30" t="s">
        <v>369</v>
      </c>
      <c r="N11037" s="30" t="s">
        <v>1228</v>
      </c>
      <c r="P11037" s="30" t="s">
        <v>9738</v>
      </c>
      <c r="Q11037" t="s">
        <v>620</v>
      </c>
      <c r="R11037" t="s">
        <v>920</v>
      </c>
      <c r="S11037">
        <v>38</v>
      </c>
      <c r="T11037" s="29" t="str">
        <f>HYPERLINK("https://ictv.global/ictv/proposals/2021.012M.Filoviridae_sprenamed.zip","2021.012M.Filoviridae_sprenamed.zip")</f>
        <v>2021.012M.Filoviridae_sprenamed.zip</v>
      </c>
      <c r="U11037" s="29" t="str">
        <f>HYPERLINK("https://ictv.global/taxonomy/taxondetails?taxnode_id=202306582","ictv.global=202306582")</f>
        <v>ictv.global=202306582</v>
      </c>
    </row>
    <row r="11038" spans="1:21">
      <c r="A11038">
        <v>11037</v>
      </c>
      <c r="B11038" s="30" t="s">
        <v>1226</v>
      </c>
      <c r="D11038" s="30" t="s">
        <v>2024</v>
      </c>
      <c r="F11038" s="30" t="s">
        <v>1040</v>
      </c>
      <c r="G11038" s="30" t="s">
        <v>1041</v>
      </c>
      <c r="H11038" s="30" t="s">
        <v>1047</v>
      </c>
      <c r="J11038" s="30" t="s">
        <v>255</v>
      </c>
      <c r="L11038" s="30" t="s">
        <v>369</v>
      </c>
      <c r="N11038" s="30" t="s">
        <v>9739</v>
      </c>
      <c r="P11038" s="30" t="s">
        <v>9740</v>
      </c>
      <c r="Q11038" t="s">
        <v>620</v>
      </c>
      <c r="R11038" t="s">
        <v>917</v>
      </c>
      <c r="S11038">
        <v>37</v>
      </c>
      <c r="T11038" s="29" t="str">
        <f>HYPERLINK("https://ictv.global/ictv/proposals/2021.005M.R.Filoviridae_1ngen_1nsp.zip","2021.005M.R.Filoviridae_1ngen_1nsp.zip")</f>
        <v>2021.005M.R.Filoviridae_1ngen_1nsp.zip</v>
      </c>
      <c r="U11038" s="29" t="str">
        <f>HYPERLINK("https://ictv.global/taxonomy/taxondetails?taxnode_id=202313337","ictv.global=202313337")</f>
        <v>ictv.global=202313337</v>
      </c>
    </row>
    <row r="11039" spans="1:21">
      <c r="A11039">
        <v>11038</v>
      </c>
      <c r="B11039" s="30" t="s">
        <v>1226</v>
      </c>
      <c r="D11039" s="30" t="s">
        <v>2024</v>
      </c>
      <c r="F11039" s="30" t="s">
        <v>1040</v>
      </c>
      <c r="G11039" s="30" t="s">
        <v>1041</v>
      </c>
      <c r="H11039" s="30" t="s">
        <v>1047</v>
      </c>
      <c r="J11039" s="30" t="s">
        <v>255</v>
      </c>
      <c r="L11039" s="30" t="s">
        <v>369</v>
      </c>
      <c r="N11039" s="30" t="s">
        <v>1229</v>
      </c>
      <c r="P11039" s="30" t="s">
        <v>9741</v>
      </c>
      <c r="Q11039" t="s">
        <v>620</v>
      </c>
      <c r="R11039" t="s">
        <v>917</v>
      </c>
      <c r="S11039">
        <v>37</v>
      </c>
      <c r="T11039" s="29" t="str">
        <f>HYPERLINK("https://ictv.global/ictv/proposals/2021.011M.R.Filoviridae_1ngen_3nsp.zip","2021.011M.R.Filoviridae_1ngen_3nsp.zip")</f>
        <v>2021.011M.R.Filoviridae_1ngen_3nsp.zip</v>
      </c>
      <c r="U11039" s="29" t="str">
        <f>HYPERLINK("https://ictv.global/taxonomy/taxondetails?taxnode_id=202313341","ictv.global=202313341")</f>
        <v>ictv.global=202313341</v>
      </c>
    </row>
    <row r="11040" spans="1:21">
      <c r="A11040">
        <v>11039</v>
      </c>
      <c r="B11040" s="30" t="s">
        <v>1226</v>
      </c>
      <c r="D11040" s="30" t="s">
        <v>2024</v>
      </c>
      <c r="F11040" s="30" t="s">
        <v>1040</v>
      </c>
      <c r="G11040" s="30" t="s">
        <v>1041</v>
      </c>
      <c r="H11040" s="30" t="s">
        <v>1047</v>
      </c>
      <c r="J11040" s="30" t="s">
        <v>255</v>
      </c>
      <c r="L11040" s="30" t="s">
        <v>369</v>
      </c>
      <c r="N11040" s="30" t="s">
        <v>1229</v>
      </c>
      <c r="P11040" s="30" t="s">
        <v>9742</v>
      </c>
      <c r="Q11040" t="s">
        <v>620</v>
      </c>
      <c r="R11040" t="s">
        <v>917</v>
      </c>
      <c r="S11040">
        <v>37</v>
      </c>
      <c r="T11040" s="29" t="str">
        <f>HYPERLINK("https://ictv.global/ictv/proposals/2021.011M.R.Filoviridae_1ngen_3nsp.zip","2021.011M.R.Filoviridae_1ngen_3nsp.zip")</f>
        <v>2021.011M.R.Filoviridae_1ngen_3nsp.zip</v>
      </c>
      <c r="U11040" s="29" t="str">
        <f>HYPERLINK("https://ictv.global/taxonomy/taxondetails?taxnode_id=202313340","ictv.global=202313340")</f>
        <v>ictv.global=202313340</v>
      </c>
    </row>
    <row r="11041" spans="1:21">
      <c r="A11041">
        <v>11040</v>
      </c>
      <c r="B11041" s="30" t="s">
        <v>1226</v>
      </c>
      <c r="D11041" s="30" t="s">
        <v>2024</v>
      </c>
      <c r="F11041" s="30" t="s">
        <v>1040</v>
      </c>
      <c r="G11041" s="30" t="s">
        <v>1041</v>
      </c>
      <c r="H11041" s="30" t="s">
        <v>1047</v>
      </c>
      <c r="J11041" s="30" t="s">
        <v>255</v>
      </c>
      <c r="L11041" s="30" t="s">
        <v>369</v>
      </c>
      <c r="N11041" s="30" t="s">
        <v>1229</v>
      </c>
      <c r="P11041" s="30" t="s">
        <v>9743</v>
      </c>
      <c r="Q11041" t="s">
        <v>620</v>
      </c>
      <c r="R11041" t="s">
        <v>920</v>
      </c>
      <c r="S11041">
        <v>38</v>
      </c>
      <c r="T11041" s="29" t="str">
        <f>HYPERLINK("https://ictv.global/ictv/proposals/2021.012M.Filoviridae_sprenamed.zip","2021.012M.Filoviridae_sprenamed.zip")</f>
        <v>2021.012M.Filoviridae_sprenamed.zip</v>
      </c>
      <c r="U11041" s="29" t="str">
        <f>HYPERLINK("https://ictv.global/taxonomy/taxondetails?taxnode_id=202306584","ictv.global=202306584")</f>
        <v>ictv.global=202306584</v>
      </c>
    </row>
    <row r="11042" spans="1:21">
      <c r="A11042">
        <v>11041</v>
      </c>
      <c r="B11042" s="30" t="s">
        <v>1226</v>
      </c>
      <c r="D11042" s="30" t="s">
        <v>2024</v>
      </c>
      <c r="F11042" s="30" t="s">
        <v>1040</v>
      </c>
      <c r="G11042" s="30" t="s">
        <v>1041</v>
      </c>
      <c r="H11042" s="30" t="s">
        <v>1047</v>
      </c>
      <c r="J11042" s="30" t="s">
        <v>255</v>
      </c>
      <c r="L11042" s="30" t="s">
        <v>1052</v>
      </c>
      <c r="N11042" s="30" t="s">
        <v>9744</v>
      </c>
      <c r="P11042" s="30" t="s">
        <v>9745</v>
      </c>
      <c r="Q11042" t="s">
        <v>620</v>
      </c>
      <c r="R11042" t="s">
        <v>917</v>
      </c>
      <c r="S11042">
        <v>38</v>
      </c>
      <c r="T11042" s="29" t="str">
        <f>HYPERLINK("https://ictv.global/ictv/proposals/2022.012M.Lispiviridae_7ngen_11nsp.zip","2022.012M.Lispiviridae_7ngen_11nsp.zip")</f>
        <v>2022.012M.Lispiviridae_7ngen_11nsp.zip</v>
      </c>
      <c r="U11042" s="29" t="str">
        <f>HYPERLINK("https://ictv.global/taxonomy/taxondetails?taxnode_id=202314190","ictv.global=202314190")</f>
        <v>ictv.global=202314190</v>
      </c>
    </row>
    <row r="11043" spans="1:21">
      <c r="A11043">
        <v>11042</v>
      </c>
      <c r="B11043" s="30" t="s">
        <v>1226</v>
      </c>
      <c r="D11043" s="30" t="s">
        <v>2024</v>
      </c>
      <c r="F11043" s="30" t="s">
        <v>1040</v>
      </c>
      <c r="G11043" s="30" t="s">
        <v>1041</v>
      </c>
      <c r="H11043" s="30" t="s">
        <v>1047</v>
      </c>
      <c r="J11043" s="30" t="s">
        <v>255</v>
      </c>
      <c r="L11043" s="30" t="s">
        <v>1052</v>
      </c>
      <c r="N11043" s="30" t="s">
        <v>9746</v>
      </c>
      <c r="P11043" s="30" t="s">
        <v>9747</v>
      </c>
      <c r="Q11043" t="s">
        <v>620</v>
      </c>
      <c r="R11043" t="s">
        <v>917</v>
      </c>
      <c r="S11043">
        <v>38</v>
      </c>
      <c r="T11043" s="29" t="str">
        <f>HYPERLINK("https://ictv.global/ictv/proposals/2022.012M.Lispiviridae_7ngen_11nsp.zip","2022.012M.Lispiviridae_7ngen_11nsp.zip")</f>
        <v>2022.012M.Lispiviridae_7ngen_11nsp.zip</v>
      </c>
      <c r="U11043" s="29" t="str">
        <f>HYPERLINK("https://ictv.global/taxonomy/taxondetails?taxnode_id=202314194","ictv.global=202314194")</f>
        <v>ictv.global=202314194</v>
      </c>
    </row>
    <row r="11044" spans="1:21">
      <c r="A11044">
        <v>11043</v>
      </c>
      <c r="B11044" s="30" t="s">
        <v>1226</v>
      </c>
      <c r="D11044" s="30" t="s">
        <v>2024</v>
      </c>
      <c r="F11044" s="30" t="s">
        <v>1040</v>
      </c>
      <c r="G11044" s="30" t="s">
        <v>1041</v>
      </c>
      <c r="H11044" s="30" t="s">
        <v>1047</v>
      </c>
      <c r="J11044" s="30" t="s">
        <v>255</v>
      </c>
      <c r="L11044" s="30" t="s">
        <v>1052</v>
      </c>
      <c r="N11044" s="30" t="s">
        <v>9748</v>
      </c>
      <c r="P11044" s="30" t="s">
        <v>9749</v>
      </c>
      <c r="Q11044" t="s">
        <v>620</v>
      </c>
      <c r="R11044" t="s">
        <v>917</v>
      </c>
      <c r="S11044">
        <v>38</v>
      </c>
      <c r="T11044" s="29" t="str">
        <f>HYPERLINK("https://ictv.global/ictv/proposals/2022.012M.Lispiviridae_7ngen_11nsp.zip","2022.012M.Lispiviridae_7ngen_11nsp.zip")</f>
        <v>2022.012M.Lispiviridae_7ngen_11nsp.zip</v>
      </c>
      <c r="U11044" s="29" t="str">
        <f>HYPERLINK("https://ictv.global/taxonomy/taxondetails?taxnode_id=202314195","ictv.global=202314195")</f>
        <v>ictv.global=202314195</v>
      </c>
    </row>
    <row r="11045" spans="1:21">
      <c r="A11045">
        <v>11044</v>
      </c>
      <c r="B11045" s="30" t="s">
        <v>1226</v>
      </c>
      <c r="D11045" s="30" t="s">
        <v>2024</v>
      </c>
      <c r="F11045" s="30" t="s">
        <v>1040</v>
      </c>
      <c r="G11045" s="30" t="s">
        <v>1041</v>
      </c>
      <c r="H11045" s="30" t="s">
        <v>1047</v>
      </c>
      <c r="J11045" s="30" t="s">
        <v>255</v>
      </c>
      <c r="L11045" s="30" t="s">
        <v>1052</v>
      </c>
      <c r="N11045" s="30" t="s">
        <v>9750</v>
      </c>
      <c r="P11045" s="30" t="s">
        <v>9751</v>
      </c>
      <c r="Q11045" t="s">
        <v>620</v>
      </c>
      <c r="R11045" t="s">
        <v>917</v>
      </c>
      <c r="S11045">
        <v>37</v>
      </c>
      <c r="T11045" s="29" t="str">
        <f>HYPERLINK("https://ictv.global/ictv/proposals/2021.016M.R.Lispiviridae_16ngen_13nsp.zip","2021.016M.R.Lispiviridae_16ngen_13nsp.zip")</f>
        <v>2021.016M.R.Lispiviridae_16ngen_13nsp.zip</v>
      </c>
      <c r="U11045" s="29" t="str">
        <f>HYPERLINK("https://ictv.global/taxonomy/taxondetails?taxnode_id=202313371","ictv.global=202313371")</f>
        <v>ictv.global=202313371</v>
      </c>
    </row>
    <row r="11046" spans="1:21">
      <c r="A11046">
        <v>11045</v>
      </c>
      <c r="B11046" s="30" t="s">
        <v>1226</v>
      </c>
      <c r="D11046" s="30" t="s">
        <v>2024</v>
      </c>
      <c r="F11046" s="30" t="s">
        <v>1040</v>
      </c>
      <c r="G11046" s="30" t="s">
        <v>1041</v>
      </c>
      <c r="H11046" s="30" t="s">
        <v>1047</v>
      </c>
      <c r="J11046" s="30" t="s">
        <v>255</v>
      </c>
      <c r="L11046" s="30" t="s">
        <v>1052</v>
      </c>
      <c r="N11046" s="30" t="s">
        <v>9750</v>
      </c>
      <c r="P11046" s="30" t="s">
        <v>17273</v>
      </c>
      <c r="Q11046" t="s">
        <v>620</v>
      </c>
      <c r="R11046" t="s">
        <v>917</v>
      </c>
      <c r="S11046">
        <v>39</v>
      </c>
      <c r="T11046" s="29" t="str">
        <f>HYPERLINK("https://ictv.global/ictv/proposals/2023.011M.Lispiviridae_1ngen_4nsp.zip","2023.011M.Lispiviridae_1ngen_4nsp.zip")</f>
        <v>2023.011M.Lispiviridae_1ngen_4nsp.zip</v>
      </c>
      <c r="U11046" s="29" t="str">
        <f>HYPERLINK("https://ictv.global/taxonomy/taxondetails?taxnode_id=202318028","ictv.global=202318028")</f>
        <v>ictv.global=202318028</v>
      </c>
    </row>
    <row r="11047" spans="1:21">
      <c r="A11047">
        <v>11046</v>
      </c>
      <c r="B11047" s="30" t="s">
        <v>1226</v>
      </c>
      <c r="D11047" s="30" t="s">
        <v>2024</v>
      </c>
      <c r="F11047" s="30" t="s">
        <v>1040</v>
      </c>
      <c r="G11047" s="30" t="s">
        <v>1041</v>
      </c>
      <c r="H11047" s="30" t="s">
        <v>1047</v>
      </c>
      <c r="J11047" s="30" t="s">
        <v>255</v>
      </c>
      <c r="L11047" s="30" t="s">
        <v>1052</v>
      </c>
      <c r="N11047" s="30" t="s">
        <v>9752</v>
      </c>
      <c r="P11047" s="30" t="s">
        <v>9753</v>
      </c>
      <c r="Q11047" t="s">
        <v>620</v>
      </c>
      <c r="R11047" t="s">
        <v>917</v>
      </c>
      <c r="S11047">
        <v>37</v>
      </c>
      <c r="T11047" s="29" t="str">
        <f>HYPERLINK("https://ictv.global/ictv/proposals/2021.016M.R.Lispiviridae_16ngen_13nsp.zip","2021.016M.R.Lispiviridae_16ngen_13nsp.zip")</f>
        <v>2021.016M.R.Lispiviridae_16ngen_13nsp.zip</v>
      </c>
      <c r="U11047" s="29" t="str">
        <f>HYPERLINK("https://ictv.global/taxonomy/taxondetails?taxnode_id=202313367","ictv.global=202313367")</f>
        <v>ictv.global=202313367</v>
      </c>
    </row>
    <row r="11048" spans="1:21">
      <c r="A11048">
        <v>11047</v>
      </c>
      <c r="B11048" s="30" t="s">
        <v>1226</v>
      </c>
      <c r="D11048" s="30" t="s">
        <v>2024</v>
      </c>
      <c r="F11048" s="30" t="s">
        <v>1040</v>
      </c>
      <c r="G11048" s="30" t="s">
        <v>1041</v>
      </c>
      <c r="H11048" s="30" t="s">
        <v>1047</v>
      </c>
      <c r="J11048" s="30" t="s">
        <v>255</v>
      </c>
      <c r="L11048" s="30" t="s">
        <v>1052</v>
      </c>
      <c r="N11048" s="30" t="s">
        <v>9754</v>
      </c>
      <c r="P11048" s="30" t="s">
        <v>9755</v>
      </c>
      <c r="Q11048" t="s">
        <v>620</v>
      </c>
      <c r="R11048" t="s">
        <v>917</v>
      </c>
      <c r="S11048">
        <v>38</v>
      </c>
      <c r="T11048" s="29" t="str">
        <f>HYPERLINK("https://ictv.global/ictv/proposals/2022.012M.Lispiviridae_7ngen_11nsp.zip","2022.012M.Lispiviridae_7ngen_11nsp.zip")</f>
        <v>2022.012M.Lispiviridae_7ngen_11nsp.zip</v>
      </c>
      <c r="U11048" s="29" t="str">
        <f>HYPERLINK("https://ictv.global/taxonomy/taxondetails?taxnode_id=202314191","ictv.global=202314191")</f>
        <v>ictv.global=202314191</v>
      </c>
    </row>
    <row r="11049" spans="1:21">
      <c r="A11049">
        <v>11048</v>
      </c>
      <c r="B11049" s="30" t="s">
        <v>1226</v>
      </c>
      <c r="D11049" s="30" t="s">
        <v>2024</v>
      </c>
      <c r="F11049" s="30" t="s">
        <v>1040</v>
      </c>
      <c r="G11049" s="30" t="s">
        <v>1041</v>
      </c>
      <c r="H11049" s="30" t="s">
        <v>1047</v>
      </c>
      <c r="J11049" s="30" t="s">
        <v>255</v>
      </c>
      <c r="L11049" s="30" t="s">
        <v>1052</v>
      </c>
      <c r="N11049" s="30" t="s">
        <v>9756</v>
      </c>
      <c r="P11049" s="30" t="s">
        <v>9757</v>
      </c>
      <c r="Q11049" t="s">
        <v>620</v>
      </c>
      <c r="R11049" t="s">
        <v>917</v>
      </c>
      <c r="S11049">
        <v>38</v>
      </c>
      <c r="T11049" s="29" t="str">
        <f>HYPERLINK("https://ictv.global/ictv/proposals/2022.012M.Lispiviridae_7ngen_11nsp.zip","2022.012M.Lispiviridae_7ngen_11nsp.zip")</f>
        <v>2022.012M.Lispiviridae_7ngen_11nsp.zip</v>
      </c>
      <c r="U11049" s="29" t="str">
        <f>HYPERLINK("https://ictv.global/taxonomy/taxondetails?taxnode_id=202314192","ictv.global=202314192")</f>
        <v>ictv.global=202314192</v>
      </c>
    </row>
    <row r="11050" spans="1:21">
      <c r="A11050">
        <v>11049</v>
      </c>
      <c r="B11050" s="30" t="s">
        <v>1226</v>
      </c>
      <c r="D11050" s="30" t="s">
        <v>2024</v>
      </c>
      <c r="F11050" s="30" t="s">
        <v>1040</v>
      </c>
      <c r="G11050" s="30" t="s">
        <v>1041</v>
      </c>
      <c r="H11050" s="30" t="s">
        <v>1047</v>
      </c>
      <c r="J11050" s="30" t="s">
        <v>255</v>
      </c>
      <c r="L11050" s="30" t="s">
        <v>1052</v>
      </c>
      <c r="N11050" s="30" t="s">
        <v>719</v>
      </c>
      <c r="P11050" s="30" t="s">
        <v>9758</v>
      </c>
      <c r="Q11050" t="s">
        <v>620</v>
      </c>
      <c r="R11050" t="s">
        <v>920</v>
      </c>
      <c r="S11050">
        <v>37</v>
      </c>
      <c r="T11050" s="29" t="str">
        <f>HYPERLINK("https://ictv.global/ictv/proposals/2021.016M.R.Lispiviridae_16ngen_13nsp.zip","2021.016M.R.Lispiviridae_16ngen_13nsp.zip")</f>
        <v>2021.016M.R.Lispiviridae_16ngen_13nsp.zip</v>
      </c>
      <c r="U11050" s="29" t="str">
        <f>HYPERLINK("https://ictv.global/taxonomy/taxondetails?taxnode_id=202301814","ictv.global=202301814")</f>
        <v>ictv.global=202301814</v>
      </c>
    </row>
    <row r="11051" spans="1:21">
      <c r="A11051">
        <v>11050</v>
      </c>
      <c r="B11051" s="30" t="s">
        <v>1226</v>
      </c>
      <c r="D11051" s="30" t="s">
        <v>2024</v>
      </c>
      <c r="F11051" s="30" t="s">
        <v>1040</v>
      </c>
      <c r="G11051" s="30" t="s">
        <v>1041</v>
      </c>
      <c r="H11051" s="30" t="s">
        <v>1047</v>
      </c>
      <c r="J11051" s="30" t="s">
        <v>255</v>
      </c>
      <c r="L11051" s="30" t="s">
        <v>1052</v>
      </c>
      <c r="N11051" s="30" t="s">
        <v>719</v>
      </c>
      <c r="P11051" s="30" t="s">
        <v>9759</v>
      </c>
      <c r="Q11051" t="s">
        <v>620</v>
      </c>
      <c r="R11051" t="s">
        <v>917</v>
      </c>
      <c r="S11051">
        <v>38</v>
      </c>
      <c r="T11051" s="29" t="str">
        <f>HYPERLINK("https://ictv.global/ictv/proposals/2022.012M.Lispiviridae_7ngen_11nsp.zip","2022.012M.Lispiviridae_7ngen_11nsp.zip")</f>
        <v>2022.012M.Lispiviridae_7ngen_11nsp.zip</v>
      </c>
      <c r="U11051" s="29" t="str">
        <f>HYPERLINK("https://ictv.global/taxonomy/taxondetails?taxnode_id=202314200","ictv.global=202314200")</f>
        <v>ictv.global=202314200</v>
      </c>
    </row>
    <row r="11052" spans="1:21">
      <c r="A11052">
        <v>11051</v>
      </c>
      <c r="B11052" s="30" t="s">
        <v>1226</v>
      </c>
      <c r="D11052" s="30" t="s">
        <v>2024</v>
      </c>
      <c r="F11052" s="30" t="s">
        <v>1040</v>
      </c>
      <c r="G11052" s="30" t="s">
        <v>1041</v>
      </c>
      <c r="H11052" s="30" t="s">
        <v>1047</v>
      </c>
      <c r="J11052" s="30" t="s">
        <v>255</v>
      </c>
      <c r="L11052" s="30" t="s">
        <v>1052</v>
      </c>
      <c r="N11052" s="30" t="s">
        <v>719</v>
      </c>
      <c r="P11052" s="30" t="s">
        <v>9760</v>
      </c>
      <c r="Q11052" t="s">
        <v>620</v>
      </c>
      <c r="R11052" t="s">
        <v>917</v>
      </c>
      <c r="S11052">
        <v>38</v>
      </c>
      <c r="T11052" s="29" t="str">
        <f>HYPERLINK("https://ictv.global/ictv/proposals/2022.012M.Lispiviridae_7ngen_11nsp.zip","2022.012M.Lispiviridae_7ngen_11nsp.zip")</f>
        <v>2022.012M.Lispiviridae_7ngen_11nsp.zip</v>
      </c>
      <c r="U11052" s="29" t="str">
        <f>HYPERLINK("https://ictv.global/taxonomy/taxondetails?taxnode_id=202314199","ictv.global=202314199")</f>
        <v>ictv.global=202314199</v>
      </c>
    </row>
    <row r="11053" spans="1:21">
      <c r="A11053">
        <v>11052</v>
      </c>
      <c r="B11053" s="30" t="s">
        <v>1226</v>
      </c>
      <c r="D11053" s="30" t="s">
        <v>2024</v>
      </c>
      <c r="F11053" s="30" t="s">
        <v>1040</v>
      </c>
      <c r="G11053" s="30" t="s">
        <v>1041</v>
      </c>
      <c r="H11053" s="30" t="s">
        <v>1047</v>
      </c>
      <c r="J11053" s="30" t="s">
        <v>255</v>
      </c>
      <c r="L11053" s="30" t="s">
        <v>1052</v>
      </c>
      <c r="N11053" s="30" t="s">
        <v>9761</v>
      </c>
      <c r="P11053" s="30" t="s">
        <v>9762</v>
      </c>
      <c r="Q11053" t="s">
        <v>620</v>
      </c>
      <c r="R11053" t="s">
        <v>917</v>
      </c>
      <c r="S11053">
        <v>38</v>
      </c>
      <c r="T11053" s="29" t="str">
        <f>HYPERLINK("https://ictv.global/ictv/proposals/2022.012M.Lispiviridae_7ngen_11nsp.zip","2022.012M.Lispiviridae_7ngen_11nsp.zip")</f>
        <v>2022.012M.Lispiviridae_7ngen_11nsp.zip</v>
      </c>
      <c r="U11053" s="29" t="str">
        <f>HYPERLINK("https://ictv.global/taxonomy/taxondetails?taxnode_id=202314193","ictv.global=202314193")</f>
        <v>ictv.global=202314193</v>
      </c>
    </row>
    <row r="11054" spans="1:21">
      <c r="A11054">
        <v>11053</v>
      </c>
      <c r="B11054" s="30" t="s">
        <v>1226</v>
      </c>
      <c r="D11054" s="30" t="s">
        <v>2024</v>
      </c>
      <c r="F11054" s="30" t="s">
        <v>1040</v>
      </c>
      <c r="G11054" s="30" t="s">
        <v>1041</v>
      </c>
      <c r="H11054" s="30" t="s">
        <v>1047</v>
      </c>
      <c r="J11054" s="30" t="s">
        <v>255</v>
      </c>
      <c r="L11054" s="30" t="s">
        <v>1052</v>
      </c>
      <c r="N11054" s="30" t="s">
        <v>17274</v>
      </c>
      <c r="P11054" s="30" t="s">
        <v>17275</v>
      </c>
      <c r="Q11054" t="s">
        <v>620</v>
      </c>
      <c r="R11054" t="s">
        <v>917</v>
      </c>
      <c r="S11054">
        <v>39</v>
      </c>
      <c r="T11054" s="29" t="str">
        <f>HYPERLINK("https://ictv.global/ictv/proposals/2023.011M.Lispiviridae_1ngen_4nsp.zip","2023.011M.Lispiviridae_1ngen_4nsp.zip")</f>
        <v>2023.011M.Lispiviridae_1ngen_4nsp.zip</v>
      </c>
      <c r="U11054" s="29" t="str">
        <f>HYPERLINK("https://ictv.global/taxonomy/taxondetails?taxnode_id=202318027","ictv.global=202318027")</f>
        <v>ictv.global=202318027</v>
      </c>
    </row>
    <row r="11055" spans="1:21">
      <c r="A11055">
        <v>11054</v>
      </c>
      <c r="B11055" s="30" t="s">
        <v>1226</v>
      </c>
      <c r="D11055" s="30" t="s">
        <v>2024</v>
      </c>
      <c r="F11055" s="30" t="s">
        <v>1040</v>
      </c>
      <c r="G11055" s="30" t="s">
        <v>1041</v>
      </c>
      <c r="H11055" s="30" t="s">
        <v>1047</v>
      </c>
      <c r="J11055" s="30" t="s">
        <v>255</v>
      </c>
      <c r="L11055" s="30" t="s">
        <v>1052</v>
      </c>
      <c r="N11055" s="30" t="s">
        <v>9763</v>
      </c>
      <c r="P11055" s="30" t="s">
        <v>17276</v>
      </c>
      <c r="Q11055" t="s">
        <v>620</v>
      </c>
      <c r="R11055" t="s">
        <v>917</v>
      </c>
      <c r="S11055">
        <v>39</v>
      </c>
      <c r="T11055" s="29" t="str">
        <f>HYPERLINK("https://ictv.global/ictv/proposals/2023.011M.Lispiviridae_1ngen_4nsp.zip","2023.011M.Lispiviridae_1ngen_4nsp.zip")</f>
        <v>2023.011M.Lispiviridae_1ngen_4nsp.zip</v>
      </c>
      <c r="U11055" s="29" t="str">
        <f>HYPERLINK("https://ictv.global/taxonomy/taxondetails?taxnode_id=202318026","ictv.global=202318026")</f>
        <v>ictv.global=202318026</v>
      </c>
    </row>
    <row r="11056" spans="1:21">
      <c r="A11056">
        <v>11055</v>
      </c>
      <c r="B11056" s="30" t="s">
        <v>1226</v>
      </c>
      <c r="D11056" s="30" t="s">
        <v>2024</v>
      </c>
      <c r="F11056" s="30" t="s">
        <v>1040</v>
      </c>
      <c r="G11056" s="30" t="s">
        <v>1041</v>
      </c>
      <c r="H11056" s="30" t="s">
        <v>1047</v>
      </c>
      <c r="J11056" s="30" t="s">
        <v>255</v>
      </c>
      <c r="L11056" s="30" t="s">
        <v>1052</v>
      </c>
      <c r="N11056" s="30" t="s">
        <v>9763</v>
      </c>
      <c r="P11056" s="30" t="s">
        <v>9764</v>
      </c>
      <c r="Q11056" t="s">
        <v>620</v>
      </c>
      <c r="R11056" t="s">
        <v>917</v>
      </c>
      <c r="S11056">
        <v>37</v>
      </c>
      <c r="T11056" s="29" t="str">
        <f>HYPERLINK("https://ictv.global/ictv/proposals/2021.016M.R.Lispiviridae_16ngen_13nsp.zip","2021.016M.R.Lispiviridae_16ngen_13nsp.zip")</f>
        <v>2021.016M.R.Lispiviridae_16ngen_13nsp.zip</v>
      </c>
      <c r="U11056" s="29" t="str">
        <f>HYPERLINK("https://ictv.global/taxonomy/taxondetails?taxnode_id=202313359","ictv.global=202313359")</f>
        <v>ictv.global=202313359</v>
      </c>
    </row>
    <row r="11057" spans="1:21">
      <c r="A11057">
        <v>11056</v>
      </c>
      <c r="B11057" s="30" t="s">
        <v>1226</v>
      </c>
      <c r="D11057" s="30" t="s">
        <v>2024</v>
      </c>
      <c r="F11057" s="30" t="s">
        <v>1040</v>
      </c>
      <c r="G11057" s="30" t="s">
        <v>1041</v>
      </c>
      <c r="H11057" s="30" t="s">
        <v>1047</v>
      </c>
      <c r="J11057" s="30" t="s">
        <v>255</v>
      </c>
      <c r="L11057" s="30" t="s">
        <v>1052</v>
      </c>
      <c r="N11057" s="30" t="s">
        <v>9763</v>
      </c>
      <c r="P11057" s="30" t="s">
        <v>9765</v>
      </c>
      <c r="Q11057" t="s">
        <v>620</v>
      </c>
      <c r="R11057" t="s">
        <v>917</v>
      </c>
      <c r="S11057">
        <v>37</v>
      </c>
      <c r="T11057" s="29" t="str">
        <f>HYPERLINK("https://ictv.global/ictv/proposals/2021.016M.R.Lispiviridae_16ngen_13nsp.zip","2021.016M.R.Lispiviridae_16ngen_13nsp.zip")</f>
        <v>2021.016M.R.Lispiviridae_16ngen_13nsp.zip</v>
      </c>
      <c r="U11057" s="29" t="str">
        <f>HYPERLINK("https://ictv.global/taxonomy/taxondetails?taxnode_id=202313358","ictv.global=202313358")</f>
        <v>ictv.global=202313358</v>
      </c>
    </row>
    <row r="11058" spans="1:21">
      <c r="A11058">
        <v>11057</v>
      </c>
      <c r="B11058" s="30" t="s">
        <v>1226</v>
      </c>
      <c r="D11058" s="30" t="s">
        <v>2024</v>
      </c>
      <c r="F11058" s="30" t="s">
        <v>1040</v>
      </c>
      <c r="G11058" s="30" t="s">
        <v>1041</v>
      </c>
      <c r="H11058" s="30" t="s">
        <v>1047</v>
      </c>
      <c r="J11058" s="30" t="s">
        <v>255</v>
      </c>
      <c r="L11058" s="30" t="s">
        <v>1052</v>
      </c>
      <c r="N11058" s="30" t="s">
        <v>9766</v>
      </c>
      <c r="P11058" s="30" t="s">
        <v>9767</v>
      </c>
      <c r="Q11058" t="s">
        <v>620</v>
      </c>
      <c r="R11058" t="s">
        <v>917</v>
      </c>
      <c r="S11058">
        <v>37</v>
      </c>
      <c r="T11058" s="29" t="str">
        <f>HYPERLINK("https://ictv.global/ictv/proposals/2021.016M.R.Lispiviridae_16ngen_13nsp.zip","2021.016M.R.Lispiviridae_16ngen_13nsp.zip")</f>
        <v>2021.016M.R.Lispiviridae_16ngen_13nsp.zip</v>
      </c>
      <c r="U11058" s="29" t="str">
        <f>HYPERLINK("https://ictv.global/taxonomy/taxondetails?taxnode_id=202313365","ictv.global=202313365")</f>
        <v>ictv.global=202313365</v>
      </c>
    </row>
    <row r="11059" spans="1:21">
      <c r="A11059">
        <v>11058</v>
      </c>
      <c r="B11059" s="30" t="s">
        <v>1226</v>
      </c>
      <c r="D11059" s="30" t="s">
        <v>2024</v>
      </c>
      <c r="F11059" s="30" t="s">
        <v>1040</v>
      </c>
      <c r="G11059" s="30" t="s">
        <v>1041</v>
      </c>
      <c r="H11059" s="30" t="s">
        <v>1047</v>
      </c>
      <c r="J11059" s="30" t="s">
        <v>255</v>
      </c>
      <c r="L11059" s="30" t="s">
        <v>1052</v>
      </c>
      <c r="N11059" s="30" t="s">
        <v>9768</v>
      </c>
      <c r="P11059" s="30" t="s">
        <v>9769</v>
      </c>
      <c r="Q11059" t="s">
        <v>620</v>
      </c>
      <c r="R11059" t="s">
        <v>918</v>
      </c>
      <c r="S11059">
        <v>37</v>
      </c>
      <c r="T11059" s="29" t="str">
        <f>HYPERLINK("https://ictv.global/ictv/proposals/2021.016M.R.Lispiviridae_16ngen_13nsp.zip","2021.016M.R.Lispiviridae_16ngen_13nsp.zip")</f>
        <v>2021.016M.R.Lispiviridae_16ngen_13nsp.zip</v>
      </c>
      <c r="U11059" s="29" t="str">
        <f>HYPERLINK("https://ictv.global/taxonomy/taxondetails?taxnode_id=202306268","ictv.global=202306268")</f>
        <v>ictv.global=202306268</v>
      </c>
    </row>
    <row r="11060" spans="1:21">
      <c r="A11060">
        <v>11059</v>
      </c>
      <c r="B11060" s="30" t="s">
        <v>1226</v>
      </c>
      <c r="D11060" s="30" t="s">
        <v>2024</v>
      </c>
      <c r="F11060" s="30" t="s">
        <v>1040</v>
      </c>
      <c r="G11060" s="30" t="s">
        <v>1041</v>
      </c>
      <c r="H11060" s="30" t="s">
        <v>1047</v>
      </c>
      <c r="J11060" s="30" t="s">
        <v>255</v>
      </c>
      <c r="L11060" s="30" t="s">
        <v>1052</v>
      </c>
      <c r="N11060" s="30" t="s">
        <v>9768</v>
      </c>
      <c r="P11060" s="30" t="s">
        <v>9770</v>
      </c>
      <c r="Q11060" t="s">
        <v>620</v>
      </c>
      <c r="R11060" t="s">
        <v>917</v>
      </c>
      <c r="S11060">
        <v>38</v>
      </c>
      <c r="T11060" s="29" t="str">
        <f>HYPERLINK("https://ictv.global/ictv/proposals/2022.012M.Lispiviridae_7ngen_11nsp.zip","2022.012M.Lispiviridae_7ngen_11nsp.zip")</f>
        <v>2022.012M.Lispiviridae_7ngen_11nsp.zip</v>
      </c>
      <c r="U11060" s="29" t="str">
        <f>HYPERLINK("https://ictv.global/taxonomy/taxondetails?taxnode_id=202314198","ictv.global=202314198")</f>
        <v>ictv.global=202314198</v>
      </c>
    </row>
    <row r="11061" spans="1:21">
      <c r="A11061">
        <v>11060</v>
      </c>
      <c r="B11061" s="30" t="s">
        <v>1226</v>
      </c>
      <c r="D11061" s="30" t="s">
        <v>2024</v>
      </c>
      <c r="F11061" s="30" t="s">
        <v>1040</v>
      </c>
      <c r="G11061" s="30" t="s">
        <v>1041</v>
      </c>
      <c r="H11061" s="30" t="s">
        <v>1047</v>
      </c>
      <c r="J11061" s="30" t="s">
        <v>255</v>
      </c>
      <c r="L11061" s="30" t="s">
        <v>1052</v>
      </c>
      <c r="N11061" s="30" t="s">
        <v>9771</v>
      </c>
      <c r="P11061" s="30" t="s">
        <v>17277</v>
      </c>
      <c r="Q11061" t="s">
        <v>620</v>
      </c>
      <c r="R11061" t="s">
        <v>917</v>
      </c>
      <c r="S11061">
        <v>39</v>
      </c>
      <c r="T11061" s="29" t="str">
        <f>HYPERLINK("https://ictv.global/ictv/proposals/2023.011M.Lispiviridae_1ngen_4nsp.zip","2023.011M.Lispiviridae_1ngen_4nsp.zip")</f>
        <v>2023.011M.Lispiviridae_1ngen_4nsp.zip</v>
      </c>
      <c r="U11061" s="29" t="str">
        <f>HYPERLINK("https://ictv.global/taxonomy/taxondetails?taxnode_id=202318029","ictv.global=202318029")</f>
        <v>ictv.global=202318029</v>
      </c>
    </row>
    <row r="11062" spans="1:21">
      <c r="A11062">
        <v>11061</v>
      </c>
      <c r="B11062" s="30" t="s">
        <v>1226</v>
      </c>
      <c r="D11062" s="30" t="s">
        <v>2024</v>
      </c>
      <c r="F11062" s="30" t="s">
        <v>1040</v>
      </c>
      <c r="G11062" s="30" t="s">
        <v>1041</v>
      </c>
      <c r="H11062" s="30" t="s">
        <v>1047</v>
      </c>
      <c r="J11062" s="30" t="s">
        <v>255</v>
      </c>
      <c r="L11062" s="30" t="s">
        <v>1052</v>
      </c>
      <c r="N11062" s="30" t="s">
        <v>9771</v>
      </c>
      <c r="P11062" s="30" t="s">
        <v>9772</v>
      </c>
      <c r="Q11062" t="s">
        <v>620</v>
      </c>
      <c r="R11062" t="s">
        <v>918</v>
      </c>
      <c r="S11062">
        <v>37</v>
      </c>
      <c r="T11062" s="29" t="str">
        <f>HYPERLINK("https://ictv.global/ictv/proposals/2021.016M.R.Lispiviridae_16ngen_13nsp.zip","2021.016M.R.Lispiviridae_16ngen_13nsp.zip")</f>
        <v>2021.016M.R.Lispiviridae_16ngen_13nsp.zip</v>
      </c>
      <c r="U11062" s="29" t="str">
        <f>HYPERLINK("https://ictv.global/taxonomy/taxondetails?taxnode_id=202301816","ictv.global=202301816")</f>
        <v>ictv.global=202301816</v>
      </c>
    </row>
    <row r="11063" spans="1:21">
      <c r="A11063">
        <v>11062</v>
      </c>
      <c r="B11063" s="30" t="s">
        <v>1226</v>
      </c>
      <c r="D11063" s="30" t="s">
        <v>2024</v>
      </c>
      <c r="F11063" s="30" t="s">
        <v>1040</v>
      </c>
      <c r="G11063" s="30" t="s">
        <v>1041</v>
      </c>
      <c r="H11063" s="30" t="s">
        <v>1047</v>
      </c>
      <c r="J11063" s="30" t="s">
        <v>255</v>
      </c>
      <c r="L11063" s="30" t="s">
        <v>1052</v>
      </c>
      <c r="N11063" s="30" t="s">
        <v>9773</v>
      </c>
      <c r="P11063" s="30" t="s">
        <v>9774</v>
      </c>
      <c r="Q11063" t="s">
        <v>620</v>
      </c>
      <c r="R11063" t="s">
        <v>917</v>
      </c>
      <c r="S11063">
        <v>38</v>
      </c>
      <c r="T11063" s="29" t="str">
        <f>HYPERLINK("https://ictv.global/ictv/proposals/2022.012M.Lispiviridae_7ngen_11nsp.zip","2022.012M.Lispiviridae_7ngen_11nsp.zip")</f>
        <v>2022.012M.Lispiviridae_7ngen_11nsp.zip</v>
      </c>
      <c r="U11063" s="29" t="str">
        <f>HYPERLINK("https://ictv.global/taxonomy/taxondetails?taxnode_id=202314196","ictv.global=202314196")</f>
        <v>ictv.global=202314196</v>
      </c>
    </row>
    <row r="11064" spans="1:21">
      <c r="A11064">
        <v>11063</v>
      </c>
      <c r="B11064" s="30" t="s">
        <v>1226</v>
      </c>
      <c r="D11064" s="30" t="s">
        <v>2024</v>
      </c>
      <c r="F11064" s="30" t="s">
        <v>1040</v>
      </c>
      <c r="G11064" s="30" t="s">
        <v>1041</v>
      </c>
      <c r="H11064" s="30" t="s">
        <v>1047</v>
      </c>
      <c r="J11064" s="30" t="s">
        <v>255</v>
      </c>
      <c r="L11064" s="30" t="s">
        <v>1052</v>
      </c>
      <c r="N11064" s="30" t="s">
        <v>9773</v>
      </c>
      <c r="P11064" s="30" t="s">
        <v>9775</v>
      </c>
      <c r="Q11064" t="s">
        <v>620</v>
      </c>
      <c r="R11064" t="s">
        <v>917</v>
      </c>
      <c r="S11064">
        <v>38</v>
      </c>
      <c r="T11064" s="29" t="str">
        <f>HYPERLINK("https://ictv.global/ictv/proposals/2022.012M.Lispiviridae_7ngen_11nsp.zip","2022.012M.Lispiviridae_7ngen_11nsp.zip")</f>
        <v>2022.012M.Lispiviridae_7ngen_11nsp.zip</v>
      </c>
      <c r="U11064" s="29" t="str">
        <f>HYPERLINK("https://ictv.global/taxonomy/taxondetails?taxnode_id=202314197","ictv.global=202314197")</f>
        <v>ictv.global=202314197</v>
      </c>
    </row>
    <row r="11065" spans="1:21">
      <c r="A11065">
        <v>11064</v>
      </c>
      <c r="B11065" s="30" t="s">
        <v>1226</v>
      </c>
      <c r="D11065" s="30" t="s">
        <v>2024</v>
      </c>
      <c r="F11065" s="30" t="s">
        <v>1040</v>
      </c>
      <c r="G11065" s="30" t="s">
        <v>1041</v>
      </c>
      <c r="H11065" s="30" t="s">
        <v>1047</v>
      </c>
      <c r="J11065" s="30" t="s">
        <v>255</v>
      </c>
      <c r="L11065" s="30" t="s">
        <v>1052</v>
      </c>
      <c r="N11065" s="30" t="s">
        <v>9776</v>
      </c>
      <c r="P11065" s="30" t="s">
        <v>9777</v>
      </c>
      <c r="Q11065" t="s">
        <v>620</v>
      </c>
      <c r="R11065" t="s">
        <v>918</v>
      </c>
      <c r="S11065">
        <v>37</v>
      </c>
      <c r="T11065" s="29" t="str">
        <f t="shared" ref="T11065:T11075" si="462">HYPERLINK("https://ictv.global/ictv/proposals/2021.016M.R.Lispiviridae_16ngen_13nsp.zip","2021.016M.R.Lispiviridae_16ngen_13nsp.zip")</f>
        <v>2021.016M.R.Lispiviridae_16ngen_13nsp.zip</v>
      </c>
      <c r="U11065" s="29" t="str">
        <f>HYPERLINK("https://ictv.global/taxonomy/taxondetails?taxnode_id=202306266","ictv.global=202306266")</f>
        <v>ictv.global=202306266</v>
      </c>
    </row>
    <row r="11066" spans="1:21">
      <c r="A11066">
        <v>11065</v>
      </c>
      <c r="B11066" s="30" t="s">
        <v>1226</v>
      </c>
      <c r="D11066" s="30" t="s">
        <v>2024</v>
      </c>
      <c r="F11066" s="30" t="s">
        <v>1040</v>
      </c>
      <c r="G11066" s="30" t="s">
        <v>1041</v>
      </c>
      <c r="H11066" s="30" t="s">
        <v>1047</v>
      </c>
      <c r="J11066" s="30" t="s">
        <v>255</v>
      </c>
      <c r="L11066" s="30" t="s">
        <v>1052</v>
      </c>
      <c r="N11066" s="30" t="s">
        <v>9778</v>
      </c>
      <c r="P11066" s="30" t="s">
        <v>9779</v>
      </c>
      <c r="Q11066" t="s">
        <v>620</v>
      </c>
      <c r="R11066" t="s">
        <v>918</v>
      </c>
      <c r="S11066">
        <v>37</v>
      </c>
      <c r="T11066" s="29" t="str">
        <f t="shared" si="462"/>
        <v>2021.016M.R.Lispiviridae_16ngen_13nsp.zip</v>
      </c>
      <c r="U11066" s="29" t="str">
        <f>HYPERLINK("https://ictv.global/taxonomy/taxondetails?taxnode_id=202306267","ictv.global=202306267")</f>
        <v>ictv.global=202306267</v>
      </c>
    </row>
    <row r="11067" spans="1:21">
      <c r="A11067">
        <v>11066</v>
      </c>
      <c r="B11067" s="30" t="s">
        <v>1226</v>
      </c>
      <c r="D11067" s="30" t="s">
        <v>2024</v>
      </c>
      <c r="F11067" s="30" t="s">
        <v>1040</v>
      </c>
      <c r="G11067" s="30" t="s">
        <v>1041</v>
      </c>
      <c r="H11067" s="30" t="s">
        <v>1047</v>
      </c>
      <c r="J11067" s="30" t="s">
        <v>255</v>
      </c>
      <c r="L11067" s="30" t="s">
        <v>1052</v>
      </c>
      <c r="N11067" s="30" t="s">
        <v>9780</v>
      </c>
      <c r="P11067" s="30" t="s">
        <v>9781</v>
      </c>
      <c r="Q11067" t="s">
        <v>620</v>
      </c>
      <c r="R11067" t="s">
        <v>917</v>
      </c>
      <c r="S11067">
        <v>37</v>
      </c>
      <c r="T11067" s="29" t="str">
        <f t="shared" si="462"/>
        <v>2021.016M.R.Lispiviridae_16ngen_13nsp.zip</v>
      </c>
      <c r="U11067" s="29" t="str">
        <f>HYPERLINK("https://ictv.global/taxonomy/taxondetails?taxnode_id=202313369","ictv.global=202313369")</f>
        <v>ictv.global=202313369</v>
      </c>
    </row>
    <row r="11068" spans="1:21">
      <c r="A11068">
        <v>11067</v>
      </c>
      <c r="B11068" s="30" t="s">
        <v>1226</v>
      </c>
      <c r="D11068" s="30" t="s">
        <v>2024</v>
      </c>
      <c r="F11068" s="30" t="s">
        <v>1040</v>
      </c>
      <c r="G11068" s="30" t="s">
        <v>1041</v>
      </c>
      <c r="H11068" s="30" t="s">
        <v>1047</v>
      </c>
      <c r="J11068" s="30" t="s">
        <v>255</v>
      </c>
      <c r="L11068" s="30" t="s">
        <v>1052</v>
      </c>
      <c r="N11068" s="30" t="s">
        <v>9782</v>
      </c>
      <c r="P11068" s="30" t="s">
        <v>9783</v>
      </c>
      <c r="Q11068" t="s">
        <v>620</v>
      </c>
      <c r="R11068" t="s">
        <v>917</v>
      </c>
      <c r="S11068">
        <v>37</v>
      </c>
      <c r="T11068" s="29" t="str">
        <f t="shared" si="462"/>
        <v>2021.016M.R.Lispiviridae_16ngen_13nsp.zip</v>
      </c>
      <c r="U11068" s="29" t="str">
        <f>HYPERLINK("https://ictv.global/taxonomy/taxondetails?taxnode_id=202312218","ictv.global=202312218")</f>
        <v>ictv.global=202312218</v>
      </c>
    </row>
    <row r="11069" spans="1:21">
      <c r="A11069">
        <v>11068</v>
      </c>
      <c r="B11069" s="30" t="s">
        <v>1226</v>
      </c>
      <c r="D11069" s="30" t="s">
        <v>2024</v>
      </c>
      <c r="F11069" s="30" t="s">
        <v>1040</v>
      </c>
      <c r="G11069" s="30" t="s">
        <v>1041</v>
      </c>
      <c r="H11069" s="30" t="s">
        <v>1047</v>
      </c>
      <c r="J11069" s="30" t="s">
        <v>255</v>
      </c>
      <c r="L11069" s="30" t="s">
        <v>1052</v>
      </c>
      <c r="N11069" s="30" t="s">
        <v>9784</v>
      </c>
      <c r="P11069" s="30" t="s">
        <v>9785</v>
      </c>
      <c r="Q11069" t="s">
        <v>620</v>
      </c>
      <c r="R11069" t="s">
        <v>918</v>
      </c>
      <c r="S11069">
        <v>37</v>
      </c>
      <c r="T11069" s="29" t="str">
        <f t="shared" si="462"/>
        <v>2021.016M.R.Lispiviridae_16ngen_13nsp.zip</v>
      </c>
      <c r="U11069" s="29" t="str">
        <f>HYPERLINK("https://ictv.global/taxonomy/taxondetails?taxnode_id=202301820","ictv.global=202301820")</f>
        <v>ictv.global=202301820</v>
      </c>
    </row>
    <row r="11070" spans="1:21">
      <c r="A11070">
        <v>11069</v>
      </c>
      <c r="B11070" s="30" t="s">
        <v>1226</v>
      </c>
      <c r="D11070" s="30" t="s">
        <v>2024</v>
      </c>
      <c r="F11070" s="30" t="s">
        <v>1040</v>
      </c>
      <c r="G11070" s="30" t="s">
        <v>1041</v>
      </c>
      <c r="H11070" s="30" t="s">
        <v>1047</v>
      </c>
      <c r="J11070" s="30" t="s">
        <v>255</v>
      </c>
      <c r="L11070" s="30" t="s">
        <v>1052</v>
      </c>
      <c r="N11070" s="30" t="s">
        <v>9786</v>
      </c>
      <c r="P11070" s="30" t="s">
        <v>9787</v>
      </c>
      <c r="Q11070" t="s">
        <v>620</v>
      </c>
      <c r="R11070" t="s">
        <v>917</v>
      </c>
      <c r="S11070">
        <v>37</v>
      </c>
      <c r="T11070" s="29" t="str">
        <f t="shared" si="462"/>
        <v>2021.016M.R.Lispiviridae_16ngen_13nsp.zip</v>
      </c>
      <c r="U11070" s="29" t="str">
        <f>HYPERLINK("https://ictv.global/taxonomy/taxondetails?taxnode_id=202313363","ictv.global=202313363")</f>
        <v>ictv.global=202313363</v>
      </c>
    </row>
    <row r="11071" spans="1:21">
      <c r="A11071">
        <v>11070</v>
      </c>
      <c r="B11071" s="30" t="s">
        <v>1226</v>
      </c>
      <c r="D11071" s="30" t="s">
        <v>2024</v>
      </c>
      <c r="F11071" s="30" t="s">
        <v>1040</v>
      </c>
      <c r="G11071" s="30" t="s">
        <v>1041</v>
      </c>
      <c r="H11071" s="30" t="s">
        <v>1047</v>
      </c>
      <c r="J11071" s="30" t="s">
        <v>255</v>
      </c>
      <c r="L11071" s="30" t="s">
        <v>1052</v>
      </c>
      <c r="N11071" s="30" t="s">
        <v>9788</v>
      </c>
      <c r="P11071" s="30" t="s">
        <v>9789</v>
      </c>
      <c r="Q11071" t="s">
        <v>620</v>
      </c>
      <c r="R11071" t="s">
        <v>917</v>
      </c>
      <c r="S11071">
        <v>37</v>
      </c>
      <c r="T11071" s="29" t="str">
        <f t="shared" si="462"/>
        <v>2021.016M.R.Lispiviridae_16ngen_13nsp.zip</v>
      </c>
      <c r="U11071" s="29" t="str">
        <f>HYPERLINK("https://ictv.global/taxonomy/taxondetails?taxnode_id=202313361","ictv.global=202313361")</f>
        <v>ictv.global=202313361</v>
      </c>
    </row>
    <row r="11072" spans="1:21">
      <c r="A11072">
        <v>11071</v>
      </c>
      <c r="B11072" s="30" t="s">
        <v>1226</v>
      </c>
      <c r="D11072" s="30" t="s">
        <v>2024</v>
      </c>
      <c r="F11072" s="30" t="s">
        <v>1040</v>
      </c>
      <c r="G11072" s="30" t="s">
        <v>1041</v>
      </c>
      <c r="H11072" s="30" t="s">
        <v>1047</v>
      </c>
      <c r="J11072" s="30" t="s">
        <v>255</v>
      </c>
      <c r="L11072" s="30" t="s">
        <v>1052</v>
      </c>
      <c r="N11072" s="30" t="s">
        <v>9790</v>
      </c>
      <c r="P11072" s="30" t="s">
        <v>9791</v>
      </c>
      <c r="Q11072" t="s">
        <v>620</v>
      </c>
      <c r="R11072" t="s">
        <v>917</v>
      </c>
      <c r="S11072">
        <v>37</v>
      </c>
      <c r="T11072" s="29" t="str">
        <f t="shared" si="462"/>
        <v>2021.016M.R.Lispiviridae_16ngen_13nsp.zip</v>
      </c>
      <c r="U11072" s="29" t="str">
        <f>HYPERLINK("https://ictv.global/taxonomy/taxondetails?taxnode_id=202312216","ictv.global=202312216")</f>
        <v>ictv.global=202312216</v>
      </c>
    </row>
    <row r="11073" spans="1:21">
      <c r="A11073">
        <v>11072</v>
      </c>
      <c r="B11073" s="30" t="s">
        <v>1226</v>
      </c>
      <c r="D11073" s="30" t="s">
        <v>2024</v>
      </c>
      <c r="F11073" s="30" t="s">
        <v>1040</v>
      </c>
      <c r="G11073" s="30" t="s">
        <v>1041</v>
      </c>
      <c r="H11073" s="30" t="s">
        <v>1047</v>
      </c>
      <c r="J11073" s="30" t="s">
        <v>255</v>
      </c>
      <c r="L11073" s="30" t="s">
        <v>1052</v>
      </c>
      <c r="N11073" s="30" t="s">
        <v>9790</v>
      </c>
      <c r="P11073" s="30" t="s">
        <v>9792</v>
      </c>
      <c r="Q11073" t="s">
        <v>620</v>
      </c>
      <c r="R11073" t="s">
        <v>917</v>
      </c>
      <c r="S11073">
        <v>37</v>
      </c>
      <c r="T11073" s="29" t="str">
        <f t="shared" si="462"/>
        <v>2021.016M.R.Lispiviridae_16ngen_13nsp.zip</v>
      </c>
      <c r="U11073" s="29" t="str">
        <f>HYPERLINK("https://ictv.global/taxonomy/taxondetails?taxnode_id=202313373","ictv.global=202313373")</f>
        <v>ictv.global=202313373</v>
      </c>
    </row>
    <row r="11074" spans="1:21">
      <c r="A11074">
        <v>11073</v>
      </c>
      <c r="B11074" s="30" t="s">
        <v>1226</v>
      </c>
      <c r="D11074" s="30" t="s">
        <v>2024</v>
      </c>
      <c r="F11074" s="30" t="s">
        <v>1040</v>
      </c>
      <c r="G11074" s="30" t="s">
        <v>1041</v>
      </c>
      <c r="H11074" s="30" t="s">
        <v>1047</v>
      </c>
      <c r="J11074" s="30" t="s">
        <v>255</v>
      </c>
      <c r="L11074" s="30" t="s">
        <v>1052</v>
      </c>
      <c r="N11074" s="30" t="s">
        <v>9793</v>
      </c>
      <c r="P11074" s="30" t="s">
        <v>9794</v>
      </c>
      <c r="Q11074" t="s">
        <v>620</v>
      </c>
      <c r="R11074" t="s">
        <v>917</v>
      </c>
      <c r="S11074">
        <v>37</v>
      </c>
      <c r="T11074" s="29" t="str">
        <f t="shared" si="462"/>
        <v>2021.016M.R.Lispiviridae_16ngen_13nsp.zip</v>
      </c>
      <c r="U11074" s="29" t="str">
        <f>HYPERLINK("https://ictv.global/taxonomy/taxondetails?taxnode_id=202312222","ictv.global=202312222")</f>
        <v>ictv.global=202312222</v>
      </c>
    </row>
    <row r="11075" spans="1:21">
      <c r="A11075">
        <v>11074</v>
      </c>
      <c r="B11075" s="30" t="s">
        <v>1226</v>
      </c>
      <c r="D11075" s="30" t="s">
        <v>2024</v>
      </c>
      <c r="F11075" s="30" t="s">
        <v>1040</v>
      </c>
      <c r="G11075" s="30" t="s">
        <v>1041</v>
      </c>
      <c r="H11075" s="30" t="s">
        <v>1047</v>
      </c>
      <c r="J11075" s="30" t="s">
        <v>255</v>
      </c>
      <c r="L11075" s="30" t="s">
        <v>1052</v>
      </c>
      <c r="N11075" s="30" t="s">
        <v>9795</v>
      </c>
      <c r="P11075" s="30" t="s">
        <v>9796</v>
      </c>
      <c r="Q11075" t="s">
        <v>620</v>
      </c>
      <c r="R11075" t="s">
        <v>917</v>
      </c>
      <c r="S11075">
        <v>37</v>
      </c>
      <c r="T11075" s="29" t="str">
        <f t="shared" si="462"/>
        <v>2021.016M.R.Lispiviridae_16ngen_13nsp.zip</v>
      </c>
      <c r="U11075" s="29" t="str">
        <f>HYPERLINK("https://ictv.global/taxonomy/taxondetails?taxnode_id=202312220","ictv.global=202312220")</f>
        <v>ictv.global=202312220</v>
      </c>
    </row>
    <row r="11076" spans="1:21">
      <c r="A11076">
        <v>11075</v>
      </c>
      <c r="B11076" s="30" t="s">
        <v>1226</v>
      </c>
      <c r="D11076" s="30" t="s">
        <v>2024</v>
      </c>
      <c r="F11076" s="30" t="s">
        <v>1040</v>
      </c>
      <c r="G11076" s="30" t="s">
        <v>1041</v>
      </c>
      <c r="H11076" s="30" t="s">
        <v>1047</v>
      </c>
      <c r="J11076" s="30" t="s">
        <v>255</v>
      </c>
      <c r="L11076" s="30" t="s">
        <v>710</v>
      </c>
      <c r="N11076" s="30" t="s">
        <v>3734</v>
      </c>
      <c r="P11076" s="30" t="s">
        <v>9797</v>
      </c>
      <c r="Q11076" t="s">
        <v>620</v>
      </c>
      <c r="R11076" t="s">
        <v>917</v>
      </c>
      <c r="S11076">
        <v>38</v>
      </c>
      <c r="T11076" s="29" t="str">
        <f>HYPERLINK("https://ictv.global/ictv/proposals/2022.014M.Mymonaviridae_13nsp.zip","2022.014M.Mymonaviridae_13nsp.zip")</f>
        <v>2022.014M.Mymonaviridae_13nsp.zip</v>
      </c>
      <c r="U11076" s="29" t="str">
        <f>HYPERLINK("https://ictv.global/taxonomy/taxondetails?taxnode_id=202314202","ictv.global=202314202")</f>
        <v>ictv.global=202314202</v>
      </c>
    </row>
    <row r="11077" spans="1:21">
      <c r="A11077">
        <v>11076</v>
      </c>
      <c r="B11077" s="30" t="s">
        <v>1226</v>
      </c>
      <c r="D11077" s="30" t="s">
        <v>2024</v>
      </c>
      <c r="F11077" s="30" t="s">
        <v>1040</v>
      </c>
      <c r="G11077" s="30" t="s">
        <v>1041</v>
      </c>
      <c r="H11077" s="30" t="s">
        <v>1047</v>
      </c>
      <c r="J11077" s="30" t="s">
        <v>255</v>
      </c>
      <c r="L11077" s="30" t="s">
        <v>710</v>
      </c>
      <c r="N11077" s="30" t="s">
        <v>3734</v>
      </c>
      <c r="P11077" s="30" t="s">
        <v>3735</v>
      </c>
      <c r="Q11077" t="s">
        <v>620</v>
      </c>
      <c r="R11077" t="s">
        <v>917</v>
      </c>
      <c r="S11077">
        <v>36</v>
      </c>
      <c r="T11077" s="29" t="str">
        <f>HYPERLINK("https://ictv.global/ictv/proposals/2020.004F.R.Mymona.zip","2020.004F.R.Mymona.zip")</f>
        <v>2020.004F.R.Mymona.zip</v>
      </c>
      <c r="U11077" s="29" t="str">
        <f>HYPERLINK("https://ictv.global/taxonomy/taxondetails?taxnode_id=202308901","ictv.global=202308901")</f>
        <v>ictv.global=202308901</v>
      </c>
    </row>
    <row r="11078" spans="1:21">
      <c r="A11078">
        <v>11077</v>
      </c>
      <c r="B11078" s="30" t="s">
        <v>1226</v>
      </c>
      <c r="D11078" s="30" t="s">
        <v>2024</v>
      </c>
      <c r="F11078" s="30" t="s">
        <v>1040</v>
      </c>
      <c r="G11078" s="30" t="s">
        <v>1041</v>
      </c>
      <c r="H11078" s="30" t="s">
        <v>1047</v>
      </c>
      <c r="J11078" s="30" t="s">
        <v>255</v>
      </c>
      <c r="L11078" s="30" t="s">
        <v>710</v>
      </c>
      <c r="N11078" s="30" t="s">
        <v>3734</v>
      </c>
      <c r="P11078" s="30" t="s">
        <v>9798</v>
      </c>
      <c r="Q11078" t="s">
        <v>620</v>
      </c>
      <c r="R11078" t="s">
        <v>917</v>
      </c>
      <c r="S11078">
        <v>37</v>
      </c>
      <c r="T11078" s="29" t="str">
        <f>HYPERLINK("https://ictv.global/ictv/proposals/2021.041M.R.Mymonaviridae_5nsp.zip","2021.041M.R.Mymonaviridae_5nsp.zip")</f>
        <v>2021.041M.R.Mymonaviridae_5nsp.zip</v>
      </c>
      <c r="U11078" s="29" t="str">
        <f>HYPERLINK("https://ictv.global/taxonomy/taxondetails?taxnode_id=202312965","ictv.global=202312965")</f>
        <v>ictv.global=202312965</v>
      </c>
    </row>
    <row r="11079" spans="1:21">
      <c r="A11079">
        <v>11078</v>
      </c>
      <c r="B11079" s="30" t="s">
        <v>1226</v>
      </c>
      <c r="D11079" s="30" t="s">
        <v>2024</v>
      </c>
      <c r="F11079" s="30" t="s">
        <v>1040</v>
      </c>
      <c r="G11079" s="30" t="s">
        <v>1041</v>
      </c>
      <c r="H11079" s="30" t="s">
        <v>1047</v>
      </c>
      <c r="J11079" s="30" t="s">
        <v>255</v>
      </c>
      <c r="L11079" s="30" t="s">
        <v>710</v>
      </c>
      <c r="N11079" s="30" t="s">
        <v>3736</v>
      </c>
      <c r="P11079" s="30" t="s">
        <v>9799</v>
      </c>
      <c r="Q11079" t="s">
        <v>620</v>
      </c>
      <c r="R11079" t="s">
        <v>917</v>
      </c>
      <c r="S11079">
        <v>37</v>
      </c>
      <c r="T11079" s="29" t="str">
        <f>HYPERLINK("https://ictv.global/ictv/proposals/2021.041M.R.Mymonaviridae_5nsp.zip","2021.041M.R.Mymonaviridae_5nsp.zip")</f>
        <v>2021.041M.R.Mymonaviridae_5nsp.zip</v>
      </c>
      <c r="U11079" s="29" t="str">
        <f>HYPERLINK("https://ictv.global/taxonomy/taxondetails?taxnode_id=202312966","ictv.global=202312966")</f>
        <v>ictv.global=202312966</v>
      </c>
    </row>
    <row r="11080" spans="1:21">
      <c r="A11080">
        <v>11079</v>
      </c>
      <c r="B11080" s="30" t="s">
        <v>1226</v>
      </c>
      <c r="D11080" s="30" t="s">
        <v>2024</v>
      </c>
      <c r="F11080" s="30" t="s">
        <v>1040</v>
      </c>
      <c r="G11080" s="30" t="s">
        <v>1041</v>
      </c>
      <c r="H11080" s="30" t="s">
        <v>1047</v>
      </c>
      <c r="J11080" s="30" t="s">
        <v>255</v>
      </c>
      <c r="L11080" s="30" t="s">
        <v>710</v>
      </c>
      <c r="N11080" s="30" t="s">
        <v>3736</v>
      </c>
      <c r="P11080" s="30" t="s">
        <v>3737</v>
      </c>
      <c r="Q11080" t="s">
        <v>620</v>
      </c>
      <c r="R11080" t="s">
        <v>917</v>
      </c>
      <c r="S11080">
        <v>36</v>
      </c>
      <c r="T11080" s="29" t="str">
        <f>HYPERLINK("https://ictv.global/ictv/proposals/2020.004F.R.Mymona.zip","2020.004F.R.Mymona.zip")</f>
        <v>2020.004F.R.Mymona.zip</v>
      </c>
      <c r="U11080" s="29" t="str">
        <f>HYPERLINK("https://ictv.global/taxonomy/taxondetails?taxnode_id=202308886","ictv.global=202308886")</f>
        <v>ictv.global=202308886</v>
      </c>
    </row>
    <row r="11081" spans="1:21">
      <c r="A11081">
        <v>11080</v>
      </c>
      <c r="B11081" s="30" t="s">
        <v>1226</v>
      </c>
      <c r="D11081" s="30" t="s">
        <v>2024</v>
      </c>
      <c r="F11081" s="30" t="s">
        <v>1040</v>
      </c>
      <c r="G11081" s="30" t="s">
        <v>1041</v>
      </c>
      <c r="H11081" s="30" t="s">
        <v>1047</v>
      </c>
      <c r="J11081" s="30" t="s">
        <v>255</v>
      </c>
      <c r="L11081" s="30" t="s">
        <v>710</v>
      </c>
      <c r="N11081" s="30" t="s">
        <v>3736</v>
      </c>
      <c r="P11081" s="30" t="s">
        <v>3738</v>
      </c>
      <c r="Q11081" t="s">
        <v>620</v>
      </c>
      <c r="R11081" t="s">
        <v>918</v>
      </c>
      <c r="S11081">
        <v>36</v>
      </c>
      <c r="T11081" s="29" t="str">
        <f>HYPERLINK("https://ictv.global/ictv/proposals/2020.004F.R.Mymona.zip","2020.004F.R.Mymona.zip")</f>
        <v>2020.004F.R.Mymona.zip</v>
      </c>
      <c r="U11081" s="29" t="str">
        <f>HYPERLINK("https://ictv.global/taxonomy/taxondetails?taxnode_id=202306247","ictv.global=202306247")</f>
        <v>ictv.global=202306247</v>
      </c>
    </row>
    <row r="11082" spans="1:21">
      <c r="A11082">
        <v>11081</v>
      </c>
      <c r="B11082" s="30" t="s">
        <v>1226</v>
      </c>
      <c r="D11082" s="30" t="s">
        <v>2024</v>
      </c>
      <c r="F11082" s="30" t="s">
        <v>1040</v>
      </c>
      <c r="G11082" s="30" t="s">
        <v>1041</v>
      </c>
      <c r="H11082" s="30" t="s">
        <v>1047</v>
      </c>
      <c r="J11082" s="30" t="s">
        <v>255</v>
      </c>
      <c r="L11082" s="30" t="s">
        <v>710</v>
      </c>
      <c r="N11082" s="30" t="s">
        <v>3736</v>
      </c>
      <c r="P11082" s="30" t="s">
        <v>3739</v>
      </c>
      <c r="Q11082" t="s">
        <v>620</v>
      </c>
      <c r="R11082" t="s">
        <v>918</v>
      </c>
      <c r="S11082">
        <v>36</v>
      </c>
      <c r="T11082" s="29" t="str">
        <f>HYPERLINK("https://ictv.global/ictv/proposals/2020.004F.R.Mymona.zip","2020.004F.R.Mymona.zip")</f>
        <v>2020.004F.R.Mymona.zip</v>
      </c>
      <c r="U11082" s="29" t="str">
        <f>HYPERLINK("https://ictv.global/taxonomy/taxondetails?taxnode_id=202306248","ictv.global=202306248")</f>
        <v>ictv.global=202306248</v>
      </c>
    </row>
    <row r="11083" spans="1:21">
      <c r="A11083">
        <v>11082</v>
      </c>
      <c r="B11083" s="30" t="s">
        <v>1226</v>
      </c>
      <c r="D11083" s="30" t="s">
        <v>2024</v>
      </c>
      <c r="F11083" s="30" t="s">
        <v>1040</v>
      </c>
      <c r="G11083" s="30" t="s">
        <v>1041</v>
      </c>
      <c r="H11083" s="30" t="s">
        <v>1047</v>
      </c>
      <c r="J11083" s="30" t="s">
        <v>255</v>
      </c>
      <c r="L11083" s="30" t="s">
        <v>710</v>
      </c>
      <c r="N11083" s="30" t="s">
        <v>2056</v>
      </c>
      <c r="P11083" s="30" t="s">
        <v>9800</v>
      </c>
      <c r="Q11083" t="s">
        <v>620</v>
      </c>
      <c r="R11083" t="s">
        <v>917</v>
      </c>
      <c r="S11083">
        <v>38</v>
      </c>
      <c r="T11083" s="29" t="str">
        <f>HYPERLINK("https://ictv.global/ictv/proposals/2022.014M.Mymonaviridae_13nsp.zip","2022.014M.Mymonaviridae_13nsp.zip")</f>
        <v>2022.014M.Mymonaviridae_13nsp.zip</v>
      </c>
      <c r="U11083" s="29" t="str">
        <f>HYPERLINK("https://ictv.global/taxonomy/taxondetails?taxnode_id=202314203","ictv.global=202314203")</f>
        <v>ictv.global=202314203</v>
      </c>
    </row>
    <row r="11084" spans="1:21">
      <c r="A11084">
        <v>11083</v>
      </c>
      <c r="B11084" s="30" t="s">
        <v>1226</v>
      </c>
      <c r="D11084" s="30" t="s">
        <v>2024</v>
      </c>
      <c r="F11084" s="30" t="s">
        <v>1040</v>
      </c>
      <c r="G11084" s="30" t="s">
        <v>1041</v>
      </c>
      <c r="H11084" s="30" t="s">
        <v>1047</v>
      </c>
      <c r="J11084" s="30" t="s">
        <v>255</v>
      </c>
      <c r="L11084" s="30" t="s">
        <v>710</v>
      </c>
      <c r="N11084" s="30" t="s">
        <v>2056</v>
      </c>
      <c r="P11084" s="30" t="s">
        <v>9801</v>
      </c>
      <c r="Q11084" t="s">
        <v>620</v>
      </c>
      <c r="R11084" t="s">
        <v>917</v>
      </c>
      <c r="S11084">
        <v>38</v>
      </c>
      <c r="T11084" s="29" t="str">
        <f>HYPERLINK("https://ictv.global/ictv/proposals/2022.014M.Mymonaviridae_13nsp.zip","2022.014M.Mymonaviridae_13nsp.zip")</f>
        <v>2022.014M.Mymonaviridae_13nsp.zip</v>
      </c>
      <c r="U11084" s="29" t="str">
        <f>HYPERLINK("https://ictv.global/taxonomy/taxondetails?taxnode_id=202314205","ictv.global=202314205")</f>
        <v>ictv.global=202314205</v>
      </c>
    </row>
    <row r="11085" spans="1:21">
      <c r="A11085">
        <v>11084</v>
      </c>
      <c r="B11085" s="30" t="s">
        <v>1226</v>
      </c>
      <c r="D11085" s="30" t="s">
        <v>2024</v>
      </c>
      <c r="F11085" s="30" t="s">
        <v>1040</v>
      </c>
      <c r="G11085" s="30" t="s">
        <v>1041</v>
      </c>
      <c r="H11085" s="30" t="s">
        <v>1047</v>
      </c>
      <c r="J11085" s="30" t="s">
        <v>255</v>
      </c>
      <c r="L11085" s="30" t="s">
        <v>710</v>
      </c>
      <c r="N11085" s="30" t="s">
        <v>2056</v>
      </c>
      <c r="P11085" s="30" t="s">
        <v>3740</v>
      </c>
      <c r="Q11085" t="s">
        <v>620</v>
      </c>
      <c r="R11085" t="s">
        <v>3895</v>
      </c>
      <c r="S11085">
        <v>36</v>
      </c>
      <c r="T11085" s="29" t="str">
        <f>HYPERLINK("https://ictv.global/ictv/proposals/2020.004F.R.Mymona.zip","2020.004F.R.Mymona.zip;2020.001G.R.Abolish_type_species.pdf")</f>
        <v>2020.004F.R.Mymona.zip;2020.001G.R.Abolish_type_species.pdf</v>
      </c>
      <c r="U11085" s="29" t="str">
        <f>HYPERLINK("https://ictv.global/taxonomy/taxondetails?taxnode_id=202308670","ictv.global=202308670")</f>
        <v>ictv.global=202308670</v>
      </c>
    </row>
    <row r="11086" spans="1:21">
      <c r="A11086">
        <v>11085</v>
      </c>
      <c r="B11086" s="30" t="s">
        <v>1226</v>
      </c>
      <c r="D11086" s="30" t="s">
        <v>2024</v>
      </c>
      <c r="F11086" s="30" t="s">
        <v>1040</v>
      </c>
      <c r="G11086" s="30" t="s">
        <v>1041</v>
      </c>
      <c r="H11086" s="30" t="s">
        <v>1047</v>
      </c>
      <c r="J11086" s="30" t="s">
        <v>255</v>
      </c>
      <c r="L11086" s="30" t="s">
        <v>710</v>
      </c>
      <c r="N11086" s="30" t="s">
        <v>2056</v>
      </c>
      <c r="P11086" s="30" t="s">
        <v>3741</v>
      </c>
      <c r="Q11086" t="s">
        <v>620</v>
      </c>
      <c r="R11086" t="s">
        <v>917</v>
      </c>
      <c r="S11086">
        <v>36</v>
      </c>
      <c r="T11086" s="29" t="str">
        <f>HYPERLINK("https://ictv.global/ictv/proposals/2020.004F.R.Mymona.zip","2020.004F.R.Mymona.zip")</f>
        <v>2020.004F.R.Mymona.zip</v>
      </c>
      <c r="U11086" s="29" t="str">
        <f>HYPERLINK("https://ictv.global/taxonomy/taxondetails?taxnode_id=202308884","ictv.global=202308884")</f>
        <v>ictv.global=202308884</v>
      </c>
    </row>
    <row r="11087" spans="1:21">
      <c r="A11087">
        <v>11086</v>
      </c>
      <c r="B11087" s="30" t="s">
        <v>1226</v>
      </c>
      <c r="D11087" s="30" t="s">
        <v>2024</v>
      </c>
      <c r="F11087" s="30" t="s">
        <v>1040</v>
      </c>
      <c r="G11087" s="30" t="s">
        <v>1041</v>
      </c>
      <c r="H11087" s="30" t="s">
        <v>1047</v>
      </c>
      <c r="J11087" s="30" t="s">
        <v>255</v>
      </c>
      <c r="L11087" s="30" t="s">
        <v>710</v>
      </c>
      <c r="N11087" s="30" t="s">
        <v>2056</v>
      </c>
      <c r="P11087" s="30" t="s">
        <v>9802</v>
      </c>
      <c r="Q11087" t="s">
        <v>620</v>
      </c>
      <c r="R11087" t="s">
        <v>917</v>
      </c>
      <c r="S11087">
        <v>38</v>
      </c>
      <c r="T11087" s="29" t="str">
        <f>HYPERLINK("https://ictv.global/ictv/proposals/2022.014M.Mymonaviridae_13nsp.zip","2022.014M.Mymonaviridae_13nsp.zip")</f>
        <v>2022.014M.Mymonaviridae_13nsp.zip</v>
      </c>
      <c r="U11087" s="29" t="str">
        <f>HYPERLINK("https://ictv.global/taxonomy/taxondetails?taxnode_id=202314204","ictv.global=202314204")</f>
        <v>ictv.global=202314204</v>
      </c>
    </row>
    <row r="11088" spans="1:21">
      <c r="A11088">
        <v>11087</v>
      </c>
      <c r="B11088" s="30" t="s">
        <v>1226</v>
      </c>
      <c r="D11088" s="30" t="s">
        <v>2024</v>
      </c>
      <c r="F11088" s="30" t="s">
        <v>1040</v>
      </c>
      <c r="G11088" s="30" t="s">
        <v>1041</v>
      </c>
      <c r="H11088" s="30" t="s">
        <v>1047</v>
      </c>
      <c r="J11088" s="30" t="s">
        <v>255</v>
      </c>
      <c r="L11088" s="30" t="s">
        <v>710</v>
      </c>
      <c r="N11088" s="30" t="s">
        <v>3742</v>
      </c>
      <c r="P11088" s="30" t="s">
        <v>9803</v>
      </c>
      <c r="Q11088" t="s">
        <v>620</v>
      </c>
      <c r="R11088" t="s">
        <v>917</v>
      </c>
      <c r="S11088">
        <v>38</v>
      </c>
      <c r="T11088" s="29" t="str">
        <f>HYPERLINK("https://ictv.global/ictv/proposals/2022.014M.Mymonaviridae_13nsp.zip","2022.014M.Mymonaviridae_13nsp.zip")</f>
        <v>2022.014M.Mymonaviridae_13nsp.zip</v>
      </c>
      <c r="U11088" s="29" t="str">
        <f>HYPERLINK("https://ictv.global/taxonomy/taxondetails?taxnode_id=202314206","ictv.global=202314206")</f>
        <v>ictv.global=202314206</v>
      </c>
    </row>
    <row r="11089" spans="1:21">
      <c r="A11089">
        <v>11088</v>
      </c>
      <c r="B11089" s="30" t="s">
        <v>1226</v>
      </c>
      <c r="D11089" s="30" t="s">
        <v>2024</v>
      </c>
      <c r="F11089" s="30" t="s">
        <v>1040</v>
      </c>
      <c r="G11089" s="30" t="s">
        <v>1041</v>
      </c>
      <c r="H11089" s="30" t="s">
        <v>1047</v>
      </c>
      <c r="J11089" s="30" t="s">
        <v>255</v>
      </c>
      <c r="L11089" s="30" t="s">
        <v>710</v>
      </c>
      <c r="N11089" s="30" t="s">
        <v>3742</v>
      </c>
      <c r="P11089" s="30" t="s">
        <v>3743</v>
      </c>
      <c r="Q11089" t="s">
        <v>620</v>
      </c>
      <c r="R11089" t="s">
        <v>918</v>
      </c>
      <c r="S11089">
        <v>36</v>
      </c>
      <c r="T11089" s="29" t="str">
        <f>HYPERLINK("https://ictv.global/ictv/proposals/2020.004F.R.Mymona.zip","2020.004F.R.Mymona.zip")</f>
        <v>2020.004F.R.Mymona.zip</v>
      </c>
      <c r="U11089" s="29" t="str">
        <f>HYPERLINK("https://ictv.global/taxonomy/taxondetails?taxnode_id=202308671","ictv.global=202308671")</f>
        <v>ictv.global=202308671</v>
      </c>
    </row>
    <row r="11090" spans="1:21">
      <c r="A11090">
        <v>11089</v>
      </c>
      <c r="B11090" s="30" t="s">
        <v>1226</v>
      </c>
      <c r="D11090" s="30" t="s">
        <v>2024</v>
      </c>
      <c r="F11090" s="30" t="s">
        <v>1040</v>
      </c>
      <c r="G11090" s="30" t="s">
        <v>1041</v>
      </c>
      <c r="H11090" s="30" t="s">
        <v>1047</v>
      </c>
      <c r="J11090" s="30" t="s">
        <v>255</v>
      </c>
      <c r="L11090" s="30" t="s">
        <v>710</v>
      </c>
      <c r="N11090" s="30" t="s">
        <v>3744</v>
      </c>
      <c r="P11090" s="30" t="s">
        <v>9804</v>
      </c>
      <c r="Q11090" t="s">
        <v>620</v>
      </c>
      <c r="R11090" t="s">
        <v>917</v>
      </c>
      <c r="S11090">
        <v>38</v>
      </c>
      <c r="T11090" s="29" t="str">
        <f>HYPERLINK("https://ictv.global/ictv/proposals/2022.014M.Mymonaviridae_13nsp.zip","2022.014M.Mymonaviridae_13nsp.zip")</f>
        <v>2022.014M.Mymonaviridae_13nsp.zip</v>
      </c>
      <c r="U11090" s="29" t="str">
        <f>HYPERLINK("https://ictv.global/taxonomy/taxondetails?taxnode_id=202314208","ictv.global=202314208")</f>
        <v>ictv.global=202314208</v>
      </c>
    </row>
    <row r="11091" spans="1:21">
      <c r="A11091">
        <v>11090</v>
      </c>
      <c r="B11091" s="30" t="s">
        <v>1226</v>
      </c>
      <c r="D11091" s="30" t="s">
        <v>2024</v>
      </c>
      <c r="F11091" s="30" t="s">
        <v>1040</v>
      </c>
      <c r="G11091" s="30" t="s">
        <v>1041</v>
      </c>
      <c r="H11091" s="30" t="s">
        <v>1047</v>
      </c>
      <c r="J11091" s="30" t="s">
        <v>255</v>
      </c>
      <c r="L11091" s="30" t="s">
        <v>710</v>
      </c>
      <c r="N11091" s="30" t="s">
        <v>3744</v>
      </c>
      <c r="P11091" s="30" t="s">
        <v>3745</v>
      </c>
      <c r="Q11091" t="s">
        <v>620</v>
      </c>
      <c r="R11091" t="s">
        <v>917</v>
      </c>
      <c r="S11091">
        <v>36</v>
      </c>
      <c r="T11091" s="29" t="str">
        <f>HYPERLINK("https://ictv.global/ictv/proposals/2020.004F.R.Mymona.zip","2020.004F.R.Mymona.zip")</f>
        <v>2020.004F.R.Mymona.zip</v>
      </c>
      <c r="U11091" s="29" t="str">
        <f>HYPERLINK("https://ictv.global/taxonomy/taxondetails?taxnode_id=202308888","ictv.global=202308888")</f>
        <v>ictv.global=202308888</v>
      </c>
    </row>
    <row r="11092" spans="1:21">
      <c r="A11092">
        <v>11091</v>
      </c>
      <c r="B11092" s="30" t="s">
        <v>1226</v>
      </c>
      <c r="D11092" s="30" t="s">
        <v>2024</v>
      </c>
      <c r="F11092" s="30" t="s">
        <v>1040</v>
      </c>
      <c r="G11092" s="30" t="s">
        <v>1041</v>
      </c>
      <c r="H11092" s="30" t="s">
        <v>1047</v>
      </c>
      <c r="J11092" s="30" t="s">
        <v>255</v>
      </c>
      <c r="L11092" s="30" t="s">
        <v>710</v>
      </c>
      <c r="N11092" s="30" t="s">
        <v>3744</v>
      </c>
      <c r="P11092" s="30" t="s">
        <v>3746</v>
      </c>
      <c r="Q11092" t="s">
        <v>620</v>
      </c>
      <c r="R11092" t="s">
        <v>917</v>
      </c>
      <c r="S11092">
        <v>36</v>
      </c>
      <c r="T11092" s="29" t="str">
        <f>HYPERLINK("https://ictv.global/ictv/proposals/2020.004F.R.Mymona.zip","2020.004F.R.Mymona.zip")</f>
        <v>2020.004F.R.Mymona.zip</v>
      </c>
      <c r="U11092" s="29" t="str">
        <f>HYPERLINK("https://ictv.global/taxonomy/taxondetails?taxnode_id=202308890","ictv.global=202308890")</f>
        <v>ictv.global=202308890</v>
      </c>
    </row>
    <row r="11093" spans="1:21">
      <c r="A11093">
        <v>11092</v>
      </c>
      <c r="B11093" s="30" t="s">
        <v>1226</v>
      </c>
      <c r="D11093" s="30" t="s">
        <v>2024</v>
      </c>
      <c r="F11093" s="30" t="s">
        <v>1040</v>
      </c>
      <c r="G11093" s="30" t="s">
        <v>1041</v>
      </c>
      <c r="H11093" s="30" t="s">
        <v>1047</v>
      </c>
      <c r="J11093" s="30" t="s">
        <v>255</v>
      </c>
      <c r="L11093" s="30" t="s">
        <v>710</v>
      </c>
      <c r="N11093" s="30" t="s">
        <v>3744</v>
      </c>
      <c r="P11093" s="30" t="s">
        <v>9805</v>
      </c>
      <c r="Q11093" t="s">
        <v>620</v>
      </c>
      <c r="R11093" t="s">
        <v>917</v>
      </c>
      <c r="S11093">
        <v>38</v>
      </c>
      <c r="T11093" s="29" t="str">
        <f>HYPERLINK("https://ictv.global/ictv/proposals/2022.014M.Mymonaviridae_13nsp.zip","2022.014M.Mymonaviridae_13nsp.zip")</f>
        <v>2022.014M.Mymonaviridae_13nsp.zip</v>
      </c>
      <c r="U11093" s="29" t="str">
        <f>HYPERLINK("https://ictv.global/taxonomy/taxondetails?taxnode_id=202314209","ictv.global=202314209")</f>
        <v>ictv.global=202314209</v>
      </c>
    </row>
    <row r="11094" spans="1:21">
      <c r="A11094">
        <v>11093</v>
      </c>
      <c r="B11094" s="30" t="s">
        <v>1226</v>
      </c>
      <c r="D11094" s="30" t="s">
        <v>2024</v>
      </c>
      <c r="F11094" s="30" t="s">
        <v>1040</v>
      </c>
      <c r="G11094" s="30" t="s">
        <v>1041</v>
      </c>
      <c r="H11094" s="30" t="s">
        <v>1047</v>
      </c>
      <c r="J11094" s="30" t="s">
        <v>255</v>
      </c>
      <c r="L11094" s="30" t="s">
        <v>710</v>
      </c>
      <c r="N11094" s="30" t="s">
        <v>3744</v>
      </c>
      <c r="P11094" s="30" t="s">
        <v>3747</v>
      </c>
      <c r="Q11094" t="s">
        <v>620</v>
      </c>
      <c r="R11094" t="s">
        <v>917</v>
      </c>
      <c r="S11094">
        <v>36</v>
      </c>
      <c r="T11094" s="29" t="str">
        <f>HYPERLINK("https://ictv.global/ictv/proposals/2020.004F.R.Mymona.zip","2020.004F.R.Mymona.zip")</f>
        <v>2020.004F.R.Mymona.zip</v>
      </c>
      <c r="U11094" s="29" t="str">
        <f>HYPERLINK("https://ictv.global/taxonomy/taxondetails?taxnode_id=202308889","ictv.global=202308889")</f>
        <v>ictv.global=202308889</v>
      </c>
    </row>
    <row r="11095" spans="1:21">
      <c r="A11095">
        <v>11094</v>
      </c>
      <c r="B11095" s="30" t="s">
        <v>1226</v>
      </c>
      <c r="D11095" s="30" t="s">
        <v>2024</v>
      </c>
      <c r="F11095" s="30" t="s">
        <v>1040</v>
      </c>
      <c r="G11095" s="30" t="s">
        <v>1041</v>
      </c>
      <c r="H11095" s="30" t="s">
        <v>1047</v>
      </c>
      <c r="J11095" s="30" t="s">
        <v>255</v>
      </c>
      <c r="L11095" s="30" t="s">
        <v>710</v>
      </c>
      <c r="N11095" s="30" t="s">
        <v>3744</v>
      </c>
      <c r="P11095" s="30" t="s">
        <v>3748</v>
      </c>
      <c r="Q11095" t="s">
        <v>620</v>
      </c>
      <c r="R11095" t="s">
        <v>917</v>
      </c>
      <c r="S11095">
        <v>36</v>
      </c>
      <c r="T11095" s="29" t="str">
        <f>HYPERLINK("https://ictv.global/ictv/proposals/2020.004F.R.Mymona.zip","2020.004F.R.Mymona.zip")</f>
        <v>2020.004F.R.Mymona.zip</v>
      </c>
      <c r="U11095" s="29" t="str">
        <f>HYPERLINK("https://ictv.global/taxonomy/taxondetails?taxnode_id=202308891","ictv.global=202308891")</f>
        <v>ictv.global=202308891</v>
      </c>
    </row>
    <row r="11096" spans="1:21">
      <c r="A11096">
        <v>11095</v>
      </c>
      <c r="B11096" s="30" t="s">
        <v>1226</v>
      </c>
      <c r="D11096" s="30" t="s">
        <v>2024</v>
      </c>
      <c r="F11096" s="30" t="s">
        <v>1040</v>
      </c>
      <c r="G11096" s="30" t="s">
        <v>1041</v>
      </c>
      <c r="H11096" s="30" t="s">
        <v>1047</v>
      </c>
      <c r="J11096" s="30" t="s">
        <v>255</v>
      </c>
      <c r="L11096" s="30" t="s">
        <v>710</v>
      </c>
      <c r="N11096" s="30" t="s">
        <v>3744</v>
      </c>
      <c r="P11096" s="30" t="s">
        <v>17278</v>
      </c>
      <c r="Q11096" t="s">
        <v>620</v>
      </c>
      <c r="R11096" t="s">
        <v>917</v>
      </c>
      <c r="S11096">
        <v>39</v>
      </c>
      <c r="T11096" s="29" t="str">
        <f>HYPERLINK("https://ictv.global/ictv/proposals/2023.016M.Mymonaviridae_11nsp.zip","2023.016M.Mymonaviridae_11nsp.zip")</f>
        <v>2023.016M.Mymonaviridae_11nsp.zip</v>
      </c>
      <c r="U11096" s="29" t="str">
        <f>HYPERLINK("https://ictv.global/taxonomy/taxondetails?taxnode_id=202318265","ictv.global=202318265")</f>
        <v>ictv.global=202318265</v>
      </c>
    </row>
    <row r="11097" spans="1:21">
      <c r="A11097">
        <v>11096</v>
      </c>
      <c r="B11097" s="30" t="s">
        <v>1226</v>
      </c>
      <c r="D11097" s="30" t="s">
        <v>2024</v>
      </c>
      <c r="F11097" s="30" t="s">
        <v>1040</v>
      </c>
      <c r="G11097" s="30" t="s">
        <v>1041</v>
      </c>
      <c r="H11097" s="30" t="s">
        <v>1047</v>
      </c>
      <c r="J11097" s="30" t="s">
        <v>255</v>
      </c>
      <c r="L11097" s="30" t="s">
        <v>710</v>
      </c>
      <c r="N11097" s="30" t="s">
        <v>3744</v>
      </c>
      <c r="P11097" s="30" t="s">
        <v>3749</v>
      </c>
      <c r="Q11097" t="s">
        <v>620</v>
      </c>
      <c r="R11097" t="s">
        <v>917</v>
      </c>
      <c r="S11097">
        <v>36</v>
      </c>
      <c r="T11097" s="29" t="str">
        <f>HYPERLINK("https://ictv.global/ictv/proposals/2020.004F.R.Mymona.zip","2020.004F.R.Mymona.zip")</f>
        <v>2020.004F.R.Mymona.zip</v>
      </c>
      <c r="U11097" s="29" t="str">
        <f>HYPERLINK("https://ictv.global/taxonomy/taxondetails?taxnode_id=202308893","ictv.global=202308893")</f>
        <v>ictv.global=202308893</v>
      </c>
    </row>
    <row r="11098" spans="1:21">
      <c r="A11098">
        <v>11097</v>
      </c>
      <c r="B11098" s="30" t="s">
        <v>1226</v>
      </c>
      <c r="D11098" s="30" t="s">
        <v>2024</v>
      </c>
      <c r="F11098" s="30" t="s">
        <v>1040</v>
      </c>
      <c r="G11098" s="30" t="s">
        <v>1041</v>
      </c>
      <c r="H11098" s="30" t="s">
        <v>1047</v>
      </c>
      <c r="J11098" s="30" t="s">
        <v>255</v>
      </c>
      <c r="L11098" s="30" t="s">
        <v>710</v>
      </c>
      <c r="N11098" s="30" t="s">
        <v>3744</v>
      </c>
      <c r="P11098" s="30" t="s">
        <v>3750</v>
      </c>
      <c r="Q11098" t="s">
        <v>620</v>
      </c>
      <c r="R11098" t="s">
        <v>917</v>
      </c>
      <c r="S11098">
        <v>36</v>
      </c>
      <c r="T11098" s="29" t="str">
        <f>HYPERLINK("https://ictv.global/ictv/proposals/2020.004F.R.Mymona.zip","2020.004F.R.Mymona.zip")</f>
        <v>2020.004F.R.Mymona.zip</v>
      </c>
      <c r="U11098" s="29" t="str">
        <f>HYPERLINK("https://ictv.global/taxonomy/taxondetails?taxnode_id=202308894","ictv.global=202308894")</f>
        <v>ictv.global=202308894</v>
      </c>
    </row>
    <row r="11099" spans="1:21">
      <c r="A11099">
        <v>11098</v>
      </c>
      <c r="B11099" s="30" t="s">
        <v>1226</v>
      </c>
      <c r="D11099" s="30" t="s">
        <v>2024</v>
      </c>
      <c r="F11099" s="30" t="s">
        <v>1040</v>
      </c>
      <c r="G11099" s="30" t="s">
        <v>1041</v>
      </c>
      <c r="H11099" s="30" t="s">
        <v>1047</v>
      </c>
      <c r="J11099" s="30" t="s">
        <v>255</v>
      </c>
      <c r="L11099" s="30" t="s">
        <v>710</v>
      </c>
      <c r="N11099" s="30" t="s">
        <v>3744</v>
      </c>
      <c r="P11099" s="30" t="s">
        <v>3751</v>
      </c>
      <c r="Q11099" t="s">
        <v>620</v>
      </c>
      <c r="R11099" t="s">
        <v>917</v>
      </c>
      <c r="S11099">
        <v>36</v>
      </c>
      <c r="T11099" s="29" t="str">
        <f>HYPERLINK("https://ictv.global/ictv/proposals/2020.004F.R.Mymona.zip","2020.004F.R.Mymona.zip")</f>
        <v>2020.004F.R.Mymona.zip</v>
      </c>
      <c r="U11099" s="29" t="str">
        <f>HYPERLINK("https://ictv.global/taxonomy/taxondetails?taxnode_id=202308896","ictv.global=202308896")</f>
        <v>ictv.global=202308896</v>
      </c>
    </row>
    <row r="11100" spans="1:21">
      <c r="A11100">
        <v>11099</v>
      </c>
      <c r="B11100" s="30" t="s">
        <v>1226</v>
      </c>
      <c r="D11100" s="30" t="s">
        <v>2024</v>
      </c>
      <c r="F11100" s="30" t="s">
        <v>1040</v>
      </c>
      <c r="G11100" s="30" t="s">
        <v>1041</v>
      </c>
      <c r="H11100" s="30" t="s">
        <v>1047</v>
      </c>
      <c r="J11100" s="30" t="s">
        <v>255</v>
      </c>
      <c r="L11100" s="30" t="s">
        <v>710</v>
      </c>
      <c r="N11100" s="30" t="s">
        <v>3744</v>
      </c>
      <c r="P11100" s="30" t="s">
        <v>9806</v>
      </c>
      <c r="Q11100" t="s">
        <v>620</v>
      </c>
      <c r="R11100" t="s">
        <v>917</v>
      </c>
      <c r="S11100">
        <v>38</v>
      </c>
      <c r="T11100" s="29" t="str">
        <f>HYPERLINK("https://ictv.global/ictv/proposals/2022.014M.Mymonaviridae_13nsp.zip","2022.014M.Mymonaviridae_13nsp.zip")</f>
        <v>2022.014M.Mymonaviridae_13nsp.zip</v>
      </c>
      <c r="U11100" s="29" t="str">
        <f>HYPERLINK("https://ictv.global/taxonomy/taxondetails?taxnode_id=202314210","ictv.global=202314210")</f>
        <v>ictv.global=202314210</v>
      </c>
    </row>
    <row r="11101" spans="1:21">
      <c r="A11101">
        <v>11100</v>
      </c>
      <c r="B11101" s="30" t="s">
        <v>1226</v>
      </c>
      <c r="D11101" s="30" t="s">
        <v>2024</v>
      </c>
      <c r="F11101" s="30" t="s">
        <v>1040</v>
      </c>
      <c r="G11101" s="30" t="s">
        <v>1041</v>
      </c>
      <c r="H11101" s="30" t="s">
        <v>1047</v>
      </c>
      <c r="J11101" s="30" t="s">
        <v>255</v>
      </c>
      <c r="L11101" s="30" t="s">
        <v>710</v>
      </c>
      <c r="N11101" s="30" t="s">
        <v>3744</v>
      </c>
      <c r="P11101" s="30" t="s">
        <v>3752</v>
      </c>
      <c r="Q11101" t="s">
        <v>620</v>
      </c>
      <c r="R11101" t="s">
        <v>917</v>
      </c>
      <c r="S11101">
        <v>36</v>
      </c>
      <c r="T11101" s="29" t="str">
        <f>HYPERLINK("https://ictv.global/ictv/proposals/2020.004F.R.Mymona.zip","2020.004F.R.Mymona.zip")</f>
        <v>2020.004F.R.Mymona.zip</v>
      </c>
      <c r="U11101" s="29" t="str">
        <f>HYPERLINK("https://ictv.global/taxonomy/taxondetails?taxnode_id=202308892","ictv.global=202308892")</f>
        <v>ictv.global=202308892</v>
      </c>
    </row>
    <row r="11102" spans="1:21">
      <c r="A11102">
        <v>11101</v>
      </c>
      <c r="B11102" s="30" t="s">
        <v>1226</v>
      </c>
      <c r="D11102" s="30" t="s">
        <v>2024</v>
      </c>
      <c r="F11102" s="30" t="s">
        <v>1040</v>
      </c>
      <c r="G11102" s="30" t="s">
        <v>1041</v>
      </c>
      <c r="H11102" s="30" t="s">
        <v>1047</v>
      </c>
      <c r="J11102" s="30" t="s">
        <v>255</v>
      </c>
      <c r="L11102" s="30" t="s">
        <v>710</v>
      </c>
      <c r="N11102" s="30" t="s">
        <v>3744</v>
      </c>
      <c r="P11102" s="30" t="s">
        <v>3753</v>
      </c>
      <c r="Q11102" t="s">
        <v>620</v>
      </c>
      <c r="R11102" t="s">
        <v>917</v>
      </c>
      <c r="S11102">
        <v>36</v>
      </c>
      <c r="T11102" s="29" t="str">
        <f>HYPERLINK("https://ictv.global/ictv/proposals/2020.004F.R.Mymona.zip","2020.004F.R.Mymona.zip")</f>
        <v>2020.004F.R.Mymona.zip</v>
      </c>
      <c r="U11102" s="29" t="str">
        <f>HYPERLINK("https://ictv.global/taxonomy/taxondetails?taxnode_id=202308897","ictv.global=202308897")</f>
        <v>ictv.global=202308897</v>
      </c>
    </row>
    <row r="11103" spans="1:21">
      <c r="A11103">
        <v>11102</v>
      </c>
      <c r="B11103" s="30" t="s">
        <v>1226</v>
      </c>
      <c r="D11103" s="30" t="s">
        <v>2024</v>
      </c>
      <c r="F11103" s="30" t="s">
        <v>1040</v>
      </c>
      <c r="G11103" s="30" t="s">
        <v>1041</v>
      </c>
      <c r="H11103" s="30" t="s">
        <v>1047</v>
      </c>
      <c r="J11103" s="30" t="s">
        <v>255</v>
      </c>
      <c r="L11103" s="30" t="s">
        <v>710</v>
      </c>
      <c r="N11103" s="30" t="s">
        <v>3744</v>
      </c>
      <c r="P11103" s="30" t="s">
        <v>9807</v>
      </c>
      <c r="Q11103" t="s">
        <v>620</v>
      </c>
      <c r="R11103" t="s">
        <v>917</v>
      </c>
      <c r="S11103">
        <v>38</v>
      </c>
      <c r="T11103" s="29" t="str">
        <f>HYPERLINK("https://ictv.global/ictv/proposals/2022.014M.Mymonaviridae_13nsp.zip","2022.014M.Mymonaviridae_13nsp.zip")</f>
        <v>2022.014M.Mymonaviridae_13nsp.zip</v>
      </c>
      <c r="U11103" s="29" t="str">
        <f>HYPERLINK("https://ictv.global/taxonomy/taxondetails?taxnode_id=202314207","ictv.global=202314207")</f>
        <v>ictv.global=202314207</v>
      </c>
    </row>
    <row r="11104" spans="1:21">
      <c r="A11104">
        <v>11103</v>
      </c>
      <c r="B11104" s="30" t="s">
        <v>1226</v>
      </c>
      <c r="D11104" s="30" t="s">
        <v>2024</v>
      </c>
      <c r="F11104" s="30" t="s">
        <v>1040</v>
      </c>
      <c r="G11104" s="30" t="s">
        <v>1041</v>
      </c>
      <c r="H11104" s="30" t="s">
        <v>1047</v>
      </c>
      <c r="J11104" s="30" t="s">
        <v>255</v>
      </c>
      <c r="L11104" s="30" t="s">
        <v>710</v>
      </c>
      <c r="N11104" s="30" t="s">
        <v>3744</v>
      </c>
      <c r="P11104" s="30" t="s">
        <v>3754</v>
      </c>
      <c r="Q11104" t="s">
        <v>620</v>
      </c>
      <c r="R11104" t="s">
        <v>917</v>
      </c>
      <c r="S11104">
        <v>36</v>
      </c>
      <c r="T11104" s="29" t="str">
        <f>HYPERLINK("https://ictv.global/ictv/proposals/2020.004F.R.Mymona.zip","2020.004F.R.Mymona.zip")</f>
        <v>2020.004F.R.Mymona.zip</v>
      </c>
      <c r="U11104" s="29" t="str">
        <f>HYPERLINK("https://ictv.global/taxonomy/taxondetails?taxnode_id=202308895","ictv.global=202308895")</f>
        <v>ictv.global=202308895</v>
      </c>
    </row>
    <row r="11105" spans="1:21">
      <c r="A11105">
        <v>11104</v>
      </c>
      <c r="B11105" s="30" t="s">
        <v>1226</v>
      </c>
      <c r="D11105" s="30" t="s">
        <v>2024</v>
      </c>
      <c r="F11105" s="30" t="s">
        <v>1040</v>
      </c>
      <c r="G11105" s="30" t="s">
        <v>1041</v>
      </c>
      <c r="H11105" s="30" t="s">
        <v>1047</v>
      </c>
      <c r="J11105" s="30" t="s">
        <v>255</v>
      </c>
      <c r="L11105" s="30" t="s">
        <v>710</v>
      </c>
      <c r="N11105" s="30" t="s">
        <v>3755</v>
      </c>
      <c r="P11105" s="30" t="s">
        <v>17279</v>
      </c>
      <c r="Q11105" t="s">
        <v>620</v>
      </c>
      <c r="R11105" t="s">
        <v>917</v>
      </c>
      <c r="S11105">
        <v>39</v>
      </c>
      <c r="T11105" s="29" t="str">
        <f>HYPERLINK("https://ictv.global/ictv/proposals/2023.016M.Mymonaviridae_11nsp.zip","2023.016M.Mymonaviridae_11nsp.zip")</f>
        <v>2023.016M.Mymonaviridae_11nsp.zip</v>
      </c>
      <c r="U11105" s="29" t="str">
        <f>HYPERLINK("https://ictv.global/taxonomy/taxondetails?taxnode_id=202318266","ictv.global=202318266")</f>
        <v>ictv.global=202318266</v>
      </c>
    </row>
    <row r="11106" spans="1:21">
      <c r="A11106">
        <v>11105</v>
      </c>
      <c r="B11106" s="30" t="s">
        <v>1226</v>
      </c>
      <c r="D11106" s="30" t="s">
        <v>2024</v>
      </c>
      <c r="F11106" s="30" t="s">
        <v>1040</v>
      </c>
      <c r="G11106" s="30" t="s">
        <v>1041</v>
      </c>
      <c r="H11106" s="30" t="s">
        <v>1047</v>
      </c>
      <c r="J11106" s="30" t="s">
        <v>255</v>
      </c>
      <c r="L11106" s="30" t="s">
        <v>710</v>
      </c>
      <c r="N11106" s="30" t="s">
        <v>3755</v>
      </c>
      <c r="P11106" s="30" t="s">
        <v>3756</v>
      </c>
      <c r="Q11106" t="s">
        <v>620</v>
      </c>
      <c r="R11106" t="s">
        <v>917</v>
      </c>
      <c r="S11106">
        <v>36</v>
      </c>
      <c r="T11106" s="29" t="str">
        <f>HYPERLINK("https://ictv.global/ictv/proposals/2020.004F.R.Mymona.zip","2020.004F.R.Mymona.zip")</f>
        <v>2020.004F.R.Mymona.zip</v>
      </c>
      <c r="U11106" s="29" t="str">
        <f>HYPERLINK("https://ictv.global/taxonomy/taxondetails?taxnode_id=202308903","ictv.global=202308903")</f>
        <v>ictv.global=202308903</v>
      </c>
    </row>
    <row r="11107" spans="1:21">
      <c r="A11107">
        <v>11106</v>
      </c>
      <c r="B11107" s="30" t="s">
        <v>1226</v>
      </c>
      <c r="D11107" s="30" t="s">
        <v>2024</v>
      </c>
      <c r="F11107" s="30" t="s">
        <v>1040</v>
      </c>
      <c r="G11107" s="30" t="s">
        <v>1041</v>
      </c>
      <c r="H11107" s="30" t="s">
        <v>1047</v>
      </c>
      <c r="J11107" s="30" t="s">
        <v>255</v>
      </c>
      <c r="L11107" s="30" t="s">
        <v>710</v>
      </c>
      <c r="N11107" s="30" t="s">
        <v>3755</v>
      </c>
      <c r="P11107" s="30" t="s">
        <v>3757</v>
      </c>
      <c r="Q11107" t="s">
        <v>620</v>
      </c>
      <c r="R11107" t="s">
        <v>918</v>
      </c>
      <c r="S11107">
        <v>36</v>
      </c>
      <c r="T11107" s="29" t="str">
        <f>HYPERLINK("https://ictv.global/ictv/proposals/2020.004F.R.Mymona.zip","2020.004F.R.Mymona.zip")</f>
        <v>2020.004F.R.Mymona.zip</v>
      </c>
      <c r="U11107" s="29" t="str">
        <f>HYPERLINK("https://ictv.global/taxonomy/taxondetails?taxnode_id=202306245","ictv.global=202306245")</f>
        <v>ictv.global=202306245</v>
      </c>
    </row>
    <row r="11108" spans="1:21">
      <c r="A11108">
        <v>11107</v>
      </c>
      <c r="B11108" s="30" t="s">
        <v>1226</v>
      </c>
      <c r="D11108" s="30" t="s">
        <v>2024</v>
      </c>
      <c r="F11108" s="30" t="s">
        <v>1040</v>
      </c>
      <c r="G11108" s="30" t="s">
        <v>1041</v>
      </c>
      <c r="H11108" s="30" t="s">
        <v>1047</v>
      </c>
      <c r="J11108" s="30" t="s">
        <v>255</v>
      </c>
      <c r="L11108" s="30" t="s">
        <v>710</v>
      </c>
      <c r="N11108" s="30" t="s">
        <v>3758</v>
      </c>
      <c r="P11108" s="30" t="s">
        <v>17280</v>
      </c>
      <c r="Q11108" t="s">
        <v>620</v>
      </c>
      <c r="R11108" t="s">
        <v>917</v>
      </c>
      <c r="S11108">
        <v>39</v>
      </c>
      <c r="T11108" s="29" t="str">
        <f>HYPERLINK("https://ictv.global/ictv/proposals/2023.016M.Mymonaviridae_11nsp.zip","2023.016M.Mymonaviridae_11nsp.zip")</f>
        <v>2023.016M.Mymonaviridae_11nsp.zip</v>
      </c>
      <c r="U11108" s="29" t="str">
        <f>HYPERLINK("https://ictv.global/taxonomy/taxondetails?taxnode_id=202318267","ictv.global=202318267")</f>
        <v>ictv.global=202318267</v>
      </c>
    </row>
    <row r="11109" spans="1:21">
      <c r="A11109">
        <v>11108</v>
      </c>
      <c r="B11109" s="30" t="s">
        <v>1226</v>
      </c>
      <c r="D11109" s="30" t="s">
        <v>2024</v>
      </c>
      <c r="F11109" s="30" t="s">
        <v>1040</v>
      </c>
      <c r="G11109" s="30" t="s">
        <v>1041</v>
      </c>
      <c r="H11109" s="30" t="s">
        <v>1047</v>
      </c>
      <c r="J11109" s="30" t="s">
        <v>255</v>
      </c>
      <c r="L11109" s="30" t="s">
        <v>710</v>
      </c>
      <c r="N11109" s="30" t="s">
        <v>3758</v>
      </c>
      <c r="P11109" s="30" t="s">
        <v>17281</v>
      </c>
      <c r="Q11109" t="s">
        <v>620</v>
      </c>
      <c r="R11109" t="s">
        <v>917</v>
      </c>
      <c r="S11109">
        <v>39</v>
      </c>
      <c r="T11109" s="29" t="str">
        <f>HYPERLINK("https://ictv.global/ictv/proposals/2023.016M.Mymonaviridae_11nsp.zip","2023.016M.Mymonaviridae_11nsp.zip")</f>
        <v>2023.016M.Mymonaviridae_11nsp.zip</v>
      </c>
      <c r="U11109" s="29" t="str">
        <f>HYPERLINK("https://ictv.global/taxonomy/taxondetails?taxnode_id=202318268","ictv.global=202318268")</f>
        <v>ictv.global=202318268</v>
      </c>
    </row>
    <row r="11110" spans="1:21">
      <c r="A11110">
        <v>11109</v>
      </c>
      <c r="B11110" s="30" t="s">
        <v>1226</v>
      </c>
      <c r="D11110" s="30" t="s">
        <v>2024</v>
      </c>
      <c r="F11110" s="30" t="s">
        <v>1040</v>
      </c>
      <c r="G11110" s="30" t="s">
        <v>1041</v>
      </c>
      <c r="H11110" s="30" t="s">
        <v>1047</v>
      </c>
      <c r="J11110" s="30" t="s">
        <v>255</v>
      </c>
      <c r="L11110" s="30" t="s">
        <v>710</v>
      </c>
      <c r="N11110" s="30" t="s">
        <v>3758</v>
      </c>
      <c r="P11110" s="30" t="s">
        <v>9808</v>
      </c>
      <c r="Q11110" t="s">
        <v>620</v>
      </c>
      <c r="R11110" t="s">
        <v>917</v>
      </c>
      <c r="S11110">
        <v>38</v>
      </c>
      <c r="T11110" s="29" t="str">
        <f>HYPERLINK("https://ictv.global/ictv/proposals/2022.014M.Mymonaviridae_13nsp.zip","2022.014M.Mymonaviridae_13nsp.zip")</f>
        <v>2022.014M.Mymonaviridae_13nsp.zip</v>
      </c>
      <c r="U11110" s="29" t="str">
        <f>HYPERLINK("https://ictv.global/taxonomy/taxondetails?taxnode_id=202314211","ictv.global=202314211")</f>
        <v>ictv.global=202314211</v>
      </c>
    </row>
    <row r="11111" spans="1:21">
      <c r="A11111">
        <v>11110</v>
      </c>
      <c r="B11111" s="30" t="s">
        <v>1226</v>
      </c>
      <c r="D11111" s="30" t="s">
        <v>2024</v>
      </c>
      <c r="F11111" s="30" t="s">
        <v>1040</v>
      </c>
      <c r="G11111" s="30" t="s">
        <v>1041</v>
      </c>
      <c r="H11111" s="30" t="s">
        <v>1047</v>
      </c>
      <c r="J11111" s="30" t="s">
        <v>255</v>
      </c>
      <c r="L11111" s="30" t="s">
        <v>710</v>
      </c>
      <c r="N11111" s="30" t="s">
        <v>3758</v>
      </c>
      <c r="P11111" s="30" t="s">
        <v>3759</v>
      </c>
      <c r="Q11111" t="s">
        <v>620</v>
      </c>
      <c r="R11111" t="s">
        <v>917</v>
      </c>
      <c r="S11111">
        <v>36</v>
      </c>
      <c r="T11111" s="29" t="str">
        <f>HYPERLINK("https://ictv.global/ictv/proposals/2020.004F.R.Mymona.zip","2020.004F.R.Mymona.zip")</f>
        <v>2020.004F.R.Mymona.zip</v>
      </c>
      <c r="U11111" s="29" t="str">
        <f>HYPERLINK("https://ictv.global/taxonomy/taxondetails?taxnode_id=202308899","ictv.global=202308899")</f>
        <v>ictv.global=202308899</v>
      </c>
    </row>
    <row r="11112" spans="1:21">
      <c r="A11112">
        <v>11111</v>
      </c>
      <c r="B11112" s="30" t="s">
        <v>1226</v>
      </c>
      <c r="D11112" s="30" t="s">
        <v>2024</v>
      </c>
      <c r="F11112" s="30" t="s">
        <v>1040</v>
      </c>
      <c r="G11112" s="30" t="s">
        <v>1041</v>
      </c>
      <c r="H11112" s="30" t="s">
        <v>1047</v>
      </c>
      <c r="J11112" s="30" t="s">
        <v>255</v>
      </c>
      <c r="L11112" s="30" t="s">
        <v>710</v>
      </c>
      <c r="N11112" s="30" t="s">
        <v>3760</v>
      </c>
      <c r="P11112" s="30" t="s">
        <v>3761</v>
      </c>
      <c r="Q11112" t="s">
        <v>620</v>
      </c>
      <c r="R11112" t="s">
        <v>917</v>
      </c>
      <c r="S11112">
        <v>36</v>
      </c>
      <c r="T11112" s="29" t="str">
        <f>HYPERLINK("https://ictv.global/ictv/proposals/2020.004F.R.Mymona.zip","2020.004F.R.Mymona.zip")</f>
        <v>2020.004F.R.Mymona.zip</v>
      </c>
      <c r="U11112" s="29" t="str">
        <f>HYPERLINK("https://ictv.global/taxonomy/taxondetails?taxnode_id=202308905","ictv.global=202308905")</f>
        <v>ictv.global=202308905</v>
      </c>
    </row>
    <row r="11113" spans="1:21">
      <c r="A11113">
        <v>11112</v>
      </c>
      <c r="B11113" s="30" t="s">
        <v>1226</v>
      </c>
      <c r="D11113" s="30" t="s">
        <v>2024</v>
      </c>
      <c r="F11113" s="30" t="s">
        <v>1040</v>
      </c>
      <c r="G11113" s="30" t="s">
        <v>1041</v>
      </c>
      <c r="H11113" s="30" t="s">
        <v>1047</v>
      </c>
      <c r="J11113" s="30" t="s">
        <v>255</v>
      </c>
      <c r="L11113" s="30" t="s">
        <v>710</v>
      </c>
      <c r="N11113" s="30" t="s">
        <v>711</v>
      </c>
      <c r="P11113" s="30" t="s">
        <v>17282</v>
      </c>
      <c r="Q11113" t="s">
        <v>620</v>
      </c>
      <c r="R11113" t="s">
        <v>917</v>
      </c>
      <c r="S11113">
        <v>39</v>
      </c>
      <c r="T11113" s="29" t="str">
        <f>HYPERLINK("https://ictv.global/ictv/proposals/2023.016M.Mymonaviridae_11nsp.zip","2023.016M.Mymonaviridae_11nsp.zip")</f>
        <v>2023.016M.Mymonaviridae_11nsp.zip</v>
      </c>
      <c r="U11113" s="29" t="str">
        <f>HYPERLINK("https://ictv.global/taxonomy/taxondetails?taxnode_id=202318273","ictv.global=202318273")</f>
        <v>ictv.global=202318273</v>
      </c>
    </row>
    <row r="11114" spans="1:21">
      <c r="A11114">
        <v>11113</v>
      </c>
      <c r="B11114" s="30" t="s">
        <v>1226</v>
      </c>
      <c r="D11114" s="30" t="s">
        <v>2024</v>
      </c>
      <c r="F11114" s="30" t="s">
        <v>1040</v>
      </c>
      <c r="G11114" s="30" t="s">
        <v>1041</v>
      </c>
      <c r="H11114" s="30" t="s">
        <v>1047</v>
      </c>
      <c r="J11114" s="30" t="s">
        <v>255</v>
      </c>
      <c r="L11114" s="30" t="s">
        <v>710</v>
      </c>
      <c r="N11114" s="30" t="s">
        <v>711</v>
      </c>
      <c r="P11114" s="30" t="s">
        <v>9809</v>
      </c>
      <c r="Q11114" t="s">
        <v>620</v>
      </c>
      <c r="R11114" t="s">
        <v>917</v>
      </c>
      <c r="S11114">
        <v>37</v>
      </c>
      <c r="T11114" s="29" t="str">
        <f>HYPERLINK("https://ictv.global/ictv/proposals/2021.041M.R.Mymonaviridae_5nsp.zip","2021.041M.R.Mymonaviridae_5nsp.zip")</f>
        <v>2021.041M.R.Mymonaviridae_5nsp.zip</v>
      </c>
      <c r="U11114" s="29" t="str">
        <f>HYPERLINK("https://ictv.global/taxonomy/taxondetails?taxnode_id=202312962","ictv.global=202312962")</f>
        <v>ictv.global=202312962</v>
      </c>
    </row>
    <row r="11115" spans="1:21">
      <c r="A11115">
        <v>11114</v>
      </c>
      <c r="B11115" s="30" t="s">
        <v>1226</v>
      </c>
      <c r="D11115" s="30" t="s">
        <v>2024</v>
      </c>
      <c r="F11115" s="30" t="s">
        <v>1040</v>
      </c>
      <c r="G11115" s="30" t="s">
        <v>1041</v>
      </c>
      <c r="H11115" s="30" t="s">
        <v>1047</v>
      </c>
      <c r="J11115" s="30" t="s">
        <v>255</v>
      </c>
      <c r="L11115" s="30" t="s">
        <v>710</v>
      </c>
      <c r="N11115" s="30" t="s">
        <v>711</v>
      </c>
      <c r="P11115" s="30" t="s">
        <v>3762</v>
      </c>
      <c r="Q11115" t="s">
        <v>620</v>
      </c>
      <c r="R11115" t="s">
        <v>917</v>
      </c>
      <c r="S11115">
        <v>36</v>
      </c>
      <c r="T11115" s="29" t="str">
        <f>HYPERLINK("https://ictv.global/ictv/proposals/2020.004F.R.Mymona.zip","2020.004F.R.Mymona.zip")</f>
        <v>2020.004F.R.Mymona.zip</v>
      </c>
      <c r="U11115" s="29" t="str">
        <f>HYPERLINK("https://ictv.global/taxonomy/taxondetails?taxnode_id=202308882","ictv.global=202308882")</f>
        <v>ictv.global=202308882</v>
      </c>
    </row>
    <row r="11116" spans="1:21">
      <c r="A11116">
        <v>11115</v>
      </c>
      <c r="B11116" s="30" t="s">
        <v>1226</v>
      </c>
      <c r="D11116" s="30" t="s">
        <v>2024</v>
      </c>
      <c r="F11116" s="30" t="s">
        <v>1040</v>
      </c>
      <c r="G11116" s="30" t="s">
        <v>1041</v>
      </c>
      <c r="H11116" s="30" t="s">
        <v>1047</v>
      </c>
      <c r="J11116" s="30" t="s">
        <v>255</v>
      </c>
      <c r="L11116" s="30" t="s">
        <v>710</v>
      </c>
      <c r="N11116" s="30" t="s">
        <v>711</v>
      </c>
      <c r="P11116" s="30" t="s">
        <v>3763</v>
      </c>
      <c r="Q11116" t="s">
        <v>620</v>
      </c>
      <c r="R11116" t="s">
        <v>917</v>
      </c>
      <c r="S11116">
        <v>36</v>
      </c>
      <c r="T11116" s="29" t="str">
        <f>HYPERLINK("https://ictv.global/ictv/proposals/2020.004F.R.Mymona.zip","2020.004F.R.Mymona.zip")</f>
        <v>2020.004F.R.Mymona.zip</v>
      </c>
      <c r="U11116" s="29" t="str">
        <f>HYPERLINK("https://ictv.global/taxonomy/taxondetails?taxnode_id=202308879","ictv.global=202308879")</f>
        <v>ictv.global=202308879</v>
      </c>
    </row>
    <row r="11117" spans="1:21">
      <c r="A11117">
        <v>11116</v>
      </c>
      <c r="B11117" s="30" t="s">
        <v>1226</v>
      </c>
      <c r="D11117" s="30" t="s">
        <v>2024</v>
      </c>
      <c r="F11117" s="30" t="s">
        <v>1040</v>
      </c>
      <c r="G11117" s="30" t="s">
        <v>1041</v>
      </c>
      <c r="H11117" s="30" t="s">
        <v>1047</v>
      </c>
      <c r="J11117" s="30" t="s">
        <v>255</v>
      </c>
      <c r="L11117" s="30" t="s">
        <v>710</v>
      </c>
      <c r="N11117" s="30" t="s">
        <v>711</v>
      </c>
      <c r="P11117" s="30" t="s">
        <v>17283</v>
      </c>
      <c r="Q11117" t="s">
        <v>620</v>
      </c>
      <c r="R11117" t="s">
        <v>917</v>
      </c>
      <c r="S11117">
        <v>39</v>
      </c>
      <c r="T11117" s="29" t="str">
        <f>HYPERLINK("https://ictv.global/ictv/proposals/2023.016M.Mymonaviridae_11nsp.zip","2023.016M.Mymonaviridae_11nsp.zip")</f>
        <v>2023.016M.Mymonaviridae_11nsp.zip</v>
      </c>
      <c r="U11117" s="29" t="str">
        <f>HYPERLINK("https://ictv.global/taxonomy/taxondetails?taxnode_id=202318271","ictv.global=202318271")</f>
        <v>ictv.global=202318271</v>
      </c>
    </row>
    <row r="11118" spans="1:21">
      <c r="A11118">
        <v>11117</v>
      </c>
      <c r="B11118" s="30" t="s">
        <v>1226</v>
      </c>
      <c r="D11118" s="30" t="s">
        <v>2024</v>
      </c>
      <c r="F11118" s="30" t="s">
        <v>1040</v>
      </c>
      <c r="G11118" s="30" t="s">
        <v>1041</v>
      </c>
      <c r="H11118" s="30" t="s">
        <v>1047</v>
      </c>
      <c r="J11118" s="30" t="s">
        <v>255</v>
      </c>
      <c r="L11118" s="30" t="s">
        <v>710</v>
      </c>
      <c r="N11118" s="30" t="s">
        <v>711</v>
      </c>
      <c r="P11118" s="30" t="s">
        <v>3764</v>
      </c>
      <c r="Q11118" t="s">
        <v>620</v>
      </c>
      <c r="R11118" t="s">
        <v>917</v>
      </c>
      <c r="S11118">
        <v>36</v>
      </c>
      <c r="T11118" s="29" t="str">
        <f>HYPERLINK("https://ictv.global/ictv/proposals/2020.004F.R.Mymona.zip","2020.004F.R.Mymona.zip")</f>
        <v>2020.004F.R.Mymona.zip</v>
      </c>
      <c r="U11118" s="29" t="str">
        <f>HYPERLINK("https://ictv.global/taxonomy/taxondetails?taxnode_id=202308876","ictv.global=202308876")</f>
        <v>ictv.global=202308876</v>
      </c>
    </row>
    <row r="11119" spans="1:21">
      <c r="A11119">
        <v>11118</v>
      </c>
      <c r="B11119" s="30" t="s">
        <v>1226</v>
      </c>
      <c r="D11119" s="30" t="s">
        <v>2024</v>
      </c>
      <c r="F11119" s="30" t="s">
        <v>1040</v>
      </c>
      <c r="G11119" s="30" t="s">
        <v>1041</v>
      </c>
      <c r="H11119" s="30" t="s">
        <v>1047</v>
      </c>
      <c r="J11119" s="30" t="s">
        <v>255</v>
      </c>
      <c r="L11119" s="30" t="s">
        <v>710</v>
      </c>
      <c r="N11119" s="30" t="s">
        <v>711</v>
      </c>
      <c r="P11119" s="30" t="s">
        <v>9810</v>
      </c>
      <c r="Q11119" t="s">
        <v>620</v>
      </c>
      <c r="R11119" t="s">
        <v>917</v>
      </c>
      <c r="S11119">
        <v>38</v>
      </c>
      <c r="T11119" s="29" t="str">
        <f>HYPERLINK("https://ictv.global/ictv/proposals/2022.014M.Mymonaviridae_13nsp.zip","2022.014M.Mymonaviridae_13nsp.zip")</f>
        <v>2022.014M.Mymonaviridae_13nsp.zip</v>
      </c>
      <c r="U11119" s="29" t="str">
        <f>HYPERLINK("https://ictv.global/taxonomy/taxondetails?taxnode_id=202314212","ictv.global=202314212")</f>
        <v>ictv.global=202314212</v>
      </c>
    </row>
    <row r="11120" spans="1:21">
      <c r="A11120">
        <v>11119</v>
      </c>
      <c r="B11120" s="30" t="s">
        <v>1226</v>
      </c>
      <c r="D11120" s="30" t="s">
        <v>2024</v>
      </c>
      <c r="F11120" s="30" t="s">
        <v>1040</v>
      </c>
      <c r="G11120" s="30" t="s">
        <v>1041</v>
      </c>
      <c r="H11120" s="30" t="s">
        <v>1047</v>
      </c>
      <c r="J11120" s="30" t="s">
        <v>255</v>
      </c>
      <c r="L11120" s="30" t="s">
        <v>710</v>
      </c>
      <c r="N11120" s="30" t="s">
        <v>711</v>
      </c>
      <c r="P11120" s="30" t="s">
        <v>17284</v>
      </c>
      <c r="Q11120" t="s">
        <v>620</v>
      </c>
      <c r="R11120" t="s">
        <v>917</v>
      </c>
      <c r="S11120">
        <v>39</v>
      </c>
      <c r="T11120" s="29" t="str">
        <f>HYPERLINK("https://ictv.global/ictv/proposals/2023.016M.Mymonaviridae_11nsp.zip","2023.016M.Mymonaviridae_11nsp.zip")</f>
        <v>2023.016M.Mymonaviridae_11nsp.zip</v>
      </c>
      <c r="U11120" s="29" t="str">
        <f>HYPERLINK("https://ictv.global/taxonomy/taxondetails?taxnode_id=202318274","ictv.global=202318274")</f>
        <v>ictv.global=202318274</v>
      </c>
    </row>
    <row r="11121" spans="1:21">
      <c r="A11121">
        <v>11120</v>
      </c>
      <c r="B11121" s="30" t="s">
        <v>1226</v>
      </c>
      <c r="D11121" s="30" t="s">
        <v>2024</v>
      </c>
      <c r="F11121" s="30" t="s">
        <v>1040</v>
      </c>
      <c r="G11121" s="30" t="s">
        <v>1041</v>
      </c>
      <c r="H11121" s="30" t="s">
        <v>1047</v>
      </c>
      <c r="J11121" s="30" t="s">
        <v>255</v>
      </c>
      <c r="L11121" s="30" t="s">
        <v>710</v>
      </c>
      <c r="N11121" s="30" t="s">
        <v>711</v>
      </c>
      <c r="P11121" s="30" t="s">
        <v>9811</v>
      </c>
      <c r="Q11121" t="s">
        <v>620</v>
      </c>
      <c r="R11121" t="s">
        <v>917</v>
      </c>
      <c r="S11121">
        <v>37</v>
      </c>
      <c r="T11121" s="29" t="str">
        <f>HYPERLINK("https://ictv.global/ictv/proposals/2021.041M.R.Mymonaviridae_5nsp.zip","2021.041M.R.Mymonaviridae_5nsp.zip")</f>
        <v>2021.041M.R.Mymonaviridae_5nsp.zip</v>
      </c>
      <c r="U11121" s="29" t="str">
        <f>HYPERLINK("https://ictv.global/taxonomy/taxondetails?taxnode_id=202312963","ictv.global=202312963")</f>
        <v>ictv.global=202312963</v>
      </c>
    </row>
    <row r="11122" spans="1:21">
      <c r="A11122">
        <v>11121</v>
      </c>
      <c r="B11122" s="30" t="s">
        <v>1226</v>
      </c>
      <c r="D11122" s="30" t="s">
        <v>2024</v>
      </c>
      <c r="F11122" s="30" t="s">
        <v>1040</v>
      </c>
      <c r="G11122" s="30" t="s">
        <v>1041</v>
      </c>
      <c r="H11122" s="30" t="s">
        <v>1047</v>
      </c>
      <c r="J11122" s="30" t="s">
        <v>255</v>
      </c>
      <c r="L11122" s="30" t="s">
        <v>710</v>
      </c>
      <c r="N11122" s="30" t="s">
        <v>711</v>
      </c>
      <c r="P11122" s="30" t="s">
        <v>3765</v>
      </c>
      <c r="Q11122" t="s">
        <v>620</v>
      </c>
      <c r="R11122" t="s">
        <v>917</v>
      </c>
      <c r="S11122">
        <v>36</v>
      </c>
      <c r="T11122" s="29" t="str">
        <f>HYPERLINK("https://ictv.global/ictv/proposals/2020.004F.R.Mymona.zip","2020.004F.R.Mymona.zip")</f>
        <v>2020.004F.R.Mymona.zip</v>
      </c>
      <c r="U11122" s="29" t="str">
        <f>HYPERLINK("https://ictv.global/taxonomy/taxondetails?taxnode_id=202308883","ictv.global=202308883")</f>
        <v>ictv.global=202308883</v>
      </c>
    </row>
    <row r="11123" spans="1:21">
      <c r="A11123">
        <v>11122</v>
      </c>
      <c r="B11123" s="30" t="s">
        <v>1226</v>
      </c>
      <c r="D11123" s="30" t="s">
        <v>2024</v>
      </c>
      <c r="F11123" s="30" t="s">
        <v>1040</v>
      </c>
      <c r="G11123" s="30" t="s">
        <v>1041</v>
      </c>
      <c r="H11123" s="30" t="s">
        <v>1047</v>
      </c>
      <c r="J11123" s="30" t="s">
        <v>255</v>
      </c>
      <c r="L11123" s="30" t="s">
        <v>710</v>
      </c>
      <c r="N11123" s="30" t="s">
        <v>711</v>
      </c>
      <c r="P11123" s="30" t="s">
        <v>3766</v>
      </c>
      <c r="Q11123" t="s">
        <v>620</v>
      </c>
      <c r="R11123" t="s">
        <v>917</v>
      </c>
      <c r="S11123">
        <v>36</v>
      </c>
      <c r="T11123" s="29" t="str">
        <f>HYPERLINK("https://ictv.global/ictv/proposals/2020.004F.R.Mymona.zip","2020.004F.R.Mymona.zip")</f>
        <v>2020.004F.R.Mymona.zip</v>
      </c>
      <c r="U11123" s="29" t="str">
        <f>HYPERLINK("https://ictv.global/taxonomy/taxondetails?taxnode_id=202308880","ictv.global=202308880")</f>
        <v>ictv.global=202308880</v>
      </c>
    </row>
    <row r="11124" spans="1:21">
      <c r="A11124">
        <v>11123</v>
      </c>
      <c r="B11124" s="30" t="s">
        <v>1226</v>
      </c>
      <c r="D11124" s="30" t="s">
        <v>2024</v>
      </c>
      <c r="F11124" s="30" t="s">
        <v>1040</v>
      </c>
      <c r="G11124" s="30" t="s">
        <v>1041</v>
      </c>
      <c r="H11124" s="30" t="s">
        <v>1047</v>
      </c>
      <c r="J11124" s="30" t="s">
        <v>255</v>
      </c>
      <c r="L11124" s="30" t="s">
        <v>710</v>
      </c>
      <c r="N11124" s="30" t="s">
        <v>711</v>
      </c>
      <c r="P11124" s="30" t="s">
        <v>17285</v>
      </c>
      <c r="Q11124" t="s">
        <v>620</v>
      </c>
      <c r="R11124" t="s">
        <v>917</v>
      </c>
      <c r="S11124">
        <v>39</v>
      </c>
      <c r="T11124" s="29" t="str">
        <f>HYPERLINK("https://ictv.global/ictv/proposals/2023.016M.Mymonaviridae_11nsp.zip","2023.016M.Mymonaviridae_11nsp.zip")</f>
        <v>2023.016M.Mymonaviridae_11nsp.zip</v>
      </c>
      <c r="U11124" s="29" t="str">
        <f>HYPERLINK("https://ictv.global/taxonomy/taxondetails?taxnode_id=202318272","ictv.global=202318272")</f>
        <v>ictv.global=202318272</v>
      </c>
    </row>
    <row r="11125" spans="1:21">
      <c r="A11125">
        <v>11124</v>
      </c>
      <c r="B11125" s="30" t="s">
        <v>1226</v>
      </c>
      <c r="D11125" s="30" t="s">
        <v>2024</v>
      </c>
      <c r="F11125" s="30" t="s">
        <v>1040</v>
      </c>
      <c r="G11125" s="30" t="s">
        <v>1041</v>
      </c>
      <c r="H11125" s="30" t="s">
        <v>1047</v>
      </c>
      <c r="J11125" s="30" t="s">
        <v>255</v>
      </c>
      <c r="L11125" s="30" t="s">
        <v>710</v>
      </c>
      <c r="N11125" s="30" t="s">
        <v>711</v>
      </c>
      <c r="P11125" s="30" t="s">
        <v>3767</v>
      </c>
      <c r="Q11125" t="s">
        <v>620</v>
      </c>
      <c r="R11125" t="s">
        <v>917</v>
      </c>
      <c r="S11125">
        <v>36</v>
      </c>
      <c r="T11125" s="29" t="str">
        <f>HYPERLINK("https://ictv.global/ictv/proposals/2020.004F.R.Mymona.zip","2020.004F.R.Mymona.zip")</f>
        <v>2020.004F.R.Mymona.zip</v>
      </c>
      <c r="U11125" s="29" t="str">
        <f>HYPERLINK("https://ictv.global/taxonomy/taxondetails?taxnode_id=202308881","ictv.global=202308881")</f>
        <v>ictv.global=202308881</v>
      </c>
    </row>
    <row r="11126" spans="1:21">
      <c r="A11126">
        <v>11125</v>
      </c>
      <c r="B11126" s="30" t="s">
        <v>1226</v>
      </c>
      <c r="D11126" s="30" t="s">
        <v>2024</v>
      </c>
      <c r="F11126" s="30" t="s">
        <v>1040</v>
      </c>
      <c r="G11126" s="30" t="s">
        <v>1041</v>
      </c>
      <c r="H11126" s="30" t="s">
        <v>1047</v>
      </c>
      <c r="J11126" s="30" t="s">
        <v>255</v>
      </c>
      <c r="L11126" s="30" t="s">
        <v>710</v>
      </c>
      <c r="N11126" s="30" t="s">
        <v>711</v>
      </c>
      <c r="P11126" s="30" t="s">
        <v>17286</v>
      </c>
      <c r="Q11126" t="s">
        <v>620</v>
      </c>
      <c r="R11126" t="s">
        <v>917</v>
      </c>
      <c r="S11126">
        <v>39</v>
      </c>
      <c r="T11126" s="29" t="str">
        <f>HYPERLINK("https://ictv.global/ictv/proposals/2023.016M.Mymonaviridae_11nsp.zip","2023.016M.Mymonaviridae_11nsp.zip")</f>
        <v>2023.016M.Mymonaviridae_11nsp.zip</v>
      </c>
      <c r="U11126" s="29" t="str">
        <f>HYPERLINK("https://ictv.global/taxonomy/taxondetails?taxnode_id=202318270","ictv.global=202318270")</f>
        <v>ictv.global=202318270</v>
      </c>
    </row>
    <row r="11127" spans="1:21">
      <c r="A11127">
        <v>11126</v>
      </c>
      <c r="B11127" s="30" t="s">
        <v>1226</v>
      </c>
      <c r="D11127" s="30" t="s">
        <v>2024</v>
      </c>
      <c r="F11127" s="30" t="s">
        <v>1040</v>
      </c>
      <c r="G11127" s="30" t="s">
        <v>1041</v>
      </c>
      <c r="H11127" s="30" t="s">
        <v>1047</v>
      </c>
      <c r="J11127" s="30" t="s">
        <v>255</v>
      </c>
      <c r="L11127" s="30" t="s">
        <v>710</v>
      </c>
      <c r="N11127" s="30" t="s">
        <v>711</v>
      </c>
      <c r="P11127" s="30" t="s">
        <v>9812</v>
      </c>
      <c r="Q11127" t="s">
        <v>620</v>
      </c>
      <c r="R11127" t="s">
        <v>917</v>
      </c>
      <c r="S11127">
        <v>37</v>
      </c>
      <c r="T11127" s="29" t="str">
        <f>HYPERLINK("https://ictv.global/ictv/proposals/2021.041M.R.Mymonaviridae_5nsp.zip","2021.041M.R.Mymonaviridae_5nsp.zip")</f>
        <v>2021.041M.R.Mymonaviridae_5nsp.zip</v>
      </c>
      <c r="U11127" s="29" t="str">
        <f>HYPERLINK("https://ictv.global/taxonomy/taxondetails?taxnode_id=202312964","ictv.global=202312964")</f>
        <v>ictv.global=202312964</v>
      </c>
    </row>
    <row r="11128" spans="1:21">
      <c r="A11128">
        <v>11127</v>
      </c>
      <c r="B11128" s="30" t="s">
        <v>1226</v>
      </c>
      <c r="D11128" s="30" t="s">
        <v>2024</v>
      </c>
      <c r="F11128" s="30" t="s">
        <v>1040</v>
      </c>
      <c r="G11128" s="30" t="s">
        <v>1041</v>
      </c>
      <c r="H11128" s="30" t="s">
        <v>1047</v>
      </c>
      <c r="J11128" s="30" t="s">
        <v>255</v>
      </c>
      <c r="L11128" s="30" t="s">
        <v>710</v>
      </c>
      <c r="N11128" s="30" t="s">
        <v>711</v>
      </c>
      <c r="P11128" s="30" t="s">
        <v>3768</v>
      </c>
      <c r="Q11128" t="s">
        <v>620</v>
      </c>
      <c r="R11128" t="s">
        <v>920</v>
      </c>
      <c r="S11128">
        <v>36</v>
      </c>
      <c r="T11128" s="29" t="str">
        <f>HYPERLINK("https://ictv.global/ictv/proposals/2020.004F.R.Mymona.zip","2020.004F.R.Mymona.zip")</f>
        <v>2020.004F.R.Mymona.zip</v>
      </c>
      <c r="U11128" s="29" t="str">
        <f>HYPERLINK("https://ictv.global/taxonomy/taxondetails?taxnode_id=202306243","ictv.global=202306243")</f>
        <v>ictv.global=202306243</v>
      </c>
    </row>
    <row r="11129" spans="1:21">
      <c r="A11129">
        <v>11128</v>
      </c>
      <c r="B11129" s="30" t="s">
        <v>1226</v>
      </c>
      <c r="D11129" s="30" t="s">
        <v>2024</v>
      </c>
      <c r="F11129" s="30" t="s">
        <v>1040</v>
      </c>
      <c r="G11129" s="30" t="s">
        <v>1041</v>
      </c>
      <c r="H11129" s="30" t="s">
        <v>1047</v>
      </c>
      <c r="J11129" s="30" t="s">
        <v>255</v>
      </c>
      <c r="L11129" s="30" t="s">
        <v>710</v>
      </c>
      <c r="N11129" s="30" t="s">
        <v>711</v>
      </c>
      <c r="P11129" s="30" t="s">
        <v>3769</v>
      </c>
      <c r="Q11129" t="s">
        <v>620</v>
      </c>
      <c r="R11129" t="s">
        <v>920</v>
      </c>
      <c r="S11129">
        <v>36</v>
      </c>
      <c r="T11129" s="29" t="str">
        <f>HYPERLINK("https://ictv.global/ictv/proposals/2020.004F.R.Mymona.zip","2020.004F.R.Mymona.zip")</f>
        <v>2020.004F.R.Mymona.zip</v>
      </c>
      <c r="U11129" s="29" t="str">
        <f>HYPERLINK("https://ictv.global/taxonomy/taxondetails?taxnode_id=202306244","ictv.global=202306244")</f>
        <v>ictv.global=202306244</v>
      </c>
    </row>
    <row r="11130" spans="1:21">
      <c r="A11130">
        <v>11129</v>
      </c>
      <c r="B11130" s="30" t="s">
        <v>1226</v>
      </c>
      <c r="D11130" s="30" t="s">
        <v>2024</v>
      </c>
      <c r="F11130" s="30" t="s">
        <v>1040</v>
      </c>
      <c r="G11130" s="30" t="s">
        <v>1041</v>
      </c>
      <c r="H11130" s="30" t="s">
        <v>1047</v>
      </c>
      <c r="J11130" s="30" t="s">
        <v>255</v>
      </c>
      <c r="L11130" s="30" t="s">
        <v>710</v>
      </c>
      <c r="N11130" s="30" t="s">
        <v>711</v>
      </c>
      <c r="P11130" s="30" t="s">
        <v>3770</v>
      </c>
      <c r="Q11130" t="s">
        <v>620</v>
      </c>
      <c r="R11130" t="s">
        <v>917</v>
      </c>
      <c r="S11130">
        <v>36</v>
      </c>
      <c r="T11130" s="29" t="str">
        <f>HYPERLINK("https://ictv.global/ictv/proposals/2020.004F.R.Mymona.zip","2020.004F.R.Mymona.zip")</f>
        <v>2020.004F.R.Mymona.zip</v>
      </c>
      <c r="U11130" s="29" t="str">
        <f>HYPERLINK("https://ictv.global/taxonomy/taxondetails?taxnode_id=202308878","ictv.global=202308878")</f>
        <v>ictv.global=202308878</v>
      </c>
    </row>
    <row r="11131" spans="1:21">
      <c r="A11131">
        <v>11130</v>
      </c>
      <c r="B11131" s="30" t="s">
        <v>1226</v>
      </c>
      <c r="D11131" s="30" t="s">
        <v>2024</v>
      </c>
      <c r="F11131" s="30" t="s">
        <v>1040</v>
      </c>
      <c r="G11131" s="30" t="s">
        <v>1041</v>
      </c>
      <c r="H11131" s="30" t="s">
        <v>1047</v>
      </c>
      <c r="J11131" s="30" t="s">
        <v>255</v>
      </c>
      <c r="L11131" s="30" t="s">
        <v>710</v>
      </c>
      <c r="N11131" s="30" t="s">
        <v>711</v>
      </c>
      <c r="P11131" s="30" t="s">
        <v>17287</v>
      </c>
      <c r="Q11131" t="s">
        <v>620</v>
      </c>
      <c r="R11131" t="s">
        <v>917</v>
      </c>
      <c r="S11131">
        <v>39</v>
      </c>
      <c r="T11131" s="29" t="str">
        <f>HYPERLINK("https://ictv.global/ictv/proposals/2023.016M.Mymonaviridae_11nsp.zip","2023.016M.Mymonaviridae_11nsp.zip")</f>
        <v>2023.016M.Mymonaviridae_11nsp.zip</v>
      </c>
      <c r="U11131" s="29" t="str">
        <f>HYPERLINK("https://ictv.global/taxonomy/taxondetails?taxnode_id=202318269","ictv.global=202318269")</f>
        <v>ictv.global=202318269</v>
      </c>
    </row>
    <row r="11132" spans="1:21">
      <c r="A11132">
        <v>11131</v>
      </c>
      <c r="B11132" s="30" t="s">
        <v>1226</v>
      </c>
      <c r="D11132" s="30" t="s">
        <v>2024</v>
      </c>
      <c r="F11132" s="30" t="s">
        <v>1040</v>
      </c>
      <c r="G11132" s="30" t="s">
        <v>1041</v>
      </c>
      <c r="H11132" s="30" t="s">
        <v>1047</v>
      </c>
      <c r="J11132" s="30" t="s">
        <v>255</v>
      </c>
      <c r="L11132" s="30" t="s">
        <v>710</v>
      </c>
      <c r="N11132" s="30" t="s">
        <v>711</v>
      </c>
      <c r="P11132" s="30" t="s">
        <v>3771</v>
      </c>
      <c r="Q11132" t="s">
        <v>620</v>
      </c>
      <c r="R11132" t="s">
        <v>3895</v>
      </c>
      <c r="S11132">
        <v>36</v>
      </c>
      <c r="T11132" s="29" t="str">
        <f>HYPERLINK("https://ictv.global/ictv/proposals/2020.004F.R.Mymona.zip","2020.004F.R.Mymona.zip;2020.001G.R.Abolish_type_species.pdf")</f>
        <v>2020.004F.R.Mymona.zip;2020.001G.R.Abolish_type_species.pdf</v>
      </c>
      <c r="U11132" s="29" t="str">
        <f>HYPERLINK("https://ictv.global/taxonomy/taxondetails?taxnode_id=202301575","ictv.global=202301575")</f>
        <v>ictv.global=202301575</v>
      </c>
    </row>
    <row r="11133" spans="1:21">
      <c r="A11133">
        <v>11132</v>
      </c>
      <c r="B11133" s="30" t="s">
        <v>1226</v>
      </c>
      <c r="D11133" s="30" t="s">
        <v>2024</v>
      </c>
      <c r="F11133" s="30" t="s">
        <v>1040</v>
      </c>
      <c r="G11133" s="30" t="s">
        <v>1041</v>
      </c>
      <c r="H11133" s="30" t="s">
        <v>1047</v>
      </c>
      <c r="J11133" s="30" t="s">
        <v>255</v>
      </c>
      <c r="L11133" s="30" t="s">
        <v>710</v>
      </c>
      <c r="N11133" s="30" t="s">
        <v>711</v>
      </c>
      <c r="P11133" s="30" t="s">
        <v>3772</v>
      </c>
      <c r="Q11133" t="s">
        <v>620</v>
      </c>
      <c r="R11133" t="s">
        <v>917</v>
      </c>
      <c r="S11133">
        <v>36</v>
      </c>
      <c r="T11133" s="29" t="str">
        <f>HYPERLINK("https://ictv.global/ictv/proposals/2020.004F.R.Mymona.zip","2020.004F.R.Mymona.zip")</f>
        <v>2020.004F.R.Mymona.zip</v>
      </c>
      <c r="U11133" s="29" t="str">
        <f>HYPERLINK("https://ictv.global/taxonomy/taxondetails?taxnode_id=202308877","ictv.global=202308877")</f>
        <v>ictv.global=202308877</v>
      </c>
    </row>
    <row r="11134" spans="1:21">
      <c r="A11134">
        <v>11133</v>
      </c>
      <c r="B11134" s="30" t="s">
        <v>1226</v>
      </c>
      <c r="D11134" s="30" t="s">
        <v>2024</v>
      </c>
      <c r="F11134" s="30" t="s">
        <v>1040</v>
      </c>
      <c r="G11134" s="30" t="s">
        <v>1041</v>
      </c>
      <c r="H11134" s="30" t="s">
        <v>1047</v>
      </c>
      <c r="J11134" s="30" t="s">
        <v>255</v>
      </c>
      <c r="L11134" s="30" t="s">
        <v>710</v>
      </c>
      <c r="N11134" s="30" t="s">
        <v>711</v>
      </c>
      <c r="P11134" s="30" t="s">
        <v>17288</v>
      </c>
      <c r="Q11134" t="s">
        <v>620</v>
      </c>
      <c r="R11134" t="s">
        <v>917</v>
      </c>
      <c r="S11134">
        <v>39</v>
      </c>
      <c r="T11134" s="29" t="str">
        <f>HYPERLINK("https://ictv.global/ictv/proposals/2023.016M.Mymonaviridae_11nsp.zip","2023.016M.Mymonaviridae_11nsp.zip")</f>
        <v>2023.016M.Mymonaviridae_11nsp.zip</v>
      </c>
      <c r="U11134" s="29" t="str">
        <f>HYPERLINK("https://ictv.global/taxonomy/taxondetails?taxnode_id=202318275","ictv.global=202318275")</f>
        <v>ictv.global=202318275</v>
      </c>
    </row>
    <row r="11135" spans="1:21">
      <c r="A11135">
        <v>11134</v>
      </c>
      <c r="B11135" s="30" t="s">
        <v>1226</v>
      </c>
      <c r="D11135" s="30" t="s">
        <v>2024</v>
      </c>
      <c r="F11135" s="30" t="s">
        <v>1040</v>
      </c>
      <c r="G11135" s="30" t="s">
        <v>1041</v>
      </c>
      <c r="H11135" s="30" t="s">
        <v>1047</v>
      </c>
      <c r="J11135" s="30" t="s">
        <v>255</v>
      </c>
      <c r="L11135" s="30" t="s">
        <v>710</v>
      </c>
      <c r="N11135" s="30" t="s">
        <v>711</v>
      </c>
      <c r="P11135" s="30" t="s">
        <v>9813</v>
      </c>
      <c r="Q11135" t="s">
        <v>620</v>
      </c>
      <c r="R11135" t="s">
        <v>917</v>
      </c>
      <c r="S11135">
        <v>38</v>
      </c>
      <c r="T11135" s="29" t="str">
        <f>HYPERLINK("https://ictv.global/ictv/proposals/2022.014M.Mymonaviridae_13nsp.zip","2022.014M.Mymonaviridae_13nsp.zip")</f>
        <v>2022.014M.Mymonaviridae_13nsp.zip</v>
      </c>
      <c r="U11135" s="29" t="str">
        <f>HYPERLINK("https://ictv.global/taxonomy/taxondetails?taxnode_id=202314213","ictv.global=202314213")</f>
        <v>ictv.global=202314213</v>
      </c>
    </row>
    <row r="11136" spans="1:21">
      <c r="A11136">
        <v>11135</v>
      </c>
      <c r="B11136" s="30" t="s">
        <v>1226</v>
      </c>
      <c r="D11136" s="30" t="s">
        <v>2024</v>
      </c>
      <c r="F11136" s="30" t="s">
        <v>1040</v>
      </c>
      <c r="G11136" s="30" t="s">
        <v>1041</v>
      </c>
      <c r="H11136" s="30" t="s">
        <v>1047</v>
      </c>
      <c r="J11136" s="30" t="s">
        <v>255</v>
      </c>
      <c r="L11136" s="30" t="s">
        <v>710</v>
      </c>
      <c r="N11136" s="30" t="s">
        <v>711</v>
      </c>
      <c r="P11136" s="30" t="s">
        <v>9814</v>
      </c>
      <c r="Q11136" t="s">
        <v>620</v>
      </c>
      <c r="R11136" t="s">
        <v>917</v>
      </c>
      <c r="S11136">
        <v>38</v>
      </c>
      <c r="T11136" s="29" t="str">
        <f>HYPERLINK("https://ictv.global/ictv/proposals/2022.014M.Mymonaviridae_13nsp.zip","2022.014M.Mymonaviridae_13nsp.zip")</f>
        <v>2022.014M.Mymonaviridae_13nsp.zip</v>
      </c>
      <c r="U11136" s="29" t="str">
        <f>HYPERLINK("https://ictv.global/taxonomy/taxondetails?taxnode_id=202314214","ictv.global=202314214")</f>
        <v>ictv.global=202314214</v>
      </c>
    </row>
    <row r="11137" spans="1:21">
      <c r="A11137">
        <v>11136</v>
      </c>
      <c r="B11137" s="30" t="s">
        <v>1226</v>
      </c>
      <c r="D11137" s="30" t="s">
        <v>2024</v>
      </c>
      <c r="F11137" s="30" t="s">
        <v>1040</v>
      </c>
      <c r="G11137" s="30" t="s">
        <v>1041</v>
      </c>
      <c r="H11137" s="30" t="s">
        <v>1047</v>
      </c>
      <c r="J11137" s="30" t="s">
        <v>255</v>
      </c>
      <c r="L11137" s="30" t="s">
        <v>534</v>
      </c>
      <c r="N11137" s="30" t="s">
        <v>1053</v>
      </c>
      <c r="P11137" s="30" t="s">
        <v>17289</v>
      </c>
      <c r="Q11137" t="s">
        <v>620</v>
      </c>
      <c r="R11137" t="s">
        <v>917</v>
      </c>
      <c r="S11137">
        <v>39</v>
      </c>
      <c r="T11137" s="29" t="str">
        <f>HYPERLINK("https://ictv.global/ictv/proposals/2023.029M.Nyamiviridae_7nsp.zip","2023.029M.Nyamiviridae_7nsp.zip")</f>
        <v>2023.029M.Nyamiviridae_7nsp.zip</v>
      </c>
      <c r="U11137" s="29" t="str">
        <f>HYPERLINK("https://ictv.global/taxonomy/taxondetails?taxnode_id=202319051","ictv.global=202319051")</f>
        <v>ictv.global=202319051</v>
      </c>
    </row>
    <row r="11138" spans="1:21">
      <c r="A11138">
        <v>11137</v>
      </c>
      <c r="B11138" s="30" t="s">
        <v>1226</v>
      </c>
      <c r="D11138" s="30" t="s">
        <v>2024</v>
      </c>
      <c r="F11138" s="30" t="s">
        <v>1040</v>
      </c>
      <c r="G11138" s="30" t="s">
        <v>1041</v>
      </c>
      <c r="H11138" s="30" t="s">
        <v>1047</v>
      </c>
      <c r="J11138" s="30" t="s">
        <v>255</v>
      </c>
      <c r="L11138" s="30" t="s">
        <v>534</v>
      </c>
      <c r="N11138" s="30" t="s">
        <v>1053</v>
      </c>
      <c r="P11138" s="30" t="s">
        <v>9815</v>
      </c>
      <c r="Q11138" t="s">
        <v>620</v>
      </c>
      <c r="R11138" t="s">
        <v>920</v>
      </c>
      <c r="S11138">
        <v>37</v>
      </c>
      <c r="T11138" s="29" t="str">
        <f>HYPERLINK("https://ictv.global/ictv/proposals/2021.020M.R.Nyamiviridae_sprename.zip","2021.020M.R.Nyamiviridae_sprename.zip")</f>
        <v>2021.020M.R.Nyamiviridae_sprename.zip</v>
      </c>
      <c r="U11138" s="29" t="str">
        <f>HYPERLINK("https://ictv.global/taxonomy/taxondetails?taxnode_id=202306257","ictv.global=202306257")</f>
        <v>ictv.global=202306257</v>
      </c>
    </row>
    <row r="11139" spans="1:21">
      <c r="A11139">
        <v>11138</v>
      </c>
      <c r="B11139" s="30" t="s">
        <v>1226</v>
      </c>
      <c r="D11139" s="30" t="s">
        <v>2024</v>
      </c>
      <c r="F11139" s="30" t="s">
        <v>1040</v>
      </c>
      <c r="G11139" s="30" t="s">
        <v>1041</v>
      </c>
      <c r="H11139" s="30" t="s">
        <v>1047</v>
      </c>
      <c r="J11139" s="30" t="s">
        <v>255</v>
      </c>
      <c r="L11139" s="30" t="s">
        <v>534</v>
      </c>
      <c r="N11139" s="30" t="s">
        <v>1053</v>
      </c>
      <c r="P11139" s="30" t="s">
        <v>17290</v>
      </c>
      <c r="Q11139" t="s">
        <v>620</v>
      </c>
      <c r="R11139" t="s">
        <v>917</v>
      </c>
      <c r="S11139">
        <v>39</v>
      </c>
      <c r="T11139" s="29" t="str">
        <f>HYPERLINK("https://ictv.global/ictv/proposals/2023.029M.Nyamiviridae_7nsp.zip","2023.029M.Nyamiviridae_7nsp.zip")</f>
        <v>2023.029M.Nyamiviridae_7nsp.zip</v>
      </c>
      <c r="U11139" s="29" t="str">
        <f>HYPERLINK("https://ictv.global/taxonomy/taxondetails?taxnode_id=202319052","ictv.global=202319052")</f>
        <v>ictv.global=202319052</v>
      </c>
    </row>
    <row r="11140" spans="1:21">
      <c r="A11140">
        <v>11139</v>
      </c>
      <c r="B11140" s="30" t="s">
        <v>1226</v>
      </c>
      <c r="D11140" s="30" t="s">
        <v>2024</v>
      </c>
      <c r="F11140" s="30" t="s">
        <v>1040</v>
      </c>
      <c r="G11140" s="30" t="s">
        <v>1041</v>
      </c>
      <c r="H11140" s="30" t="s">
        <v>1047</v>
      </c>
      <c r="J11140" s="30" t="s">
        <v>255</v>
      </c>
      <c r="L11140" s="30" t="s">
        <v>534</v>
      </c>
      <c r="N11140" s="30" t="s">
        <v>1053</v>
      </c>
      <c r="P11140" s="30" t="s">
        <v>17291</v>
      </c>
      <c r="Q11140" t="s">
        <v>620</v>
      </c>
      <c r="R11140" t="s">
        <v>917</v>
      </c>
      <c r="S11140">
        <v>39</v>
      </c>
      <c r="T11140" s="29" t="str">
        <f>HYPERLINK("https://ictv.global/ictv/proposals/2023.029M.Nyamiviridae_7nsp.zip","2023.029M.Nyamiviridae_7nsp.zip")</f>
        <v>2023.029M.Nyamiviridae_7nsp.zip</v>
      </c>
      <c r="U11140" s="29" t="str">
        <f>HYPERLINK("https://ictv.global/taxonomy/taxondetails?taxnode_id=202319053","ictv.global=202319053")</f>
        <v>ictv.global=202319053</v>
      </c>
    </row>
    <row r="11141" spans="1:21">
      <c r="A11141">
        <v>11140</v>
      </c>
      <c r="B11141" s="30" t="s">
        <v>1226</v>
      </c>
      <c r="D11141" s="30" t="s">
        <v>2024</v>
      </c>
      <c r="F11141" s="30" t="s">
        <v>1040</v>
      </c>
      <c r="G11141" s="30" t="s">
        <v>1041</v>
      </c>
      <c r="H11141" s="30" t="s">
        <v>1047</v>
      </c>
      <c r="J11141" s="30" t="s">
        <v>255</v>
      </c>
      <c r="L11141" s="30" t="s">
        <v>534</v>
      </c>
      <c r="N11141" s="30" t="s">
        <v>1053</v>
      </c>
      <c r="P11141" s="30" t="s">
        <v>17292</v>
      </c>
      <c r="Q11141" t="s">
        <v>620</v>
      </c>
      <c r="R11141" t="s">
        <v>917</v>
      </c>
      <c r="S11141">
        <v>39</v>
      </c>
      <c r="T11141" s="29" t="str">
        <f>HYPERLINK("https://ictv.global/ictv/proposals/2023.029M.Nyamiviridae_7nsp.zip","2023.029M.Nyamiviridae_7nsp.zip")</f>
        <v>2023.029M.Nyamiviridae_7nsp.zip</v>
      </c>
      <c r="U11141" s="29" t="str">
        <f>HYPERLINK("https://ictv.global/taxonomy/taxondetails?taxnode_id=202319054","ictv.global=202319054")</f>
        <v>ictv.global=202319054</v>
      </c>
    </row>
    <row r="11142" spans="1:21">
      <c r="A11142">
        <v>11141</v>
      </c>
      <c r="B11142" s="30" t="s">
        <v>1226</v>
      </c>
      <c r="D11142" s="30" t="s">
        <v>2024</v>
      </c>
      <c r="F11142" s="30" t="s">
        <v>1040</v>
      </c>
      <c r="G11142" s="30" t="s">
        <v>1041</v>
      </c>
      <c r="H11142" s="30" t="s">
        <v>1047</v>
      </c>
      <c r="J11142" s="30" t="s">
        <v>255</v>
      </c>
      <c r="L11142" s="30" t="s">
        <v>534</v>
      </c>
      <c r="N11142" s="30" t="s">
        <v>1053</v>
      </c>
      <c r="P11142" s="30" t="s">
        <v>9816</v>
      </c>
      <c r="Q11142" t="s">
        <v>620</v>
      </c>
      <c r="R11142" t="s">
        <v>920</v>
      </c>
      <c r="S11142">
        <v>37</v>
      </c>
      <c r="T11142" s="29" t="str">
        <f t="shared" ref="T11142:T11150" si="463">HYPERLINK("https://ictv.global/ictv/proposals/2021.020M.R.Nyamiviridae_sprename.zip","2021.020M.R.Nyamiviridae_sprename.zip")</f>
        <v>2021.020M.R.Nyamiviridae_sprename.zip</v>
      </c>
      <c r="U11142" s="29" t="str">
        <f>HYPERLINK("https://ictv.global/taxonomy/taxondetails?taxnode_id=202306258","ictv.global=202306258")</f>
        <v>ictv.global=202306258</v>
      </c>
    </row>
    <row r="11143" spans="1:21">
      <c r="A11143">
        <v>11142</v>
      </c>
      <c r="B11143" s="30" t="s">
        <v>1226</v>
      </c>
      <c r="D11143" s="30" t="s">
        <v>2024</v>
      </c>
      <c r="F11143" s="30" t="s">
        <v>1040</v>
      </c>
      <c r="G11143" s="30" t="s">
        <v>1041</v>
      </c>
      <c r="H11143" s="30" t="s">
        <v>1047</v>
      </c>
      <c r="J11143" s="30" t="s">
        <v>255</v>
      </c>
      <c r="L11143" s="30" t="s">
        <v>534</v>
      </c>
      <c r="N11143" s="30" t="s">
        <v>1053</v>
      </c>
      <c r="P11143" s="30" t="s">
        <v>9817</v>
      </c>
      <c r="Q11143" t="s">
        <v>620</v>
      </c>
      <c r="R11143" t="s">
        <v>920</v>
      </c>
      <c r="S11143">
        <v>37</v>
      </c>
      <c r="T11143" s="29" t="str">
        <f t="shared" si="463"/>
        <v>2021.020M.R.Nyamiviridae_sprename.zip</v>
      </c>
      <c r="U11143" s="29" t="str">
        <f>HYPERLINK("https://ictv.global/taxonomy/taxondetails?taxnode_id=202306256","ictv.global=202306256")</f>
        <v>ictv.global=202306256</v>
      </c>
    </row>
    <row r="11144" spans="1:21">
      <c r="A11144">
        <v>11143</v>
      </c>
      <c r="B11144" s="30" t="s">
        <v>1226</v>
      </c>
      <c r="D11144" s="30" t="s">
        <v>2024</v>
      </c>
      <c r="F11144" s="30" t="s">
        <v>1040</v>
      </c>
      <c r="G11144" s="30" t="s">
        <v>1041</v>
      </c>
      <c r="H11144" s="30" t="s">
        <v>1047</v>
      </c>
      <c r="J11144" s="30" t="s">
        <v>255</v>
      </c>
      <c r="L11144" s="30" t="s">
        <v>534</v>
      </c>
      <c r="N11144" s="30" t="s">
        <v>720</v>
      </c>
      <c r="P11144" s="30" t="s">
        <v>9818</v>
      </c>
      <c r="Q11144" t="s">
        <v>620</v>
      </c>
      <c r="R11144" t="s">
        <v>920</v>
      </c>
      <c r="S11144">
        <v>37</v>
      </c>
      <c r="T11144" s="29" t="str">
        <f t="shared" si="463"/>
        <v>2021.020M.R.Nyamiviridae_sprename.zip</v>
      </c>
      <c r="U11144" s="29" t="str">
        <f>HYPERLINK("https://ictv.global/taxonomy/taxondetails?taxnode_id=202306250","ictv.global=202306250")</f>
        <v>ictv.global=202306250</v>
      </c>
    </row>
    <row r="11145" spans="1:21">
      <c r="A11145">
        <v>11144</v>
      </c>
      <c r="B11145" s="30" t="s">
        <v>1226</v>
      </c>
      <c r="D11145" s="30" t="s">
        <v>2024</v>
      </c>
      <c r="F11145" s="30" t="s">
        <v>1040</v>
      </c>
      <c r="G11145" s="30" t="s">
        <v>1041</v>
      </c>
      <c r="H11145" s="30" t="s">
        <v>1047</v>
      </c>
      <c r="J11145" s="30" t="s">
        <v>255</v>
      </c>
      <c r="L11145" s="30" t="s">
        <v>534</v>
      </c>
      <c r="N11145" s="30" t="s">
        <v>720</v>
      </c>
      <c r="P11145" s="30" t="s">
        <v>9819</v>
      </c>
      <c r="Q11145" t="s">
        <v>620</v>
      </c>
      <c r="R11145" t="s">
        <v>920</v>
      </c>
      <c r="S11145">
        <v>37</v>
      </c>
      <c r="T11145" s="29" t="str">
        <f t="shared" si="463"/>
        <v>2021.020M.R.Nyamiviridae_sprename.zip</v>
      </c>
      <c r="U11145" s="29" t="str">
        <f>HYPERLINK("https://ictv.global/taxonomy/taxondetails?taxnode_id=202306249","ictv.global=202306249")</f>
        <v>ictv.global=202306249</v>
      </c>
    </row>
    <row r="11146" spans="1:21">
      <c r="A11146">
        <v>11145</v>
      </c>
      <c r="B11146" s="30" t="s">
        <v>1226</v>
      </c>
      <c r="D11146" s="30" t="s">
        <v>2024</v>
      </c>
      <c r="F11146" s="30" t="s">
        <v>1040</v>
      </c>
      <c r="G11146" s="30" t="s">
        <v>1041</v>
      </c>
      <c r="H11146" s="30" t="s">
        <v>1047</v>
      </c>
      <c r="J11146" s="30" t="s">
        <v>255</v>
      </c>
      <c r="L11146" s="30" t="s">
        <v>534</v>
      </c>
      <c r="N11146" s="30" t="s">
        <v>720</v>
      </c>
      <c r="P11146" s="30" t="s">
        <v>9820</v>
      </c>
      <c r="Q11146" t="s">
        <v>620</v>
      </c>
      <c r="R11146" t="s">
        <v>920</v>
      </c>
      <c r="S11146">
        <v>37</v>
      </c>
      <c r="T11146" s="29" t="str">
        <f t="shared" si="463"/>
        <v>2021.020M.R.Nyamiviridae_sprename.zip</v>
      </c>
      <c r="U11146" s="29" t="str">
        <f>HYPERLINK("https://ictv.global/taxonomy/taxondetails?taxnode_id=202301818","ictv.global=202301818")</f>
        <v>ictv.global=202301818</v>
      </c>
    </row>
    <row r="11147" spans="1:21">
      <c r="A11147">
        <v>11146</v>
      </c>
      <c r="B11147" s="30" t="s">
        <v>1226</v>
      </c>
      <c r="D11147" s="30" t="s">
        <v>2024</v>
      </c>
      <c r="F11147" s="30" t="s">
        <v>1040</v>
      </c>
      <c r="G11147" s="30" t="s">
        <v>1041</v>
      </c>
      <c r="H11147" s="30" t="s">
        <v>1047</v>
      </c>
      <c r="J11147" s="30" t="s">
        <v>255</v>
      </c>
      <c r="L11147" s="30" t="s">
        <v>534</v>
      </c>
      <c r="N11147" s="30" t="s">
        <v>3773</v>
      </c>
      <c r="P11147" s="30" t="s">
        <v>9821</v>
      </c>
      <c r="Q11147" t="s">
        <v>620</v>
      </c>
      <c r="R11147" t="s">
        <v>920</v>
      </c>
      <c r="S11147">
        <v>37</v>
      </c>
      <c r="T11147" s="29" t="str">
        <f t="shared" si="463"/>
        <v>2021.020M.R.Nyamiviridae_sprename.zip</v>
      </c>
      <c r="U11147" s="29" t="str">
        <f>HYPERLINK("https://ictv.global/taxonomy/taxondetails?taxnode_id=202309665","ictv.global=202309665")</f>
        <v>ictv.global=202309665</v>
      </c>
    </row>
    <row r="11148" spans="1:21">
      <c r="A11148">
        <v>11147</v>
      </c>
      <c r="B11148" s="30" t="s">
        <v>1226</v>
      </c>
      <c r="D11148" s="30" t="s">
        <v>2024</v>
      </c>
      <c r="F11148" s="30" t="s">
        <v>1040</v>
      </c>
      <c r="G11148" s="30" t="s">
        <v>1041</v>
      </c>
      <c r="H11148" s="30" t="s">
        <v>1047</v>
      </c>
      <c r="J11148" s="30" t="s">
        <v>255</v>
      </c>
      <c r="L11148" s="30" t="s">
        <v>534</v>
      </c>
      <c r="N11148" s="30" t="s">
        <v>3773</v>
      </c>
      <c r="P11148" s="30" t="s">
        <v>9822</v>
      </c>
      <c r="Q11148" t="s">
        <v>620</v>
      </c>
      <c r="R11148" t="s">
        <v>920</v>
      </c>
      <c r="S11148">
        <v>37</v>
      </c>
      <c r="T11148" s="29" t="str">
        <f t="shared" si="463"/>
        <v>2021.020M.R.Nyamiviridae_sprename.zip</v>
      </c>
      <c r="U11148" s="29" t="str">
        <f>HYPERLINK("https://ictv.global/taxonomy/taxondetails?taxnode_id=202309668","ictv.global=202309668")</f>
        <v>ictv.global=202309668</v>
      </c>
    </row>
    <row r="11149" spans="1:21">
      <c r="A11149">
        <v>11148</v>
      </c>
      <c r="B11149" s="30" t="s">
        <v>1226</v>
      </c>
      <c r="D11149" s="30" t="s">
        <v>2024</v>
      </c>
      <c r="F11149" s="30" t="s">
        <v>1040</v>
      </c>
      <c r="G11149" s="30" t="s">
        <v>1041</v>
      </c>
      <c r="H11149" s="30" t="s">
        <v>1047</v>
      </c>
      <c r="J11149" s="30" t="s">
        <v>255</v>
      </c>
      <c r="L11149" s="30" t="s">
        <v>534</v>
      </c>
      <c r="N11149" s="30" t="s">
        <v>3773</v>
      </c>
      <c r="P11149" s="30" t="s">
        <v>9823</v>
      </c>
      <c r="Q11149" t="s">
        <v>620</v>
      </c>
      <c r="R11149" t="s">
        <v>920</v>
      </c>
      <c r="S11149">
        <v>37</v>
      </c>
      <c r="T11149" s="29" t="str">
        <f t="shared" si="463"/>
        <v>2021.020M.R.Nyamiviridae_sprename.zip</v>
      </c>
      <c r="U11149" s="29" t="str">
        <f>HYPERLINK("https://ictv.global/taxonomy/taxondetails?taxnode_id=202309666","ictv.global=202309666")</f>
        <v>ictv.global=202309666</v>
      </c>
    </row>
    <row r="11150" spans="1:21">
      <c r="A11150">
        <v>11149</v>
      </c>
      <c r="B11150" s="30" t="s">
        <v>1226</v>
      </c>
      <c r="D11150" s="30" t="s">
        <v>2024</v>
      </c>
      <c r="F11150" s="30" t="s">
        <v>1040</v>
      </c>
      <c r="G11150" s="30" t="s">
        <v>1041</v>
      </c>
      <c r="H11150" s="30" t="s">
        <v>1047</v>
      </c>
      <c r="J11150" s="30" t="s">
        <v>255</v>
      </c>
      <c r="L11150" s="30" t="s">
        <v>534</v>
      </c>
      <c r="N11150" s="30" t="s">
        <v>3773</v>
      </c>
      <c r="P11150" s="30" t="s">
        <v>9824</v>
      </c>
      <c r="Q11150" t="s">
        <v>620</v>
      </c>
      <c r="R11150" t="s">
        <v>920</v>
      </c>
      <c r="S11150">
        <v>37</v>
      </c>
      <c r="T11150" s="29" t="str">
        <f t="shared" si="463"/>
        <v>2021.020M.R.Nyamiviridae_sprename.zip</v>
      </c>
      <c r="U11150" s="29" t="str">
        <f>HYPERLINK("https://ictv.global/taxonomy/taxondetails?taxnode_id=202309667","ictv.global=202309667")</f>
        <v>ictv.global=202309667</v>
      </c>
    </row>
    <row r="11151" spans="1:21">
      <c r="A11151">
        <v>11150</v>
      </c>
      <c r="B11151" s="30" t="s">
        <v>1226</v>
      </c>
      <c r="D11151" s="30" t="s">
        <v>2024</v>
      </c>
      <c r="F11151" s="30" t="s">
        <v>1040</v>
      </c>
      <c r="G11151" s="30" t="s">
        <v>1041</v>
      </c>
      <c r="H11151" s="30" t="s">
        <v>1047</v>
      </c>
      <c r="J11151" s="30" t="s">
        <v>255</v>
      </c>
      <c r="L11151" s="30" t="s">
        <v>534</v>
      </c>
      <c r="N11151" s="30" t="s">
        <v>3773</v>
      </c>
      <c r="P11151" s="30" t="s">
        <v>17293</v>
      </c>
      <c r="Q11151" t="s">
        <v>620</v>
      </c>
      <c r="R11151" t="s">
        <v>917</v>
      </c>
      <c r="S11151">
        <v>39</v>
      </c>
      <c r="T11151" s="29" t="str">
        <f>HYPERLINK("https://ictv.global/ictv/proposals/2023.029M.Nyamiviridae_7nsp.zip","2023.029M.Nyamiviridae_7nsp.zip")</f>
        <v>2023.029M.Nyamiviridae_7nsp.zip</v>
      </c>
      <c r="U11151" s="29" t="str">
        <f>HYPERLINK("https://ictv.global/taxonomy/taxondetails?taxnode_id=202319048","ictv.global=202319048")</f>
        <v>ictv.global=202319048</v>
      </c>
    </row>
    <row r="11152" spans="1:21">
      <c r="A11152">
        <v>11151</v>
      </c>
      <c r="B11152" s="30" t="s">
        <v>1226</v>
      </c>
      <c r="D11152" s="30" t="s">
        <v>2024</v>
      </c>
      <c r="F11152" s="30" t="s">
        <v>1040</v>
      </c>
      <c r="G11152" s="30" t="s">
        <v>1041</v>
      </c>
      <c r="H11152" s="30" t="s">
        <v>1047</v>
      </c>
      <c r="J11152" s="30" t="s">
        <v>255</v>
      </c>
      <c r="L11152" s="30" t="s">
        <v>534</v>
      </c>
      <c r="N11152" s="30" t="s">
        <v>3773</v>
      </c>
      <c r="P11152" s="30" t="s">
        <v>9825</v>
      </c>
      <c r="Q11152" t="s">
        <v>620</v>
      </c>
      <c r="R11152" t="s">
        <v>917</v>
      </c>
      <c r="S11152">
        <v>38</v>
      </c>
      <c r="T11152" s="29" t="str">
        <f>HYPERLINK("https://ictv.global/ictv/proposals/2022.016M.Nyamiviridae_2nsp.zip","2022.016M.Nyamiviridae_2nsp.zip")</f>
        <v>2022.016M.Nyamiviridae_2nsp.zip</v>
      </c>
      <c r="U11152" s="29" t="str">
        <f>HYPERLINK("https://ictv.global/taxonomy/taxondetails?taxnode_id=202314220","ictv.global=202314220")</f>
        <v>ictv.global=202314220</v>
      </c>
    </row>
    <row r="11153" spans="1:21">
      <c r="A11153">
        <v>11152</v>
      </c>
      <c r="B11153" s="30" t="s">
        <v>1226</v>
      </c>
      <c r="D11153" s="30" t="s">
        <v>2024</v>
      </c>
      <c r="F11153" s="30" t="s">
        <v>1040</v>
      </c>
      <c r="G11153" s="30" t="s">
        <v>1041</v>
      </c>
      <c r="H11153" s="30" t="s">
        <v>1047</v>
      </c>
      <c r="J11153" s="30" t="s">
        <v>255</v>
      </c>
      <c r="L11153" s="30" t="s">
        <v>534</v>
      </c>
      <c r="N11153" s="30" t="s">
        <v>3773</v>
      </c>
      <c r="P11153" s="30" t="s">
        <v>9826</v>
      </c>
      <c r="Q11153" t="s">
        <v>620</v>
      </c>
      <c r="R11153" t="s">
        <v>917</v>
      </c>
      <c r="S11153">
        <v>37</v>
      </c>
      <c r="T11153" s="29" t="str">
        <f>HYPERLINK("https://ictv.global/ictv/proposals/2021.019M.R.Nyamiviridae_3nsp.zip","2021.019M.R.Nyamiviridae_3nsp.zip")</f>
        <v>2021.019M.R.Nyamiviridae_3nsp.zip</v>
      </c>
      <c r="U11153" s="29" t="str">
        <f>HYPERLINK("https://ictv.global/taxonomy/taxondetails?taxnode_id=202312225","ictv.global=202312225")</f>
        <v>ictv.global=202312225</v>
      </c>
    </row>
    <row r="11154" spans="1:21">
      <c r="A11154">
        <v>11153</v>
      </c>
      <c r="B11154" s="30" t="s">
        <v>1226</v>
      </c>
      <c r="D11154" s="30" t="s">
        <v>2024</v>
      </c>
      <c r="F11154" s="30" t="s">
        <v>1040</v>
      </c>
      <c r="G11154" s="30" t="s">
        <v>1041</v>
      </c>
      <c r="H11154" s="30" t="s">
        <v>1047</v>
      </c>
      <c r="J11154" s="30" t="s">
        <v>255</v>
      </c>
      <c r="L11154" s="30" t="s">
        <v>534</v>
      </c>
      <c r="N11154" s="30" t="s">
        <v>535</v>
      </c>
      <c r="P11154" s="30" t="s">
        <v>9827</v>
      </c>
      <c r="Q11154" t="s">
        <v>620</v>
      </c>
      <c r="R11154" t="s">
        <v>917</v>
      </c>
      <c r="S11154">
        <v>37</v>
      </c>
      <c r="T11154" s="29" t="str">
        <f>HYPERLINK("https://ictv.global/ictv/proposals/2021.019M.R.Nyamiviridae_3nsp.zip","2021.019M.R.Nyamiviridae_3nsp.zip")</f>
        <v>2021.019M.R.Nyamiviridae_3nsp.zip</v>
      </c>
      <c r="U11154" s="29" t="str">
        <f>HYPERLINK("https://ictv.global/taxonomy/taxondetails?taxnode_id=202312223","ictv.global=202312223")</f>
        <v>ictv.global=202312223</v>
      </c>
    </row>
    <row r="11155" spans="1:21">
      <c r="A11155">
        <v>11154</v>
      </c>
      <c r="B11155" s="30" t="s">
        <v>1226</v>
      </c>
      <c r="D11155" s="30" t="s">
        <v>2024</v>
      </c>
      <c r="F11155" s="30" t="s">
        <v>1040</v>
      </c>
      <c r="G11155" s="30" t="s">
        <v>1041</v>
      </c>
      <c r="H11155" s="30" t="s">
        <v>1047</v>
      </c>
      <c r="J11155" s="30" t="s">
        <v>255</v>
      </c>
      <c r="L11155" s="30" t="s">
        <v>534</v>
      </c>
      <c r="N11155" s="30" t="s">
        <v>535</v>
      </c>
      <c r="P11155" s="30" t="s">
        <v>17294</v>
      </c>
      <c r="Q11155" t="s">
        <v>620</v>
      </c>
      <c r="R11155" t="s">
        <v>917</v>
      </c>
      <c r="S11155">
        <v>39</v>
      </c>
      <c r="T11155" s="29" t="str">
        <f>HYPERLINK("https://ictv.global/ictv/proposals/2023.029M.Nyamiviridae_7nsp.zip","2023.029M.Nyamiviridae_7nsp.zip")</f>
        <v>2023.029M.Nyamiviridae_7nsp.zip</v>
      </c>
      <c r="U11155" s="29" t="str">
        <f>HYPERLINK("https://ictv.global/taxonomy/taxondetails?taxnode_id=202319049","ictv.global=202319049")</f>
        <v>ictv.global=202319049</v>
      </c>
    </row>
    <row r="11156" spans="1:21">
      <c r="A11156">
        <v>11155</v>
      </c>
      <c r="B11156" s="30" t="s">
        <v>1226</v>
      </c>
      <c r="D11156" s="30" t="s">
        <v>2024</v>
      </c>
      <c r="F11156" s="30" t="s">
        <v>1040</v>
      </c>
      <c r="G11156" s="30" t="s">
        <v>1041</v>
      </c>
      <c r="H11156" s="30" t="s">
        <v>1047</v>
      </c>
      <c r="J11156" s="30" t="s">
        <v>255</v>
      </c>
      <c r="L11156" s="30" t="s">
        <v>534</v>
      </c>
      <c r="N11156" s="30" t="s">
        <v>535</v>
      </c>
      <c r="P11156" s="30" t="s">
        <v>9828</v>
      </c>
      <c r="Q11156" t="s">
        <v>620</v>
      </c>
      <c r="R11156" t="s">
        <v>920</v>
      </c>
      <c r="S11156">
        <v>37</v>
      </c>
      <c r="T11156" s="29" t="str">
        <f>HYPERLINK("https://ictv.global/ictv/proposals/2021.020M.R.Nyamiviridae_sprename.zip","2021.020M.R.Nyamiviridae_sprename.zip")</f>
        <v>2021.020M.R.Nyamiviridae_sprename.zip</v>
      </c>
      <c r="U11156" s="29" t="str">
        <f>HYPERLINK("https://ictv.global/taxonomy/taxondetails?taxnode_id=202301579","ictv.global=202301579")</f>
        <v>ictv.global=202301579</v>
      </c>
    </row>
    <row r="11157" spans="1:21">
      <c r="A11157">
        <v>11156</v>
      </c>
      <c r="B11157" s="30" t="s">
        <v>1226</v>
      </c>
      <c r="D11157" s="30" t="s">
        <v>2024</v>
      </c>
      <c r="F11157" s="30" t="s">
        <v>1040</v>
      </c>
      <c r="G11157" s="30" t="s">
        <v>1041</v>
      </c>
      <c r="H11157" s="30" t="s">
        <v>1047</v>
      </c>
      <c r="J11157" s="30" t="s">
        <v>255</v>
      </c>
      <c r="L11157" s="30" t="s">
        <v>534</v>
      </c>
      <c r="N11157" s="30" t="s">
        <v>535</v>
      </c>
      <c r="P11157" s="30" t="s">
        <v>9829</v>
      </c>
      <c r="Q11157" t="s">
        <v>620</v>
      </c>
      <c r="R11157" t="s">
        <v>920</v>
      </c>
      <c r="S11157">
        <v>37</v>
      </c>
      <c r="T11157" s="29" t="str">
        <f>HYPERLINK("https://ictv.global/ictv/proposals/2021.020M.R.Nyamiviridae_sprename.zip","2021.020M.R.Nyamiviridae_sprename.zip")</f>
        <v>2021.020M.R.Nyamiviridae_sprename.zip</v>
      </c>
      <c r="U11157" s="29" t="str">
        <f>HYPERLINK("https://ictv.global/taxonomy/taxondetails?taxnode_id=202301580","ictv.global=202301580")</f>
        <v>ictv.global=202301580</v>
      </c>
    </row>
    <row r="11158" spans="1:21">
      <c r="A11158">
        <v>11157</v>
      </c>
      <c r="B11158" s="30" t="s">
        <v>1226</v>
      </c>
      <c r="D11158" s="30" t="s">
        <v>2024</v>
      </c>
      <c r="F11158" s="30" t="s">
        <v>1040</v>
      </c>
      <c r="G11158" s="30" t="s">
        <v>1041</v>
      </c>
      <c r="H11158" s="30" t="s">
        <v>1047</v>
      </c>
      <c r="J11158" s="30" t="s">
        <v>255</v>
      </c>
      <c r="L11158" s="30" t="s">
        <v>534</v>
      </c>
      <c r="N11158" s="30" t="s">
        <v>535</v>
      </c>
      <c r="P11158" s="30" t="s">
        <v>9830</v>
      </c>
      <c r="Q11158" t="s">
        <v>620</v>
      </c>
      <c r="R11158" t="s">
        <v>920</v>
      </c>
      <c r="S11158">
        <v>37</v>
      </c>
      <c r="T11158" s="29" t="str">
        <f>HYPERLINK("https://ictv.global/ictv/proposals/2021.020M.R.Nyamiviridae_sprename.zip","2021.020M.R.Nyamiviridae_sprename.zip")</f>
        <v>2021.020M.R.Nyamiviridae_sprename.zip</v>
      </c>
      <c r="U11158" s="29" t="str">
        <f>HYPERLINK("https://ictv.global/taxonomy/taxondetails?taxnode_id=202309663","ictv.global=202309663")</f>
        <v>ictv.global=202309663</v>
      </c>
    </row>
    <row r="11159" spans="1:21">
      <c r="A11159">
        <v>11158</v>
      </c>
      <c r="B11159" s="30" t="s">
        <v>1226</v>
      </c>
      <c r="D11159" s="30" t="s">
        <v>2024</v>
      </c>
      <c r="F11159" s="30" t="s">
        <v>1040</v>
      </c>
      <c r="G11159" s="30" t="s">
        <v>1041</v>
      </c>
      <c r="H11159" s="30" t="s">
        <v>1047</v>
      </c>
      <c r="J11159" s="30" t="s">
        <v>255</v>
      </c>
      <c r="L11159" s="30" t="s">
        <v>534</v>
      </c>
      <c r="N11159" s="30" t="s">
        <v>535</v>
      </c>
      <c r="P11159" s="30" t="s">
        <v>9831</v>
      </c>
      <c r="Q11159" t="s">
        <v>620</v>
      </c>
      <c r="R11159" t="s">
        <v>920</v>
      </c>
      <c r="S11159">
        <v>37</v>
      </c>
      <c r="T11159" s="29" t="str">
        <f>HYPERLINK("https://ictv.global/ictv/proposals/2021.020M.R.Nyamiviridae_sprename.zip","2021.020M.R.Nyamiviridae_sprename.zip")</f>
        <v>2021.020M.R.Nyamiviridae_sprename.zip</v>
      </c>
      <c r="U11159" s="29" t="str">
        <f>HYPERLINK("https://ictv.global/taxonomy/taxondetails?taxnode_id=202301581","ictv.global=202301581")</f>
        <v>ictv.global=202301581</v>
      </c>
    </row>
    <row r="11160" spans="1:21">
      <c r="A11160">
        <v>11159</v>
      </c>
      <c r="B11160" s="30" t="s">
        <v>1226</v>
      </c>
      <c r="D11160" s="30" t="s">
        <v>2024</v>
      </c>
      <c r="F11160" s="30" t="s">
        <v>1040</v>
      </c>
      <c r="G11160" s="30" t="s">
        <v>1041</v>
      </c>
      <c r="H11160" s="30" t="s">
        <v>1047</v>
      </c>
      <c r="J11160" s="30" t="s">
        <v>255</v>
      </c>
      <c r="L11160" s="30" t="s">
        <v>534</v>
      </c>
      <c r="N11160" s="30" t="s">
        <v>535</v>
      </c>
      <c r="P11160" s="30" t="s">
        <v>9832</v>
      </c>
      <c r="Q11160" t="s">
        <v>620</v>
      </c>
      <c r="R11160" t="s">
        <v>917</v>
      </c>
      <c r="S11160">
        <v>37</v>
      </c>
      <c r="T11160" s="29" t="str">
        <f>HYPERLINK("https://ictv.global/ictv/proposals/2021.019M.R.Nyamiviridae_3nsp.zip","2021.019M.R.Nyamiviridae_3nsp.zip")</f>
        <v>2021.019M.R.Nyamiviridae_3nsp.zip</v>
      </c>
      <c r="U11160" s="29" t="str">
        <f>HYPERLINK("https://ictv.global/taxonomy/taxondetails?taxnode_id=202312224","ictv.global=202312224")</f>
        <v>ictv.global=202312224</v>
      </c>
    </row>
    <row r="11161" spans="1:21">
      <c r="A11161">
        <v>11160</v>
      </c>
      <c r="B11161" s="30" t="s">
        <v>1226</v>
      </c>
      <c r="D11161" s="30" t="s">
        <v>2024</v>
      </c>
      <c r="F11161" s="30" t="s">
        <v>1040</v>
      </c>
      <c r="G11161" s="30" t="s">
        <v>1041</v>
      </c>
      <c r="H11161" s="30" t="s">
        <v>1047</v>
      </c>
      <c r="J11161" s="30" t="s">
        <v>255</v>
      </c>
      <c r="L11161" s="30" t="s">
        <v>534</v>
      </c>
      <c r="N11161" s="30" t="s">
        <v>1054</v>
      </c>
      <c r="P11161" s="30" t="s">
        <v>9833</v>
      </c>
      <c r="Q11161" t="s">
        <v>620</v>
      </c>
      <c r="R11161" t="s">
        <v>920</v>
      </c>
      <c r="S11161">
        <v>37</v>
      </c>
      <c r="T11161" s="29" t="str">
        <f>HYPERLINK("https://ictv.global/ictv/proposals/2021.020M.R.Nyamiviridae_sprename.zip","2021.020M.R.Nyamiviridae_sprename.zip")</f>
        <v>2021.020M.R.Nyamiviridae_sprename.zip</v>
      </c>
      <c r="U11161" s="29" t="str">
        <f>HYPERLINK("https://ictv.global/taxonomy/taxondetails?taxnode_id=202306252","ictv.global=202306252")</f>
        <v>ictv.global=202306252</v>
      </c>
    </row>
    <row r="11162" spans="1:21">
      <c r="A11162">
        <v>11161</v>
      </c>
      <c r="B11162" s="30" t="s">
        <v>1226</v>
      </c>
      <c r="D11162" s="30" t="s">
        <v>2024</v>
      </c>
      <c r="F11162" s="30" t="s">
        <v>1040</v>
      </c>
      <c r="G11162" s="30" t="s">
        <v>1041</v>
      </c>
      <c r="H11162" s="30" t="s">
        <v>1047</v>
      </c>
      <c r="J11162" s="30" t="s">
        <v>255</v>
      </c>
      <c r="L11162" s="30" t="s">
        <v>534</v>
      </c>
      <c r="N11162" s="30" t="s">
        <v>1054</v>
      </c>
      <c r="P11162" s="30" t="s">
        <v>9834</v>
      </c>
      <c r="Q11162" t="s">
        <v>620</v>
      </c>
      <c r="R11162" t="s">
        <v>917</v>
      </c>
      <c r="S11162">
        <v>38</v>
      </c>
      <c r="T11162" s="29" t="str">
        <f>HYPERLINK("https://ictv.global/ictv/proposals/2022.016M.Nyamiviridae_2nsp.zip","2022.016M.Nyamiviridae_2nsp.zip")</f>
        <v>2022.016M.Nyamiviridae_2nsp.zip</v>
      </c>
      <c r="U11162" s="29" t="str">
        <f>HYPERLINK("https://ictv.global/taxonomy/taxondetails?taxnode_id=202314219","ictv.global=202314219")</f>
        <v>ictv.global=202314219</v>
      </c>
    </row>
    <row r="11163" spans="1:21">
      <c r="A11163">
        <v>11162</v>
      </c>
      <c r="B11163" s="30" t="s">
        <v>1226</v>
      </c>
      <c r="D11163" s="30" t="s">
        <v>2024</v>
      </c>
      <c r="F11163" s="30" t="s">
        <v>1040</v>
      </c>
      <c r="G11163" s="30" t="s">
        <v>1041</v>
      </c>
      <c r="H11163" s="30" t="s">
        <v>1047</v>
      </c>
      <c r="J11163" s="30" t="s">
        <v>255</v>
      </c>
      <c r="L11163" s="30" t="s">
        <v>534</v>
      </c>
      <c r="N11163" s="30" t="s">
        <v>712</v>
      </c>
      <c r="P11163" s="30" t="s">
        <v>9835</v>
      </c>
      <c r="Q11163" t="s">
        <v>620</v>
      </c>
      <c r="R11163" t="s">
        <v>920</v>
      </c>
      <c r="S11163">
        <v>37</v>
      </c>
      <c r="T11163" s="29" t="str">
        <f>HYPERLINK("https://ictv.global/ictv/proposals/2021.020M.R.Nyamiviridae_sprename.zip","2021.020M.R.Nyamiviridae_sprename.zip")</f>
        <v>2021.020M.R.Nyamiviridae_sprename.zip</v>
      </c>
      <c r="U11163" s="29" t="str">
        <f>HYPERLINK("https://ictv.global/taxonomy/taxondetails?taxnode_id=202301585","ictv.global=202301585")</f>
        <v>ictv.global=202301585</v>
      </c>
    </row>
    <row r="11164" spans="1:21">
      <c r="A11164">
        <v>11163</v>
      </c>
      <c r="B11164" s="30" t="s">
        <v>1226</v>
      </c>
      <c r="D11164" s="30" t="s">
        <v>2024</v>
      </c>
      <c r="F11164" s="30" t="s">
        <v>1040</v>
      </c>
      <c r="G11164" s="30" t="s">
        <v>1041</v>
      </c>
      <c r="H11164" s="30" t="s">
        <v>1047</v>
      </c>
      <c r="J11164" s="30" t="s">
        <v>255</v>
      </c>
      <c r="L11164" s="30" t="s">
        <v>534</v>
      </c>
      <c r="N11164" s="30" t="s">
        <v>1055</v>
      </c>
      <c r="P11164" s="30" t="s">
        <v>9836</v>
      </c>
      <c r="Q11164" t="s">
        <v>620</v>
      </c>
      <c r="R11164" t="s">
        <v>920</v>
      </c>
      <c r="S11164">
        <v>37</v>
      </c>
      <c r="T11164" s="29" t="str">
        <f>HYPERLINK("https://ictv.global/ictv/proposals/2021.020M.R.Nyamiviridae_sprename.zip","2021.020M.R.Nyamiviridae_sprename.zip")</f>
        <v>2021.020M.R.Nyamiviridae_sprename.zip</v>
      </c>
      <c r="U11164" s="29" t="str">
        <f>HYPERLINK("https://ictv.global/taxonomy/taxondetails?taxnode_id=202306254","ictv.global=202306254")</f>
        <v>ictv.global=202306254</v>
      </c>
    </row>
    <row r="11165" spans="1:21">
      <c r="A11165">
        <v>11164</v>
      </c>
      <c r="B11165" s="30" t="s">
        <v>1226</v>
      </c>
      <c r="D11165" s="30" t="s">
        <v>2024</v>
      </c>
      <c r="F11165" s="30" t="s">
        <v>1040</v>
      </c>
      <c r="G11165" s="30" t="s">
        <v>1041</v>
      </c>
      <c r="H11165" s="30" t="s">
        <v>1047</v>
      </c>
      <c r="J11165" s="30" t="s">
        <v>255</v>
      </c>
      <c r="L11165" s="30" t="s">
        <v>534</v>
      </c>
      <c r="N11165" s="30" t="s">
        <v>1055</v>
      </c>
      <c r="P11165" s="30" t="s">
        <v>17295</v>
      </c>
      <c r="Q11165" t="s">
        <v>620</v>
      </c>
      <c r="R11165" t="s">
        <v>917</v>
      </c>
      <c r="S11165">
        <v>39</v>
      </c>
      <c r="T11165" s="29" t="str">
        <f>HYPERLINK("https://ictv.global/ictv/proposals/2023.029M.Nyamiviridae_7nsp.zip","2023.029M.Nyamiviridae_7nsp.zip")</f>
        <v>2023.029M.Nyamiviridae_7nsp.zip</v>
      </c>
      <c r="U11165" s="29" t="str">
        <f>HYPERLINK("https://ictv.global/taxonomy/taxondetails?taxnode_id=202319050","ictv.global=202319050")</f>
        <v>ictv.global=202319050</v>
      </c>
    </row>
    <row r="11166" spans="1:21">
      <c r="A11166">
        <v>11165</v>
      </c>
      <c r="B11166" s="30" t="s">
        <v>1226</v>
      </c>
      <c r="D11166" s="30" t="s">
        <v>2024</v>
      </c>
      <c r="F11166" s="30" t="s">
        <v>1040</v>
      </c>
      <c r="G11166" s="30" t="s">
        <v>1041</v>
      </c>
      <c r="H11166" s="30" t="s">
        <v>1047</v>
      </c>
      <c r="J11166" s="30" t="s">
        <v>255</v>
      </c>
      <c r="L11166" s="30" t="s">
        <v>370</v>
      </c>
      <c r="M11166" s="30" t="s">
        <v>1230</v>
      </c>
      <c r="N11166" s="30" t="s">
        <v>1231</v>
      </c>
      <c r="P11166" s="30" t="s">
        <v>17296</v>
      </c>
      <c r="Q11166" t="s">
        <v>620</v>
      </c>
      <c r="R11166" t="s">
        <v>917</v>
      </c>
      <c r="S11166">
        <v>39</v>
      </c>
      <c r="T11166" s="29" t="str">
        <f>HYPERLINK("https://ictv.global/ictv/proposals/2023.018M.Paramyxoviridae_reorg.zip","2023.018M.Paramyxoviridae_reorg.zip")</f>
        <v>2023.018M.Paramyxoviridae_reorg.zip</v>
      </c>
      <c r="U11166" s="29" t="str">
        <f>HYPERLINK("https://ictv.global/taxonomy/taxondetails?taxnode_id=202318318","ictv.global=202318318")</f>
        <v>ictv.global=202318318</v>
      </c>
    </row>
    <row r="11167" spans="1:21">
      <c r="A11167">
        <v>11166</v>
      </c>
      <c r="B11167" s="30" t="s">
        <v>1226</v>
      </c>
      <c r="D11167" s="30" t="s">
        <v>2024</v>
      </c>
      <c r="F11167" s="30" t="s">
        <v>1040</v>
      </c>
      <c r="G11167" s="30" t="s">
        <v>1041</v>
      </c>
      <c r="H11167" s="30" t="s">
        <v>1047</v>
      </c>
      <c r="J11167" s="30" t="s">
        <v>255</v>
      </c>
      <c r="L11167" s="30" t="s">
        <v>370</v>
      </c>
      <c r="M11167" s="30" t="s">
        <v>1230</v>
      </c>
      <c r="N11167" s="30" t="s">
        <v>1231</v>
      </c>
      <c r="P11167" s="30" t="s">
        <v>17297</v>
      </c>
      <c r="Q11167" t="s">
        <v>620</v>
      </c>
      <c r="R11167" t="s">
        <v>917</v>
      </c>
      <c r="S11167">
        <v>39</v>
      </c>
      <c r="T11167" s="29" t="str">
        <f>HYPERLINK("https://ictv.global/ictv/proposals/2023.018M.Paramyxoviridae_reorg.zip","2023.018M.Paramyxoviridae_reorg.zip")</f>
        <v>2023.018M.Paramyxoviridae_reorg.zip</v>
      </c>
      <c r="U11167" s="29" t="str">
        <f>HYPERLINK("https://ictv.global/taxonomy/taxondetails?taxnode_id=202318319","ictv.global=202318319")</f>
        <v>ictv.global=202318319</v>
      </c>
    </row>
    <row r="11168" spans="1:21">
      <c r="A11168">
        <v>11167</v>
      </c>
      <c r="B11168" s="30" t="s">
        <v>1226</v>
      </c>
      <c r="D11168" s="30" t="s">
        <v>2024</v>
      </c>
      <c r="F11168" s="30" t="s">
        <v>1040</v>
      </c>
      <c r="G11168" s="30" t="s">
        <v>1041</v>
      </c>
      <c r="H11168" s="30" t="s">
        <v>1047</v>
      </c>
      <c r="J11168" s="30" t="s">
        <v>255</v>
      </c>
      <c r="L11168" s="30" t="s">
        <v>370</v>
      </c>
      <c r="M11168" s="30" t="s">
        <v>1230</v>
      </c>
      <c r="N11168" s="30" t="s">
        <v>1231</v>
      </c>
      <c r="P11168" s="30" t="s">
        <v>9837</v>
      </c>
      <c r="Q11168" t="s">
        <v>620</v>
      </c>
      <c r="R11168" t="s">
        <v>920</v>
      </c>
      <c r="S11168">
        <v>38</v>
      </c>
      <c r="T11168" s="29" t="str">
        <f t="shared" ref="T11168:T11175" si="464">HYPERLINK("https://ictv.global/ictv/proposals/2021.026M.Paramyxoviridae_sprename.zip","2021.026M.Paramyxoviridae_sprename.zip")</f>
        <v>2021.026M.Paramyxoviridae_sprename.zip</v>
      </c>
      <c r="U11168" s="29" t="str">
        <f>HYPERLINK("https://ictv.global/taxonomy/taxondetails?taxnode_id=202301598","ictv.global=202301598")</f>
        <v>ictv.global=202301598</v>
      </c>
    </row>
    <row r="11169" spans="1:21">
      <c r="A11169">
        <v>11168</v>
      </c>
      <c r="B11169" s="30" t="s">
        <v>1226</v>
      </c>
      <c r="D11169" s="30" t="s">
        <v>2024</v>
      </c>
      <c r="F11169" s="30" t="s">
        <v>1040</v>
      </c>
      <c r="G11169" s="30" t="s">
        <v>1041</v>
      </c>
      <c r="H11169" s="30" t="s">
        <v>1047</v>
      </c>
      <c r="J11169" s="30" t="s">
        <v>255</v>
      </c>
      <c r="L11169" s="30" t="s">
        <v>370</v>
      </c>
      <c r="M11169" s="30" t="s">
        <v>1230</v>
      </c>
      <c r="N11169" s="30" t="s">
        <v>1231</v>
      </c>
      <c r="P11169" s="30" t="s">
        <v>9838</v>
      </c>
      <c r="Q11169" t="s">
        <v>620</v>
      </c>
      <c r="R11169" t="s">
        <v>920</v>
      </c>
      <c r="S11169">
        <v>38</v>
      </c>
      <c r="T11169" s="29" t="str">
        <f t="shared" si="464"/>
        <v>2021.026M.Paramyxoviridae_sprename.zip</v>
      </c>
      <c r="U11169" s="29" t="str">
        <f>HYPERLINK("https://ictv.global/taxonomy/taxondetails?taxnode_id=202301600","ictv.global=202301600")</f>
        <v>ictv.global=202301600</v>
      </c>
    </row>
    <row r="11170" spans="1:21">
      <c r="A11170">
        <v>11169</v>
      </c>
      <c r="B11170" s="30" t="s">
        <v>1226</v>
      </c>
      <c r="D11170" s="30" t="s">
        <v>2024</v>
      </c>
      <c r="F11170" s="30" t="s">
        <v>1040</v>
      </c>
      <c r="G11170" s="30" t="s">
        <v>1041</v>
      </c>
      <c r="H11170" s="30" t="s">
        <v>1047</v>
      </c>
      <c r="J11170" s="30" t="s">
        <v>255</v>
      </c>
      <c r="L11170" s="30" t="s">
        <v>370</v>
      </c>
      <c r="M11170" s="30" t="s">
        <v>1230</v>
      </c>
      <c r="N11170" s="30" t="s">
        <v>1231</v>
      </c>
      <c r="P11170" s="30" t="s">
        <v>9839</v>
      </c>
      <c r="Q11170" t="s">
        <v>620</v>
      </c>
      <c r="R11170" t="s">
        <v>920</v>
      </c>
      <c r="S11170">
        <v>38</v>
      </c>
      <c r="T11170" s="29" t="str">
        <f t="shared" si="464"/>
        <v>2021.026M.Paramyxoviridae_sprename.zip</v>
      </c>
      <c r="U11170" s="29" t="str">
        <f>HYPERLINK("https://ictv.global/taxonomy/taxondetails?taxnode_id=202301601","ictv.global=202301601")</f>
        <v>ictv.global=202301601</v>
      </c>
    </row>
    <row r="11171" spans="1:21">
      <c r="A11171">
        <v>11170</v>
      </c>
      <c r="B11171" s="30" t="s">
        <v>1226</v>
      </c>
      <c r="D11171" s="30" t="s">
        <v>2024</v>
      </c>
      <c r="F11171" s="30" t="s">
        <v>1040</v>
      </c>
      <c r="G11171" s="30" t="s">
        <v>1041</v>
      </c>
      <c r="H11171" s="30" t="s">
        <v>1047</v>
      </c>
      <c r="J11171" s="30" t="s">
        <v>255</v>
      </c>
      <c r="L11171" s="30" t="s">
        <v>370</v>
      </c>
      <c r="M11171" s="30" t="s">
        <v>1230</v>
      </c>
      <c r="N11171" s="30" t="s">
        <v>1231</v>
      </c>
      <c r="P11171" s="30" t="s">
        <v>9840</v>
      </c>
      <c r="Q11171" t="s">
        <v>620</v>
      </c>
      <c r="R11171" t="s">
        <v>920</v>
      </c>
      <c r="S11171">
        <v>38</v>
      </c>
      <c r="T11171" s="29" t="str">
        <f t="shared" si="464"/>
        <v>2021.026M.Paramyxoviridae_sprename.zip</v>
      </c>
      <c r="U11171" s="29" t="str">
        <f>HYPERLINK("https://ictv.global/taxonomy/taxondetails?taxnode_id=202301596","ictv.global=202301596")</f>
        <v>ictv.global=202301596</v>
      </c>
    </row>
    <row r="11172" spans="1:21">
      <c r="A11172">
        <v>11171</v>
      </c>
      <c r="B11172" s="30" t="s">
        <v>1226</v>
      </c>
      <c r="D11172" s="30" t="s">
        <v>2024</v>
      </c>
      <c r="F11172" s="30" t="s">
        <v>1040</v>
      </c>
      <c r="G11172" s="30" t="s">
        <v>1041</v>
      </c>
      <c r="H11172" s="30" t="s">
        <v>1047</v>
      </c>
      <c r="J11172" s="30" t="s">
        <v>255</v>
      </c>
      <c r="L11172" s="30" t="s">
        <v>370</v>
      </c>
      <c r="M11172" s="30" t="s">
        <v>1230</v>
      </c>
      <c r="N11172" s="30" t="s">
        <v>1231</v>
      </c>
      <c r="P11172" s="30" t="s">
        <v>9841</v>
      </c>
      <c r="Q11172" t="s">
        <v>620</v>
      </c>
      <c r="R11172" t="s">
        <v>920</v>
      </c>
      <c r="S11172">
        <v>38</v>
      </c>
      <c r="T11172" s="29" t="str">
        <f t="shared" si="464"/>
        <v>2021.026M.Paramyxoviridae_sprename.zip</v>
      </c>
      <c r="U11172" s="29" t="str">
        <f>HYPERLINK("https://ictv.global/taxonomy/taxondetails?taxnode_id=202305574","ictv.global=202305574")</f>
        <v>ictv.global=202305574</v>
      </c>
    </row>
    <row r="11173" spans="1:21">
      <c r="A11173">
        <v>11172</v>
      </c>
      <c r="B11173" s="30" t="s">
        <v>1226</v>
      </c>
      <c r="D11173" s="30" t="s">
        <v>2024</v>
      </c>
      <c r="F11173" s="30" t="s">
        <v>1040</v>
      </c>
      <c r="G11173" s="30" t="s">
        <v>1041</v>
      </c>
      <c r="H11173" s="30" t="s">
        <v>1047</v>
      </c>
      <c r="J11173" s="30" t="s">
        <v>255</v>
      </c>
      <c r="L11173" s="30" t="s">
        <v>370</v>
      </c>
      <c r="M11173" s="30" t="s">
        <v>1230</v>
      </c>
      <c r="N11173" s="30" t="s">
        <v>1231</v>
      </c>
      <c r="P11173" s="30" t="s">
        <v>9842</v>
      </c>
      <c r="Q11173" t="s">
        <v>620</v>
      </c>
      <c r="R11173" t="s">
        <v>920</v>
      </c>
      <c r="S11173">
        <v>38</v>
      </c>
      <c r="T11173" s="29" t="str">
        <f t="shared" si="464"/>
        <v>2021.026M.Paramyxoviridae_sprename.zip</v>
      </c>
      <c r="U11173" s="29" t="str">
        <f>HYPERLINK("https://ictv.global/taxonomy/taxondetails?taxnode_id=202306448","ictv.global=202306448")</f>
        <v>ictv.global=202306448</v>
      </c>
    </row>
    <row r="11174" spans="1:21">
      <c r="A11174">
        <v>11173</v>
      </c>
      <c r="B11174" s="30" t="s">
        <v>1226</v>
      </c>
      <c r="D11174" s="30" t="s">
        <v>2024</v>
      </c>
      <c r="F11174" s="30" t="s">
        <v>1040</v>
      </c>
      <c r="G11174" s="30" t="s">
        <v>1041</v>
      </c>
      <c r="H11174" s="30" t="s">
        <v>1047</v>
      </c>
      <c r="J11174" s="30" t="s">
        <v>255</v>
      </c>
      <c r="L11174" s="30" t="s">
        <v>370</v>
      </c>
      <c r="M11174" s="30" t="s">
        <v>1230</v>
      </c>
      <c r="N11174" s="30" t="s">
        <v>1231</v>
      </c>
      <c r="P11174" s="30" t="s">
        <v>9843</v>
      </c>
      <c r="Q11174" t="s">
        <v>620</v>
      </c>
      <c r="R11174" t="s">
        <v>920</v>
      </c>
      <c r="S11174">
        <v>38</v>
      </c>
      <c r="T11174" s="29" t="str">
        <f t="shared" si="464"/>
        <v>2021.026M.Paramyxoviridae_sprename.zip</v>
      </c>
      <c r="U11174" s="29" t="str">
        <f>HYPERLINK("https://ictv.global/taxonomy/taxondetails?taxnode_id=202301595","ictv.global=202301595")</f>
        <v>ictv.global=202301595</v>
      </c>
    </row>
    <row r="11175" spans="1:21">
      <c r="A11175">
        <v>11174</v>
      </c>
      <c r="B11175" s="30" t="s">
        <v>1226</v>
      </c>
      <c r="D11175" s="30" t="s">
        <v>2024</v>
      </c>
      <c r="F11175" s="30" t="s">
        <v>1040</v>
      </c>
      <c r="G11175" s="30" t="s">
        <v>1041</v>
      </c>
      <c r="H11175" s="30" t="s">
        <v>1047</v>
      </c>
      <c r="J11175" s="30" t="s">
        <v>255</v>
      </c>
      <c r="L11175" s="30" t="s">
        <v>370</v>
      </c>
      <c r="M11175" s="30" t="s">
        <v>1230</v>
      </c>
      <c r="N11175" s="30" t="s">
        <v>1231</v>
      </c>
      <c r="P11175" s="30" t="s">
        <v>9844</v>
      </c>
      <c r="Q11175" t="s">
        <v>620</v>
      </c>
      <c r="R11175" t="s">
        <v>920</v>
      </c>
      <c r="S11175">
        <v>38</v>
      </c>
      <c r="T11175" s="29" t="str">
        <f t="shared" si="464"/>
        <v>2021.026M.Paramyxoviridae_sprename.zip</v>
      </c>
      <c r="U11175" s="29" t="str">
        <f>HYPERLINK("https://ictv.global/taxonomy/taxondetails?taxnode_id=202305575","ictv.global=202305575")</f>
        <v>ictv.global=202305575</v>
      </c>
    </row>
    <row r="11176" spans="1:21">
      <c r="A11176">
        <v>11175</v>
      </c>
      <c r="B11176" s="30" t="s">
        <v>1226</v>
      </c>
      <c r="D11176" s="30" t="s">
        <v>2024</v>
      </c>
      <c r="F11176" s="30" t="s">
        <v>1040</v>
      </c>
      <c r="G11176" s="30" t="s">
        <v>1041</v>
      </c>
      <c r="H11176" s="30" t="s">
        <v>1047</v>
      </c>
      <c r="J11176" s="30" t="s">
        <v>255</v>
      </c>
      <c r="L11176" s="30" t="s">
        <v>370</v>
      </c>
      <c r="M11176" s="30" t="s">
        <v>1230</v>
      </c>
      <c r="N11176" s="30" t="s">
        <v>1231</v>
      </c>
      <c r="P11176" s="30" t="s">
        <v>17298</v>
      </c>
      <c r="Q11176" t="s">
        <v>620</v>
      </c>
      <c r="R11176" t="s">
        <v>917</v>
      </c>
      <c r="S11176">
        <v>39</v>
      </c>
      <c r="T11176" s="29" t="str">
        <f>HYPERLINK("https://ictv.global/ictv/proposals/2023.018M.Paramyxoviridae_reorg.zip","2023.018M.Paramyxoviridae_reorg.zip")</f>
        <v>2023.018M.Paramyxoviridae_reorg.zip</v>
      </c>
      <c r="U11176" s="29" t="str">
        <f>HYPERLINK("https://ictv.global/taxonomy/taxondetails?taxnode_id=202318317","ictv.global=202318317")</f>
        <v>ictv.global=202318317</v>
      </c>
    </row>
    <row r="11177" spans="1:21">
      <c r="A11177">
        <v>11176</v>
      </c>
      <c r="B11177" s="30" t="s">
        <v>1226</v>
      </c>
      <c r="D11177" s="30" t="s">
        <v>2024</v>
      </c>
      <c r="F11177" s="30" t="s">
        <v>1040</v>
      </c>
      <c r="G11177" s="30" t="s">
        <v>1041</v>
      </c>
      <c r="H11177" s="30" t="s">
        <v>1047</v>
      </c>
      <c r="J11177" s="30" t="s">
        <v>255</v>
      </c>
      <c r="L11177" s="30" t="s">
        <v>370</v>
      </c>
      <c r="M11177" s="30" t="s">
        <v>1230</v>
      </c>
      <c r="N11177" s="30" t="s">
        <v>1231</v>
      </c>
      <c r="P11177" s="30" t="s">
        <v>9845</v>
      </c>
      <c r="Q11177" t="s">
        <v>620</v>
      </c>
      <c r="R11177" t="s">
        <v>920</v>
      </c>
      <c r="S11177">
        <v>38</v>
      </c>
      <c r="T11177" s="29" t="str">
        <f>HYPERLINK("https://ictv.global/ictv/proposals/2021.026M.Paramyxoviridae_sprename.zip","2021.026M.Paramyxoviridae_sprename.zip")</f>
        <v>2021.026M.Paramyxoviridae_sprename.zip</v>
      </c>
      <c r="U11177" s="29" t="str">
        <f>HYPERLINK("https://ictv.global/taxonomy/taxondetails?taxnode_id=202309286","ictv.global=202309286")</f>
        <v>ictv.global=202309286</v>
      </c>
    </row>
    <row r="11178" spans="1:21">
      <c r="A11178">
        <v>11177</v>
      </c>
      <c r="B11178" s="30" t="s">
        <v>1226</v>
      </c>
      <c r="D11178" s="30" t="s">
        <v>2024</v>
      </c>
      <c r="F11178" s="30" t="s">
        <v>1040</v>
      </c>
      <c r="G11178" s="30" t="s">
        <v>1041</v>
      </c>
      <c r="H11178" s="30" t="s">
        <v>1047</v>
      </c>
      <c r="J11178" s="30" t="s">
        <v>255</v>
      </c>
      <c r="L11178" s="30" t="s">
        <v>370</v>
      </c>
      <c r="M11178" s="30" t="s">
        <v>1230</v>
      </c>
      <c r="N11178" s="30" t="s">
        <v>1231</v>
      </c>
      <c r="P11178" s="30" t="s">
        <v>9846</v>
      </c>
      <c r="Q11178" t="s">
        <v>620</v>
      </c>
      <c r="R11178" t="s">
        <v>920</v>
      </c>
      <c r="S11178">
        <v>38</v>
      </c>
      <c r="T11178" s="29" t="str">
        <f>HYPERLINK("https://ictv.global/ictv/proposals/2021.026M.Paramyxoviridae_sprename.zip","2021.026M.Paramyxoviridae_sprename.zip")</f>
        <v>2021.026M.Paramyxoviridae_sprename.zip</v>
      </c>
      <c r="U11178" s="29" t="str">
        <f>HYPERLINK("https://ictv.global/taxonomy/taxondetails?taxnode_id=202301597","ictv.global=202301597")</f>
        <v>ictv.global=202301597</v>
      </c>
    </row>
    <row r="11179" spans="1:21">
      <c r="A11179">
        <v>11178</v>
      </c>
      <c r="B11179" s="30" t="s">
        <v>1226</v>
      </c>
      <c r="D11179" s="30" t="s">
        <v>2024</v>
      </c>
      <c r="F11179" s="30" t="s">
        <v>1040</v>
      </c>
      <c r="G11179" s="30" t="s">
        <v>1041</v>
      </c>
      <c r="H11179" s="30" t="s">
        <v>1047</v>
      </c>
      <c r="J11179" s="30" t="s">
        <v>255</v>
      </c>
      <c r="L11179" s="30" t="s">
        <v>370</v>
      </c>
      <c r="M11179" s="30" t="s">
        <v>1230</v>
      </c>
      <c r="N11179" s="30" t="s">
        <v>1231</v>
      </c>
      <c r="P11179" s="30" t="s">
        <v>9847</v>
      </c>
      <c r="Q11179" t="s">
        <v>620</v>
      </c>
      <c r="R11179" t="s">
        <v>920</v>
      </c>
      <c r="S11179">
        <v>38</v>
      </c>
      <c r="T11179" s="29" t="str">
        <f>HYPERLINK("https://ictv.global/ictv/proposals/2021.026M.Paramyxoviridae_sprename.zip","2021.026M.Paramyxoviridae_sprename.zip")</f>
        <v>2021.026M.Paramyxoviridae_sprename.zip</v>
      </c>
      <c r="U11179" s="29" t="str">
        <f>HYPERLINK("https://ictv.global/taxonomy/taxondetails?taxnode_id=202301592","ictv.global=202301592")</f>
        <v>ictv.global=202301592</v>
      </c>
    </row>
    <row r="11180" spans="1:21">
      <c r="A11180">
        <v>11179</v>
      </c>
      <c r="B11180" s="30" t="s">
        <v>1226</v>
      </c>
      <c r="D11180" s="30" t="s">
        <v>2024</v>
      </c>
      <c r="F11180" s="30" t="s">
        <v>1040</v>
      </c>
      <c r="G11180" s="30" t="s">
        <v>1041</v>
      </c>
      <c r="H11180" s="30" t="s">
        <v>1047</v>
      </c>
      <c r="J11180" s="30" t="s">
        <v>255</v>
      </c>
      <c r="L11180" s="30" t="s">
        <v>370</v>
      </c>
      <c r="M11180" s="30" t="s">
        <v>1230</v>
      </c>
      <c r="N11180" s="30" t="s">
        <v>1232</v>
      </c>
      <c r="P11180" s="30" t="s">
        <v>17299</v>
      </c>
      <c r="Q11180" t="s">
        <v>620</v>
      </c>
      <c r="R11180" t="s">
        <v>917</v>
      </c>
      <c r="S11180">
        <v>39</v>
      </c>
      <c r="T11180" s="29" t="str">
        <f>HYPERLINK("https://ictv.global/ictv/proposals/2023.018M.Paramyxoviridae_reorg.zip","2023.018M.Paramyxoviridae_reorg.zip")</f>
        <v>2023.018M.Paramyxoviridae_reorg.zip</v>
      </c>
      <c r="U11180" s="29" t="str">
        <f>HYPERLINK("https://ictv.global/taxonomy/taxondetails?taxnode_id=202318315","ictv.global=202318315")</f>
        <v>ictv.global=202318315</v>
      </c>
    </row>
    <row r="11181" spans="1:21">
      <c r="A11181">
        <v>11180</v>
      </c>
      <c r="B11181" s="30" t="s">
        <v>1226</v>
      </c>
      <c r="D11181" s="30" t="s">
        <v>2024</v>
      </c>
      <c r="F11181" s="30" t="s">
        <v>1040</v>
      </c>
      <c r="G11181" s="30" t="s">
        <v>1041</v>
      </c>
      <c r="H11181" s="30" t="s">
        <v>1047</v>
      </c>
      <c r="J11181" s="30" t="s">
        <v>255</v>
      </c>
      <c r="L11181" s="30" t="s">
        <v>370</v>
      </c>
      <c r="M11181" s="30" t="s">
        <v>1230</v>
      </c>
      <c r="N11181" s="30" t="s">
        <v>1232</v>
      </c>
      <c r="P11181" s="30" t="s">
        <v>9848</v>
      </c>
      <c r="Q11181" t="s">
        <v>620</v>
      </c>
      <c r="R11181" t="s">
        <v>920</v>
      </c>
      <c r="S11181">
        <v>38</v>
      </c>
      <c r="T11181" s="29" t="str">
        <f t="shared" ref="T11181:T11188" si="465">HYPERLINK("https://ictv.global/ictv/proposals/2021.026M.Paramyxoviridae_sprename.zip","2021.026M.Paramyxoviridae_sprename.zip")</f>
        <v>2021.026M.Paramyxoviridae_sprename.zip</v>
      </c>
      <c r="U11181" s="29" t="str">
        <f>HYPERLINK("https://ictv.global/taxonomy/taxondetails?taxnode_id=202305577","ictv.global=202305577")</f>
        <v>ictv.global=202305577</v>
      </c>
    </row>
    <row r="11182" spans="1:21">
      <c r="A11182">
        <v>11181</v>
      </c>
      <c r="B11182" s="30" t="s">
        <v>1226</v>
      </c>
      <c r="D11182" s="30" t="s">
        <v>2024</v>
      </c>
      <c r="F11182" s="30" t="s">
        <v>1040</v>
      </c>
      <c r="G11182" s="30" t="s">
        <v>1041</v>
      </c>
      <c r="H11182" s="30" t="s">
        <v>1047</v>
      </c>
      <c r="J11182" s="30" t="s">
        <v>255</v>
      </c>
      <c r="L11182" s="30" t="s">
        <v>370</v>
      </c>
      <c r="M11182" s="30" t="s">
        <v>1230</v>
      </c>
      <c r="N11182" s="30" t="s">
        <v>1232</v>
      </c>
      <c r="P11182" s="30" t="s">
        <v>9849</v>
      </c>
      <c r="Q11182" t="s">
        <v>620</v>
      </c>
      <c r="R11182" t="s">
        <v>920</v>
      </c>
      <c r="S11182">
        <v>38</v>
      </c>
      <c r="T11182" s="29" t="str">
        <f t="shared" si="465"/>
        <v>2021.026M.Paramyxoviridae_sprename.zip</v>
      </c>
      <c r="U11182" s="29" t="str">
        <f>HYPERLINK("https://ictv.global/taxonomy/taxondetails?taxnode_id=202301602","ictv.global=202301602")</f>
        <v>ictv.global=202301602</v>
      </c>
    </row>
    <row r="11183" spans="1:21">
      <c r="A11183">
        <v>11182</v>
      </c>
      <c r="B11183" s="30" t="s">
        <v>1226</v>
      </c>
      <c r="D11183" s="30" t="s">
        <v>2024</v>
      </c>
      <c r="F11183" s="30" t="s">
        <v>1040</v>
      </c>
      <c r="G11183" s="30" t="s">
        <v>1041</v>
      </c>
      <c r="H11183" s="30" t="s">
        <v>1047</v>
      </c>
      <c r="J11183" s="30" t="s">
        <v>255</v>
      </c>
      <c r="L11183" s="30" t="s">
        <v>370</v>
      </c>
      <c r="M11183" s="30" t="s">
        <v>1230</v>
      </c>
      <c r="N11183" s="30" t="s">
        <v>1232</v>
      </c>
      <c r="P11183" s="30" t="s">
        <v>9850</v>
      </c>
      <c r="Q11183" t="s">
        <v>620</v>
      </c>
      <c r="R11183" t="s">
        <v>920</v>
      </c>
      <c r="S11183">
        <v>38</v>
      </c>
      <c r="T11183" s="29" t="str">
        <f t="shared" si="465"/>
        <v>2021.026M.Paramyxoviridae_sprename.zip</v>
      </c>
      <c r="U11183" s="29" t="str">
        <f>HYPERLINK("https://ictv.global/taxonomy/taxondetails?taxnode_id=202301603","ictv.global=202301603")</f>
        <v>ictv.global=202301603</v>
      </c>
    </row>
    <row r="11184" spans="1:21">
      <c r="A11184">
        <v>11183</v>
      </c>
      <c r="B11184" s="30" t="s">
        <v>1226</v>
      </c>
      <c r="D11184" s="30" t="s">
        <v>2024</v>
      </c>
      <c r="F11184" s="30" t="s">
        <v>1040</v>
      </c>
      <c r="G11184" s="30" t="s">
        <v>1041</v>
      </c>
      <c r="H11184" s="30" t="s">
        <v>1047</v>
      </c>
      <c r="J11184" s="30" t="s">
        <v>255</v>
      </c>
      <c r="L11184" s="30" t="s">
        <v>370</v>
      </c>
      <c r="M11184" s="30" t="s">
        <v>1230</v>
      </c>
      <c r="N11184" s="30" t="s">
        <v>1232</v>
      </c>
      <c r="P11184" s="30" t="s">
        <v>9851</v>
      </c>
      <c r="Q11184" t="s">
        <v>620</v>
      </c>
      <c r="R11184" t="s">
        <v>920</v>
      </c>
      <c r="S11184">
        <v>38</v>
      </c>
      <c r="T11184" s="29" t="str">
        <f t="shared" si="465"/>
        <v>2021.026M.Paramyxoviridae_sprename.zip</v>
      </c>
      <c r="U11184" s="29" t="str">
        <f>HYPERLINK("https://ictv.global/taxonomy/taxondetails?taxnode_id=202301591","ictv.global=202301591")</f>
        <v>ictv.global=202301591</v>
      </c>
    </row>
    <row r="11185" spans="1:21">
      <c r="A11185">
        <v>11184</v>
      </c>
      <c r="B11185" s="30" t="s">
        <v>1226</v>
      </c>
      <c r="D11185" s="30" t="s">
        <v>2024</v>
      </c>
      <c r="F11185" s="30" t="s">
        <v>1040</v>
      </c>
      <c r="G11185" s="30" t="s">
        <v>1041</v>
      </c>
      <c r="H11185" s="30" t="s">
        <v>1047</v>
      </c>
      <c r="J11185" s="30" t="s">
        <v>255</v>
      </c>
      <c r="L11185" s="30" t="s">
        <v>370</v>
      </c>
      <c r="M11185" s="30" t="s">
        <v>1230</v>
      </c>
      <c r="N11185" s="30" t="s">
        <v>1232</v>
      </c>
      <c r="P11185" s="30" t="s">
        <v>9852</v>
      </c>
      <c r="Q11185" t="s">
        <v>620</v>
      </c>
      <c r="R11185" t="s">
        <v>920</v>
      </c>
      <c r="S11185">
        <v>38</v>
      </c>
      <c r="T11185" s="29" t="str">
        <f t="shared" si="465"/>
        <v>2021.026M.Paramyxoviridae_sprename.zip</v>
      </c>
      <c r="U11185" s="29" t="str">
        <f>HYPERLINK("https://ictv.global/taxonomy/taxondetails?taxnode_id=202305578","ictv.global=202305578")</f>
        <v>ictv.global=202305578</v>
      </c>
    </row>
    <row r="11186" spans="1:21">
      <c r="A11186">
        <v>11185</v>
      </c>
      <c r="B11186" s="30" t="s">
        <v>1226</v>
      </c>
      <c r="D11186" s="30" t="s">
        <v>2024</v>
      </c>
      <c r="F11186" s="30" t="s">
        <v>1040</v>
      </c>
      <c r="G11186" s="30" t="s">
        <v>1041</v>
      </c>
      <c r="H11186" s="30" t="s">
        <v>1047</v>
      </c>
      <c r="J11186" s="30" t="s">
        <v>255</v>
      </c>
      <c r="L11186" s="30" t="s">
        <v>370</v>
      </c>
      <c r="M11186" s="30" t="s">
        <v>1230</v>
      </c>
      <c r="N11186" s="30" t="s">
        <v>1232</v>
      </c>
      <c r="P11186" s="30" t="s">
        <v>9853</v>
      </c>
      <c r="Q11186" t="s">
        <v>620</v>
      </c>
      <c r="R11186" t="s">
        <v>920</v>
      </c>
      <c r="S11186">
        <v>38</v>
      </c>
      <c r="T11186" s="29" t="str">
        <f t="shared" si="465"/>
        <v>2021.026M.Paramyxoviridae_sprename.zip</v>
      </c>
      <c r="U11186" s="29" t="str">
        <f>HYPERLINK("https://ictv.global/taxonomy/taxondetails?taxnode_id=202307416","ictv.global=202307416")</f>
        <v>ictv.global=202307416</v>
      </c>
    </row>
    <row r="11187" spans="1:21">
      <c r="A11187">
        <v>11186</v>
      </c>
      <c r="B11187" s="30" t="s">
        <v>1226</v>
      </c>
      <c r="D11187" s="30" t="s">
        <v>2024</v>
      </c>
      <c r="F11187" s="30" t="s">
        <v>1040</v>
      </c>
      <c r="G11187" s="30" t="s">
        <v>1041</v>
      </c>
      <c r="H11187" s="30" t="s">
        <v>1047</v>
      </c>
      <c r="J11187" s="30" t="s">
        <v>255</v>
      </c>
      <c r="L11187" s="30" t="s">
        <v>370</v>
      </c>
      <c r="M11187" s="30" t="s">
        <v>1230</v>
      </c>
      <c r="N11187" s="30" t="s">
        <v>1232</v>
      </c>
      <c r="P11187" s="30" t="s">
        <v>9854</v>
      </c>
      <c r="Q11187" t="s">
        <v>620</v>
      </c>
      <c r="R11187" t="s">
        <v>920</v>
      </c>
      <c r="S11187">
        <v>38</v>
      </c>
      <c r="T11187" s="29" t="str">
        <f t="shared" si="465"/>
        <v>2021.026M.Paramyxoviridae_sprename.zip</v>
      </c>
      <c r="U11187" s="29" t="str">
        <f>HYPERLINK("https://ictv.global/taxonomy/taxondetails?taxnode_id=202301599","ictv.global=202301599")</f>
        <v>ictv.global=202301599</v>
      </c>
    </row>
    <row r="11188" spans="1:21">
      <c r="A11188">
        <v>11187</v>
      </c>
      <c r="B11188" s="30" t="s">
        <v>1226</v>
      </c>
      <c r="D11188" s="30" t="s">
        <v>2024</v>
      </c>
      <c r="F11188" s="30" t="s">
        <v>1040</v>
      </c>
      <c r="G11188" s="30" t="s">
        <v>1041</v>
      </c>
      <c r="H11188" s="30" t="s">
        <v>1047</v>
      </c>
      <c r="J11188" s="30" t="s">
        <v>255</v>
      </c>
      <c r="L11188" s="30" t="s">
        <v>370</v>
      </c>
      <c r="M11188" s="30" t="s">
        <v>1230</v>
      </c>
      <c r="N11188" s="30" t="s">
        <v>1232</v>
      </c>
      <c r="P11188" s="30" t="s">
        <v>9855</v>
      </c>
      <c r="Q11188" t="s">
        <v>620</v>
      </c>
      <c r="R11188" t="s">
        <v>920</v>
      </c>
      <c r="S11188">
        <v>38</v>
      </c>
      <c r="T11188" s="29" t="str">
        <f t="shared" si="465"/>
        <v>2021.026M.Paramyxoviridae_sprename.zip</v>
      </c>
      <c r="U11188" s="29" t="str">
        <f>HYPERLINK("https://ictv.global/taxonomy/taxondetails?taxnode_id=202305579","ictv.global=202305579")</f>
        <v>ictv.global=202305579</v>
      </c>
    </row>
    <row r="11189" spans="1:21">
      <c r="A11189">
        <v>11188</v>
      </c>
      <c r="B11189" s="30" t="s">
        <v>1226</v>
      </c>
      <c r="D11189" s="30" t="s">
        <v>2024</v>
      </c>
      <c r="F11189" s="30" t="s">
        <v>1040</v>
      </c>
      <c r="G11189" s="30" t="s">
        <v>1041</v>
      </c>
      <c r="H11189" s="30" t="s">
        <v>1047</v>
      </c>
      <c r="J11189" s="30" t="s">
        <v>255</v>
      </c>
      <c r="L11189" s="30" t="s">
        <v>370</v>
      </c>
      <c r="M11189" s="30" t="s">
        <v>1230</v>
      </c>
      <c r="N11189" s="30" t="s">
        <v>1232</v>
      </c>
      <c r="P11189" s="30" t="s">
        <v>17300</v>
      </c>
      <c r="Q11189" t="s">
        <v>620</v>
      </c>
      <c r="R11189" t="s">
        <v>917</v>
      </c>
      <c r="S11189">
        <v>39</v>
      </c>
      <c r="T11189" s="29" t="str">
        <f>HYPERLINK("https://ictv.global/ictv/proposals/2023.018M.Paramyxoviridae_reorg.zip","2023.018M.Paramyxoviridae_reorg.zip")</f>
        <v>2023.018M.Paramyxoviridae_reorg.zip</v>
      </c>
      <c r="U11189" s="29" t="str">
        <f>HYPERLINK("https://ictv.global/taxonomy/taxondetails?taxnode_id=202318314","ictv.global=202318314")</f>
        <v>ictv.global=202318314</v>
      </c>
    </row>
    <row r="11190" spans="1:21">
      <c r="A11190">
        <v>11189</v>
      </c>
      <c r="B11190" s="30" t="s">
        <v>1226</v>
      </c>
      <c r="D11190" s="30" t="s">
        <v>2024</v>
      </c>
      <c r="F11190" s="30" t="s">
        <v>1040</v>
      </c>
      <c r="G11190" s="30" t="s">
        <v>1041</v>
      </c>
      <c r="H11190" s="30" t="s">
        <v>1047</v>
      </c>
      <c r="J11190" s="30" t="s">
        <v>255</v>
      </c>
      <c r="L11190" s="30" t="s">
        <v>370</v>
      </c>
      <c r="M11190" s="30" t="s">
        <v>1230</v>
      </c>
      <c r="N11190" s="30" t="s">
        <v>1232</v>
      </c>
      <c r="P11190" s="30" t="s">
        <v>9856</v>
      </c>
      <c r="Q11190" t="s">
        <v>620</v>
      </c>
      <c r="R11190" t="s">
        <v>920</v>
      </c>
      <c r="S11190">
        <v>38</v>
      </c>
      <c r="T11190" s="29" t="str">
        <f>HYPERLINK("https://ictv.global/ictv/proposals/2021.026M.Paramyxoviridae_sprename.zip","2021.026M.Paramyxoviridae_sprename.zip")</f>
        <v>2021.026M.Paramyxoviridae_sprename.zip</v>
      </c>
      <c r="U11190" s="29" t="str">
        <f>HYPERLINK("https://ictv.global/taxonomy/taxondetails?taxnode_id=202305576","ictv.global=202305576")</f>
        <v>ictv.global=202305576</v>
      </c>
    </row>
    <row r="11191" spans="1:21">
      <c r="A11191">
        <v>11190</v>
      </c>
      <c r="B11191" s="30" t="s">
        <v>1226</v>
      </c>
      <c r="D11191" s="30" t="s">
        <v>2024</v>
      </c>
      <c r="F11191" s="30" t="s">
        <v>1040</v>
      </c>
      <c r="G11191" s="30" t="s">
        <v>1041</v>
      </c>
      <c r="H11191" s="30" t="s">
        <v>1047</v>
      </c>
      <c r="J11191" s="30" t="s">
        <v>255</v>
      </c>
      <c r="L11191" s="30" t="s">
        <v>370</v>
      </c>
      <c r="M11191" s="30" t="s">
        <v>1230</v>
      </c>
      <c r="N11191" s="30" t="s">
        <v>1233</v>
      </c>
      <c r="P11191" s="30" t="s">
        <v>9857</v>
      </c>
      <c r="Q11191" t="s">
        <v>620</v>
      </c>
      <c r="R11191" t="s">
        <v>920</v>
      </c>
      <c r="S11191">
        <v>38</v>
      </c>
      <c r="T11191" s="29" t="str">
        <f>HYPERLINK("https://ictv.global/ictv/proposals/2021.026M.Paramyxoviridae_sprename.zip","2021.026M.Paramyxoviridae_sprename.zip")</f>
        <v>2021.026M.Paramyxoviridae_sprename.zip</v>
      </c>
      <c r="U11191" s="29" t="str">
        <f>HYPERLINK("https://ictv.global/taxonomy/taxondetails?taxnode_id=202301594","ictv.global=202301594")</f>
        <v>ictv.global=202301594</v>
      </c>
    </row>
    <row r="11192" spans="1:21">
      <c r="A11192">
        <v>11191</v>
      </c>
      <c r="B11192" s="30" t="s">
        <v>1226</v>
      </c>
      <c r="D11192" s="30" t="s">
        <v>2024</v>
      </c>
      <c r="F11192" s="30" t="s">
        <v>1040</v>
      </c>
      <c r="G11192" s="30" t="s">
        <v>1041</v>
      </c>
      <c r="H11192" s="30" t="s">
        <v>1047</v>
      </c>
      <c r="J11192" s="30" t="s">
        <v>255</v>
      </c>
      <c r="L11192" s="30" t="s">
        <v>370</v>
      </c>
      <c r="M11192" s="30" t="s">
        <v>1230</v>
      </c>
      <c r="N11192" s="30" t="s">
        <v>1233</v>
      </c>
      <c r="P11192" s="30" t="s">
        <v>17301</v>
      </c>
      <c r="Q11192" t="s">
        <v>620</v>
      </c>
      <c r="R11192" t="s">
        <v>917</v>
      </c>
      <c r="S11192">
        <v>39</v>
      </c>
      <c r="T11192" s="29" t="str">
        <f>HYPERLINK("https://ictv.global/ictv/proposals/2023.018M.Paramyxoviridae_reorg.zip","2023.018M.Paramyxoviridae_reorg.zip")</f>
        <v>2023.018M.Paramyxoviridae_reorg.zip</v>
      </c>
      <c r="U11192" s="29" t="str">
        <f>HYPERLINK("https://ictv.global/taxonomy/taxondetails?taxnode_id=202318316","ictv.global=202318316")</f>
        <v>ictv.global=202318316</v>
      </c>
    </row>
    <row r="11193" spans="1:21">
      <c r="A11193">
        <v>11192</v>
      </c>
      <c r="B11193" s="30" t="s">
        <v>1226</v>
      </c>
      <c r="D11193" s="30" t="s">
        <v>2024</v>
      </c>
      <c r="F11193" s="30" t="s">
        <v>1040</v>
      </c>
      <c r="G11193" s="30" t="s">
        <v>1041</v>
      </c>
      <c r="H11193" s="30" t="s">
        <v>1047</v>
      </c>
      <c r="J11193" s="30" t="s">
        <v>255</v>
      </c>
      <c r="L11193" s="30" t="s">
        <v>370</v>
      </c>
      <c r="M11193" s="30" t="s">
        <v>1230</v>
      </c>
      <c r="N11193" s="30" t="s">
        <v>1233</v>
      </c>
      <c r="P11193" s="30" t="s">
        <v>9858</v>
      </c>
      <c r="Q11193" t="s">
        <v>620</v>
      </c>
      <c r="R11193" t="s">
        <v>920</v>
      </c>
      <c r="S11193">
        <v>38</v>
      </c>
      <c r="T11193" s="29" t="str">
        <f>HYPERLINK("https://ictv.global/ictv/proposals/2021.026M.Paramyxoviridae_sprename.zip","2021.026M.Paramyxoviridae_sprename.zip")</f>
        <v>2021.026M.Paramyxoviridae_sprename.zip</v>
      </c>
      <c r="U11193" s="29" t="str">
        <f>HYPERLINK("https://ictv.global/taxonomy/taxondetails?taxnode_id=202301593","ictv.global=202301593")</f>
        <v>ictv.global=202301593</v>
      </c>
    </row>
    <row r="11194" spans="1:21">
      <c r="A11194">
        <v>11193</v>
      </c>
      <c r="B11194" s="30" t="s">
        <v>1226</v>
      </c>
      <c r="D11194" s="30" t="s">
        <v>2024</v>
      </c>
      <c r="F11194" s="30" t="s">
        <v>1040</v>
      </c>
      <c r="G11194" s="30" t="s">
        <v>1041</v>
      </c>
      <c r="H11194" s="30" t="s">
        <v>1047</v>
      </c>
      <c r="J11194" s="30" t="s">
        <v>255</v>
      </c>
      <c r="L11194" s="30" t="s">
        <v>370</v>
      </c>
      <c r="M11194" s="30" t="s">
        <v>17302</v>
      </c>
      <c r="N11194" s="30" t="s">
        <v>353</v>
      </c>
      <c r="P11194" s="30" t="s">
        <v>9860</v>
      </c>
      <c r="Q11194" t="s">
        <v>620</v>
      </c>
      <c r="R11194" t="s">
        <v>919</v>
      </c>
      <c r="S11194">
        <v>39</v>
      </c>
      <c r="T11194" s="29" t="str">
        <f t="shared" ref="T11194:T11208" si="466">HYPERLINK("https://ictv.global/ictv/proposals/2023.018M.Paramyxoviridae_reorg.zip","2023.018M.Paramyxoviridae_reorg.zip")</f>
        <v>2023.018M.Paramyxoviridae_reorg.zip</v>
      </c>
      <c r="U11194" s="29" t="str">
        <f>HYPERLINK("https://ictv.global/taxonomy/taxondetails?taxnode_id=202307559","ictv.global=202307559")</f>
        <v>ictv.global=202307559</v>
      </c>
    </row>
    <row r="11195" spans="1:21">
      <c r="A11195">
        <v>11194</v>
      </c>
      <c r="B11195" s="30" t="s">
        <v>1226</v>
      </c>
      <c r="D11195" s="30" t="s">
        <v>2024</v>
      </c>
      <c r="F11195" s="30" t="s">
        <v>1040</v>
      </c>
      <c r="G11195" s="30" t="s">
        <v>1041</v>
      </c>
      <c r="H11195" s="30" t="s">
        <v>1047</v>
      </c>
      <c r="J11195" s="30" t="s">
        <v>255</v>
      </c>
      <c r="L11195" s="30" t="s">
        <v>370</v>
      </c>
      <c r="M11195" s="30" t="s">
        <v>17302</v>
      </c>
      <c r="N11195" s="30" t="s">
        <v>353</v>
      </c>
      <c r="P11195" s="30" t="s">
        <v>9861</v>
      </c>
      <c r="Q11195" t="s">
        <v>620</v>
      </c>
      <c r="R11195" t="s">
        <v>919</v>
      </c>
      <c r="S11195">
        <v>39</v>
      </c>
      <c r="T11195" s="29" t="str">
        <f t="shared" si="466"/>
        <v>2023.018M.Paramyxoviridae_reorg.zip</v>
      </c>
      <c r="U11195" s="29" t="str">
        <f>HYPERLINK("https://ictv.global/taxonomy/taxondetails?taxnode_id=202301589","ictv.global=202301589")</f>
        <v>ictv.global=202301589</v>
      </c>
    </row>
    <row r="11196" spans="1:21">
      <c r="A11196">
        <v>11195</v>
      </c>
      <c r="B11196" s="30" t="s">
        <v>1226</v>
      </c>
      <c r="D11196" s="30" t="s">
        <v>2024</v>
      </c>
      <c r="F11196" s="30" t="s">
        <v>1040</v>
      </c>
      <c r="G11196" s="30" t="s">
        <v>1041</v>
      </c>
      <c r="H11196" s="30" t="s">
        <v>1047</v>
      </c>
      <c r="J11196" s="30" t="s">
        <v>255</v>
      </c>
      <c r="L11196" s="30" t="s">
        <v>370</v>
      </c>
      <c r="M11196" s="30" t="s">
        <v>17302</v>
      </c>
      <c r="N11196" s="30" t="s">
        <v>354</v>
      </c>
      <c r="P11196" s="30" t="s">
        <v>9862</v>
      </c>
      <c r="Q11196" t="s">
        <v>620</v>
      </c>
      <c r="R11196" t="s">
        <v>919</v>
      </c>
      <c r="S11196">
        <v>39</v>
      </c>
      <c r="T11196" s="29" t="str">
        <f t="shared" si="466"/>
        <v>2023.018M.Paramyxoviridae_reorg.zip</v>
      </c>
      <c r="U11196" s="29" t="str">
        <f>HYPERLINK("https://ictv.global/taxonomy/taxondetails?taxnode_id=202301605","ictv.global=202301605")</f>
        <v>ictv.global=202301605</v>
      </c>
    </row>
    <row r="11197" spans="1:21">
      <c r="A11197">
        <v>11196</v>
      </c>
      <c r="B11197" s="30" t="s">
        <v>1226</v>
      </c>
      <c r="D11197" s="30" t="s">
        <v>2024</v>
      </c>
      <c r="F11197" s="30" t="s">
        <v>1040</v>
      </c>
      <c r="G11197" s="30" t="s">
        <v>1041</v>
      </c>
      <c r="H11197" s="30" t="s">
        <v>1047</v>
      </c>
      <c r="J11197" s="30" t="s">
        <v>255</v>
      </c>
      <c r="L11197" s="30" t="s">
        <v>370</v>
      </c>
      <c r="M11197" s="30" t="s">
        <v>17302</v>
      </c>
      <c r="N11197" s="30" t="s">
        <v>345</v>
      </c>
      <c r="P11197" s="30" t="s">
        <v>9885</v>
      </c>
      <c r="Q11197" t="s">
        <v>620</v>
      </c>
      <c r="R11197" t="s">
        <v>919</v>
      </c>
      <c r="S11197">
        <v>39</v>
      </c>
      <c r="T11197" s="29" t="str">
        <f t="shared" si="466"/>
        <v>2023.018M.Paramyxoviridae_reorg.zip</v>
      </c>
      <c r="U11197" s="29" t="str">
        <f>HYPERLINK("https://ictv.global/taxonomy/taxondetails?taxnode_id=202301621","ictv.global=202301621")</f>
        <v>ictv.global=202301621</v>
      </c>
    </row>
    <row r="11198" spans="1:21">
      <c r="A11198">
        <v>11197</v>
      </c>
      <c r="B11198" s="30" t="s">
        <v>1226</v>
      </c>
      <c r="D11198" s="30" t="s">
        <v>2024</v>
      </c>
      <c r="F11198" s="30" t="s">
        <v>1040</v>
      </c>
      <c r="G11198" s="30" t="s">
        <v>1041</v>
      </c>
      <c r="H11198" s="30" t="s">
        <v>1047</v>
      </c>
      <c r="J11198" s="30" t="s">
        <v>255</v>
      </c>
      <c r="L11198" s="30" t="s">
        <v>370</v>
      </c>
      <c r="M11198" s="30" t="s">
        <v>17302</v>
      </c>
      <c r="N11198" s="30" t="s">
        <v>345</v>
      </c>
      <c r="P11198" s="30" t="s">
        <v>9886</v>
      </c>
      <c r="Q11198" t="s">
        <v>620</v>
      </c>
      <c r="R11198" t="s">
        <v>919</v>
      </c>
      <c r="S11198">
        <v>39</v>
      </c>
      <c r="T11198" s="29" t="str">
        <f t="shared" si="466"/>
        <v>2023.018M.Paramyxoviridae_reorg.zip</v>
      </c>
      <c r="U11198" s="29" t="str">
        <f>HYPERLINK("https://ictv.global/taxonomy/taxondetails?taxnode_id=202306464","ictv.global=202306464")</f>
        <v>ictv.global=202306464</v>
      </c>
    </row>
    <row r="11199" spans="1:21">
      <c r="A11199">
        <v>11198</v>
      </c>
      <c r="B11199" s="30" t="s">
        <v>1226</v>
      </c>
      <c r="D11199" s="30" t="s">
        <v>2024</v>
      </c>
      <c r="F11199" s="30" t="s">
        <v>1040</v>
      </c>
      <c r="G11199" s="30" t="s">
        <v>1041</v>
      </c>
      <c r="H11199" s="30" t="s">
        <v>1047</v>
      </c>
      <c r="J11199" s="30" t="s">
        <v>255</v>
      </c>
      <c r="L11199" s="30" t="s">
        <v>370</v>
      </c>
      <c r="M11199" s="30" t="s">
        <v>17302</v>
      </c>
      <c r="N11199" s="30" t="s">
        <v>345</v>
      </c>
      <c r="P11199" s="30" t="s">
        <v>17303</v>
      </c>
      <c r="Q11199" t="s">
        <v>620</v>
      </c>
      <c r="R11199" t="s">
        <v>917</v>
      </c>
      <c r="S11199">
        <v>39</v>
      </c>
      <c r="T11199" s="29" t="str">
        <f t="shared" si="466"/>
        <v>2023.018M.Paramyxoviridae_reorg.zip</v>
      </c>
      <c r="U11199" s="29" t="str">
        <f>HYPERLINK("https://ictv.global/taxonomy/taxondetails?taxnode_id=202318312","ictv.global=202318312")</f>
        <v>ictv.global=202318312</v>
      </c>
    </row>
    <row r="11200" spans="1:21">
      <c r="A11200">
        <v>11199</v>
      </c>
      <c r="B11200" s="30" t="s">
        <v>1226</v>
      </c>
      <c r="D11200" s="30" t="s">
        <v>2024</v>
      </c>
      <c r="F11200" s="30" t="s">
        <v>1040</v>
      </c>
      <c r="G11200" s="30" t="s">
        <v>1041</v>
      </c>
      <c r="H11200" s="30" t="s">
        <v>1047</v>
      </c>
      <c r="J11200" s="30" t="s">
        <v>255</v>
      </c>
      <c r="L11200" s="30" t="s">
        <v>370</v>
      </c>
      <c r="M11200" s="30" t="s">
        <v>17302</v>
      </c>
      <c r="N11200" s="30" t="s">
        <v>345</v>
      </c>
      <c r="P11200" s="30" t="s">
        <v>9887</v>
      </c>
      <c r="Q11200" t="s">
        <v>620</v>
      </c>
      <c r="R11200" t="s">
        <v>919</v>
      </c>
      <c r="S11200">
        <v>39</v>
      </c>
      <c r="T11200" s="29" t="str">
        <f t="shared" si="466"/>
        <v>2023.018M.Paramyxoviridae_reorg.zip</v>
      </c>
      <c r="U11200" s="29" t="str">
        <f>HYPERLINK("https://ictv.global/taxonomy/taxondetails?taxnode_id=202301622","ictv.global=202301622")</f>
        <v>ictv.global=202301622</v>
      </c>
    </row>
    <row r="11201" spans="1:21">
      <c r="A11201">
        <v>11200</v>
      </c>
      <c r="B11201" s="30" t="s">
        <v>1226</v>
      </c>
      <c r="D11201" s="30" t="s">
        <v>2024</v>
      </c>
      <c r="F11201" s="30" t="s">
        <v>1040</v>
      </c>
      <c r="G11201" s="30" t="s">
        <v>1041</v>
      </c>
      <c r="H11201" s="30" t="s">
        <v>1047</v>
      </c>
      <c r="J11201" s="30" t="s">
        <v>255</v>
      </c>
      <c r="L11201" s="30" t="s">
        <v>370</v>
      </c>
      <c r="M11201" s="30" t="s">
        <v>17302</v>
      </c>
      <c r="N11201" s="30" t="s">
        <v>345</v>
      </c>
      <c r="P11201" s="30" t="s">
        <v>9888</v>
      </c>
      <c r="Q11201" t="s">
        <v>620</v>
      </c>
      <c r="R11201" t="s">
        <v>919</v>
      </c>
      <c r="S11201">
        <v>39</v>
      </c>
      <c r="T11201" s="29" t="str">
        <f t="shared" si="466"/>
        <v>2023.018M.Paramyxoviridae_reorg.zip</v>
      </c>
      <c r="U11201" s="29" t="str">
        <f>HYPERLINK("https://ictv.global/taxonomy/taxondetails?taxnode_id=202301624","ictv.global=202301624")</f>
        <v>ictv.global=202301624</v>
      </c>
    </row>
    <row r="11202" spans="1:21">
      <c r="A11202">
        <v>11201</v>
      </c>
      <c r="B11202" s="30" t="s">
        <v>1226</v>
      </c>
      <c r="D11202" s="30" t="s">
        <v>2024</v>
      </c>
      <c r="F11202" s="30" t="s">
        <v>1040</v>
      </c>
      <c r="G11202" s="30" t="s">
        <v>1041</v>
      </c>
      <c r="H11202" s="30" t="s">
        <v>1047</v>
      </c>
      <c r="J11202" s="30" t="s">
        <v>255</v>
      </c>
      <c r="L11202" s="30" t="s">
        <v>370</v>
      </c>
      <c r="M11202" s="30" t="s">
        <v>17302</v>
      </c>
      <c r="N11202" s="30" t="s">
        <v>345</v>
      </c>
      <c r="P11202" s="30" t="s">
        <v>9889</v>
      </c>
      <c r="Q11202" t="s">
        <v>620</v>
      </c>
      <c r="R11202" t="s">
        <v>919</v>
      </c>
      <c r="S11202">
        <v>39</v>
      </c>
      <c r="T11202" s="29" t="str">
        <f t="shared" si="466"/>
        <v>2023.018M.Paramyxoviridae_reorg.zip</v>
      </c>
      <c r="U11202" s="29" t="str">
        <f>HYPERLINK("https://ictv.global/taxonomy/taxondetails?taxnode_id=202301623","ictv.global=202301623")</f>
        <v>ictv.global=202301623</v>
      </c>
    </row>
    <row r="11203" spans="1:21">
      <c r="A11203">
        <v>11202</v>
      </c>
      <c r="B11203" s="30" t="s">
        <v>1226</v>
      </c>
      <c r="D11203" s="30" t="s">
        <v>2024</v>
      </c>
      <c r="F11203" s="30" t="s">
        <v>1040</v>
      </c>
      <c r="G11203" s="30" t="s">
        <v>1041</v>
      </c>
      <c r="H11203" s="30" t="s">
        <v>1047</v>
      </c>
      <c r="J11203" s="30" t="s">
        <v>255</v>
      </c>
      <c r="L11203" s="30" t="s">
        <v>370</v>
      </c>
      <c r="M11203" s="30" t="s">
        <v>17302</v>
      </c>
      <c r="N11203" s="30" t="s">
        <v>345</v>
      </c>
      <c r="P11203" s="30" t="s">
        <v>9890</v>
      </c>
      <c r="Q11203" t="s">
        <v>620</v>
      </c>
      <c r="R11203" t="s">
        <v>919</v>
      </c>
      <c r="S11203">
        <v>39</v>
      </c>
      <c r="T11203" s="29" t="str">
        <f t="shared" si="466"/>
        <v>2023.018M.Paramyxoviridae_reorg.zip</v>
      </c>
      <c r="U11203" s="29" t="str">
        <f>HYPERLINK("https://ictv.global/taxonomy/taxondetails?taxnode_id=202307454","ictv.global=202307454")</f>
        <v>ictv.global=202307454</v>
      </c>
    </row>
    <row r="11204" spans="1:21">
      <c r="A11204">
        <v>11203</v>
      </c>
      <c r="B11204" s="30" t="s">
        <v>1226</v>
      </c>
      <c r="D11204" s="30" t="s">
        <v>2024</v>
      </c>
      <c r="F11204" s="30" t="s">
        <v>1040</v>
      </c>
      <c r="G11204" s="30" t="s">
        <v>1041</v>
      </c>
      <c r="H11204" s="30" t="s">
        <v>1047</v>
      </c>
      <c r="J11204" s="30" t="s">
        <v>255</v>
      </c>
      <c r="L11204" s="30" t="s">
        <v>370</v>
      </c>
      <c r="M11204" s="30" t="s">
        <v>17302</v>
      </c>
      <c r="N11204" s="30" t="s">
        <v>345</v>
      </c>
      <c r="P11204" s="30" t="s">
        <v>17304</v>
      </c>
      <c r="Q11204" t="s">
        <v>620</v>
      </c>
      <c r="R11204" t="s">
        <v>917</v>
      </c>
      <c r="S11204">
        <v>39</v>
      </c>
      <c r="T11204" s="29" t="str">
        <f t="shared" si="466"/>
        <v>2023.018M.Paramyxoviridae_reorg.zip</v>
      </c>
      <c r="U11204" s="29" t="str">
        <f>HYPERLINK("https://ictv.global/taxonomy/taxondetails?taxnode_id=202318311","ictv.global=202318311")</f>
        <v>ictv.global=202318311</v>
      </c>
    </row>
    <row r="11205" spans="1:21">
      <c r="A11205">
        <v>11204</v>
      </c>
      <c r="B11205" s="30" t="s">
        <v>1226</v>
      </c>
      <c r="D11205" s="30" t="s">
        <v>2024</v>
      </c>
      <c r="F11205" s="30" t="s">
        <v>1040</v>
      </c>
      <c r="G11205" s="30" t="s">
        <v>1041</v>
      </c>
      <c r="H11205" s="30" t="s">
        <v>1047</v>
      </c>
      <c r="J11205" s="30" t="s">
        <v>255</v>
      </c>
      <c r="L11205" s="30" t="s">
        <v>370</v>
      </c>
      <c r="M11205" s="30" t="s">
        <v>17302</v>
      </c>
      <c r="N11205" s="30" t="s">
        <v>345</v>
      </c>
      <c r="P11205" s="30" t="s">
        <v>9891</v>
      </c>
      <c r="Q11205" t="s">
        <v>620</v>
      </c>
      <c r="R11205" t="s">
        <v>919</v>
      </c>
      <c r="S11205">
        <v>39</v>
      </c>
      <c r="T11205" s="29" t="str">
        <f t="shared" si="466"/>
        <v>2023.018M.Paramyxoviridae_reorg.zip</v>
      </c>
      <c r="U11205" s="29" t="str">
        <f>HYPERLINK("https://ictv.global/taxonomy/taxondetails?taxnode_id=202301625","ictv.global=202301625")</f>
        <v>ictv.global=202301625</v>
      </c>
    </row>
    <row r="11206" spans="1:21">
      <c r="A11206">
        <v>11205</v>
      </c>
      <c r="B11206" s="30" t="s">
        <v>1226</v>
      </c>
      <c r="D11206" s="30" t="s">
        <v>2024</v>
      </c>
      <c r="F11206" s="30" t="s">
        <v>1040</v>
      </c>
      <c r="G11206" s="30" t="s">
        <v>1041</v>
      </c>
      <c r="H11206" s="30" t="s">
        <v>1047</v>
      </c>
      <c r="J11206" s="30" t="s">
        <v>255</v>
      </c>
      <c r="L11206" s="30" t="s">
        <v>370</v>
      </c>
      <c r="M11206" s="30" t="s">
        <v>17305</v>
      </c>
      <c r="N11206" s="30" t="s">
        <v>2057</v>
      </c>
      <c r="P11206" s="30" t="s">
        <v>9910</v>
      </c>
      <c r="Q11206" t="s">
        <v>620</v>
      </c>
      <c r="R11206" t="s">
        <v>919</v>
      </c>
      <c r="S11206">
        <v>39</v>
      </c>
      <c r="T11206" s="29" t="str">
        <f t="shared" si="466"/>
        <v>2023.018M.Paramyxoviridae_reorg.zip</v>
      </c>
      <c r="U11206" s="29" t="str">
        <f>HYPERLINK("https://ictv.global/taxonomy/taxondetails?taxnode_id=202306473","ictv.global=202306473")</f>
        <v>ictv.global=202306473</v>
      </c>
    </row>
    <row r="11207" spans="1:21">
      <c r="A11207">
        <v>11206</v>
      </c>
      <c r="B11207" s="30" t="s">
        <v>1226</v>
      </c>
      <c r="D11207" s="30" t="s">
        <v>2024</v>
      </c>
      <c r="F11207" s="30" t="s">
        <v>1040</v>
      </c>
      <c r="G11207" s="30" t="s">
        <v>1041</v>
      </c>
      <c r="H11207" s="30" t="s">
        <v>1047</v>
      </c>
      <c r="J11207" s="30" t="s">
        <v>255</v>
      </c>
      <c r="L11207" s="30" t="s">
        <v>370</v>
      </c>
      <c r="M11207" s="30" t="s">
        <v>17306</v>
      </c>
      <c r="N11207" s="30" t="s">
        <v>2058</v>
      </c>
      <c r="P11207" s="30" t="s">
        <v>9911</v>
      </c>
      <c r="Q11207" t="s">
        <v>620</v>
      </c>
      <c r="R11207" t="s">
        <v>919</v>
      </c>
      <c r="S11207">
        <v>39</v>
      </c>
      <c r="T11207" s="29" t="str">
        <f t="shared" si="466"/>
        <v>2023.018M.Paramyxoviridae_reorg.zip</v>
      </c>
      <c r="U11207" s="29" t="str">
        <f>HYPERLINK("https://ictv.global/taxonomy/taxondetails?taxnode_id=202306474","ictv.global=202306474")</f>
        <v>ictv.global=202306474</v>
      </c>
    </row>
    <row r="11208" spans="1:21">
      <c r="A11208">
        <v>11207</v>
      </c>
      <c r="B11208" s="30" t="s">
        <v>1226</v>
      </c>
      <c r="D11208" s="30" t="s">
        <v>2024</v>
      </c>
      <c r="F11208" s="30" t="s">
        <v>1040</v>
      </c>
      <c r="G11208" s="30" t="s">
        <v>1041</v>
      </c>
      <c r="H11208" s="30" t="s">
        <v>1047</v>
      </c>
      <c r="J11208" s="30" t="s">
        <v>255</v>
      </c>
      <c r="L11208" s="30" t="s">
        <v>370</v>
      </c>
      <c r="M11208" s="30" t="s">
        <v>17307</v>
      </c>
      <c r="N11208" s="30" t="s">
        <v>17308</v>
      </c>
      <c r="P11208" s="30" t="s">
        <v>17309</v>
      </c>
      <c r="Q11208" t="s">
        <v>620</v>
      </c>
      <c r="R11208" t="s">
        <v>917</v>
      </c>
      <c r="S11208">
        <v>39</v>
      </c>
      <c r="T11208" s="29" t="str">
        <f t="shared" si="466"/>
        <v>2023.018M.Paramyxoviridae_reorg.zip</v>
      </c>
      <c r="U11208" s="29" t="str">
        <f>HYPERLINK("https://ictv.global/taxonomy/taxondetails?taxnode_id=202318313","ictv.global=202318313")</f>
        <v>ictv.global=202318313</v>
      </c>
    </row>
    <row r="11209" spans="1:21">
      <c r="A11209">
        <v>11208</v>
      </c>
      <c r="B11209" s="30" t="s">
        <v>1226</v>
      </c>
      <c r="D11209" s="30" t="s">
        <v>2024</v>
      </c>
      <c r="F11209" s="30" t="s">
        <v>1040</v>
      </c>
      <c r="G11209" s="30" t="s">
        <v>1041</v>
      </c>
      <c r="H11209" s="30" t="s">
        <v>1047</v>
      </c>
      <c r="J11209" s="30" t="s">
        <v>255</v>
      </c>
      <c r="L11209" s="30" t="s">
        <v>370</v>
      </c>
      <c r="M11209" s="30" t="s">
        <v>1234</v>
      </c>
      <c r="N11209" s="30" t="s">
        <v>1235</v>
      </c>
      <c r="P11209" s="30" t="s">
        <v>9859</v>
      </c>
      <c r="Q11209" t="s">
        <v>620</v>
      </c>
      <c r="R11209" t="s">
        <v>920</v>
      </c>
      <c r="S11209">
        <v>38</v>
      </c>
      <c r="T11209" s="29" t="str">
        <f>HYPERLINK("https://ictv.global/ictv/proposals/2021.026M.Paramyxoviridae_sprename.zip","2021.026M.Paramyxoviridae_sprename.zip")</f>
        <v>2021.026M.Paramyxoviridae_sprename.zip</v>
      </c>
      <c r="U11209" s="29" t="str">
        <f>HYPERLINK("https://ictv.global/taxonomy/taxondetails?taxnode_id=202306472","ictv.global=202306472")</f>
        <v>ictv.global=202306472</v>
      </c>
    </row>
    <row r="11210" spans="1:21">
      <c r="A11210">
        <v>11209</v>
      </c>
      <c r="B11210" s="30" t="s">
        <v>1226</v>
      </c>
      <c r="D11210" s="30" t="s">
        <v>2024</v>
      </c>
      <c r="F11210" s="30" t="s">
        <v>1040</v>
      </c>
      <c r="G11210" s="30" t="s">
        <v>1041</v>
      </c>
      <c r="H11210" s="30" t="s">
        <v>1047</v>
      </c>
      <c r="J11210" s="30" t="s">
        <v>255</v>
      </c>
      <c r="L11210" s="30" t="s">
        <v>370</v>
      </c>
      <c r="M11210" s="30" t="s">
        <v>1236</v>
      </c>
      <c r="N11210" s="30" t="s">
        <v>17310</v>
      </c>
      <c r="P11210" s="30" t="s">
        <v>17311</v>
      </c>
      <c r="Q11210" t="s">
        <v>620</v>
      </c>
      <c r="R11210" t="s">
        <v>917</v>
      </c>
      <c r="S11210">
        <v>39</v>
      </c>
      <c r="T11210" s="29" t="str">
        <f>HYPERLINK("https://ictv.global/ictv/proposals/2023.018M.Paramyxoviridae_reorg.zip","2023.018M.Paramyxoviridae_reorg.zip")</f>
        <v>2023.018M.Paramyxoviridae_reorg.zip</v>
      </c>
      <c r="U11210" s="29" t="str">
        <f>HYPERLINK("https://ictv.global/taxonomy/taxondetails?taxnode_id=202318322","ictv.global=202318322")</f>
        <v>ictv.global=202318322</v>
      </c>
    </row>
    <row r="11211" spans="1:21">
      <c r="A11211">
        <v>11210</v>
      </c>
      <c r="B11211" s="30" t="s">
        <v>1226</v>
      </c>
      <c r="D11211" s="30" t="s">
        <v>2024</v>
      </c>
      <c r="F11211" s="30" t="s">
        <v>1040</v>
      </c>
      <c r="G11211" s="30" t="s">
        <v>1041</v>
      </c>
      <c r="H11211" s="30" t="s">
        <v>1047</v>
      </c>
      <c r="J11211" s="30" t="s">
        <v>255</v>
      </c>
      <c r="L11211" s="30" t="s">
        <v>370</v>
      </c>
      <c r="M11211" s="30" t="s">
        <v>1236</v>
      </c>
      <c r="N11211" s="30" t="s">
        <v>343</v>
      </c>
      <c r="P11211" s="30" t="s">
        <v>17312</v>
      </c>
      <c r="Q11211" t="s">
        <v>620</v>
      </c>
      <c r="R11211" t="s">
        <v>917</v>
      </c>
      <c r="S11211">
        <v>39</v>
      </c>
      <c r="T11211" s="29" t="str">
        <f>HYPERLINK("https://ictv.global/ictv/proposals/2023.018M.Paramyxoviridae_reorg.zip","2023.018M.Paramyxoviridae_reorg.zip")</f>
        <v>2023.018M.Paramyxoviridae_reorg.zip</v>
      </c>
      <c r="U11211" s="29" t="str">
        <f>HYPERLINK("https://ictv.global/taxonomy/taxondetails?taxnode_id=202318326","ictv.global=202318326")</f>
        <v>ictv.global=202318326</v>
      </c>
    </row>
    <row r="11212" spans="1:21">
      <c r="A11212">
        <v>11211</v>
      </c>
      <c r="B11212" s="30" t="s">
        <v>1226</v>
      </c>
      <c r="D11212" s="30" t="s">
        <v>2024</v>
      </c>
      <c r="F11212" s="30" t="s">
        <v>1040</v>
      </c>
      <c r="G11212" s="30" t="s">
        <v>1041</v>
      </c>
      <c r="H11212" s="30" t="s">
        <v>1047</v>
      </c>
      <c r="J11212" s="30" t="s">
        <v>255</v>
      </c>
      <c r="L11212" s="30" t="s">
        <v>370</v>
      </c>
      <c r="M11212" s="30" t="s">
        <v>1236</v>
      </c>
      <c r="N11212" s="30" t="s">
        <v>343</v>
      </c>
      <c r="P11212" s="30" t="s">
        <v>9863</v>
      </c>
      <c r="Q11212" t="s">
        <v>620</v>
      </c>
      <c r="R11212" t="s">
        <v>920</v>
      </c>
      <c r="S11212">
        <v>38</v>
      </c>
      <c r="T11212" s="29" t="str">
        <f>HYPERLINK("https://ictv.global/ictv/proposals/2021.026M.Paramyxoviridae_sprename.zip","2021.026M.Paramyxoviridae_sprename.zip")</f>
        <v>2021.026M.Paramyxoviridae_sprename.zip</v>
      </c>
      <c r="U11212" s="29" t="str">
        <f>HYPERLINK("https://ictv.global/taxonomy/taxondetails?taxnode_id=202301607","ictv.global=202301607")</f>
        <v>ictv.global=202301607</v>
      </c>
    </row>
    <row r="11213" spans="1:21">
      <c r="A11213">
        <v>11212</v>
      </c>
      <c r="B11213" s="30" t="s">
        <v>1226</v>
      </c>
      <c r="D11213" s="30" t="s">
        <v>2024</v>
      </c>
      <c r="F11213" s="30" t="s">
        <v>1040</v>
      </c>
      <c r="G11213" s="30" t="s">
        <v>1041</v>
      </c>
      <c r="H11213" s="30" t="s">
        <v>1047</v>
      </c>
      <c r="J11213" s="30" t="s">
        <v>255</v>
      </c>
      <c r="L11213" s="30" t="s">
        <v>370</v>
      </c>
      <c r="M11213" s="30" t="s">
        <v>1236</v>
      </c>
      <c r="N11213" s="30" t="s">
        <v>343</v>
      </c>
      <c r="P11213" s="30" t="s">
        <v>9864</v>
      </c>
      <c r="Q11213" t="s">
        <v>620</v>
      </c>
      <c r="R11213" t="s">
        <v>920</v>
      </c>
      <c r="S11213">
        <v>38</v>
      </c>
      <c r="T11213" s="29" t="str">
        <f>HYPERLINK("https://ictv.global/ictv/proposals/2021.026M.Paramyxoviridae_sprename.zip","2021.026M.Paramyxoviridae_sprename.zip")</f>
        <v>2021.026M.Paramyxoviridae_sprename.zip</v>
      </c>
      <c r="U11213" s="29" t="str">
        <f>HYPERLINK("https://ictv.global/taxonomy/taxondetails?taxnode_id=202301608","ictv.global=202301608")</f>
        <v>ictv.global=202301608</v>
      </c>
    </row>
    <row r="11214" spans="1:21">
      <c r="A11214">
        <v>11213</v>
      </c>
      <c r="B11214" s="30" t="s">
        <v>1226</v>
      </c>
      <c r="D11214" s="30" t="s">
        <v>2024</v>
      </c>
      <c r="F11214" s="30" t="s">
        <v>1040</v>
      </c>
      <c r="G11214" s="30" t="s">
        <v>1041</v>
      </c>
      <c r="H11214" s="30" t="s">
        <v>1047</v>
      </c>
      <c r="J11214" s="30" t="s">
        <v>255</v>
      </c>
      <c r="L11214" s="30" t="s">
        <v>370</v>
      </c>
      <c r="M11214" s="30" t="s">
        <v>1236</v>
      </c>
      <c r="N11214" s="30" t="s">
        <v>343</v>
      </c>
      <c r="P11214" s="30" t="s">
        <v>9865</v>
      </c>
      <c r="Q11214" t="s">
        <v>620</v>
      </c>
      <c r="R11214" t="s">
        <v>920</v>
      </c>
      <c r="S11214">
        <v>38</v>
      </c>
      <c r="T11214" s="29" t="str">
        <f>HYPERLINK("https://ictv.global/ictv/proposals/2021.026M.Paramyxoviridae_sprename.zip","2021.026M.Paramyxoviridae_sprename.zip")</f>
        <v>2021.026M.Paramyxoviridae_sprename.zip</v>
      </c>
      <c r="U11214" s="29" t="str">
        <f>HYPERLINK("https://ictv.global/taxonomy/taxondetails?taxnode_id=202301609","ictv.global=202301609")</f>
        <v>ictv.global=202301609</v>
      </c>
    </row>
    <row r="11215" spans="1:21">
      <c r="A11215">
        <v>11214</v>
      </c>
      <c r="B11215" s="30" t="s">
        <v>1226</v>
      </c>
      <c r="D11215" s="30" t="s">
        <v>2024</v>
      </c>
      <c r="F11215" s="30" t="s">
        <v>1040</v>
      </c>
      <c r="G11215" s="30" t="s">
        <v>1041</v>
      </c>
      <c r="H11215" s="30" t="s">
        <v>1047</v>
      </c>
      <c r="J11215" s="30" t="s">
        <v>255</v>
      </c>
      <c r="L11215" s="30" t="s">
        <v>370</v>
      </c>
      <c r="M11215" s="30" t="s">
        <v>1236</v>
      </c>
      <c r="N11215" s="30" t="s">
        <v>343</v>
      </c>
      <c r="P11215" s="30" t="s">
        <v>9866</v>
      </c>
      <c r="Q11215" t="s">
        <v>620</v>
      </c>
      <c r="R11215" t="s">
        <v>920</v>
      </c>
      <c r="S11215">
        <v>38</v>
      </c>
      <c r="T11215" s="29" t="str">
        <f>HYPERLINK("https://ictv.global/ictv/proposals/2021.026M.Paramyxoviridae_sprename.zip","2021.026M.Paramyxoviridae_sprename.zip")</f>
        <v>2021.026M.Paramyxoviridae_sprename.zip</v>
      </c>
      <c r="U11215" s="29" t="str">
        <f>HYPERLINK("https://ictv.global/taxonomy/taxondetails?taxnode_id=202301611","ictv.global=202301611")</f>
        <v>ictv.global=202301611</v>
      </c>
    </row>
    <row r="11216" spans="1:21">
      <c r="A11216">
        <v>11215</v>
      </c>
      <c r="B11216" s="30" t="s">
        <v>1226</v>
      </c>
      <c r="D11216" s="30" t="s">
        <v>2024</v>
      </c>
      <c r="F11216" s="30" t="s">
        <v>1040</v>
      </c>
      <c r="G11216" s="30" t="s">
        <v>1041</v>
      </c>
      <c r="H11216" s="30" t="s">
        <v>1047</v>
      </c>
      <c r="J11216" s="30" t="s">
        <v>255</v>
      </c>
      <c r="L11216" s="30" t="s">
        <v>370</v>
      </c>
      <c r="M11216" s="30" t="s">
        <v>1236</v>
      </c>
      <c r="N11216" s="30" t="s">
        <v>1237</v>
      </c>
      <c r="P11216" s="30" t="s">
        <v>9867</v>
      </c>
      <c r="Q11216" t="s">
        <v>620</v>
      </c>
      <c r="R11216" t="s">
        <v>917</v>
      </c>
      <c r="S11216">
        <v>37</v>
      </c>
      <c r="T11216" s="29" t="str">
        <f>HYPERLINK("https://ictv.global/ictv/proposals/2021.014M.R.Jeilongvirus_2nsp.zip","2021.014M.R.Jeilongvirus_2nsp.zip")</f>
        <v>2021.014M.R.Jeilongvirus_2nsp.zip</v>
      </c>
      <c r="U11216" s="29" t="str">
        <f>HYPERLINK("https://ictv.global/taxonomy/taxondetails?taxnode_id=202313346","ictv.global=202313346")</f>
        <v>ictv.global=202313346</v>
      </c>
    </row>
    <row r="11217" spans="1:21">
      <c r="A11217">
        <v>11216</v>
      </c>
      <c r="B11217" s="30" t="s">
        <v>1226</v>
      </c>
      <c r="D11217" s="30" t="s">
        <v>2024</v>
      </c>
      <c r="F11217" s="30" t="s">
        <v>1040</v>
      </c>
      <c r="G11217" s="30" t="s">
        <v>1041</v>
      </c>
      <c r="H11217" s="30" t="s">
        <v>1047</v>
      </c>
      <c r="J11217" s="30" t="s">
        <v>255</v>
      </c>
      <c r="L11217" s="30" t="s">
        <v>370</v>
      </c>
      <c r="M11217" s="30" t="s">
        <v>1236</v>
      </c>
      <c r="N11217" s="30" t="s">
        <v>1237</v>
      </c>
      <c r="P11217" s="30" t="s">
        <v>9868</v>
      </c>
      <c r="Q11217" t="s">
        <v>620</v>
      </c>
      <c r="R11217" t="s">
        <v>920</v>
      </c>
      <c r="S11217">
        <v>38</v>
      </c>
      <c r="T11217" s="29" t="str">
        <f>HYPERLINK("https://ictv.global/ictv/proposals/2021.026M.Paramyxoviridae_sprename.zip","2021.026M.Paramyxoviridae_sprename.zip")</f>
        <v>2021.026M.Paramyxoviridae_sprename.zip</v>
      </c>
      <c r="U11217" s="29" t="str">
        <f>HYPERLINK("https://ictv.global/taxonomy/taxondetails?taxnode_id=202306453","ictv.global=202306453")</f>
        <v>ictv.global=202306453</v>
      </c>
    </row>
    <row r="11218" spans="1:21">
      <c r="A11218">
        <v>11217</v>
      </c>
      <c r="B11218" s="30" t="s">
        <v>1226</v>
      </c>
      <c r="D11218" s="30" t="s">
        <v>2024</v>
      </c>
      <c r="F11218" s="30" t="s">
        <v>1040</v>
      </c>
      <c r="G11218" s="30" t="s">
        <v>1041</v>
      </c>
      <c r="H11218" s="30" t="s">
        <v>1047</v>
      </c>
      <c r="J11218" s="30" t="s">
        <v>255</v>
      </c>
      <c r="L11218" s="30" t="s">
        <v>370</v>
      </c>
      <c r="M11218" s="30" t="s">
        <v>1236</v>
      </c>
      <c r="N11218" s="30" t="s">
        <v>1237</v>
      </c>
      <c r="P11218" s="30" t="s">
        <v>17313</v>
      </c>
      <c r="Q11218" t="s">
        <v>620</v>
      </c>
      <c r="R11218" t="s">
        <v>917</v>
      </c>
      <c r="S11218">
        <v>39</v>
      </c>
      <c r="T11218" s="29" t="str">
        <f>HYPERLINK("https://ictv.global/ictv/proposals/2023.018M.Paramyxoviridae_reorg.zip","2023.018M.Paramyxoviridae_reorg.zip")</f>
        <v>2023.018M.Paramyxoviridae_reorg.zip</v>
      </c>
      <c r="U11218" s="29" t="str">
        <f>HYPERLINK("https://ictv.global/taxonomy/taxondetails?taxnode_id=202318354","ictv.global=202318354")</f>
        <v>ictv.global=202318354</v>
      </c>
    </row>
    <row r="11219" spans="1:21">
      <c r="A11219">
        <v>11218</v>
      </c>
      <c r="B11219" s="30" t="s">
        <v>1226</v>
      </c>
      <c r="D11219" s="30" t="s">
        <v>2024</v>
      </c>
      <c r="F11219" s="30" t="s">
        <v>1040</v>
      </c>
      <c r="G11219" s="30" t="s">
        <v>1041</v>
      </c>
      <c r="H11219" s="30" t="s">
        <v>1047</v>
      </c>
      <c r="J11219" s="30" t="s">
        <v>255</v>
      </c>
      <c r="L11219" s="30" t="s">
        <v>370</v>
      </c>
      <c r="M11219" s="30" t="s">
        <v>1236</v>
      </c>
      <c r="N11219" s="30" t="s">
        <v>1237</v>
      </c>
      <c r="P11219" s="30" t="s">
        <v>17314</v>
      </c>
      <c r="Q11219" t="s">
        <v>620</v>
      </c>
      <c r="R11219" t="s">
        <v>917</v>
      </c>
      <c r="S11219">
        <v>39</v>
      </c>
      <c r="T11219" s="29" t="str">
        <f>HYPERLINK("https://ictv.global/ictv/proposals/2023.018M.Paramyxoviridae_reorg.zip","2023.018M.Paramyxoviridae_reorg.zip")</f>
        <v>2023.018M.Paramyxoviridae_reorg.zip</v>
      </c>
      <c r="U11219" s="29" t="str">
        <f>HYPERLINK("https://ictv.global/taxonomy/taxondetails?taxnode_id=202318362","ictv.global=202318362")</f>
        <v>ictv.global=202318362</v>
      </c>
    </row>
    <row r="11220" spans="1:21">
      <c r="A11220">
        <v>11219</v>
      </c>
      <c r="B11220" s="30" t="s">
        <v>1226</v>
      </c>
      <c r="D11220" s="30" t="s">
        <v>2024</v>
      </c>
      <c r="F11220" s="30" t="s">
        <v>1040</v>
      </c>
      <c r="G11220" s="30" t="s">
        <v>1041</v>
      </c>
      <c r="H11220" s="30" t="s">
        <v>1047</v>
      </c>
      <c r="J11220" s="30" t="s">
        <v>255</v>
      </c>
      <c r="L11220" s="30" t="s">
        <v>370</v>
      </c>
      <c r="M11220" s="30" t="s">
        <v>1236</v>
      </c>
      <c r="N11220" s="30" t="s">
        <v>1237</v>
      </c>
      <c r="P11220" s="30" t="s">
        <v>17315</v>
      </c>
      <c r="Q11220" t="s">
        <v>620</v>
      </c>
      <c r="R11220" t="s">
        <v>917</v>
      </c>
      <c r="S11220">
        <v>39</v>
      </c>
      <c r="T11220" s="29" t="str">
        <f>HYPERLINK("https://ictv.global/ictv/proposals/2023.018M.Paramyxoviridae_reorg.zip","2023.018M.Paramyxoviridae_reorg.zip")</f>
        <v>2023.018M.Paramyxoviridae_reorg.zip</v>
      </c>
      <c r="U11220" s="29" t="str">
        <f>HYPERLINK("https://ictv.global/taxonomy/taxondetails?taxnode_id=202318359","ictv.global=202318359")</f>
        <v>ictv.global=202318359</v>
      </c>
    </row>
    <row r="11221" spans="1:21">
      <c r="A11221">
        <v>11220</v>
      </c>
      <c r="B11221" s="30" t="s">
        <v>1226</v>
      </c>
      <c r="D11221" s="30" t="s">
        <v>2024</v>
      </c>
      <c r="F11221" s="30" t="s">
        <v>1040</v>
      </c>
      <c r="G11221" s="30" t="s">
        <v>1041</v>
      </c>
      <c r="H11221" s="30" t="s">
        <v>1047</v>
      </c>
      <c r="J11221" s="30" t="s">
        <v>255</v>
      </c>
      <c r="L11221" s="30" t="s">
        <v>370</v>
      </c>
      <c r="M11221" s="30" t="s">
        <v>1236</v>
      </c>
      <c r="N11221" s="30" t="s">
        <v>1237</v>
      </c>
      <c r="P11221" s="30" t="s">
        <v>17316</v>
      </c>
      <c r="Q11221" t="s">
        <v>620</v>
      </c>
      <c r="R11221" t="s">
        <v>917</v>
      </c>
      <c r="S11221">
        <v>39</v>
      </c>
      <c r="T11221" s="29" t="str">
        <f>HYPERLINK("https://ictv.global/ictv/proposals/2023.018M.Paramyxoviridae_reorg.zip","2023.018M.Paramyxoviridae_reorg.zip")</f>
        <v>2023.018M.Paramyxoviridae_reorg.zip</v>
      </c>
      <c r="U11221" s="29" t="str">
        <f>HYPERLINK("https://ictv.global/taxonomy/taxondetails?taxnode_id=202318350","ictv.global=202318350")</f>
        <v>ictv.global=202318350</v>
      </c>
    </row>
    <row r="11222" spans="1:21">
      <c r="A11222">
        <v>11221</v>
      </c>
      <c r="B11222" s="30" t="s">
        <v>1226</v>
      </c>
      <c r="D11222" s="30" t="s">
        <v>2024</v>
      </c>
      <c r="F11222" s="30" t="s">
        <v>1040</v>
      </c>
      <c r="G11222" s="30" t="s">
        <v>1041</v>
      </c>
      <c r="H11222" s="30" t="s">
        <v>1047</v>
      </c>
      <c r="J11222" s="30" t="s">
        <v>255</v>
      </c>
      <c r="L11222" s="30" t="s">
        <v>370</v>
      </c>
      <c r="M11222" s="30" t="s">
        <v>1236</v>
      </c>
      <c r="N11222" s="30" t="s">
        <v>1237</v>
      </c>
      <c r="P11222" s="30" t="s">
        <v>17317</v>
      </c>
      <c r="Q11222" t="s">
        <v>620</v>
      </c>
      <c r="R11222" t="s">
        <v>917</v>
      </c>
      <c r="S11222">
        <v>39</v>
      </c>
      <c r="T11222" s="29" t="str">
        <f>HYPERLINK("https://ictv.global/ictv/proposals/2023.018M.Paramyxoviridae_reorg.zip","2023.018M.Paramyxoviridae_reorg.zip")</f>
        <v>2023.018M.Paramyxoviridae_reorg.zip</v>
      </c>
      <c r="U11222" s="29" t="str">
        <f>HYPERLINK("https://ictv.global/taxonomy/taxondetails?taxnode_id=202318349","ictv.global=202318349")</f>
        <v>ictv.global=202318349</v>
      </c>
    </row>
    <row r="11223" spans="1:21">
      <c r="A11223">
        <v>11222</v>
      </c>
      <c r="B11223" s="30" t="s">
        <v>1226</v>
      </c>
      <c r="D11223" s="30" t="s">
        <v>2024</v>
      </c>
      <c r="F11223" s="30" t="s">
        <v>1040</v>
      </c>
      <c r="G11223" s="30" t="s">
        <v>1041</v>
      </c>
      <c r="H11223" s="30" t="s">
        <v>1047</v>
      </c>
      <c r="J11223" s="30" t="s">
        <v>255</v>
      </c>
      <c r="L11223" s="30" t="s">
        <v>370</v>
      </c>
      <c r="M11223" s="30" t="s">
        <v>1236</v>
      </c>
      <c r="N11223" s="30" t="s">
        <v>1237</v>
      </c>
      <c r="P11223" s="30" t="s">
        <v>9869</v>
      </c>
      <c r="Q11223" t="s">
        <v>620</v>
      </c>
      <c r="R11223" t="s">
        <v>920</v>
      </c>
      <c r="S11223">
        <v>38</v>
      </c>
      <c r="T11223" s="29" t="str">
        <f>HYPERLINK("https://ictv.global/ictv/proposals/2021.026M.Paramyxoviridae_sprename.zip","2021.026M.Paramyxoviridae_sprename.zip")</f>
        <v>2021.026M.Paramyxoviridae_sprename.zip</v>
      </c>
      <c r="U11223" s="29" t="str">
        <f>HYPERLINK("https://ictv.global/taxonomy/taxondetails?taxnode_id=202306455","ictv.global=202306455")</f>
        <v>ictv.global=202306455</v>
      </c>
    </row>
    <row r="11224" spans="1:21">
      <c r="A11224">
        <v>11223</v>
      </c>
      <c r="B11224" s="30" t="s">
        <v>1226</v>
      </c>
      <c r="D11224" s="30" t="s">
        <v>2024</v>
      </c>
      <c r="F11224" s="30" t="s">
        <v>1040</v>
      </c>
      <c r="G11224" s="30" t="s">
        <v>1041</v>
      </c>
      <c r="H11224" s="30" t="s">
        <v>1047</v>
      </c>
      <c r="J11224" s="30" t="s">
        <v>255</v>
      </c>
      <c r="L11224" s="30" t="s">
        <v>370</v>
      </c>
      <c r="M11224" s="30" t="s">
        <v>1236</v>
      </c>
      <c r="N11224" s="30" t="s">
        <v>1237</v>
      </c>
      <c r="P11224" s="30" t="s">
        <v>9870</v>
      </c>
      <c r="Q11224" t="s">
        <v>620</v>
      </c>
      <c r="R11224" t="s">
        <v>920</v>
      </c>
      <c r="S11224">
        <v>38</v>
      </c>
      <c r="T11224" s="29" t="str">
        <f>HYPERLINK("https://ictv.global/ictv/proposals/2021.026M.Paramyxoviridae_sprename.zip","2021.026M.Paramyxoviridae_sprename.zip")</f>
        <v>2021.026M.Paramyxoviridae_sprename.zip</v>
      </c>
      <c r="U11224" s="29" t="str">
        <f>HYPERLINK("https://ictv.global/taxonomy/taxondetails?taxnode_id=202306456","ictv.global=202306456")</f>
        <v>ictv.global=202306456</v>
      </c>
    </row>
    <row r="11225" spans="1:21">
      <c r="A11225">
        <v>11224</v>
      </c>
      <c r="B11225" s="30" t="s">
        <v>1226</v>
      </c>
      <c r="D11225" s="30" t="s">
        <v>2024</v>
      </c>
      <c r="F11225" s="30" t="s">
        <v>1040</v>
      </c>
      <c r="G11225" s="30" t="s">
        <v>1041</v>
      </c>
      <c r="H11225" s="30" t="s">
        <v>1047</v>
      </c>
      <c r="J11225" s="30" t="s">
        <v>255</v>
      </c>
      <c r="L11225" s="30" t="s">
        <v>370</v>
      </c>
      <c r="M11225" s="30" t="s">
        <v>1236</v>
      </c>
      <c r="N11225" s="30" t="s">
        <v>1237</v>
      </c>
      <c r="P11225" s="30" t="s">
        <v>17318</v>
      </c>
      <c r="Q11225" t="s">
        <v>620</v>
      </c>
      <c r="R11225" t="s">
        <v>917</v>
      </c>
      <c r="S11225">
        <v>39</v>
      </c>
      <c r="T11225" s="29" t="str">
        <f>HYPERLINK("https://ictv.global/ictv/proposals/2023.018M.Paramyxoviridae_reorg.zip","2023.018M.Paramyxoviridae_reorg.zip")</f>
        <v>2023.018M.Paramyxoviridae_reorg.zip</v>
      </c>
      <c r="U11225" s="29" t="str">
        <f>HYPERLINK("https://ictv.global/taxonomy/taxondetails?taxnode_id=202318353","ictv.global=202318353")</f>
        <v>ictv.global=202318353</v>
      </c>
    </row>
    <row r="11226" spans="1:21">
      <c r="A11226">
        <v>11225</v>
      </c>
      <c r="B11226" s="30" t="s">
        <v>1226</v>
      </c>
      <c r="D11226" s="30" t="s">
        <v>2024</v>
      </c>
      <c r="F11226" s="30" t="s">
        <v>1040</v>
      </c>
      <c r="G11226" s="30" t="s">
        <v>1041</v>
      </c>
      <c r="H11226" s="30" t="s">
        <v>1047</v>
      </c>
      <c r="J11226" s="30" t="s">
        <v>255</v>
      </c>
      <c r="L11226" s="30" t="s">
        <v>370</v>
      </c>
      <c r="M11226" s="30" t="s">
        <v>1236</v>
      </c>
      <c r="N11226" s="30" t="s">
        <v>1237</v>
      </c>
      <c r="P11226" s="30" t="s">
        <v>17319</v>
      </c>
      <c r="Q11226" t="s">
        <v>620</v>
      </c>
      <c r="R11226" t="s">
        <v>917</v>
      </c>
      <c r="S11226">
        <v>39</v>
      </c>
      <c r="T11226" s="29" t="str">
        <f>HYPERLINK("https://ictv.global/ictv/proposals/2023.018M.Paramyxoviridae_reorg.zip","2023.018M.Paramyxoviridae_reorg.zip")</f>
        <v>2023.018M.Paramyxoviridae_reorg.zip</v>
      </c>
      <c r="U11226" s="29" t="str">
        <f>HYPERLINK("https://ictv.global/taxonomy/taxondetails?taxnode_id=202318360","ictv.global=202318360")</f>
        <v>ictv.global=202318360</v>
      </c>
    </row>
    <row r="11227" spans="1:21">
      <c r="A11227">
        <v>11226</v>
      </c>
      <c r="B11227" s="30" t="s">
        <v>1226</v>
      </c>
      <c r="D11227" s="30" t="s">
        <v>2024</v>
      </c>
      <c r="F11227" s="30" t="s">
        <v>1040</v>
      </c>
      <c r="G11227" s="30" t="s">
        <v>1041</v>
      </c>
      <c r="H11227" s="30" t="s">
        <v>1047</v>
      </c>
      <c r="J11227" s="30" t="s">
        <v>255</v>
      </c>
      <c r="L11227" s="30" t="s">
        <v>370</v>
      </c>
      <c r="M11227" s="30" t="s">
        <v>1236</v>
      </c>
      <c r="N11227" s="30" t="s">
        <v>1237</v>
      </c>
      <c r="P11227" s="30" t="s">
        <v>17320</v>
      </c>
      <c r="Q11227" t="s">
        <v>620</v>
      </c>
      <c r="R11227" t="s">
        <v>917</v>
      </c>
      <c r="S11227">
        <v>39</v>
      </c>
      <c r="T11227" s="29" t="str">
        <f>HYPERLINK("https://ictv.global/ictv/proposals/2023.018M.Paramyxoviridae_reorg.zip","2023.018M.Paramyxoviridae_reorg.zip")</f>
        <v>2023.018M.Paramyxoviridae_reorg.zip</v>
      </c>
      <c r="U11227" s="29" t="str">
        <f>HYPERLINK("https://ictv.global/taxonomy/taxondetails?taxnode_id=202318361","ictv.global=202318361")</f>
        <v>ictv.global=202318361</v>
      </c>
    </row>
    <row r="11228" spans="1:21">
      <c r="A11228">
        <v>11227</v>
      </c>
      <c r="B11228" s="30" t="s">
        <v>1226</v>
      </c>
      <c r="D11228" s="30" t="s">
        <v>2024</v>
      </c>
      <c r="F11228" s="30" t="s">
        <v>1040</v>
      </c>
      <c r="G11228" s="30" t="s">
        <v>1041</v>
      </c>
      <c r="H11228" s="30" t="s">
        <v>1047</v>
      </c>
      <c r="J11228" s="30" t="s">
        <v>255</v>
      </c>
      <c r="L11228" s="30" t="s">
        <v>370</v>
      </c>
      <c r="M11228" s="30" t="s">
        <v>1236</v>
      </c>
      <c r="N11228" s="30" t="s">
        <v>1237</v>
      </c>
      <c r="P11228" s="30" t="s">
        <v>17321</v>
      </c>
      <c r="Q11228" t="s">
        <v>620</v>
      </c>
      <c r="R11228" t="s">
        <v>917</v>
      </c>
      <c r="S11228">
        <v>39</v>
      </c>
      <c r="T11228" s="29" t="str">
        <f>HYPERLINK("https://ictv.global/ictv/proposals/2023.018M.Paramyxoviridae_reorg.zip","2023.018M.Paramyxoviridae_reorg.zip")</f>
        <v>2023.018M.Paramyxoviridae_reorg.zip</v>
      </c>
      <c r="U11228" s="29" t="str">
        <f>HYPERLINK("https://ictv.global/taxonomy/taxondetails?taxnode_id=202318356","ictv.global=202318356")</f>
        <v>ictv.global=202318356</v>
      </c>
    </row>
    <row r="11229" spans="1:21">
      <c r="A11229">
        <v>11228</v>
      </c>
      <c r="B11229" s="30" t="s">
        <v>1226</v>
      </c>
      <c r="D11229" s="30" t="s">
        <v>2024</v>
      </c>
      <c r="F11229" s="30" t="s">
        <v>1040</v>
      </c>
      <c r="G11229" s="30" t="s">
        <v>1041</v>
      </c>
      <c r="H11229" s="30" t="s">
        <v>1047</v>
      </c>
      <c r="J11229" s="30" t="s">
        <v>255</v>
      </c>
      <c r="L11229" s="30" t="s">
        <v>370</v>
      </c>
      <c r="M11229" s="30" t="s">
        <v>1236</v>
      </c>
      <c r="N11229" s="30" t="s">
        <v>1237</v>
      </c>
      <c r="P11229" s="30" t="s">
        <v>9871</v>
      </c>
      <c r="Q11229" t="s">
        <v>620</v>
      </c>
      <c r="R11229" t="s">
        <v>920</v>
      </c>
      <c r="S11229">
        <v>38</v>
      </c>
      <c r="T11229" s="29" t="str">
        <f>HYPERLINK("https://ictv.global/ictv/proposals/2021.026M.Paramyxoviridae_sprename.zip","2021.026M.Paramyxoviridae_sprename.zip")</f>
        <v>2021.026M.Paramyxoviridae_sprename.zip</v>
      </c>
      <c r="U11229" s="29" t="str">
        <f>HYPERLINK("https://ictv.global/taxonomy/taxondetails?taxnode_id=202306457","ictv.global=202306457")</f>
        <v>ictv.global=202306457</v>
      </c>
    </row>
    <row r="11230" spans="1:21">
      <c r="A11230">
        <v>11229</v>
      </c>
      <c r="B11230" s="30" t="s">
        <v>1226</v>
      </c>
      <c r="D11230" s="30" t="s">
        <v>2024</v>
      </c>
      <c r="F11230" s="30" t="s">
        <v>1040</v>
      </c>
      <c r="G11230" s="30" t="s">
        <v>1041</v>
      </c>
      <c r="H11230" s="30" t="s">
        <v>1047</v>
      </c>
      <c r="J11230" s="30" t="s">
        <v>255</v>
      </c>
      <c r="L11230" s="30" t="s">
        <v>370</v>
      </c>
      <c r="M11230" s="30" t="s">
        <v>1236</v>
      </c>
      <c r="N11230" s="30" t="s">
        <v>1237</v>
      </c>
      <c r="P11230" s="30" t="s">
        <v>17322</v>
      </c>
      <c r="Q11230" t="s">
        <v>620</v>
      </c>
      <c r="R11230" t="s">
        <v>917</v>
      </c>
      <c r="S11230">
        <v>39</v>
      </c>
      <c r="T11230" s="29" t="str">
        <f t="shared" ref="T11230:T11237" si="467">HYPERLINK("https://ictv.global/ictv/proposals/2023.018M.Paramyxoviridae_reorg.zip","2023.018M.Paramyxoviridae_reorg.zip")</f>
        <v>2023.018M.Paramyxoviridae_reorg.zip</v>
      </c>
      <c r="U11230" s="29" t="str">
        <f>HYPERLINK("https://ictv.global/taxonomy/taxondetails?taxnode_id=202318355","ictv.global=202318355")</f>
        <v>ictv.global=202318355</v>
      </c>
    </row>
    <row r="11231" spans="1:21">
      <c r="A11231">
        <v>11230</v>
      </c>
      <c r="B11231" s="30" t="s">
        <v>1226</v>
      </c>
      <c r="D11231" s="30" t="s">
        <v>2024</v>
      </c>
      <c r="F11231" s="30" t="s">
        <v>1040</v>
      </c>
      <c r="G11231" s="30" t="s">
        <v>1041</v>
      </c>
      <c r="H11231" s="30" t="s">
        <v>1047</v>
      </c>
      <c r="J11231" s="30" t="s">
        <v>255</v>
      </c>
      <c r="L11231" s="30" t="s">
        <v>370</v>
      </c>
      <c r="M11231" s="30" t="s">
        <v>1236</v>
      </c>
      <c r="N11231" s="30" t="s">
        <v>1237</v>
      </c>
      <c r="P11231" s="30" t="s">
        <v>17323</v>
      </c>
      <c r="Q11231" t="s">
        <v>620</v>
      </c>
      <c r="R11231" t="s">
        <v>917</v>
      </c>
      <c r="S11231">
        <v>39</v>
      </c>
      <c r="T11231" s="29" t="str">
        <f t="shared" si="467"/>
        <v>2023.018M.Paramyxoviridae_reorg.zip</v>
      </c>
      <c r="U11231" s="29" t="str">
        <f>HYPERLINK("https://ictv.global/taxonomy/taxondetails?taxnode_id=202318352","ictv.global=202318352")</f>
        <v>ictv.global=202318352</v>
      </c>
    </row>
    <row r="11232" spans="1:21">
      <c r="A11232">
        <v>11231</v>
      </c>
      <c r="B11232" s="30" t="s">
        <v>1226</v>
      </c>
      <c r="D11232" s="30" t="s">
        <v>2024</v>
      </c>
      <c r="F11232" s="30" t="s">
        <v>1040</v>
      </c>
      <c r="G11232" s="30" t="s">
        <v>1041</v>
      </c>
      <c r="H11232" s="30" t="s">
        <v>1047</v>
      </c>
      <c r="J11232" s="30" t="s">
        <v>255</v>
      </c>
      <c r="L11232" s="30" t="s">
        <v>370</v>
      </c>
      <c r="M11232" s="30" t="s">
        <v>1236</v>
      </c>
      <c r="N11232" s="30" t="s">
        <v>1237</v>
      </c>
      <c r="P11232" s="30" t="s">
        <v>17324</v>
      </c>
      <c r="Q11232" t="s">
        <v>620</v>
      </c>
      <c r="R11232" t="s">
        <v>917</v>
      </c>
      <c r="S11232">
        <v>39</v>
      </c>
      <c r="T11232" s="29" t="str">
        <f t="shared" si="467"/>
        <v>2023.018M.Paramyxoviridae_reorg.zip</v>
      </c>
      <c r="U11232" s="29" t="str">
        <f>HYPERLINK("https://ictv.global/taxonomy/taxondetails?taxnode_id=202318348","ictv.global=202318348")</f>
        <v>ictv.global=202318348</v>
      </c>
    </row>
    <row r="11233" spans="1:21">
      <c r="A11233">
        <v>11232</v>
      </c>
      <c r="B11233" s="30" t="s">
        <v>1226</v>
      </c>
      <c r="D11233" s="30" t="s">
        <v>2024</v>
      </c>
      <c r="F11233" s="30" t="s">
        <v>1040</v>
      </c>
      <c r="G11233" s="30" t="s">
        <v>1041</v>
      </c>
      <c r="H11233" s="30" t="s">
        <v>1047</v>
      </c>
      <c r="J11233" s="30" t="s">
        <v>255</v>
      </c>
      <c r="L11233" s="30" t="s">
        <v>370</v>
      </c>
      <c r="M11233" s="30" t="s">
        <v>1236</v>
      </c>
      <c r="N11233" s="30" t="s">
        <v>1237</v>
      </c>
      <c r="P11233" s="30" t="s">
        <v>17325</v>
      </c>
      <c r="Q11233" t="s">
        <v>620</v>
      </c>
      <c r="R11233" t="s">
        <v>917</v>
      </c>
      <c r="S11233">
        <v>39</v>
      </c>
      <c r="T11233" s="29" t="str">
        <f t="shared" si="467"/>
        <v>2023.018M.Paramyxoviridae_reorg.zip</v>
      </c>
      <c r="U11233" s="29" t="str">
        <f>HYPERLINK("https://ictv.global/taxonomy/taxondetails?taxnode_id=202318357","ictv.global=202318357")</f>
        <v>ictv.global=202318357</v>
      </c>
    </row>
    <row r="11234" spans="1:21">
      <c r="A11234">
        <v>11233</v>
      </c>
      <c r="B11234" s="30" t="s">
        <v>1226</v>
      </c>
      <c r="D11234" s="30" t="s">
        <v>2024</v>
      </c>
      <c r="F11234" s="30" t="s">
        <v>1040</v>
      </c>
      <c r="G11234" s="30" t="s">
        <v>1041</v>
      </c>
      <c r="H11234" s="30" t="s">
        <v>1047</v>
      </c>
      <c r="J11234" s="30" t="s">
        <v>255</v>
      </c>
      <c r="L11234" s="30" t="s">
        <v>370</v>
      </c>
      <c r="M11234" s="30" t="s">
        <v>1236</v>
      </c>
      <c r="N11234" s="30" t="s">
        <v>1237</v>
      </c>
      <c r="P11234" s="30" t="s">
        <v>17326</v>
      </c>
      <c r="Q11234" t="s">
        <v>620</v>
      </c>
      <c r="R11234" t="s">
        <v>917</v>
      </c>
      <c r="S11234">
        <v>39</v>
      </c>
      <c r="T11234" s="29" t="str">
        <f t="shared" si="467"/>
        <v>2023.018M.Paramyxoviridae_reorg.zip</v>
      </c>
      <c r="U11234" s="29" t="str">
        <f>HYPERLINK("https://ictv.global/taxonomy/taxondetails?taxnode_id=202318366","ictv.global=202318366")</f>
        <v>ictv.global=202318366</v>
      </c>
    </row>
    <row r="11235" spans="1:21">
      <c r="A11235">
        <v>11234</v>
      </c>
      <c r="B11235" s="30" t="s">
        <v>1226</v>
      </c>
      <c r="D11235" s="30" t="s">
        <v>2024</v>
      </c>
      <c r="F11235" s="30" t="s">
        <v>1040</v>
      </c>
      <c r="G11235" s="30" t="s">
        <v>1041</v>
      </c>
      <c r="H11235" s="30" t="s">
        <v>1047</v>
      </c>
      <c r="J11235" s="30" t="s">
        <v>255</v>
      </c>
      <c r="L11235" s="30" t="s">
        <v>370</v>
      </c>
      <c r="M11235" s="30" t="s">
        <v>1236</v>
      </c>
      <c r="N11235" s="30" t="s">
        <v>1237</v>
      </c>
      <c r="P11235" s="30" t="s">
        <v>17327</v>
      </c>
      <c r="Q11235" t="s">
        <v>620</v>
      </c>
      <c r="R11235" t="s">
        <v>917</v>
      </c>
      <c r="S11235">
        <v>39</v>
      </c>
      <c r="T11235" s="29" t="str">
        <f t="shared" si="467"/>
        <v>2023.018M.Paramyxoviridae_reorg.zip</v>
      </c>
      <c r="U11235" s="29" t="str">
        <f>HYPERLINK("https://ictv.global/taxonomy/taxondetails?taxnode_id=202318347","ictv.global=202318347")</f>
        <v>ictv.global=202318347</v>
      </c>
    </row>
    <row r="11236" spans="1:21">
      <c r="A11236">
        <v>11235</v>
      </c>
      <c r="B11236" s="30" t="s">
        <v>1226</v>
      </c>
      <c r="D11236" s="30" t="s">
        <v>2024</v>
      </c>
      <c r="F11236" s="30" t="s">
        <v>1040</v>
      </c>
      <c r="G11236" s="30" t="s">
        <v>1041</v>
      </c>
      <c r="H11236" s="30" t="s">
        <v>1047</v>
      </c>
      <c r="J11236" s="30" t="s">
        <v>255</v>
      </c>
      <c r="L11236" s="30" t="s">
        <v>370</v>
      </c>
      <c r="M11236" s="30" t="s">
        <v>1236</v>
      </c>
      <c r="N11236" s="30" t="s">
        <v>1237</v>
      </c>
      <c r="P11236" s="30" t="s">
        <v>17328</v>
      </c>
      <c r="Q11236" t="s">
        <v>620</v>
      </c>
      <c r="R11236" t="s">
        <v>917</v>
      </c>
      <c r="S11236">
        <v>39</v>
      </c>
      <c r="T11236" s="29" t="str">
        <f t="shared" si="467"/>
        <v>2023.018M.Paramyxoviridae_reorg.zip</v>
      </c>
      <c r="U11236" s="29" t="str">
        <f>HYPERLINK("https://ictv.global/taxonomy/taxondetails?taxnode_id=202318345","ictv.global=202318345")</f>
        <v>ictv.global=202318345</v>
      </c>
    </row>
    <row r="11237" spans="1:21">
      <c r="A11237">
        <v>11236</v>
      </c>
      <c r="B11237" s="30" t="s">
        <v>1226</v>
      </c>
      <c r="D11237" s="30" t="s">
        <v>2024</v>
      </c>
      <c r="F11237" s="30" t="s">
        <v>1040</v>
      </c>
      <c r="G11237" s="30" t="s">
        <v>1041</v>
      </c>
      <c r="H11237" s="30" t="s">
        <v>1047</v>
      </c>
      <c r="J11237" s="30" t="s">
        <v>255</v>
      </c>
      <c r="L11237" s="30" t="s">
        <v>370</v>
      </c>
      <c r="M11237" s="30" t="s">
        <v>1236</v>
      </c>
      <c r="N11237" s="30" t="s">
        <v>1237</v>
      </c>
      <c r="P11237" s="30" t="s">
        <v>17329</v>
      </c>
      <c r="Q11237" t="s">
        <v>620</v>
      </c>
      <c r="R11237" t="s">
        <v>917</v>
      </c>
      <c r="S11237">
        <v>39</v>
      </c>
      <c r="T11237" s="29" t="str">
        <f t="shared" si="467"/>
        <v>2023.018M.Paramyxoviridae_reorg.zip</v>
      </c>
      <c r="U11237" s="29" t="str">
        <f>HYPERLINK("https://ictv.global/taxonomy/taxondetails?taxnode_id=202318358","ictv.global=202318358")</f>
        <v>ictv.global=202318358</v>
      </c>
    </row>
    <row r="11238" spans="1:21">
      <c r="A11238">
        <v>11237</v>
      </c>
      <c r="B11238" s="30" t="s">
        <v>1226</v>
      </c>
      <c r="D11238" s="30" t="s">
        <v>2024</v>
      </c>
      <c r="F11238" s="30" t="s">
        <v>1040</v>
      </c>
      <c r="G11238" s="30" t="s">
        <v>1041</v>
      </c>
      <c r="H11238" s="30" t="s">
        <v>1047</v>
      </c>
      <c r="J11238" s="30" t="s">
        <v>255</v>
      </c>
      <c r="L11238" s="30" t="s">
        <v>370</v>
      </c>
      <c r="M11238" s="30" t="s">
        <v>1236</v>
      </c>
      <c r="N11238" s="30" t="s">
        <v>1237</v>
      </c>
      <c r="P11238" s="30" t="s">
        <v>9872</v>
      </c>
      <c r="Q11238" t="s">
        <v>620</v>
      </c>
      <c r="R11238" t="s">
        <v>920</v>
      </c>
      <c r="S11238">
        <v>38</v>
      </c>
      <c r="T11238" s="29" t="str">
        <f>HYPERLINK("https://ictv.global/ictv/proposals/2021.026M.Paramyxoviridae_sprename.zip","2021.026M.Paramyxoviridae_sprename.zip")</f>
        <v>2021.026M.Paramyxoviridae_sprename.zip</v>
      </c>
      <c r="U11238" s="29" t="str">
        <f>HYPERLINK("https://ictv.global/taxonomy/taxondetails?taxnode_id=202306454","ictv.global=202306454")</f>
        <v>ictv.global=202306454</v>
      </c>
    </row>
    <row r="11239" spans="1:21">
      <c r="A11239">
        <v>11238</v>
      </c>
      <c r="B11239" s="30" t="s">
        <v>1226</v>
      </c>
      <c r="D11239" s="30" t="s">
        <v>2024</v>
      </c>
      <c r="F11239" s="30" t="s">
        <v>1040</v>
      </c>
      <c r="G11239" s="30" t="s">
        <v>1041</v>
      </c>
      <c r="H11239" s="30" t="s">
        <v>1047</v>
      </c>
      <c r="J11239" s="30" t="s">
        <v>255</v>
      </c>
      <c r="L11239" s="30" t="s">
        <v>370</v>
      </c>
      <c r="M11239" s="30" t="s">
        <v>1236</v>
      </c>
      <c r="N11239" s="30" t="s">
        <v>1237</v>
      </c>
      <c r="P11239" s="30" t="s">
        <v>17330</v>
      </c>
      <c r="Q11239" t="s">
        <v>620</v>
      </c>
      <c r="R11239" t="s">
        <v>917</v>
      </c>
      <c r="S11239">
        <v>39</v>
      </c>
      <c r="T11239" s="29" t="str">
        <f>HYPERLINK("https://ictv.global/ictv/proposals/2023.018M.Paramyxoviridae_reorg.zip","2023.018M.Paramyxoviridae_reorg.zip")</f>
        <v>2023.018M.Paramyxoviridae_reorg.zip</v>
      </c>
      <c r="U11239" s="29" t="str">
        <f>HYPERLINK("https://ictv.global/taxonomy/taxondetails?taxnode_id=202318365","ictv.global=202318365")</f>
        <v>ictv.global=202318365</v>
      </c>
    </row>
    <row r="11240" spans="1:21">
      <c r="A11240">
        <v>11239</v>
      </c>
      <c r="B11240" s="30" t="s">
        <v>1226</v>
      </c>
      <c r="D11240" s="30" t="s">
        <v>2024</v>
      </c>
      <c r="F11240" s="30" t="s">
        <v>1040</v>
      </c>
      <c r="G11240" s="30" t="s">
        <v>1041</v>
      </c>
      <c r="H11240" s="30" t="s">
        <v>1047</v>
      </c>
      <c r="J11240" s="30" t="s">
        <v>255</v>
      </c>
      <c r="L11240" s="30" t="s">
        <v>370</v>
      </c>
      <c r="M11240" s="30" t="s">
        <v>1236</v>
      </c>
      <c r="N11240" s="30" t="s">
        <v>1237</v>
      </c>
      <c r="P11240" s="30" t="s">
        <v>9873</v>
      </c>
      <c r="Q11240" t="s">
        <v>620</v>
      </c>
      <c r="R11240" t="s">
        <v>917</v>
      </c>
      <c r="S11240">
        <v>37</v>
      </c>
      <c r="T11240" s="29" t="str">
        <f>HYPERLINK("https://ictv.global/ictv/proposals/2021.014M.R.Jeilongvirus_2nsp.zip","2021.014M.R.Jeilongvirus_2nsp.zip")</f>
        <v>2021.014M.R.Jeilongvirus_2nsp.zip</v>
      </c>
      <c r="U11240" s="29" t="str">
        <f>HYPERLINK("https://ictv.global/taxonomy/taxondetails?taxnode_id=202313344","ictv.global=202313344")</f>
        <v>ictv.global=202313344</v>
      </c>
    </row>
    <row r="11241" spans="1:21">
      <c r="A11241">
        <v>11240</v>
      </c>
      <c r="B11241" s="30" t="s">
        <v>1226</v>
      </c>
      <c r="D11241" s="30" t="s">
        <v>2024</v>
      </c>
      <c r="F11241" s="30" t="s">
        <v>1040</v>
      </c>
      <c r="G11241" s="30" t="s">
        <v>1041</v>
      </c>
      <c r="H11241" s="30" t="s">
        <v>1047</v>
      </c>
      <c r="J11241" s="30" t="s">
        <v>255</v>
      </c>
      <c r="L11241" s="30" t="s">
        <v>370</v>
      </c>
      <c r="M11241" s="30" t="s">
        <v>1236</v>
      </c>
      <c r="N11241" s="30" t="s">
        <v>1237</v>
      </c>
      <c r="P11241" s="30" t="s">
        <v>17331</v>
      </c>
      <c r="Q11241" t="s">
        <v>620</v>
      </c>
      <c r="R11241" t="s">
        <v>917</v>
      </c>
      <c r="S11241">
        <v>39</v>
      </c>
      <c r="T11241" s="29" t="str">
        <f>HYPERLINK("https://ictv.global/ictv/proposals/2023.018M.Paramyxoviridae_reorg.zip","2023.018M.Paramyxoviridae_reorg.zip")</f>
        <v>2023.018M.Paramyxoviridae_reorg.zip</v>
      </c>
      <c r="U11241" s="29" t="str">
        <f>HYPERLINK("https://ictv.global/taxonomy/taxondetails?taxnode_id=202318367","ictv.global=202318367")</f>
        <v>ictv.global=202318367</v>
      </c>
    </row>
    <row r="11242" spans="1:21">
      <c r="A11242">
        <v>11241</v>
      </c>
      <c r="B11242" s="30" t="s">
        <v>1226</v>
      </c>
      <c r="D11242" s="30" t="s">
        <v>2024</v>
      </c>
      <c r="F11242" s="30" t="s">
        <v>1040</v>
      </c>
      <c r="G11242" s="30" t="s">
        <v>1041</v>
      </c>
      <c r="H11242" s="30" t="s">
        <v>1047</v>
      </c>
      <c r="J11242" s="30" t="s">
        <v>255</v>
      </c>
      <c r="L11242" s="30" t="s">
        <v>370</v>
      </c>
      <c r="M11242" s="30" t="s">
        <v>1236</v>
      </c>
      <c r="N11242" s="30" t="s">
        <v>1237</v>
      </c>
      <c r="P11242" s="30" t="s">
        <v>17332</v>
      </c>
      <c r="Q11242" t="s">
        <v>620</v>
      </c>
      <c r="R11242" t="s">
        <v>917</v>
      </c>
      <c r="S11242">
        <v>39</v>
      </c>
      <c r="T11242" s="29" t="str">
        <f>HYPERLINK("https://ictv.global/ictv/proposals/2023.018M.Paramyxoviridae_reorg.zip","2023.018M.Paramyxoviridae_reorg.zip")</f>
        <v>2023.018M.Paramyxoviridae_reorg.zip</v>
      </c>
      <c r="U11242" s="29" t="str">
        <f>HYPERLINK("https://ictv.global/taxonomy/taxondetails?taxnode_id=202318351","ictv.global=202318351")</f>
        <v>ictv.global=202318351</v>
      </c>
    </row>
    <row r="11243" spans="1:21">
      <c r="A11243">
        <v>11242</v>
      </c>
      <c r="B11243" s="30" t="s">
        <v>1226</v>
      </c>
      <c r="D11243" s="30" t="s">
        <v>2024</v>
      </c>
      <c r="F11243" s="30" t="s">
        <v>1040</v>
      </c>
      <c r="G11243" s="30" t="s">
        <v>1041</v>
      </c>
      <c r="H11243" s="30" t="s">
        <v>1047</v>
      </c>
      <c r="J11243" s="30" t="s">
        <v>255</v>
      </c>
      <c r="L11243" s="30" t="s">
        <v>370</v>
      </c>
      <c r="M11243" s="30" t="s">
        <v>1236</v>
      </c>
      <c r="N11243" s="30" t="s">
        <v>1237</v>
      </c>
      <c r="P11243" s="30" t="s">
        <v>9874</v>
      </c>
      <c r="Q11243" t="s">
        <v>620</v>
      </c>
      <c r="R11243" t="s">
        <v>920</v>
      </c>
      <c r="S11243">
        <v>38</v>
      </c>
      <c r="T11243" s="29" t="str">
        <f>HYPERLINK("https://ictv.global/ictv/proposals/2021.026M.Paramyxoviridae_sprename.zip","2021.026M.Paramyxoviridae_sprename.zip")</f>
        <v>2021.026M.Paramyxoviridae_sprename.zip</v>
      </c>
      <c r="U11243" s="29" t="str">
        <f>HYPERLINK("https://ictv.global/taxonomy/taxondetails?taxnode_id=202306458","ictv.global=202306458")</f>
        <v>ictv.global=202306458</v>
      </c>
    </row>
    <row r="11244" spans="1:21">
      <c r="A11244">
        <v>11243</v>
      </c>
      <c r="B11244" s="30" t="s">
        <v>1226</v>
      </c>
      <c r="D11244" s="30" t="s">
        <v>2024</v>
      </c>
      <c r="F11244" s="30" t="s">
        <v>1040</v>
      </c>
      <c r="G11244" s="30" t="s">
        <v>1041</v>
      </c>
      <c r="H11244" s="30" t="s">
        <v>1047</v>
      </c>
      <c r="J11244" s="30" t="s">
        <v>255</v>
      </c>
      <c r="L11244" s="30" t="s">
        <v>370</v>
      </c>
      <c r="M11244" s="30" t="s">
        <v>1236</v>
      </c>
      <c r="N11244" s="30" t="s">
        <v>1237</v>
      </c>
      <c r="P11244" s="30" t="s">
        <v>17333</v>
      </c>
      <c r="Q11244" t="s">
        <v>620</v>
      </c>
      <c r="R11244" t="s">
        <v>917</v>
      </c>
      <c r="S11244">
        <v>39</v>
      </c>
      <c r="T11244" s="29" t="str">
        <f>HYPERLINK("https://ictv.global/ictv/proposals/2023.018M.Paramyxoviridae_reorg.zip","2023.018M.Paramyxoviridae_reorg.zip")</f>
        <v>2023.018M.Paramyxoviridae_reorg.zip</v>
      </c>
      <c r="U11244" s="29" t="str">
        <f>HYPERLINK("https://ictv.global/taxonomy/taxondetails?taxnode_id=202318363","ictv.global=202318363")</f>
        <v>ictv.global=202318363</v>
      </c>
    </row>
    <row r="11245" spans="1:21">
      <c r="A11245">
        <v>11244</v>
      </c>
      <c r="B11245" s="30" t="s">
        <v>1226</v>
      </c>
      <c r="D11245" s="30" t="s">
        <v>2024</v>
      </c>
      <c r="F11245" s="30" t="s">
        <v>1040</v>
      </c>
      <c r="G11245" s="30" t="s">
        <v>1041</v>
      </c>
      <c r="H11245" s="30" t="s">
        <v>1047</v>
      </c>
      <c r="J11245" s="30" t="s">
        <v>255</v>
      </c>
      <c r="L11245" s="30" t="s">
        <v>370</v>
      </c>
      <c r="M11245" s="30" t="s">
        <v>1236</v>
      </c>
      <c r="N11245" s="30" t="s">
        <v>1237</v>
      </c>
      <c r="P11245" s="30" t="s">
        <v>17334</v>
      </c>
      <c r="Q11245" t="s">
        <v>620</v>
      </c>
      <c r="R11245" t="s">
        <v>917</v>
      </c>
      <c r="S11245">
        <v>39</v>
      </c>
      <c r="T11245" s="29" t="str">
        <f>HYPERLINK("https://ictv.global/ictv/proposals/2023.018M.Paramyxoviridae_reorg.zip","2023.018M.Paramyxoviridae_reorg.zip")</f>
        <v>2023.018M.Paramyxoviridae_reorg.zip</v>
      </c>
      <c r="U11245" s="29" t="str">
        <f>HYPERLINK("https://ictv.global/taxonomy/taxondetails?taxnode_id=202318344","ictv.global=202318344")</f>
        <v>ictv.global=202318344</v>
      </c>
    </row>
    <row r="11246" spans="1:21">
      <c r="A11246">
        <v>11245</v>
      </c>
      <c r="B11246" s="30" t="s">
        <v>1226</v>
      </c>
      <c r="D11246" s="30" t="s">
        <v>2024</v>
      </c>
      <c r="F11246" s="30" t="s">
        <v>1040</v>
      </c>
      <c r="G11246" s="30" t="s">
        <v>1041</v>
      </c>
      <c r="H11246" s="30" t="s">
        <v>1047</v>
      </c>
      <c r="J11246" s="30" t="s">
        <v>255</v>
      </c>
      <c r="L11246" s="30" t="s">
        <v>370</v>
      </c>
      <c r="M11246" s="30" t="s">
        <v>1236</v>
      </c>
      <c r="N11246" s="30" t="s">
        <v>1237</v>
      </c>
      <c r="P11246" s="30" t="s">
        <v>17335</v>
      </c>
      <c r="Q11246" t="s">
        <v>620</v>
      </c>
      <c r="R11246" t="s">
        <v>917</v>
      </c>
      <c r="S11246">
        <v>39</v>
      </c>
      <c r="T11246" s="29" t="str">
        <f>HYPERLINK("https://ictv.global/ictv/proposals/2023.018M.Paramyxoviridae_reorg.zip","2023.018M.Paramyxoviridae_reorg.zip")</f>
        <v>2023.018M.Paramyxoviridae_reorg.zip</v>
      </c>
      <c r="U11246" s="29" t="str">
        <f>HYPERLINK("https://ictv.global/taxonomy/taxondetails?taxnode_id=202318364","ictv.global=202318364")</f>
        <v>ictv.global=202318364</v>
      </c>
    </row>
    <row r="11247" spans="1:21">
      <c r="A11247">
        <v>11246</v>
      </c>
      <c r="B11247" s="30" t="s">
        <v>1226</v>
      </c>
      <c r="D11247" s="30" t="s">
        <v>2024</v>
      </c>
      <c r="F11247" s="30" t="s">
        <v>1040</v>
      </c>
      <c r="G11247" s="30" t="s">
        <v>1041</v>
      </c>
      <c r="H11247" s="30" t="s">
        <v>1047</v>
      </c>
      <c r="J11247" s="30" t="s">
        <v>255</v>
      </c>
      <c r="L11247" s="30" t="s">
        <v>370</v>
      </c>
      <c r="M11247" s="30" t="s">
        <v>1236</v>
      </c>
      <c r="N11247" s="30" t="s">
        <v>1237</v>
      </c>
      <c r="P11247" s="30" t="s">
        <v>17336</v>
      </c>
      <c r="Q11247" t="s">
        <v>620</v>
      </c>
      <c r="R11247" t="s">
        <v>917</v>
      </c>
      <c r="S11247">
        <v>39</v>
      </c>
      <c r="T11247" s="29" t="str">
        <f>HYPERLINK("https://ictv.global/ictv/proposals/2023.018M.Paramyxoviridae_reorg.zip","2023.018M.Paramyxoviridae_reorg.zip")</f>
        <v>2023.018M.Paramyxoviridae_reorg.zip</v>
      </c>
      <c r="U11247" s="29" t="str">
        <f>HYPERLINK("https://ictv.global/taxonomy/taxondetails?taxnode_id=202318346","ictv.global=202318346")</f>
        <v>ictv.global=202318346</v>
      </c>
    </row>
    <row r="11248" spans="1:21">
      <c r="A11248">
        <v>11247</v>
      </c>
      <c r="B11248" s="30" t="s">
        <v>1226</v>
      </c>
      <c r="D11248" s="30" t="s">
        <v>2024</v>
      </c>
      <c r="F11248" s="30" t="s">
        <v>1040</v>
      </c>
      <c r="G11248" s="30" t="s">
        <v>1041</v>
      </c>
      <c r="H11248" s="30" t="s">
        <v>1047</v>
      </c>
      <c r="J11248" s="30" t="s">
        <v>255</v>
      </c>
      <c r="L11248" s="30" t="s">
        <v>370</v>
      </c>
      <c r="M11248" s="30" t="s">
        <v>1236</v>
      </c>
      <c r="N11248" s="30" t="s">
        <v>344</v>
      </c>
      <c r="P11248" s="30" t="s">
        <v>9875</v>
      </c>
      <c r="Q11248" t="s">
        <v>620</v>
      </c>
      <c r="R11248" t="s">
        <v>920</v>
      </c>
      <c r="S11248">
        <v>38</v>
      </c>
      <c r="T11248" s="29" t="str">
        <f>HYPERLINK("https://ictv.global/ictv/proposals/2021.026M.Paramyxoviridae_sprename.zip","2021.026M.Paramyxoviridae_sprename.zip")</f>
        <v>2021.026M.Paramyxoviridae_sprename.zip</v>
      </c>
      <c r="U11248" s="29" t="str">
        <f>HYPERLINK("https://ictv.global/taxonomy/taxondetails?taxnode_id=202301613","ictv.global=202301613")</f>
        <v>ictv.global=202301613</v>
      </c>
    </row>
    <row r="11249" spans="1:21">
      <c r="A11249">
        <v>11248</v>
      </c>
      <c r="B11249" s="30" t="s">
        <v>1226</v>
      </c>
      <c r="D11249" s="30" t="s">
        <v>2024</v>
      </c>
      <c r="F11249" s="30" t="s">
        <v>1040</v>
      </c>
      <c r="G11249" s="30" t="s">
        <v>1041</v>
      </c>
      <c r="H11249" s="30" t="s">
        <v>1047</v>
      </c>
      <c r="J11249" s="30" t="s">
        <v>255</v>
      </c>
      <c r="L11249" s="30" t="s">
        <v>370</v>
      </c>
      <c r="M11249" s="30" t="s">
        <v>1236</v>
      </c>
      <c r="N11249" s="30" t="s">
        <v>344</v>
      </c>
      <c r="P11249" s="30" t="s">
        <v>9876</v>
      </c>
      <c r="Q11249" t="s">
        <v>620</v>
      </c>
      <c r="R11249" t="s">
        <v>920</v>
      </c>
      <c r="S11249">
        <v>38</v>
      </c>
      <c r="T11249" s="29" t="str">
        <f>HYPERLINK("https://ictv.global/ictv/proposals/2021.026M.Paramyxoviridae_sprename.zip","2021.026M.Paramyxoviridae_sprename.zip")</f>
        <v>2021.026M.Paramyxoviridae_sprename.zip</v>
      </c>
      <c r="U11249" s="29" t="str">
        <f>HYPERLINK("https://ictv.global/taxonomy/taxondetails?taxnode_id=202301619","ictv.global=202301619")</f>
        <v>ictv.global=202301619</v>
      </c>
    </row>
    <row r="11250" spans="1:21">
      <c r="A11250">
        <v>11249</v>
      </c>
      <c r="B11250" s="30" t="s">
        <v>1226</v>
      </c>
      <c r="D11250" s="30" t="s">
        <v>2024</v>
      </c>
      <c r="F11250" s="30" t="s">
        <v>1040</v>
      </c>
      <c r="G11250" s="30" t="s">
        <v>1041</v>
      </c>
      <c r="H11250" s="30" t="s">
        <v>1047</v>
      </c>
      <c r="J11250" s="30" t="s">
        <v>255</v>
      </c>
      <c r="L11250" s="30" t="s">
        <v>370</v>
      </c>
      <c r="M11250" s="30" t="s">
        <v>1236</v>
      </c>
      <c r="N11250" s="30" t="s">
        <v>344</v>
      </c>
      <c r="P11250" s="30" t="s">
        <v>9877</v>
      </c>
      <c r="Q11250" t="s">
        <v>620</v>
      </c>
      <c r="R11250" t="s">
        <v>920</v>
      </c>
      <c r="S11250">
        <v>38</v>
      </c>
      <c r="T11250" s="29" t="str">
        <f>HYPERLINK("https://ictv.global/ictv/proposals/2021.026M.Paramyxoviridae_sprename.zip","2021.026M.Paramyxoviridae_sprename.zip")</f>
        <v>2021.026M.Paramyxoviridae_sprename.zip</v>
      </c>
      <c r="U11250" s="29" t="str">
        <f>HYPERLINK("https://ictv.global/taxonomy/taxondetails?taxnode_id=202301614","ictv.global=202301614")</f>
        <v>ictv.global=202301614</v>
      </c>
    </row>
    <row r="11251" spans="1:21">
      <c r="A11251">
        <v>11250</v>
      </c>
      <c r="B11251" s="30" t="s">
        <v>1226</v>
      </c>
      <c r="D11251" s="30" t="s">
        <v>2024</v>
      </c>
      <c r="F11251" s="30" t="s">
        <v>1040</v>
      </c>
      <c r="G11251" s="30" t="s">
        <v>1041</v>
      </c>
      <c r="H11251" s="30" t="s">
        <v>1047</v>
      </c>
      <c r="J11251" s="30" t="s">
        <v>255</v>
      </c>
      <c r="L11251" s="30" t="s">
        <v>370</v>
      </c>
      <c r="M11251" s="30" t="s">
        <v>1236</v>
      </c>
      <c r="N11251" s="30" t="s">
        <v>344</v>
      </c>
      <c r="P11251" s="30" t="s">
        <v>9878</v>
      </c>
      <c r="Q11251" t="s">
        <v>620</v>
      </c>
      <c r="R11251" t="s">
        <v>920</v>
      </c>
      <c r="S11251">
        <v>38</v>
      </c>
      <c r="T11251" s="29" t="str">
        <f>HYPERLINK("https://ictv.global/ictv/proposals/2021.026M.Paramyxoviridae_sprename.zip","2021.026M.Paramyxoviridae_sprename.zip")</f>
        <v>2021.026M.Paramyxoviridae_sprename.zip</v>
      </c>
      <c r="U11251" s="29" t="str">
        <f>HYPERLINK("https://ictv.global/taxonomy/taxondetails?taxnode_id=202301615","ictv.global=202301615")</f>
        <v>ictv.global=202301615</v>
      </c>
    </row>
    <row r="11252" spans="1:21">
      <c r="A11252">
        <v>11251</v>
      </c>
      <c r="B11252" s="30" t="s">
        <v>1226</v>
      </c>
      <c r="D11252" s="30" t="s">
        <v>2024</v>
      </c>
      <c r="F11252" s="30" t="s">
        <v>1040</v>
      </c>
      <c r="G11252" s="30" t="s">
        <v>1041</v>
      </c>
      <c r="H11252" s="30" t="s">
        <v>1047</v>
      </c>
      <c r="J11252" s="30" t="s">
        <v>255</v>
      </c>
      <c r="L11252" s="30" t="s">
        <v>370</v>
      </c>
      <c r="M11252" s="30" t="s">
        <v>1236</v>
      </c>
      <c r="N11252" s="30" t="s">
        <v>344</v>
      </c>
      <c r="P11252" s="30" t="s">
        <v>9879</v>
      </c>
      <c r="Q11252" t="s">
        <v>620</v>
      </c>
      <c r="R11252" t="s">
        <v>920</v>
      </c>
      <c r="S11252">
        <v>38</v>
      </c>
      <c r="T11252" s="29" t="str">
        <f>HYPERLINK("https://ictv.global/ictv/proposals/2021.026M.Paramyxoviridae_sprename.zip","2021.026M.Paramyxoviridae_sprename.zip")</f>
        <v>2021.026M.Paramyxoviridae_sprename.zip</v>
      </c>
      <c r="U11252" s="29" t="str">
        <f>HYPERLINK("https://ictv.global/taxonomy/taxondetails?taxnode_id=202301616","ictv.global=202301616")</f>
        <v>ictv.global=202301616</v>
      </c>
    </row>
    <row r="11253" spans="1:21">
      <c r="A11253">
        <v>11252</v>
      </c>
      <c r="B11253" s="30" t="s">
        <v>1226</v>
      </c>
      <c r="D11253" s="30" t="s">
        <v>2024</v>
      </c>
      <c r="F11253" s="30" t="s">
        <v>1040</v>
      </c>
      <c r="G11253" s="30" t="s">
        <v>1041</v>
      </c>
      <c r="H11253" s="30" t="s">
        <v>1047</v>
      </c>
      <c r="J11253" s="30" t="s">
        <v>255</v>
      </c>
      <c r="L11253" s="30" t="s">
        <v>370</v>
      </c>
      <c r="M11253" s="30" t="s">
        <v>1236</v>
      </c>
      <c r="N11253" s="30" t="s">
        <v>344</v>
      </c>
      <c r="P11253" s="30" t="s">
        <v>17337</v>
      </c>
      <c r="Q11253" t="s">
        <v>620</v>
      </c>
      <c r="R11253" t="s">
        <v>917</v>
      </c>
      <c r="S11253">
        <v>39</v>
      </c>
      <c r="T11253" s="29" t="str">
        <f>HYPERLINK("https://ictv.global/ictv/proposals/2023.018M.Paramyxoviridae_reorg.zip","2023.018M.Paramyxoviridae_reorg.zip")</f>
        <v>2023.018M.Paramyxoviridae_reorg.zip</v>
      </c>
      <c r="U11253" s="29" t="str">
        <f>HYPERLINK("https://ictv.global/taxonomy/taxondetails?taxnode_id=202318338","ictv.global=202318338")</f>
        <v>ictv.global=202318338</v>
      </c>
    </row>
    <row r="11254" spans="1:21">
      <c r="A11254">
        <v>11253</v>
      </c>
      <c r="B11254" s="30" t="s">
        <v>1226</v>
      </c>
      <c r="D11254" s="30" t="s">
        <v>2024</v>
      </c>
      <c r="F11254" s="30" t="s">
        <v>1040</v>
      </c>
      <c r="G11254" s="30" t="s">
        <v>1041</v>
      </c>
      <c r="H11254" s="30" t="s">
        <v>1047</v>
      </c>
      <c r="J11254" s="30" t="s">
        <v>255</v>
      </c>
      <c r="L11254" s="30" t="s">
        <v>370</v>
      </c>
      <c r="M11254" s="30" t="s">
        <v>1236</v>
      </c>
      <c r="N11254" s="30" t="s">
        <v>344</v>
      </c>
      <c r="P11254" s="30" t="s">
        <v>9880</v>
      </c>
      <c r="Q11254" t="s">
        <v>620</v>
      </c>
      <c r="R11254" t="s">
        <v>920</v>
      </c>
      <c r="S11254">
        <v>38</v>
      </c>
      <c r="T11254" s="29" t="str">
        <f>HYPERLINK("https://ictv.global/ictv/proposals/2021.026M.Paramyxoviridae_sprename.zip","2021.026M.Paramyxoviridae_sprename.zip")</f>
        <v>2021.026M.Paramyxoviridae_sprename.zip</v>
      </c>
      <c r="U11254" s="29" t="str">
        <f>HYPERLINK("https://ictv.global/taxonomy/taxondetails?taxnode_id=202301618","ictv.global=202301618")</f>
        <v>ictv.global=202301618</v>
      </c>
    </row>
    <row r="11255" spans="1:21">
      <c r="A11255">
        <v>11254</v>
      </c>
      <c r="B11255" s="30" t="s">
        <v>1226</v>
      </c>
      <c r="D11255" s="30" t="s">
        <v>2024</v>
      </c>
      <c r="F11255" s="30" t="s">
        <v>1040</v>
      </c>
      <c r="G11255" s="30" t="s">
        <v>1041</v>
      </c>
      <c r="H11255" s="30" t="s">
        <v>1047</v>
      </c>
      <c r="J11255" s="30" t="s">
        <v>255</v>
      </c>
      <c r="L11255" s="30" t="s">
        <v>370</v>
      </c>
      <c r="M11255" s="30" t="s">
        <v>1236</v>
      </c>
      <c r="N11255" s="30" t="s">
        <v>344</v>
      </c>
      <c r="P11255" s="30" t="s">
        <v>9881</v>
      </c>
      <c r="Q11255" t="s">
        <v>620</v>
      </c>
      <c r="R11255" t="s">
        <v>920</v>
      </c>
      <c r="S11255">
        <v>38</v>
      </c>
      <c r="T11255" s="29" t="str">
        <f>HYPERLINK("https://ictv.global/ictv/proposals/2021.026M.Paramyxoviridae_sprename.zip","2021.026M.Paramyxoviridae_sprename.zip")</f>
        <v>2021.026M.Paramyxoviridae_sprename.zip</v>
      </c>
      <c r="U11255" s="29" t="str">
        <f>HYPERLINK("https://ictv.global/taxonomy/taxondetails?taxnode_id=202301617","ictv.global=202301617")</f>
        <v>ictv.global=202301617</v>
      </c>
    </row>
    <row r="11256" spans="1:21">
      <c r="A11256">
        <v>11255</v>
      </c>
      <c r="B11256" s="30" t="s">
        <v>1226</v>
      </c>
      <c r="D11256" s="30" t="s">
        <v>2024</v>
      </c>
      <c r="F11256" s="30" t="s">
        <v>1040</v>
      </c>
      <c r="G11256" s="30" t="s">
        <v>1041</v>
      </c>
      <c r="H11256" s="30" t="s">
        <v>1047</v>
      </c>
      <c r="J11256" s="30" t="s">
        <v>255</v>
      </c>
      <c r="L11256" s="30" t="s">
        <v>370</v>
      </c>
      <c r="M11256" s="30" t="s">
        <v>1236</v>
      </c>
      <c r="N11256" s="30" t="s">
        <v>344</v>
      </c>
      <c r="P11256" s="30" t="s">
        <v>17338</v>
      </c>
      <c r="Q11256" t="s">
        <v>620</v>
      </c>
      <c r="R11256" t="s">
        <v>917</v>
      </c>
      <c r="S11256">
        <v>39</v>
      </c>
      <c r="T11256" s="29" t="str">
        <f>HYPERLINK("https://ictv.global/ictv/proposals/2023.018M.Paramyxoviridae_reorg.zip","2023.018M.Paramyxoviridae_reorg.zip")</f>
        <v>2023.018M.Paramyxoviridae_reorg.zip</v>
      </c>
      <c r="U11256" s="29" t="str">
        <f>HYPERLINK("https://ictv.global/taxonomy/taxondetails?taxnode_id=202318339","ictv.global=202318339")</f>
        <v>ictv.global=202318339</v>
      </c>
    </row>
    <row r="11257" spans="1:21">
      <c r="A11257">
        <v>11256</v>
      </c>
      <c r="B11257" s="30" t="s">
        <v>1226</v>
      </c>
      <c r="D11257" s="30" t="s">
        <v>2024</v>
      </c>
      <c r="F11257" s="30" t="s">
        <v>1040</v>
      </c>
      <c r="G11257" s="30" t="s">
        <v>1041</v>
      </c>
      <c r="H11257" s="30" t="s">
        <v>1047</v>
      </c>
      <c r="J11257" s="30" t="s">
        <v>255</v>
      </c>
      <c r="L11257" s="30" t="s">
        <v>370</v>
      </c>
      <c r="M11257" s="30" t="s">
        <v>1236</v>
      </c>
      <c r="N11257" s="30" t="s">
        <v>344</v>
      </c>
      <c r="P11257" s="30" t="s">
        <v>17339</v>
      </c>
      <c r="Q11257" t="s">
        <v>620</v>
      </c>
      <c r="R11257" t="s">
        <v>917</v>
      </c>
      <c r="S11257">
        <v>39</v>
      </c>
      <c r="T11257" s="29" t="str">
        <f>HYPERLINK("https://ictv.global/ictv/proposals/2023.018M.Paramyxoviridae_reorg.zip","2023.018M.Paramyxoviridae_reorg.zip")</f>
        <v>2023.018M.Paramyxoviridae_reorg.zip</v>
      </c>
      <c r="U11257" s="29" t="str">
        <f>HYPERLINK("https://ictv.global/taxonomy/taxondetails?taxnode_id=202318337","ictv.global=202318337")</f>
        <v>ictv.global=202318337</v>
      </c>
    </row>
    <row r="11258" spans="1:21">
      <c r="A11258">
        <v>11257</v>
      </c>
      <c r="B11258" s="30" t="s">
        <v>1226</v>
      </c>
      <c r="D11258" s="30" t="s">
        <v>2024</v>
      </c>
      <c r="F11258" s="30" t="s">
        <v>1040</v>
      </c>
      <c r="G11258" s="30" t="s">
        <v>1041</v>
      </c>
      <c r="H11258" s="30" t="s">
        <v>1047</v>
      </c>
      <c r="J11258" s="30" t="s">
        <v>255</v>
      </c>
      <c r="L11258" s="30" t="s">
        <v>370</v>
      </c>
      <c r="M11258" s="30" t="s">
        <v>1236</v>
      </c>
      <c r="N11258" s="30" t="s">
        <v>1238</v>
      </c>
      <c r="P11258" s="30" t="s">
        <v>17340</v>
      </c>
      <c r="Q11258" t="s">
        <v>620</v>
      </c>
      <c r="R11258" t="s">
        <v>917</v>
      </c>
      <c r="S11258">
        <v>39</v>
      </c>
      <c r="T11258" s="29" t="str">
        <f>HYPERLINK("https://ictv.global/ictv/proposals/2023.018M.Paramyxoviridae_reorg.zip","2023.018M.Paramyxoviridae_reorg.zip")</f>
        <v>2023.018M.Paramyxoviridae_reorg.zip</v>
      </c>
      <c r="U11258" s="29" t="str">
        <f>HYPERLINK("https://ictv.global/taxonomy/taxondetails?taxnode_id=202318325","ictv.global=202318325")</f>
        <v>ictv.global=202318325</v>
      </c>
    </row>
    <row r="11259" spans="1:21">
      <c r="A11259">
        <v>11258</v>
      </c>
      <c r="B11259" s="30" t="s">
        <v>1226</v>
      </c>
      <c r="D11259" s="30" t="s">
        <v>2024</v>
      </c>
      <c r="F11259" s="30" t="s">
        <v>1040</v>
      </c>
      <c r="G11259" s="30" t="s">
        <v>1041</v>
      </c>
      <c r="H11259" s="30" t="s">
        <v>1047</v>
      </c>
      <c r="J11259" s="30" t="s">
        <v>255</v>
      </c>
      <c r="L11259" s="30" t="s">
        <v>370</v>
      </c>
      <c r="M11259" s="30" t="s">
        <v>1236</v>
      </c>
      <c r="N11259" s="30" t="s">
        <v>1238</v>
      </c>
      <c r="P11259" s="30" t="s">
        <v>17341</v>
      </c>
      <c r="Q11259" t="s">
        <v>620</v>
      </c>
      <c r="R11259" t="s">
        <v>917</v>
      </c>
      <c r="S11259">
        <v>39</v>
      </c>
      <c r="T11259" s="29" t="str">
        <f>HYPERLINK("https://ictv.global/ictv/proposals/2023.018M.Paramyxoviridae_reorg.zip","2023.018M.Paramyxoviridae_reorg.zip")</f>
        <v>2023.018M.Paramyxoviridae_reorg.zip</v>
      </c>
      <c r="U11259" s="29" t="str">
        <f>HYPERLINK("https://ictv.global/taxonomy/taxondetails?taxnode_id=202318324","ictv.global=202318324")</f>
        <v>ictv.global=202318324</v>
      </c>
    </row>
    <row r="11260" spans="1:21">
      <c r="A11260">
        <v>11259</v>
      </c>
      <c r="B11260" s="30" t="s">
        <v>1226</v>
      </c>
      <c r="D11260" s="30" t="s">
        <v>2024</v>
      </c>
      <c r="F11260" s="30" t="s">
        <v>1040</v>
      </c>
      <c r="G11260" s="30" t="s">
        <v>1041</v>
      </c>
      <c r="H11260" s="30" t="s">
        <v>1047</v>
      </c>
      <c r="J11260" s="30" t="s">
        <v>255</v>
      </c>
      <c r="L11260" s="30" t="s">
        <v>370</v>
      </c>
      <c r="M11260" s="30" t="s">
        <v>1236</v>
      </c>
      <c r="N11260" s="30" t="s">
        <v>1238</v>
      </c>
      <c r="P11260" s="30" t="s">
        <v>9882</v>
      </c>
      <c r="Q11260" t="s">
        <v>620</v>
      </c>
      <c r="R11260" t="s">
        <v>920</v>
      </c>
      <c r="S11260">
        <v>38</v>
      </c>
      <c r="T11260" s="29" t="str">
        <f>HYPERLINK("https://ictv.global/ictv/proposals/2021.026M.Paramyxoviridae_sprename.zip","2021.026M.Paramyxoviridae_sprename.zip")</f>
        <v>2021.026M.Paramyxoviridae_sprename.zip</v>
      </c>
      <c r="U11260" s="29" t="str">
        <f>HYPERLINK("https://ictv.global/taxonomy/taxondetails?taxnode_id=202306460","ictv.global=202306460")</f>
        <v>ictv.global=202306460</v>
      </c>
    </row>
    <row r="11261" spans="1:21">
      <c r="A11261">
        <v>11260</v>
      </c>
      <c r="B11261" s="30" t="s">
        <v>1226</v>
      </c>
      <c r="D11261" s="30" t="s">
        <v>2024</v>
      </c>
      <c r="F11261" s="30" t="s">
        <v>1040</v>
      </c>
      <c r="G11261" s="30" t="s">
        <v>1041</v>
      </c>
      <c r="H11261" s="30" t="s">
        <v>1047</v>
      </c>
      <c r="J11261" s="30" t="s">
        <v>255</v>
      </c>
      <c r="L11261" s="30" t="s">
        <v>370</v>
      </c>
      <c r="M11261" s="30" t="s">
        <v>1236</v>
      </c>
      <c r="N11261" s="30" t="s">
        <v>1238</v>
      </c>
      <c r="P11261" s="30" t="s">
        <v>9883</v>
      </c>
      <c r="Q11261" t="s">
        <v>620</v>
      </c>
      <c r="R11261" t="s">
        <v>920</v>
      </c>
      <c r="S11261">
        <v>38</v>
      </c>
      <c r="T11261" s="29" t="str">
        <f>HYPERLINK("https://ictv.global/ictv/proposals/2021.026M.Paramyxoviridae_sprename.zip","2021.026M.Paramyxoviridae_sprename.zip")</f>
        <v>2021.026M.Paramyxoviridae_sprename.zip</v>
      </c>
      <c r="U11261" s="29" t="str">
        <f>HYPERLINK("https://ictv.global/taxonomy/taxondetails?taxnode_id=202306461","ictv.global=202306461")</f>
        <v>ictv.global=202306461</v>
      </c>
    </row>
    <row r="11262" spans="1:21">
      <c r="A11262">
        <v>11261</v>
      </c>
      <c r="B11262" s="30" t="s">
        <v>1226</v>
      </c>
      <c r="D11262" s="30" t="s">
        <v>2024</v>
      </c>
      <c r="F11262" s="30" t="s">
        <v>1040</v>
      </c>
      <c r="G11262" s="30" t="s">
        <v>1041</v>
      </c>
      <c r="H11262" s="30" t="s">
        <v>1047</v>
      </c>
      <c r="J11262" s="30" t="s">
        <v>255</v>
      </c>
      <c r="L11262" s="30" t="s">
        <v>370</v>
      </c>
      <c r="M11262" s="30" t="s">
        <v>1236</v>
      </c>
      <c r="N11262" s="30" t="s">
        <v>1238</v>
      </c>
      <c r="P11262" s="30" t="s">
        <v>9884</v>
      </c>
      <c r="Q11262" t="s">
        <v>620</v>
      </c>
      <c r="R11262" t="s">
        <v>920</v>
      </c>
      <c r="S11262">
        <v>38</v>
      </c>
      <c r="T11262" s="29" t="str">
        <f>HYPERLINK("https://ictv.global/ictv/proposals/2021.026M.Paramyxoviridae_sprename.zip","2021.026M.Paramyxoviridae_sprename.zip")</f>
        <v>2021.026M.Paramyxoviridae_sprename.zip</v>
      </c>
      <c r="U11262" s="29" t="str">
        <f>HYPERLINK("https://ictv.global/taxonomy/taxondetails?taxnode_id=202306462","ictv.global=202306462")</f>
        <v>ictv.global=202306462</v>
      </c>
    </row>
    <row r="11263" spans="1:21">
      <c r="A11263">
        <v>11262</v>
      </c>
      <c r="B11263" s="30" t="s">
        <v>1226</v>
      </c>
      <c r="D11263" s="30" t="s">
        <v>2024</v>
      </c>
      <c r="F11263" s="30" t="s">
        <v>1040</v>
      </c>
      <c r="G11263" s="30" t="s">
        <v>1041</v>
      </c>
      <c r="H11263" s="30" t="s">
        <v>1047</v>
      </c>
      <c r="J11263" s="30" t="s">
        <v>255</v>
      </c>
      <c r="L11263" s="30" t="s">
        <v>370</v>
      </c>
      <c r="M11263" s="30" t="s">
        <v>1236</v>
      </c>
      <c r="N11263" s="30" t="s">
        <v>1238</v>
      </c>
      <c r="P11263" s="30" t="s">
        <v>17342</v>
      </c>
      <c r="Q11263" t="s">
        <v>620</v>
      </c>
      <c r="R11263" t="s">
        <v>917</v>
      </c>
      <c r="S11263">
        <v>39</v>
      </c>
      <c r="T11263" s="29" t="str">
        <f t="shared" ref="T11263:T11296" si="468">HYPERLINK("https://ictv.global/ictv/proposals/2023.018M.Paramyxoviridae_reorg.zip","2023.018M.Paramyxoviridae_reorg.zip")</f>
        <v>2023.018M.Paramyxoviridae_reorg.zip</v>
      </c>
      <c r="U11263" s="29" t="str">
        <f>HYPERLINK("https://ictv.global/taxonomy/taxondetails?taxnode_id=202318323","ictv.global=202318323")</f>
        <v>ictv.global=202318323</v>
      </c>
    </row>
    <row r="11264" spans="1:21">
      <c r="A11264">
        <v>11263</v>
      </c>
      <c r="B11264" s="30" t="s">
        <v>1226</v>
      </c>
      <c r="D11264" s="30" t="s">
        <v>2024</v>
      </c>
      <c r="F11264" s="30" t="s">
        <v>1040</v>
      </c>
      <c r="G11264" s="30" t="s">
        <v>1041</v>
      </c>
      <c r="H11264" s="30" t="s">
        <v>1047</v>
      </c>
      <c r="J11264" s="30" t="s">
        <v>255</v>
      </c>
      <c r="L11264" s="30" t="s">
        <v>370</v>
      </c>
      <c r="M11264" s="30" t="s">
        <v>1236</v>
      </c>
      <c r="N11264" s="30" t="s">
        <v>17343</v>
      </c>
      <c r="P11264" s="30" t="s">
        <v>17344</v>
      </c>
      <c r="Q11264" t="s">
        <v>620</v>
      </c>
      <c r="R11264" t="s">
        <v>917</v>
      </c>
      <c r="S11264">
        <v>39</v>
      </c>
      <c r="T11264" s="29" t="str">
        <f t="shared" si="468"/>
        <v>2023.018M.Paramyxoviridae_reorg.zip</v>
      </c>
      <c r="U11264" s="29" t="str">
        <f>HYPERLINK("https://ictv.global/taxonomy/taxondetails?taxnode_id=202318334","ictv.global=202318334")</f>
        <v>ictv.global=202318334</v>
      </c>
    </row>
    <row r="11265" spans="1:21">
      <c r="A11265">
        <v>11264</v>
      </c>
      <c r="B11265" s="30" t="s">
        <v>1226</v>
      </c>
      <c r="D11265" s="30" t="s">
        <v>2024</v>
      </c>
      <c r="F11265" s="30" t="s">
        <v>1040</v>
      </c>
      <c r="G11265" s="30" t="s">
        <v>1041</v>
      </c>
      <c r="H11265" s="30" t="s">
        <v>1047</v>
      </c>
      <c r="J11265" s="30" t="s">
        <v>255</v>
      </c>
      <c r="L11265" s="30" t="s">
        <v>370</v>
      </c>
      <c r="M11265" s="30" t="s">
        <v>1236</v>
      </c>
      <c r="N11265" s="30" t="s">
        <v>17343</v>
      </c>
      <c r="P11265" s="30" t="s">
        <v>17345</v>
      </c>
      <c r="Q11265" t="s">
        <v>620</v>
      </c>
      <c r="R11265" t="s">
        <v>917</v>
      </c>
      <c r="S11265">
        <v>39</v>
      </c>
      <c r="T11265" s="29" t="str">
        <f t="shared" si="468"/>
        <v>2023.018M.Paramyxoviridae_reorg.zip</v>
      </c>
      <c r="U11265" s="29" t="str">
        <f>HYPERLINK("https://ictv.global/taxonomy/taxondetails?taxnode_id=202318335","ictv.global=202318335")</f>
        <v>ictv.global=202318335</v>
      </c>
    </row>
    <row r="11266" spans="1:21">
      <c r="A11266">
        <v>11265</v>
      </c>
      <c r="B11266" s="30" t="s">
        <v>1226</v>
      </c>
      <c r="D11266" s="30" t="s">
        <v>2024</v>
      </c>
      <c r="F11266" s="30" t="s">
        <v>1040</v>
      </c>
      <c r="G11266" s="30" t="s">
        <v>1041</v>
      </c>
      <c r="H11266" s="30" t="s">
        <v>1047</v>
      </c>
      <c r="J11266" s="30" t="s">
        <v>255</v>
      </c>
      <c r="L11266" s="30" t="s">
        <v>370</v>
      </c>
      <c r="M11266" s="30" t="s">
        <v>1236</v>
      </c>
      <c r="N11266" s="30" t="s">
        <v>17343</v>
      </c>
      <c r="P11266" s="30" t="s">
        <v>17346</v>
      </c>
      <c r="Q11266" t="s">
        <v>620</v>
      </c>
      <c r="R11266" t="s">
        <v>917</v>
      </c>
      <c r="S11266">
        <v>39</v>
      </c>
      <c r="T11266" s="29" t="str">
        <f t="shared" si="468"/>
        <v>2023.018M.Paramyxoviridae_reorg.zip</v>
      </c>
      <c r="U11266" s="29" t="str">
        <f>HYPERLINK("https://ictv.global/taxonomy/taxondetails?taxnode_id=202318329","ictv.global=202318329")</f>
        <v>ictv.global=202318329</v>
      </c>
    </row>
    <row r="11267" spans="1:21">
      <c r="A11267">
        <v>11266</v>
      </c>
      <c r="B11267" s="30" t="s">
        <v>1226</v>
      </c>
      <c r="D11267" s="30" t="s">
        <v>2024</v>
      </c>
      <c r="F11267" s="30" t="s">
        <v>1040</v>
      </c>
      <c r="G11267" s="30" t="s">
        <v>1041</v>
      </c>
      <c r="H11267" s="30" t="s">
        <v>1047</v>
      </c>
      <c r="J11267" s="30" t="s">
        <v>255</v>
      </c>
      <c r="L11267" s="30" t="s">
        <v>370</v>
      </c>
      <c r="M11267" s="30" t="s">
        <v>1236</v>
      </c>
      <c r="N11267" s="30" t="s">
        <v>17343</v>
      </c>
      <c r="P11267" s="30" t="s">
        <v>17347</v>
      </c>
      <c r="Q11267" t="s">
        <v>620</v>
      </c>
      <c r="R11267" t="s">
        <v>917</v>
      </c>
      <c r="S11267">
        <v>39</v>
      </c>
      <c r="T11267" s="29" t="str">
        <f t="shared" si="468"/>
        <v>2023.018M.Paramyxoviridae_reorg.zip</v>
      </c>
      <c r="U11267" s="29" t="str">
        <f>HYPERLINK("https://ictv.global/taxonomy/taxondetails?taxnode_id=202318328","ictv.global=202318328")</f>
        <v>ictv.global=202318328</v>
      </c>
    </row>
    <row r="11268" spans="1:21">
      <c r="A11268">
        <v>11267</v>
      </c>
      <c r="B11268" s="30" t="s">
        <v>1226</v>
      </c>
      <c r="D11268" s="30" t="s">
        <v>2024</v>
      </c>
      <c r="F11268" s="30" t="s">
        <v>1040</v>
      </c>
      <c r="G11268" s="30" t="s">
        <v>1041</v>
      </c>
      <c r="H11268" s="30" t="s">
        <v>1047</v>
      </c>
      <c r="J11268" s="30" t="s">
        <v>255</v>
      </c>
      <c r="L11268" s="30" t="s">
        <v>370</v>
      </c>
      <c r="M11268" s="30" t="s">
        <v>1236</v>
      </c>
      <c r="N11268" s="30" t="s">
        <v>17343</v>
      </c>
      <c r="P11268" s="30" t="s">
        <v>17348</v>
      </c>
      <c r="Q11268" t="s">
        <v>620</v>
      </c>
      <c r="R11268" t="s">
        <v>917</v>
      </c>
      <c r="S11268">
        <v>39</v>
      </c>
      <c r="T11268" s="29" t="str">
        <f t="shared" si="468"/>
        <v>2023.018M.Paramyxoviridae_reorg.zip</v>
      </c>
      <c r="U11268" s="29" t="str">
        <f>HYPERLINK("https://ictv.global/taxonomy/taxondetails?taxnode_id=202318333","ictv.global=202318333")</f>
        <v>ictv.global=202318333</v>
      </c>
    </row>
    <row r="11269" spans="1:21">
      <c r="A11269">
        <v>11268</v>
      </c>
      <c r="B11269" s="30" t="s">
        <v>1226</v>
      </c>
      <c r="D11269" s="30" t="s">
        <v>2024</v>
      </c>
      <c r="F11269" s="30" t="s">
        <v>1040</v>
      </c>
      <c r="G11269" s="30" t="s">
        <v>1041</v>
      </c>
      <c r="H11269" s="30" t="s">
        <v>1047</v>
      </c>
      <c r="J11269" s="30" t="s">
        <v>255</v>
      </c>
      <c r="L11269" s="30" t="s">
        <v>370</v>
      </c>
      <c r="M11269" s="30" t="s">
        <v>1236</v>
      </c>
      <c r="N11269" s="30" t="s">
        <v>17343</v>
      </c>
      <c r="P11269" s="30" t="s">
        <v>17349</v>
      </c>
      <c r="Q11269" t="s">
        <v>620</v>
      </c>
      <c r="R11269" t="s">
        <v>917</v>
      </c>
      <c r="S11269">
        <v>39</v>
      </c>
      <c r="T11269" s="29" t="str">
        <f t="shared" si="468"/>
        <v>2023.018M.Paramyxoviridae_reorg.zip</v>
      </c>
      <c r="U11269" s="29" t="str">
        <f>HYPERLINK("https://ictv.global/taxonomy/taxondetails?taxnode_id=202318336","ictv.global=202318336")</f>
        <v>ictv.global=202318336</v>
      </c>
    </row>
    <row r="11270" spans="1:21">
      <c r="A11270">
        <v>11269</v>
      </c>
      <c r="B11270" s="30" t="s">
        <v>1226</v>
      </c>
      <c r="D11270" s="30" t="s">
        <v>2024</v>
      </c>
      <c r="F11270" s="30" t="s">
        <v>1040</v>
      </c>
      <c r="G11270" s="30" t="s">
        <v>1041</v>
      </c>
      <c r="H11270" s="30" t="s">
        <v>1047</v>
      </c>
      <c r="J11270" s="30" t="s">
        <v>255</v>
      </c>
      <c r="L11270" s="30" t="s">
        <v>370</v>
      </c>
      <c r="M11270" s="30" t="s">
        <v>1236</v>
      </c>
      <c r="N11270" s="30" t="s">
        <v>17343</v>
      </c>
      <c r="P11270" s="30" t="s">
        <v>17350</v>
      </c>
      <c r="Q11270" t="s">
        <v>620</v>
      </c>
      <c r="R11270" t="s">
        <v>917</v>
      </c>
      <c r="S11270">
        <v>39</v>
      </c>
      <c r="T11270" s="29" t="str">
        <f t="shared" si="468"/>
        <v>2023.018M.Paramyxoviridae_reorg.zip</v>
      </c>
      <c r="U11270" s="29" t="str">
        <f>HYPERLINK("https://ictv.global/taxonomy/taxondetails?taxnode_id=202318331","ictv.global=202318331")</f>
        <v>ictv.global=202318331</v>
      </c>
    </row>
    <row r="11271" spans="1:21">
      <c r="A11271">
        <v>11270</v>
      </c>
      <c r="B11271" s="30" t="s">
        <v>1226</v>
      </c>
      <c r="D11271" s="30" t="s">
        <v>2024</v>
      </c>
      <c r="F11271" s="30" t="s">
        <v>1040</v>
      </c>
      <c r="G11271" s="30" t="s">
        <v>1041</v>
      </c>
      <c r="H11271" s="30" t="s">
        <v>1047</v>
      </c>
      <c r="J11271" s="30" t="s">
        <v>255</v>
      </c>
      <c r="L11271" s="30" t="s">
        <v>370</v>
      </c>
      <c r="M11271" s="30" t="s">
        <v>1236</v>
      </c>
      <c r="N11271" s="30" t="s">
        <v>17343</v>
      </c>
      <c r="P11271" s="30" t="s">
        <v>17351</v>
      </c>
      <c r="Q11271" t="s">
        <v>620</v>
      </c>
      <c r="R11271" t="s">
        <v>918</v>
      </c>
      <c r="S11271">
        <v>39</v>
      </c>
      <c r="T11271" s="29" t="str">
        <f t="shared" si="468"/>
        <v>2023.018M.Paramyxoviridae_reorg.zip</v>
      </c>
      <c r="U11271" s="29" t="str">
        <f>HYPERLINK("https://ictv.global/taxonomy/taxondetails?taxnode_id=202301610","ictv.global=202301610")</f>
        <v>ictv.global=202301610</v>
      </c>
    </row>
    <row r="11272" spans="1:21">
      <c r="A11272">
        <v>11271</v>
      </c>
      <c r="B11272" s="30" t="s">
        <v>1226</v>
      </c>
      <c r="D11272" s="30" t="s">
        <v>2024</v>
      </c>
      <c r="F11272" s="30" t="s">
        <v>1040</v>
      </c>
      <c r="G11272" s="30" t="s">
        <v>1041</v>
      </c>
      <c r="H11272" s="30" t="s">
        <v>1047</v>
      </c>
      <c r="J11272" s="30" t="s">
        <v>255</v>
      </c>
      <c r="L11272" s="30" t="s">
        <v>370</v>
      </c>
      <c r="M11272" s="30" t="s">
        <v>1236</v>
      </c>
      <c r="N11272" s="30" t="s">
        <v>17343</v>
      </c>
      <c r="P11272" s="30" t="s">
        <v>17352</v>
      </c>
      <c r="Q11272" t="s">
        <v>620</v>
      </c>
      <c r="R11272" t="s">
        <v>917</v>
      </c>
      <c r="S11272">
        <v>39</v>
      </c>
      <c r="T11272" s="29" t="str">
        <f t="shared" si="468"/>
        <v>2023.018M.Paramyxoviridae_reorg.zip</v>
      </c>
      <c r="U11272" s="29" t="str">
        <f>HYPERLINK("https://ictv.global/taxonomy/taxondetails?taxnode_id=202318330","ictv.global=202318330")</f>
        <v>ictv.global=202318330</v>
      </c>
    </row>
    <row r="11273" spans="1:21">
      <c r="A11273">
        <v>11272</v>
      </c>
      <c r="B11273" s="30" t="s">
        <v>1226</v>
      </c>
      <c r="D11273" s="30" t="s">
        <v>2024</v>
      </c>
      <c r="F11273" s="30" t="s">
        <v>1040</v>
      </c>
      <c r="G11273" s="30" t="s">
        <v>1041</v>
      </c>
      <c r="H11273" s="30" t="s">
        <v>1047</v>
      </c>
      <c r="J11273" s="30" t="s">
        <v>255</v>
      </c>
      <c r="L11273" s="30" t="s">
        <v>370</v>
      </c>
      <c r="M11273" s="30" t="s">
        <v>1236</v>
      </c>
      <c r="N11273" s="30" t="s">
        <v>17343</v>
      </c>
      <c r="P11273" s="30" t="s">
        <v>17353</v>
      </c>
      <c r="Q11273" t="s">
        <v>620</v>
      </c>
      <c r="R11273" t="s">
        <v>917</v>
      </c>
      <c r="S11273">
        <v>39</v>
      </c>
      <c r="T11273" s="29" t="str">
        <f t="shared" si="468"/>
        <v>2023.018M.Paramyxoviridae_reorg.zip</v>
      </c>
      <c r="U11273" s="29" t="str">
        <f>HYPERLINK("https://ictv.global/taxonomy/taxondetails?taxnode_id=202318327","ictv.global=202318327")</f>
        <v>ictv.global=202318327</v>
      </c>
    </row>
    <row r="11274" spans="1:21">
      <c r="A11274">
        <v>11273</v>
      </c>
      <c r="B11274" s="30" t="s">
        <v>1226</v>
      </c>
      <c r="D11274" s="30" t="s">
        <v>2024</v>
      </c>
      <c r="F11274" s="30" t="s">
        <v>1040</v>
      </c>
      <c r="G11274" s="30" t="s">
        <v>1041</v>
      </c>
      <c r="H11274" s="30" t="s">
        <v>1047</v>
      </c>
      <c r="J11274" s="30" t="s">
        <v>255</v>
      </c>
      <c r="L11274" s="30" t="s">
        <v>370</v>
      </c>
      <c r="M11274" s="30" t="s">
        <v>1236</v>
      </c>
      <c r="N11274" s="30" t="s">
        <v>17343</v>
      </c>
      <c r="P11274" s="30" t="s">
        <v>17354</v>
      </c>
      <c r="Q11274" t="s">
        <v>620</v>
      </c>
      <c r="R11274" t="s">
        <v>917</v>
      </c>
      <c r="S11274">
        <v>39</v>
      </c>
      <c r="T11274" s="29" t="str">
        <f t="shared" si="468"/>
        <v>2023.018M.Paramyxoviridae_reorg.zip</v>
      </c>
      <c r="U11274" s="29" t="str">
        <f>HYPERLINK("https://ictv.global/taxonomy/taxondetails?taxnode_id=202318332","ictv.global=202318332")</f>
        <v>ictv.global=202318332</v>
      </c>
    </row>
    <row r="11275" spans="1:21">
      <c r="A11275" s="43">
        <v>11274</v>
      </c>
      <c r="B11275" s="30" t="s">
        <v>1226</v>
      </c>
      <c r="D11275" s="30" t="s">
        <v>2024</v>
      </c>
      <c r="F11275" s="30" t="s">
        <v>1040</v>
      </c>
      <c r="G11275" s="30" t="s">
        <v>1041</v>
      </c>
      <c r="H11275" s="30" t="s">
        <v>1047</v>
      </c>
      <c r="J11275" s="30" t="s">
        <v>255</v>
      </c>
      <c r="L11275" s="30" t="s">
        <v>370</v>
      </c>
      <c r="M11275" s="30" t="s">
        <v>1236</v>
      </c>
      <c r="N11275" s="30" t="s">
        <v>17355</v>
      </c>
      <c r="P11275" s="30" t="s">
        <v>17356</v>
      </c>
      <c r="Q11275" t="s">
        <v>620</v>
      </c>
      <c r="R11275" t="s">
        <v>917</v>
      </c>
      <c r="S11275">
        <v>39</v>
      </c>
      <c r="T11275" s="29" t="str">
        <f t="shared" si="468"/>
        <v>2023.018M.Paramyxoviridae_reorg.zip</v>
      </c>
      <c r="U11275" s="29" t="str">
        <f>HYPERLINK("https://ictv.global/taxonomy/taxondetails?taxnode_id=202318371","ictv.global=202318371")</f>
        <v>ictv.global=202318371</v>
      </c>
    </row>
    <row r="11276" spans="1:21">
      <c r="A11276">
        <v>11275</v>
      </c>
      <c r="B11276" s="30" t="s">
        <v>1226</v>
      </c>
      <c r="D11276" s="30" t="s">
        <v>2024</v>
      </c>
      <c r="F11276" s="30" t="s">
        <v>1040</v>
      </c>
      <c r="G11276" s="30" t="s">
        <v>1041</v>
      </c>
      <c r="H11276" s="30" t="s">
        <v>1047</v>
      </c>
      <c r="J11276" s="30" t="s">
        <v>255</v>
      </c>
      <c r="L11276" s="30" t="s">
        <v>370</v>
      </c>
      <c r="M11276" s="30" t="s">
        <v>1236</v>
      </c>
      <c r="N11276" s="30" t="s">
        <v>17355</v>
      </c>
      <c r="P11276" s="30" t="s">
        <v>17357</v>
      </c>
      <c r="Q11276" t="s">
        <v>620</v>
      </c>
      <c r="R11276" t="s">
        <v>917</v>
      </c>
      <c r="S11276">
        <v>39</v>
      </c>
      <c r="T11276" s="29" t="str">
        <f t="shared" si="468"/>
        <v>2023.018M.Paramyxoviridae_reorg.zip</v>
      </c>
      <c r="U11276" s="29" t="str">
        <f>HYPERLINK("https://ictv.global/taxonomy/taxondetails?taxnode_id=202318368","ictv.global=202318368")</f>
        <v>ictv.global=202318368</v>
      </c>
    </row>
    <row r="11277" spans="1:21">
      <c r="A11277">
        <v>11276</v>
      </c>
      <c r="B11277" s="30" t="s">
        <v>1226</v>
      </c>
      <c r="D11277" s="30" t="s">
        <v>2024</v>
      </c>
      <c r="F11277" s="30" t="s">
        <v>1040</v>
      </c>
      <c r="G11277" s="30" t="s">
        <v>1041</v>
      </c>
      <c r="H11277" s="30" t="s">
        <v>1047</v>
      </c>
      <c r="J11277" s="30" t="s">
        <v>255</v>
      </c>
      <c r="L11277" s="30" t="s">
        <v>370</v>
      </c>
      <c r="M11277" s="30" t="s">
        <v>1236</v>
      </c>
      <c r="N11277" s="30" t="s">
        <v>17355</v>
      </c>
      <c r="P11277" s="30" t="s">
        <v>17358</v>
      </c>
      <c r="Q11277" t="s">
        <v>620</v>
      </c>
      <c r="R11277" t="s">
        <v>918</v>
      </c>
      <c r="S11277">
        <v>39</v>
      </c>
      <c r="T11277" s="29" t="str">
        <f t="shared" si="468"/>
        <v>2023.018M.Paramyxoviridae_reorg.zip</v>
      </c>
      <c r="U11277" s="29" t="str">
        <f>HYPERLINK("https://ictv.global/taxonomy/taxondetails?taxnode_id=202313347","ictv.global=202313347")</f>
        <v>ictv.global=202313347</v>
      </c>
    </row>
    <row r="11278" spans="1:21">
      <c r="A11278">
        <v>11277</v>
      </c>
      <c r="B11278" s="30" t="s">
        <v>1226</v>
      </c>
      <c r="D11278" s="30" t="s">
        <v>2024</v>
      </c>
      <c r="F11278" s="30" t="s">
        <v>1040</v>
      </c>
      <c r="G11278" s="30" t="s">
        <v>1041</v>
      </c>
      <c r="H11278" s="30" t="s">
        <v>1047</v>
      </c>
      <c r="J11278" s="30" t="s">
        <v>255</v>
      </c>
      <c r="L11278" s="30" t="s">
        <v>370</v>
      </c>
      <c r="M11278" s="30" t="s">
        <v>1236</v>
      </c>
      <c r="N11278" s="30" t="s">
        <v>17355</v>
      </c>
      <c r="P11278" s="30" t="s">
        <v>17359</v>
      </c>
      <c r="Q11278" t="s">
        <v>620</v>
      </c>
      <c r="R11278" t="s">
        <v>917</v>
      </c>
      <c r="S11278">
        <v>39</v>
      </c>
      <c r="T11278" s="29" t="str">
        <f t="shared" si="468"/>
        <v>2023.018M.Paramyxoviridae_reorg.zip</v>
      </c>
      <c r="U11278" s="29" t="str">
        <f>HYPERLINK("https://ictv.global/taxonomy/taxondetails?taxnode_id=202318374","ictv.global=202318374")</f>
        <v>ictv.global=202318374</v>
      </c>
    </row>
    <row r="11279" spans="1:21">
      <c r="A11279">
        <v>11278</v>
      </c>
      <c r="B11279" s="30" t="s">
        <v>1226</v>
      </c>
      <c r="D11279" s="30" t="s">
        <v>2024</v>
      </c>
      <c r="F11279" s="30" t="s">
        <v>1040</v>
      </c>
      <c r="G11279" s="30" t="s">
        <v>1041</v>
      </c>
      <c r="H11279" s="30" t="s">
        <v>1047</v>
      </c>
      <c r="J11279" s="30" t="s">
        <v>255</v>
      </c>
      <c r="L11279" s="30" t="s">
        <v>370</v>
      </c>
      <c r="M11279" s="30" t="s">
        <v>1236</v>
      </c>
      <c r="N11279" s="30" t="s">
        <v>17355</v>
      </c>
      <c r="P11279" s="30" t="s">
        <v>17360</v>
      </c>
      <c r="Q11279" t="s">
        <v>620</v>
      </c>
      <c r="R11279" t="s">
        <v>917</v>
      </c>
      <c r="S11279">
        <v>39</v>
      </c>
      <c r="T11279" s="29" t="str">
        <f t="shared" si="468"/>
        <v>2023.018M.Paramyxoviridae_reorg.zip</v>
      </c>
      <c r="U11279" s="29" t="str">
        <f>HYPERLINK("https://ictv.global/taxonomy/taxondetails?taxnode_id=202318370","ictv.global=202318370")</f>
        <v>ictv.global=202318370</v>
      </c>
    </row>
    <row r="11280" spans="1:21">
      <c r="A11280">
        <v>11279</v>
      </c>
      <c r="B11280" s="30" t="s">
        <v>1226</v>
      </c>
      <c r="D11280" s="30" t="s">
        <v>2024</v>
      </c>
      <c r="F11280" s="30" t="s">
        <v>1040</v>
      </c>
      <c r="G11280" s="30" t="s">
        <v>1041</v>
      </c>
      <c r="H11280" s="30" t="s">
        <v>1047</v>
      </c>
      <c r="J11280" s="30" t="s">
        <v>255</v>
      </c>
      <c r="L11280" s="30" t="s">
        <v>370</v>
      </c>
      <c r="M11280" s="30" t="s">
        <v>1236</v>
      </c>
      <c r="N11280" s="30" t="s">
        <v>17355</v>
      </c>
      <c r="P11280" s="30" t="s">
        <v>17361</v>
      </c>
      <c r="Q11280" t="s">
        <v>620</v>
      </c>
      <c r="R11280" t="s">
        <v>918</v>
      </c>
      <c r="S11280">
        <v>39</v>
      </c>
      <c r="T11280" s="29" t="str">
        <f t="shared" si="468"/>
        <v>2023.018M.Paramyxoviridae_reorg.zip</v>
      </c>
      <c r="U11280" s="29" t="str">
        <f>HYPERLINK("https://ictv.global/taxonomy/taxondetails?taxnode_id=202313345","ictv.global=202313345")</f>
        <v>ictv.global=202313345</v>
      </c>
    </row>
    <row r="11281" spans="1:21">
      <c r="A11281">
        <v>11280</v>
      </c>
      <c r="B11281" s="30" t="s">
        <v>1226</v>
      </c>
      <c r="D11281" s="30" t="s">
        <v>2024</v>
      </c>
      <c r="F11281" s="30" t="s">
        <v>1040</v>
      </c>
      <c r="G11281" s="30" t="s">
        <v>1041</v>
      </c>
      <c r="H11281" s="30" t="s">
        <v>1047</v>
      </c>
      <c r="J11281" s="30" t="s">
        <v>255</v>
      </c>
      <c r="L11281" s="30" t="s">
        <v>370</v>
      </c>
      <c r="M11281" s="30" t="s">
        <v>1236</v>
      </c>
      <c r="N11281" s="30" t="s">
        <v>17355</v>
      </c>
      <c r="P11281" s="30" t="s">
        <v>17362</v>
      </c>
      <c r="Q11281" t="s">
        <v>620</v>
      </c>
      <c r="R11281" t="s">
        <v>917</v>
      </c>
      <c r="S11281">
        <v>39</v>
      </c>
      <c r="T11281" s="29" t="str">
        <f t="shared" si="468"/>
        <v>2023.018M.Paramyxoviridae_reorg.zip</v>
      </c>
      <c r="U11281" s="29" t="str">
        <f>HYPERLINK("https://ictv.global/taxonomy/taxondetails?taxnode_id=202318375","ictv.global=202318375")</f>
        <v>ictv.global=202318375</v>
      </c>
    </row>
    <row r="11282" spans="1:21">
      <c r="A11282">
        <v>11281</v>
      </c>
      <c r="B11282" s="30" t="s">
        <v>1226</v>
      </c>
      <c r="D11282" s="30" t="s">
        <v>2024</v>
      </c>
      <c r="F11282" s="30" t="s">
        <v>1040</v>
      </c>
      <c r="G11282" s="30" t="s">
        <v>1041</v>
      </c>
      <c r="H11282" s="30" t="s">
        <v>1047</v>
      </c>
      <c r="J11282" s="30" t="s">
        <v>255</v>
      </c>
      <c r="L11282" s="30" t="s">
        <v>370</v>
      </c>
      <c r="M11282" s="30" t="s">
        <v>1236</v>
      </c>
      <c r="N11282" s="30" t="s">
        <v>17355</v>
      </c>
      <c r="P11282" s="30" t="s">
        <v>17363</v>
      </c>
      <c r="Q11282" t="s">
        <v>620</v>
      </c>
      <c r="R11282" t="s">
        <v>917</v>
      </c>
      <c r="S11282">
        <v>39</v>
      </c>
      <c r="T11282" s="29" t="str">
        <f t="shared" si="468"/>
        <v>2023.018M.Paramyxoviridae_reorg.zip</v>
      </c>
      <c r="U11282" s="29" t="str">
        <f>HYPERLINK("https://ictv.global/taxonomy/taxondetails?taxnode_id=202318369","ictv.global=202318369")</f>
        <v>ictv.global=202318369</v>
      </c>
    </row>
    <row r="11283" spans="1:21">
      <c r="A11283">
        <v>11282</v>
      </c>
      <c r="B11283" s="30" t="s">
        <v>1226</v>
      </c>
      <c r="D11283" s="30" t="s">
        <v>2024</v>
      </c>
      <c r="F11283" s="30" t="s">
        <v>1040</v>
      </c>
      <c r="G11283" s="30" t="s">
        <v>1041</v>
      </c>
      <c r="H11283" s="30" t="s">
        <v>1047</v>
      </c>
      <c r="J11283" s="30" t="s">
        <v>255</v>
      </c>
      <c r="L11283" s="30" t="s">
        <v>370</v>
      </c>
      <c r="M11283" s="30" t="s">
        <v>1236</v>
      </c>
      <c r="N11283" s="30" t="s">
        <v>17355</v>
      </c>
      <c r="P11283" s="30" t="s">
        <v>17364</v>
      </c>
      <c r="Q11283" t="s">
        <v>620</v>
      </c>
      <c r="R11283" t="s">
        <v>917</v>
      </c>
      <c r="S11283">
        <v>39</v>
      </c>
      <c r="T11283" s="29" t="str">
        <f t="shared" si="468"/>
        <v>2023.018M.Paramyxoviridae_reorg.zip</v>
      </c>
      <c r="U11283" s="29" t="str">
        <f>HYPERLINK("https://ictv.global/taxonomy/taxondetails?taxnode_id=202318372","ictv.global=202318372")</f>
        <v>ictv.global=202318372</v>
      </c>
    </row>
    <row r="11284" spans="1:21">
      <c r="A11284">
        <v>11283</v>
      </c>
      <c r="B11284" s="30" t="s">
        <v>1226</v>
      </c>
      <c r="D11284" s="30" t="s">
        <v>2024</v>
      </c>
      <c r="F11284" s="30" t="s">
        <v>1040</v>
      </c>
      <c r="G11284" s="30" t="s">
        <v>1041</v>
      </c>
      <c r="H11284" s="30" t="s">
        <v>1047</v>
      </c>
      <c r="J11284" s="30" t="s">
        <v>255</v>
      </c>
      <c r="L11284" s="30" t="s">
        <v>370</v>
      </c>
      <c r="M11284" s="30" t="s">
        <v>1236</v>
      </c>
      <c r="N11284" s="30" t="s">
        <v>17355</v>
      </c>
      <c r="P11284" s="30" t="s">
        <v>17365</v>
      </c>
      <c r="Q11284" t="s">
        <v>620</v>
      </c>
      <c r="R11284" t="s">
        <v>917</v>
      </c>
      <c r="S11284">
        <v>39</v>
      </c>
      <c r="T11284" s="29" t="str">
        <f t="shared" si="468"/>
        <v>2023.018M.Paramyxoviridae_reorg.zip</v>
      </c>
      <c r="U11284" s="29" t="str">
        <f>HYPERLINK("https://ictv.global/taxonomy/taxondetails?taxnode_id=202318377","ictv.global=202318377")</f>
        <v>ictv.global=202318377</v>
      </c>
    </row>
    <row r="11285" spans="1:21">
      <c r="A11285">
        <v>11284</v>
      </c>
      <c r="B11285" s="30" t="s">
        <v>1226</v>
      </c>
      <c r="D11285" s="30" t="s">
        <v>2024</v>
      </c>
      <c r="F11285" s="30" t="s">
        <v>1040</v>
      </c>
      <c r="G11285" s="30" t="s">
        <v>1041</v>
      </c>
      <c r="H11285" s="30" t="s">
        <v>1047</v>
      </c>
      <c r="J11285" s="30" t="s">
        <v>255</v>
      </c>
      <c r="L11285" s="30" t="s">
        <v>370</v>
      </c>
      <c r="M11285" s="30" t="s">
        <v>1236</v>
      </c>
      <c r="N11285" s="30" t="s">
        <v>17355</v>
      </c>
      <c r="P11285" s="30" t="s">
        <v>17366</v>
      </c>
      <c r="Q11285" t="s">
        <v>620</v>
      </c>
      <c r="R11285" t="s">
        <v>918</v>
      </c>
      <c r="S11285">
        <v>39</v>
      </c>
      <c r="T11285" s="29" t="str">
        <f t="shared" si="468"/>
        <v>2023.018M.Paramyxoviridae_reorg.zip</v>
      </c>
      <c r="U11285" s="29" t="str">
        <f>HYPERLINK("https://ictv.global/taxonomy/taxondetails?taxnode_id=202313348","ictv.global=202313348")</f>
        <v>ictv.global=202313348</v>
      </c>
    </row>
    <row r="11286" spans="1:21">
      <c r="A11286">
        <v>11285</v>
      </c>
      <c r="B11286" s="30" t="s">
        <v>1226</v>
      </c>
      <c r="D11286" s="30" t="s">
        <v>2024</v>
      </c>
      <c r="F11286" s="30" t="s">
        <v>1040</v>
      </c>
      <c r="G11286" s="30" t="s">
        <v>1041</v>
      </c>
      <c r="H11286" s="30" t="s">
        <v>1047</v>
      </c>
      <c r="J11286" s="30" t="s">
        <v>255</v>
      </c>
      <c r="L11286" s="30" t="s">
        <v>370</v>
      </c>
      <c r="M11286" s="30" t="s">
        <v>1236</v>
      </c>
      <c r="N11286" s="30" t="s">
        <v>17355</v>
      </c>
      <c r="P11286" s="30" t="s">
        <v>17367</v>
      </c>
      <c r="Q11286" t="s">
        <v>620</v>
      </c>
      <c r="R11286" t="s">
        <v>918</v>
      </c>
      <c r="S11286">
        <v>39</v>
      </c>
      <c r="T11286" s="29" t="str">
        <f t="shared" si="468"/>
        <v>2023.018M.Paramyxoviridae_reorg.zip</v>
      </c>
      <c r="U11286" s="29" t="str">
        <f>HYPERLINK("https://ictv.global/taxonomy/taxondetails?taxnode_id=202307560","ictv.global=202307560")</f>
        <v>ictv.global=202307560</v>
      </c>
    </row>
    <row r="11287" spans="1:21">
      <c r="A11287">
        <v>11286</v>
      </c>
      <c r="B11287" s="30" t="s">
        <v>1226</v>
      </c>
      <c r="D11287" s="30" t="s">
        <v>2024</v>
      </c>
      <c r="F11287" s="30" t="s">
        <v>1040</v>
      </c>
      <c r="G11287" s="30" t="s">
        <v>1041</v>
      </c>
      <c r="H11287" s="30" t="s">
        <v>1047</v>
      </c>
      <c r="J11287" s="30" t="s">
        <v>255</v>
      </c>
      <c r="L11287" s="30" t="s">
        <v>370</v>
      </c>
      <c r="M11287" s="30" t="s">
        <v>1236</v>
      </c>
      <c r="N11287" s="30" t="s">
        <v>17355</v>
      </c>
      <c r="P11287" s="30" t="s">
        <v>17368</v>
      </c>
      <c r="Q11287" t="s">
        <v>620</v>
      </c>
      <c r="R11287" t="s">
        <v>917</v>
      </c>
      <c r="S11287">
        <v>39</v>
      </c>
      <c r="T11287" s="29" t="str">
        <f t="shared" si="468"/>
        <v>2023.018M.Paramyxoviridae_reorg.zip</v>
      </c>
      <c r="U11287" s="29" t="str">
        <f>HYPERLINK("https://ictv.global/taxonomy/taxondetails?taxnode_id=202318376","ictv.global=202318376")</f>
        <v>ictv.global=202318376</v>
      </c>
    </row>
    <row r="11288" spans="1:21">
      <c r="A11288">
        <v>11287</v>
      </c>
      <c r="B11288" s="30" t="s">
        <v>1226</v>
      </c>
      <c r="D11288" s="30" t="s">
        <v>2024</v>
      </c>
      <c r="F11288" s="30" t="s">
        <v>1040</v>
      </c>
      <c r="G11288" s="30" t="s">
        <v>1041</v>
      </c>
      <c r="H11288" s="30" t="s">
        <v>1047</v>
      </c>
      <c r="J11288" s="30" t="s">
        <v>255</v>
      </c>
      <c r="L11288" s="30" t="s">
        <v>370</v>
      </c>
      <c r="M11288" s="30" t="s">
        <v>1236</v>
      </c>
      <c r="N11288" s="30" t="s">
        <v>17355</v>
      </c>
      <c r="P11288" s="30" t="s">
        <v>17369</v>
      </c>
      <c r="Q11288" t="s">
        <v>620</v>
      </c>
      <c r="R11288" t="s">
        <v>917</v>
      </c>
      <c r="S11288">
        <v>39</v>
      </c>
      <c r="T11288" s="29" t="str">
        <f t="shared" si="468"/>
        <v>2023.018M.Paramyxoviridae_reorg.zip</v>
      </c>
      <c r="U11288" s="29" t="str">
        <f>HYPERLINK("https://ictv.global/taxonomy/taxondetails?taxnode_id=202318380","ictv.global=202318380")</f>
        <v>ictv.global=202318380</v>
      </c>
    </row>
    <row r="11289" spans="1:21">
      <c r="A11289">
        <v>11288</v>
      </c>
      <c r="B11289" s="30" t="s">
        <v>1226</v>
      </c>
      <c r="D11289" s="30" t="s">
        <v>2024</v>
      </c>
      <c r="F11289" s="30" t="s">
        <v>1040</v>
      </c>
      <c r="G11289" s="30" t="s">
        <v>1041</v>
      </c>
      <c r="H11289" s="30" t="s">
        <v>1047</v>
      </c>
      <c r="J11289" s="30" t="s">
        <v>255</v>
      </c>
      <c r="L11289" s="30" t="s">
        <v>370</v>
      </c>
      <c r="M11289" s="30" t="s">
        <v>1236</v>
      </c>
      <c r="N11289" s="30" t="s">
        <v>17355</v>
      </c>
      <c r="P11289" s="30" t="s">
        <v>17370</v>
      </c>
      <c r="Q11289" t="s">
        <v>620</v>
      </c>
      <c r="R11289" t="s">
        <v>917</v>
      </c>
      <c r="S11289">
        <v>39</v>
      </c>
      <c r="T11289" s="29" t="str">
        <f t="shared" si="468"/>
        <v>2023.018M.Paramyxoviridae_reorg.zip</v>
      </c>
      <c r="U11289" s="29" t="str">
        <f>HYPERLINK("https://ictv.global/taxonomy/taxondetails?taxnode_id=202318381","ictv.global=202318381")</f>
        <v>ictv.global=202318381</v>
      </c>
    </row>
    <row r="11290" spans="1:21">
      <c r="A11290">
        <v>11289</v>
      </c>
      <c r="B11290" s="30" t="s">
        <v>1226</v>
      </c>
      <c r="D11290" s="30" t="s">
        <v>2024</v>
      </c>
      <c r="F11290" s="30" t="s">
        <v>1040</v>
      </c>
      <c r="G11290" s="30" t="s">
        <v>1041</v>
      </c>
      <c r="H11290" s="30" t="s">
        <v>1047</v>
      </c>
      <c r="J11290" s="30" t="s">
        <v>255</v>
      </c>
      <c r="L11290" s="30" t="s">
        <v>370</v>
      </c>
      <c r="M11290" s="30" t="s">
        <v>1236</v>
      </c>
      <c r="N11290" s="30" t="s">
        <v>17355</v>
      </c>
      <c r="P11290" s="30" t="s">
        <v>17371</v>
      </c>
      <c r="Q11290" t="s">
        <v>620</v>
      </c>
      <c r="R11290" t="s">
        <v>917</v>
      </c>
      <c r="S11290">
        <v>39</v>
      </c>
      <c r="T11290" s="29" t="str">
        <f t="shared" si="468"/>
        <v>2023.018M.Paramyxoviridae_reorg.zip</v>
      </c>
      <c r="U11290" s="29" t="str">
        <f>HYPERLINK("https://ictv.global/taxonomy/taxondetails?taxnode_id=202318373","ictv.global=202318373")</f>
        <v>ictv.global=202318373</v>
      </c>
    </row>
    <row r="11291" spans="1:21">
      <c r="A11291">
        <v>11290</v>
      </c>
      <c r="B11291" s="30" t="s">
        <v>1226</v>
      </c>
      <c r="D11291" s="30" t="s">
        <v>2024</v>
      </c>
      <c r="F11291" s="30" t="s">
        <v>1040</v>
      </c>
      <c r="G11291" s="30" t="s">
        <v>1041</v>
      </c>
      <c r="H11291" s="30" t="s">
        <v>1047</v>
      </c>
      <c r="J11291" s="30" t="s">
        <v>255</v>
      </c>
      <c r="L11291" s="30" t="s">
        <v>370</v>
      </c>
      <c r="M11291" s="30" t="s">
        <v>1236</v>
      </c>
      <c r="N11291" s="30" t="s">
        <v>17355</v>
      </c>
      <c r="P11291" s="30" t="s">
        <v>17372</v>
      </c>
      <c r="Q11291" t="s">
        <v>620</v>
      </c>
      <c r="R11291" t="s">
        <v>917</v>
      </c>
      <c r="S11291">
        <v>39</v>
      </c>
      <c r="T11291" s="29" t="str">
        <f t="shared" si="468"/>
        <v>2023.018M.Paramyxoviridae_reorg.zip</v>
      </c>
      <c r="U11291" s="29" t="str">
        <f>HYPERLINK("https://ictv.global/taxonomy/taxondetails?taxnode_id=202318378","ictv.global=202318378")</f>
        <v>ictv.global=202318378</v>
      </c>
    </row>
    <row r="11292" spans="1:21">
      <c r="A11292">
        <v>11291</v>
      </c>
      <c r="B11292" s="30" t="s">
        <v>1226</v>
      </c>
      <c r="D11292" s="30" t="s">
        <v>2024</v>
      </c>
      <c r="F11292" s="30" t="s">
        <v>1040</v>
      </c>
      <c r="G11292" s="30" t="s">
        <v>1041</v>
      </c>
      <c r="H11292" s="30" t="s">
        <v>1047</v>
      </c>
      <c r="J11292" s="30" t="s">
        <v>255</v>
      </c>
      <c r="L11292" s="30" t="s">
        <v>370</v>
      </c>
      <c r="M11292" s="30" t="s">
        <v>1236</v>
      </c>
      <c r="N11292" s="30" t="s">
        <v>17355</v>
      </c>
      <c r="P11292" s="30" t="s">
        <v>17373</v>
      </c>
      <c r="Q11292" t="s">
        <v>620</v>
      </c>
      <c r="R11292" t="s">
        <v>917</v>
      </c>
      <c r="S11292">
        <v>39</v>
      </c>
      <c r="T11292" s="29" t="str">
        <f t="shared" si="468"/>
        <v>2023.018M.Paramyxoviridae_reorg.zip</v>
      </c>
      <c r="U11292" s="29" t="str">
        <f>HYPERLINK("https://ictv.global/taxonomy/taxondetails?taxnode_id=202318379","ictv.global=202318379")</f>
        <v>ictv.global=202318379</v>
      </c>
    </row>
    <row r="11293" spans="1:21">
      <c r="A11293">
        <v>11292</v>
      </c>
      <c r="B11293" s="30" t="s">
        <v>1226</v>
      </c>
      <c r="D11293" s="30" t="s">
        <v>2024</v>
      </c>
      <c r="F11293" s="30" t="s">
        <v>1040</v>
      </c>
      <c r="G11293" s="30" t="s">
        <v>1041</v>
      </c>
      <c r="H11293" s="30" t="s">
        <v>1047</v>
      </c>
      <c r="J11293" s="30" t="s">
        <v>255</v>
      </c>
      <c r="L11293" s="30" t="s">
        <v>370</v>
      </c>
      <c r="M11293" s="30" t="s">
        <v>1236</v>
      </c>
      <c r="N11293" s="30" t="s">
        <v>17374</v>
      </c>
      <c r="P11293" s="30" t="s">
        <v>17375</v>
      </c>
      <c r="Q11293" t="s">
        <v>620</v>
      </c>
      <c r="R11293" t="s">
        <v>917</v>
      </c>
      <c r="S11293">
        <v>39</v>
      </c>
      <c r="T11293" s="29" t="str">
        <f t="shared" si="468"/>
        <v>2023.018M.Paramyxoviridae_reorg.zip</v>
      </c>
      <c r="U11293" s="29" t="str">
        <f>HYPERLINK("https://ictv.global/taxonomy/taxondetails?taxnode_id=202318341","ictv.global=202318341")</f>
        <v>ictv.global=202318341</v>
      </c>
    </row>
    <row r="11294" spans="1:21">
      <c r="A11294">
        <v>11293</v>
      </c>
      <c r="B11294" s="30" t="s">
        <v>1226</v>
      </c>
      <c r="D11294" s="30" t="s">
        <v>2024</v>
      </c>
      <c r="F11294" s="30" t="s">
        <v>1040</v>
      </c>
      <c r="G11294" s="30" t="s">
        <v>1041</v>
      </c>
      <c r="H11294" s="30" t="s">
        <v>1047</v>
      </c>
      <c r="J11294" s="30" t="s">
        <v>255</v>
      </c>
      <c r="L11294" s="30" t="s">
        <v>370</v>
      </c>
      <c r="M11294" s="30" t="s">
        <v>1236</v>
      </c>
      <c r="N11294" s="30" t="s">
        <v>17374</v>
      </c>
      <c r="P11294" s="30" t="s">
        <v>17376</v>
      </c>
      <c r="Q11294" t="s">
        <v>620</v>
      </c>
      <c r="R11294" t="s">
        <v>917</v>
      </c>
      <c r="S11294">
        <v>39</v>
      </c>
      <c r="T11294" s="29" t="str">
        <f t="shared" si="468"/>
        <v>2023.018M.Paramyxoviridae_reorg.zip</v>
      </c>
      <c r="U11294" s="29" t="str">
        <f>HYPERLINK("https://ictv.global/taxonomy/taxondetails?taxnode_id=202318343","ictv.global=202318343")</f>
        <v>ictv.global=202318343</v>
      </c>
    </row>
    <row r="11295" spans="1:21">
      <c r="A11295">
        <v>11294</v>
      </c>
      <c r="B11295" s="30" t="s">
        <v>1226</v>
      </c>
      <c r="D11295" s="30" t="s">
        <v>2024</v>
      </c>
      <c r="F11295" s="30" t="s">
        <v>1040</v>
      </c>
      <c r="G11295" s="30" t="s">
        <v>1041</v>
      </c>
      <c r="H11295" s="30" t="s">
        <v>1047</v>
      </c>
      <c r="J11295" s="30" t="s">
        <v>255</v>
      </c>
      <c r="L11295" s="30" t="s">
        <v>370</v>
      </c>
      <c r="M11295" s="30" t="s">
        <v>1236</v>
      </c>
      <c r="N11295" s="30" t="s">
        <v>17374</v>
      </c>
      <c r="P11295" s="30" t="s">
        <v>17377</v>
      </c>
      <c r="Q11295" t="s">
        <v>620</v>
      </c>
      <c r="R11295" t="s">
        <v>917</v>
      </c>
      <c r="S11295">
        <v>39</v>
      </c>
      <c r="T11295" s="29" t="str">
        <f t="shared" si="468"/>
        <v>2023.018M.Paramyxoviridae_reorg.zip</v>
      </c>
      <c r="U11295" s="29" t="str">
        <f>HYPERLINK("https://ictv.global/taxonomy/taxondetails?taxnode_id=202318342","ictv.global=202318342")</f>
        <v>ictv.global=202318342</v>
      </c>
    </row>
    <row r="11296" spans="1:21">
      <c r="A11296">
        <v>11295</v>
      </c>
      <c r="B11296" s="30" t="s">
        <v>1226</v>
      </c>
      <c r="D11296" s="30" t="s">
        <v>2024</v>
      </c>
      <c r="F11296" s="30" t="s">
        <v>1040</v>
      </c>
      <c r="G11296" s="30" t="s">
        <v>1041</v>
      </c>
      <c r="H11296" s="30" t="s">
        <v>1047</v>
      </c>
      <c r="J11296" s="30" t="s">
        <v>255</v>
      </c>
      <c r="L11296" s="30" t="s">
        <v>370</v>
      </c>
      <c r="M11296" s="30" t="s">
        <v>1236</v>
      </c>
      <c r="N11296" s="30" t="s">
        <v>17374</v>
      </c>
      <c r="P11296" s="30" t="s">
        <v>17378</v>
      </c>
      <c r="Q11296" t="s">
        <v>620</v>
      </c>
      <c r="R11296" t="s">
        <v>917</v>
      </c>
      <c r="S11296">
        <v>39</v>
      </c>
      <c r="T11296" s="29" t="str">
        <f t="shared" si="468"/>
        <v>2023.018M.Paramyxoviridae_reorg.zip</v>
      </c>
      <c r="U11296" s="29" t="str">
        <f>HYPERLINK("https://ictv.global/taxonomy/taxondetails?taxnode_id=202318340","ictv.global=202318340")</f>
        <v>ictv.global=202318340</v>
      </c>
    </row>
    <row r="11297" spans="1:21">
      <c r="A11297">
        <v>11296</v>
      </c>
      <c r="B11297" s="30" t="s">
        <v>1226</v>
      </c>
      <c r="D11297" s="30" t="s">
        <v>2024</v>
      </c>
      <c r="F11297" s="30" t="s">
        <v>1040</v>
      </c>
      <c r="G11297" s="30" t="s">
        <v>1041</v>
      </c>
      <c r="H11297" s="30" t="s">
        <v>1047</v>
      </c>
      <c r="J11297" s="30" t="s">
        <v>255</v>
      </c>
      <c r="L11297" s="30" t="s">
        <v>370</v>
      </c>
      <c r="M11297" s="30" t="s">
        <v>1236</v>
      </c>
      <c r="N11297" s="30" t="s">
        <v>1239</v>
      </c>
      <c r="P11297" s="30" t="s">
        <v>9892</v>
      </c>
      <c r="Q11297" t="s">
        <v>620</v>
      </c>
      <c r="R11297" t="s">
        <v>920</v>
      </c>
      <c r="S11297">
        <v>38</v>
      </c>
      <c r="T11297" s="29" t="str">
        <f>HYPERLINK("https://ictv.global/ictv/proposals/2021.026M.Paramyxoviridae_sprename.zip","2021.026M.Paramyxoviridae_sprename.zip")</f>
        <v>2021.026M.Paramyxoviridae_sprename.zip</v>
      </c>
      <c r="U11297" s="29" t="str">
        <f>HYPERLINK("https://ictv.global/taxonomy/taxondetails?taxnode_id=202306466","ictv.global=202306466")</f>
        <v>ictv.global=202306466</v>
      </c>
    </row>
    <row r="11298" spans="1:21">
      <c r="A11298">
        <v>11297</v>
      </c>
      <c r="B11298" s="30" t="s">
        <v>1226</v>
      </c>
      <c r="D11298" s="30" t="s">
        <v>2024</v>
      </c>
      <c r="F11298" s="30" t="s">
        <v>1040</v>
      </c>
      <c r="G11298" s="30" t="s">
        <v>1041</v>
      </c>
      <c r="H11298" s="30" t="s">
        <v>1047</v>
      </c>
      <c r="J11298" s="30" t="s">
        <v>255</v>
      </c>
      <c r="L11298" s="30" t="s">
        <v>370</v>
      </c>
      <c r="M11298" s="30" t="s">
        <v>1236</v>
      </c>
      <c r="N11298" s="30" t="s">
        <v>17379</v>
      </c>
      <c r="P11298" s="30" t="s">
        <v>17380</v>
      </c>
      <c r="Q11298" t="s">
        <v>620</v>
      </c>
      <c r="R11298" t="s">
        <v>918</v>
      </c>
      <c r="S11298">
        <v>39</v>
      </c>
      <c r="T11298" s="29" t="str">
        <f>HYPERLINK("https://ictv.global/ictv/proposals/2023.018M.Paramyxoviridae_reorg.zip","2023.018M.Paramyxoviridae_reorg.zip")</f>
        <v>2023.018M.Paramyxoviridae_reorg.zip</v>
      </c>
      <c r="U11298" s="29" t="str">
        <f>HYPERLINK("https://ictv.global/taxonomy/taxondetails?taxnode_id=202306463","ictv.global=202306463")</f>
        <v>ictv.global=202306463</v>
      </c>
    </row>
    <row r="11299" spans="1:21">
      <c r="A11299">
        <v>11298</v>
      </c>
      <c r="B11299" s="30" t="s">
        <v>1226</v>
      </c>
      <c r="D11299" s="30" t="s">
        <v>2024</v>
      </c>
      <c r="F11299" s="30" t="s">
        <v>1040</v>
      </c>
      <c r="G11299" s="30" t="s">
        <v>1041</v>
      </c>
      <c r="H11299" s="30" t="s">
        <v>1047</v>
      </c>
      <c r="J11299" s="30" t="s">
        <v>255</v>
      </c>
      <c r="L11299" s="30" t="s">
        <v>370</v>
      </c>
      <c r="M11299" s="30" t="s">
        <v>1240</v>
      </c>
      <c r="N11299" s="30" t="s">
        <v>1241</v>
      </c>
      <c r="P11299" s="30" t="s">
        <v>9893</v>
      </c>
      <c r="Q11299" t="s">
        <v>620</v>
      </c>
      <c r="R11299" t="s">
        <v>920</v>
      </c>
      <c r="S11299">
        <v>38</v>
      </c>
      <c r="T11299" s="29" t="str">
        <f>HYPERLINK("https://ictv.global/ictv/proposals/2021.026M.Paramyxoviridae_sprename.zip","2021.026M.Paramyxoviridae_sprename.zip")</f>
        <v>2021.026M.Paramyxoviridae_sprename.zip</v>
      </c>
      <c r="U11299" s="29" t="str">
        <f>HYPERLINK("https://ictv.global/taxonomy/taxondetails?taxnode_id=202301631","ictv.global=202301631")</f>
        <v>ictv.global=202301631</v>
      </c>
    </row>
    <row r="11300" spans="1:21">
      <c r="A11300">
        <v>11299</v>
      </c>
      <c r="B11300" s="30" t="s">
        <v>1226</v>
      </c>
      <c r="D11300" s="30" t="s">
        <v>2024</v>
      </c>
      <c r="F11300" s="30" t="s">
        <v>1040</v>
      </c>
      <c r="G11300" s="30" t="s">
        <v>1041</v>
      </c>
      <c r="H11300" s="30" t="s">
        <v>1047</v>
      </c>
      <c r="J11300" s="30" t="s">
        <v>255</v>
      </c>
      <c r="L11300" s="30" t="s">
        <v>370</v>
      </c>
      <c r="M11300" s="30" t="s">
        <v>1240</v>
      </c>
      <c r="N11300" s="30" t="s">
        <v>1241</v>
      </c>
      <c r="P11300" s="30" t="s">
        <v>9894</v>
      </c>
      <c r="Q11300" t="s">
        <v>620</v>
      </c>
      <c r="R11300" t="s">
        <v>920</v>
      </c>
      <c r="S11300">
        <v>38</v>
      </c>
      <c r="T11300" s="29" t="str">
        <f>HYPERLINK("https://ictv.global/ictv/proposals/2021.026M.Paramyxoviridae_sprename.zip","2021.026M.Paramyxoviridae_sprename.zip")</f>
        <v>2021.026M.Paramyxoviridae_sprename.zip</v>
      </c>
      <c r="U11300" s="29" t="str">
        <f>HYPERLINK("https://ictv.global/taxonomy/taxondetails?taxnode_id=202301630","ictv.global=202301630")</f>
        <v>ictv.global=202301630</v>
      </c>
    </row>
    <row r="11301" spans="1:21">
      <c r="A11301">
        <v>11300</v>
      </c>
      <c r="B11301" s="30" t="s">
        <v>1226</v>
      </c>
      <c r="D11301" s="30" t="s">
        <v>2024</v>
      </c>
      <c r="F11301" s="30" t="s">
        <v>1040</v>
      </c>
      <c r="G11301" s="30" t="s">
        <v>1041</v>
      </c>
      <c r="H11301" s="30" t="s">
        <v>1047</v>
      </c>
      <c r="J11301" s="30" t="s">
        <v>255</v>
      </c>
      <c r="L11301" s="30" t="s">
        <v>370</v>
      </c>
      <c r="M11301" s="30" t="s">
        <v>1240</v>
      </c>
      <c r="N11301" s="30" t="s">
        <v>1241</v>
      </c>
      <c r="P11301" s="30" t="s">
        <v>9895</v>
      </c>
      <c r="Q11301" t="s">
        <v>620</v>
      </c>
      <c r="R11301" t="s">
        <v>920</v>
      </c>
      <c r="S11301">
        <v>38</v>
      </c>
      <c r="T11301" s="29" t="str">
        <f>HYPERLINK("https://ictv.global/ictv/proposals/2021.026M.Paramyxoviridae_sprename.zip","2021.026M.Paramyxoviridae_sprename.zip")</f>
        <v>2021.026M.Paramyxoviridae_sprename.zip</v>
      </c>
      <c r="U11301" s="29" t="str">
        <f>HYPERLINK("https://ictv.global/taxonomy/taxondetails?taxnode_id=202301632","ictv.global=202301632")</f>
        <v>ictv.global=202301632</v>
      </c>
    </row>
    <row r="11302" spans="1:21">
      <c r="A11302">
        <v>11301</v>
      </c>
      <c r="B11302" s="30" t="s">
        <v>1226</v>
      </c>
      <c r="D11302" s="30" t="s">
        <v>2024</v>
      </c>
      <c r="F11302" s="30" t="s">
        <v>1040</v>
      </c>
      <c r="G11302" s="30" t="s">
        <v>1041</v>
      </c>
      <c r="H11302" s="30" t="s">
        <v>1047</v>
      </c>
      <c r="J11302" s="30" t="s">
        <v>255</v>
      </c>
      <c r="L11302" s="30" t="s">
        <v>370</v>
      </c>
      <c r="M11302" s="30" t="s">
        <v>1240</v>
      </c>
      <c r="N11302" s="30" t="s">
        <v>1241</v>
      </c>
      <c r="P11302" s="30" t="s">
        <v>9896</v>
      </c>
      <c r="Q11302" t="s">
        <v>620</v>
      </c>
      <c r="R11302" t="s">
        <v>920</v>
      </c>
      <c r="S11302">
        <v>38</v>
      </c>
      <c r="T11302" s="29" t="str">
        <f>HYPERLINK("https://ictv.global/ictv/proposals/2021.026M.Paramyxoviridae_sprename.zip","2021.026M.Paramyxoviridae_sprename.zip")</f>
        <v>2021.026M.Paramyxoviridae_sprename.zip</v>
      </c>
      <c r="U11302" s="29" t="str">
        <f>HYPERLINK("https://ictv.global/taxonomy/taxondetails?taxnode_id=202301633","ictv.global=202301633")</f>
        <v>ictv.global=202301633</v>
      </c>
    </row>
    <row r="11303" spans="1:21">
      <c r="A11303">
        <v>11302</v>
      </c>
      <c r="B11303" s="30" t="s">
        <v>1226</v>
      </c>
      <c r="D11303" s="30" t="s">
        <v>2024</v>
      </c>
      <c r="F11303" s="30" t="s">
        <v>1040</v>
      </c>
      <c r="G11303" s="30" t="s">
        <v>1041</v>
      </c>
      <c r="H11303" s="30" t="s">
        <v>1047</v>
      </c>
      <c r="J11303" s="30" t="s">
        <v>255</v>
      </c>
      <c r="L11303" s="30" t="s">
        <v>370</v>
      </c>
      <c r="M11303" s="30" t="s">
        <v>1240</v>
      </c>
      <c r="N11303" s="30" t="s">
        <v>1241</v>
      </c>
      <c r="P11303" s="30" t="s">
        <v>9897</v>
      </c>
      <c r="Q11303" t="s">
        <v>620</v>
      </c>
      <c r="R11303" t="s">
        <v>920</v>
      </c>
      <c r="S11303">
        <v>38</v>
      </c>
      <c r="T11303" s="29" t="str">
        <f>HYPERLINK("https://ictv.global/ictv/proposals/2021.026M.Paramyxoviridae_sprename.zip","2021.026M.Paramyxoviridae_sprename.zip")</f>
        <v>2021.026M.Paramyxoviridae_sprename.zip</v>
      </c>
      <c r="U11303" s="29" t="str">
        <f>HYPERLINK("https://ictv.global/taxonomy/taxondetails?taxnode_id=202301635","ictv.global=202301635")</f>
        <v>ictv.global=202301635</v>
      </c>
    </row>
    <row r="11304" spans="1:21">
      <c r="A11304">
        <v>11303</v>
      </c>
      <c r="B11304" s="30" t="s">
        <v>1226</v>
      </c>
      <c r="D11304" s="30" t="s">
        <v>2024</v>
      </c>
      <c r="F11304" s="30" t="s">
        <v>1040</v>
      </c>
      <c r="G11304" s="30" t="s">
        <v>1041</v>
      </c>
      <c r="H11304" s="30" t="s">
        <v>1047</v>
      </c>
      <c r="J11304" s="30" t="s">
        <v>255</v>
      </c>
      <c r="L11304" s="30" t="s">
        <v>370</v>
      </c>
      <c r="M11304" s="30" t="s">
        <v>1240</v>
      </c>
      <c r="N11304" s="30" t="s">
        <v>1241</v>
      </c>
      <c r="P11304" s="30" t="s">
        <v>17381</v>
      </c>
      <c r="Q11304" t="s">
        <v>620</v>
      </c>
      <c r="R11304" t="s">
        <v>917</v>
      </c>
      <c r="S11304">
        <v>39</v>
      </c>
      <c r="T11304" s="29" t="str">
        <f>HYPERLINK("https://ictv.global/ictv/proposals/2023.018M.Paramyxoviridae_reorg.zip","2023.018M.Paramyxoviridae_reorg.zip")</f>
        <v>2023.018M.Paramyxoviridae_reorg.zip</v>
      </c>
      <c r="U11304" s="29" t="str">
        <f>HYPERLINK("https://ictv.global/taxonomy/taxondetails?taxnode_id=202318321","ictv.global=202318321")</f>
        <v>ictv.global=202318321</v>
      </c>
    </row>
    <row r="11305" spans="1:21">
      <c r="A11305">
        <v>11304</v>
      </c>
      <c r="B11305" s="30" t="s">
        <v>1226</v>
      </c>
      <c r="D11305" s="30" t="s">
        <v>2024</v>
      </c>
      <c r="F11305" s="30" t="s">
        <v>1040</v>
      </c>
      <c r="G11305" s="30" t="s">
        <v>1041</v>
      </c>
      <c r="H11305" s="30" t="s">
        <v>1047</v>
      </c>
      <c r="J11305" s="30" t="s">
        <v>255</v>
      </c>
      <c r="L11305" s="30" t="s">
        <v>370</v>
      </c>
      <c r="M11305" s="30" t="s">
        <v>1240</v>
      </c>
      <c r="N11305" s="30" t="s">
        <v>1241</v>
      </c>
      <c r="P11305" s="30" t="s">
        <v>9898</v>
      </c>
      <c r="Q11305" t="s">
        <v>620</v>
      </c>
      <c r="R11305" t="s">
        <v>920</v>
      </c>
      <c r="S11305">
        <v>38</v>
      </c>
      <c r="T11305" s="29" t="str">
        <f>HYPERLINK("https://ictv.global/ictv/proposals/2021.026M.Paramyxoviridae_sprename.zip","2021.026M.Paramyxoviridae_sprename.zip")</f>
        <v>2021.026M.Paramyxoviridae_sprename.zip</v>
      </c>
      <c r="U11305" s="29" t="str">
        <f>HYPERLINK("https://ictv.global/taxonomy/taxondetails?taxnode_id=202301637","ictv.global=202301637")</f>
        <v>ictv.global=202301637</v>
      </c>
    </row>
    <row r="11306" spans="1:21">
      <c r="A11306">
        <v>11305</v>
      </c>
      <c r="B11306" s="30" t="s">
        <v>1226</v>
      </c>
      <c r="D11306" s="30" t="s">
        <v>2024</v>
      </c>
      <c r="F11306" s="30" t="s">
        <v>1040</v>
      </c>
      <c r="G11306" s="30" t="s">
        <v>1041</v>
      </c>
      <c r="H11306" s="30" t="s">
        <v>1047</v>
      </c>
      <c r="J11306" s="30" t="s">
        <v>255</v>
      </c>
      <c r="L11306" s="30" t="s">
        <v>370</v>
      </c>
      <c r="M11306" s="30" t="s">
        <v>1240</v>
      </c>
      <c r="N11306" s="30" t="s">
        <v>1241</v>
      </c>
      <c r="P11306" s="30" t="s">
        <v>9899</v>
      </c>
      <c r="Q11306" t="s">
        <v>620</v>
      </c>
      <c r="R11306" t="s">
        <v>920</v>
      </c>
      <c r="S11306">
        <v>38</v>
      </c>
      <c r="T11306" s="29" t="str">
        <f>HYPERLINK("https://ictv.global/ictv/proposals/2021.026M.Paramyxoviridae_sprename.zip","2021.026M.Paramyxoviridae_sprename.zip")</f>
        <v>2021.026M.Paramyxoviridae_sprename.zip</v>
      </c>
      <c r="U11306" s="29" t="str">
        <f>HYPERLINK("https://ictv.global/taxonomy/taxondetails?taxnode_id=202301636","ictv.global=202301636")</f>
        <v>ictv.global=202301636</v>
      </c>
    </row>
    <row r="11307" spans="1:21">
      <c r="A11307">
        <v>11306</v>
      </c>
      <c r="B11307" s="30" t="s">
        <v>1226</v>
      </c>
      <c r="D11307" s="30" t="s">
        <v>2024</v>
      </c>
      <c r="F11307" s="30" t="s">
        <v>1040</v>
      </c>
      <c r="G11307" s="30" t="s">
        <v>1041</v>
      </c>
      <c r="H11307" s="30" t="s">
        <v>1047</v>
      </c>
      <c r="J11307" s="30" t="s">
        <v>255</v>
      </c>
      <c r="L11307" s="30" t="s">
        <v>370</v>
      </c>
      <c r="M11307" s="30" t="s">
        <v>1240</v>
      </c>
      <c r="N11307" s="30" t="s">
        <v>1242</v>
      </c>
      <c r="P11307" s="30" t="s">
        <v>9900</v>
      </c>
      <c r="Q11307" t="s">
        <v>620</v>
      </c>
      <c r="R11307" t="s">
        <v>920</v>
      </c>
      <c r="S11307">
        <v>38</v>
      </c>
      <c r="T11307" s="29" t="str">
        <f>HYPERLINK("https://ictv.global/ictv/proposals/2021.026M.Paramyxoviridae_sprename.zip","2021.026M.Paramyxoviridae_sprename.zip")</f>
        <v>2021.026M.Paramyxoviridae_sprename.zip</v>
      </c>
      <c r="U11307" s="29" t="str">
        <f>HYPERLINK("https://ictv.global/taxonomy/taxondetails?taxnode_id=202301628","ictv.global=202301628")</f>
        <v>ictv.global=202301628</v>
      </c>
    </row>
    <row r="11308" spans="1:21">
      <c r="A11308">
        <v>11307</v>
      </c>
      <c r="B11308" s="30" t="s">
        <v>1226</v>
      </c>
      <c r="D11308" s="30" t="s">
        <v>2024</v>
      </c>
      <c r="F11308" s="30" t="s">
        <v>1040</v>
      </c>
      <c r="G11308" s="30" t="s">
        <v>1041</v>
      </c>
      <c r="H11308" s="30" t="s">
        <v>1047</v>
      </c>
      <c r="J11308" s="30" t="s">
        <v>255</v>
      </c>
      <c r="L11308" s="30" t="s">
        <v>370</v>
      </c>
      <c r="M11308" s="30" t="s">
        <v>1240</v>
      </c>
      <c r="N11308" s="30" t="s">
        <v>1242</v>
      </c>
      <c r="P11308" s="30" t="s">
        <v>9901</v>
      </c>
      <c r="Q11308" t="s">
        <v>620</v>
      </c>
      <c r="R11308" t="s">
        <v>920</v>
      </c>
      <c r="S11308">
        <v>38</v>
      </c>
      <c r="T11308" s="29" t="str">
        <f>HYPERLINK("https://ictv.global/ictv/proposals/2021.026M.Paramyxoviridae_sprename.zip","2021.026M.Paramyxoviridae_sprename.zip")</f>
        <v>2021.026M.Paramyxoviridae_sprename.zip</v>
      </c>
      <c r="U11308" s="29" t="str">
        <f>HYPERLINK("https://ictv.global/taxonomy/taxondetails?taxnode_id=202301627","ictv.global=202301627")</f>
        <v>ictv.global=202301627</v>
      </c>
    </row>
    <row r="11309" spans="1:21">
      <c r="A11309">
        <v>11308</v>
      </c>
      <c r="B11309" s="30" t="s">
        <v>1226</v>
      </c>
      <c r="D11309" s="30" t="s">
        <v>2024</v>
      </c>
      <c r="F11309" s="30" t="s">
        <v>1040</v>
      </c>
      <c r="G11309" s="30" t="s">
        <v>1041</v>
      </c>
      <c r="H11309" s="30" t="s">
        <v>1047</v>
      </c>
      <c r="J11309" s="30" t="s">
        <v>255</v>
      </c>
      <c r="L11309" s="30" t="s">
        <v>370</v>
      </c>
      <c r="M11309" s="30" t="s">
        <v>1240</v>
      </c>
      <c r="N11309" s="30" t="s">
        <v>1242</v>
      </c>
      <c r="P11309" s="30" t="s">
        <v>9902</v>
      </c>
      <c r="Q11309" t="s">
        <v>620</v>
      </c>
      <c r="R11309" t="s">
        <v>920</v>
      </c>
      <c r="S11309">
        <v>38</v>
      </c>
      <c r="T11309" s="29" t="str">
        <f>HYPERLINK("https://ictv.global/ictv/proposals/2021.026M.Paramyxoviridae_sprename.zip","2021.026M.Paramyxoviridae_sprename.zip")</f>
        <v>2021.026M.Paramyxoviridae_sprename.zip</v>
      </c>
      <c r="U11309" s="29" t="str">
        <f>HYPERLINK("https://ictv.global/taxonomy/taxondetails?taxnode_id=202301642","ictv.global=202301642")</f>
        <v>ictv.global=202301642</v>
      </c>
    </row>
    <row r="11310" spans="1:21">
      <c r="A11310">
        <v>11309</v>
      </c>
      <c r="B11310" s="30" t="s">
        <v>1226</v>
      </c>
      <c r="D11310" s="30" t="s">
        <v>2024</v>
      </c>
      <c r="F11310" s="30" t="s">
        <v>1040</v>
      </c>
      <c r="G11310" s="30" t="s">
        <v>1041</v>
      </c>
      <c r="H11310" s="30" t="s">
        <v>1047</v>
      </c>
      <c r="J11310" s="30" t="s">
        <v>255</v>
      </c>
      <c r="L11310" s="30" t="s">
        <v>370</v>
      </c>
      <c r="M11310" s="30" t="s">
        <v>1240</v>
      </c>
      <c r="N11310" s="30" t="s">
        <v>1242</v>
      </c>
      <c r="P11310" s="30" t="s">
        <v>17382</v>
      </c>
      <c r="Q11310" t="s">
        <v>620</v>
      </c>
      <c r="R11310" t="s">
        <v>917</v>
      </c>
      <c r="S11310">
        <v>39</v>
      </c>
      <c r="T11310" s="29" t="str">
        <f>HYPERLINK("https://ictv.global/ictv/proposals/2023.018M.Paramyxoviridae_reorg.zip","2023.018M.Paramyxoviridae_reorg.zip")</f>
        <v>2023.018M.Paramyxoviridae_reorg.zip</v>
      </c>
      <c r="U11310" s="29" t="str">
        <f>HYPERLINK("https://ictv.global/taxonomy/taxondetails?taxnode_id=202318320","ictv.global=202318320")</f>
        <v>ictv.global=202318320</v>
      </c>
    </row>
    <row r="11311" spans="1:21">
      <c r="A11311">
        <v>11310</v>
      </c>
      <c r="B11311" s="30" t="s">
        <v>1226</v>
      </c>
      <c r="D11311" s="30" t="s">
        <v>2024</v>
      </c>
      <c r="F11311" s="30" t="s">
        <v>1040</v>
      </c>
      <c r="G11311" s="30" t="s">
        <v>1041</v>
      </c>
      <c r="H11311" s="30" t="s">
        <v>1047</v>
      </c>
      <c r="J11311" s="30" t="s">
        <v>255</v>
      </c>
      <c r="L11311" s="30" t="s">
        <v>370</v>
      </c>
      <c r="M11311" s="30" t="s">
        <v>1240</v>
      </c>
      <c r="N11311" s="30" t="s">
        <v>1242</v>
      </c>
      <c r="P11311" s="30" t="s">
        <v>9903</v>
      </c>
      <c r="Q11311" t="s">
        <v>620</v>
      </c>
      <c r="R11311" t="s">
        <v>920</v>
      </c>
      <c r="S11311">
        <v>38</v>
      </c>
      <c r="T11311" s="29" t="str">
        <f t="shared" ref="T11311:T11317" si="469">HYPERLINK("https://ictv.global/ictv/proposals/2021.026M.Paramyxoviridae_sprename.zip","2021.026M.Paramyxoviridae_sprename.zip")</f>
        <v>2021.026M.Paramyxoviridae_sprename.zip</v>
      </c>
      <c r="U11311" s="29" t="str">
        <f>HYPERLINK("https://ictv.global/taxonomy/taxondetails?taxnode_id=202301641","ictv.global=202301641")</f>
        <v>ictv.global=202301641</v>
      </c>
    </row>
    <row r="11312" spans="1:21">
      <c r="A11312">
        <v>11311</v>
      </c>
      <c r="B11312" s="30" t="s">
        <v>1226</v>
      </c>
      <c r="D11312" s="30" t="s">
        <v>2024</v>
      </c>
      <c r="F11312" s="30" t="s">
        <v>1040</v>
      </c>
      <c r="G11312" s="30" t="s">
        <v>1041</v>
      </c>
      <c r="H11312" s="30" t="s">
        <v>1047</v>
      </c>
      <c r="J11312" s="30" t="s">
        <v>255</v>
      </c>
      <c r="L11312" s="30" t="s">
        <v>370</v>
      </c>
      <c r="M11312" s="30" t="s">
        <v>1240</v>
      </c>
      <c r="N11312" s="30" t="s">
        <v>1242</v>
      </c>
      <c r="P11312" s="30" t="s">
        <v>9904</v>
      </c>
      <c r="Q11312" t="s">
        <v>620</v>
      </c>
      <c r="R11312" t="s">
        <v>920</v>
      </c>
      <c r="S11312">
        <v>38</v>
      </c>
      <c r="T11312" s="29" t="str">
        <f t="shared" si="469"/>
        <v>2021.026M.Paramyxoviridae_sprename.zip</v>
      </c>
      <c r="U11312" s="29" t="str">
        <f>HYPERLINK("https://ictv.global/taxonomy/taxondetails?taxnode_id=202307558","ictv.global=202307558")</f>
        <v>ictv.global=202307558</v>
      </c>
    </row>
    <row r="11313" spans="1:21">
      <c r="A11313">
        <v>11312</v>
      </c>
      <c r="B11313" s="30" t="s">
        <v>1226</v>
      </c>
      <c r="D11313" s="30" t="s">
        <v>2024</v>
      </c>
      <c r="F11313" s="30" t="s">
        <v>1040</v>
      </c>
      <c r="G11313" s="30" t="s">
        <v>1041</v>
      </c>
      <c r="H11313" s="30" t="s">
        <v>1047</v>
      </c>
      <c r="J11313" s="30" t="s">
        <v>255</v>
      </c>
      <c r="L11313" s="30" t="s">
        <v>370</v>
      </c>
      <c r="M11313" s="30" t="s">
        <v>1240</v>
      </c>
      <c r="N11313" s="30" t="s">
        <v>1242</v>
      </c>
      <c r="P11313" s="30" t="s">
        <v>9905</v>
      </c>
      <c r="Q11313" t="s">
        <v>620</v>
      </c>
      <c r="R11313" t="s">
        <v>920</v>
      </c>
      <c r="S11313">
        <v>38</v>
      </c>
      <c r="T11313" s="29" t="str">
        <f t="shared" si="469"/>
        <v>2021.026M.Paramyxoviridae_sprename.zip</v>
      </c>
      <c r="U11313" s="29" t="str">
        <f>HYPERLINK("https://ictv.global/taxonomy/taxondetails?taxnode_id=202301643","ictv.global=202301643")</f>
        <v>ictv.global=202301643</v>
      </c>
    </row>
    <row r="11314" spans="1:21">
      <c r="A11314">
        <v>11313</v>
      </c>
      <c r="B11314" s="30" t="s">
        <v>1226</v>
      </c>
      <c r="D11314" s="30" t="s">
        <v>2024</v>
      </c>
      <c r="F11314" s="30" t="s">
        <v>1040</v>
      </c>
      <c r="G11314" s="30" t="s">
        <v>1041</v>
      </c>
      <c r="H11314" s="30" t="s">
        <v>1047</v>
      </c>
      <c r="J11314" s="30" t="s">
        <v>255</v>
      </c>
      <c r="L11314" s="30" t="s">
        <v>370</v>
      </c>
      <c r="M11314" s="30" t="s">
        <v>1240</v>
      </c>
      <c r="N11314" s="30" t="s">
        <v>1242</v>
      </c>
      <c r="P11314" s="30" t="s">
        <v>9906</v>
      </c>
      <c r="Q11314" t="s">
        <v>620</v>
      </c>
      <c r="R11314" t="s">
        <v>920</v>
      </c>
      <c r="S11314">
        <v>38</v>
      </c>
      <c r="T11314" s="29" t="str">
        <f t="shared" si="469"/>
        <v>2021.026M.Paramyxoviridae_sprename.zip</v>
      </c>
      <c r="U11314" s="29" t="str">
        <f>HYPERLINK("https://ictv.global/taxonomy/taxondetails?taxnode_id=202301634","ictv.global=202301634")</f>
        <v>ictv.global=202301634</v>
      </c>
    </row>
    <row r="11315" spans="1:21">
      <c r="A11315">
        <v>11314</v>
      </c>
      <c r="B11315" s="30" t="s">
        <v>1226</v>
      </c>
      <c r="D11315" s="30" t="s">
        <v>2024</v>
      </c>
      <c r="F11315" s="30" t="s">
        <v>1040</v>
      </c>
      <c r="G11315" s="30" t="s">
        <v>1041</v>
      </c>
      <c r="H11315" s="30" t="s">
        <v>1047</v>
      </c>
      <c r="J11315" s="30" t="s">
        <v>255</v>
      </c>
      <c r="L11315" s="30" t="s">
        <v>370</v>
      </c>
      <c r="M11315" s="30" t="s">
        <v>1240</v>
      </c>
      <c r="N11315" s="30" t="s">
        <v>1242</v>
      </c>
      <c r="P11315" s="30" t="s">
        <v>9907</v>
      </c>
      <c r="Q11315" t="s">
        <v>620</v>
      </c>
      <c r="R11315" t="s">
        <v>920</v>
      </c>
      <c r="S11315">
        <v>38</v>
      </c>
      <c r="T11315" s="29" t="str">
        <f t="shared" si="469"/>
        <v>2021.026M.Paramyxoviridae_sprename.zip</v>
      </c>
      <c r="U11315" s="29" t="str">
        <f>HYPERLINK("https://ictv.global/taxonomy/taxondetails?taxnode_id=202301638","ictv.global=202301638")</f>
        <v>ictv.global=202301638</v>
      </c>
    </row>
    <row r="11316" spans="1:21">
      <c r="A11316">
        <v>11315</v>
      </c>
      <c r="B11316" s="30" t="s">
        <v>1226</v>
      </c>
      <c r="D11316" s="30" t="s">
        <v>2024</v>
      </c>
      <c r="F11316" s="30" t="s">
        <v>1040</v>
      </c>
      <c r="G11316" s="30" t="s">
        <v>1041</v>
      </c>
      <c r="H11316" s="30" t="s">
        <v>1047</v>
      </c>
      <c r="J11316" s="30" t="s">
        <v>255</v>
      </c>
      <c r="L11316" s="30" t="s">
        <v>370</v>
      </c>
      <c r="M11316" s="30" t="s">
        <v>1240</v>
      </c>
      <c r="N11316" s="30" t="s">
        <v>1242</v>
      </c>
      <c r="P11316" s="30" t="s">
        <v>9908</v>
      </c>
      <c r="Q11316" t="s">
        <v>620</v>
      </c>
      <c r="R11316" t="s">
        <v>920</v>
      </c>
      <c r="S11316">
        <v>38</v>
      </c>
      <c r="T11316" s="29" t="str">
        <f t="shared" si="469"/>
        <v>2021.026M.Paramyxoviridae_sprename.zip</v>
      </c>
      <c r="U11316" s="29" t="str">
        <f>HYPERLINK("https://ictv.global/taxonomy/taxondetails?taxnode_id=202301639","ictv.global=202301639")</f>
        <v>ictv.global=202301639</v>
      </c>
    </row>
    <row r="11317" spans="1:21">
      <c r="A11317">
        <v>11316</v>
      </c>
      <c r="B11317" s="30" t="s">
        <v>1226</v>
      </c>
      <c r="D11317" s="30" t="s">
        <v>2024</v>
      </c>
      <c r="F11317" s="30" t="s">
        <v>1040</v>
      </c>
      <c r="G11317" s="30" t="s">
        <v>1041</v>
      </c>
      <c r="H11317" s="30" t="s">
        <v>1047</v>
      </c>
      <c r="J11317" s="30" t="s">
        <v>255</v>
      </c>
      <c r="L11317" s="30" t="s">
        <v>370</v>
      </c>
      <c r="M11317" s="30" t="s">
        <v>1240</v>
      </c>
      <c r="N11317" s="30" t="s">
        <v>1242</v>
      </c>
      <c r="P11317" s="30" t="s">
        <v>9909</v>
      </c>
      <c r="Q11317" t="s">
        <v>620</v>
      </c>
      <c r="R11317" t="s">
        <v>920</v>
      </c>
      <c r="S11317">
        <v>38</v>
      </c>
      <c r="T11317" s="29" t="str">
        <f t="shared" si="469"/>
        <v>2021.026M.Paramyxoviridae_sprename.zip</v>
      </c>
      <c r="U11317" s="29" t="str">
        <f>HYPERLINK("https://ictv.global/taxonomy/taxondetails?taxnode_id=202301640","ictv.global=202301640")</f>
        <v>ictv.global=202301640</v>
      </c>
    </row>
    <row r="11318" spans="1:21">
      <c r="A11318">
        <v>11317</v>
      </c>
      <c r="B11318" s="30" t="s">
        <v>1226</v>
      </c>
      <c r="D11318" s="30" t="s">
        <v>2024</v>
      </c>
      <c r="F11318" s="30" t="s">
        <v>1040</v>
      </c>
      <c r="G11318" s="30" t="s">
        <v>1041</v>
      </c>
      <c r="H11318" s="30" t="s">
        <v>1047</v>
      </c>
      <c r="J11318" s="30" t="s">
        <v>255</v>
      </c>
      <c r="L11318" s="30" t="s">
        <v>370</v>
      </c>
      <c r="M11318" s="30" t="s">
        <v>17383</v>
      </c>
      <c r="N11318" s="30" t="s">
        <v>2059</v>
      </c>
      <c r="P11318" s="30" t="s">
        <v>9912</v>
      </c>
      <c r="Q11318" t="s">
        <v>620</v>
      </c>
      <c r="R11318" t="s">
        <v>919</v>
      </c>
      <c r="S11318">
        <v>39</v>
      </c>
      <c r="T11318" s="29" t="str">
        <f>HYPERLINK("https://ictv.global/ictv/proposals/2023.018M.Paramyxoviridae_reorg.zip","2023.018M.Paramyxoviridae_reorg.zip")</f>
        <v>2023.018M.Paramyxoviridae_reorg.zip</v>
      </c>
      <c r="U11318" s="29" t="str">
        <f>HYPERLINK("https://ictv.global/taxonomy/taxondetails?taxnode_id=202306475","ictv.global=202306475")</f>
        <v>ictv.global=202306475</v>
      </c>
    </row>
    <row r="11319" spans="1:21">
      <c r="A11319">
        <v>11318</v>
      </c>
      <c r="B11319" s="30" t="s">
        <v>1226</v>
      </c>
      <c r="D11319" s="30" t="s">
        <v>2024</v>
      </c>
      <c r="F11319" s="30" t="s">
        <v>1040</v>
      </c>
      <c r="G11319" s="30" t="s">
        <v>1041</v>
      </c>
      <c r="H11319" s="30" t="s">
        <v>1047</v>
      </c>
      <c r="J11319" s="30" t="s">
        <v>255</v>
      </c>
      <c r="L11319" s="30" t="s">
        <v>713</v>
      </c>
      <c r="N11319" s="30" t="s">
        <v>803</v>
      </c>
      <c r="P11319" s="30" t="s">
        <v>9913</v>
      </c>
      <c r="Q11319" t="s">
        <v>620</v>
      </c>
      <c r="R11319" t="s">
        <v>920</v>
      </c>
      <c r="S11319">
        <v>38</v>
      </c>
      <c r="T11319" s="29" t="str">
        <f>HYPERLINK("https://ictv.global/ictv/proposals/2021.033M.Pneumoviridae_sprename.zip","2021.033M.Pneumoviridae_sprename.zip")</f>
        <v>2021.033M.Pneumoviridae_sprename.zip</v>
      </c>
      <c r="U11319" s="29" t="str">
        <f>HYPERLINK("https://ictv.global/taxonomy/taxondetails?taxnode_id=202301647","ictv.global=202301647")</f>
        <v>ictv.global=202301647</v>
      </c>
    </row>
    <row r="11320" spans="1:21">
      <c r="A11320">
        <v>11319</v>
      </c>
      <c r="B11320" s="30" t="s">
        <v>1226</v>
      </c>
      <c r="D11320" s="30" t="s">
        <v>2024</v>
      </c>
      <c r="F11320" s="30" t="s">
        <v>1040</v>
      </c>
      <c r="G11320" s="30" t="s">
        <v>1041</v>
      </c>
      <c r="H11320" s="30" t="s">
        <v>1047</v>
      </c>
      <c r="J11320" s="30" t="s">
        <v>255</v>
      </c>
      <c r="L11320" s="30" t="s">
        <v>713</v>
      </c>
      <c r="N11320" s="30" t="s">
        <v>803</v>
      </c>
      <c r="P11320" s="30" t="s">
        <v>9914</v>
      </c>
      <c r="Q11320" t="s">
        <v>620</v>
      </c>
      <c r="R11320" t="s">
        <v>920</v>
      </c>
      <c r="S11320">
        <v>38</v>
      </c>
      <c r="T11320" s="29" t="str">
        <f>HYPERLINK("https://ictv.global/ictv/proposals/2021.033M.Pneumoviridae_sprename.zip","2021.033M.Pneumoviridae_sprename.zip")</f>
        <v>2021.033M.Pneumoviridae_sprename.zip</v>
      </c>
      <c r="U11320" s="29" t="str">
        <f>HYPERLINK("https://ictv.global/taxonomy/taxondetails?taxnode_id=202301648","ictv.global=202301648")</f>
        <v>ictv.global=202301648</v>
      </c>
    </row>
    <row r="11321" spans="1:21">
      <c r="A11321">
        <v>11320</v>
      </c>
      <c r="B11321" s="30" t="s">
        <v>1226</v>
      </c>
      <c r="D11321" s="30" t="s">
        <v>2024</v>
      </c>
      <c r="F11321" s="30" t="s">
        <v>1040</v>
      </c>
      <c r="G11321" s="30" t="s">
        <v>1041</v>
      </c>
      <c r="H11321" s="30" t="s">
        <v>1047</v>
      </c>
      <c r="J11321" s="30" t="s">
        <v>255</v>
      </c>
      <c r="L11321" s="30" t="s">
        <v>713</v>
      </c>
      <c r="N11321" s="30" t="s">
        <v>714</v>
      </c>
      <c r="P11321" s="30" t="s">
        <v>9915</v>
      </c>
      <c r="Q11321" t="s">
        <v>620</v>
      </c>
      <c r="R11321" t="s">
        <v>920</v>
      </c>
      <c r="S11321">
        <v>38</v>
      </c>
      <c r="T11321" s="29" t="str">
        <f>HYPERLINK("https://ictv.global/ictv/proposals/2021.033M.Pneumoviridae_sprename.zip","2021.033M.Pneumoviridae_sprename.zip")</f>
        <v>2021.033M.Pneumoviridae_sprename.zip</v>
      </c>
      <c r="U11321" s="29" t="str">
        <f>HYPERLINK("https://ictv.global/taxonomy/taxondetails?taxnode_id=202301650","ictv.global=202301650")</f>
        <v>ictv.global=202301650</v>
      </c>
    </row>
    <row r="11322" spans="1:21">
      <c r="A11322">
        <v>11321</v>
      </c>
      <c r="B11322" s="30" t="s">
        <v>1226</v>
      </c>
      <c r="D11322" s="30" t="s">
        <v>2024</v>
      </c>
      <c r="F11322" s="30" t="s">
        <v>1040</v>
      </c>
      <c r="G11322" s="30" t="s">
        <v>1041</v>
      </c>
      <c r="H11322" s="30" t="s">
        <v>1047</v>
      </c>
      <c r="J11322" s="30" t="s">
        <v>255</v>
      </c>
      <c r="L11322" s="30" t="s">
        <v>713</v>
      </c>
      <c r="N11322" s="30" t="s">
        <v>714</v>
      </c>
      <c r="P11322" s="30" t="s">
        <v>9916</v>
      </c>
      <c r="Q11322" t="s">
        <v>620</v>
      </c>
      <c r="R11322" t="s">
        <v>920</v>
      </c>
      <c r="S11322">
        <v>38</v>
      </c>
      <c r="T11322" s="29" t="str">
        <f>HYPERLINK("https://ictv.global/ictv/proposals/2021.033M.Pneumoviridae_sprename.zip","2021.033M.Pneumoviridae_sprename.zip")</f>
        <v>2021.033M.Pneumoviridae_sprename.zip</v>
      </c>
      <c r="U11322" s="29" t="str">
        <f>HYPERLINK("https://ictv.global/taxonomy/taxondetails?taxnode_id=202301651","ictv.global=202301651")</f>
        <v>ictv.global=202301651</v>
      </c>
    </row>
    <row r="11323" spans="1:21">
      <c r="A11323">
        <v>11322</v>
      </c>
      <c r="B11323" s="30" t="s">
        <v>1226</v>
      </c>
      <c r="D11323" s="30" t="s">
        <v>2024</v>
      </c>
      <c r="F11323" s="30" t="s">
        <v>1040</v>
      </c>
      <c r="G11323" s="30" t="s">
        <v>1041</v>
      </c>
      <c r="H11323" s="30" t="s">
        <v>1047</v>
      </c>
      <c r="J11323" s="30" t="s">
        <v>255</v>
      </c>
      <c r="L11323" s="30" t="s">
        <v>713</v>
      </c>
      <c r="N11323" s="30" t="s">
        <v>714</v>
      </c>
      <c r="P11323" s="30" t="s">
        <v>9917</v>
      </c>
      <c r="Q11323" t="s">
        <v>620</v>
      </c>
      <c r="R11323" t="s">
        <v>920</v>
      </c>
      <c r="S11323">
        <v>38</v>
      </c>
      <c r="T11323" s="29" t="str">
        <f>HYPERLINK("https://ictv.global/ictv/proposals/2021.033M.Pneumoviridae_sprename.zip","2021.033M.Pneumoviridae_sprename.zip")</f>
        <v>2021.033M.Pneumoviridae_sprename.zip</v>
      </c>
      <c r="U11323" s="29" t="str">
        <f>HYPERLINK("https://ictv.global/taxonomy/taxondetails?taxnode_id=202301652","ictv.global=202301652")</f>
        <v>ictv.global=202301652</v>
      </c>
    </row>
    <row r="11324" spans="1:21">
      <c r="A11324">
        <v>11323</v>
      </c>
      <c r="B11324" s="30" t="s">
        <v>1226</v>
      </c>
      <c r="D11324" s="30" t="s">
        <v>2024</v>
      </c>
      <c r="F11324" s="30" t="s">
        <v>1040</v>
      </c>
      <c r="G11324" s="30" t="s">
        <v>1041</v>
      </c>
      <c r="H11324" s="30" t="s">
        <v>1047</v>
      </c>
      <c r="J11324" s="30" t="s">
        <v>255</v>
      </c>
      <c r="L11324" s="30" t="s">
        <v>374</v>
      </c>
      <c r="M11324" s="30" t="s">
        <v>3774</v>
      </c>
      <c r="N11324" s="30" t="s">
        <v>889</v>
      </c>
      <c r="P11324" s="30" t="s">
        <v>9918</v>
      </c>
      <c r="Q11324" t="s">
        <v>620</v>
      </c>
      <c r="R11324" t="s">
        <v>920</v>
      </c>
      <c r="S11324">
        <v>37</v>
      </c>
      <c r="T11324" s="29" t="str">
        <f t="shared" ref="T11324:T11329" si="470">HYPERLINK("https://ictv.global/ictv/proposals/2021.036M.R.Rhabdoviridae_sprename.zip","2021.036M.R.Rhabdoviridae_sprename.zip")</f>
        <v>2021.036M.R.Rhabdoviridae_sprename.zip</v>
      </c>
      <c r="U11324" s="29" t="str">
        <f>HYPERLINK("https://ictv.global/taxonomy/taxondetails?taxnode_id=202301659","ictv.global=202301659")</f>
        <v>ictv.global=202301659</v>
      </c>
    </row>
    <row r="11325" spans="1:21">
      <c r="A11325">
        <v>11324</v>
      </c>
      <c r="B11325" s="30" t="s">
        <v>1226</v>
      </c>
      <c r="D11325" s="30" t="s">
        <v>2024</v>
      </c>
      <c r="F11325" s="30" t="s">
        <v>1040</v>
      </c>
      <c r="G11325" s="30" t="s">
        <v>1041</v>
      </c>
      <c r="H11325" s="30" t="s">
        <v>1047</v>
      </c>
      <c r="J11325" s="30" t="s">
        <v>255</v>
      </c>
      <c r="L11325" s="30" t="s">
        <v>374</v>
      </c>
      <c r="M11325" s="30" t="s">
        <v>3774</v>
      </c>
      <c r="N11325" s="30" t="s">
        <v>889</v>
      </c>
      <c r="P11325" s="30" t="s">
        <v>9919</v>
      </c>
      <c r="Q11325" t="s">
        <v>620</v>
      </c>
      <c r="R11325" t="s">
        <v>920</v>
      </c>
      <c r="S11325">
        <v>37</v>
      </c>
      <c r="T11325" s="29" t="str">
        <f t="shared" si="470"/>
        <v>2021.036M.R.Rhabdoviridae_sprename.zip</v>
      </c>
      <c r="U11325" s="29" t="str">
        <f>HYPERLINK("https://ictv.global/taxonomy/taxondetails?taxnode_id=202301656","ictv.global=202301656")</f>
        <v>ictv.global=202301656</v>
      </c>
    </row>
    <row r="11326" spans="1:21">
      <c r="A11326">
        <v>11325</v>
      </c>
      <c r="B11326" s="30" t="s">
        <v>1226</v>
      </c>
      <c r="D11326" s="30" t="s">
        <v>2024</v>
      </c>
      <c r="F11326" s="30" t="s">
        <v>1040</v>
      </c>
      <c r="G11326" s="30" t="s">
        <v>1041</v>
      </c>
      <c r="H11326" s="30" t="s">
        <v>1047</v>
      </c>
      <c r="J11326" s="30" t="s">
        <v>255</v>
      </c>
      <c r="L11326" s="30" t="s">
        <v>374</v>
      </c>
      <c r="M11326" s="30" t="s">
        <v>3774</v>
      </c>
      <c r="N11326" s="30" t="s">
        <v>889</v>
      </c>
      <c r="P11326" s="30" t="s">
        <v>9920</v>
      </c>
      <c r="Q11326" t="s">
        <v>620</v>
      </c>
      <c r="R11326" t="s">
        <v>920</v>
      </c>
      <c r="S11326">
        <v>37</v>
      </c>
      <c r="T11326" s="29" t="str">
        <f t="shared" si="470"/>
        <v>2021.036M.R.Rhabdoviridae_sprename.zip</v>
      </c>
      <c r="U11326" s="29" t="str">
        <f>HYPERLINK("https://ictv.global/taxonomy/taxondetails?taxnode_id=202301657","ictv.global=202301657")</f>
        <v>ictv.global=202301657</v>
      </c>
    </row>
    <row r="11327" spans="1:21">
      <c r="A11327">
        <v>11326</v>
      </c>
      <c r="B11327" s="30" t="s">
        <v>1226</v>
      </c>
      <c r="D11327" s="30" t="s">
        <v>2024</v>
      </c>
      <c r="F11327" s="30" t="s">
        <v>1040</v>
      </c>
      <c r="G11327" s="30" t="s">
        <v>1041</v>
      </c>
      <c r="H11327" s="30" t="s">
        <v>1047</v>
      </c>
      <c r="J11327" s="30" t="s">
        <v>255</v>
      </c>
      <c r="L11327" s="30" t="s">
        <v>374</v>
      </c>
      <c r="M11327" s="30" t="s">
        <v>3774</v>
      </c>
      <c r="N11327" s="30" t="s">
        <v>889</v>
      </c>
      <c r="P11327" s="30" t="s">
        <v>9921</v>
      </c>
      <c r="Q11327" t="s">
        <v>620</v>
      </c>
      <c r="R11327" t="s">
        <v>920</v>
      </c>
      <c r="S11327">
        <v>37</v>
      </c>
      <c r="T11327" s="29" t="str">
        <f t="shared" si="470"/>
        <v>2021.036M.R.Rhabdoviridae_sprename.zip</v>
      </c>
      <c r="U11327" s="29" t="str">
        <f>HYPERLINK("https://ictv.global/taxonomy/taxondetails?taxnode_id=202301660","ictv.global=202301660")</f>
        <v>ictv.global=202301660</v>
      </c>
    </row>
    <row r="11328" spans="1:21">
      <c r="A11328">
        <v>11327</v>
      </c>
      <c r="B11328" s="30" t="s">
        <v>1226</v>
      </c>
      <c r="D11328" s="30" t="s">
        <v>2024</v>
      </c>
      <c r="F11328" s="30" t="s">
        <v>1040</v>
      </c>
      <c r="G11328" s="30" t="s">
        <v>1041</v>
      </c>
      <c r="H11328" s="30" t="s">
        <v>1047</v>
      </c>
      <c r="J11328" s="30" t="s">
        <v>255</v>
      </c>
      <c r="L11328" s="30" t="s">
        <v>374</v>
      </c>
      <c r="M11328" s="30" t="s">
        <v>3774</v>
      </c>
      <c r="N11328" s="30" t="s">
        <v>889</v>
      </c>
      <c r="P11328" s="30" t="s">
        <v>9922</v>
      </c>
      <c r="Q11328" t="s">
        <v>620</v>
      </c>
      <c r="R11328" t="s">
        <v>920</v>
      </c>
      <c r="S11328">
        <v>37</v>
      </c>
      <c r="T11328" s="29" t="str">
        <f t="shared" si="470"/>
        <v>2021.036M.R.Rhabdoviridae_sprename.zip</v>
      </c>
      <c r="U11328" s="29" t="str">
        <f>HYPERLINK("https://ictv.global/taxonomy/taxondetails?taxnode_id=202301658","ictv.global=202301658")</f>
        <v>ictv.global=202301658</v>
      </c>
    </row>
    <row r="11329" spans="1:21">
      <c r="A11329">
        <v>11328</v>
      </c>
      <c r="B11329" s="30" t="s">
        <v>1226</v>
      </c>
      <c r="D11329" s="30" t="s">
        <v>2024</v>
      </c>
      <c r="F11329" s="30" t="s">
        <v>1040</v>
      </c>
      <c r="G11329" s="30" t="s">
        <v>1041</v>
      </c>
      <c r="H11329" s="30" t="s">
        <v>1047</v>
      </c>
      <c r="J11329" s="30" t="s">
        <v>255</v>
      </c>
      <c r="L11329" s="30" t="s">
        <v>374</v>
      </c>
      <c r="M11329" s="30" t="s">
        <v>3774</v>
      </c>
      <c r="N11329" s="30" t="s">
        <v>889</v>
      </c>
      <c r="P11329" s="30" t="s">
        <v>9923</v>
      </c>
      <c r="Q11329" t="s">
        <v>620</v>
      </c>
      <c r="R11329" t="s">
        <v>920</v>
      </c>
      <c r="S11329">
        <v>37</v>
      </c>
      <c r="T11329" s="29" t="str">
        <f t="shared" si="470"/>
        <v>2021.036M.R.Rhabdoviridae_sprename.zip</v>
      </c>
      <c r="U11329" s="29" t="str">
        <f>HYPERLINK("https://ictv.global/taxonomy/taxondetails?taxnode_id=202307700","ictv.global=202307700")</f>
        <v>ictv.global=202307700</v>
      </c>
    </row>
    <row r="11330" spans="1:21">
      <c r="A11330">
        <v>11329</v>
      </c>
      <c r="B11330" s="30" t="s">
        <v>1226</v>
      </c>
      <c r="D11330" s="30" t="s">
        <v>2024</v>
      </c>
      <c r="F11330" s="30" t="s">
        <v>1040</v>
      </c>
      <c r="G11330" s="30" t="s">
        <v>1041</v>
      </c>
      <c r="H11330" s="30" t="s">
        <v>1047</v>
      </c>
      <c r="J11330" s="30" t="s">
        <v>255</v>
      </c>
      <c r="L11330" s="30" t="s">
        <v>374</v>
      </c>
      <c r="M11330" s="30" t="s">
        <v>3774</v>
      </c>
      <c r="N11330" s="30" t="s">
        <v>889</v>
      </c>
      <c r="P11330" s="30" t="s">
        <v>17384</v>
      </c>
      <c r="Q11330" t="s">
        <v>620</v>
      </c>
      <c r="R11330" t="s">
        <v>917</v>
      </c>
      <c r="S11330">
        <v>39</v>
      </c>
      <c r="T11330" s="29" t="str">
        <f>HYPERLINK("https://ictv.global/ictv/proposals/2023.003M.Alpharhabdovirinae_8nsp.zip","2023.003M.Alpharhabdovirinae_8nsp.zip")</f>
        <v>2023.003M.Alpharhabdovirinae_8nsp.zip</v>
      </c>
      <c r="U11330" s="29" t="str">
        <f>HYPERLINK("https://ictv.global/taxonomy/taxondetails?taxnode_id=202317783","ictv.global=202317783")</f>
        <v>ictv.global=202317783</v>
      </c>
    </row>
    <row r="11331" spans="1:21">
      <c r="A11331">
        <v>11330</v>
      </c>
      <c r="B11331" s="30" t="s">
        <v>1226</v>
      </c>
      <c r="D11331" s="30" t="s">
        <v>2024</v>
      </c>
      <c r="F11331" s="30" t="s">
        <v>1040</v>
      </c>
      <c r="G11331" s="30" t="s">
        <v>1041</v>
      </c>
      <c r="H11331" s="30" t="s">
        <v>1047</v>
      </c>
      <c r="J11331" s="30" t="s">
        <v>255</v>
      </c>
      <c r="L11331" s="30" t="s">
        <v>374</v>
      </c>
      <c r="M11331" s="30" t="s">
        <v>3774</v>
      </c>
      <c r="N11331" s="30" t="s">
        <v>889</v>
      </c>
      <c r="P11331" s="30" t="s">
        <v>17385</v>
      </c>
      <c r="Q11331" t="s">
        <v>620</v>
      </c>
      <c r="R11331" t="s">
        <v>920</v>
      </c>
      <c r="S11331">
        <v>39</v>
      </c>
      <c r="T11331" s="29" t="str">
        <f>HYPERLINK("https://ictv.global/ictv/proposals/2023.001M.Almendravirus_1sp_rename.zip","2023.001M.Almendravirus_1sp_rename.zip")</f>
        <v>2023.001M.Almendravirus_1sp_rename.zip</v>
      </c>
      <c r="U11331" s="29" t="str">
        <f>HYPERLINK("https://ictv.global/taxonomy/taxondetails?taxnode_id=202314154","ictv.global=202314154")</f>
        <v>ictv.global=202314154</v>
      </c>
    </row>
    <row r="11332" spans="1:21">
      <c r="A11332">
        <v>11331</v>
      </c>
      <c r="B11332" s="30" t="s">
        <v>1226</v>
      </c>
      <c r="D11332" s="30" t="s">
        <v>2024</v>
      </c>
      <c r="F11332" s="30" t="s">
        <v>1040</v>
      </c>
      <c r="G11332" s="30" t="s">
        <v>1041</v>
      </c>
      <c r="H11332" s="30" t="s">
        <v>1047</v>
      </c>
      <c r="J11332" s="30" t="s">
        <v>255</v>
      </c>
      <c r="L11332" s="30" t="s">
        <v>374</v>
      </c>
      <c r="M11332" s="30" t="s">
        <v>3774</v>
      </c>
      <c r="N11332" s="30" t="s">
        <v>1243</v>
      </c>
      <c r="P11332" s="30" t="s">
        <v>9924</v>
      </c>
      <c r="Q11332" t="s">
        <v>620</v>
      </c>
      <c r="R11332" t="s">
        <v>917</v>
      </c>
      <c r="S11332">
        <v>38</v>
      </c>
      <c r="T11332" s="29" t="str">
        <f>HYPERLINK("https://ictv.global/ictv/proposals/2022.002M.Alpharhabdovirinae_1ngen14nsp.zip","2022.002M.Alpharhabdovirinae_1ngen14nsp.zip")</f>
        <v>2022.002M.Alpharhabdovirinae_1ngen14nsp.zip</v>
      </c>
      <c r="U11332" s="29" t="str">
        <f>HYPERLINK("https://ictv.global/taxonomy/taxondetails?taxnode_id=202314151","ictv.global=202314151")</f>
        <v>ictv.global=202314151</v>
      </c>
    </row>
    <row r="11333" spans="1:21">
      <c r="A11333">
        <v>11332</v>
      </c>
      <c r="B11333" s="30" t="s">
        <v>1226</v>
      </c>
      <c r="D11333" s="30" t="s">
        <v>2024</v>
      </c>
      <c r="F11333" s="30" t="s">
        <v>1040</v>
      </c>
      <c r="G11333" s="30" t="s">
        <v>1041</v>
      </c>
      <c r="H11333" s="30" t="s">
        <v>1047</v>
      </c>
      <c r="J11333" s="30" t="s">
        <v>255</v>
      </c>
      <c r="L11333" s="30" t="s">
        <v>374</v>
      </c>
      <c r="M11333" s="30" t="s">
        <v>3774</v>
      </c>
      <c r="N11333" s="30" t="s">
        <v>1243</v>
      </c>
      <c r="P11333" s="30" t="s">
        <v>9925</v>
      </c>
      <c r="Q11333" t="s">
        <v>620</v>
      </c>
      <c r="R11333" t="s">
        <v>917</v>
      </c>
      <c r="S11333">
        <v>38</v>
      </c>
      <c r="T11333" s="29" t="str">
        <f>HYPERLINK("https://ictv.global/ictv/proposals/2022.002M.Alpharhabdovirinae_1ngen14nsp.zip","2022.002M.Alpharhabdovirinae_1ngen14nsp.zip")</f>
        <v>2022.002M.Alpharhabdovirinae_1ngen14nsp.zip</v>
      </c>
      <c r="U11333" s="29" t="str">
        <f>HYPERLINK("https://ictv.global/taxonomy/taxondetails?taxnode_id=202314150","ictv.global=202314150")</f>
        <v>ictv.global=202314150</v>
      </c>
    </row>
    <row r="11334" spans="1:21">
      <c r="A11334">
        <v>11333</v>
      </c>
      <c r="B11334" s="30" t="s">
        <v>1226</v>
      </c>
      <c r="D11334" s="30" t="s">
        <v>2024</v>
      </c>
      <c r="F11334" s="30" t="s">
        <v>1040</v>
      </c>
      <c r="G11334" s="30" t="s">
        <v>1041</v>
      </c>
      <c r="H11334" s="30" t="s">
        <v>1047</v>
      </c>
      <c r="J11334" s="30" t="s">
        <v>255</v>
      </c>
      <c r="L11334" s="30" t="s">
        <v>374</v>
      </c>
      <c r="M11334" s="30" t="s">
        <v>3774</v>
      </c>
      <c r="N11334" s="30" t="s">
        <v>1243</v>
      </c>
      <c r="P11334" s="30" t="s">
        <v>9926</v>
      </c>
      <c r="Q11334" t="s">
        <v>620</v>
      </c>
      <c r="R11334" t="s">
        <v>920</v>
      </c>
      <c r="S11334">
        <v>37</v>
      </c>
      <c r="T11334" s="29" t="str">
        <f>HYPERLINK("https://ictv.global/ictv/proposals/2021.036M.R.Rhabdoviridae_sprename.zip","2021.036M.R.Rhabdoviridae_sprename.zip")</f>
        <v>2021.036M.R.Rhabdoviridae_sprename.zip</v>
      </c>
      <c r="U11334" s="29" t="str">
        <f>HYPERLINK("https://ictv.global/taxonomy/taxondetails?taxnode_id=202306519","ictv.global=202306519")</f>
        <v>ictv.global=202306519</v>
      </c>
    </row>
    <row r="11335" spans="1:21">
      <c r="A11335">
        <v>11334</v>
      </c>
      <c r="B11335" s="30" t="s">
        <v>1226</v>
      </c>
      <c r="D11335" s="30" t="s">
        <v>2024</v>
      </c>
      <c r="F11335" s="30" t="s">
        <v>1040</v>
      </c>
      <c r="G11335" s="30" t="s">
        <v>1041</v>
      </c>
      <c r="H11335" s="30" t="s">
        <v>1047</v>
      </c>
      <c r="J11335" s="30" t="s">
        <v>255</v>
      </c>
      <c r="L11335" s="30" t="s">
        <v>374</v>
      </c>
      <c r="M11335" s="30" t="s">
        <v>3774</v>
      </c>
      <c r="N11335" s="30" t="s">
        <v>1243</v>
      </c>
      <c r="P11335" s="30" t="s">
        <v>9927</v>
      </c>
      <c r="Q11335" t="s">
        <v>620</v>
      </c>
      <c r="R11335" t="s">
        <v>920</v>
      </c>
      <c r="S11335">
        <v>37</v>
      </c>
      <c r="T11335" s="29" t="str">
        <f>HYPERLINK("https://ictv.global/ictv/proposals/2021.036M.R.Rhabdoviridae_sprename.zip","2021.036M.R.Rhabdoviridae_sprename.zip")</f>
        <v>2021.036M.R.Rhabdoviridae_sprename.zip</v>
      </c>
      <c r="U11335" s="29" t="str">
        <f>HYPERLINK("https://ictv.global/taxonomy/taxondetails?taxnode_id=202306520","ictv.global=202306520")</f>
        <v>ictv.global=202306520</v>
      </c>
    </row>
    <row r="11336" spans="1:21">
      <c r="A11336">
        <v>11335</v>
      </c>
      <c r="B11336" s="30" t="s">
        <v>1226</v>
      </c>
      <c r="D11336" s="30" t="s">
        <v>2024</v>
      </c>
      <c r="F11336" s="30" t="s">
        <v>1040</v>
      </c>
      <c r="G11336" s="30" t="s">
        <v>1041</v>
      </c>
      <c r="H11336" s="30" t="s">
        <v>1047</v>
      </c>
      <c r="J11336" s="30" t="s">
        <v>255</v>
      </c>
      <c r="L11336" s="30" t="s">
        <v>374</v>
      </c>
      <c r="M11336" s="30" t="s">
        <v>3774</v>
      </c>
      <c r="N11336" s="30" t="s">
        <v>3775</v>
      </c>
      <c r="P11336" s="30" t="s">
        <v>9928</v>
      </c>
      <c r="Q11336" t="s">
        <v>620</v>
      </c>
      <c r="R11336" t="s">
        <v>920</v>
      </c>
      <c r="S11336">
        <v>37</v>
      </c>
      <c r="T11336" s="29" t="str">
        <f>HYPERLINK("https://ictv.global/ictv/proposals/2021.036M.R.Rhabdoviridae_sprename.zip","2021.036M.R.Rhabdoviridae_sprename.zip")</f>
        <v>2021.036M.R.Rhabdoviridae_sprename.zip</v>
      </c>
      <c r="U11336" s="29" t="str">
        <f>HYPERLINK("https://ictv.global/taxonomy/taxondetails?taxnode_id=202308751","ictv.global=202308751")</f>
        <v>ictv.global=202308751</v>
      </c>
    </row>
    <row r="11337" spans="1:21">
      <c r="A11337">
        <v>11336</v>
      </c>
      <c r="B11337" s="30" t="s">
        <v>1226</v>
      </c>
      <c r="D11337" s="30" t="s">
        <v>2024</v>
      </c>
      <c r="F11337" s="30" t="s">
        <v>1040</v>
      </c>
      <c r="G11337" s="30" t="s">
        <v>1041</v>
      </c>
      <c r="H11337" s="30" t="s">
        <v>1047</v>
      </c>
      <c r="J11337" s="30" t="s">
        <v>255</v>
      </c>
      <c r="L11337" s="30" t="s">
        <v>374</v>
      </c>
      <c r="M11337" s="30" t="s">
        <v>3774</v>
      </c>
      <c r="N11337" s="30" t="s">
        <v>3775</v>
      </c>
      <c r="P11337" s="30" t="s">
        <v>9929</v>
      </c>
      <c r="Q11337" t="s">
        <v>620</v>
      </c>
      <c r="R11337" t="s">
        <v>920</v>
      </c>
      <c r="S11337">
        <v>37</v>
      </c>
      <c r="T11337" s="29" t="str">
        <f>HYPERLINK("https://ictv.global/ictv/proposals/2021.036M.R.Rhabdoviridae_sprename.zip","2021.036M.R.Rhabdoviridae_sprename.zip")</f>
        <v>2021.036M.R.Rhabdoviridae_sprename.zip</v>
      </c>
      <c r="U11337" s="29" t="str">
        <f>HYPERLINK("https://ictv.global/taxonomy/taxondetails?taxnode_id=202308750","ictv.global=202308750")</f>
        <v>ictv.global=202308750</v>
      </c>
    </row>
    <row r="11338" spans="1:21">
      <c r="A11338">
        <v>11337</v>
      </c>
      <c r="B11338" s="30" t="s">
        <v>1226</v>
      </c>
      <c r="D11338" s="30" t="s">
        <v>2024</v>
      </c>
      <c r="F11338" s="30" t="s">
        <v>1040</v>
      </c>
      <c r="G11338" s="30" t="s">
        <v>1041</v>
      </c>
      <c r="H11338" s="30" t="s">
        <v>1047</v>
      </c>
      <c r="J11338" s="30" t="s">
        <v>255</v>
      </c>
      <c r="L11338" s="30" t="s">
        <v>374</v>
      </c>
      <c r="M11338" s="30" t="s">
        <v>3774</v>
      </c>
      <c r="N11338" s="30" t="s">
        <v>3776</v>
      </c>
      <c r="P11338" s="30" t="s">
        <v>17386</v>
      </c>
      <c r="Q11338" t="s">
        <v>620</v>
      </c>
      <c r="R11338" t="s">
        <v>917</v>
      </c>
      <c r="S11338">
        <v>39</v>
      </c>
      <c r="T11338" s="29" t="str">
        <f>HYPERLINK("https://ictv.global/ictv/proposals/2023.015M.Alpharhabdovirinae_17nsp.zip","2023.015M.Alpharhabdovirinae_17nsp.zip")</f>
        <v>2023.015M.Alpharhabdovirinae_17nsp.zip</v>
      </c>
      <c r="U11338" s="29" t="str">
        <f>HYPERLINK("https://ictv.global/taxonomy/taxondetails?taxnode_id=202318256","ictv.global=202318256")</f>
        <v>ictv.global=202318256</v>
      </c>
    </row>
    <row r="11339" spans="1:21">
      <c r="A11339">
        <v>11338</v>
      </c>
      <c r="B11339" s="30" t="s">
        <v>1226</v>
      </c>
      <c r="D11339" s="30" t="s">
        <v>2024</v>
      </c>
      <c r="F11339" s="30" t="s">
        <v>1040</v>
      </c>
      <c r="G11339" s="30" t="s">
        <v>1041</v>
      </c>
      <c r="H11339" s="30" t="s">
        <v>1047</v>
      </c>
      <c r="J11339" s="30" t="s">
        <v>255</v>
      </c>
      <c r="L11339" s="30" t="s">
        <v>374</v>
      </c>
      <c r="M11339" s="30" t="s">
        <v>3774</v>
      </c>
      <c r="N11339" s="30" t="s">
        <v>3776</v>
      </c>
      <c r="P11339" s="30" t="s">
        <v>9930</v>
      </c>
      <c r="Q11339" t="s">
        <v>620</v>
      </c>
      <c r="R11339" t="s">
        <v>920</v>
      </c>
      <c r="S11339">
        <v>37</v>
      </c>
      <c r="T11339" s="29" t="str">
        <f>HYPERLINK("https://ictv.global/ictv/proposals/2021.036M.R.Rhabdoviridae_sprename.zip","2021.036M.R.Rhabdoviridae_sprename.zip;2021.043M.R.Corrections_Mononegavirales_Bunyavirales.zip")</f>
        <v>2021.036M.R.Rhabdoviridae_sprename.zip;2021.043M.R.Corrections_Mononegavirales_Bunyavirales.zip</v>
      </c>
      <c r="U11339" s="29" t="str">
        <f>HYPERLINK("https://ictv.global/taxonomy/taxondetails?taxnode_id=202308755","ictv.global=202308755")</f>
        <v>ictv.global=202308755</v>
      </c>
    </row>
    <row r="11340" spans="1:21">
      <c r="A11340">
        <v>11339</v>
      </c>
      <c r="B11340" s="30" t="s">
        <v>1226</v>
      </c>
      <c r="D11340" s="30" t="s">
        <v>2024</v>
      </c>
      <c r="F11340" s="30" t="s">
        <v>1040</v>
      </c>
      <c r="G11340" s="30" t="s">
        <v>1041</v>
      </c>
      <c r="H11340" s="30" t="s">
        <v>1047</v>
      </c>
      <c r="J11340" s="30" t="s">
        <v>255</v>
      </c>
      <c r="L11340" s="30" t="s">
        <v>374</v>
      </c>
      <c r="M11340" s="30" t="s">
        <v>3774</v>
      </c>
      <c r="N11340" s="30" t="s">
        <v>3776</v>
      </c>
      <c r="P11340" s="30" t="s">
        <v>9931</v>
      </c>
      <c r="Q11340" t="s">
        <v>620</v>
      </c>
      <c r="R11340" t="s">
        <v>920</v>
      </c>
      <c r="S11340">
        <v>37</v>
      </c>
      <c r="T11340" s="29" t="str">
        <f>HYPERLINK("https://ictv.global/ictv/proposals/2021.036M.R.Rhabdoviridae_sprename.zip","2021.036M.R.Rhabdoviridae_sprename.zip")</f>
        <v>2021.036M.R.Rhabdoviridae_sprename.zip</v>
      </c>
      <c r="U11340" s="29" t="str">
        <f>HYPERLINK("https://ictv.global/taxonomy/taxondetails?taxnode_id=202308753","ictv.global=202308753")</f>
        <v>ictv.global=202308753</v>
      </c>
    </row>
    <row r="11341" spans="1:21">
      <c r="A11341">
        <v>11340</v>
      </c>
      <c r="B11341" s="30" t="s">
        <v>1226</v>
      </c>
      <c r="D11341" s="30" t="s">
        <v>2024</v>
      </c>
      <c r="F11341" s="30" t="s">
        <v>1040</v>
      </c>
      <c r="G11341" s="30" t="s">
        <v>1041</v>
      </c>
      <c r="H11341" s="30" t="s">
        <v>1047</v>
      </c>
      <c r="J11341" s="30" t="s">
        <v>255</v>
      </c>
      <c r="L11341" s="30" t="s">
        <v>374</v>
      </c>
      <c r="M11341" s="30" t="s">
        <v>3774</v>
      </c>
      <c r="N11341" s="30" t="s">
        <v>3776</v>
      </c>
      <c r="P11341" s="30" t="s">
        <v>17387</v>
      </c>
      <c r="Q11341" t="s">
        <v>620</v>
      </c>
      <c r="R11341" t="s">
        <v>917</v>
      </c>
      <c r="S11341">
        <v>39</v>
      </c>
      <c r="T11341" s="29" t="str">
        <f>HYPERLINK("https://ictv.global/ictv/proposals/2023.015M.Alpharhabdovirinae_17nsp.zip","2023.015M.Alpharhabdovirinae_17nsp.zip")</f>
        <v>2023.015M.Alpharhabdovirinae_17nsp.zip</v>
      </c>
      <c r="U11341" s="29" t="str">
        <f>HYPERLINK("https://ictv.global/taxonomy/taxondetails?taxnode_id=202318260","ictv.global=202318260")</f>
        <v>ictv.global=202318260</v>
      </c>
    </row>
    <row r="11342" spans="1:21">
      <c r="A11342">
        <v>11341</v>
      </c>
      <c r="B11342" s="30" t="s">
        <v>1226</v>
      </c>
      <c r="D11342" s="30" t="s">
        <v>2024</v>
      </c>
      <c r="F11342" s="30" t="s">
        <v>1040</v>
      </c>
      <c r="G11342" s="30" t="s">
        <v>1041</v>
      </c>
      <c r="H11342" s="30" t="s">
        <v>1047</v>
      </c>
      <c r="J11342" s="30" t="s">
        <v>255</v>
      </c>
      <c r="L11342" s="30" t="s">
        <v>374</v>
      </c>
      <c r="M11342" s="30" t="s">
        <v>3774</v>
      </c>
      <c r="N11342" s="30" t="s">
        <v>3776</v>
      </c>
      <c r="P11342" s="30" t="s">
        <v>17388</v>
      </c>
      <c r="Q11342" t="s">
        <v>620</v>
      </c>
      <c r="R11342" t="s">
        <v>917</v>
      </c>
      <c r="S11342">
        <v>39</v>
      </c>
      <c r="T11342" s="29" t="str">
        <f>HYPERLINK("https://ictv.global/ictv/proposals/2023.015M.Alpharhabdovirinae_17nsp.zip","2023.015M.Alpharhabdovirinae_17nsp.zip")</f>
        <v>2023.015M.Alpharhabdovirinae_17nsp.zip</v>
      </c>
      <c r="U11342" s="29" t="str">
        <f>HYPERLINK("https://ictv.global/taxonomy/taxondetails?taxnode_id=202318257","ictv.global=202318257")</f>
        <v>ictv.global=202318257</v>
      </c>
    </row>
    <row r="11343" spans="1:21">
      <c r="A11343">
        <v>11342</v>
      </c>
      <c r="B11343" s="30" t="s">
        <v>1226</v>
      </c>
      <c r="D11343" s="30" t="s">
        <v>2024</v>
      </c>
      <c r="F11343" s="30" t="s">
        <v>1040</v>
      </c>
      <c r="G11343" s="30" t="s">
        <v>1041</v>
      </c>
      <c r="H11343" s="30" t="s">
        <v>1047</v>
      </c>
      <c r="J11343" s="30" t="s">
        <v>255</v>
      </c>
      <c r="L11343" s="30" t="s">
        <v>374</v>
      </c>
      <c r="M11343" s="30" t="s">
        <v>3774</v>
      </c>
      <c r="N11343" s="30" t="s">
        <v>3776</v>
      </c>
      <c r="P11343" s="30" t="s">
        <v>9932</v>
      </c>
      <c r="Q11343" t="s">
        <v>620</v>
      </c>
      <c r="R11343" t="s">
        <v>917</v>
      </c>
      <c r="S11343">
        <v>38</v>
      </c>
      <c r="T11343" s="29" t="str">
        <f>HYPERLINK("https://ictv.global/ictv/proposals/2022.002M.Alpharhabdovirinae_1ngen14nsp.zip","2022.002M.Alpharhabdovirinae_1ngen14nsp.zip")</f>
        <v>2022.002M.Alpharhabdovirinae_1ngen14nsp.zip</v>
      </c>
      <c r="U11343" s="29" t="str">
        <f>HYPERLINK("https://ictv.global/taxonomy/taxondetails?taxnode_id=202314153","ictv.global=202314153")</f>
        <v>ictv.global=202314153</v>
      </c>
    </row>
    <row r="11344" spans="1:21">
      <c r="A11344">
        <v>11343</v>
      </c>
      <c r="B11344" s="30" t="s">
        <v>1226</v>
      </c>
      <c r="D11344" s="30" t="s">
        <v>2024</v>
      </c>
      <c r="F11344" s="30" t="s">
        <v>1040</v>
      </c>
      <c r="G11344" s="30" t="s">
        <v>1041</v>
      </c>
      <c r="H11344" s="30" t="s">
        <v>1047</v>
      </c>
      <c r="J11344" s="30" t="s">
        <v>255</v>
      </c>
      <c r="L11344" s="30" t="s">
        <v>374</v>
      </c>
      <c r="M11344" s="30" t="s">
        <v>3774</v>
      </c>
      <c r="N11344" s="30" t="s">
        <v>3776</v>
      </c>
      <c r="P11344" s="30" t="s">
        <v>17389</v>
      </c>
      <c r="Q11344" t="s">
        <v>620</v>
      </c>
      <c r="R11344" t="s">
        <v>917</v>
      </c>
      <c r="S11344">
        <v>39</v>
      </c>
      <c r="T11344" s="29" t="str">
        <f t="shared" ref="T11344:T11351" si="471">HYPERLINK("https://ictv.global/ictv/proposals/2023.015M.Alpharhabdovirinae_17nsp.zip","2023.015M.Alpharhabdovirinae_17nsp.zip")</f>
        <v>2023.015M.Alpharhabdovirinae_17nsp.zip</v>
      </c>
      <c r="U11344" s="29" t="str">
        <f>HYPERLINK("https://ictv.global/taxonomy/taxondetails?taxnode_id=202318255","ictv.global=202318255")</f>
        <v>ictv.global=202318255</v>
      </c>
    </row>
    <row r="11345" spans="1:21">
      <c r="A11345">
        <v>11344</v>
      </c>
      <c r="B11345" s="30" t="s">
        <v>1226</v>
      </c>
      <c r="D11345" s="30" t="s">
        <v>2024</v>
      </c>
      <c r="F11345" s="30" t="s">
        <v>1040</v>
      </c>
      <c r="G11345" s="30" t="s">
        <v>1041</v>
      </c>
      <c r="H11345" s="30" t="s">
        <v>1047</v>
      </c>
      <c r="J11345" s="30" t="s">
        <v>255</v>
      </c>
      <c r="L11345" s="30" t="s">
        <v>374</v>
      </c>
      <c r="M11345" s="30" t="s">
        <v>3774</v>
      </c>
      <c r="N11345" s="30" t="s">
        <v>3776</v>
      </c>
      <c r="P11345" s="30" t="s">
        <v>17390</v>
      </c>
      <c r="Q11345" t="s">
        <v>620</v>
      </c>
      <c r="R11345" t="s">
        <v>917</v>
      </c>
      <c r="S11345">
        <v>39</v>
      </c>
      <c r="T11345" s="29" t="str">
        <f t="shared" si="471"/>
        <v>2023.015M.Alpharhabdovirinae_17nsp.zip</v>
      </c>
      <c r="U11345" s="29" t="str">
        <f>HYPERLINK("https://ictv.global/taxonomy/taxondetails?taxnode_id=202318259","ictv.global=202318259")</f>
        <v>ictv.global=202318259</v>
      </c>
    </row>
    <row r="11346" spans="1:21">
      <c r="A11346">
        <v>11345</v>
      </c>
      <c r="B11346" s="30" t="s">
        <v>1226</v>
      </c>
      <c r="D11346" s="30" t="s">
        <v>2024</v>
      </c>
      <c r="F11346" s="30" t="s">
        <v>1040</v>
      </c>
      <c r="G11346" s="30" t="s">
        <v>1041</v>
      </c>
      <c r="H11346" s="30" t="s">
        <v>1047</v>
      </c>
      <c r="J11346" s="30" t="s">
        <v>255</v>
      </c>
      <c r="L11346" s="30" t="s">
        <v>374</v>
      </c>
      <c r="M11346" s="30" t="s">
        <v>3774</v>
      </c>
      <c r="N11346" s="30" t="s">
        <v>3776</v>
      </c>
      <c r="P11346" s="30" t="s">
        <v>17391</v>
      </c>
      <c r="Q11346" t="s">
        <v>620</v>
      </c>
      <c r="R11346" t="s">
        <v>917</v>
      </c>
      <c r="S11346">
        <v>39</v>
      </c>
      <c r="T11346" s="29" t="str">
        <f t="shared" si="471"/>
        <v>2023.015M.Alpharhabdovirinae_17nsp.zip</v>
      </c>
      <c r="U11346" s="29" t="str">
        <f>HYPERLINK("https://ictv.global/taxonomy/taxondetails?taxnode_id=202318263","ictv.global=202318263")</f>
        <v>ictv.global=202318263</v>
      </c>
    </row>
    <row r="11347" spans="1:21">
      <c r="A11347">
        <v>11346</v>
      </c>
      <c r="B11347" s="30" t="s">
        <v>1226</v>
      </c>
      <c r="D11347" s="30" t="s">
        <v>2024</v>
      </c>
      <c r="F11347" s="30" t="s">
        <v>1040</v>
      </c>
      <c r="G11347" s="30" t="s">
        <v>1041</v>
      </c>
      <c r="H11347" s="30" t="s">
        <v>1047</v>
      </c>
      <c r="J11347" s="30" t="s">
        <v>255</v>
      </c>
      <c r="L11347" s="30" t="s">
        <v>374</v>
      </c>
      <c r="M11347" s="30" t="s">
        <v>3774</v>
      </c>
      <c r="N11347" s="30" t="s">
        <v>3776</v>
      </c>
      <c r="P11347" s="30" t="s">
        <v>17392</v>
      </c>
      <c r="Q11347" t="s">
        <v>620</v>
      </c>
      <c r="R11347" t="s">
        <v>917</v>
      </c>
      <c r="S11347">
        <v>39</v>
      </c>
      <c r="T11347" s="29" t="str">
        <f t="shared" si="471"/>
        <v>2023.015M.Alpharhabdovirinae_17nsp.zip</v>
      </c>
      <c r="U11347" s="29" t="str">
        <f>HYPERLINK("https://ictv.global/taxonomy/taxondetails?taxnode_id=202318262","ictv.global=202318262")</f>
        <v>ictv.global=202318262</v>
      </c>
    </row>
    <row r="11348" spans="1:21">
      <c r="A11348">
        <v>11347</v>
      </c>
      <c r="B11348" s="30" t="s">
        <v>1226</v>
      </c>
      <c r="D11348" s="30" t="s">
        <v>2024</v>
      </c>
      <c r="F11348" s="30" t="s">
        <v>1040</v>
      </c>
      <c r="G11348" s="30" t="s">
        <v>1041</v>
      </c>
      <c r="H11348" s="30" t="s">
        <v>1047</v>
      </c>
      <c r="J11348" s="30" t="s">
        <v>255</v>
      </c>
      <c r="L11348" s="30" t="s">
        <v>374</v>
      </c>
      <c r="M11348" s="30" t="s">
        <v>3774</v>
      </c>
      <c r="N11348" s="30" t="s">
        <v>3776</v>
      </c>
      <c r="P11348" s="30" t="s">
        <v>17393</v>
      </c>
      <c r="Q11348" t="s">
        <v>620</v>
      </c>
      <c r="R11348" t="s">
        <v>917</v>
      </c>
      <c r="S11348">
        <v>39</v>
      </c>
      <c r="T11348" s="29" t="str">
        <f t="shared" si="471"/>
        <v>2023.015M.Alpharhabdovirinae_17nsp.zip</v>
      </c>
      <c r="U11348" s="29" t="str">
        <f>HYPERLINK("https://ictv.global/taxonomy/taxondetails?taxnode_id=202318261","ictv.global=202318261")</f>
        <v>ictv.global=202318261</v>
      </c>
    </row>
    <row r="11349" spans="1:21">
      <c r="A11349">
        <v>11348</v>
      </c>
      <c r="B11349" s="30" t="s">
        <v>1226</v>
      </c>
      <c r="D11349" s="30" t="s">
        <v>2024</v>
      </c>
      <c r="F11349" s="30" t="s">
        <v>1040</v>
      </c>
      <c r="G11349" s="30" t="s">
        <v>1041</v>
      </c>
      <c r="H11349" s="30" t="s">
        <v>1047</v>
      </c>
      <c r="J11349" s="30" t="s">
        <v>255</v>
      </c>
      <c r="L11349" s="30" t="s">
        <v>374</v>
      </c>
      <c r="M11349" s="30" t="s">
        <v>3774</v>
      </c>
      <c r="N11349" s="30" t="s">
        <v>3776</v>
      </c>
      <c r="P11349" s="30" t="s">
        <v>17394</v>
      </c>
      <c r="Q11349" t="s">
        <v>620</v>
      </c>
      <c r="R11349" t="s">
        <v>917</v>
      </c>
      <c r="S11349">
        <v>39</v>
      </c>
      <c r="T11349" s="29" t="str">
        <f t="shared" si="471"/>
        <v>2023.015M.Alpharhabdovirinae_17nsp.zip</v>
      </c>
      <c r="U11349" s="29" t="str">
        <f>HYPERLINK("https://ictv.global/taxonomy/taxondetails?taxnode_id=202318254","ictv.global=202318254")</f>
        <v>ictv.global=202318254</v>
      </c>
    </row>
    <row r="11350" spans="1:21">
      <c r="A11350">
        <v>11349</v>
      </c>
      <c r="B11350" s="30" t="s">
        <v>1226</v>
      </c>
      <c r="D11350" s="30" t="s">
        <v>2024</v>
      </c>
      <c r="F11350" s="30" t="s">
        <v>1040</v>
      </c>
      <c r="G11350" s="30" t="s">
        <v>1041</v>
      </c>
      <c r="H11350" s="30" t="s">
        <v>1047</v>
      </c>
      <c r="J11350" s="30" t="s">
        <v>255</v>
      </c>
      <c r="L11350" s="30" t="s">
        <v>374</v>
      </c>
      <c r="M11350" s="30" t="s">
        <v>3774</v>
      </c>
      <c r="N11350" s="30" t="s">
        <v>3776</v>
      </c>
      <c r="P11350" s="30" t="s">
        <v>17395</v>
      </c>
      <c r="Q11350" t="s">
        <v>620</v>
      </c>
      <c r="R11350" t="s">
        <v>917</v>
      </c>
      <c r="S11350">
        <v>39</v>
      </c>
      <c r="T11350" s="29" t="str">
        <f t="shared" si="471"/>
        <v>2023.015M.Alpharhabdovirinae_17nsp.zip</v>
      </c>
      <c r="U11350" s="29" t="str">
        <f>HYPERLINK("https://ictv.global/taxonomy/taxondetails?taxnode_id=202318258","ictv.global=202318258")</f>
        <v>ictv.global=202318258</v>
      </c>
    </row>
    <row r="11351" spans="1:21">
      <c r="A11351">
        <v>11350</v>
      </c>
      <c r="B11351" s="30" t="s">
        <v>1226</v>
      </c>
      <c r="D11351" s="30" t="s">
        <v>2024</v>
      </c>
      <c r="F11351" s="30" t="s">
        <v>1040</v>
      </c>
      <c r="G11351" s="30" t="s">
        <v>1041</v>
      </c>
      <c r="H11351" s="30" t="s">
        <v>1047</v>
      </c>
      <c r="J11351" s="30" t="s">
        <v>255</v>
      </c>
      <c r="L11351" s="30" t="s">
        <v>374</v>
      </c>
      <c r="M11351" s="30" t="s">
        <v>3774</v>
      </c>
      <c r="N11351" s="30" t="s">
        <v>3776</v>
      </c>
      <c r="P11351" s="30" t="s">
        <v>17396</v>
      </c>
      <c r="Q11351" t="s">
        <v>620</v>
      </c>
      <c r="R11351" t="s">
        <v>917</v>
      </c>
      <c r="S11351">
        <v>39</v>
      </c>
      <c r="T11351" s="29" t="str">
        <f t="shared" si="471"/>
        <v>2023.015M.Alpharhabdovirinae_17nsp.zip</v>
      </c>
      <c r="U11351" s="29" t="str">
        <f>HYPERLINK("https://ictv.global/taxonomy/taxondetails?taxnode_id=202318253","ictv.global=202318253")</f>
        <v>ictv.global=202318253</v>
      </c>
    </row>
    <row r="11352" spans="1:21">
      <c r="A11352">
        <v>11351</v>
      </c>
      <c r="B11352" s="30" t="s">
        <v>1226</v>
      </c>
      <c r="D11352" s="30" t="s">
        <v>2024</v>
      </c>
      <c r="F11352" s="30" t="s">
        <v>1040</v>
      </c>
      <c r="G11352" s="30" t="s">
        <v>1041</v>
      </c>
      <c r="H11352" s="30" t="s">
        <v>1047</v>
      </c>
      <c r="J11352" s="30" t="s">
        <v>255</v>
      </c>
      <c r="L11352" s="30" t="s">
        <v>374</v>
      </c>
      <c r="M11352" s="30" t="s">
        <v>3774</v>
      </c>
      <c r="N11352" s="30" t="s">
        <v>3776</v>
      </c>
      <c r="P11352" s="30" t="s">
        <v>9933</v>
      </c>
      <c r="Q11352" t="s">
        <v>620</v>
      </c>
      <c r="R11352" t="s">
        <v>920</v>
      </c>
      <c r="S11352">
        <v>37</v>
      </c>
      <c r="T11352" s="29" t="str">
        <f>HYPERLINK("https://ictv.global/ictv/proposals/2021.036M.R.Rhabdoviridae_sprename.zip","2021.036M.R.Rhabdoviridae_sprename.zip")</f>
        <v>2021.036M.R.Rhabdoviridae_sprename.zip</v>
      </c>
      <c r="U11352" s="29" t="str">
        <f>HYPERLINK("https://ictv.global/taxonomy/taxondetails?taxnode_id=202308754","ictv.global=202308754")</f>
        <v>ictv.global=202308754</v>
      </c>
    </row>
    <row r="11353" spans="1:21">
      <c r="A11353">
        <v>11352</v>
      </c>
      <c r="B11353" s="30" t="s">
        <v>1226</v>
      </c>
      <c r="D11353" s="30" t="s">
        <v>2024</v>
      </c>
      <c r="F11353" s="30" t="s">
        <v>1040</v>
      </c>
      <c r="G11353" s="30" t="s">
        <v>1041</v>
      </c>
      <c r="H11353" s="30" t="s">
        <v>1047</v>
      </c>
      <c r="J11353" s="30" t="s">
        <v>255</v>
      </c>
      <c r="L11353" s="30" t="s">
        <v>374</v>
      </c>
      <c r="M11353" s="30" t="s">
        <v>3774</v>
      </c>
      <c r="N11353" s="30" t="s">
        <v>3776</v>
      </c>
      <c r="P11353" s="30" t="s">
        <v>17397</v>
      </c>
      <c r="Q11353" t="s">
        <v>620</v>
      </c>
      <c r="R11353" t="s">
        <v>917</v>
      </c>
      <c r="S11353">
        <v>39</v>
      </c>
      <c r="T11353" s="29" t="str">
        <f>HYPERLINK("https://ictv.global/ictv/proposals/2023.015M.Alpharhabdovirinae_17nsp.zip","2023.015M.Alpharhabdovirinae_17nsp.zip")</f>
        <v>2023.015M.Alpharhabdovirinae_17nsp.zip</v>
      </c>
      <c r="U11353" s="29" t="str">
        <f>HYPERLINK("https://ictv.global/taxonomy/taxondetails?taxnode_id=202318252","ictv.global=202318252")</f>
        <v>ictv.global=202318252</v>
      </c>
    </row>
    <row r="11354" spans="1:21">
      <c r="A11354">
        <v>11353</v>
      </c>
      <c r="B11354" s="30" t="s">
        <v>1226</v>
      </c>
      <c r="D11354" s="30" t="s">
        <v>2024</v>
      </c>
      <c r="F11354" s="30" t="s">
        <v>1040</v>
      </c>
      <c r="G11354" s="30" t="s">
        <v>1041</v>
      </c>
      <c r="H11354" s="30" t="s">
        <v>1047</v>
      </c>
      <c r="J11354" s="30" t="s">
        <v>255</v>
      </c>
      <c r="L11354" s="30" t="s">
        <v>374</v>
      </c>
      <c r="M11354" s="30" t="s">
        <v>3774</v>
      </c>
      <c r="N11354" s="30" t="s">
        <v>9934</v>
      </c>
      <c r="P11354" s="30" t="s">
        <v>9935</v>
      </c>
      <c r="Q11354" t="s">
        <v>620</v>
      </c>
      <c r="R11354" t="s">
        <v>917</v>
      </c>
      <c r="S11354">
        <v>37</v>
      </c>
      <c r="T11354" s="29" t="str">
        <f>HYPERLINK("https://ictv.global/ictv/proposals/2021.035M.R.Rhabdoviridae_2ngen_2nsp.zip","2021.035M.R.Rhabdoviridae_2ngen_2nsp.zip")</f>
        <v>2021.035M.R.Rhabdoviridae_2ngen_2nsp.zip</v>
      </c>
      <c r="U11354" s="29" t="str">
        <f>HYPERLINK("https://ictv.global/taxonomy/taxondetails?taxnode_id=202312249","ictv.global=202312249")</f>
        <v>ictv.global=202312249</v>
      </c>
    </row>
    <row r="11355" spans="1:21">
      <c r="A11355">
        <v>11354</v>
      </c>
      <c r="B11355" s="30" t="s">
        <v>1226</v>
      </c>
      <c r="D11355" s="30" t="s">
        <v>2024</v>
      </c>
      <c r="F11355" s="30" t="s">
        <v>1040</v>
      </c>
      <c r="G11355" s="30" t="s">
        <v>1041</v>
      </c>
      <c r="H11355" s="30" t="s">
        <v>1047</v>
      </c>
      <c r="J11355" s="30" t="s">
        <v>255</v>
      </c>
      <c r="L11355" s="30" t="s">
        <v>374</v>
      </c>
      <c r="M11355" s="30" t="s">
        <v>3774</v>
      </c>
      <c r="N11355" s="30" t="s">
        <v>9934</v>
      </c>
      <c r="P11355" s="30" t="s">
        <v>17398</v>
      </c>
      <c r="Q11355" t="s">
        <v>620</v>
      </c>
      <c r="R11355" t="s">
        <v>917</v>
      </c>
      <c r="S11355">
        <v>39</v>
      </c>
      <c r="T11355" s="29" t="str">
        <f>HYPERLINK("https://ictv.global/ictv/proposals/2023.015M.Alpharhabdovirinae_17nsp.zip","2023.015M.Alpharhabdovirinae_17nsp.zip")</f>
        <v>2023.015M.Alpharhabdovirinae_17nsp.zip</v>
      </c>
      <c r="U11355" s="29" t="str">
        <f>HYPERLINK("https://ictv.global/taxonomy/taxondetails?taxnode_id=202318251","ictv.global=202318251")</f>
        <v>ictv.global=202318251</v>
      </c>
    </row>
    <row r="11356" spans="1:21">
      <c r="A11356">
        <v>11355</v>
      </c>
      <c r="B11356" s="30" t="s">
        <v>1226</v>
      </c>
      <c r="D11356" s="30" t="s">
        <v>2024</v>
      </c>
      <c r="F11356" s="30" t="s">
        <v>1040</v>
      </c>
      <c r="G11356" s="30" t="s">
        <v>1041</v>
      </c>
      <c r="H11356" s="30" t="s">
        <v>1047</v>
      </c>
      <c r="J11356" s="30" t="s">
        <v>255</v>
      </c>
      <c r="L11356" s="30" t="s">
        <v>374</v>
      </c>
      <c r="M11356" s="30" t="s">
        <v>3774</v>
      </c>
      <c r="N11356" s="30" t="s">
        <v>2061</v>
      </c>
      <c r="P11356" s="30" t="s">
        <v>9936</v>
      </c>
      <c r="Q11356" t="s">
        <v>620</v>
      </c>
      <c r="R11356" t="s">
        <v>920</v>
      </c>
      <c r="S11356">
        <v>37</v>
      </c>
      <c r="T11356" s="29" t="str">
        <f t="shared" ref="T11356:T11364" si="472">HYPERLINK("https://ictv.global/ictv/proposals/2021.036M.R.Rhabdoviridae_sprename.zip","2021.036M.R.Rhabdoviridae_sprename.zip")</f>
        <v>2021.036M.R.Rhabdoviridae_sprename.zip</v>
      </c>
      <c r="U11356" s="29" t="str">
        <f>HYPERLINK("https://ictv.global/taxonomy/taxondetails?taxnode_id=202307241","ictv.global=202307241")</f>
        <v>ictv.global=202307241</v>
      </c>
    </row>
    <row r="11357" spans="1:21">
      <c r="A11357">
        <v>11356</v>
      </c>
      <c r="B11357" s="30" t="s">
        <v>1226</v>
      </c>
      <c r="D11357" s="30" t="s">
        <v>2024</v>
      </c>
      <c r="F11357" s="30" t="s">
        <v>1040</v>
      </c>
      <c r="G11357" s="30" t="s">
        <v>1041</v>
      </c>
      <c r="H11357" s="30" t="s">
        <v>1047</v>
      </c>
      <c r="J11357" s="30" t="s">
        <v>255</v>
      </c>
      <c r="L11357" s="30" t="s">
        <v>374</v>
      </c>
      <c r="M11357" s="30" t="s">
        <v>3774</v>
      </c>
      <c r="N11357" s="30" t="s">
        <v>2061</v>
      </c>
      <c r="P11357" s="30" t="s">
        <v>9937</v>
      </c>
      <c r="Q11357" t="s">
        <v>620</v>
      </c>
      <c r="R11357" t="s">
        <v>920</v>
      </c>
      <c r="S11357">
        <v>37</v>
      </c>
      <c r="T11357" s="29" t="str">
        <f t="shared" si="472"/>
        <v>2021.036M.R.Rhabdoviridae_sprename.zip</v>
      </c>
      <c r="U11357" s="29" t="str">
        <f>HYPERLINK("https://ictv.global/taxonomy/taxondetails?taxnode_id=202307243","ictv.global=202307243")</f>
        <v>ictv.global=202307243</v>
      </c>
    </row>
    <row r="11358" spans="1:21">
      <c r="A11358">
        <v>11357</v>
      </c>
      <c r="B11358" s="30" t="s">
        <v>1226</v>
      </c>
      <c r="D11358" s="30" t="s">
        <v>2024</v>
      </c>
      <c r="F11358" s="30" t="s">
        <v>1040</v>
      </c>
      <c r="G11358" s="30" t="s">
        <v>1041</v>
      </c>
      <c r="H11358" s="30" t="s">
        <v>1047</v>
      </c>
      <c r="J11358" s="30" t="s">
        <v>255</v>
      </c>
      <c r="L11358" s="30" t="s">
        <v>374</v>
      </c>
      <c r="M11358" s="30" t="s">
        <v>3774</v>
      </c>
      <c r="N11358" s="30" t="s">
        <v>2061</v>
      </c>
      <c r="P11358" s="30" t="s">
        <v>9938</v>
      </c>
      <c r="Q11358" t="s">
        <v>620</v>
      </c>
      <c r="R11358" t="s">
        <v>920</v>
      </c>
      <c r="S11358">
        <v>37</v>
      </c>
      <c r="T11358" s="29" t="str">
        <f t="shared" si="472"/>
        <v>2021.036M.R.Rhabdoviridae_sprename.zip</v>
      </c>
      <c r="U11358" s="29" t="str">
        <f>HYPERLINK("https://ictv.global/taxonomy/taxondetails?taxnode_id=202307244","ictv.global=202307244")</f>
        <v>ictv.global=202307244</v>
      </c>
    </row>
    <row r="11359" spans="1:21">
      <c r="A11359">
        <v>11358</v>
      </c>
      <c r="B11359" s="30" t="s">
        <v>1226</v>
      </c>
      <c r="D11359" s="30" t="s">
        <v>2024</v>
      </c>
      <c r="F11359" s="30" t="s">
        <v>1040</v>
      </c>
      <c r="G11359" s="30" t="s">
        <v>1041</v>
      </c>
      <c r="H11359" s="30" t="s">
        <v>1047</v>
      </c>
      <c r="J11359" s="30" t="s">
        <v>255</v>
      </c>
      <c r="L11359" s="30" t="s">
        <v>374</v>
      </c>
      <c r="M11359" s="30" t="s">
        <v>3774</v>
      </c>
      <c r="N11359" s="30" t="s">
        <v>2061</v>
      </c>
      <c r="P11359" s="30" t="s">
        <v>9939</v>
      </c>
      <c r="Q11359" t="s">
        <v>620</v>
      </c>
      <c r="R11359" t="s">
        <v>920</v>
      </c>
      <c r="S11359">
        <v>37</v>
      </c>
      <c r="T11359" s="29" t="str">
        <f t="shared" si="472"/>
        <v>2021.036M.R.Rhabdoviridae_sprename.zip</v>
      </c>
      <c r="U11359" s="29" t="str">
        <f>HYPERLINK("https://ictv.global/taxonomy/taxondetails?taxnode_id=202307242","ictv.global=202307242")</f>
        <v>ictv.global=202307242</v>
      </c>
    </row>
    <row r="11360" spans="1:21">
      <c r="A11360">
        <v>11359</v>
      </c>
      <c r="B11360" s="30" t="s">
        <v>1226</v>
      </c>
      <c r="D11360" s="30" t="s">
        <v>2024</v>
      </c>
      <c r="F11360" s="30" t="s">
        <v>1040</v>
      </c>
      <c r="G11360" s="30" t="s">
        <v>1041</v>
      </c>
      <c r="H11360" s="30" t="s">
        <v>1047</v>
      </c>
      <c r="J11360" s="30" t="s">
        <v>255</v>
      </c>
      <c r="L11360" s="30" t="s">
        <v>374</v>
      </c>
      <c r="M11360" s="30" t="s">
        <v>3774</v>
      </c>
      <c r="N11360" s="30" t="s">
        <v>2181</v>
      </c>
      <c r="P11360" s="30" t="s">
        <v>9940</v>
      </c>
      <c r="Q11360" t="s">
        <v>620</v>
      </c>
      <c r="R11360" t="s">
        <v>920</v>
      </c>
      <c r="S11360">
        <v>37</v>
      </c>
      <c r="T11360" s="29" t="str">
        <f t="shared" si="472"/>
        <v>2021.036M.R.Rhabdoviridae_sprename.zip</v>
      </c>
      <c r="U11360" s="29" t="str">
        <f>HYPERLINK("https://ictv.global/taxonomy/taxondetails?taxnode_id=202307393","ictv.global=202307393")</f>
        <v>ictv.global=202307393</v>
      </c>
    </row>
    <row r="11361" spans="1:21">
      <c r="A11361">
        <v>11360</v>
      </c>
      <c r="B11361" s="30" t="s">
        <v>1226</v>
      </c>
      <c r="D11361" s="30" t="s">
        <v>2024</v>
      </c>
      <c r="F11361" s="30" t="s">
        <v>1040</v>
      </c>
      <c r="G11361" s="30" t="s">
        <v>1041</v>
      </c>
      <c r="H11361" s="30" t="s">
        <v>1047</v>
      </c>
      <c r="J11361" s="30" t="s">
        <v>255</v>
      </c>
      <c r="L11361" s="30" t="s">
        <v>374</v>
      </c>
      <c r="M11361" s="30" t="s">
        <v>3774</v>
      </c>
      <c r="N11361" s="30" t="s">
        <v>2181</v>
      </c>
      <c r="P11361" s="30" t="s">
        <v>9941</v>
      </c>
      <c r="Q11361" t="s">
        <v>620</v>
      </c>
      <c r="R11361" t="s">
        <v>920</v>
      </c>
      <c r="S11361">
        <v>37</v>
      </c>
      <c r="T11361" s="29" t="str">
        <f t="shared" si="472"/>
        <v>2021.036M.R.Rhabdoviridae_sprename.zip</v>
      </c>
      <c r="U11361" s="29" t="str">
        <f>HYPERLINK("https://ictv.global/taxonomy/taxondetails?taxnode_id=202307394","ictv.global=202307394")</f>
        <v>ictv.global=202307394</v>
      </c>
    </row>
    <row r="11362" spans="1:21">
      <c r="A11362">
        <v>11361</v>
      </c>
      <c r="B11362" s="30" t="s">
        <v>1226</v>
      </c>
      <c r="D11362" s="30" t="s">
        <v>2024</v>
      </c>
      <c r="F11362" s="30" t="s">
        <v>1040</v>
      </c>
      <c r="G11362" s="30" t="s">
        <v>1041</v>
      </c>
      <c r="H11362" s="30" t="s">
        <v>1047</v>
      </c>
      <c r="J11362" s="30" t="s">
        <v>255</v>
      </c>
      <c r="L11362" s="30" t="s">
        <v>374</v>
      </c>
      <c r="M11362" s="30" t="s">
        <v>3774</v>
      </c>
      <c r="N11362" s="30" t="s">
        <v>1244</v>
      </c>
      <c r="P11362" s="30" t="s">
        <v>9942</v>
      </c>
      <c r="Q11362" t="s">
        <v>620</v>
      </c>
      <c r="R11362" t="s">
        <v>920</v>
      </c>
      <c r="S11362">
        <v>37</v>
      </c>
      <c r="T11362" s="29" t="str">
        <f t="shared" si="472"/>
        <v>2021.036M.R.Rhabdoviridae_sprename.zip</v>
      </c>
      <c r="U11362" s="29" t="str">
        <f>HYPERLINK("https://ictv.global/taxonomy/taxondetails?taxnode_id=202306556","ictv.global=202306556")</f>
        <v>ictv.global=202306556</v>
      </c>
    </row>
    <row r="11363" spans="1:21">
      <c r="A11363">
        <v>11362</v>
      </c>
      <c r="B11363" s="30" t="s">
        <v>1226</v>
      </c>
      <c r="D11363" s="30" t="s">
        <v>2024</v>
      </c>
      <c r="F11363" s="30" t="s">
        <v>1040</v>
      </c>
      <c r="G11363" s="30" t="s">
        <v>1041</v>
      </c>
      <c r="H11363" s="30" t="s">
        <v>1047</v>
      </c>
      <c r="J11363" s="30" t="s">
        <v>255</v>
      </c>
      <c r="L11363" s="30" t="s">
        <v>374</v>
      </c>
      <c r="M11363" s="30" t="s">
        <v>3774</v>
      </c>
      <c r="N11363" s="30" t="s">
        <v>1244</v>
      </c>
      <c r="P11363" s="30" t="s">
        <v>9943</v>
      </c>
      <c r="Q11363" t="s">
        <v>620</v>
      </c>
      <c r="R11363" t="s">
        <v>920</v>
      </c>
      <c r="S11363">
        <v>37</v>
      </c>
      <c r="T11363" s="29" t="str">
        <f t="shared" si="472"/>
        <v>2021.036M.R.Rhabdoviridae_sprename.zip</v>
      </c>
      <c r="U11363" s="29" t="str">
        <f>HYPERLINK("https://ictv.global/taxonomy/taxondetails?taxnode_id=202306554","ictv.global=202306554")</f>
        <v>ictv.global=202306554</v>
      </c>
    </row>
    <row r="11364" spans="1:21">
      <c r="A11364">
        <v>11363</v>
      </c>
      <c r="B11364" s="30" t="s">
        <v>1226</v>
      </c>
      <c r="D11364" s="30" t="s">
        <v>2024</v>
      </c>
      <c r="F11364" s="30" t="s">
        <v>1040</v>
      </c>
      <c r="G11364" s="30" t="s">
        <v>1041</v>
      </c>
      <c r="H11364" s="30" t="s">
        <v>1047</v>
      </c>
      <c r="J11364" s="30" t="s">
        <v>255</v>
      </c>
      <c r="L11364" s="30" t="s">
        <v>374</v>
      </c>
      <c r="M11364" s="30" t="s">
        <v>3774</v>
      </c>
      <c r="N11364" s="30" t="s">
        <v>1244</v>
      </c>
      <c r="P11364" s="30" t="s">
        <v>9944</v>
      </c>
      <c r="Q11364" t="s">
        <v>620</v>
      </c>
      <c r="R11364" t="s">
        <v>920</v>
      </c>
      <c r="S11364">
        <v>37</v>
      </c>
      <c r="T11364" s="29" t="str">
        <f t="shared" si="472"/>
        <v>2021.036M.R.Rhabdoviridae_sprename.zip</v>
      </c>
      <c r="U11364" s="29" t="str">
        <f>HYPERLINK("https://ictv.global/taxonomy/taxondetails?taxnode_id=202306555","ictv.global=202306555")</f>
        <v>ictv.global=202306555</v>
      </c>
    </row>
    <row r="11365" spans="1:21">
      <c r="A11365">
        <v>11364</v>
      </c>
      <c r="B11365" s="30" t="s">
        <v>1226</v>
      </c>
      <c r="D11365" s="30" t="s">
        <v>2024</v>
      </c>
      <c r="F11365" s="30" t="s">
        <v>1040</v>
      </c>
      <c r="G11365" s="30" t="s">
        <v>1041</v>
      </c>
      <c r="H11365" s="30" t="s">
        <v>1047</v>
      </c>
      <c r="J11365" s="30" t="s">
        <v>255</v>
      </c>
      <c r="L11365" s="30" t="s">
        <v>374</v>
      </c>
      <c r="M11365" s="30" t="s">
        <v>3774</v>
      </c>
      <c r="N11365" s="30" t="s">
        <v>9945</v>
      </c>
      <c r="P11365" s="30" t="s">
        <v>9946</v>
      </c>
      <c r="Q11365" t="s">
        <v>620</v>
      </c>
      <c r="R11365" t="s">
        <v>917</v>
      </c>
      <c r="S11365">
        <v>37</v>
      </c>
      <c r="T11365" s="29" t="str">
        <f>HYPERLINK("https://ictv.global/ictv/proposals/2021.003M.R.Alpharhabdovirinae_3ngen_7nsp.zip","2021.003M.R.Alpharhabdovirinae_3ngen_7nsp.zip")</f>
        <v>2021.003M.R.Alpharhabdovirinae_3ngen_7nsp.zip</v>
      </c>
      <c r="U11365" s="29" t="str">
        <f>HYPERLINK("https://ictv.global/taxonomy/taxondetails?taxnode_id=202313315","ictv.global=202313315")</f>
        <v>ictv.global=202313315</v>
      </c>
    </row>
    <row r="11366" spans="1:21">
      <c r="A11366">
        <v>11365</v>
      </c>
      <c r="B11366" s="30" t="s">
        <v>1226</v>
      </c>
      <c r="D11366" s="30" t="s">
        <v>2024</v>
      </c>
      <c r="F11366" s="30" t="s">
        <v>1040</v>
      </c>
      <c r="G11366" s="30" t="s">
        <v>1041</v>
      </c>
      <c r="H11366" s="30" t="s">
        <v>1047</v>
      </c>
      <c r="J11366" s="30" t="s">
        <v>255</v>
      </c>
      <c r="L11366" s="30" t="s">
        <v>374</v>
      </c>
      <c r="M11366" s="30" t="s">
        <v>3774</v>
      </c>
      <c r="N11366" s="30" t="s">
        <v>9945</v>
      </c>
      <c r="P11366" s="30" t="s">
        <v>9947</v>
      </c>
      <c r="Q11366" t="s">
        <v>620</v>
      </c>
      <c r="R11366" t="s">
        <v>917</v>
      </c>
      <c r="S11366">
        <v>37</v>
      </c>
      <c r="T11366" s="29" t="str">
        <f>HYPERLINK("https://ictv.global/ictv/proposals/2021.003M.R.Alpharhabdovirinae_3ngen_7nsp.zip","2021.003M.R.Alpharhabdovirinae_3ngen_7nsp.zip")</f>
        <v>2021.003M.R.Alpharhabdovirinae_3ngen_7nsp.zip</v>
      </c>
      <c r="U11366" s="29" t="str">
        <f>HYPERLINK("https://ictv.global/taxonomy/taxondetails?taxnode_id=202313316","ictv.global=202313316")</f>
        <v>ictv.global=202313316</v>
      </c>
    </row>
    <row r="11367" spans="1:21">
      <c r="A11367">
        <v>11366</v>
      </c>
      <c r="B11367" s="30" t="s">
        <v>1226</v>
      </c>
      <c r="D11367" s="30" t="s">
        <v>2024</v>
      </c>
      <c r="F11367" s="30" t="s">
        <v>1040</v>
      </c>
      <c r="G11367" s="30" t="s">
        <v>1041</v>
      </c>
      <c r="H11367" s="30" t="s">
        <v>1047</v>
      </c>
      <c r="J11367" s="30" t="s">
        <v>255</v>
      </c>
      <c r="L11367" s="30" t="s">
        <v>374</v>
      </c>
      <c r="M11367" s="30" t="s">
        <v>3774</v>
      </c>
      <c r="N11367" s="30" t="s">
        <v>890</v>
      </c>
      <c r="P11367" s="30" t="s">
        <v>9948</v>
      </c>
      <c r="Q11367" t="s">
        <v>620</v>
      </c>
      <c r="R11367" t="s">
        <v>920</v>
      </c>
      <c r="S11367">
        <v>37</v>
      </c>
      <c r="T11367" s="29" t="str">
        <f t="shared" ref="T11367:T11373" si="473">HYPERLINK("https://ictv.global/ictv/proposals/2021.036M.R.Rhabdoviridae_sprename.zip","2021.036M.R.Rhabdoviridae_sprename.zip")</f>
        <v>2021.036M.R.Rhabdoviridae_sprename.zip</v>
      </c>
      <c r="U11367" s="29" t="str">
        <f>HYPERLINK("https://ictv.global/taxonomy/taxondetails?taxnode_id=202301662","ictv.global=202301662")</f>
        <v>ictv.global=202301662</v>
      </c>
    </row>
    <row r="11368" spans="1:21">
      <c r="A11368">
        <v>11367</v>
      </c>
      <c r="B11368" s="30" t="s">
        <v>1226</v>
      </c>
      <c r="D11368" s="30" t="s">
        <v>2024</v>
      </c>
      <c r="F11368" s="30" t="s">
        <v>1040</v>
      </c>
      <c r="G11368" s="30" t="s">
        <v>1041</v>
      </c>
      <c r="H11368" s="30" t="s">
        <v>1047</v>
      </c>
      <c r="J11368" s="30" t="s">
        <v>255</v>
      </c>
      <c r="L11368" s="30" t="s">
        <v>374</v>
      </c>
      <c r="M11368" s="30" t="s">
        <v>3774</v>
      </c>
      <c r="N11368" s="30" t="s">
        <v>890</v>
      </c>
      <c r="P11368" s="30" t="s">
        <v>9949</v>
      </c>
      <c r="Q11368" t="s">
        <v>620</v>
      </c>
      <c r="R11368" t="s">
        <v>920</v>
      </c>
      <c r="S11368">
        <v>37</v>
      </c>
      <c r="T11368" s="29" t="str">
        <f t="shared" si="473"/>
        <v>2021.036M.R.Rhabdoviridae_sprename.zip</v>
      </c>
      <c r="U11368" s="29" t="str">
        <f>HYPERLINK("https://ictv.global/taxonomy/taxondetails?taxnode_id=202301663","ictv.global=202301663")</f>
        <v>ictv.global=202301663</v>
      </c>
    </row>
    <row r="11369" spans="1:21">
      <c r="A11369">
        <v>11368</v>
      </c>
      <c r="B11369" s="30" t="s">
        <v>1226</v>
      </c>
      <c r="D11369" s="30" t="s">
        <v>2024</v>
      </c>
      <c r="F11369" s="30" t="s">
        <v>1040</v>
      </c>
      <c r="G11369" s="30" t="s">
        <v>1041</v>
      </c>
      <c r="H11369" s="30" t="s">
        <v>1047</v>
      </c>
      <c r="J11369" s="30" t="s">
        <v>255</v>
      </c>
      <c r="L11369" s="30" t="s">
        <v>374</v>
      </c>
      <c r="M11369" s="30" t="s">
        <v>3774</v>
      </c>
      <c r="N11369" s="30" t="s">
        <v>890</v>
      </c>
      <c r="P11369" s="30" t="s">
        <v>9950</v>
      </c>
      <c r="Q11369" t="s">
        <v>620</v>
      </c>
      <c r="R11369" t="s">
        <v>920</v>
      </c>
      <c r="S11369">
        <v>37</v>
      </c>
      <c r="T11369" s="29" t="str">
        <f t="shared" si="473"/>
        <v>2021.036M.R.Rhabdoviridae_sprename.zip</v>
      </c>
      <c r="U11369" s="29" t="str">
        <f>HYPERLINK("https://ictv.global/taxonomy/taxondetails?taxnode_id=202301664","ictv.global=202301664")</f>
        <v>ictv.global=202301664</v>
      </c>
    </row>
    <row r="11370" spans="1:21">
      <c r="A11370">
        <v>11369</v>
      </c>
      <c r="B11370" s="30" t="s">
        <v>1226</v>
      </c>
      <c r="D11370" s="30" t="s">
        <v>2024</v>
      </c>
      <c r="F11370" s="30" t="s">
        <v>1040</v>
      </c>
      <c r="G11370" s="30" t="s">
        <v>1041</v>
      </c>
      <c r="H11370" s="30" t="s">
        <v>1047</v>
      </c>
      <c r="J11370" s="30" t="s">
        <v>255</v>
      </c>
      <c r="L11370" s="30" t="s">
        <v>374</v>
      </c>
      <c r="M11370" s="30" t="s">
        <v>3774</v>
      </c>
      <c r="N11370" s="30" t="s">
        <v>890</v>
      </c>
      <c r="P11370" s="30" t="s">
        <v>9951</v>
      </c>
      <c r="Q11370" t="s">
        <v>620</v>
      </c>
      <c r="R11370" t="s">
        <v>920</v>
      </c>
      <c r="S11370">
        <v>37</v>
      </c>
      <c r="T11370" s="29" t="str">
        <f t="shared" si="473"/>
        <v>2021.036M.R.Rhabdoviridae_sprename.zip</v>
      </c>
      <c r="U11370" s="29" t="str">
        <f>HYPERLINK("https://ictv.global/taxonomy/taxondetails?taxnode_id=202301665","ictv.global=202301665")</f>
        <v>ictv.global=202301665</v>
      </c>
    </row>
    <row r="11371" spans="1:21">
      <c r="A11371">
        <v>11370</v>
      </c>
      <c r="B11371" s="30" t="s">
        <v>1226</v>
      </c>
      <c r="D11371" s="30" t="s">
        <v>2024</v>
      </c>
      <c r="F11371" s="30" t="s">
        <v>1040</v>
      </c>
      <c r="G11371" s="30" t="s">
        <v>1041</v>
      </c>
      <c r="H11371" s="30" t="s">
        <v>1047</v>
      </c>
      <c r="J11371" s="30" t="s">
        <v>255</v>
      </c>
      <c r="L11371" s="30" t="s">
        <v>374</v>
      </c>
      <c r="M11371" s="30" t="s">
        <v>3774</v>
      </c>
      <c r="N11371" s="30" t="s">
        <v>358</v>
      </c>
      <c r="P11371" s="30" t="s">
        <v>9952</v>
      </c>
      <c r="Q11371" t="s">
        <v>620</v>
      </c>
      <c r="R11371" t="s">
        <v>920</v>
      </c>
      <c r="S11371">
        <v>37</v>
      </c>
      <c r="T11371" s="29" t="str">
        <f t="shared" si="473"/>
        <v>2021.036M.R.Rhabdoviridae_sprename.zip</v>
      </c>
      <c r="U11371" s="29" t="str">
        <f>HYPERLINK("https://ictv.global/taxonomy/taxondetails?taxnode_id=202301682","ictv.global=202301682")</f>
        <v>ictv.global=202301682</v>
      </c>
    </row>
    <row r="11372" spans="1:21">
      <c r="A11372">
        <v>11371</v>
      </c>
      <c r="B11372" s="30" t="s">
        <v>1226</v>
      </c>
      <c r="D11372" s="30" t="s">
        <v>2024</v>
      </c>
      <c r="F11372" s="30" t="s">
        <v>1040</v>
      </c>
      <c r="G11372" s="30" t="s">
        <v>1041</v>
      </c>
      <c r="H11372" s="30" t="s">
        <v>1047</v>
      </c>
      <c r="J11372" s="30" t="s">
        <v>255</v>
      </c>
      <c r="L11372" s="30" t="s">
        <v>374</v>
      </c>
      <c r="M11372" s="30" t="s">
        <v>3774</v>
      </c>
      <c r="N11372" s="30" t="s">
        <v>358</v>
      </c>
      <c r="P11372" s="30" t="s">
        <v>9953</v>
      </c>
      <c r="Q11372" t="s">
        <v>620</v>
      </c>
      <c r="R11372" t="s">
        <v>920</v>
      </c>
      <c r="S11372">
        <v>37</v>
      </c>
      <c r="T11372" s="29" t="str">
        <f t="shared" si="473"/>
        <v>2021.036M.R.Rhabdoviridae_sprename.zip</v>
      </c>
      <c r="U11372" s="29" t="str">
        <f>HYPERLINK("https://ictv.global/taxonomy/taxondetails?taxnode_id=202301683","ictv.global=202301683")</f>
        <v>ictv.global=202301683</v>
      </c>
    </row>
    <row r="11373" spans="1:21">
      <c r="A11373">
        <v>11372</v>
      </c>
      <c r="B11373" s="30" t="s">
        <v>1226</v>
      </c>
      <c r="D11373" s="30" t="s">
        <v>2024</v>
      </c>
      <c r="F11373" s="30" t="s">
        <v>1040</v>
      </c>
      <c r="G11373" s="30" t="s">
        <v>1041</v>
      </c>
      <c r="H11373" s="30" t="s">
        <v>1047</v>
      </c>
      <c r="J11373" s="30" t="s">
        <v>255</v>
      </c>
      <c r="L11373" s="30" t="s">
        <v>374</v>
      </c>
      <c r="M11373" s="30" t="s">
        <v>3774</v>
      </c>
      <c r="N11373" s="30" t="s">
        <v>358</v>
      </c>
      <c r="P11373" s="30" t="s">
        <v>9954</v>
      </c>
      <c r="Q11373" t="s">
        <v>620</v>
      </c>
      <c r="R11373" t="s">
        <v>920</v>
      </c>
      <c r="S11373">
        <v>37</v>
      </c>
      <c r="T11373" s="29" t="str">
        <f t="shared" si="473"/>
        <v>2021.036M.R.Rhabdoviridae_sprename.zip</v>
      </c>
      <c r="U11373" s="29" t="str">
        <f>HYPERLINK("https://ictv.global/taxonomy/taxondetails?taxnode_id=202301684","ictv.global=202301684")</f>
        <v>ictv.global=202301684</v>
      </c>
    </row>
    <row r="11374" spans="1:21">
      <c r="A11374">
        <v>11373</v>
      </c>
      <c r="B11374" s="30" t="s">
        <v>1226</v>
      </c>
      <c r="D11374" s="30" t="s">
        <v>2024</v>
      </c>
      <c r="F11374" s="30" t="s">
        <v>1040</v>
      </c>
      <c r="G11374" s="30" t="s">
        <v>1041</v>
      </c>
      <c r="H11374" s="30" t="s">
        <v>1047</v>
      </c>
      <c r="J11374" s="30" t="s">
        <v>255</v>
      </c>
      <c r="L11374" s="30" t="s">
        <v>374</v>
      </c>
      <c r="M11374" s="30" t="s">
        <v>3774</v>
      </c>
      <c r="N11374" s="30" t="s">
        <v>358</v>
      </c>
      <c r="P11374" s="30" t="s">
        <v>9955</v>
      </c>
      <c r="Q11374" t="s">
        <v>620</v>
      </c>
      <c r="R11374" t="s">
        <v>917</v>
      </c>
      <c r="S11374">
        <v>38</v>
      </c>
      <c r="T11374" s="29" t="str">
        <f>HYPERLINK("https://ictv.global/ictv/proposals/2022.008M.Ephemerovirus_2nsp.zip","2022.008M.Ephemerovirus_2nsp.zip")</f>
        <v>2022.008M.Ephemerovirus_2nsp.zip</v>
      </c>
      <c r="U11374" s="29" t="str">
        <f>HYPERLINK("https://ictv.global/taxonomy/taxondetails?taxnode_id=202314177","ictv.global=202314177")</f>
        <v>ictv.global=202314177</v>
      </c>
    </row>
    <row r="11375" spans="1:21">
      <c r="A11375">
        <v>11374</v>
      </c>
      <c r="B11375" s="30" t="s">
        <v>1226</v>
      </c>
      <c r="D11375" s="30" t="s">
        <v>2024</v>
      </c>
      <c r="F11375" s="30" t="s">
        <v>1040</v>
      </c>
      <c r="G11375" s="30" t="s">
        <v>1041</v>
      </c>
      <c r="H11375" s="30" t="s">
        <v>1047</v>
      </c>
      <c r="J11375" s="30" t="s">
        <v>255</v>
      </c>
      <c r="L11375" s="30" t="s">
        <v>374</v>
      </c>
      <c r="M11375" s="30" t="s">
        <v>3774</v>
      </c>
      <c r="N11375" s="30" t="s">
        <v>358</v>
      </c>
      <c r="P11375" s="30" t="s">
        <v>9956</v>
      </c>
      <c r="Q11375" t="s">
        <v>620</v>
      </c>
      <c r="R11375" t="s">
        <v>920</v>
      </c>
      <c r="S11375">
        <v>37</v>
      </c>
      <c r="T11375" s="29" t="str">
        <f>HYPERLINK("https://ictv.global/ictv/proposals/2021.036M.R.Rhabdoviridae_sprename.zip","2021.036M.R.Rhabdoviridae_sprename.zip")</f>
        <v>2021.036M.R.Rhabdoviridae_sprename.zip</v>
      </c>
      <c r="U11375" s="29" t="str">
        <f>HYPERLINK("https://ictv.global/taxonomy/taxondetails?taxnode_id=202309101","ictv.global=202309101")</f>
        <v>ictv.global=202309101</v>
      </c>
    </row>
    <row r="11376" spans="1:21">
      <c r="A11376">
        <v>11375</v>
      </c>
      <c r="B11376" s="30" t="s">
        <v>1226</v>
      </c>
      <c r="D11376" s="30" t="s">
        <v>2024</v>
      </c>
      <c r="F11376" s="30" t="s">
        <v>1040</v>
      </c>
      <c r="G11376" s="30" t="s">
        <v>1041</v>
      </c>
      <c r="H11376" s="30" t="s">
        <v>1047</v>
      </c>
      <c r="J11376" s="30" t="s">
        <v>255</v>
      </c>
      <c r="L11376" s="30" t="s">
        <v>374</v>
      </c>
      <c r="M11376" s="30" t="s">
        <v>3774</v>
      </c>
      <c r="N11376" s="30" t="s">
        <v>358</v>
      </c>
      <c r="P11376" s="30" t="s">
        <v>9957</v>
      </c>
      <c r="Q11376" t="s">
        <v>620</v>
      </c>
      <c r="R11376" t="s">
        <v>917</v>
      </c>
      <c r="S11376">
        <v>38</v>
      </c>
      <c r="T11376" s="29" t="str">
        <f>HYPERLINK("https://ictv.global/ictv/proposals/2022.008M.Ephemerovirus_2nsp.zip","2022.008M.Ephemerovirus_2nsp.zip")</f>
        <v>2022.008M.Ephemerovirus_2nsp.zip</v>
      </c>
      <c r="U11376" s="29" t="str">
        <f>HYPERLINK("https://ictv.global/taxonomy/taxondetails?taxnode_id=202314176","ictv.global=202314176")</f>
        <v>ictv.global=202314176</v>
      </c>
    </row>
    <row r="11377" spans="1:21">
      <c r="A11377">
        <v>11376</v>
      </c>
      <c r="B11377" s="30" t="s">
        <v>1226</v>
      </c>
      <c r="D11377" s="30" t="s">
        <v>2024</v>
      </c>
      <c r="F11377" s="30" t="s">
        <v>1040</v>
      </c>
      <c r="G11377" s="30" t="s">
        <v>1041</v>
      </c>
      <c r="H11377" s="30" t="s">
        <v>1047</v>
      </c>
      <c r="J11377" s="30" t="s">
        <v>255</v>
      </c>
      <c r="L11377" s="30" t="s">
        <v>374</v>
      </c>
      <c r="M11377" s="30" t="s">
        <v>3774</v>
      </c>
      <c r="N11377" s="30" t="s">
        <v>358</v>
      </c>
      <c r="P11377" s="30" t="s">
        <v>17399</v>
      </c>
      <c r="Q11377" t="s">
        <v>620</v>
      </c>
      <c r="R11377" t="s">
        <v>917</v>
      </c>
      <c r="S11377">
        <v>39</v>
      </c>
      <c r="T11377" s="29" t="str">
        <f>HYPERLINK("https://ictv.global/ictv/proposals/2023.010M.Ephemerovirus_1nsp.zip","2023.010M.Ephemerovirus_1nsp.zip")</f>
        <v>2023.010M.Ephemerovirus_1nsp.zip</v>
      </c>
      <c r="U11377" s="29" t="str">
        <f>HYPERLINK("https://ictv.global/taxonomy/taxondetails?taxnode_id=202317949","ictv.global=202317949")</f>
        <v>ictv.global=202317949</v>
      </c>
    </row>
    <row r="11378" spans="1:21">
      <c r="A11378">
        <v>11377</v>
      </c>
      <c r="B11378" s="30" t="s">
        <v>1226</v>
      </c>
      <c r="D11378" s="30" t="s">
        <v>2024</v>
      </c>
      <c r="F11378" s="30" t="s">
        <v>1040</v>
      </c>
      <c r="G11378" s="30" t="s">
        <v>1041</v>
      </c>
      <c r="H11378" s="30" t="s">
        <v>1047</v>
      </c>
      <c r="J11378" s="30" t="s">
        <v>255</v>
      </c>
      <c r="L11378" s="30" t="s">
        <v>374</v>
      </c>
      <c r="M11378" s="30" t="s">
        <v>3774</v>
      </c>
      <c r="N11378" s="30" t="s">
        <v>358</v>
      </c>
      <c r="P11378" s="30" t="s">
        <v>9958</v>
      </c>
      <c r="Q11378" t="s">
        <v>620</v>
      </c>
      <c r="R11378" t="s">
        <v>920</v>
      </c>
      <c r="S11378">
        <v>37</v>
      </c>
      <c r="T11378" s="29" t="str">
        <f t="shared" ref="T11378:T11384" si="474">HYPERLINK("https://ictv.global/ictv/proposals/2021.036M.R.Rhabdoviridae_sprename.zip","2021.036M.R.Rhabdoviridae_sprename.zip")</f>
        <v>2021.036M.R.Rhabdoviridae_sprename.zip</v>
      </c>
      <c r="U11378" s="29" t="str">
        <f>HYPERLINK("https://ictv.global/taxonomy/taxondetails?taxnode_id=202309103","ictv.global=202309103")</f>
        <v>ictv.global=202309103</v>
      </c>
    </row>
    <row r="11379" spans="1:21">
      <c r="A11379">
        <v>11378</v>
      </c>
      <c r="B11379" s="30" t="s">
        <v>1226</v>
      </c>
      <c r="D11379" s="30" t="s">
        <v>2024</v>
      </c>
      <c r="F11379" s="30" t="s">
        <v>1040</v>
      </c>
      <c r="G11379" s="30" t="s">
        <v>1041</v>
      </c>
      <c r="H11379" s="30" t="s">
        <v>1047</v>
      </c>
      <c r="J11379" s="30" t="s">
        <v>255</v>
      </c>
      <c r="L11379" s="30" t="s">
        <v>374</v>
      </c>
      <c r="M11379" s="30" t="s">
        <v>3774</v>
      </c>
      <c r="N11379" s="30" t="s">
        <v>358</v>
      </c>
      <c r="P11379" s="30" t="s">
        <v>9959</v>
      </c>
      <c r="Q11379" t="s">
        <v>620</v>
      </c>
      <c r="R11379" t="s">
        <v>920</v>
      </c>
      <c r="S11379">
        <v>37</v>
      </c>
      <c r="T11379" s="29" t="str">
        <f t="shared" si="474"/>
        <v>2021.036M.R.Rhabdoviridae_sprename.zip</v>
      </c>
      <c r="U11379" s="29" t="str">
        <f>HYPERLINK("https://ictv.global/taxonomy/taxondetails?taxnode_id=202301685","ictv.global=202301685")</f>
        <v>ictv.global=202301685</v>
      </c>
    </row>
    <row r="11380" spans="1:21">
      <c r="A11380">
        <v>11379</v>
      </c>
      <c r="B11380" s="30" t="s">
        <v>1226</v>
      </c>
      <c r="D11380" s="30" t="s">
        <v>2024</v>
      </c>
      <c r="F11380" s="30" t="s">
        <v>1040</v>
      </c>
      <c r="G11380" s="30" t="s">
        <v>1041</v>
      </c>
      <c r="H11380" s="30" t="s">
        <v>1047</v>
      </c>
      <c r="J11380" s="30" t="s">
        <v>255</v>
      </c>
      <c r="L11380" s="30" t="s">
        <v>374</v>
      </c>
      <c r="M11380" s="30" t="s">
        <v>3774</v>
      </c>
      <c r="N11380" s="30" t="s">
        <v>358</v>
      </c>
      <c r="P11380" s="30" t="s">
        <v>9960</v>
      </c>
      <c r="Q11380" t="s">
        <v>620</v>
      </c>
      <c r="R11380" t="s">
        <v>920</v>
      </c>
      <c r="S11380">
        <v>37</v>
      </c>
      <c r="T11380" s="29" t="str">
        <f t="shared" si="474"/>
        <v>2021.036M.R.Rhabdoviridae_sprename.zip</v>
      </c>
      <c r="U11380" s="29" t="str">
        <f>HYPERLINK("https://ictv.global/taxonomy/taxondetails?taxnode_id=202301686","ictv.global=202301686")</f>
        <v>ictv.global=202301686</v>
      </c>
    </row>
    <row r="11381" spans="1:21">
      <c r="A11381">
        <v>11380</v>
      </c>
      <c r="B11381" s="30" t="s">
        <v>1226</v>
      </c>
      <c r="D11381" s="30" t="s">
        <v>2024</v>
      </c>
      <c r="F11381" s="30" t="s">
        <v>1040</v>
      </c>
      <c r="G11381" s="30" t="s">
        <v>1041</v>
      </c>
      <c r="H11381" s="30" t="s">
        <v>1047</v>
      </c>
      <c r="J11381" s="30" t="s">
        <v>255</v>
      </c>
      <c r="L11381" s="30" t="s">
        <v>374</v>
      </c>
      <c r="M11381" s="30" t="s">
        <v>3774</v>
      </c>
      <c r="N11381" s="30" t="s">
        <v>358</v>
      </c>
      <c r="P11381" s="30" t="s">
        <v>9961</v>
      </c>
      <c r="Q11381" t="s">
        <v>620</v>
      </c>
      <c r="R11381" t="s">
        <v>920</v>
      </c>
      <c r="S11381">
        <v>37</v>
      </c>
      <c r="T11381" s="29" t="str">
        <f t="shared" si="474"/>
        <v>2021.036M.R.Rhabdoviridae_sprename.zip</v>
      </c>
      <c r="U11381" s="29" t="str">
        <f>HYPERLINK("https://ictv.global/taxonomy/taxondetails?taxnode_id=202301687","ictv.global=202301687")</f>
        <v>ictv.global=202301687</v>
      </c>
    </row>
    <row r="11382" spans="1:21">
      <c r="A11382">
        <v>11381</v>
      </c>
      <c r="B11382" s="30" t="s">
        <v>1226</v>
      </c>
      <c r="D11382" s="30" t="s">
        <v>2024</v>
      </c>
      <c r="F11382" s="30" t="s">
        <v>1040</v>
      </c>
      <c r="G11382" s="30" t="s">
        <v>1041</v>
      </c>
      <c r="H11382" s="30" t="s">
        <v>1047</v>
      </c>
      <c r="J11382" s="30" t="s">
        <v>255</v>
      </c>
      <c r="L11382" s="30" t="s">
        <v>374</v>
      </c>
      <c r="M11382" s="30" t="s">
        <v>3774</v>
      </c>
      <c r="N11382" s="30" t="s">
        <v>358</v>
      </c>
      <c r="P11382" s="30" t="s">
        <v>9962</v>
      </c>
      <c r="Q11382" t="s">
        <v>620</v>
      </c>
      <c r="R11382" t="s">
        <v>920</v>
      </c>
      <c r="S11382">
        <v>37</v>
      </c>
      <c r="T11382" s="29" t="str">
        <f t="shared" si="474"/>
        <v>2021.036M.R.Rhabdoviridae_sprename.zip</v>
      </c>
      <c r="U11382" s="29" t="str">
        <f>HYPERLINK("https://ictv.global/taxonomy/taxondetails?taxnode_id=202301688","ictv.global=202301688")</f>
        <v>ictv.global=202301688</v>
      </c>
    </row>
    <row r="11383" spans="1:21">
      <c r="A11383">
        <v>11382</v>
      </c>
      <c r="B11383" s="30" t="s">
        <v>1226</v>
      </c>
      <c r="D11383" s="30" t="s">
        <v>2024</v>
      </c>
      <c r="F11383" s="30" t="s">
        <v>1040</v>
      </c>
      <c r="G11383" s="30" t="s">
        <v>1041</v>
      </c>
      <c r="H11383" s="30" t="s">
        <v>1047</v>
      </c>
      <c r="J11383" s="30" t="s">
        <v>255</v>
      </c>
      <c r="L11383" s="30" t="s">
        <v>374</v>
      </c>
      <c r="M11383" s="30" t="s">
        <v>3774</v>
      </c>
      <c r="N11383" s="30" t="s">
        <v>358</v>
      </c>
      <c r="P11383" s="30" t="s">
        <v>9963</v>
      </c>
      <c r="Q11383" t="s">
        <v>620</v>
      </c>
      <c r="R11383" t="s">
        <v>920</v>
      </c>
      <c r="S11383">
        <v>37</v>
      </c>
      <c r="T11383" s="29" t="str">
        <f t="shared" si="474"/>
        <v>2021.036M.R.Rhabdoviridae_sprename.zip</v>
      </c>
      <c r="U11383" s="29" t="str">
        <f>HYPERLINK("https://ictv.global/taxonomy/taxondetails?taxnode_id=202309102","ictv.global=202309102")</f>
        <v>ictv.global=202309102</v>
      </c>
    </row>
    <row r="11384" spans="1:21">
      <c r="A11384">
        <v>11383</v>
      </c>
      <c r="B11384" s="30" t="s">
        <v>1226</v>
      </c>
      <c r="D11384" s="30" t="s">
        <v>2024</v>
      </c>
      <c r="F11384" s="30" t="s">
        <v>1040</v>
      </c>
      <c r="G11384" s="30" t="s">
        <v>1041</v>
      </c>
      <c r="H11384" s="30" t="s">
        <v>1047</v>
      </c>
      <c r="J11384" s="30" t="s">
        <v>255</v>
      </c>
      <c r="L11384" s="30" t="s">
        <v>374</v>
      </c>
      <c r="M11384" s="30" t="s">
        <v>3774</v>
      </c>
      <c r="N11384" s="30" t="s">
        <v>358</v>
      </c>
      <c r="P11384" s="30" t="s">
        <v>9964</v>
      </c>
      <c r="Q11384" t="s">
        <v>620</v>
      </c>
      <c r="R11384" t="s">
        <v>920</v>
      </c>
      <c r="S11384">
        <v>37</v>
      </c>
      <c r="T11384" s="29" t="str">
        <f t="shared" si="474"/>
        <v>2021.036M.R.Rhabdoviridae_sprename.zip</v>
      </c>
      <c r="U11384" s="29" t="str">
        <f>HYPERLINK("https://ictv.global/taxonomy/taxondetails?taxnode_id=202301689","ictv.global=202301689")</f>
        <v>ictv.global=202301689</v>
      </c>
    </row>
    <row r="11385" spans="1:21">
      <c r="A11385">
        <v>11384</v>
      </c>
      <c r="B11385" s="30" t="s">
        <v>1226</v>
      </c>
      <c r="D11385" s="30" t="s">
        <v>2024</v>
      </c>
      <c r="F11385" s="30" t="s">
        <v>1040</v>
      </c>
      <c r="G11385" s="30" t="s">
        <v>1041</v>
      </c>
      <c r="H11385" s="30" t="s">
        <v>1047</v>
      </c>
      <c r="J11385" s="30" t="s">
        <v>255</v>
      </c>
      <c r="L11385" s="30" t="s">
        <v>374</v>
      </c>
      <c r="M11385" s="30" t="s">
        <v>3774</v>
      </c>
      <c r="N11385" s="30" t="s">
        <v>829</v>
      </c>
      <c r="P11385" s="30" t="s">
        <v>9965</v>
      </c>
      <c r="Q11385" t="s">
        <v>620</v>
      </c>
      <c r="R11385" t="s">
        <v>917</v>
      </c>
      <c r="S11385">
        <v>37</v>
      </c>
      <c r="T11385" s="29" t="str">
        <f>HYPERLINK("https://ictv.global/ictv/proposals/2021.004M.R.Alpharhabdovirinae_13nsp.zip","2021.004M.R.Alpharhabdovirinae_13nsp.zip")</f>
        <v>2021.004M.R.Alpharhabdovirinae_13nsp.zip</v>
      </c>
      <c r="U11385" s="29" t="str">
        <f>HYPERLINK("https://ictv.global/taxonomy/taxondetails?taxnode_id=202313335","ictv.global=202313335")</f>
        <v>ictv.global=202313335</v>
      </c>
    </row>
    <row r="11386" spans="1:21">
      <c r="A11386">
        <v>11385</v>
      </c>
      <c r="B11386" s="30" t="s">
        <v>1226</v>
      </c>
      <c r="D11386" s="30" t="s">
        <v>2024</v>
      </c>
      <c r="F11386" s="30" t="s">
        <v>1040</v>
      </c>
      <c r="G11386" s="30" t="s">
        <v>1041</v>
      </c>
      <c r="H11386" s="30" t="s">
        <v>1047</v>
      </c>
      <c r="J11386" s="30" t="s">
        <v>255</v>
      </c>
      <c r="L11386" s="30" t="s">
        <v>374</v>
      </c>
      <c r="M11386" s="30" t="s">
        <v>3774</v>
      </c>
      <c r="N11386" s="30" t="s">
        <v>829</v>
      </c>
      <c r="P11386" s="30" t="s">
        <v>9966</v>
      </c>
      <c r="Q11386" t="s">
        <v>620</v>
      </c>
      <c r="R11386" t="s">
        <v>920</v>
      </c>
      <c r="S11386">
        <v>37</v>
      </c>
      <c r="T11386" s="29" t="str">
        <f t="shared" ref="T11386:T11400" si="475">HYPERLINK("https://ictv.global/ictv/proposals/2021.036M.R.Rhabdoviridae_sprename.zip","2021.036M.R.Rhabdoviridae_sprename.zip")</f>
        <v>2021.036M.R.Rhabdoviridae_sprename.zip</v>
      </c>
      <c r="U11386" s="29" t="str">
        <f>HYPERLINK("https://ictv.global/taxonomy/taxondetails?taxnode_id=202301691","ictv.global=202301691")</f>
        <v>ictv.global=202301691</v>
      </c>
    </row>
    <row r="11387" spans="1:21">
      <c r="A11387">
        <v>11386</v>
      </c>
      <c r="B11387" s="30" t="s">
        <v>1226</v>
      </c>
      <c r="D11387" s="30" t="s">
        <v>2024</v>
      </c>
      <c r="F11387" s="30" t="s">
        <v>1040</v>
      </c>
      <c r="G11387" s="30" t="s">
        <v>1041</v>
      </c>
      <c r="H11387" s="30" t="s">
        <v>1047</v>
      </c>
      <c r="J11387" s="30" t="s">
        <v>255</v>
      </c>
      <c r="L11387" s="30" t="s">
        <v>374</v>
      </c>
      <c r="M11387" s="30" t="s">
        <v>3774</v>
      </c>
      <c r="N11387" s="30" t="s">
        <v>829</v>
      </c>
      <c r="P11387" s="30" t="s">
        <v>9967</v>
      </c>
      <c r="Q11387" t="s">
        <v>620</v>
      </c>
      <c r="R11387" t="s">
        <v>920</v>
      </c>
      <c r="S11387">
        <v>37</v>
      </c>
      <c r="T11387" s="29" t="str">
        <f t="shared" si="475"/>
        <v>2021.036M.R.Rhabdoviridae_sprename.zip</v>
      </c>
      <c r="U11387" s="29" t="str">
        <f>HYPERLINK("https://ictv.global/taxonomy/taxondetails?taxnode_id=202301692","ictv.global=202301692")</f>
        <v>ictv.global=202301692</v>
      </c>
    </row>
    <row r="11388" spans="1:21">
      <c r="A11388">
        <v>11387</v>
      </c>
      <c r="B11388" s="30" t="s">
        <v>1226</v>
      </c>
      <c r="D11388" s="30" t="s">
        <v>2024</v>
      </c>
      <c r="F11388" s="30" t="s">
        <v>1040</v>
      </c>
      <c r="G11388" s="30" t="s">
        <v>1041</v>
      </c>
      <c r="H11388" s="30" t="s">
        <v>1047</v>
      </c>
      <c r="J11388" s="30" t="s">
        <v>255</v>
      </c>
      <c r="L11388" s="30" t="s">
        <v>374</v>
      </c>
      <c r="M11388" s="30" t="s">
        <v>3774</v>
      </c>
      <c r="N11388" s="30" t="s">
        <v>829</v>
      </c>
      <c r="P11388" s="30" t="s">
        <v>9968</v>
      </c>
      <c r="Q11388" t="s">
        <v>620</v>
      </c>
      <c r="R11388" t="s">
        <v>920</v>
      </c>
      <c r="S11388">
        <v>37</v>
      </c>
      <c r="T11388" s="29" t="str">
        <f t="shared" si="475"/>
        <v>2021.036M.R.Rhabdoviridae_sprename.zip</v>
      </c>
      <c r="U11388" s="29" t="str">
        <f>HYPERLINK("https://ictv.global/taxonomy/taxondetails?taxnode_id=202301693","ictv.global=202301693")</f>
        <v>ictv.global=202301693</v>
      </c>
    </row>
    <row r="11389" spans="1:21">
      <c r="A11389">
        <v>11388</v>
      </c>
      <c r="B11389" s="30" t="s">
        <v>1226</v>
      </c>
      <c r="D11389" s="30" t="s">
        <v>2024</v>
      </c>
      <c r="F11389" s="30" t="s">
        <v>1040</v>
      </c>
      <c r="G11389" s="30" t="s">
        <v>1041</v>
      </c>
      <c r="H11389" s="30" t="s">
        <v>1047</v>
      </c>
      <c r="J11389" s="30" t="s">
        <v>255</v>
      </c>
      <c r="L11389" s="30" t="s">
        <v>374</v>
      </c>
      <c r="M11389" s="30" t="s">
        <v>3774</v>
      </c>
      <c r="N11389" s="30" t="s">
        <v>829</v>
      </c>
      <c r="P11389" s="30" t="s">
        <v>9969</v>
      </c>
      <c r="Q11389" t="s">
        <v>620</v>
      </c>
      <c r="R11389" t="s">
        <v>920</v>
      </c>
      <c r="S11389">
        <v>37</v>
      </c>
      <c r="T11389" s="29" t="str">
        <f t="shared" si="475"/>
        <v>2021.036M.R.Rhabdoviridae_sprename.zip</v>
      </c>
      <c r="U11389" s="29" t="str">
        <f>HYPERLINK("https://ictv.global/taxonomy/taxondetails?taxnode_id=202307103","ictv.global=202307103")</f>
        <v>ictv.global=202307103</v>
      </c>
    </row>
    <row r="11390" spans="1:21">
      <c r="A11390">
        <v>11389</v>
      </c>
      <c r="B11390" s="30" t="s">
        <v>1226</v>
      </c>
      <c r="D11390" s="30" t="s">
        <v>2024</v>
      </c>
      <c r="F11390" s="30" t="s">
        <v>1040</v>
      </c>
      <c r="G11390" s="30" t="s">
        <v>1041</v>
      </c>
      <c r="H11390" s="30" t="s">
        <v>1047</v>
      </c>
      <c r="J11390" s="30" t="s">
        <v>255</v>
      </c>
      <c r="L11390" s="30" t="s">
        <v>374</v>
      </c>
      <c r="M11390" s="30" t="s">
        <v>3774</v>
      </c>
      <c r="N11390" s="30" t="s">
        <v>829</v>
      </c>
      <c r="P11390" s="30" t="s">
        <v>9970</v>
      </c>
      <c r="Q11390" t="s">
        <v>620</v>
      </c>
      <c r="R11390" t="s">
        <v>920</v>
      </c>
      <c r="S11390">
        <v>37</v>
      </c>
      <c r="T11390" s="29" t="str">
        <f t="shared" si="475"/>
        <v>2021.036M.R.Rhabdoviridae_sprename.zip</v>
      </c>
      <c r="U11390" s="29" t="str">
        <f>HYPERLINK("https://ictv.global/taxonomy/taxondetails?taxnode_id=202301694","ictv.global=202301694")</f>
        <v>ictv.global=202301694</v>
      </c>
    </row>
    <row r="11391" spans="1:21">
      <c r="A11391">
        <v>11390</v>
      </c>
      <c r="B11391" s="30" t="s">
        <v>1226</v>
      </c>
      <c r="D11391" s="30" t="s">
        <v>2024</v>
      </c>
      <c r="F11391" s="30" t="s">
        <v>1040</v>
      </c>
      <c r="G11391" s="30" t="s">
        <v>1041</v>
      </c>
      <c r="H11391" s="30" t="s">
        <v>1047</v>
      </c>
      <c r="J11391" s="30" t="s">
        <v>255</v>
      </c>
      <c r="L11391" s="30" t="s">
        <v>374</v>
      </c>
      <c r="M11391" s="30" t="s">
        <v>3774</v>
      </c>
      <c r="N11391" s="30" t="s">
        <v>829</v>
      </c>
      <c r="P11391" s="30" t="s">
        <v>9971</v>
      </c>
      <c r="Q11391" t="s">
        <v>620</v>
      </c>
      <c r="R11391" t="s">
        <v>920</v>
      </c>
      <c r="S11391">
        <v>37</v>
      </c>
      <c r="T11391" s="29" t="str">
        <f t="shared" si="475"/>
        <v>2021.036M.R.Rhabdoviridae_sprename.zip</v>
      </c>
      <c r="U11391" s="29" t="str">
        <f>HYPERLINK("https://ictv.global/taxonomy/taxondetails?taxnode_id=202301695","ictv.global=202301695")</f>
        <v>ictv.global=202301695</v>
      </c>
    </row>
    <row r="11392" spans="1:21">
      <c r="A11392">
        <v>11391</v>
      </c>
      <c r="B11392" s="30" t="s">
        <v>1226</v>
      </c>
      <c r="D11392" s="30" t="s">
        <v>2024</v>
      </c>
      <c r="F11392" s="30" t="s">
        <v>1040</v>
      </c>
      <c r="G11392" s="30" t="s">
        <v>1041</v>
      </c>
      <c r="H11392" s="30" t="s">
        <v>1047</v>
      </c>
      <c r="J11392" s="30" t="s">
        <v>255</v>
      </c>
      <c r="L11392" s="30" t="s">
        <v>374</v>
      </c>
      <c r="M11392" s="30" t="s">
        <v>3774</v>
      </c>
      <c r="N11392" s="30" t="s">
        <v>829</v>
      </c>
      <c r="P11392" s="30" t="s">
        <v>9972</v>
      </c>
      <c r="Q11392" t="s">
        <v>620</v>
      </c>
      <c r="R11392" t="s">
        <v>920</v>
      </c>
      <c r="S11392">
        <v>37</v>
      </c>
      <c r="T11392" s="29" t="str">
        <f t="shared" si="475"/>
        <v>2021.036M.R.Rhabdoviridae_sprename.zip</v>
      </c>
      <c r="U11392" s="29" t="str">
        <f>HYPERLINK("https://ictv.global/taxonomy/taxondetails?taxnode_id=202301696","ictv.global=202301696")</f>
        <v>ictv.global=202301696</v>
      </c>
    </row>
    <row r="11393" spans="1:21">
      <c r="A11393">
        <v>11392</v>
      </c>
      <c r="B11393" s="30" t="s">
        <v>1226</v>
      </c>
      <c r="D11393" s="30" t="s">
        <v>2024</v>
      </c>
      <c r="F11393" s="30" t="s">
        <v>1040</v>
      </c>
      <c r="G11393" s="30" t="s">
        <v>1041</v>
      </c>
      <c r="H11393" s="30" t="s">
        <v>1047</v>
      </c>
      <c r="J11393" s="30" t="s">
        <v>255</v>
      </c>
      <c r="L11393" s="30" t="s">
        <v>374</v>
      </c>
      <c r="M11393" s="30" t="s">
        <v>3774</v>
      </c>
      <c r="N11393" s="30" t="s">
        <v>829</v>
      </c>
      <c r="P11393" s="30" t="s">
        <v>9973</v>
      </c>
      <c r="Q11393" t="s">
        <v>620</v>
      </c>
      <c r="R11393" t="s">
        <v>920</v>
      </c>
      <c r="S11393">
        <v>37</v>
      </c>
      <c r="T11393" s="29" t="str">
        <f t="shared" si="475"/>
        <v>2021.036M.R.Rhabdoviridae_sprename.zip</v>
      </c>
      <c r="U11393" s="29" t="str">
        <f>HYPERLINK("https://ictv.global/taxonomy/taxondetails?taxnode_id=202301697","ictv.global=202301697")</f>
        <v>ictv.global=202301697</v>
      </c>
    </row>
    <row r="11394" spans="1:21">
      <c r="A11394">
        <v>11393</v>
      </c>
      <c r="B11394" s="30" t="s">
        <v>1226</v>
      </c>
      <c r="D11394" s="30" t="s">
        <v>2024</v>
      </c>
      <c r="F11394" s="30" t="s">
        <v>1040</v>
      </c>
      <c r="G11394" s="30" t="s">
        <v>1041</v>
      </c>
      <c r="H11394" s="30" t="s">
        <v>1047</v>
      </c>
      <c r="J11394" s="30" t="s">
        <v>255</v>
      </c>
      <c r="L11394" s="30" t="s">
        <v>374</v>
      </c>
      <c r="M11394" s="30" t="s">
        <v>3774</v>
      </c>
      <c r="N11394" s="30" t="s">
        <v>829</v>
      </c>
      <c r="P11394" s="30" t="s">
        <v>9974</v>
      </c>
      <c r="Q11394" t="s">
        <v>620</v>
      </c>
      <c r="R11394" t="s">
        <v>920</v>
      </c>
      <c r="S11394">
        <v>37</v>
      </c>
      <c r="T11394" s="29" t="str">
        <f t="shared" si="475"/>
        <v>2021.036M.R.Rhabdoviridae_sprename.zip</v>
      </c>
      <c r="U11394" s="29" t="str">
        <f>HYPERLINK("https://ictv.global/taxonomy/taxondetails?taxnode_id=202301698","ictv.global=202301698")</f>
        <v>ictv.global=202301698</v>
      </c>
    </row>
    <row r="11395" spans="1:21">
      <c r="A11395">
        <v>11394</v>
      </c>
      <c r="B11395" s="30" t="s">
        <v>1226</v>
      </c>
      <c r="D11395" s="30" t="s">
        <v>2024</v>
      </c>
      <c r="F11395" s="30" t="s">
        <v>1040</v>
      </c>
      <c r="G11395" s="30" t="s">
        <v>1041</v>
      </c>
      <c r="H11395" s="30" t="s">
        <v>1047</v>
      </c>
      <c r="J11395" s="30" t="s">
        <v>255</v>
      </c>
      <c r="L11395" s="30" t="s">
        <v>374</v>
      </c>
      <c r="M11395" s="30" t="s">
        <v>3774</v>
      </c>
      <c r="N11395" s="30" t="s">
        <v>829</v>
      </c>
      <c r="P11395" s="30" t="s">
        <v>9975</v>
      </c>
      <c r="Q11395" t="s">
        <v>620</v>
      </c>
      <c r="R11395" t="s">
        <v>920</v>
      </c>
      <c r="S11395">
        <v>37</v>
      </c>
      <c r="T11395" s="29" t="str">
        <f t="shared" si="475"/>
        <v>2021.036M.R.Rhabdoviridae_sprename.zip</v>
      </c>
      <c r="U11395" s="29" t="str">
        <f>HYPERLINK("https://ictv.global/taxonomy/taxondetails?taxnode_id=202301699","ictv.global=202301699")</f>
        <v>ictv.global=202301699</v>
      </c>
    </row>
    <row r="11396" spans="1:21">
      <c r="A11396">
        <v>11395</v>
      </c>
      <c r="B11396" s="30" t="s">
        <v>1226</v>
      </c>
      <c r="D11396" s="30" t="s">
        <v>2024</v>
      </c>
      <c r="F11396" s="30" t="s">
        <v>1040</v>
      </c>
      <c r="G11396" s="30" t="s">
        <v>1041</v>
      </c>
      <c r="H11396" s="30" t="s">
        <v>1047</v>
      </c>
      <c r="J11396" s="30" t="s">
        <v>255</v>
      </c>
      <c r="L11396" s="30" t="s">
        <v>374</v>
      </c>
      <c r="M11396" s="30" t="s">
        <v>3774</v>
      </c>
      <c r="N11396" s="30" t="s">
        <v>829</v>
      </c>
      <c r="P11396" s="30" t="s">
        <v>9976</v>
      </c>
      <c r="Q11396" t="s">
        <v>620</v>
      </c>
      <c r="R11396" t="s">
        <v>920</v>
      </c>
      <c r="S11396">
        <v>37</v>
      </c>
      <c r="T11396" s="29" t="str">
        <f t="shared" si="475"/>
        <v>2021.036M.R.Rhabdoviridae_sprename.zip</v>
      </c>
      <c r="U11396" s="29" t="str">
        <f>HYPERLINK("https://ictv.global/taxonomy/taxondetails?taxnode_id=202301700","ictv.global=202301700")</f>
        <v>ictv.global=202301700</v>
      </c>
    </row>
    <row r="11397" spans="1:21">
      <c r="A11397">
        <v>11396</v>
      </c>
      <c r="B11397" s="30" t="s">
        <v>1226</v>
      </c>
      <c r="D11397" s="30" t="s">
        <v>2024</v>
      </c>
      <c r="F11397" s="30" t="s">
        <v>1040</v>
      </c>
      <c r="G11397" s="30" t="s">
        <v>1041</v>
      </c>
      <c r="H11397" s="30" t="s">
        <v>1047</v>
      </c>
      <c r="J11397" s="30" t="s">
        <v>255</v>
      </c>
      <c r="L11397" s="30" t="s">
        <v>374</v>
      </c>
      <c r="M11397" s="30" t="s">
        <v>3774</v>
      </c>
      <c r="N11397" s="30" t="s">
        <v>829</v>
      </c>
      <c r="P11397" s="30" t="s">
        <v>9977</v>
      </c>
      <c r="Q11397" t="s">
        <v>620</v>
      </c>
      <c r="R11397" t="s">
        <v>920</v>
      </c>
      <c r="S11397">
        <v>37</v>
      </c>
      <c r="T11397" s="29" t="str">
        <f t="shared" si="475"/>
        <v>2021.036M.R.Rhabdoviridae_sprename.zip</v>
      </c>
      <c r="U11397" s="29" t="str">
        <f>HYPERLINK("https://ictv.global/taxonomy/taxondetails?taxnode_id=202301701","ictv.global=202301701")</f>
        <v>ictv.global=202301701</v>
      </c>
    </row>
    <row r="11398" spans="1:21">
      <c r="A11398">
        <v>11397</v>
      </c>
      <c r="B11398" s="30" t="s">
        <v>1226</v>
      </c>
      <c r="D11398" s="30" t="s">
        <v>2024</v>
      </c>
      <c r="F11398" s="30" t="s">
        <v>1040</v>
      </c>
      <c r="G11398" s="30" t="s">
        <v>1041</v>
      </c>
      <c r="H11398" s="30" t="s">
        <v>1047</v>
      </c>
      <c r="J11398" s="30" t="s">
        <v>255</v>
      </c>
      <c r="L11398" s="30" t="s">
        <v>374</v>
      </c>
      <c r="M11398" s="30" t="s">
        <v>3774</v>
      </c>
      <c r="N11398" s="30" t="s">
        <v>829</v>
      </c>
      <c r="P11398" s="30" t="s">
        <v>9978</v>
      </c>
      <c r="Q11398" t="s">
        <v>620</v>
      </c>
      <c r="R11398" t="s">
        <v>920</v>
      </c>
      <c r="S11398">
        <v>37</v>
      </c>
      <c r="T11398" s="29" t="str">
        <f t="shared" si="475"/>
        <v>2021.036M.R.Rhabdoviridae_sprename.zip</v>
      </c>
      <c r="U11398" s="29" t="str">
        <f>HYPERLINK("https://ictv.global/taxonomy/taxondetails?taxnode_id=202301702","ictv.global=202301702")</f>
        <v>ictv.global=202301702</v>
      </c>
    </row>
    <row r="11399" spans="1:21">
      <c r="A11399">
        <v>11398</v>
      </c>
      <c r="B11399" s="30" t="s">
        <v>1226</v>
      </c>
      <c r="D11399" s="30" t="s">
        <v>2024</v>
      </c>
      <c r="F11399" s="30" t="s">
        <v>1040</v>
      </c>
      <c r="G11399" s="30" t="s">
        <v>1041</v>
      </c>
      <c r="H11399" s="30" t="s">
        <v>1047</v>
      </c>
      <c r="J11399" s="30" t="s">
        <v>255</v>
      </c>
      <c r="L11399" s="30" t="s">
        <v>374</v>
      </c>
      <c r="M11399" s="30" t="s">
        <v>3774</v>
      </c>
      <c r="N11399" s="30" t="s">
        <v>829</v>
      </c>
      <c r="P11399" s="30" t="s">
        <v>9979</v>
      </c>
      <c r="Q11399" t="s">
        <v>620</v>
      </c>
      <c r="R11399" t="s">
        <v>920</v>
      </c>
      <c r="S11399">
        <v>37</v>
      </c>
      <c r="T11399" s="29" t="str">
        <f t="shared" si="475"/>
        <v>2021.036M.R.Rhabdoviridae_sprename.zip</v>
      </c>
      <c r="U11399" s="29" t="str">
        <f>HYPERLINK("https://ictv.global/taxonomy/taxondetails?taxnode_id=202301703","ictv.global=202301703")</f>
        <v>ictv.global=202301703</v>
      </c>
    </row>
    <row r="11400" spans="1:21">
      <c r="A11400">
        <v>11399</v>
      </c>
      <c r="B11400" s="30" t="s">
        <v>1226</v>
      </c>
      <c r="D11400" s="30" t="s">
        <v>2024</v>
      </c>
      <c r="F11400" s="30" t="s">
        <v>1040</v>
      </c>
      <c r="G11400" s="30" t="s">
        <v>1041</v>
      </c>
      <c r="H11400" s="30" t="s">
        <v>1047</v>
      </c>
      <c r="J11400" s="30" t="s">
        <v>255</v>
      </c>
      <c r="L11400" s="30" t="s">
        <v>374</v>
      </c>
      <c r="M11400" s="30" t="s">
        <v>3774</v>
      </c>
      <c r="N11400" s="30" t="s">
        <v>829</v>
      </c>
      <c r="P11400" s="30" t="s">
        <v>9980</v>
      </c>
      <c r="Q11400" t="s">
        <v>620</v>
      </c>
      <c r="R11400" t="s">
        <v>920</v>
      </c>
      <c r="S11400">
        <v>37</v>
      </c>
      <c r="T11400" s="29" t="str">
        <f t="shared" si="475"/>
        <v>2021.036M.R.Rhabdoviridae_sprename.zip</v>
      </c>
      <c r="U11400" s="29" t="str">
        <f>HYPERLINK("https://ictv.global/taxonomy/taxondetails?taxnode_id=202301704","ictv.global=202301704")</f>
        <v>ictv.global=202301704</v>
      </c>
    </row>
    <row r="11401" spans="1:21">
      <c r="A11401">
        <v>11400</v>
      </c>
      <c r="B11401" s="30" t="s">
        <v>1226</v>
      </c>
      <c r="D11401" s="30" t="s">
        <v>2024</v>
      </c>
      <c r="F11401" s="30" t="s">
        <v>1040</v>
      </c>
      <c r="G11401" s="30" t="s">
        <v>1041</v>
      </c>
      <c r="H11401" s="30" t="s">
        <v>1047</v>
      </c>
      <c r="J11401" s="30" t="s">
        <v>255</v>
      </c>
      <c r="L11401" s="30" t="s">
        <v>374</v>
      </c>
      <c r="M11401" s="30" t="s">
        <v>3774</v>
      </c>
      <c r="N11401" s="30" t="s">
        <v>829</v>
      </c>
      <c r="P11401" s="30" t="s">
        <v>9981</v>
      </c>
      <c r="Q11401" t="s">
        <v>620</v>
      </c>
      <c r="R11401" t="s">
        <v>917</v>
      </c>
      <c r="S11401">
        <v>37</v>
      </c>
      <c r="T11401" s="29" t="str">
        <f>HYPERLINK("https://ictv.global/ictv/proposals/2021.004M.R.Alpharhabdovirinae_13nsp.zip","2021.004M.R.Alpharhabdovirinae_13nsp.zip")</f>
        <v>2021.004M.R.Alpharhabdovirinae_13nsp.zip</v>
      </c>
      <c r="U11401" s="29" t="str">
        <f>HYPERLINK("https://ictv.global/taxonomy/taxondetails?taxnode_id=202313334","ictv.global=202313334")</f>
        <v>ictv.global=202313334</v>
      </c>
    </row>
    <row r="11402" spans="1:21">
      <c r="A11402">
        <v>11401</v>
      </c>
      <c r="B11402" s="30" t="s">
        <v>1226</v>
      </c>
      <c r="D11402" s="30" t="s">
        <v>2024</v>
      </c>
      <c r="F11402" s="30" t="s">
        <v>1040</v>
      </c>
      <c r="G11402" s="30" t="s">
        <v>1041</v>
      </c>
      <c r="H11402" s="30" t="s">
        <v>1047</v>
      </c>
      <c r="J11402" s="30" t="s">
        <v>255</v>
      </c>
      <c r="L11402" s="30" t="s">
        <v>374</v>
      </c>
      <c r="M11402" s="30" t="s">
        <v>3774</v>
      </c>
      <c r="N11402" s="30" t="s">
        <v>829</v>
      </c>
      <c r="P11402" s="30" t="s">
        <v>9982</v>
      </c>
      <c r="Q11402" t="s">
        <v>620</v>
      </c>
      <c r="R11402" t="s">
        <v>920</v>
      </c>
      <c r="S11402">
        <v>37</v>
      </c>
      <c r="T11402" s="29" t="str">
        <f t="shared" ref="T11402:T11413" si="476">HYPERLINK("https://ictv.global/ictv/proposals/2021.036M.R.Rhabdoviridae_sprename.zip","2021.036M.R.Rhabdoviridae_sprename.zip")</f>
        <v>2021.036M.R.Rhabdoviridae_sprename.zip</v>
      </c>
      <c r="U11402" s="29" t="str">
        <f>HYPERLINK("https://ictv.global/taxonomy/taxondetails?taxnode_id=202301705","ictv.global=202301705")</f>
        <v>ictv.global=202301705</v>
      </c>
    </row>
    <row r="11403" spans="1:21">
      <c r="A11403">
        <v>11402</v>
      </c>
      <c r="B11403" s="30" t="s">
        <v>1226</v>
      </c>
      <c r="D11403" s="30" t="s">
        <v>2024</v>
      </c>
      <c r="F11403" s="30" t="s">
        <v>1040</v>
      </c>
      <c r="G11403" s="30" t="s">
        <v>1041</v>
      </c>
      <c r="H11403" s="30" t="s">
        <v>1047</v>
      </c>
      <c r="J11403" s="30" t="s">
        <v>255</v>
      </c>
      <c r="L11403" s="30" t="s">
        <v>374</v>
      </c>
      <c r="M11403" s="30" t="s">
        <v>3774</v>
      </c>
      <c r="N11403" s="30" t="s">
        <v>891</v>
      </c>
      <c r="P11403" s="30" t="s">
        <v>9983</v>
      </c>
      <c r="Q11403" t="s">
        <v>620</v>
      </c>
      <c r="R11403" t="s">
        <v>920</v>
      </c>
      <c r="S11403">
        <v>37</v>
      </c>
      <c r="T11403" s="29" t="str">
        <f t="shared" si="476"/>
        <v>2021.036M.R.Rhabdoviridae_sprename.zip</v>
      </c>
      <c r="U11403" s="29" t="str">
        <f>HYPERLINK("https://ictv.global/taxonomy/taxondetails?taxnode_id=202301707","ictv.global=202301707")</f>
        <v>ictv.global=202301707</v>
      </c>
    </row>
    <row r="11404" spans="1:21">
      <c r="A11404">
        <v>11403</v>
      </c>
      <c r="B11404" s="30" t="s">
        <v>1226</v>
      </c>
      <c r="D11404" s="30" t="s">
        <v>2024</v>
      </c>
      <c r="F11404" s="30" t="s">
        <v>1040</v>
      </c>
      <c r="G11404" s="30" t="s">
        <v>1041</v>
      </c>
      <c r="H11404" s="30" t="s">
        <v>1047</v>
      </c>
      <c r="J11404" s="30" t="s">
        <v>255</v>
      </c>
      <c r="L11404" s="30" t="s">
        <v>374</v>
      </c>
      <c r="M11404" s="30" t="s">
        <v>3774</v>
      </c>
      <c r="N11404" s="30" t="s">
        <v>891</v>
      </c>
      <c r="P11404" s="30" t="s">
        <v>9984</v>
      </c>
      <c r="Q11404" t="s">
        <v>620</v>
      </c>
      <c r="R11404" t="s">
        <v>920</v>
      </c>
      <c r="S11404">
        <v>37</v>
      </c>
      <c r="T11404" s="29" t="str">
        <f t="shared" si="476"/>
        <v>2021.036M.R.Rhabdoviridae_sprename.zip</v>
      </c>
      <c r="U11404" s="29" t="str">
        <f>HYPERLINK("https://ictv.global/taxonomy/taxondetails?taxnode_id=202309617","ictv.global=202309617")</f>
        <v>ictv.global=202309617</v>
      </c>
    </row>
    <row r="11405" spans="1:21">
      <c r="A11405">
        <v>11404</v>
      </c>
      <c r="B11405" s="30" t="s">
        <v>1226</v>
      </c>
      <c r="D11405" s="30" t="s">
        <v>2024</v>
      </c>
      <c r="F11405" s="30" t="s">
        <v>1040</v>
      </c>
      <c r="G11405" s="30" t="s">
        <v>1041</v>
      </c>
      <c r="H11405" s="30" t="s">
        <v>1047</v>
      </c>
      <c r="J11405" s="30" t="s">
        <v>255</v>
      </c>
      <c r="L11405" s="30" t="s">
        <v>374</v>
      </c>
      <c r="M11405" s="30" t="s">
        <v>3774</v>
      </c>
      <c r="N11405" s="30" t="s">
        <v>891</v>
      </c>
      <c r="P11405" s="30" t="s">
        <v>9985</v>
      </c>
      <c r="Q11405" t="s">
        <v>620</v>
      </c>
      <c r="R11405" t="s">
        <v>920</v>
      </c>
      <c r="S11405">
        <v>37</v>
      </c>
      <c r="T11405" s="29" t="str">
        <f t="shared" si="476"/>
        <v>2021.036M.R.Rhabdoviridae_sprename.zip</v>
      </c>
      <c r="U11405" s="29" t="str">
        <f>HYPERLINK("https://ictv.global/taxonomy/taxondetails?taxnode_id=202301715","ictv.global=202301715")</f>
        <v>ictv.global=202301715</v>
      </c>
    </row>
    <row r="11406" spans="1:21">
      <c r="A11406">
        <v>11405</v>
      </c>
      <c r="B11406" s="30" t="s">
        <v>1226</v>
      </c>
      <c r="D11406" s="30" t="s">
        <v>2024</v>
      </c>
      <c r="F11406" s="30" t="s">
        <v>1040</v>
      </c>
      <c r="G11406" s="30" t="s">
        <v>1041</v>
      </c>
      <c r="H11406" s="30" t="s">
        <v>1047</v>
      </c>
      <c r="J11406" s="30" t="s">
        <v>255</v>
      </c>
      <c r="L11406" s="30" t="s">
        <v>374</v>
      </c>
      <c r="M11406" s="30" t="s">
        <v>3774</v>
      </c>
      <c r="N11406" s="30" t="s">
        <v>891</v>
      </c>
      <c r="P11406" s="30" t="s">
        <v>9986</v>
      </c>
      <c r="Q11406" t="s">
        <v>620</v>
      </c>
      <c r="R11406" t="s">
        <v>920</v>
      </c>
      <c r="S11406">
        <v>37</v>
      </c>
      <c r="T11406" s="29" t="str">
        <f t="shared" si="476"/>
        <v>2021.036M.R.Rhabdoviridae_sprename.zip</v>
      </c>
      <c r="U11406" s="29" t="str">
        <f>HYPERLINK("https://ictv.global/taxonomy/taxondetails?taxnode_id=202301708","ictv.global=202301708")</f>
        <v>ictv.global=202301708</v>
      </c>
    </row>
    <row r="11407" spans="1:21">
      <c r="A11407">
        <v>11406</v>
      </c>
      <c r="B11407" s="30" t="s">
        <v>1226</v>
      </c>
      <c r="D11407" s="30" t="s">
        <v>2024</v>
      </c>
      <c r="F11407" s="30" t="s">
        <v>1040</v>
      </c>
      <c r="G11407" s="30" t="s">
        <v>1041</v>
      </c>
      <c r="H11407" s="30" t="s">
        <v>1047</v>
      </c>
      <c r="J11407" s="30" t="s">
        <v>255</v>
      </c>
      <c r="L11407" s="30" t="s">
        <v>374</v>
      </c>
      <c r="M11407" s="30" t="s">
        <v>3774</v>
      </c>
      <c r="N11407" s="30" t="s">
        <v>891</v>
      </c>
      <c r="P11407" s="30" t="s">
        <v>9987</v>
      </c>
      <c r="Q11407" t="s">
        <v>620</v>
      </c>
      <c r="R11407" t="s">
        <v>920</v>
      </c>
      <c r="S11407">
        <v>37</v>
      </c>
      <c r="T11407" s="29" t="str">
        <f t="shared" si="476"/>
        <v>2021.036M.R.Rhabdoviridae_sprename.zip</v>
      </c>
      <c r="U11407" s="29" t="str">
        <f>HYPERLINK("https://ictv.global/taxonomy/taxondetails?taxnode_id=202301709","ictv.global=202301709")</f>
        <v>ictv.global=202301709</v>
      </c>
    </row>
    <row r="11408" spans="1:21">
      <c r="A11408">
        <v>11407</v>
      </c>
      <c r="B11408" s="30" t="s">
        <v>1226</v>
      </c>
      <c r="D11408" s="30" t="s">
        <v>2024</v>
      </c>
      <c r="F11408" s="30" t="s">
        <v>1040</v>
      </c>
      <c r="G11408" s="30" t="s">
        <v>1041</v>
      </c>
      <c r="H11408" s="30" t="s">
        <v>1047</v>
      </c>
      <c r="J11408" s="30" t="s">
        <v>255</v>
      </c>
      <c r="L11408" s="30" t="s">
        <v>374</v>
      </c>
      <c r="M11408" s="30" t="s">
        <v>3774</v>
      </c>
      <c r="N11408" s="30" t="s">
        <v>891</v>
      </c>
      <c r="P11408" s="30" t="s">
        <v>9988</v>
      </c>
      <c r="Q11408" t="s">
        <v>620</v>
      </c>
      <c r="R11408" t="s">
        <v>920</v>
      </c>
      <c r="S11408">
        <v>37</v>
      </c>
      <c r="T11408" s="29" t="str">
        <f t="shared" si="476"/>
        <v>2021.036M.R.Rhabdoviridae_sprename.zip</v>
      </c>
      <c r="U11408" s="29" t="str">
        <f>HYPERLINK("https://ictv.global/taxonomy/taxondetails?taxnode_id=202305580","ictv.global=202305580")</f>
        <v>ictv.global=202305580</v>
      </c>
    </row>
    <row r="11409" spans="1:21">
      <c r="A11409">
        <v>11408</v>
      </c>
      <c r="B11409" s="30" t="s">
        <v>1226</v>
      </c>
      <c r="D11409" s="30" t="s">
        <v>2024</v>
      </c>
      <c r="F11409" s="30" t="s">
        <v>1040</v>
      </c>
      <c r="G11409" s="30" t="s">
        <v>1041</v>
      </c>
      <c r="H11409" s="30" t="s">
        <v>1047</v>
      </c>
      <c r="J11409" s="30" t="s">
        <v>255</v>
      </c>
      <c r="L11409" s="30" t="s">
        <v>374</v>
      </c>
      <c r="M11409" s="30" t="s">
        <v>3774</v>
      </c>
      <c r="N11409" s="30" t="s">
        <v>891</v>
      </c>
      <c r="P11409" s="30" t="s">
        <v>9989</v>
      </c>
      <c r="Q11409" t="s">
        <v>620</v>
      </c>
      <c r="R11409" t="s">
        <v>920</v>
      </c>
      <c r="S11409">
        <v>37</v>
      </c>
      <c r="T11409" s="29" t="str">
        <f t="shared" si="476"/>
        <v>2021.036M.R.Rhabdoviridae_sprename.zip</v>
      </c>
      <c r="U11409" s="29" t="str">
        <f>HYPERLINK("https://ictv.global/taxonomy/taxondetails?taxnode_id=202301710","ictv.global=202301710")</f>
        <v>ictv.global=202301710</v>
      </c>
    </row>
    <row r="11410" spans="1:21">
      <c r="A11410">
        <v>11409</v>
      </c>
      <c r="B11410" s="30" t="s">
        <v>1226</v>
      </c>
      <c r="D11410" s="30" t="s">
        <v>2024</v>
      </c>
      <c r="F11410" s="30" t="s">
        <v>1040</v>
      </c>
      <c r="G11410" s="30" t="s">
        <v>1041</v>
      </c>
      <c r="H11410" s="30" t="s">
        <v>1047</v>
      </c>
      <c r="J11410" s="30" t="s">
        <v>255</v>
      </c>
      <c r="L11410" s="30" t="s">
        <v>374</v>
      </c>
      <c r="M11410" s="30" t="s">
        <v>3774</v>
      </c>
      <c r="N11410" s="30" t="s">
        <v>891</v>
      </c>
      <c r="P11410" s="30" t="s">
        <v>9990</v>
      </c>
      <c r="Q11410" t="s">
        <v>620</v>
      </c>
      <c r="R11410" t="s">
        <v>920</v>
      </c>
      <c r="S11410">
        <v>37</v>
      </c>
      <c r="T11410" s="29" t="str">
        <f t="shared" si="476"/>
        <v>2021.036M.R.Rhabdoviridae_sprename.zip</v>
      </c>
      <c r="U11410" s="29" t="str">
        <f>HYPERLINK("https://ictv.global/taxonomy/taxondetails?taxnode_id=202301711","ictv.global=202301711")</f>
        <v>ictv.global=202301711</v>
      </c>
    </row>
    <row r="11411" spans="1:21">
      <c r="A11411">
        <v>11410</v>
      </c>
      <c r="B11411" s="30" t="s">
        <v>1226</v>
      </c>
      <c r="D11411" s="30" t="s">
        <v>2024</v>
      </c>
      <c r="F11411" s="30" t="s">
        <v>1040</v>
      </c>
      <c r="G11411" s="30" t="s">
        <v>1041</v>
      </c>
      <c r="H11411" s="30" t="s">
        <v>1047</v>
      </c>
      <c r="J11411" s="30" t="s">
        <v>255</v>
      </c>
      <c r="L11411" s="30" t="s">
        <v>374</v>
      </c>
      <c r="M11411" s="30" t="s">
        <v>3774</v>
      </c>
      <c r="N11411" s="30" t="s">
        <v>891</v>
      </c>
      <c r="P11411" s="30" t="s">
        <v>9991</v>
      </c>
      <c r="Q11411" t="s">
        <v>620</v>
      </c>
      <c r="R11411" t="s">
        <v>920</v>
      </c>
      <c r="S11411">
        <v>37</v>
      </c>
      <c r="T11411" s="29" t="str">
        <f t="shared" si="476"/>
        <v>2021.036M.R.Rhabdoviridae_sprename.zip</v>
      </c>
      <c r="U11411" s="29" t="str">
        <f>HYPERLINK("https://ictv.global/taxonomy/taxondetails?taxnode_id=202301712","ictv.global=202301712")</f>
        <v>ictv.global=202301712</v>
      </c>
    </row>
    <row r="11412" spans="1:21">
      <c r="A11412">
        <v>11411</v>
      </c>
      <c r="B11412" s="30" t="s">
        <v>1226</v>
      </c>
      <c r="D11412" s="30" t="s">
        <v>2024</v>
      </c>
      <c r="F11412" s="30" t="s">
        <v>1040</v>
      </c>
      <c r="G11412" s="30" t="s">
        <v>1041</v>
      </c>
      <c r="H11412" s="30" t="s">
        <v>1047</v>
      </c>
      <c r="J11412" s="30" t="s">
        <v>255</v>
      </c>
      <c r="L11412" s="30" t="s">
        <v>374</v>
      </c>
      <c r="M11412" s="30" t="s">
        <v>3774</v>
      </c>
      <c r="N11412" s="30" t="s">
        <v>891</v>
      </c>
      <c r="P11412" s="30" t="s">
        <v>9992</v>
      </c>
      <c r="Q11412" t="s">
        <v>620</v>
      </c>
      <c r="R11412" t="s">
        <v>920</v>
      </c>
      <c r="S11412">
        <v>37</v>
      </c>
      <c r="T11412" s="29" t="str">
        <f t="shared" si="476"/>
        <v>2021.036M.R.Rhabdoviridae_sprename.zip</v>
      </c>
      <c r="U11412" s="29" t="str">
        <f>HYPERLINK("https://ictv.global/taxonomy/taxondetails?taxnode_id=202301713","ictv.global=202301713")</f>
        <v>ictv.global=202301713</v>
      </c>
    </row>
    <row r="11413" spans="1:21">
      <c r="A11413">
        <v>11412</v>
      </c>
      <c r="B11413" s="30" t="s">
        <v>1226</v>
      </c>
      <c r="D11413" s="30" t="s">
        <v>2024</v>
      </c>
      <c r="F11413" s="30" t="s">
        <v>1040</v>
      </c>
      <c r="G11413" s="30" t="s">
        <v>1041</v>
      </c>
      <c r="H11413" s="30" t="s">
        <v>1047</v>
      </c>
      <c r="J11413" s="30" t="s">
        <v>255</v>
      </c>
      <c r="L11413" s="30" t="s">
        <v>374</v>
      </c>
      <c r="M11413" s="30" t="s">
        <v>3774</v>
      </c>
      <c r="N11413" s="30" t="s">
        <v>891</v>
      </c>
      <c r="P11413" s="30" t="s">
        <v>9993</v>
      </c>
      <c r="Q11413" t="s">
        <v>620</v>
      </c>
      <c r="R11413" t="s">
        <v>920</v>
      </c>
      <c r="S11413">
        <v>37</v>
      </c>
      <c r="T11413" s="29" t="str">
        <f t="shared" si="476"/>
        <v>2021.036M.R.Rhabdoviridae_sprename.zip</v>
      </c>
      <c r="U11413" s="29" t="str">
        <f>HYPERLINK("https://ictv.global/taxonomy/taxondetails?taxnode_id=202301714","ictv.global=202301714")</f>
        <v>ictv.global=202301714</v>
      </c>
    </row>
    <row r="11414" spans="1:21">
      <c r="A11414">
        <v>11413</v>
      </c>
      <c r="B11414" s="30" t="s">
        <v>1226</v>
      </c>
      <c r="D11414" s="30" t="s">
        <v>2024</v>
      </c>
      <c r="F11414" s="30" t="s">
        <v>1040</v>
      </c>
      <c r="G11414" s="30" t="s">
        <v>1041</v>
      </c>
      <c r="H11414" s="30" t="s">
        <v>1047</v>
      </c>
      <c r="J11414" s="30" t="s">
        <v>255</v>
      </c>
      <c r="L11414" s="30" t="s">
        <v>374</v>
      </c>
      <c r="M11414" s="30" t="s">
        <v>3774</v>
      </c>
      <c r="N11414" s="30" t="s">
        <v>891</v>
      </c>
      <c r="P11414" s="30" t="s">
        <v>9994</v>
      </c>
      <c r="Q11414" t="s">
        <v>620</v>
      </c>
      <c r="R11414" t="s">
        <v>917</v>
      </c>
      <c r="S11414">
        <v>38</v>
      </c>
      <c r="T11414" s="29" t="str">
        <f>HYPERLINK("https://ictv.global/ictv/proposals/2022.002M.Alpharhabdovirinae_1ngen14nsp.zip","2022.002M.Alpharhabdovirinae_1ngen14nsp.zip")</f>
        <v>2022.002M.Alpharhabdovirinae_1ngen14nsp.zip</v>
      </c>
      <c r="U11414" s="29" t="str">
        <f>HYPERLINK("https://ictv.global/taxonomy/taxondetails?taxnode_id=202314156","ictv.global=202314156")</f>
        <v>ictv.global=202314156</v>
      </c>
    </row>
    <row r="11415" spans="1:21">
      <c r="A11415">
        <v>11414</v>
      </c>
      <c r="B11415" s="30" t="s">
        <v>1226</v>
      </c>
      <c r="D11415" s="30" t="s">
        <v>2024</v>
      </c>
      <c r="F11415" s="30" t="s">
        <v>1040</v>
      </c>
      <c r="G11415" s="30" t="s">
        <v>1041</v>
      </c>
      <c r="H11415" s="30" t="s">
        <v>1047</v>
      </c>
      <c r="J11415" s="30" t="s">
        <v>255</v>
      </c>
      <c r="L11415" s="30" t="s">
        <v>374</v>
      </c>
      <c r="M11415" s="30" t="s">
        <v>3774</v>
      </c>
      <c r="N11415" s="30" t="s">
        <v>891</v>
      </c>
      <c r="P11415" s="30" t="s">
        <v>9995</v>
      </c>
      <c r="Q11415" t="s">
        <v>620</v>
      </c>
      <c r="R11415" t="s">
        <v>920</v>
      </c>
      <c r="S11415">
        <v>37</v>
      </c>
      <c r="T11415" s="29" t="str">
        <f>HYPERLINK("https://ictv.global/ictv/proposals/2021.036M.R.Rhabdoviridae_sprename.zip","2021.036M.R.Rhabdoviridae_sprename.zip")</f>
        <v>2021.036M.R.Rhabdoviridae_sprename.zip</v>
      </c>
      <c r="U11415" s="29" t="str">
        <f>HYPERLINK("https://ictv.global/taxonomy/taxondetails?taxnode_id=202301716","ictv.global=202301716")</f>
        <v>ictv.global=202301716</v>
      </c>
    </row>
    <row r="11416" spans="1:21">
      <c r="A11416">
        <v>11415</v>
      </c>
      <c r="B11416" s="30" t="s">
        <v>1226</v>
      </c>
      <c r="D11416" s="30" t="s">
        <v>2024</v>
      </c>
      <c r="F11416" s="30" t="s">
        <v>1040</v>
      </c>
      <c r="G11416" s="30" t="s">
        <v>1041</v>
      </c>
      <c r="H11416" s="30" t="s">
        <v>1047</v>
      </c>
      <c r="J11416" s="30" t="s">
        <v>255</v>
      </c>
      <c r="L11416" s="30" t="s">
        <v>374</v>
      </c>
      <c r="M11416" s="30" t="s">
        <v>3774</v>
      </c>
      <c r="N11416" s="30" t="s">
        <v>891</v>
      </c>
      <c r="P11416" s="30" t="s">
        <v>9996</v>
      </c>
      <c r="Q11416" t="s">
        <v>620</v>
      </c>
      <c r="R11416" t="s">
        <v>920</v>
      </c>
      <c r="S11416">
        <v>37</v>
      </c>
      <c r="T11416" s="29" t="str">
        <f>HYPERLINK("https://ictv.global/ictv/proposals/2021.036M.R.Rhabdoviridae_sprename.zip","2021.036M.R.Rhabdoviridae_sprename.zip")</f>
        <v>2021.036M.R.Rhabdoviridae_sprename.zip</v>
      </c>
      <c r="U11416" s="29" t="str">
        <f>HYPERLINK("https://ictv.global/taxonomy/taxondetails?taxnode_id=202301717","ictv.global=202301717")</f>
        <v>ictv.global=202301717</v>
      </c>
    </row>
    <row r="11417" spans="1:21">
      <c r="A11417">
        <v>11416</v>
      </c>
      <c r="B11417" s="30" t="s">
        <v>1226</v>
      </c>
      <c r="D11417" s="30" t="s">
        <v>2024</v>
      </c>
      <c r="F11417" s="30" t="s">
        <v>1040</v>
      </c>
      <c r="G11417" s="30" t="s">
        <v>1041</v>
      </c>
      <c r="H11417" s="30" t="s">
        <v>1047</v>
      </c>
      <c r="J11417" s="30" t="s">
        <v>255</v>
      </c>
      <c r="L11417" s="30" t="s">
        <v>374</v>
      </c>
      <c r="M11417" s="30" t="s">
        <v>3774</v>
      </c>
      <c r="N11417" s="30" t="s">
        <v>891</v>
      </c>
      <c r="P11417" s="30" t="s">
        <v>9997</v>
      </c>
      <c r="Q11417" t="s">
        <v>620</v>
      </c>
      <c r="R11417" t="s">
        <v>920</v>
      </c>
      <c r="S11417">
        <v>37</v>
      </c>
      <c r="T11417" s="29" t="str">
        <f>HYPERLINK("https://ictv.global/ictv/proposals/2021.036M.R.Rhabdoviridae_sprename.zip","2021.036M.R.Rhabdoviridae_sprename.zip")</f>
        <v>2021.036M.R.Rhabdoviridae_sprename.zip</v>
      </c>
      <c r="U11417" s="29" t="str">
        <f>HYPERLINK("https://ictv.global/taxonomy/taxondetails?taxnode_id=202301718","ictv.global=202301718")</f>
        <v>ictv.global=202301718</v>
      </c>
    </row>
    <row r="11418" spans="1:21">
      <c r="A11418">
        <v>11417</v>
      </c>
      <c r="B11418" s="30" t="s">
        <v>1226</v>
      </c>
      <c r="D11418" s="30" t="s">
        <v>2024</v>
      </c>
      <c r="F11418" s="30" t="s">
        <v>1040</v>
      </c>
      <c r="G11418" s="30" t="s">
        <v>1041</v>
      </c>
      <c r="H11418" s="30" t="s">
        <v>1047</v>
      </c>
      <c r="J11418" s="30" t="s">
        <v>255</v>
      </c>
      <c r="L11418" s="30" t="s">
        <v>374</v>
      </c>
      <c r="M11418" s="30" t="s">
        <v>3774</v>
      </c>
      <c r="N11418" s="30" t="s">
        <v>891</v>
      </c>
      <c r="P11418" s="30" t="s">
        <v>9998</v>
      </c>
      <c r="Q11418" t="s">
        <v>620</v>
      </c>
      <c r="R11418" t="s">
        <v>917</v>
      </c>
      <c r="S11418">
        <v>37</v>
      </c>
      <c r="T11418" s="29" t="str">
        <f>HYPERLINK("https://ictv.global/ictv/proposals/2021.004M.R.Alpharhabdovirinae_13nsp.zip","2021.004M.R.Alpharhabdovirinae_13nsp.zip")</f>
        <v>2021.004M.R.Alpharhabdovirinae_13nsp.zip</v>
      </c>
      <c r="U11418" s="29" t="str">
        <f>HYPERLINK("https://ictv.global/taxonomy/taxondetails?taxnode_id=202313325","ictv.global=202313325")</f>
        <v>ictv.global=202313325</v>
      </c>
    </row>
    <row r="11419" spans="1:21">
      <c r="A11419">
        <v>11418</v>
      </c>
      <c r="B11419" s="30" t="s">
        <v>1226</v>
      </c>
      <c r="D11419" s="30" t="s">
        <v>2024</v>
      </c>
      <c r="F11419" s="30" t="s">
        <v>1040</v>
      </c>
      <c r="G11419" s="30" t="s">
        <v>1041</v>
      </c>
      <c r="H11419" s="30" t="s">
        <v>1047</v>
      </c>
      <c r="J11419" s="30" t="s">
        <v>255</v>
      </c>
      <c r="L11419" s="30" t="s">
        <v>374</v>
      </c>
      <c r="M11419" s="30" t="s">
        <v>3774</v>
      </c>
      <c r="N11419" s="30" t="s">
        <v>891</v>
      </c>
      <c r="P11419" s="30" t="s">
        <v>17400</v>
      </c>
      <c r="Q11419" t="s">
        <v>620</v>
      </c>
      <c r="R11419" t="s">
        <v>917</v>
      </c>
      <c r="S11419">
        <v>39</v>
      </c>
      <c r="T11419" s="29" t="str">
        <f>HYPERLINK("https://ictv.global/ictv/proposals/2023.003M.Alpharhabdovirinae_8nsp.zip","2023.003M.Alpharhabdovirinae_8nsp.zip")</f>
        <v>2023.003M.Alpharhabdovirinae_8nsp.zip</v>
      </c>
      <c r="U11419" s="29" t="str">
        <f>HYPERLINK("https://ictv.global/taxonomy/taxondetails?taxnode_id=202317778","ictv.global=202317778")</f>
        <v>ictv.global=202317778</v>
      </c>
    </row>
    <row r="11420" spans="1:21">
      <c r="A11420">
        <v>11419</v>
      </c>
      <c r="B11420" s="30" t="s">
        <v>1226</v>
      </c>
      <c r="D11420" s="30" t="s">
        <v>2024</v>
      </c>
      <c r="F11420" s="30" t="s">
        <v>1040</v>
      </c>
      <c r="G11420" s="30" t="s">
        <v>1041</v>
      </c>
      <c r="H11420" s="30" t="s">
        <v>1047</v>
      </c>
      <c r="J11420" s="30" t="s">
        <v>255</v>
      </c>
      <c r="L11420" s="30" t="s">
        <v>374</v>
      </c>
      <c r="M11420" s="30" t="s">
        <v>3774</v>
      </c>
      <c r="N11420" s="30" t="s">
        <v>891</v>
      </c>
      <c r="P11420" s="30" t="s">
        <v>9999</v>
      </c>
      <c r="Q11420" t="s">
        <v>620</v>
      </c>
      <c r="R11420" t="s">
        <v>920</v>
      </c>
      <c r="S11420">
        <v>37</v>
      </c>
      <c r="T11420" s="29" t="str">
        <f>HYPERLINK("https://ictv.global/ictv/proposals/2021.036M.R.Rhabdoviridae_sprename.zip","2021.036M.R.Rhabdoviridae_sprename.zip")</f>
        <v>2021.036M.R.Rhabdoviridae_sprename.zip</v>
      </c>
      <c r="U11420" s="29" t="str">
        <f>HYPERLINK("https://ictv.global/taxonomy/taxondetails?taxnode_id=202306313","ictv.global=202306313")</f>
        <v>ictv.global=202306313</v>
      </c>
    </row>
    <row r="11421" spans="1:21">
      <c r="A11421">
        <v>11420</v>
      </c>
      <c r="B11421" s="30" t="s">
        <v>1226</v>
      </c>
      <c r="D11421" s="30" t="s">
        <v>2024</v>
      </c>
      <c r="F11421" s="30" t="s">
        <v>1040</v>
      </c>
      <c r="G11421" s="30" t="s">
        <v>1041</v>
      </c>
      <c r="H11421" s="30" t="s">
        <v>1047</v>
      </c>
      <c r="J11421" s="30" t="s">
        <v>255</v>
      </c>
      <c r="L11421" s="30" t="s">
        <v>374</v>
      </c>
      <c r="M11421" s="30" t="s">
        <v>3774</v>
      </c>
      <c r="N11421" s="30" t="s">
        <v>891</v>
      </c>
      <c r="P11421" s="30" t="s">
        <v>10000</v>
      </c>
      <c r="Q11421" t="s">
        <v>620</v>
      </c>
      <c r="R11421" t="s">
        <v>917</v>
      </c>
      <c r="S11421">
        <v>38</v>
      </c>
      <c r="T11421" s="29" t="str">
        <f>HYPERLINK("https://ictv.global/ictv/proposals/2022.002M.Alpharhabdovirinae_1ngen14nsp.zip","2022.002M.Alpharhabdovirinae_1ngen14nsp.zip")</f>
        <v>2022.002M.Alpharhabdovirinae_1ngen14nsp.zip</v>
      </c>
      <c r="U11421" s="29" t="str">
        <f>HYPERLINK("https://ictv.global/taxonomy/taxondetails?taxnode_id=202314155","ictv.global=202314155")</f>
        <v>ictv.global=202314155</v>
      </c>
    </row>
    <row r="11422" spans="1:21">
      <c r="A11422">
        <v>11421</v>
      </c>
      <c r="B11422" s="30" t="s">
        <v>1226</v>
      </c>
      <c r="D11422" s="30" t="s">
        <v>2024</v>
      </c>
      <c r="F11422" s="30" t="s">
        <v>1040</v>
      </c>
      <c r="G11422" s="30" t="s">
        <v>1041</v>
      </c>
      <c r="H11422" s="30" t="s">
        <v>1047</v>
      </c>
      <c r="J11422" s="30" t="s">
        <v>255</v>
      </c>
      <c r="L11422" s="30" t="s">
        <v>374</v>
      </c>
      <c r="M11422" s="30" t="s">
        <v>3774</v>
      </c>
      <c r="N11422" s="30" t="s">
        <v>891</v>
      </c>
      <c r="P11422" s="30" t="s">
        <v>10001</v>
      </c>
      <c r="Q11422" t="s">
        <v>620</v>
      </c>
      <c r="R11422" t="s">
        <v>920</v>
      </c>
      <c r="S11422">
        <v>37</v>
      </c>
      <c r="T11422" s="29" t="str">
        <f>HYPERLINK("https://ictv.global/ictv/proposals/2021.036M.R.Rhabdoviridae_sprename.zip","2021.036M.R.Rhabdoviridae_sprename.zip")</f>
        <v>2021.036M.R.Rhabdoviridae_sprename.zip</v>
      </c>
      <c r="U11422" s="29" t="str">
        <f>HYPERLINK("https://ictv.global/taxonomy/taxondetails?taxnode_id=202301719","ictv.global=202301719")</f>
        <v>ictv.global=202301719</v>
      </c>
    </row>
    <row r="11423" spans="1:21">
      <c r="A11423">
        <v>11422</v>
      </c>
      <c r="B11423" s="30" t="s">
        <v>1226</v>
      </c>
      <c r="D11423" s="30" t="s">
        <v>2024</v>
      </c>
      <c r="F11423" s="30" t="s">
        <v>1040</v>
      </c>
      <c r="G11423" s="30" t="s">
        <v>1041</v>
      </c>
      <c r="H11423" s="30" t="s">
        <v>1047</v>
      </c>
      <c r="J11423" s="30" t="s">
        <v>255</v>
      </c>
      <c r="L11423" s="30" t="s">
        <v>374</v>
      </c>
      <c r="M11423" s="30" t="s">
        <v>3774</v>
      </c>
      <c r="N11423" s="30" t="s">
        <v>891</v>
      </c>
      <c r="P11423" s="30" t="s">
        <v>10002</v>
      </c>
      <c r="Q11423" t="s">
        <v>620</v>
      </c>
      <c r="R11423" t="s">
        <v>920</v>
      </c>
      <c r="S11423">
        <v>37</v>
      </c>
      <c r="T11423" s="29" t="str">
        <f>HYPERLINK("https://ictv.global/ictv/proposals/2021.036M.R.Rhabdoviridae_sprename.zip","2021.036M.R.Rhabdoviridae_sprename.zip")</f>
        <v>2021.036M.R.Rhabdoviridae_sprename.zip</v>
      </c>
      <c r="U11423" s="29" t="str">
        <f>HYPERLINK("https://ictv.global/taxonomy/taxondetails?taxnode_id=202301720","ictv.global=202301720")</f>
        <v>ictv.global=202301720</v>
      </c>
    </row>
    <row r="11424" spans="1:21">
      <c r="A11424">
        <v>11423</v>
      </c>
      <c r="B11424" s="30" t="s">
        <v>1226</v>
      </c>
      <c r="D11424" s="30" t="s">
        <v>2024</v>
      </c>
      <c r="F11424" s="30" t="s">
        <v>1040</v>
      </c>
      <c r="G11424" s="30" t="s">
        <v>1041</v>
      </c>
      <c r="H11424" s="30" t="s">
        <v>1047</v>
      </c>
      <c r="J11424" s="30" t="s">
        <v>255</v>
      </c>
      <c r="L11424" s="30" t="s">
        <v>374</v>
      </c>
      <c r="M11424" s="30" t="s">
        <v>3774</v>
      </c>
      <c r="N11424" s="30" t="s">
        <v>2182</v>
      </c>
      <c r="P11424" s="30" t="s">
        <v>17401</v>
      </c>
      <c r="Q11424" t="s">
        <v>620</v>
      </c>
      <c r="R11424" t="s">
        <v>917</v>
      </c>
      <c r="S11424">
        <v>39</v>
      </c>
      <c r="T11424" s="29" t="str">
        <f>HYPERLINK("https://ictv.global/ictv/proposals/2023.003M.Alpharhabdovirinae_8nsp.zip","2023.003M.Alpharhabdovirinae_8nsp.zip")</f>
        <v>2023.003M.Alpharhabdovirinae_8nsp.zip</v>
      </c>
      <c r="U11424" s="29" t="str">
        <f>HYPERLINK("https://ictv.global/taxonomy/taxondetails?taxnode_id=202317779","ictv.global=202317779")</f>
        <v>ictv.global=202317779</v>
      </c>
    </row>
    <row r="11425" spans="1:21">
      <c r="A11425">
        <v>11424</v>
      </c>
      <c r="B11425" s="30" t="s">
        <v>1226</v>
      </c>
      <c r="D11425" s="30" t="s">
        <v>2024</v>
      </c>
      <c r="F11425" s="30" t="s">
        <v>1040</v>
      </c>
      <c r="G11425" s="30" t="s">
        <v>1041</v>
      </c>
      <c r="H11425" s="30" t="s">
        <v>1047</v>
      </c>
      <c r="J11425" s="30" t="s">
        <v>255</v>
      </c>
      <c r="L11425" s="30" t="s">
        <v>374</v>
      </c>
      <c r="M11425" s="30" t="s">
        <v>3774</v>
      </c>
      <c r="N11425" s="30" t="s">
        <v>2182</v>
      </c>
      <c r="P11425" s="30" t="s">
        <v>10003</v>
      </c>
      <c r="Q11425" t="s">
        <v>620</v>
      </c>
      <c r="R11425" t="s">
        <v>920</v>
      </c>
      <c r="S11425">
        <v>37</v>
      </c>
      <c r="T11425" s="29" t="str">
        <f t="shared" ref="T11425:T11438" si="477">HYPERLINK("https://ictv.global/ictv/proposals/2021.036M.R.Rhabdoviridae_sprename.zip","2021.036M.R.Rhabdoviridae_sprename.zip")</f>
        <v>2021.036M.R.Rhabdoviridae_sprename.zip</v>
      </c>
      <c r="U11425" s="29" t="str">
        <f>HYPERLINK("https://ictv.global/taxonomy/taxondetails?taxnode_id=202309258","ictv.global=202309258")</f>
        <v>ictv.global=202309258</v>
      </c>
    </row>
    <row r="11426" spans="1:21">
      <c r="A11426">
        <v>11425</v>
      </c>
      <c r="B11426" s="30" t="s">
        <v>1226</v>
      </c>
      <c r="D11426" s="30" t="s">
        <v>2024</v>
      </c>
      <c r="F11426" s="30" t="s">
        <v>1040</v>
      </c>
      <c r="G11426" s="30" t="s">
        <v>1041</v>
      </c>
      <c r="H11426" s="30" t="s">
        <v>1047</v>
      </c>
      <c r="J11426" s="30" t="s">
        <v>255</v>
      </c>
      <c r="L11426" s="30" t="s">
        <v>374</v>
      </c>
      <c r="M11426" s="30" t="s">
        <v>3774</v>
      </c>
      <c r="N11426" s="30" t="s">
        <v>2182</v>
      </c>
      <c r="P11426" s="30" t="s">
        <v>10004</v>
      </c>
      <c r="Q11426" t="s">
        <v>620</v>
      </c>
      <c r="R11426" t="s">
        <v>920</v>
      </c>
      <c r="S11426">
        <v>37</v>
      </c>
      <c r="T11426" s="29" t="str">
        <f t="shared" si="477"/>
        <v>2021.036M.R.Rhabdoviridae_sprename.zip</v>
      </c>
      <c r="U11426" s="29" t="str">
        <f>HYPERLINK("https://ictv.global/taxonomy/taxondetails?taxnode_id=202307391","ictv.global=202307391")</f>
        <v>ictv.global=202307391</v>
      </c>
    </row>
    <row r="11427" spans="1:21">
      <c r="A11427">
        <v>11426</v>
      </c>
      <c r="B11427" s="30" t="s">
        <v>1226</v>
      </c>
      <c r="D11427" s="30" t="s">
        <v>2024</v>
      </c>
      <c r="F11427" s="30" t="s">
        <v>1040</v>
      </c>
      <c r="G11427" s="30" t="s">
        <v>1041</v>
      </c>
      <c r="H11427" s="30" t="s">
        <v>1047</v>
      </c>
      <c r="J11427" s="30" t="s">
        <v>255</v>
      </c>
      <c r="L11427" s="30" t="s">
        <v>374</v>
      </c>
      <c r="M11427" s="30" t="s">
        <v>3774</v>
      </c>
      <c r="N11427" s="30" t="s">
        <v>359</v>
      </c>
      <c r="P11427" s="30" t="s">
        <v>10005</v>
      </c>
      <c r="Q11427" t="s">
        <v>620</v>
      </c>
      <c r="R11427" t="s">
        <v>920</v>
      </c>
      <c r="S11427">
        <v>37</v>
      </c>
      <c r="T11427" s="29" t="str">
        <f t="shared" si="477"/>
        <v>2021.036M.R.Rhabdoviridae_sprename.zip</v>
      </c>
      <c r="U11427" s="29" t="str">
        <f>HYPERLINK("https://ictv.global/taxonomy/taxondetails?taxnode_id=202301722","ictv.global=202301722")</f>
        <v>ictv.global=202301722</v>
      </c>
    </row>
    <row r="11428" spans="1:21">
      <c r="A11428">
        <v>11427</v>
      </c>
      <c r="B11428" s="30" t="s">
        <v>1226</v>
      </c>
      <c r="D11428" s="30" t="s">
        <v>2024</v>
      </c>
      <c r="F11428" s="30" t="s">
        <v>1040</v>
      </c>
      <c r="G11428" s="30" t="s">
        <v>1041</v>
      </c>
      <c r="H11428" s="30" t="s">
        <v>1047</v>
      </c>
      <c r="J11428" s="30" t="s">
        <v>255</v>
      </c>
      <c r="L11428" s="30" t="s">
        <v>374</v>
      </c>
      <c r="M11428" s="30" t="s">
        <v>3774</v>
      </c>
      <c r="N11428" s="30" t="s">
        <v>359</v>
      </c>
      <c r="P11428" s="30" t="s">
        <v>10006</v>
      </c>
      <c r="Q11428" t="s">
        <v>620</v>
      </c>
      <c r="R11428" t="s">
        <v>920</v>
      </c>
      <c r="S11428">
        <v>37</v>
      </c>
      <c r="T11428" s="29" t="str">
        <f t="shared" si="477"/>
        <v>2021.036M.R.Rhabdoviridae_sprename.zip</v>
      </c>
      <c r="U11428" s="29" t="str">
        <f>HYPERLINK("https://ictv.global/taxonomy/taxondetails?taxnode_id=202301723","ictv.global=202301723")</f>
        <v>ictv.global=202301723</v>
      </c>
    </row>
    <row r="11429" spans="1:21">
      <c r="A11429">
        <v>11428</v>
      </c>
      <c r="B11429" s="30" t="s">
        <v>1226</v>
      </c>
      <c r="D11429" s="30" t="s">
        <v>2024</v>
      </c>
      <c r="F11429" s="30" t="s">
        <v>1040</v>
      </c>
      <c r="G11429" s="30" t="s">
        <v>1041</v>
      </c>
      <c r="H11429" s="30" t="s">
        <v>1047</v>
      </c>
      <c r="J11429" s="30" t="s">
        <v>255</v>
      </c>
      <c r="L11429" s="30" t="s">
        <v>374</v>
      </c>
      <c r="M11429" s="30" t="s">
        <v>3774</v>
      </c>
      <c r="N11429" s="30" t="s">
        <v>359</v>
      </c>
      <c r="P11429" s="30" t="s">
        <v>10007</v>
      </c>
      <c r="Q11429" t="s">
        <v>620</v>
      </c>
      <c r="R11429" t="s">
        <v>920</v>
      </c>
      <c r="S11429">
        <v>37</v>
      </c>
      <c r="T11429" s="29" t="str">
        <f t="shared" si="477"/>
        <v>2021.036M.R.Rhabdoviridae_sprename.zip</v>
      </c>
      <c r="U11429" s="29" t="str">
        <f>HYPERLINK("https://ictv.global/taxonomy/taxondetails?taxnode_id=202301724","ictv.global=202301724")</f>
        <v>ictv.global=202301724</v>
      </c>
    </row>
    <row r="11430" spans="1:21">
      <c r="A11430">
        <v>11429</v>
      </c>
      <c r="B11430" s="30" t="s">
        <v>1226</v>
      </c>
      <c r="D11430" s="30" t="s">
        <v>2024</v>
      </c>
      <c r="F11430" s="30" t="s">
        <v>1040</v>
      </c>
      <c r="G11430" s="30" t="s">
        <v>1041</v>
      </c>
      <c r="H11430" s="30" t="s">
        <v>1047</v>
      </c>
      <c r="J11430" s="30" t="s">
        <v>255</v>
      </c>
      <c r="L11430" s="30" t="s">
        <v>374</v>
      </c>
      <c r="M11430" s="30" t="s">
        <v>3774</v>
      </c>
      <c r="N11430" s="30" t="s">
        <v>359</v>
      </c>
      <c r="P11430" s="30" t="s">
        <v>10008</v>
      </c>
      <c r="Q11430" t="s">
        <v>620</v>
      </c>
      <c r="R11430" t="s">
        <v>920</v>
      </c>
      <c r="S11430">
        <v>37</v>
      </c>
      <c r="T11430" s="29" t="str">
        <f t="shared" si="477"/>
        <v>2021.036M.R.Rhabdoviridae_sprename.zip</v>
      </c>
      <c r="U11430" s="29" t="str">
        <f>HYPERLINK("https://ictv.global/taxonomy/taxondetails?taxnode_id=202301735","ictv.global=202301735")</f>
        <v>ictv.global=202301735</v>
      </c>
    </row>
    <row r="11431" spans="1:21">
      <c r="A11431">
        <v>11430</v>
      </c>
      <c r="B11431" s="30" t="s">
        <v>1226</v>
      </c>
      <c r="D11431" s="30" t="s">
        <v>2024</v>
      </c>
      <c r="F11431" s="30" t="s">
        <v>1040</v>
      </c>
      <c r="G11431" s="30" t="s">
        <v>1041</v>
      </c>
      <c r="H11431" s="30" t="s">
        <v>1047</v>
      </c>
      <c r="J11431" s="30" t="s">
        <v>255</v>
      </c>
      <c r="L11431" s="30" t="s">
        <v>374</v>
      </c>
      <c r="M11431" s="30" t="s">
        <v>3774</v>
      </c>
      <c r="N11431" s="30" t="s">
        <v>359</v>
      </c>
      <c r="P11431" s="30" t="s">
        <v>10009</v>
      </c>
      <c r="Q11431" t="s">
        <v>620</v>
      </c>
      <c r="R11431" t="s">
        <v>920</v>
      </c>
      <c r="S11431">
        <v>37</v>
      </c>
      <c r="T11431" s="29" t="str">
        <f t="shared" si="477"/>
        <v>2021.036M.R.Rhabdoviridae_sprename.zip</v>
      </c>
      <c r="U11431" s="29" t="str">
        <f>HYPERLINK("https://ictv.global/taxonomy/taxondetails?taxnode_id=202301725","ictv.global=202301725")</f>
        <v>ictv.global=202301725</v>
      </c>
    </row>
    <row r="11432" spans="1:21">
      <c r="A11432">
        <v>11431</v>
      </c>
      <c r="B11432" s="30" t="s">
        <v>1226</v>
      </c>
      <c r="D11432" s="30" t="s">
        <v>2024</v>
      </c>
      <c r="F11432" s="30" t="s">
        <v>1040</v>
      </c>
      <c r="G11432" s="30" t="s">
        <v>1041</v>
      </c>
      <c r="H11432" s="30" t="s">
        <v>1047</v>
      </c>
      <c r="J11432" s="30" t="s">
        <v>255</v>
      </c>
      <c r="L11432" s="30" t="s">
        <v>374</v>
      </c>
      <c r="M11432" s="30" t="s">
        <v>3774</v>
      </c>
      <c r="N11432" s="30" t="s">
        <v>359</v>
      </c>
      <c r="P11432" s="30" t="s">
        <v>10010</v>
      </c>
      <c r="Q11432" t="s">
        <v>620</v>
      </c>
      <c r="R11432" t="s">
        <v>920</v>
      </c>
      <c r="S11432">
        <v>37</v>
      </c>
      <c r="T11432" s="29" t="str">
        <f t="shared" si="477"/>
        <v>2021.036M.R.Rhabdoviridae_sprename.zip</v>
      </c>
      <c r="U11432" s="29" t="str">
        <f>HYPERLINK("https://ictv.global/taxonomy/taxondetails?taxnode_id=202308672","ictv.global=202308672")</f>
        <v>ictv.global=202308672</v>
      </c>
    </row>
    <row r="11433" spans="1:21">
      <c r="A11433">
        <v>11432</v>
      </c>
      <c r="B11433" s="30" t="s">
        <v>1226</v>
      </c>
      <c r="D11433" s="30" t="s">
        <v>2024</v>
      </c>
      <c r="F11433" s="30" t="s">
        <v>1040</v>
      </c>
      <c r="G11433" s="30" t="s">
        <v>1041</v>
      </c>
      <c r="H11433" s="30" t="s">
        <v>1047</v>
      </c>
      <c r="J11433" s="30" t="s">
        <v>255</v>
      </c>
      <c r="L11433" s="30" t="s">
        <v>374</v>
      </c>
      <c r="M11433" s="30" t="s">
        <v>3774</v>
      </c>
      <c r="N11433" s="30" t="s">
        <v>359</v>
      </c>
      <c r="P11433" s="30" t="s">
        <v>10011</v>
      </c>
      <c r="Q11433" t="s">
        <v>620</v>
      </c>
      <c r="R11433" t="s">
        <v>920</v>
      </c>
      <c r="S11433">
        <v>37</v>
      </c>
      <c r="T11433" s="29" t="str">
        <f t="shared" si="477"/>
        <v>2021.036M.R.Rhabdoviridae_sprename.zip</v>
      </c>
      <c r="U11433" s="29" t="str">
        <f>HYPERLINK("https://ictv.global/taxonomy/taxondetails?taxnode_id=202305581","ictv.global=202305581")</f>
        <v>ictv.global=202305581</v>
      </c>
    </row>
    <row r="11434" spans="1:21">
      <c r="A11434">
        <v>11433</v>
      </c>
      <c r="B11434" s="30" t="s">
        <v>1226</v>
      </c>
      <c r="D11434" s="30" t="s">
        <v>2024</v>
      </c>
      <c r="F11434" s="30" t="s">
        <v>1040</v>
      </c>
      <c r="G11434" s="30" t="s">
        <v>1041</v>
      </c>
      <c r="H11434" s="30" t="s">
        <v>1047</v>
      </c>
      <c r="J11434" s="30" t="s">
        <v>255</v>
      </c>
      <c r="L11434" s="30" t="s">
        <v>374</v>
      </c>
      <c r="M11434" s="30" t="s">
        <v>3774</v>
      </c>
      <c r="N11434" s="30" t="s">
        <v>359</v>
      </c>
      <c r="P11434" s="30" t="s">
        <v>10012</v>
      </c>
      <c r="Q11434" t="s">
        <v>620</v>
      </c>
      <c r="R11434" t="s">
        <v>920</v>
      </c>
      <c r="S11434">
        <v>37</v>
      </c>
      <c r="T11434" s="29" t="str">
        <f t="shared" si="477"/>
        <v>2021.036M.R.Rhabdoviridae_sprename.zip</v>
      </c>
      <c r="U11434" s="29" t="str">
        <f>HYPERLINK("https://ictv.global/taxonomy/taxondetails?taxnode_id=202301726","ictv.global=202301726")</f>
        <v>ictv.global=202301726</v>
      </c>
    </row>
    <row r="11435" spans="1:21">
      <c r="A11435">
        <v>11434</v>
      </c>
      <c r="B11435" s="30" t="s">
        <v>1226</v>
      </c>
      <c r="D11435" s="30" t="s">
        <v>2024</v>
      </c>
      <c r="F11435" s="30" t="s">
        <v>1040</v>
      </c>
      <c r="G11435" s="30" t="s">
        <v>1041</v>
      </c>
      <c r="H11435" s="30" t="s">
        <v>1047</v>
      </c>
      <c r="J11435" s="30" t="s">
        <v>255</v>
      </c>
      <c r="L11435" s="30" t="s">
        <v>374</v>
      </c>
      <c r="M11435" s="30" t="s">
        <v>3774</v>
      </c>
      <c r="N11435" s="30" t="s">
        <v>359</v>
      </c>
      <c r="P11435" s="30" t="s">
        <v>10013</v>
      </c>
      <c r="Q11435" t="s">
        <v>620</v>
      </c>
      <c r="R11435" t="s">
        <v>920</v>
      </c>
      <c r="S11435">
        <v>37</v>
      </c>
      <c r="T11435" s="29" t="str">
        <f t="shared" si="477"/>
        <v>2021.036M.R.Rhabdoviridae_sprename.zip</v>
      </c>
      <c r="U11435" s="29" t="str">
        <f>HYPERLINK("https://ictv.global/taxonomy/taxondetails?taxnode_id=202301727","ictv.global=202301727")</f>
        <v>ictv.global=202301727</v>
      </c>
    </row>
    <row r="11436" spans="1:21">
      <c r="A11436">
        <v>11435</v>
      </c>
      <c r="B11436" s="30" t="s">
        <v>1226</v>
      </c>
      <c r="D11436" s="30" t="s">
        <v>2024</v>
      </c>
      <c r="F11436" s="30" t="s">
        <v>1040</v>
      </c>
      <c r="G11436" s="30" t="s">
        <v>1041</v>
      </c>
      <c r="H11436" s="30" t="s">
        <v>1047</v>
      </c>
      <c r="J11436" s="30" t="s">
        <v>255</v>
      </c>
      <c r="L11436" s="30" t="s">
        <v>374</v>
      </c>
      <c r="M11436" s="30" t="s">
        <v>3774</v>
      </c>
      <c r="N11436" s="30" t="s">
        <v>359</v>
      </c>
      <c r="P11436" s="30" t="s">
        <v>10014</v>
      </c>
      <c r="Q11436" t="s">
        <v>620</v>
      </c>
      <c r="R11436" t="s">
        <v>920</v>
      </c>
      <c r="S11436">
        <v>37</v>
      </c>
      <c r="T11436" s="29" t="str">
        <f t="shared" si="477"/>
        <v>2021.036M.R.Rhabdoviridae_sprename.zip</v>
      </c>
      <c r="U11436" s="29" t="str">
        <f>HYPERLINK("https://ictv.global/taxonomy/taxondetails?taxnode_id=202301728","ictv.global=202301728")</f>
        <v>ictv.global=202301728</v>
      </c>
    </row>
    <row r="11437" spans="1:21">
      <c r="A11437">
        <v>11436</v>
      </c>
      <c r="B11437" s="30" t="s">
        <v>1226</v>
      </c>
      <c r="D11437" s="30" t="s">
        <v>2024</v>
      </c>
      <c r="F11437" s="30" t="s">
        <v>1040</v>
      </c>
      <c r="G11437" s="30" t="s">
        <v>1041</v>
      </c>
      <c r="H11437" s="30" t="s">
        <v>1047</v>
      </c>
      <c r="J11437" s="30" t="s">
        <v>255</v>
      </c>
      <c r="L11437" s="30" t="s">
        <v>374</v>
      </c>
      <c r="M11437" s="30" t="s">
        <v>3774</v>
      </c>
      <c r="N11437" s="30" t="s">
        <v>359</v>
      </c>
      <c r="P11437" s="30" t="s">
        <v>10015</v>
      </c>
      <c r="Q11437" t="s">
        <v>620</v>
      </c>
      <c r="R11437" t="s">
        <v>920</v>
      </c>
      <c r="S11437">
        <v>37</v>
      </c>
      <c r="T11437" s="29" t="str">
        <f t="shared" si="477"/>
        <v>2021.036M.R.Rhabdoviridae_sprename.zip</v>
      </c>
      <c r="U11437" s="29" t="str">
        <f>HYPERLINK("https://ictv.global/taxonomy/taxondetails?taxnode_id=202301729","ictv.global=202301729")</f>
        <v>ictv.global=202301729</v>
      </c>
    </row>
    <row r="11438" spans="1:21">
      <c r="A11438">
        <v>11437</v>
      </c>
      <c r="B11438" s="30" t="s">
        <v>1226</v>
      </c>
      <c r="D11438" s="30" t="s">
        <v>2024</v>
      </c>
      <c r="F11438" s="30" t="s">
        <v>1040</v>
      </c>
      <c r="G11438" s="30" t="s">
        <v>1041</v>
      </c>
      <c r="H11438" s="30" t="s">
        <v>1047</v>
      </c>
      <c r="J11438" s="30" t="s">
        <v>255</v>
      </c>
      <c r="L11438" s="30" t="s">
        <v>374</v>
      </c>
      <c r="M11438" s="30" t="s">
        <v>3774</v>
      </c>
      <c r="N11438" s="30" t="s">
        <v>359</v>
      </c>
      <c r="P11438" s="30" t="s">
        <v>10016</v>
      </c>
      <c r="Q11438" t="s">
        <v>620</v>
      </c>
      <c r="R11438" t="s">
        <v>920</v>
      </c>
      <c r="S11438">
        <v>37</v>
      </c>
      <c r="T11438" s="29" t="str">
        <f t="shared" si="477"/>
        <v>2021.036M.R.Rhabdoviridae_sprename.zip</v>
      </c>
      <c r="U11438" s="29" t="str">
        <f>HYPERLINK("https://ictv.global/taxonomy/taxondetails?taxnode_id=202301730","ictv.global=202301730")</f>
        <v>ictv.global=202301730</v>
      </c>
    </row>
    <row r="11439" spans="1:21">
      <c r="A11439">
        <v>11438</v>
      </c>
      <c r="B11439" s="30" t="s">
        <v>1226</v>
      </c>
      <c r="D11439" s="30" t="s">
        <v>2024</v>
      </c>
      <c r="F11439" s="30" t="s">
        <v>1040</v>
      </c>
      <c r="G11439" s="30" t="s">
        <v>1041</v>
      </c>
      <c r="H11439" s="30" t="s">
        <v>1047</v>
      </c>
      <c r="J11439" s="30" t="s">
        <v>255</v>
      </c>
      <c r="L11439" s="30" t="s">
        <v>374</v>
      </c>
      <c r="M11439" s="30" t="s">
        <v>3774</v>
      </c>
      <c r="N11439" s="30" t="s">
        <v>359</v>
      </c>
      <c r="P11439" s="30" t="s">
        <v>17402</v>
      </c>
      <c r="Q11439" t="s">
        <v>620</v>
      </c>
      <c r="R11439" t="s">
        <v>917</v>
      </c>
      <c r="S11439">
        <v>39</v>
      </c>
      <c r="T11439" s="29" t="str">
        <f>HYPERLINK("https://ictv.global/ictv/proposals/2023.012M.Lyssavirus_1nsp.zip","2023.012M.Lyssavirus_1nsp.zip")</f>
        <v>2023.012M.Lyssavirus_1nsp.zip</v>
      </c>
      <c r="U11439" s="29" t="str">
        <f>HYPERLINK("https://ictv.global/taxonomy/taxondetails?taxnode_id=202318059","ictv.global=202318059")</f>
        <v>ictv.global=202318059</v>
      </c>
    </row>
    <row r="11440" spans="1:21">
      <c r="A11440">
        <v>11439</v>
      </c>
      <c r="B11440" s="30" t="s">
        <v>1226</v>
      </c>
      <c r="D11440" s="30" t="s">
        <v>2024</v>
      </c>
      <c r="F11440" s="30" t="s">
        <v>1040</v>
      </c>
      <c r="G11440" s="30" t="s">
        <v>1041</v>
      </c>
      <c r="H11440" s="30" t="s">
        <v>1047</v>
      </c>
      <c r="J11440" s="30" t="s">
        <v>255</v>
      </c>
      <c r="L11440" s="30" t="s">
        <v>374</v>
      </c>
      <c r="M11440" s="30" t="s">
        <v>3774</v>
      </c>
      <c r="N11440" s="30" t="s">
        <v>359</v>
      </c>
      <c r="P11440" s="30" t="s">
        <v>10017</v>
      </c>
      <c r="Q11440" t="s">
        <v>620</v>
      </c>
      <c r="R11440" t="s">
        <v>920</v>
      </c>
      <c r="S11440">
        <v>37</v>
      </c>
      <c r="T11440" s="29" t="str">
        <f>HYPERLINK("https://ictv.global/ictv/proposals/2021.036M.R.Rhabdoviridae_sprename.zip","2021.036M.R.Rhabdoviridae_sprename.zip")</f>
        <v>2021.036M.R.Rhabdoviridae_sprename.zip</v>
      </c>
      <c r="U11440" s="29" t="str">
        <f>HYPERLINK("https://ictv.global/taxonomy/taxondetails?taxnode_id=202301731","ictv.global=202301731")</f>
        <v>ictv.global=202301731</v>
      </c>
    </row>
    <row r="11441" spans="1:21">
      <c r="A11441">
        <v>11440</v>
      </c>
      <c r="B11441" s="30" t="s">
        <v>1226</v>
      </c>
      <c r="D11441" s="30" t="s">
        <v>2024</v>
      </c>
      <c r="F11441" s="30" t="s">
        <v>1040</v>
      </c>
      <c r="G11441" s="30" t="s">
        <v>1041</v>
      </c>
      <c r="H11441" s="30" t="s">
        <v>1047</v>
      </c>
      <c r="J11441" s="30" t="s">
        <v>255</v>
      </c>
      <c r="L11441" s="30" t="s">
        <v>374</v>
      </c>
      <c r="M11441" s="30" t="s">
        <v>3774</v>
      </c>
      <c r="N11441" s="30" t="s">
        <v>359</v>
      </c>
      <c r="P11441" s="30" t="s">
        <v>10018</v>
      </c>
      <c r="Q11441" t="s">
        <v>620</v>
      </c>
      <c r="R11441" t="s">
        <v>920</v>
      </c>
      <c r="S11441">
        <v>37</v>
      </c>
      <c r="T11441" s="29" t="str">
        <f>HYPERLINK("https://ictv.global/ictv/proposals/2021.036M.R.Rhabdoviridae_sprename.zip","2021.036M.R.Rhabdoviridae_sprename.zip")</f>
        <v>2021.036M.R.Rhabdoviridae_sprename.zip</v>
      </c>
      <c r="U11441" s="29" t="str">
        <f>HYPERLINK("https://ictv.global/taxonomy/taxondetails?taxnode_id=202305582","ictv.global=202305582")</f>
        <v>ictv.global=202305582</v>
      </c>
    </row>
    <row r="11442" spans="1:21">
      <c r="A11442">
        <v>11441</v>
      </c>
      <c r="B11442" s="30" t="s">
        <v>1226</v>
      </c>
      <c r="D11442" s="30" t="s">
        <v>2024</v>
      </c>
      <c r="F11442" s="30" t="s">
        <v>1040</v>
      </c>
      <c r="G11442" s="30" t="s">
        <v>1041</v>
      </c>
      <c r="H11442" s="30" t="s">
        <v>1047</v>
      </c>
      <c r="J11442" s="30" t="s">
        <v>255</v>
      </c>
      <c r="L11442" s="30" t="s">
        <v>374</v>
      </c>
      <c r="M11442" s="30" t="s">
        <v>3774</v>
      </c>
      <c r="N11442" s="30" t="s">
        <v>359</v>
      </c>
      <c r="P11442" s="30" t="s">
        <v>10019</v>
      </c>
      <c r="Q11442" t="s">
        <v>620</v>
      </c>
      <c r="R11442" t="s">
        <v>920</v>
      </c>
      <c r="S11442">
        <v>37</v>
      </c>
      <c r="T11442" s="29" t="str">
        <f>HYPERLINK("https://ictv.global/ictv/proposals/2021.036M.R.Rhabdoviridae_sprename.zip","2021.036M.R.Rhabdoviridae_sprename.zip")</f>
        <v>2021.036M.R.Rhabdoviridae_sprename.zip</v>
      </c>
      <c r="U11442" s="29" t="str">
        <f>HYPERLINK("https://ictv.global/taxonomy/taxondetails?taxnode_id=202301732","ictv.global=202301732")</f>
        <v>ictv.global=202301732</v>
      </c>
    </row>
    <row r="11443" spans="1:21">
      <c r="A11443">
        <v>11442</v>
      </c>
      <c r="B11443" s="30" t="s">
        <v>1226</v>
      </c>
      <c r="D11443" s="30" t="s">
        <v>2024</v>
      </c>
      <c r="F11443" s="30" t="s">
        <v>1040</v>
      </c>
      <c r="G11443" s="30" t="s">
        <v>1041</v>
      </c>
      <c r="H11443" s="30" t="s">
        <v>1047</v>
      </c>
      <c r="J11443" s="30" t="s">
        <v>255</v>
      </c>
      <c r="L11443" s="30" t="s">
        <v>374</v>
      </c>
      <c r="M11443" s="30" t="s">
        <v>3774</v>
      </c>
      <c r="N11443" s="30" t="s">
        <v>359</v>
      </c>
      <c r="P11443" s="30" t="s">
        <v>10020</v>
      </c>
      <c r="Q11443" t="s">
        <v>620</v>
      </c>
      <c r="R11443" t="s">
        <v>920</v>
      </c>
      <c r="S11443">
        <v>37</v>
      </c>
      <c r="T11443" s="29" t="str">
        <f>HYPERLINK("https://ictv.global/ictv/proposals/2021.036M.R.Rhabdoviridae_sprename.zip","2021.036M.R.Rhabdoviridae_sprename.zip")</f>
        <v>2021.036M.R.Rhabdoviridae_sprename.zip</v>
      </c>
      <c r="U11443" s="29" t="str">
        <f>HYPERLINK("https://ictv.global/taxonomy/taxondetails?taxnode_id=202301733","ictv.global=202301733")</f>
        <v>ictv.global=202301733</v>
      </c>
    </row>
    <row r="11444" spans="1:21">
      <c r="A11444">
        <v>11443</v>
      </c>
      <c r="B11444" s="30" t="s">
        <v>1226</v>
      </c>
      <c r="D11444" s="30" t="s">
        <v>2024</v>
      </c>
      <c r="F11444" s="30" t="s">
        <v>1040</v>
      </c>
      <c r="G11444" s="30" t="s">
        <v>1041</v>
      </c>
      <c r="H11444" s="30" t="s">
        <v>1047</v>
      </c>
      <c r="J11444" s="30" t="s">
        <v>255</v>
      </c>
      <c r="L11444" s="30" t="s">
        <v>374</v>
      </c>
      <c r="M11444" s="30" t="s">
        <v>3774</v>
      </c>
      <c r="N11444" s="30" t="s">
        <v>359</v>
      </c>
      <c r="P11444" s="30" t="s">
        <v>10021</v>
      </c>
      <c r="Q11444" t="s">
        <v>620</v>
      </c>
      <c r="R11444" t="s">
        <v>920</v>
      </c>
      <c r="S11444">
        <v>37</v>
      </c>
      <c r="T11444" s="29" t="str">
        <f>HYPERLINK("https://ictv.global/ictv/proposals/2021.036M.R.Rhabdoviridae_sprename.zip","2021.036M.R.Rhabdoviridae_sprename.zip")</f>
        <v>2021.036M.R.Rhabdoviridae_sprename.zip</v>
      </c>
      <c r="U11444" s="29" t="str">
        <f>HYPERLINK("https://ictv.global/taxonomy/taxondetails?taxnode_id=202301734","ictv.global=202301734")</f>
        <v>ictv.global=202301734</v>
      </c>
    </row>
    <row r="11445" spans="1:21">
      <c r="A11445">
        <v>11444</v>
      </c>
      <c r="B11445" s="30" t="s">
        <v>1226</v>
      </c>
      <c r="D11445" s="30" t="s">
        <v>2024</v>
      </c>
      <c r="F11445" s="30" t="s">
        <v>1040</v>
      </c>
      <c r="G11445" s="30" t="s">
        <v>1041</v>
      </c>
      <c r="H11445" s="30" t="s">
        <v>1047</v>
      </c>
      <c r="J11445" s="30" t="s">
        <v>255</v>
      </c>
      <c r="L11445" s="30" t="s">
        <v>374</v>
      </c>
      <c r="M11445" s="30" t="s">
        <v>3774</v>
      </c>
      <c r="N11445" s="30" t="s">
        <v>3777</v>
      </c>
      <c r="P11445" s="30" t="s">
        <v>17403</v>
      </c>
      <c r="Q11445" t="s">
        <v>620</v>
      </c>
      <c r="R11445" t="s">
        <v>917</v>
      </c>
      <c r="S11445">
        <v>39</v>
      </c>
      <c r="T11445" s="29" t="str">
        <f>HYPERLINK("https://ictv.global/ictv/proposals/2023.015M.Alpharhabdovirinae_17nsp.zip","2023.015M.Alpharhabdovirinae_17nsp.zip")</f>
        <v>2023.015M.Alpharhabdovirinae_17nsp.zip</v>
      </c>
      <c r="U11445" s="29" t="str">
        <f>HYPERLINK("https://ictv.global/taxonomy/taxondetails?taxnode_id=202318247","ictv.global=202318247")</f>
        <v>ictv.global=202318247</v>
      </c>
    </row>
    <row r="11446" spans="1:21">
      <c r="A11446">
        <v>11445</v>
      </c>
      <c r="B11446" s="30" t="s">
        <v>1226</v>
      </c>
      <c r="D11446" s="30" t="s">
        <v>2024</v>
      </c>
      <c r="F11446" s="30" t="s">
        <v>1040</v>
      </c>
      <c r="G11446" s="30" t="s">
        <v>1041</v>
      </c>
      <c r="H11446" s="30" t="s">
        <v>1047</v>
      </c>
      <c r="J11446" s="30" t="s">
        <v>255</v>
      </c>
      <c r="L11446" s="30" t="s">
        <v>374</v>
      </c>
      <c r="M11446" s="30" t="s">
        <v>3774</v>
      </c>
      <c r="N11446" s="30" t="s">
        <v>3777</v>
      </c>
      <c r="P11446" s="30" t="s">
        <v>17404</v>
      </c>
      <c r="Q11446" t="s">
        <v>620</v>
      </c>
      <c r="R11446" t="s">
        <v>917</v>
      </c>
      <c r="S11446">
        <v>39</v>
      </c>
      <c r="T11446" s="29" t="str">
        <f>HYPERLINK("https://ictv.global/ictv/proposals/2023.015M.Alpharhabdovirinae_17nsp.zip","2023.015M.Alpharhabdovirinae_17nsp.zip")</f>
        <v>2023.015M.Alpharhabdovirinae_17nsp.zip</v>
      </c>
      <c r="U11446" s="29" t="str">
        <f>HYPERLINK("https://ictv.global/taxonomy/taxondetails?taxnode_id=202318248","ictv.global=202318248")</f>
        <v>ictv.global=202318248</v>
      </c>
    </row>
    <row r="11447" spans="1:21">
      <c r="A11447">
        <v>11446</v>
      </c>
      <c r="B11447" s="30" t="s">
        <v>1226</v>
      </c>
      <c r="D11447" s="30" t="s">
        <v>2024</v>
      </c>
      <c r="F11447" s="30" t="s">
        <v>1040</v>
      </c>
      <c r="G11447" s="30" t="s">
        <v>1041</v>
      </c>
      <c r="H11447" s="30" t="s">
        <v>1047</v>
      </c>
      <c r="J11447" s="30" t="s">
        <v>255</v>
      </c>
      <c r="L11447" s="30" t="s">
        <v>374</v>
      </c>
      <c r="M11447" s="30" t="s">
        <v>3774</v>
      </c>
      <c r="N11447" s="30" t="s">
        <v>3777</v>
      </c>
      <c r="P11447" s="30" t="s">
        <v>17405</v>
      </c>
      <c r="Q11447" t="s">
        <v>620</v>
      </c>
      <c r="R11447" t="s">
        <v>917</v>
      </c>
      <c r="S11447">
        <v>39</v>
      </c>
      <c r="T11447" s="29" t="str">
        <f>HYPERLINK("https://ictv.global/ictv/proposals/2023.015M.Alpharhabdovirinae_17nsp.zip","2023.015M.Alpharhabdovirinae_17nsp.zip")</f>
        <v>2023.015M.Alpharhabdovirinae_17nsp.zip</v>
      </c>
      <c r="U11447" s="29" t="str">
        <f>HYPERLINK("https://ictv.global/taxonomy/taxondetails?taxnode_id=202318249","ictv.global=202318249")</f>
        <v>ictv.global=202318249</v>
      </c>
    </row>
    <row r="11448" spans="1:21">
      <c r="A11448">
        <v>11447</v>
      </c>
      <c r="B11448" s="30" t="s">
        <v>1226</v>
      </c>
      <c r="D11448" s="30" t="s">
        <v>2024</v>
      </c>
      <c r="F11448" s="30" t="s">
        <v>1040</v>
      </c>
      <c r="G11448" s="30" t="s">
        <v>1041</v>
      </c>
      <c r="H11448" s="30" t="s">
        <v>1047</v>
      </c>
      <c r="J11448" s="30" t="s">
        <v>255</v>
      </c>
      <c r="L11448" s="30" t="s">
        <v>374</v>
      </c>
      <c r="M11448" s="30" t="s">
        <v>3774</v>
      </c>
      <c r="N11448" s="30" t="s">
        <v>3777</v>
      </c>
      <c r="P11448" s="30" t="s">
        <v>10022</v>
      </c>
      <c r="Q11448" t="s">
        <v>620</v>
      </c>
      <c r="R11448" t="s">
        <v>920</v>
      </c>
      <c r="S11448">
        <v>37</v>
      </c>
      <c r="T11448" s="29" t="str">
        <f>HYPERLINK("https://ictv.global/ictv/proposals/2021.036M.R.Rhabdoviridae_sprename.zip","2021.036M.R.Rhabdoviridae_sprename.zip")</f>
        <v>2021.036M.R.Rhabdoviridae_sprename.zip</v>
      </c>
      <c r="U11448" s="29" t="str">
        <f>HYPERLINK("https://ictv.global/taxonomy/taxondetails?taxnode_id=202308757","ictv.global=202308757")</f>
        <v>ictv.global=202308757</v>
      </c>
    </row>
    <row r="11449" spans="1:21">
      <c r="A11449">
        <v>11448</v>
      </c>
      <c r="B11449" s="30" t="s">
        <v>1226</v>
      </c>
      <c r="D11449" s="30" t="s">
        <v>2024</v>
      </c>
      <c r="F11449" s="30" t="s">
        <v>1040</v>
      </c>
      <c r="G11449" s="30" t="s">
        <v>1041</v>
      </c>
      <c r="H11449" s="30" t="s">
        <v>1047</v>
      </c>
      <c r="J11449" s="30" t="s">
        <v>255</v>
      </c>
      <c r="L11449" s="30" t="s">
        <v>374</v>
      </c>
      <c r="M11449" s="30" t="s">
        <v>3774</v>
      </c>
      <c r="N11449" s="30" t="s">
        <v>3777</v>
      </c>
      <c r="P11449" s="30" t="s">
        <v>10023</v>
      </c>
      <c r="Q11449" t="s">
        <v>620</v>
      </c>
      <c r="R11449" t="s">
        <v>920</v>
      </c>
      <c r="S11449">
        <v>37</v>
      </c>
      <c r="T11449" s="29" t="str">
        <f>HYPERLINK("https://ictv.global/ictv/proposals/2021.036M.R.Rhabdoviridae_sprename.zip","2021.036M.R.Rhabdoviridae_sprename.zip")</f>
        <v>2021.036M.R.Rhabdoviridae_sprename.zip</v>
      </c>
      <c r="U11449" s="29" t="str">
        <f>HYPERLINK("https://ictv.global/taxonomy/taxondetails?taxnode_id=202308758","ictv.global=202308758")</f>
        <v>ictv.global=202308758</v>
      </c>
    </row>
    <row r="11450" spans="1:21">
      <c r="A11450">
        <v>11449</v>
      </c>
      <c r="B11450" s="30" t="s">
        <v>1226</v>
      </c>
      <c r="D11450" s="30" t="s">
        <v>2024</v>
      </c>
      <c r="F11450" s="30" t="s">
        <v>1040</v>
      </c>
      <c r="G11450" s="30" t="s">
        <v>1041</v>
      </c>
      <c r="H11450" s="30" t="s">
        <v>1047</v>
      </c>
      <c r="J11450" s="30" t="s">
        <v>255</v>
      </c>
      <c r="L11450" s="30" t="s">
        <v>374</v>
      </c>
      <c r="M11450" s="30" t="s">
        <v>3774</v>
      </c>
      <c r="N11450" s="30" t="s">
        <v>2064</v>
      </c>
      <c r="P11450" s="30" t="s">
        <v>10024</v>
      </c>
      <c r="Q11450" t="s">
        <v>620</v>
      </c>
      <c r="R11450" t="s">
        <v>920</v>
      </c>
      <c r="S11450">
        <v>37</v>
      </c>
      <c r="T11450" s="29" t="str">
        <f>HYPERLINK("https://ictv.global/ictv/proposals/2021.036M.R.Rhabdoviridae_sprename.zip","2021.036M.R.Rhabdoviridae_sprename.zip")</f>
        <v>2021.036M.R.Rhabdoviridae_sprename.zip</v>
      </c>
      <c r="U11450" s="29" t="str">
        <f>HYPERLINK("https://ictv.global/taxonomy/taxondetails?taxnode_id=202301785","ictv.global=202301785")</f>
        <v>ictv.global=202301785</v>
      </c>
    </row>
    <row r="11451" spans="1:21">
      <c r="A11451">
        <v>11450</v>
      </c>
      <c r="B11451" s="30" t="s">
        <v>1226</v>
      </c>
      <c r="D11451" s="30" t="s">
        <v>2024</v>
      </c>
      <c r="F11451" s="30" t="s">
        <v>1040</v>
      </c>
      <c r="G11451" s="30" t="s">
        <v>1041</v>
      </c>
      <c r="H11451" s="30" t="s">
        <v>1047</v>
      </c>
      <c r="J11451" s="30" t="s">
        <v>255</v>
      </c>
      <c r="L11451" s="30" t="s">
        <v>374</v>
      </c>
      <c r="M11451" s="30" t="s">
        <v>3774</v>
      </c>
      <c r="N11451" s="30" t="s">
        <v>2065</v>
      </c>
      <c r="P11451" s="30" t="s">
        <v>17406</v>
      </c>
      <c r="Q11451" t="s">
        <v>620</v>
      </c>
      <c r="R11451" t="s">
        <v>917</v>
      </c>
      <c r="S11451">
        <v>39</v>
      </c>
      <c r="T11451" s="29" t="str">
        <f>HYPERLINK("https://ictv.global/ictv/proposals/2023.015M.Alpharhabdovirinae_17nsp.zip","2023.015M.Alpharhabdovirinae_17nsp.zip")</f>
        <v>2023.015M.Alpharhabdovirinae_17nsp.zip</v>
      </c>
      <c r="U11451" s="29" t="str">
        <f>HYPERLINK("https://ictv.global/taxonomy/taxondetails?taxnode_id=202318250","ictv.global=202318250")</f>
        <v>ictv.global=202318250</v>
      </c>
    </row>
    <row r="11452" spans="1:21">
      <c r="A11452">
        <v>11451</v>
      </c>
      <c r="B11452" s="30" t="s">
        <v>1226</v>
      </c>
      <c r="D11452" s="30" t="s">
        <v>2024</v>
      </c>
      <c r="F11452" s="30" t="s">
        <v>1040</v>
      </c>
      <c r="G11452" s="30" t="s">
        <v>1041</v>
      </c>
      <c r="H11452" s="30" t="s">
        <v>1047</v>
      </c>
      <c r="J11452" s="30" t="s">
        <v>255</v>
      </c>
      <c r="L11452" s="30" t="s">
        <v>374</v>
      </c>
      <c r="M11452" s="30" t="s">
        <v>3774</v>
      </c>
      <c r="N11452" s="30" t="s">
        <v>2065</v>
      </c>
      <c r="P11452" s="30" t="s">
        <v>10025</v>
      </c>
      <c r="Q11452" t="s">
        <v>620</v>
      </c>
      <c r="R11452" t="s">
        <v>920</v>
      </c>
      <c r="S11452">
        <v>37</v>
      </c>
      <c r="T11452" s="29" t="str">
        <f t="shared" ref="T11452:T11460" si="478">HYPERLINK("https://ictv.global/ictv/proposals/2021.036M.R.Rhabdoviridae_sprename.zip","2021.036M.R.Rhabdoviridae_sprename.zip")</f>
        <v>2021.036M.R.Rhabdoviridae_sprename.zip</v>
      </c>
      <c r="U11452" s="29" t="str">
        <f>HYPERLINK("https://ictv.global/taxonomy/taxondetails?taxnode_id=202309154","ictv.global=202309154")</f>
        <v>ictv.global=202309154</v>
      </c>
    </row>
    <row r="11453" spans="1:21">
      <c r="A11453">
        <v>11452</v>
      </c>
      <c r="B11453" s="30" t="s">
        <v>1226</v>
      </c>
      <c r="D11453" s="30" t="s">
        <v>2024</v>
      </c>
      <c r="F11453" s="30" t="s">
        <v>1040</v>
      </c>
      <c r="G11453" s="30" t="s">
        <v>1041</v>
      </c>
      <c r="H11453" s="30" t="s">
        <v>1047</v>
      </c>
      <c r="J11453" s="30" t="s">
        <v>255</v>
      </c>
      <c r="L11453" s="30" t="s">
        <v>374</v>
      </c>
      <c r="M11453" s="30" t="s">
        <v>3774</v>
      </c>
      <c r="N11453" s="30" t="s">
        <v>2065</v>
      </c>
      <c r="P11453" s="30" t="s">
        <v>10026</v>
      </c>
      <c r="Q11453" t="s">
        <v>620</v>
      </c>
      <c r="R11453" t="s">
        <v>920</v>
      </c>
      <c r="S11453">
        <v>37</v>
      </c>
      <c r="T11453" s="29" t="str">
        <f t="shared" si="478"/>
        <v>2021.036M.R.Rhabdoviridae_sprename.zip</v>
      </c>
      <c r="U11453" s="29" t="str">
        <f>HYPERLINK("https://ictv.global/taxonomy/taxondetails?taxnode_id=202307696","ictv.global=202307696")</f>
        <v>ictv.global=202307696</v>
      </c>
    </row>
    <row r="11454" spans="1:21">
      <c r="A11454">
        <v>11453</v>
      </c>
      <c r="B11454" s="30" t="s">
        <v>1226</v>
      </c>
      <c r="D11454" s="30" t="s">
        <v>2024</v>
      </c>
      <c r="F11454" s="30" t="s">
        <v>1040</v>
      </c>
      <c r="G11454" s="30" t="s">
        <v>1041</v>
      </c>
      <c r="H11454" s="30" t="s">
        <v>1047</v>
      </c>
      <c r="J11454" s="30" t="s">
        <v>255</v>
      </c>
      <c r="L11454" s="30" t="s">
        <v>374</v>
      </c>
      <c r="M11454" s="30" t="s">
        <v>3774</v>
      </c>
      <c r="N11454" s="30" t="s">
        <v>2065</v>
      </c>
      <c r="P11454" s="30" t="s">
        <v>10027</v>
      </c>
      <c r="Q11454" t="s">
        <v>620</v>
      </c>
      <c r="R11454" t="s">
        <v>920</v>
      </c>
      <c r="S11454">
        <v>37</v>
      </c>
      <c r="T11454" s="29" t="str">
        <f t="shared" si="478"/>
        <v>2021.036M.R.Rhabdoviridae_sprename.zip</v>
      </c>
      <c r="U11454" s="29" t="str">
        <f>HYPERLINK("https://ictv.global/taxonomy/taxondetails?taxnode_id=202309155","ictv.global=202309155")</f>
        <v>ictv.global=202309155</v>
      </c>
    </row>
    <row r="11455" spans="1:21">
      <c r="A11455">
        <v>11454</v>
      </c>
      <c r="B11455" s="30" t="s">
        <v>1226</v>
      </c>
      <c r="D11455" s="30" t="s">
        <v>2024</v>
      </c>
      <c r="F11455" s="30" t="s">
        <v>1040</v>
      </c>
      <c r="G11455" s="30" t="s">
        <v>1041</v>
      </c>
      <c r="H11455" s="30" t="s">
        <v>1047</v>
      </c>
      <c r="J11455" s="30" t="s">
        <v>255</v>
      </c>
      <c r="L11455" s="30" t="s">
        <v>374</v>
      </c>
      <c r="M11455" s="30" t="s">
        <v>3774</v>
      </c>
      <c r="N11455" s="30" t="s">
        <v>2065</v>
      </c>
      <c r="P11455" s="30" t="s">
        <v>10028</v>
      </c>
      <c r="Q11455" t="s">
        <v>620</v>
      </c>
      <c r="R11455" t="s">
        <v>920</v>
      </c>
      <c r="S11455">
        <v>37</v>
      </c>
      <c r="T11455" s="29" t="str">
        <f t="shared" si="478"/>
        <v>2021.036M.R.Rhabdoviridae_sprename.zip</v>
      </c>
      <c r="U11455" s="29" t="str">
        <f>HYPERLINK("https://ictv.global/taxonomy/taxondetails?taxnode_id=202307697","ictv.global=202307697")</f>
        <v>ictv.global=202307697</v>
      </c>
    </row>
    <row r="11456" spans="1:21">
      <c r="A11456">
        <v>11455</v>
      </c>
      <c r="B11456" s="30" t="s">
        <v>1226</v>
      </c>
      <c r="D11456" s="30" t="s">
        <v>2024</v>
      </c>
      <c r="F11456" s="30" t="s">
        <v>1040</v>
      </c>
      <c r="G11456" s="30" t="s">
        <v>1041</v>
      </c>
      <c r="H11456" s="30" t="s">
        <v>1047</v>
      </c>
      <c r="J11456" s="30" t="s">
        <v>255</v>
      </c>
      <c r="L11456" s="30" t="s">
        <v>374</v>
      </c>
      <c r="M11456" s="30" t="s">
        <v>3774</v>
      </c>
      <c r="N11456" s="30" t="s">
        <v>2065</v>
      </c>
      <c r="P11456" s="30" t="s">
        <v>10029</v>
      </c>
      <c r="Q11456" t="s">
        <v>620</v>
      </c>
      <c r="R11456" t="s">
        <v>920</v>
      </c>
      <c r="S11456">
        <v>37</v>
      </c>
      <c r="T11456" s="29" t="str">
        <f t="shared" si="478"/>
        <v>2021.036M.R.Rhabdoviridae_sprename.zip</v>
      </c>
      <c r="U11456" s="29" t="str">
        <f>HYPERLINK("https://ictv.global/taxonomy/taxondetails?taxnode_id=202307693","ictv.global=202307693")</f>
        <v>ictv.global=202307693</v>
      </c>
    </row>
    <row r="11457" spans="1:21">
      <c r="A11457">
        <v>11456</v>
      </c>
      <c r="B11457" s="30" t="s">
        <v>1226</v>
      </c>
      <c r="D11457" s="30" t="s">
        <v>2024</v>
      </c>
      <c r="F11457" s="30" t="s">
        <v>1040</v>
      </c>
      <c r="G11457" s="30" t="s">
        <v>1041</v>
      </c>
      <c r="H11457" s="30" t="s">
        <v>1047</v>
      </c>
      <c r="J11457" s="30" t="s">
        <v>255</v>
      </c>
      <c r="L11457" s="30" t="s">
        <v>374</v>
      </c>
      <c r="M11457" s="30" t="s">
        <v>3774</v>
      </c>
      <c r="N11457" s="30" t="s">
        <v>2065</v>
      </c>
      <c r="P11457" s="30" t="s">
        <v>10030</v>
      </c>
      <c r="Q11457" t="s">
        <v>620</v>
      </c>
      <c r="R11457" t="s">
        <v>920</v>
      </c>
      <c r="S11457">
        <v>37</v>
      </c>
      <c r="T11457" s="29" t="str">
        <f t="shared" si="478"/>
        <v>2021.036M.R.Rhabdoviridae_sprename.zip</v>
      </c>
      <c r="U11457" s="29" t="str">
        <f>HYPERLINK("https://ictv.global/taxonomy/taxondetails?taxnode_id=202309153","ictv.global=202309153")</f>
        <v>ictv.global=202309153</v>
      </c>
    </row>
    <row r="11458" spans="1:21">
      <c r="A11458">
        <v>11457</v>
      </c>
      <c r="B11458" s="30" t="s">
        <v>1226</v>
      </c>
      <c r="D11458" s="30" t="s">
        <v>2024</v>
      </c>
      <c r="F11458" s="30" t="s">
        <v>1040</v>
      </c>
      <c r="G11458" s="30" t="s">
        <v>1041</v>
      </c>
      <c r="H11458" s="30" t="s">
        <v>1047</v>
      </c>
      <c r="J11458" s="30" t="s">
        <v>255</v>
      </c>
      <c r="L11458" s="30" t="s">
        <v>374</v>
      </c>
      <c r="M11458" s="30" t="s">
        <v>3774</v>
      </c>
      <c r="N11458" s="30" t="s">
        <v>2065</v>
      </c>
      <c r="P11458" s="30" t="s">
        <v>10031</v>
      </c>
      <c r="Q11458" t="s">
        <v>620</v>
      </c>
      <c r="R11458" t="s">
        <v>920</v>
      </c>
      <c r="S11458">
        <v>37</v>
      </c>
      <c r="T11458" s="29" t="str">
        <f t="shared" si="478"/>
        <v>2021.036M.R.Rhabdoviridae_sprename.zip</v>
      </c>
      <c r="U11458" s="29" t="str">
        <f>HYPERLINK("https://ictv.global/taxonomy/taxondetails?taxnode_id=202307695","ictv.global=202307695")</f>
        <v>ictv.global=202307695</v>
      </c>
    </row>
    <row r="11459" spans="1:21">
      <c r="A11459">
        <v>11458</v>
      </c>
      <c r="B11459" s="30" t="s">
        <v>1226</v>
      </c>
      <c r="D11459" s="30" t="s">
        <v>2024</v>
      </c>
      <c r="F11459" s="30" t="s">
        <v>1040</v>
      </c>
      <c r="G11459" s="30" t="s">
        <v>1041</v>
      </c>
      <c r="H11459" s="30" t="s">
        <v>1047</v>
      </c>
      <c r="J11459" s="30" t="s">
        <v>255</v>
      </c>
      <c r="L11459" s="30" t="s">
        <v>374</v>
      </c>
      <c r="M11459" s="30" t="s">
        <v>3774</v>
      </c>
      <c r="N11459" s="30" t="s">
        <v>2065</v>
      </c>
      <c r="P11459" s="30" t="s">
        <v>10032</v>
      </c>
      <c r="Q11459" t="s">
        <v>620</v>
      </c>
      <c r="R11459" t="s">
        <v>920</v>
      </c>
      <c r="S11459">
        <v>37</v>
      </c>
      <c r="T11459" s="29" t="str">
        <f t="shared" si="478"/>
        <v>2021.036M.R.Rhabdoviridae_sprename.zip</v>
      </c>
      <c r="U11459" s="29" t="str">
        <f>HYPERLINK("https://ictv.global/taxonomy/taxondetails?taxnode_id=202307694","ictv.global=202307694")</f>
        <v>ictv.global=202307694</v>
      </c>
    </row>
    <row r="11460" spans="1:21">
      <c r="A11460">
        <v>11459</v>
      </c>
      <c r="B11460" s="30" t="s">
        <v>1226</v>
      </c>
      <c r="D11460" s="30" t="s">
        <v>2024</v>
      </c>
      <c r="F11460" s="30" t="s">
        <v>1040</v>
      </c>
      <c r="G11460" s="30" t="s">
        <v>1041</v>
      </c>
      <c r="H11460" s="30" t="s">
        <v>1047</v>
      </c>
      <c r="J11460" s="30" t="s">
        <v>255</v>
      </c>
      <c r="L11460" s="30" t="s">
        <v>374</v>
      </c>
      <c r="M11460" s="30" t="s">
        <v>3774</v>
      </c>
      <c r="N11460" s="30" t="s">
        <v>507</v>
      </c>
      <c r="P11460" s="30" t="s">
        <v>10033</v>
      </c>
      <c r="Q11460" t="s">
        <v>620</v>
      </c>
      <c r="R11460" t="s">
        <v>920</v>
      </c>
      <c r="S11460">
        <v>37</v>
      </c>
      <c r="T11460" s="29" t="str">
        <f t="shared" si="478"/>
        <v>2021.036M.R.Rhabdoviridae_sprename.zip</v>
      </c>
      <c r="U11460" s="29" t="str">
        <f>HYPERLINK("https://ictv.global/taxonomy/taxondetails?taxnode_id=202301753","ictv.global=202301753")</f>
        <v>ictv.global=202301753</v>
      </c>
    </row>
    <row r="11461" spans="1:21">
      <c r="A11461">
        <v>11460</v>
      </c>
      <c r="B11461" s="30" t="s">
        <v>1226</v>
      </c>
      <c r="D11461" s="30" t="s">
        <v>2024</v>
      </c>
      <c r="F11461" s="30" t="s">
        <v>1040</v>
      </c>
      <c r="G11461" s="30" t="s">
        <v>1041</v>
      </c>
      <c r="H11461" s="30" t="s">
        <v>1047</v>
      </c>
      <c r="J11461" s="30" t="s">
        <v>255</v>
      </c>
      <c r="L11461" s="30" t="s">
        <v>374</v>
      </c>
      <c r="M11461" s="30" t="s">
        <v>3774</v>
      </c>
      <c r="N11461" s="30" t="s">
        <v>507</v>
      </c>
      <c r="P11461" s="30" t="s">
        <v>10034</v>
      </c>
      <c r="Q11461" t="s">
        <v>620</v>
      </c>
      <c r="R11461" t="s">
        <v>917</v>
      </c>
      <c r="S11461">
        <v>37</v>
      </c>
      <c r="T11461" s="29" t="str">
        <f>HYPERLINK("https://ictv.global/ictv/proposals/2021.003M.R.Alpharhabdovirinae_3ngen_7nsp.zip","2021.003M.R.Alpharhabdovirinae_3ngen_7nsp.zip")</f>
        <v>2021.003M.R.Alpharhabdovirinae_3ngen_7nsp.zip</v>
      </c>
      <c r="U11461" s="29" t="str">
        <f>HYPERLINK("https://ictv.global/taxonomy/taxondetails?taxnode_id=202313313","ictv.global=202313313")</f>
        <v>ictv.global=202313313</v>
      </c>
    </row>
    <row r="11462" spans="1:21">
      <c r="A11462">
        <v>11461</v>
      </c>
      <c r="B11462" s="30" t="s">
        <v>1226</v>
      </c>
      <c r="D11462" s="30" t="s">
        <v>2024</v>
      </c>
      <c r="F11462" s="30" t="s">
        <v>1040</v>
      </c>
      <c r="G11462" s="30" t="s">
        <v>1041</v>
      </c>
      <c r="H11462" s="30" t="s">
        <v>1047</v>
      </c>
      <c r="J11462" s="30" t="s">
        <v>255</v>
      </c>
      <c r="L11462" s="30" t="s">
        <v>374</v>
      </c>
      <c r="M11462" s="30" t="s">
        <v>3774</v>
      </c>
      <c r="N11462" s="30" t="s">
        <v>507</v>
      </c>
      <c r="P11462" s="30" t="s">
        <v>10035</v>
      </c>
      <c r="Q11462" t="s">
        <v>620</v>
      </c>
      <c r="R11462" t="s">
        <v>920</v>
      </c>
      <c r="S11462">
        <v>37</v>
      </c>
      <c r="T11462" s="29" t="str">
        <f>HYPERLINK("https://ictv.global/ictv/proposals/2021.036M.R.Rhabdoviridae_sprename.zip","2021.036M.R.Rhabdoviridae_sprename.zip")</f>
        <v>2021.036M.R.Rhabdoviridae_sprename.zip</v>
      </c>
      <c r="U11462" s="29" t="str">
        <f>HYPERLINK("https://ictv.global/taxonomy/taxondetails?taxnode_id=202301754","ictv.global=202301754")</f>
        <v>ictv.global=202301754</v>
      </c>
    </row>
    <row r="11463" spans="1:21">
      <c r="A11463">
        <v>11462</v>
      </c>
      <c r="B11463" s="30" t="s">
        <v>1226</v>
      </c>
      <c r="D11463" s="30" t="s">
        <v>2024</v>
      </c>
      <c r="F11463" s="30" t="s">
        <v>1040</v>
      </c>
      <c r="G11463" s="30" t="s">
        <v>1041</v>
      </c>
      <c r="H11463" s="30" t="s">
        <v>1047</v>
      </c>
      <c r="J11463" s="30" t="s">
        <v>255</v>
      </c>
      <c r="L11463" s="30" t="s">
        <v>374</v>
      </c>
      <c r="M11463" s="30" t="s">
        <v>3774</v>
      </c>
      <c r="N11463" s="30" t="s">
        <v>507</v>
      </c>
      <c r="P11463" s="30" t="s">
        <v>10036</v>
      </c>
      <c r="Q11463" t="s">
        <v>620</v>
      </c>
      <c r="R11463" t="s">
        <v>920</v>
      </c>
      <c r="S11463">
        <v>37</v>
      </c>
      <c r="T11463" s="29" t="str">
        <f>HYPERLINK("https://ictv.global/ictv/proposals/2021.036M.R.Rhabdoviridae_sprename.zip","2021.036M.R.Rhabdoviridae_sprename.zip")</f>
        <v>2021.036M.R.Rhabdoviridae_sprename.zip</v>
      </c>
      <c r="U11463" s="29" t="str">
        <f>HYPERLINK("https://ictv.global/taxonomy/taxondetails?taxnode_id=202301755","ictv.global=202301755")</f>
        <v>ictv.global=202301755</v>
      </c>
    </row>
    <row r="11464" spans="1:21">
      <c r="A11464">
        <v>11463</v>
      </c>
      <c r="B11464" s="30" t="s">
        <v>1226</v>
      </c>
      <c r="D11464" s="30" t="s">
        <v>2024</v>
      </c>
      <c r="F11464" s="30" t="s">
        <v>1040</v>
      </c>
      <c r="G11464" s="30" t="s">
        <v>1041</v>
      </c>
      <c r="H11464" s="30" t="s">
        <v>1047</v>
      </c>
      <c r="J11464" s="30" t="s">
        <v>255</v>
      </c>
      <c r="L11464" s="30" t="s">
        <v>374</v>
      </c>
      <c r="M11464" s="30" t="s">
        <v>3774</v>
      </c>
      <c r="N11464" s="30" t="s">
        <v>10037</v>
      </c>
      <c r="P11464" s="30" t="s">
        <v>10038</v>
      </c>
      <c r="Q11464" t="s">
        <v>620</v>
      </c>
      <c r="R11464" t="s">
        <v>917</v>
      </c>
      <c r="S11464">
        <v>37</v>
      </c>
      <c r="T11464" s="29" t="str">
        <f>HYPERLINK("https://ictv.global/ictv/proposals/2021.035M.R.Rhabdoviridae_2ngen_2nsp.zip","2021.035M.R.Rhabdoviridae_2ngen_2nsp.zip")</f>
        <v>2021.035M.R.Rhabdoviridae_2ngen_2nsp.zip</v>
      </c>
      <c r="U11464" s="29" t="str">
        <f>HYPERLINK("https://ictv.global/taxonomy/taxondetails?taxnode_id=202312251","ictv.global=202312251")</f>
        <v>ictv.global=202312251</v>
      </c>
    </row>
    <row r="11465" spans="1:21">
      <c r="A11465">
        <v>11464</v>
      </c>
      <c r="B11465" s="30" t="s">
        <v>1226</v>
      </c>
      <c r="D11465" s="30" t="s">
        <v>2024</v>
      </c>
      <c r="F11465" s="30" t="s">
        <v>1040</v>
      </c>
      <c r="G11465" s="30" t="s">
        <v>1041</v>
      </c>
      <c r="H11465" s="30" t="s">
        <v>1047</v>
      </c>
      <c r="J11465" s="30" t="s">
        <v>255</v>
      </c>
      <c r="L11465" s="30" t="s">
        <v>374</v>
      </c>
      <c r="M11465" s="30" t="s">
        <v>3774</v>
      </c>
      <c r="N11465" s="30" t="s">
        <v>2183</v>
      </c>
      <c r="P11465" s="30" t="s">
        <v>10039</v>
      </c>
      <c r="Q11465" t="s">
        <v>620</v>
      </c>
      <c r="R11465" t="s">
        <v>920</v>
      </c>
      <c r="S11465">
        <v>37</v>
      </c>
      <c r="T11465" s="29" t="str">
        <f>HYPERLINK("https://ictv.global/ictv/proposals/2021.036M.R.Rhabdoviridae_sprename.zip","2021.036M.R.Rhabdoviridae_sprename.zip")</f>
        <v>2021.036M.R.Rhabdoviridae_sprename.zip</v>
      </c>
      <c r="U11465" s="29" t="str">
        <f>HYPERLINK("https://ictv.global/taxonomy/taxondetails?taxnode_id=202307386","ictv.global=202307386")</f>
        <v>ictv.global=202307386</v>
      </c>
    </row>
    <row r="11466" spans="1:21">
      <c r="A11466">
        <v>11465</v>
      </c>
      <c r="B11466" s="30" t="s">
        <v>1226</v>
      </c>
      <c r="D11466" s="30" t="s">
        <v>2024</v>
      </c>
      <c r="F11466" s="30" t="s">
        <v>1040</v>
      </c>
      <c r="G11466" s="30" t="s">
        <v>1041</v>
      </c>
      <c r="H11466" s="30" t="s">
        <v>1047</v>
      </c>
      <c r="J11466" s="30" t="s">
        <v>255</v>
      </c>
      <c r="L11466" s="30" t="s">
        <v>374</v>
      </c>
      <c r="M11466" s="30" t="s">
        <v>3774</v>
      </c>
      <c r="N11466" s="30" t="s">
        <v>2183</v>
      </c>
      <c r="P11466" s="30" t="s">
        <v>10040</v>
      </c>
      <c r="Q11466" t="s">
        <v>620</v>
      </c>
      <c r="R11466" t="s">
        <v>920</v>
      </c>
      <c r="S11466">
        <v>37</v>
      </c>
      <c r="T11466" s="29" t="str">
        <f>HYPERLINK("https://ictv.global/ictv/proposals/2021.036M.R.Rhabdoviridae_sprename.zip","2021.036M.R.Rhabdoviridae_sprename.zip")</f>
        <v>2021.036M.R.Rhabdoviridae_sprename.zip</v>
      </c>
      <c r="U11466" s="29" t="str">
        <f>HYPERLINK("https://ictv.global/taxonomy/taxondetails?taxnode_id=202307387","ictv.global=202307387")</f>
        <v>ictv.global=202307387</v>
      </c>
    </row>
    <row r="11467" spans="1:21">
      <c r="A11467">
        <v>11466</v>
      </c>
      <c r="B11467" s="30" t="s">
        <v>1226</v>
      </c>
      <c r="D11467" s="30" t="s">
        <v>2024</v>
      </c>
      <c r="F11467" s="30" t="s">
        <v>1040</v>
      </c>
      <c r="G11467" s="30" t="s">
        <v>1041</v>
      </c>
      <c r="H11467" s="30" t="s">
        <v>1047</v>
      </c>
      <c r="J11467" s="30" t="s">
        <v>255</v>
      </c>
      <c r="L11467" s="30" t="s">
        <v>374</v>
      </c>
      <c r="M11467" s="30" t="s">
        <v>3774</v>
      </c>
      <c r="N11467" s="30" t="s">
        <v>2183</v>
      </c>
      <c r="P11467" s="30" t="s">
        <v>10041</v>
      </c>
      <c r="Q11467" t="s">
        <v>620</v>
      </c>
      <c r="R11467" t="s">
        <v>920</v>
      </c>
      <c r="S11467">
        <v>37</v>
      </c>
      <c r="T11467" s="29" t="str">
        <f>HYPERLINK("https://ictv.global/ictv/proposals/2021.036M.R.Rhabdoviridae_sprename.zip","2021.036M.R.Rhabdoviridae_sprename.zip")</f>
        <v>2021.036M.R.Rhabdoviridae_sprename.zip</v>
      </c>
      <c r="U11467" s="29" t="str">
        <f>HYPERLINK("https://ictv.global/taxonomy/taxondetails?taxnode_id=202307385","ictv.global=202307385")</f>
        <v>ictv.global=202307385</v>
      </c>
    </row>
    <row r="11468" spans="1:21">
      <c r="A11468">
        <v>11467</v>
      </c>
      <c r="B11468" s="30" t="s">
        <v>1226</v>
      </c>
      <c r="D11468" s="30" t="s">
        <v>2024</v>
      </c>
      <c r="F11468" s="30" t="s">
        <v>1040</v>
      </c>
      <c r="G11468" s="30" t="s">
        <v>1041</v>
      </c>
      <c r="H11468" s="30" t="s">
        <v>1047</v>
      </c>
      <c r="J11468" s="30" t="s">
        <v>255</v>
      </c>
      <c r="L11468" s="30" t="s">
        <v>374</v>
      </c>
      <c r="M11468" s="30" t="s">
        <v>3774</v>
      </c>
      <c r="N11468" s="30" t="s">
        <v>2183</v>
      </c>
      <c r="P11468" s="30" t="s">
        <v>10042</v>
      </c>
      <c r="Q11468" t="s">
        <v>620</v>
      </c>
      <c r="R11468" t="s">
        <v>920</v>
      </c>
      <c r="S11468">
        <v>37</v>
      </c>
      <c r="T11468" s="29" t="str">
        <f>HYPERLINK("https://ictv.global/ictv/proposals/2021.036M.R.Rhabdoviridae_sprename.zip","2021.036M.R.Rhabdoviridae_sprename.zip")</f>
        <v>2021.036M.R.Rhabdoviridae_sprename.zip</v>
      </c>
      <c r="U11468" s="29" t="str">
        <f>HYPERLINK("https://ictv.global/taxonomy/taxondetails?taxnode_id=202307384","ictv.global=202307384")</f>
        <v>ictv.global=202307384</v>
      </c>
    </row>
    <row r="11469" spans="1:21">
      <c r="A11469">
        <v>11468</v>
      </c>
      <c r="B11469" s="30" t="s">
        <v>1226</v>
      </c>
      <c r="D11469" s="30" t="s">
        <v>2024</v>
      </c>
      <c r="F11469" s="30" t="s">
        <v>1040</v>
      </c>
      <c r="G11469" s="30" t="s">
        <v>1041</v>
      </c>
      <c r="H11469" s="30" t="s">
        <v>1047</v>
      </c>
      <c r="J11469" s="30" t="s">
        <v>255</v>
      </c>
      <c r="L11469" s="30" t="s">
        <v>374</v>
      </c>
      <c r="M11469" s="30" t="s">
        <v>3774</v>
      </c>
      <c r="N11469" s="30" t="s">
        <v>10043</v>
      </c>
      <c r="P11469" s="30" t="s">
        <v>10044</v>
      </c>
      <c r="Q11469" t="s">
        <v>620</v>
      </c>
      <c r="R11469" t="s">
        <v>917</v>
      </c>
      <c r="S11469">
        <v>37</v>
      </c>
      <c r="T11469" s="29" t="str">
        <f>HYPERLINK("https://ictv.global/ictv/proposals/2021.003M.R.Alpharhabdovirinae_3ngen_7nsp.zip","2021.003M.R.Alpharhabdovirinae_3ngen_7nsp.zip")</f>
        <v>2021.003M.R.Alpharhabdovirinae_3ngen_7nsp.zip</v>
      </c>
      <c r="U11469" s="29" t="str">
        <f>HYPERLINK("https://ictv.global/taxonomy/taxondetails?taxnode_id=202313322","ictv.global=202313322")</f>
        <v>ictv.global=202313322</v>
      </c>
    </row>
    <row r="11470" spans="1:21">
      <c r="A11470">
        <v>11469</v>
      </c>
      <c r="B11470" s="30" t="s">
        <v>1226</v>
      </c>
      <c r="D11470" s="30" t="s">
        <v>2024</v>
      </c>
      <c r="F11470" s="30" t="s">
        <v>1040</v>
      </c>
      <c r="G11470" s="30" t="s">
        <v>1041</v>
      </c>
      <c r="H11470" s="30" t="s">
        <v>1047</v>
      </c>
      <c r="J11470" s="30" t="s">
        <v>255</v>
      </c>
      <c r="L11470" s="30" t="s">
        <v>374</v>
      </c>
      <c r="M11470" s="30" t="s">
        <v>3774</v>
      </c>
      <c r="N11470" s="30" t="s">
        <v>10043</v>
      </c>
      <c r="P11470" s="30" t="s">
        <v>10045</v>
      </c>
      <c r="Q11470" t="s">
        <v>620</v>
      </c>
      <c r="R11470" t="s">
        <v>917</v>
      </c>
      <c r="S11470">
        <v>37</v>
      </c>
      <c r="T11470" s="29" t="str">
        <f>HYPERLINK("https://ictv.global/ictv/proposals/2021.003M.R.Alpharhabdovirinae_3ngen_7nsp.zip","2021.003M.R.Alpharhabdovirinae_3ngen_7nsp.zip")</f>
        <v>2021.003M.R.Alpharhabdovirinae_3ngen_7nsp.zip</v>
      </c>
      <c r="U11470" s="29" t="str">
        <f>HYPERLINK("https://ictv.global/taxonomy/taxondetails?taxnode_id=202313321","ictv.global=202313321")</f>
        <v>ictv.global=202313321</v>
      </c>
    </row>
    <row r="11471" spans="1:21">
      <c r="A11471">
        <v>11470</v>
      </c>
      <c r="B11471" s="30" t="s">
        <v>1226</v>
      </c>
      <c r="D11471" s="30" t="s">
        <v>2024</v>
      </c>
      <c r="F11471" s="30" t="s">
        <v>1040</v>
      </c>
      <c r="G11471" s="30" t="s">
        <v>1041</v>
      </c>
      <c r="H11471" s="30" t="s">
        <v>1047</v>
      </c>
      <c r="J11471" s="30" t="s">
        <v>255</v>
      </c>
      <c r="L11471" s="30" t="s">
        <v>374</v>
      </c>
      <c r="M11471" s="30" t="s">
        <v>3774</v>
      </c>
      <c r="N11471" s="30" t="s">
        <v>508</v>
      </c>
      <c r="P11471" s="30" t="s">
        <v>10046</v>
      </c>
      <c r="Q11471" t="s">
        <v>620</v>
      </c>
      <c r="R11471" t="s">
        <v>920</v>
      </c>
      <c r="S11471">
        <v>37</v>
      </c>
      <c r="T11471" s="29" t="str">
        <f t="shared" ref="T11471:T11477" si="479">HYPERLINK("https://ictv.global/ictv/proposals/2021.036M.R.Rhabdoviridae_sprename.zip","2021.036M.R.Rhabdoviridae_sprename.zip")</f>
        <v>2021.036M.R.Rhabdoviridae_sprename.zip</v>
      </c>
      <c r="U11471" s="29" t="str">
        <f>HYPERLINK("https://ictv.global/taxonomy/taxondetails?taxnode_id=202301757","ictv.global=202301757")</f>
        <v>ictv.global=202301757</v>
      </c>
    </row>
    <row r="11472" spans="1:21">
      <c r="A11472">
        <v>11471</v>
      </c>
      <c r="B11472" s="30" t="s">
        <v>1226</v>
      </c>
      <c r="D11472" s="30" t="s">
        <v>2024</v>
      </c>
      <c r="F11472" s="30" t="s">
        <v>1040</v>
      </c>
      <c r="G11472" s="30" t="s">
        <v>1041</v>
      </c>
      <c r="H11472" s="30" t="s">
        <v>1047</v>
      </c>
      <c r="J11472" s="30" t="s">
        <v>255</v>
      </c>
      <c r="L11472" s="30" t="s">
        <v>374</v>
      </c>
      <c r="M11472" s="30" t="s">
        <v>3774</v>
      </c>
      <c r="N11472" s="30" t="s">
        <v>508</v>
      </c>
      <c r="P11472" s="30" t="s">
        <v>10047</v>
      </c>
      <c r="Q11472" t="s">
        <v>620</v>
      </c>
      <c r="R11472" t="s">
        <v>920</v>
      </c>
      <c r="S11472">
        <v>37</v>
      </c>
      <c r="T11472" s="29" t="str">
        <f t="shared" si="479"/>
        <v>2021.036M.R.Rhabdoviridae_sprename.zip</v>
      </c>
      <c r="U11472" s="29" t="str">
        <f>HYPERLINK("https://ictv.global/taxonomy/taxondetails?taxnode_id=202301758","ictv.global=202301758")</f>
        <v>ictv.global=202301758</v>
      </c>
    </row>
    <row r="11473" spans="1:21">
      <c r="A11473">
        <v>11472</v>
      </c>
      <c r="B11473" s="30" t="s">
        <v>1226</v>
      </c>
      <c r="D11473" s="30" t="s">
        <v>2024</v>
      </c>
      <c r="F11473" s="30" t="s">
        <v>1040</v>
      </c>
      <c r="G11473" s="30" t="s">
        <v>1041</v>
      </c>
      <c r="H11473" s="30" t="s">
        <v>1047</v>
      </c>
      <c r="J11473" s="30" t="s">
        <v>255</v>
      </c>
      <c r="L11473" s="30" t="s">
        <v>374</v>
      </c>
      <c r="M11473" s="30" t="s">
        <v>3774</v>
      </c>
      <c r="N11473" s="30" t="s">
        <v>508</v>
      </c>
      <c r="P11473" s="30" t="s">
        <v>10048</v>
      </c>
      <c r="Q11473" t="s">
        <v>620</v>
      </c>
      <c r="R11473" t="s">
        <v>920</v>
      </c>
      <c r="S11473">
        <v>37</v>
      </c>
      <c r="T11473" s="29" t="str">
        <f t="shared" si="479"/>
        <v>2021.036M.R.Rhabdoviridae_sprename.zip</v>
      </c>
      <c r="U11473" s="29" t="str">
        <f>HYPERLINK("https://ictv.global/taxonomy/taxondetails?taxnode_id=202308829","ictv.global=202308829")</f>
        <v>ictv.global=202308829</v>
      </c>
    </row>
    <row r="11474" spans="1:21">
      <c r="A11474">
        <v>11473</v>
      </c>
      <c r="B11474" s="30" t="s">
        <v>1226</v>
      </c>
      <c r="D11474" s="30" t="s">
        <v>2024</v>
      </c>
      <c r="F11474" s="30" t="s">
        <v>1040</v>
      </c>
      <c r="G11474" s="30" t="s">
        <v>1041</v>
      </c>
      <c r="H11474" s="30" t="s">
        <v>1047</v>
      </c>
      <c r="J11474" s="30" t="s">
        <v>255</v>
      </c>
      <c r="L11474" s="30" t="s">
        <v>374</v>
      </c>
      <c r="M11474" s="30" t="s">
        <v>3774</v>
      </c>
      <c r="N11474" s="30" t="s">
        <v>508</v>
      </c>
      <c r="P11474" s="30" t="s">
        <v>10049</v>
      </c>
      <c r="Q11474" t="s">
        <v>620</v>
      </c>
      <c r="R11474" t="s">
        <v>920</v>
      </c>
      <c r="S11474">
        <v>37</v>
      </c>
      <c r="T11474" s="29" t="str">
        <f t="shared" si="479"/>
        <v>2021.036M.R.Rhabdoviridae_sprename.zip</v>
      </c>
      <c r="U11474" s="29" t="str">
        <f>HYPERLINK("https://ictv.global/taxonomy/taxondetails?taxnode_id=202308833","ictv.global=202308833")</f>
        <v>ictv.global=202308833</v>
      </c>
    </row>
    <row r="11475" spans="1:21">
      <c r="A11475">
        <v>11474</v>
      </c>
      <c r="B11475" s="30" t="s">
        <v>1226</v>
      </c>
      <c r="D11475" s="30" t="s">
        <v>2024</v>
      </c>
      <c r="F11475" s="30" t="s">
        <v>1040</v>
      </c>
      <c r="G11475" s="30" t="s">
        <v>1041</v>
      </c>
      <c r="H11475" s="30" t="s">
        <v>1047</v>
      </c>
      <c r="J11475" s="30" t="s">
        <v>255</v>
      </c>
      <c r="L11475" s="30" t="s">
        <v>374</v>
      </c>
      <c r="M11475" s="30" t="s">
        <v>3774</v>
      </c>
      <c r="N11475" s="30" t="s">
        <v>508</v>
      </c>
      <c r="P11475" s="30" t="s">
        <v>10050</v>
      </c>
      <c r="Q11475" t="s">
        <v>620</v>
      </c>
      <c r="R11475" t="s">
        <v>920</v>
      </c>
      <c r="S11475">
        <v>37</v>
      </c>
      <c r="T11475" s="29" t="str">
        <f t="shared" si="479"/>
        <v>2021.036M.R.Rhabdoviridae_sprename.zip</v>
      </c>
      <c r="U11475" s="29" t="str">
        <f>HYPERLINK("https://ictv.global/taxonomy/taxondetails?taxnode_id=202308824","ictv.global=202308824")</f>
        <v>ictv.global=202308824</v>
      </c>
    </row>
    <row r="11476" spans="1:21">
      <c r="A11476">
        <v>11475</v>
      </c>
      <c r="B11476" s="30" t="s">
        <v>1226</v>
      </c>
      <c r="D11476" s="30" t="s">
        <v>2024</v>
      </c>
      <c r="F11476" s="30" t="s">
        <v>1040</v>
      </c>
      <c r="G11476" s="30" t="s">
        <v>1041</v>
      </c>
      <c r="H11476" s="30" t="s">
        <v>1047</v>
      </c>
      <c r="J11476" s="30" t="s">
        <v>255</v>
      </c>
      <c r="L11476" s="30" t="s">
        <v>374</v>
      </c>
      <c r="M11476" s="30" t="s">
        <v>3774</v>
      </c>
      <c r="N11476" s="30" t="s">
        <v>508</v>
      </c>
      <c r="P11476" s="30" t="s">
        <v>10051</v>
      </c>
      <c r="Q11476" t="s">
        <v>620</v>
      </c>
      <c r="R11476" t="s">
        <v>920</v>
      </c>
      <c r="S11476">
        <v>37</v>
      </c>
      <c r="T11476" s="29" t="str">
        <f t="shared" si="479"/>
        <v>2021.036M.R.Rhabdoviridae_sprename.zip</v>
      </c>
      <c r="U11476" s="29" t="str">
        <f>HYPERLINK("https://ictv.global/taxonomy/taxondetails?taxnode_id=202308827","ictv.global=202308827")</f>
        <v>ictv.global=202308827</v>
      </c>
    </row>
    <row r="11477" spans="1:21">
      <c r="A11477">
        <v>11476</v>
      </c>
      <c r="B11477" s="30" t="s">
        <v>1226</v>
      </c>
      <c r="D11477" s="30" t="s">
        <v>2024</v>
      </c>
      <c r="F11477" s="30" t="s">
        <v>1040</v>
      </c>
      <c r="G11477" s="30" t="s">
        <v>1041</v>
      </c>
      <c r="H11477" s="30" t="s">
        <v>1047</v>
      </c>
      <c r="J11477" s="30" t="s">
        <v>255</v>
      </c>
      <c r="L11477" s="30" t="s">
        <v>374</v>
      </c>
      <c r="M11477" s="30" t="s">
        <v>3774</v>
      </c>
      <c r="N11477" s="30" t="s">
        <v>508</v>
      </c>
      <c r="P11477" s="30" t="s">
        <v>10052</v>
      </c>
      <c r="Q11477" t="s">
        <v>620</v>
      </c>
      <c r="R11477" t="s">
        <v>920</v>
      </c>
      <c r="S11477">
        <v>37</v>
      </c>
      <c r="T11477" s="29" t="str">
        <f t="shared" si="479"/>
        <v>2021.036M.R.Rhabdoviridae_sprename.zip</v>
      </c>
      <c r="U11477" s="29" t="str">
        <f>HYPERLINK("https://ictv.global/taxonomy/taxondetails?taxnode_id=202301759","ictv.global=202301759")</f>
        <v>ictv.global=202301759</v>
      </c>
    </row>
    <row r="11478" spans="1:21">
      <c r="A11478">
        <v>11477</v>
      </c>
      <c r="B11478" s="30" t="s">
        <v>1226</v>
      </c>
      <c r="D11478" s="30" t="s">
        <v>2024</v>
      </c>
      <c r="F11478" s="30" t="s">
        <v>1040</v>
      </c>
      <c r="G11478" s="30" t="s">
        <v>1041</v>
      </c>
      <c r="H11478" s="30" t="s">
        <v>1047</v>
      </c>
      <c r="J11478" s="30" t="s">
        <v>255</v>
      </c>
      <c r="L11478" s="30" t="s">
        <v>374</v>
      </c>
      <c r="M11478" s="30" t="s">
        <v>3774</v>
      </c>
      <c r="N11478" s="30" t="s">
        <v>508</v>
      </c>
      <c r="P11478" s="30" t="s">
        <v>17407</v>
      </c>
      <c r="Q11478" t="s">
        <v>620</v>
      </c>
      <c r="R11478" t="s">
        <v>917</v>
      </c>
      <c r="S11478">
        <v>39</v>
      </c>
      <c r="T11478" s="29" t="str">
        <f>HYPERLINK("https://ictv.global/ictv/proposals/2023.003M.Alpharhabdovirinae_8nsp.zip","2023.003M.Alpharhabdovirinae_8nsp.zip")</f>
        <v>2023.003M.Alpharhabdovirinae_8nsp.zip</v>
      </c>
      <c r="U11478" s="29" t="str">
        <f>HYPERLINK("https://ictv.global/taxonomy/taxondetails?taxnode_id=202317784","ictv.global=202317784")</f>
        <v>ictv.global=202317784</v>
      </c>
    </row>
    <row r="11479" spans="1:21">
      <c r="A11479">
        <v>11478</v>
      </c>
      <c r="B11479" s="30" t="s">
        <v>1226</v>
      </c>
      <c r="D11479" s="30" t="s">
        <v>2024</v>
      </c>
      <c r="F11479" s="30" t="s">
        <v>1040</v>
      </c>
      <c r="G11479" s="30" t="s">
        <v>1041</v>
      </c>
      <c r="H11479" s="30" t="s">
        <v>1047</v>
      </c>
      <c r="J11479" s="30" t="s">
        <v>255</v>
      </c>
      <c r="L11479" s="30" t="s">
        <v>374</v>
      </c>
      <c r="M11479" s="30" t="s">
        <v>3774</v>
      </c>
      <c r="N11479" s="30" t="s">
        <v>508</v>
      </c>
      <c r="P11479" s="30" t="s">
        <v>10053</v>
      </c>
      <c r="Q11479" t="s">
        <v>620</v>
      </c>
      <c r="R11479" t="s">
        <v>920</v>
      </c>
      <c r="S11479">
        <v>37</v>
      </c>
      <c r="T11479" s="29" t="str">
        <f t="shared" ref="T11479:T11484" si="480">HYPERLINK("https://ictv.global/ictv/proposals/2021.036M.R.Rhabdoviridae_sprename.zip","2021.036M.R.Rhabdoviridae_sprename.zip")</f>
        <v>2021.036M.R.Rhabdoviridae_sprename.zip</v>
      </c>
      <c r="U11479" s="29" t="str">
        <f>HYPERLINK("https://ictv.global/taxonomy/taxondetails?taxnode_id=202308825","ictv.global=202308825")</f>
        <v>ictv.global=202308825</v>
      </c>
    </row>
    <row r="11480" spans="1:21">
      <c r="A11480">
        <v>11479</v>
      </c>
      <c r="B11480" s="30" t="s">
        <v>1226</v>
      </c>
      <c r="D11480" s="30" t="s">
        <v>2024</v>
      </c>
      <c r="F11480" s="30" t="s">
        <v>1040</v>
      </c>
      <c r="G11480" s="30" t="s">
        <v>1041</v>
      </c>
      <c r="H11480" s="30" t="s">
        <v>1047</v>
      </c>
      <c r="J11480" s="30" t="s">
        <v>255</v>
      </c>
      <c r="L11480" s="30" t="s">
        <v>374</v>
      </c>
      <c r="M11480" s="30" t="s">
        <v>3774</v>
      </c>
      <c r="N11480" s="30" t="s">
        <v>508</v>
      </c>
      <c r="P11480" s="30" t="s">
        <v>10054</v>
      </c>
      <c r="Q11480" t="s">
        <v>620</v>
      </c>
      <c r="R11480" t="s">
        <v>920</v>
      </c>
      <c r="S11480">
        <v>37</v>
      </c>
      <c r="T11480" s="29" t="str">
        <f t="shared" si="480"/>
        <v>2021.036M.R.Rhabdoviridae_sprename.zip</v>
      </c>
      <c r="U11480" s="29" t="str">
        <f>HYPERLINK("https://ictv.global/taxonomy/taxondetails?taxnode_id=202301760","ictv.global=202301760")</f>
        <v>ictv.global=202301760</v>
      </c>
    </row>
    <row r="11481" spans="1:21">
      <c r="A11481">
        <v>11480</v>
      </c>
      <c r="B11481" s="30" t="s">
        <v>1226</v>
      </c>
      <c r="D11481" s="30" t="s">
        <v>2024</v>
      </c>
      <c r="F11481" s="30" t="s">
        <v>1040</v>
      </c>
      <c r="G11481" s="30" t="s">
        <v>1041</v>
      </c>
      <c r="H11481" s="30" t="s">
        <v>1047</v>
      </c>
      <c r="J11481" s="30" t="s">
        <v>255</v>
      </c>
      <c r="L11481" s="30" t="s">
        <v>374</v>
      </c>
      <c r="M11481" s="30" t="s">
        <v>3774</v>
      </c>
      <c r="N11481" s="30" t="s">
        <v>508</v>
      </c>
      <c r="P11481" s="30" t="s">
        <v>10055</v>
      </c>
      <c r="Q11481" t="s">
        <v>620</v>
      </c>
      <c r="R11481" t="s">
        <v>920</v>
      </c>
      <c r="S11481">
        <v>37</v>
      </c>
      <c r="T11481" s="29" t="str">
        <f t="shared" si="480"/>
        <v>2021.036M.R.Rhabdoviridae_sprename.zip</v>
      </c>
      <c r="U11481" s="29" t="str">
        <f>HYPERLINK("https://ictv.global/taxonomy/taxondetails?taxnode_id=202301763","ictv.global=202301763")</f>
        <v>ictv.global=202301763</v>
      </c>
    </row>
    <row r="11482" spans="1:21">
      <c r="A11482">
        <v>11481</v>
      </c>
      <c r="B11482" s="30" t="s">
        <v>1226</v>
      </c>
      <c r="D11482" s="30" t="s">
        <v>2024</v>
      </c>
      <c r="F11482" s="30" t="s">
        <v>1040</v>
      </c>
      <c r="G11482" s="30" t="s">
        <v>1041</v>
      </c>
      <c r="H11482" s="30" t="s">
        <v>1047</v>
      </c>
      <c r="J11482" s="30" t="s">
        <v>255</v>
      </c>
      <c r="L11482" s="30" t="s">
        <v>374</v>
      </c>
      <c r="M11482" s="30" t="s">
        <v>3774</v>
      </c>
      <c r="N11482" s="30" t="s">
        <v>508</v>
      </c>
      <c r="P11482" s="30" t="s">
        <v>10056</v>
      </c>
      <c r="Q11482" t="s">
        <v>620</v>
      </c>
      <c r="R11482" t="s">
        <v>920</v>
      </c>
      <c r="S11482">
        <v>37</v>
      </c>
      <c r="T11482" s="29" t="str">
        <f t="shared" si="480"/>
        <v>2021.036M.R.Rhabdoviridae_sprename.zip</v>
      </c>
      <c r="U11482" s="29" t="str">
        <f>HYPERLINK("https://ictv.global/taxonomy/taxondetails?taxnode_id=202308828","ictv.global=202308828")</f>
        <v>ictv.global=202308828</v>
      </c>
    </row>
    <row r="11483" spans="1:21">
      <c r="A11483">
        <v>11482</v>
      </c>
      <c r="B11483" s="30" t="s">
        <v>1226</v>
      </c>
      <c r="D11483" s="30" t="s">
        <v>2024</v>
      </c>
      <c r="F11483" s="30" t="s">
        <v>1040</v>
      </c>
      <c r="G11483" s="30" t="s">
        <v>1041</v>
      </c>
      <c r="H11483" s="30" t="s">
        <v>1047</v>
      </c>
      <c r="J11483" s="30" t="s">
        <v>255</v>
      </c>
      <c r="L11483" s="30" t="s">
        <v>374</v>
      </c>
      <c r="M11483" s="30" t="s">
        <v>3774</v>
      </c>
      <c r="N11483" s="30" t="s">
        <v>508</v>
      </c>
      <c r="P11483" s="30" t="s">
        <v>10057</v>
      </c>
      <c r="Q11483" t="s">
        <v>620</v>
      </c>
      <c r="R11483" t="s">
        <v>920</v>
      </c>
      <c r="S11483">
        <v>37</v>
      </c>
      <c r="T11483" s="29" t="str">
        <f t="shared" si="480"/>
        <v>2021.036M.R.Rhabdoviridae_sprename.zip</v>
      </c>
      <c r="U11483" s="29" t="str">
        <f>HYPERLINK("https://ictv.global/taxonomy/taxondetails?taxnode_id=202301761","ictv.global=202301761")</f>
        <v>ictv.global=202301761</v>
      </c>
    </row>
    <row r="11484" spans="1:21">
      <c r="A11484">
        <v>11483</v>
      </c>
      <c r="B11484" s="30" t="s">
        <v>1226</v>
      </c>
      <c r="D11484" s="30" t="s">
        <v>2024</v>
      </c>
      <c r="F11484" s="30" t="s">
        <v>1040</v>
      </c>
      <c r="G11484" s="30" t="s">
        <v>1041</v>
      </c>
      <c r="H11484" s="30" t="s">
        <v>1047</v>
      </c>
      <c r="J11484" s="30" t="s">
        <v>255</v>
      </c>
      <c r="L11484" s="30" t="s">
        <v>374</v>
      </c>
      <c r="M11484" s="30" t="s">
        <v>3774</v>
      </c>
      <c r="N11484" s="30" t="s">
        <v>508</v>
      </c>
      <c r="P11484" s="30" t="s">
        <v>10058</v>
      </c>
      <c r="Q11484" t="s">
        <v>620</v>
      </c>
      <c r="R11484" t="s">
        <v>920</v>
      </c>
      <c r="S11484">
        <v>37</v>
      </c>
      <c r="T11484" s="29" t="str">
        <f t="shared" si="480"/>
        <v>2021.036M.R.Rhabdoviridae_sprename.zip</v>
      </c>
      <c r="U11484" s="29" t="str">
        <f>HYPERLINK("https://ictv.global/taxonomy/taxondetails?taxnode_id=202308831","ictv.global=202308831")</f>
        <v>ictv.global=202308831</v>
      </c>
    </row>
    <row r="11485" spans="1:21">
      <c r="A11485">
        <v>11484</v>
      </c>
      <c r="B11485" s="30" t="s">
        <v>1226</v>
      </c>
      <c r="D11485" s="30" t="s">
        <v>2024</v>
      </c>
      <c r="F11485" s="30" t="s">
        <v>1040</v>
      </c>
      <c r="G11485" s="30" t="s">
        <v>1041</v>
      </c>
      <c r="H11485" s="30" t="s">
        <v>1047</v>
      </c>
      <c r="J11485" s="30" t="s">
        <v>255</v>
      </c>
      <c r="L11485" s="30" t="s">
        <v>374</v>
      </c>
      <c r="M11485" s="30" t="s">
        <v>3774</v>
      </c>
      <c r="N11485" s="30" t="s">
        <v>508</v>
      </c>
      <c r="P11485" s="30" t="s">
        <v>10059</v>
      </c>
      <c r="Q11485" t="s">
        <v>620</v>
      </c>
      <c r="R11485" t="s">
        <v>917</v>
      </c>
      <c r="S11485">
        <v>38</v>
      </c>
      <c r="T11485" s="29" t="str">
        <f>HYPERLINK("https://ictv.global/ictv/proposals/2022.002M.Alpharhabdovirinae_1ngen14nsp.zip","2022.002M.Alpharhabdovirinae_1ngen14nsp.zip")</f>
        <v>2022.002M.Alpharhabdovirinae_1ngen14nsp.zip</v>
      </c>
      <c r="U11485" s="29" t="str">
        <f>HYPERLINK("https://ictv.global/taxonomy/taxondetails?taxnode_id=202314158","ictv.global=202314158")</f>
        <v>ictv.global=202314158</v>
      </c>
    </row>
    <row r="11486" spans="1:21">
      <c r="A11486">
        <v>11485</v>
      </c>
      <c r="B11486" s="30" t="s">
        <v>1226</v>
      </c>
      <c r="D11486" s="30" t="s">
        <v>2024</v>
      </c>
      <c r="F11486" s="30" t="s">
        <v>1040</v>
      </c>
      <c r="G11486" s="30" t="s">
        <v>1041</v>
      </c>
      <c r="H11486" s="30" t="s">
        <v>1047</v>
      </c>
      <c r="J11486" s="30" t="s">
        <v>255</v>
      </c>
      <c r="L11486" s="30" t="s">
        <v>374</v>
      </c>
      <c r="M11486" s="30" t="s">
        <v>3774</v>
      </c>
      <c r="N11486" s="30" t="s">
        <v>508</v>
      </c>
      <c r="P11486" s="30" t="s">
        <v>10060</v>
      </c>
      <c r="Q11486" t="s">
        <v>620</v>
      </c>
      <c r="R11486" t="s">
        <v>920</v>
      </c>
      <c r="S11486">
        <v>37</v>
      </c>
      <c r="T11486" s="29" t="str">
        <f>HYPERLINK("https://ictv.global/ictv/proposals/2021.036M.R.Rhabdoviridae_sprename.zip","2021.036M.R.Rhabdoviridae_sprename.zip")</f>
        <v>2021.036M.R.Rhabdoviridae_sprename.zip</v>
      </c>
      <c r="U11486" s="29" t="str">
        <f>HYPERLINK("https://ictv.global/taxonomy/taxondetails?taxnode_id=202308830","ictv.global=202308830")</f>
        <v>ictv.global=202308830</v>
      </c>
    </row>
    <row r="11487" spans="1:21">
      <c r="A11487">
        <v>11486</v>
      </c>
      <c r="B11487" s="30" t="s">
        <v>1226</v>
      </c>
      <c r="D11487" s="30" t="s">
        <v>2024</v>
      </c>
      <c r="F11487" s="30" t="s">
        <v>1040</v>
      </c>
      <c r="G11487" s="30" t="s">
        <v>1041</v>
      </c>
      <c r="H11487" s="30" t="s">
        <v>1047</v>
      </c>
      <c r="J11487" s="30" t="s">
        <v>255</v>
      </c>
      <c r="L11487" s="30" t="s">
        <v>374</v>
      </c>
      <c r="M11487" s="30" t="s">
        <v>3774</v>
      </c>
      <c r="N11487" s="30" t="s">
        <v>508</v>
      </c>
      <c r="P11487" s="30" t="s">
        <v>10061</v>
      </c>
      <c r="Q11487" t="s">
        <v>620</v>
      </c>
      <c r="R11487" t="s">
        <v>920</v>
      </c>
      <c r="S11487">
        <v>37</v>
      </c>
      <c r="T11487" s="29" t="str">
        <f>HYPERLINK("https://ictv.global/ictv/proposals/2021.036M.R.Rhabdoviridae_sprename.zip","2021.036M.R.Rhabdoviridae_sprename.zip")</f>
        <v>2021.036M.R.Rhabdoviridae_sprename.zip</v>
      </c>
      <c r="U11487" s="29" t="str">
        <f>HYPERLINK("https://ictv.global/taxonomy/taxondetails?taxnode_id=202301762","ictv.global=202301762")</f>
        <v>ictv.global=202301762</v>
      </c>
    </row>
    <row r="11488" spans="1:21">
      <c r="A11488">
        <v>11487</v>
      </c>
      <c r="B11488" s="30" t="s">
        <v>1226</v>
      </c>
      <c r="D11488" s="30" t="s">
        <v>2024</v>
      </c>
      <c r="F11488" s="30" t="s">
        <v>1040</v>
      </c>
      <c r="G11488" s="30" t="s">
        <v>1041</v>
      </c>
      <c r="H11488" s="30" t="s">
        <v>1047</v>
      </c>
      <c r="J11488" s="30" t="s">
        <v>255</v>
      </c>
      <c r="L11488" s="30" t="s">
        <v>374</v>
      </c>
      <c r="M11488" s="30" t="s">
        <v>3774</v>
      </c>
      <c r="N11488" s="30" t="s">
        <v>508</v>
      </c>
      <c r="P11488" s="30" t="s">
        <v>17408</v>
      </c>
      <c r="Q11488" t="s">
        <v>620</v>
      </c>
      <c r="R11488" t="s">
        <v>917</v>
      </c>
      <c r="S11488">
        <v>39</v>
      </c>
      <c r="T11488" s="29" t="str">
        <f>HYPERLINK("https://ictv.global/ictv/proposals/2023.003M.Alpharhabdovirinae_8nsp.zip","2023.003M.Alpharhabdovirinae_8nsp.zip")</f>
        <v>2023.003M.Alpharhabdovirinae_8nsp.zip</v>
      </c>
      <c r="U11488" s="29" t="str">
        <f>HYPERLINK("https://ictv.global/taxonomy/taxondetails?taxnode_id=202317785","ictv.global=202317785")</f>
        <v>ictv.global=202317785</v>
      </c>
    </row>
    <row r="11489" spans="1:21">
      <c r="A11489">
        <v>11488</v>
      </c>
      <c r="B11489" s="30" t="s">
        <v>1226</v>
      </c>
      <c r="D11489" s="30" t="s">
        <v>2024</v>
      </c>
      <c r="F11489" s="30" t="s">
        <v>1040</v>
      </c>
      <c r="G11489" s="30" t="s">
        <v>1041</v>
      </c>
      <c r="H11489" s="30" t="s">
        <v>1047</v>
      </c>
      <c r="J11489" s="30" t="s">
        <v>255</v>
      </c>
      <c r="L11489" s="30" t="s">
        <v>374</v>
      </c>
      <c r="M11489" s="30" t="s">
        <v>3774</v>
      </c>
      <c r="N11489" s="30" t="s">
        <v>508</v>
      </c>
      <c r="P11489" s="30" t="s">
        <v>10062</v>
      </c>
      <c r="Q11489" t="s">
        <v>620</v>
      </c>
      <c r="R11489" t="s">
        <v>917</v>
      </c>
      <c r="S11489">
        <v>38</v>
      </c>
      <c r="T11489" s="29" t="str">
        <f>HYPERLINK("https://ictv.global/ictv/proposals/2022.002M.Alpharhabdovirinae_1ngen14nsp.zip","2022.002M.Alpharhabdovirinae_1ngen14nsp.zip")</f>
        <v>2022.002M.Alpharhabdovirinae_1ngen14nsp.zip</v>
      </c>
      <c r="U11489" s="29" t="str">
        <f>HYPERLINK("https://ictv.global/taxonomy/taxondetails?taxnode_id=202314159","ictv.global=202314159")</f>
        <v>ictv.global=202314159</v>
      </c>
    </row>
    <row r="11490" spans="1:21">
      <c r="A11490">
        <v>11489</v>
      </c>
      <c r="B11490" s="30" t="s">
        <v>1226</v>
      </c>
      <c r="D11490" s="30" t="s">
        <v>2024</v>
      </c>
      <c r="F11490" s="30" t="s">
        <v>1040</v>
      </c>
      <c r="G11490" s="30" t="s">
        <v>1041</v>
      </c>
      <c r="H11490" s="30" t="s">
        <v>1047</v>
      </c>
      <c r="J11490" s="30" t="s">
        <v>255</v>
      </c>
      <c r="L11490" s="30" t="s">
        <v>374</v>
      </c>
      <c r="M11490" s="30" t="s">
        <v>3774</v>
      </c>
      <c r="N11490" s="30" t="s">
        <v>508</v>
      </c>
      <c r="P11490" s="30" t="s">
        <v>10063</v>
      </c>
      <c r="Q11490" t="s">
        <v>620</v>
      </c>
      <c r="R11490" t="s">
        <v>920</v>
      </c>
      <c r="S11490">
        <v>37</v>
      </c>
      <c r="T11490" s="29" t="str">
        <f>HYPERLINK("https://ictv.global/ictv/proposals/2021.036M.R.Rhabdoviridae_sprename.zip","2021.036M.R.Rhabdoviridae_sprename.zip")</f>
        <v>2021.036M.R.Rhabdoviridae_sprename.zip</v>
      </c>
      <c r="U11490" s="29" t="str">
        <f>HYPERLINK("https://ictv.global/taxonomy/taxondetails?taxnode_id=202308832","ictv.global=202308832")</f>
        <v>ictv.global=202308832</v>
      </c>
    </row>
    <row r="11491" spans="1:21">
      <c r="A11491">
        <v>11490</v>
      </c>
      <c r="B11491" s="30" t="s">
        <v>1226</v>
      </c>
      <c r="D11491" s="30" t="s">
        <v>2024</v>
      </c>
      <c r="F11491" s="30" t="s">
        <v>1040</v>
      </c>
      <c r="G11491" s="30" t="s">
        <v>1041</v>
      </c>
      <c r="H11491" s="30" t="s">
        <v>1047</v>
      </c>
      <c r="J11491" s="30" t="s">
        <v>255</v>
      </c>
      <c r="L11491" s="30" t="s">
        <v>374</v>
      </c>
      <c r="M11491" s="30" t="s">
        <v>3774</v>
      </c>
      <c r="N11491" s="30" t="s">
        <v>508</v>
      </c>
      <c r="P11491" s="30" t="s">
        <v>10064</v>
      </c>
      <c r="Q11491" t="s">
        <v>620</v>
      </c>
      <c r="R11491" t="s">
        <v>920</v>
      </c>
      <c r="S11491">
        <v>37</v>
      </c>
      <c r="T11491" s="29" t="str">
        <f>HYPERLINK("https://ictv.global/ictv/proposals/2021.036M.R.Rhabdoviridae_sprename.zip","2021.036M.R.Rhabdoviridae_sprename.zip")</f>
        <v>2021.036M.R.Rhabdoviridae_sprename.zip</v>
      </c>
      <c r="U11491" s="29" t="str">
        <f>HYPERLINK("https://ictv.global/taxonomy/taxondetails?taxnode_id=202308826","ictv.global=202308826")</f>
        <v>ictv.global=202308826</v>
      </c>
    </row>
    <row r="11492" spans="1:21">
      <c r="A11492">
        <v>11491</v>
      </c>
      <c r="B11492" s="30" t="s">
        <v>1226</v>
      </c>
      <c r="D11492" s="30" t="s">
        <v>2024</v>
      </c>
      <c r="F11492" s="30" t="s">
        <v>1040</v>
      </c>
      <c r="G11492" s="30" t="s">
        <v>1041</v>
      </c>
      <c r="H11492" s="30" t="s">
        <v>1047</v>
      </c>
      <c r="J11492" s="30" t="s">
        <v>255</v>
      </c>
      <c r="L11492" s="30" t="s">
        <v>374</v>
      </c>
      <c r="M11492" s="30" t="s">
        <v>3774</v>
      </c>
      <c r="N11492" s="30" t="s">
        <v>508</v>
      </c>
      <c r="P11492" s="30" t="s">
        <v>10065</v>
      </c>
      <c r="Q11492" t="s">
        <v>620</v>
      </c>
      <c r="R11492" t="s">
        <v>917</v>
      </c>
      <c r="S11492">
        <v>38</v>
      </c>
      <c r="T11492" s="29" t="str">
        <f>HYPERLINK("https://ictv.global/ictv/proposals/2022.002M.Alpharhabdovirinae_1ngen14nsp.zip","2022.002M.Alpharhabdovirinae_1ngen14nsp.zip")</f>
        <v>2022.002M.Alpharhabdovirinae_1ngen14nsp.zip</v>
      </c>
      <c r="U11492" s="29" t="str">
        <f>HYPERLINK("https://ictv.global/taxonomy/taxondetails?taxnode_id=202314157","ictv.global=202314157")</f>
        <v>ictv.global=202314157</v>
      </c>
    </row>
    <row r="11493" spans="1:21">
      <c r="A11493">
        <v>11492</v>
      </c>
      <c r="B11493" s="30" t="s">
        <v>1226</v>
      </c>
      <c r="D11493" s="30" t="s">
        <v>2024</v>
      </c>
      <c r="F11493" s="30" t="s">
        <v>1040</v>
      </c>
      <c r="G11493" s="30" t="s">
        <v>1041</v>
      </c>
      <c r="H11493" s="30" t="s">
        <v>1047</v>
      </c>
      <c r="J11493" s="30" t="s">
        <v>255</v>
      </c>
      <c r="L11493" s="30" t="s">
        <v>374</v>
      </c>
      <c r="M11493" s="30" t="s">
        <v>3774</v>
      </c>
      <c r="N11493" s="30" t="s">
        <v>10066</v>
      </c>
      <c r="P11493" s="30" t="s">
        <v>10067</v>
      </c>
      <c r="Q11493" t="s">
        <v>620</v>
      </c>
      <c r="R11493" t="s">
        <v>917</v>
      </c>
      <c r="S11493">
        <v>37</v>
      </c>
      <c r="T11493" s="29" t="str">
        <f>HYPERLINK("https://ictv.global/ictv/proposals/2021.003M.R.Alpharhabdovirinae_3ngen_7nsp.zip","2021.003M.R.Alpharhabdovirinae_3ngen_7nsp.zip")</f>
        <v>2021.003M.R.Alpharhabdovirinae_3ngen_7nsp.zip</v>
      </c>
      <c r="U11493" s="29" t="str">
        <f>HYPERLINK("https://ictv.global/taxonomy/taxondetails?taxnode_id=202313319","ictv.global=202313319")</f>
        <v>ictv.global=202313319</v>
      </c>
    </row>
    <row r="11494" spans="1:21">
      <c r="A11494">
        <v>11493</v>
      </c>
      <c r="B11494" s="30" t="s">
        <v>1226</v>
      </c>
      <c r="D11494" s="30" t="s">
        <v>2024</v>
      </c>
      <c r="F11494" s="30" t="s">
        <v>1040</v>
      </c>
      <c r="G11494" s="30" t="s">
        <v>1041</v>
      </c>
      <c r="H11494" s="30" t="s">
        <v>1047</v>
      </c>
      <c r="J11494" s="30" t="s">
        <v>255</v>
      </c>
      <c r="L11494" s="30" t="s">
        <v>374</v>
      </c>
      <c r="M11494" s="30" t="s">
        <v>3774</v>
      </c>
      <c r="N11494" s="30" t="s">
        <v>10066</v>
      </c>
      <c r="P11494" s="30" t="s">
        <v>10068</v>
      </c>
      <c r="Q11494" t="s">
        <v>620</v>
      </c>
      <c r="R11494" t="s">
        <v>917</v>
      </c>
      <c r="S11494">
        <v>37</v>
      </c>
      <c r="T11494" s="29" t="str">
        <f>HYPERLINK("https://ictv.global/ictv/proposals/2021.003M.R.Alpharhabdovirinae_3ngen_7nsp.zip","2021.003M.R.Alpharhabdovirinae_3ngen_7nsp.zip")</f>
        <v>2021.003M.R.Alpharhabdovirinae_3ngen_7nsp.zip</v>
      </c>
      <c r="U11494" s="29" t="str">
        <f>HYPERLINK("https://ictv.global/taxonomy/taxondetails?taxnode_id=202313318","ictv.global=202313318")</f>
        <v>ictv.global=202313318</v>
      </c>
    </row>
    <row r="11495" spans="1:21">
      <c r="A11495">
        <v>11494</v>
      </c>
      <c r="B11495" s="30" t="s">
        <v>1226</v>
      </c>
      <c r="D11495" s="30" t="s">
        <v>2024</v>
      </c>
      <c r="F11495" s="30" t="s">
        <v>1040</v>
      </c>
      <c r="G11495" s="30" t="s">
        <v>1041</v>
      </c>
      <c r="H11495" s="30" t="s">
        <v>1047</v>
      </c>
      <c r="J11495" s="30" t="s">
        <v>255</v>
      </c>
      <c r="L11495" s="30" t="s">
        <v>374</v>
      </c>
      <c r="M11495" s="30" t="s">
        <v>3774</v>
      </c>
      <c r="N11495" s="30" t="s">
        <v>536</v>
      </c>
      <c r="P11495" s="30" t="s">
        <v>10069</v>
      </c>
      <c r="Q11495" t="s">
        <v>620</v>
      </c>
      <c r="R11495" t="s">
        <v>920</v>
      </c>
      <c r="S11495">
        <v>37</v>
      </c>
      <c r="T11495" s="29" t="str">
        <f>HYPERLINK("https://ictv.global/ictv/proposals/2021.036M.R.Rhabdoviridae_sprename.zip","2021.036M.R.Rhabdoviridae_sprename.zip;2021.042M.R.Corrections_Riboviria_Duplodnaviria.zip")</f>
        <v>2021.036M.R.Rhabdoviridae_sprename.zip;2021.042M.R.Corrections_Riboviria_Duplodnaviria.zip</v>
      </c>
      <c r="U11495" s="29" t="str">
        <f>HYPERLINK("https://ictv.global/taxonomy/taxondetails?taxnode_id=202301765","ictv.global=202301765")</f>
        <v>ictv.global=202301765</v>
      </c>
    </row>
    <row r="11496" spans="1:21">
      <c r="A11496">
        <v>11495</v>
      </c>
      <c r="B11496" s="30" t="s">
        <v>1226</v>
      </c>
      <c r="D11496" s="30" t="s">
        <v>2024</v>
      </c>
      <c r="F11496" s="30" t="s">
        <v>1040</v>
      </c>
      <c r="G11496" s="30" t="s">
        <v>1041</v>
      </c>
      <c r="H11496" s="30" t="s">
        <v>1047</v>
      </c>
      <c r="J11496" s="30" t="s">
        <v>255</v>
      </c>
      <c r="L11496" s="30" t="s">
        <v>374</v>
      </c>
      <c r="M11496" s="30" t="s">
        <v>3774</v>
      </c>
      <c r="N11496" s="30" t="s">
        <v>536</v>
      </c>
      <c r="P11496" s="30" t="s">
        <v>10070</v>
      </c>
      <c r="Q11496" t="s">
        <v>620</v>
      </c>
      <c r="R11496" t="s">
        <v>920</v>
      </c>
      <c r="S11496">
        <v>37</v>
      </c>
      <c r="T11496" s="29" t="str">
        <f>HYPERLINK("https://ictv.global/ictv/proposals/2021.036M.R.Rhabdoviridae_sprename.zip","2021.036M.R.Rhabdoviridae_sprename.zip;2021.042M.R.Corrections_Riboviria_Duplodnaviria.zip")</f>
        <v>2021.036M.R.Rhabdoviridae_sprename.zip;2021.042M.R.Corrections_Riboviria_Duplodnaviria.zip</v>
      </c>
      <c r="U11496" s="29" t="str">
        <f>HYPERLINK("https://ictv.global/taxonomy/taxondetails?taxnode_id=202301766","ictv.global=202301766")</f>
        <v>ictv.global=202301766</v>
      </c>
    </row>
    <row r="11497" spans="1:21">
      <c r="A11497">
        <v>11496</v>
      </c>
      <c r="B11497" s="30" t="s">
        <v>1226</v>
      </c>
      <c r="D11497" s="30" t="s">
        <v>2024</v>
      </c>
      <c r="F11497" s="30" t="s">
        <v>1040</v>
      </c>
      <c r="G11497" s="30" t="s">
        <v>1041</v>
      </c>
      <c r="H11497" s="30" t="s">
        <v>1047</v>
      </c>
      <c r="J11497" s="30" t="s">
        <v>255</v>
      </c>
      <c r="L11497" s="30" t="s">
        <v>374</v>
      </c>
      <c r="M11497" s="30" t="s">
        <v>3774</v>
      </c>
      <c r="N11497" s="30" t="s">
        <v>892</v>
      </c>
      <c r="P11497" s="30" t="s">
        <v>10071</v>
      </c>
      <c r="Q11497" t="s">
        <v>620</v>
      </c>
      <c r="R11497" t="s">
        <v>920</v>
      </c>
      <c r="S11497">
        <v>37</v>
      </c>
      <c r="T11497" s="29" t="str">
        <f t="shared" ref="T11497:T11504" si="481">HYPERLINK("https://ictv.global/ictv/proposals/2021.036M.R.Rhabdoviridae_sprename.zip","2021.036M.R.Rhabdoviridae_sprename.zip")</f>
        <v>2021.036M.R.Rhabdoviridae_sprename.zip</v>
      </c>
      <c r="U11497" s="29" t="str">
        <f>HYPERLINK("https://ictv.global/taxonomy/taxondetails?taxnode_id=202301768","ictv.global=202301768")</f>
        <v>ictv.global=202301768</v>
      </c>
    </row>
    <row r="11498" spans="1:21">
      <c r="A11498">
        <v>11497</v>
      </c>
      <c r="B11498" s="30" t="s">
        <v>1226</v>
      </c>
      <c r="D11498" s="30" t="s">
        <v>2024</v>
      </c>
      <c r="F11498" s="30" t="s">
        <v>1040</v>
      </c>
      <c r="G11498" s="30" t="s">
        <v>1041</v>
      </c>
      <c r="H11498" s="30" t="s">
        <v>1047</v>
      </c>
      <c r="J11498" s="30" t="s">
        <v>255</v>
      </c>
      <c r="L11498" s="30" t="s">
        <v>374</v>
      </c>
      <c r="M11498" s="30" t="s">
        <v>3774</v>
      </c>
      <c r="N11498" s="30" t="s">
        <v>892</v>
      </c>
      <c r="P11498" s="30" t="s">
        <v>10072</v>
      </c>
      <c r="Q11498" t="s">
        <v>620</v>
      </c>
      <c r="R11498" t="s">
        <v>920</v>
      </c>
      <c r="S11498">
        <v>37</v>
      </c>
      <c r="T11498" s="29" t="str">
        <f t="shared" si="481"/>
        <v>2021.036M.R.Rhabdoviridae_sprename.zip</v>
      </c>
      <c r="U11498" s="29" t="str">
        <f>HYPERLINK("https://ictv.global/taxonomy/taxondetails?taxnode_id=202301769","ictv.global=202301769")</f>
        <v>ictv.global=202301769</v>
      </c>
    </row>
    <row r="11499" spans="1:21">
      <c r="A11499">
        <v>11498</v>
      </c>
      <c r="B11499" s="30" t="s">
        <v>1226</v>
      </c>
      <c r="D11499" s="30" t="s">
        <v>2024</v>
      </c>
      <c r="F11499" s="30" t="s">
        <v>1040</v>
      </c>
      <c r="G11499" s="30" t="s">
        <v>1041</v>
      </c>
      <c r="H11499" s="30" t="s">
        <v>1047</v>
      </c>
      <c r="J11499" s="30" t="s">
        <v>255</v>
      </c>
      <c r="L11499" s="30" t="s">
        <v>374</v>
      </c>
      <c r="M11499" s="30" t="s">
        <v>3774</v>
      </c>
      <c r="N11499" s="30" t="s">
        <v>892</v>
      </c>
      <c r="P11499" s="30" t="s">
        <v>10073</v>
      </c>
      <c r="Q11499" t="s">
        <v>620</v>
      </c>
      <c r="R11499" t="s">
        <v>920</v>
      </c>
      <c r="S11499">
        <v>37</v>
      </c>
      <c r="T11499" s="29" t="str">
        <f t="shared" si="481"/>
        <v>2021.036M.R.Rhabdoviridae_sprename.zip</v>
      </c>
      <c r="U11499" s="29" t="str">
        <f>HYPERLINK("https://ictv.global/taxonomy/taxondetails?taxnode_id=202307405","ictv.global=202307405")</f>
        <v>ictv.global=202307405</v>
      </c>
    </row>
    <row r="11500" spans="1:21">
      <c r="A11500">
        <v>11499</v>
      </c>
      <c r="B11500" s="30" t="s">
        <v>1226</v>
      </c>
      <c r="D11500" s="30" t="s">
        <v>2024</v>
      </c>
      <c r="F11500" s="30" t="s">
        <v>1040</v>
      </c>
      <c r="G11500" s="30" t="s">
        <v>1041</v>
      </c>
      <c r="H11500" s="30" t="s">
        <v>1047</v>
      </c>
      <c r="J11500" s="30" t="s">
        <v>255</v>
      </c>
      <c r="L11500" s="30" t="s">
        <v>374</v>
      </c>
      <c r="M11500" s="30" t="s">
        <v>3774</v>
      </c>
      <c r="N11500" s="30" t="s">
        <v>892</v>
      </c>
      <c r="P11500" s="30" t="s">
        <v>10074</v>
      </c>
      <c r="Q11500" t="s">
        <v>620</v>
      </c>
      <c r="R11500" t="s">
        <v>920</v>
      </c>
      <c r="S11500">
        <v>37</v>
      </c>
      <c r="T11500" s="29" t="str">
        <f t="shared" si="481"/>
        <v>2021.036M.R.Rhabdoviridae_sprename.zip</v>
      </c>
      <c r="U11500" s="29" t="str">
        <f>HYPERLINK("https://ictv.global/taxonomy/taxondetails?taxnode_id=202307406","ictv.global=202307406")</f>
        <v>ictv.global=202307406</v>
      </c>
    </row>
    <row r="11501" spans="1:21">
      <c r="A11501">
        <v>11500</v>
      </c>
      <c r="B11501" s="30" t="s">
        <v>1226</v>
      </c>
      <c r="D11501" s="30" t="s">
        <v>2024</v>
      </c>
      <c r="F11501" s="30" t="s">
        <v>1040</v>
      </c>
      <c r="G11501" s="30" t="s">
        <v>1041</v>
      </c>
      <c r="H11501" s="30" t="s">
        <v>1047</v>
      </c>
      <c r="J11501" s="30" t="s">
        <v>255</v>
      </c>
      <c r="L11501" s="30" t="s">
        <v>374</v>
      </c>
      <c r="M11501" s="30" t="s">
        <v>3774</v>
      </c>
      <c r="N11501" s="30" t="s">
        <v>892</v>
      </c>
      <c r="P11501" s="30" t="s">
        <v>10075</v>
      </c>
      <c r="Q11501" t="s">
        <v>620</v>
      </c>
      <c r="R11501" t="s">
        <v>920</v>
      </c>
      <c r="S11501">
        <v>37</v>
      </c>
      <c r="T11501" s="29" t="str">
        <f t="shared" si="481"/>
        <v>2021.036M.R.Rhabdoviridae_sprename.zip</v>
      </c>
      <c r="U11501" s="29" t="str">
        <f>HYPERLINK("https://ictv.global/taxonomy/taxondetails?taxnode_id=202307407","ictv.global=202307407")</f>
        <v>ictv.global=202307407</v>
      </c>
    </row>
    <row r="11502" spans="1:21">
      <c r="A11502">
        <v>11501</v>
      </c>
      <c r="B11502" s="30" t="s">
        <v>1226</v>
      </c>
      <c r="D11502" s="30" t="s">
        <v>2024</v>
      </c>
      <c r="F11502" s="30" t="s">
        <v>1040</v>
      </c>
      <c r="G11502" s="30" t="s">
        <v>1041</v>
      </c>
      <c r="H11502" s="30" t="s">
        <v>1047</v>
      </c>
      <c r="J11502" s="30" t="s">
        <v>255</v>
      </c>
      <c r="L11502" s="30" t="s">
        <v>374</v>
      </c>
      <c r="M11502" s="30" t="s">
        <v>3774</v>
      </c>
      <c r="N11502" s="30" t="s">
        <v>892</v>
      </c>
      <c r="P11502" s="30" t="s">
        <v>10076</v>
      </c>
      <c r="Q11502" t="s">
        <v>620</v>
      </c>
      <c r="R11502" t="s">
        <v>920</v>
      </c>
      <c r="S11502">
        <v>37</v>
      </c>
      <c r="T11502" s="29" t="str">
        <f t="shared" si="481"/>
        <v>2021.036M.R.Rhabdoviridae_sprename.zip</v>
      </c>
      <c r="U11502" s="29" t="str">
        <f>HYPERLINK("https://ictv.global/taxonomy/taxondetails?taxnode_id=202301771","ictv.global=202301771")</f>
        <v>ictv.global=202301771</v>
      </c>
    </row>
    <row r="11503" spans="1:21">
      <c r="A11503">
        <v>11502</v>
      </c>
      <c r="B11503" s="30" t="s">
        <v>1226</v>
      </c>
      <c r="D11503" s="30" t="s">
        <v>2024</v>
      </c>
      <c r="F11503" s="30" t="s">
        <v>1040</v>
      </c>
      <c r="G11503" s="30" t="s">
        <v>1041</v>
      </c>
      <c r="H11503" s="30" t="s">
        <v>1047</v>
      </c>
      <c r="J11503" s="30" t="s">
        <v>255</v>
      </c>
      <c r="L11503" s="30" t="s">
        <v>374</v>
      </c>
      <c r="M11503" s="30" t="s">
        <v>3774</v>
      </c>
      <c r="N11503" s="30" t="s">
        <v>892</v>
      </c>
      <c r="P11503" s="30" t="s">
        <v>10077</v>
      </c>
      <c r="Q11503" t="s">
        <v>620</v>
      </c>
      <c r="R11503" t="s">
        <v>920</v>
      </c>
      <c r="S11503">
        <v>37</v>
      </c>
      <c r="T11503" s="29" t="str">
        <f t="shared" si="481"/>
        <v>2021.036M.R.Rhabdoviridae_sprename.zip</v>
      </c>
      <c r="U11503" s="29" t="str">
        <f>HYPERLINK("https://ictv.global/taxonomy/taxondetails?taxnode_id=202301770","ictv.global=202301770")</f>
        <v>ictv.global=202301770</v>
      </c>
    </row>
    <row r="11504" spans="1:21">
      <c r="A11504">
        <v>11503</v>
      </c>
      <c r="B11504" s="30" t="s">
        <v>1226</v>
      </c>
      <c r="D11504" s="30" t="s">
        <v>2024</v>
      </c>
      <c r="F11504" s="30" t="s">
        <v>1040</v>
      </c>
      <c r="G11504" s="30" t="s">
        <v>1041</v>
      </c>
      <c r="H11504" s="30" t="s">
        <v>1047</v>
      </c>
      <c r="J11504" s="30" t="s">
        <v>255</v>
      </c>
      <c r="L11504" s="30" t="s">
        <v>374</v>
      </c>
      <c r="M11504" s="30" t="s">
        <v>3774</v>
      </c>
      <c r="N11504" s="30" t="s">
        <v>892</v>
      </c>
      <c r="P11504" s="30" t="s">
        <v>10078</v>
      </c>
      <c r="Q11504" t="s">
        <v>620</v>
      </c>
      <c r="R11504" t="s">
        <v>920</v>
      </c>
      <c r="S11504">
        <v>37</v>
      </c>
      <c r="T11504" s="29" t="str">
        <f t="shared" si="481"/>
        <v>2021.036M.R.Rhabdoviridae_sprename.zip</v>
      </c>
      <c r="U11504" s="29" t="str">
        <f>HYPERLINK("https://ictv.global/taxonomy/taxondetails?taxnode_id=202301772","ictv.global=202301772")</f>
        <v>ictv.global=202301772</v>
      </c>
    </row>
    <row r="11505" spans="1:21">
      <c r="A11505">
        <v>11504</v>
      </c>
      <c r="B11505" s="30" t="s">
        <v>1226</v>
      </c>
      <c r="D11505" s="30" t="s">
        <v>2024</v>
      </c>
      <c r="F11505" s="30" t="s">
        <v>1040</v>
      </c>
      <c r="G11505" s="30" t="s">
        <v>1041</v>
      </c>
      <c r="H11505" s="30" t="s">
        <v>1047</v>
      </c>
      <c r="J11505" s="30" t="s">
        <v>255</v>
      </c>
      <c r="L11505" s="30" t="s">
        <v>374</v>
      </c>
      <c r="M11505" s="30" t="s">
        <v>3774</v>
      </c>
      <c r="N11505" s="30" t="s">
        <v>2066</v>
      </c>
      <c r="P11505" s="30" t="s">
        <v>10079</v>
      </c>
      <c r="Q11505" t="s">
        <v>620</v>
      </c>
      <c r="R11505" t="s">
        <v>917</v>
      </c>
      <c r="S11505">
        <v>37</v>
      </c>
      <c r="T11505" s="29" t="str">
        <f>HYPERLINK("https://ictv.global/ictv/proposals/2021.004M.R.Alpharhabdovirinae_13nsp.zip","2021.004M.R.Alpharhabdovirinae_13nsp.zip")</f>
        <v>2021.004M.R.Alpharhabdovirinae_13nsp.zip</v>
      </c>
      <c r="U11505" s="29" t="str">
        <f>HYPERLINK("https://ictv.global/taxonomy/taxondetails?taxnode_id=202313332","ictv.global=202313332")</f>
        <v>ictv.global=202313332</v>
      </c>
    </row>
    <row r="11506" spans="1:21">
      <c r="A11506">
        <v>11505</v>
      </c>
      <c r="B11506" s="30" t="s">
        <v>1226</v>
      </c>
      <c r="D11506" s="30" t="s">
        <v>2024</v>
      </c>
      <c r="F11506" s="30" t="s">
        <v>1040</v>
      </c>
      <c r="G11506" s="30" t="s">
        <v>1041</v>
      </c>
      <c r="H11506" s="30" t="s">
        <v>1047</v>
      </c>
      <c r="J11506" s="30" t="s">
        <v>255</v>
      </c>
      <c r="L11506" s="30" t="s">
        <v>374</v>
      </c>
      <c r="M11506" s="30" t="s">
        <v>3774</v>
      </c>
      <c r="N11506" s="30" t="s">
        <v>2066</v>
      </c>
      <c r="P11506" s="30" t="s">
        <v>10080</v>
      </c>
      <c r="Q11506" t="s">
        <v>620</v>
      </c>
      <c r="R11506" t="s">
        <v>917</v>
      </c>
      <c r="S11506">
        <v>37</v>
      </c>
      <c r="T11506" s="29" t="str">
        <f>HYPERLINK("https://ictv.global/ictv/proposals/2021.004M.R.Alpharhabdovirinae_13nsp.zip","2021.004M.R.Alpharhabdovirinae_13nsp.zip")</f>
        <v>2021.004M.R.Alpharhabdovirinae_13nsp.zip</v>
      </c>
      <c r="U11506" s="29" t="str">
        <f>HYPERLINK("https://ictv.global/taxonomy/taxondetails?taxnode_id=202313329","ictv.global=202313329")</f>
        <v>ictv.global=202313329</v>
      </c>
    </row>
    <row r="11507" spans="1:21">
      <c r="A11507">
        <v>11506</v>
      </c>
      <c r="B11507" s="30" t="s">
        <v>1226</v>
      </c>
      <c r="D11507" s="30" t="s">
        <v>2024</v>
      </c>
      <c r="F11507" s="30" t="s">
        <v>1040</v>
      </c>
      <c r="G11507" s="30" t="s">
        <v>1041</v>
      </c>
      <c r="H11507" s="30" t="s">
        <v>1047</v>
      </c>
      <c r="J11507" s="30" t="s">
        <v>255</v>
      </c>
      <c r="L11507" s="30" t="s">
        <v>374</v>
      </c>
      <c r="M11507" s="30" t="s">
        <v>3774</v>
      </c>
      <c r="N11507" s="30" t="s">
        <v>2066</v>
      </c>
      <c r="P11507" s="30" t="s">
        <v>10081</v>
      </c>
      <c r="Q11507" t="s">
        <v>620</v>
      </c>
      <c r="R11507" t="s">
        <v>917</v>
      </c>
      <c r="S11507">
        <v>37</v>
      </c>
      <c r="T11507" s="29" t="str">
        <f>HYPERLINK("https://ictv.global/ictv/proposals/2021.004M.R.Alpharhabdovirinae_13nsp.zip","2021.004M.R.Alpharhabdovirinae_13nsp.zip")</f>
        <v>2021.004M.R.Alpharhabdovirinae_13nsp.zip</v>
      </c>
      <c r="U11507" s="29" t="str">
        <f>HYPERLINK("https://ictv.global/taxonomy/taxondetails?taxnode_id=202313328","ictv.global=202313328")</f>
        <v>ictv.global=202313328</v>
      </c>
    </row>
    <row r="11508" spans="1:21">
      <c r="A11508">
        <v>11507</v>
      </c>
      <c r="B11508" s="30" t="s">
        <v>1226</v>
      </c>
      <c r="D11508" s="30" t="s">
        <v>2024</v>
      </c>
      <c r="F11508" s="30" t="s">
        <v>1040</v>
      </c>
      <c r="G11508" s="30" t="s">
        <v>1041</v>
      </c>
      <c r="H11508" s="30" t="s">
        <v>1047</v>
      </c>
      <c r="J11508" s="30" t="s">
        <v>255</v>
      </c>
      <c r="L11508" s="30" t="s">
        <v>374</v>
      </c>
      <c r="M11508" s="30" t="s">
        <v>3774</v>
      </c>
      <c r="N11508" s="30" t="s">
        <v>2066</v>
      </c>
      <c r="P11508" s="30" t="s">
        <v>10082</v>
      </c>
      <c r="Q11508" t="s">
        <v>620</v>
      </c>
      <c r="R11508" t="s">
        <v>920</v>
      </c>
      <c r="S11508">
        <v>37</v>
      </c>
      <c r="T11508" s="29" t="str">
        <f>HYPERLINK("https://ictv.global/ictv/proposals/2021.036M.R.Rhabdoviridae_sprename.zip","2021.036M.R.Rhabdoviridae_sprename.zip")</f>
        <v>2021.036M.R.Rhabdoviridae_sprename.zip</v>
      </c>
      <c r="U11508" s="29" t="str">
        <f>HYPERLINK("https://ictv.global/taxonomy/taxondetails?taxnode_id=202309167","ictv.global=202309167")</f>
        <v>ictv.global=202309167</v>
      </c>
    </row>
    <row r="11509" spans="1:21">
      <c r="A11509">
        <v>11508</v>
      </c>
      <c r="B11509" s="30" t="s">
        <v>1226</v>
      </c>
      <c r="D11509" s="30" t="s">
        <v>2024</v>
      </c>
      <c r="F11509" s="30" t="s">
        <v>1040</v>
      </c>
      <c r="G11509" s="30" t="s">
        <v>1041</v>
      </c>
      <c r="H11509" s="30" t="s">
        <v>1047</v>
      </c>
      <c r="J11509" s="30" t="s">
        <v>255</v>
      </c>
      <c r="L11509" s="30" t="s">
        <v>374</v>
      </c>
      <c r="M11509" s="30" t="s">
        <v>3774</v>
      </c>
      <c r="N11509" s="30" t="s">
        <v>2066</v>
      </c>
      <c r="P11509" s="30" t="s">
        <v>10083</v>
      </c>
      <c r="Q11509" t="s">
        <v>620</v>
      </c>
      <c r="R11509" t="s">
        <v>920</v>
      </c>
      <c r="S11509">
        <v>37</v>
      </c>
      <c r="T11509" s="29" t="str">
        <f>HYPERLINK("https://ictv.global/ictv/proposals/2021.036M.R.Rhabdoviridae_sprename.zip","2021.036M.R.Rhabdoviridae_sprename.zip")</f>
        <v>2021.036M.R.Rhabdoviridae_sprename.zip</v>
      </c>
      <c r="U11509" s="29" t="str">
        <f>HYPERLINK("https://ictv.global/taxonomy/taxondetails?taxnode_id=202307125","ictv.global=202307125")</f>
        <v>ictv.global=202307125</v>
      </c>
    </row>
    <row r="11510" spans="1:21">
      <c r="A11510">
        <v>11509</v>
      </c>
      <c r="B11510" s="30" t="s">
        <v>1226</v>
      </c>
      <c r="D11510" s="30" t="s">
        <v>2024</v>
      </c>
      <c r="F11510" s="30" t="s">
        <v>1040</v>
      </c>
      <c r="G11510" s="30" t="s">
        <v>1041</v>
      </c>
      <c r="H11510" s="30" t="s">
        <v>1047</v>
      </c>
      <c r="J11510" s="30" t="s">
        <v>255</v>
      </c>
      <c r="L11510" s="30" t="s">
        <v>374</v>
      </c>
      <c r="M11510" s="30" t="s">
        <v>3774</v>
      </c>
      <c r="N11510" s="30" t="s">
        <v>2066</v>
      </c>
      <c r="P11510" s="30" t="s">
        <v>10084</v>
      </c>
      <c r="Q11510" t="s">
        <v>620</v>
      </c>
      <c r="R11510" t="s">
        <v>920</v>
      </c>
      <c r="S11510">
        <v>37</v>
      </c>
      <c r="T11510" s="29" t="str">
        <f>HYPERLINK("https://ictv.global/ictv/proposals/2021.036M.R.Rhabdoviridae_sprename.zip","2021.036M.R.Rhabdoviridae_sprename.zip")</f>
        <v>2021.036M.R.Rhabdoviridae_sprename.zip</v>
      </c>
      <c r="U11510" s="29" t="str">
        <f>HYPERLINK("https://ictv.global/taxonomy/taxondetails?taxnode_id=202307126","ictv.global=202307126")</f>
        <v>ictv.global=202307126</v>
      </c>
    </row>
    <row r="11511" spans="1:21">
      <c r="A11511">
        <v>11510</v>
      </c>
      <c r="B11511" s="30" t="s">
        <v>1226</v>
      </c>
      <c r="D11511" s="30" t="s">
        <v>2024</v>
      </c>
      <c r="F11511" s="30" t="s">
        <v>1040</v>
      </c>
      <c r="G11511" s="30" t="s">
        <v>1041</v>
      </c>
      <c r="H11511" s="30" t="s">
        <v>1047</v>
      </c>
      <c r="J11511" s="30" t="s">
        <v>255</v>
      </c>
      <c r="L11511" s="30" t="s">
        <v>374</v>
      </c>
      <c r="M11511" s="30" t="s">
        <v>3774</v>
      </c>
      <c r="N11511" s="30" t="s">
        <v>2066</v>
      </c>
      <c r="P11511" s="30" t="s">
        <v>10085</v>
      </c>
      <c r="Q11511" t="s">
        <v>620</v>
      </c>
      <c r="R11511" t="s">
        <v>917</v>
      </c>
      <c r="S11511">
        <v>37</v>
      </c>
      <c r="T11511" s="29" t="str">
        <f>HYPERLINK("https://ictv.global/ictv/proposals/2021.004M.R.Alpharhabdovirinae_13nsp.zip","2021.004M.R.Alpharhabdovirinae_13nsp.zip")</f>
        <v>2021.004M.R.Alpharhabdovirinae_13nsp.zip</v>
      </c>
      <c r="U11511" s="29" t="str">
        <f>HYPERLINK("https://ictv.global/taxonomy/taxondetails?taxnode_id=202313330","ictv.global=202313330")</f>
        <v>ictv.global=202313330</v>
      </c>
    </row>
    <row r="11512" spans="1:21">
      <c r="A11512">
        <v>11511</v>
      </c>
      <c r="B11512" s="30" t="s">
        <v>1226</v>
      </c>
      <c r="D11512" s="30" t="s">
        <v>2024</v>
      </c>
      <c r="F11512" s="30" t="s">
        <v>1040</v>
      </c>
      <c r="G11512" s="30" t="s">
        <v>1041</v>
      </c>
      <c r="H11512" s="30" t="s">
        <v>1047</v>
      </c>
      <c r="J11512" s="30" t="s">
        <v>255</v>
      </c>
      <c r="L11512" s="30" t="s">
        <v>374</v>
      </c>
      <c r="M11512" s="30" t="s">
        <v>3774</v>
      </c>
      <c r="N11512" s="30" t="s">
        <v>2066</v>
      </c>
      <c r="P11512" s="30" t="s">
        <v>10086</v>
      </c>
      <c r="Q11512" t="s">
        <v>620</v>
      </c>
      <c r="R11512" t="s">
        <v>920</v>
      </c>
      <c r="S11512">
        <v>37</v>
      </c>
      <c r="T11512" s="29" t="str">
        <f>HYPERLINK("https://ictv.global/ictv/proposals/2021.036M.R.Rhabdoviridae_sprename.zip","2021.036M.R.Rhabdoviridae_sprename.zip")</f>
        <v>2021.036M.R.Rhabdoviridae_sprename.zip</v>
      </c>
      <c r="U11512" s="29" t="str">
        <f>HYPERLINK("https://ictv.global/taxonomy/taxondetails?taxnode_id=202307128","ictv.global=202307128")</f>
        <v>ictv.global=202307128</v>
      </c>
    </row>
    <row r="11513" spans="1:21">
      <c r="A11513">
        <v>11512</v>
      </c>
      <c r="B11513" s="30" t="s">
        <v>1226</v>
      </c>
      <c r="D11513" s="30" t="s">
        <v>2024</v>
      </c>
      <c r="F11513" s="30" t="s">
        <v>1040</v>
      </c>
      <c r="G11513" s="30" t="s">
        <v>1041</v>
      </c>
      <c r="H11513" s="30" t="s">
        <v>1047</v>
      </c>
      <c r="J11513" s="30" t="s">
        <v>255</v>
      </c>
      <c r="L11513" s="30" t="s">
        <v>374</v>
      </c>
      <c r="M11513" s="30" t="s">
        <v>3774</v>
      </c>
      <c r="N11513" s="30" t="s">
        <v>2066</v>
      </c>
      <c r="P11513" s="30" t="s">
        <v>10087</v>
      </c>
      <c r="Q11513" t="s">
        <v>620</v>
      </c>
      <c r="R11513" t="s">
        <v>917</v>
      </c>
      <c r="S11513">
        <v>37</v>
      </c>
      <c r="T11513" s="29" t="str">
        <f>HYPERLINK("https://ictv.global/ictv/proposals/2021.004M.R.Alpharhabdovirinae_13nsp.zip","2021.004M.R.Alpharhabdovirinae_13nsp.zip")</f>
        <v>2021.004M.R.Alpharhabdovirinae_13nsp.zip</v>
      </c>
      <c r="U11513" s="29" t="str">
        <f>HYPERLINK("https://ictv.global/taxonomy/taxondetails?taxnode_id=202313333","ictv.global=202313333")</f>
        <v>ictv.global=202313333</v>
      </c>
    </row>
    <row r="11514" spans="1:21">
      <c r="A11514">
        <v>11513</v>
      </c>
      <c r="B11514" s="30" t="s">
        <v>1226</v>
      </c>
      <c r="D11514" s="30" t="s">
        <v>2024</v>
      </c>
      <c r="F11514" s="30" t="s">
        <v>1040</v>
      </c>
      <c r="G11514" s="30" t="s">
        <v>1041</v>
      </c>
      <c r="H11514" s="30" t="s">
        <v>1047</v>
      </c>
      <c r="J11514" s="30" t="s">
        <v>255</v>
      </c>
      <c r="L11514" s="30" t="s">
        <v>374</v>
      </c>
      <c r="M11514" s="30" t="s">
        <v>3774</v>
      </c>
      <c r="N11514" s="30" t="s">
        <v>2066</v>
      </c>
      <c r="P11514" s="30" t="s">
        <v>10088</v>
      </c>
      <c r="Q11514" t="s">
        <v>620</v>
      </c>
      <c r="R11514" t="s">
        <v>917</v>
      </c>
      <c r="S11514">
        <v>37</v>
      </c>
      <c r="T11514" s="29" t="str">
        <f>HYPERLINK("https://ictv.global/ictv/proposals/2021.004M.R.Alpharhabdovirinae_13nsp.zip","2021.004M.R.Alpharhabdovirinae_13nsp.zip;2021.042M.R.Corrections_Riboviria_Duplodnaviria.zip")</f>
        <v>2021.004M.R.Alpharhabdovirinae_13nsp.zip;2021.042M.R.Corrections_Riboviria_Duplodnaviria.zip</v>
      </c>
      <c r="U11514" s="29" t="str">
        <f>HYPERLINK("https://ictv.global/taxonomy/taxondetails?taxnode_id=202313327","ictv.global=202313327")</f>
        <v>ictv.global=202313327</v>
      </c>
    </row>
    <row r="11515" spans="1:21">
      <c r="A11515">
        <v>11514</v>
      </c>
      <c r="B11515" s="30" t="s">
        <v>1226</v>
      </c>
      <c r="D11515" s="30" t="s">
        <v>2024</v>
      </c>
      <c r="F11515" s="30" t="s">
        <v>1040</v>
      </c>
      <c r="G11515" s="30" t="s">
        <v>1041</v>
      </c>
      <c r="H11515" s="30" t="s">
        <v>1047</v>
      </c>
      <c r="J11515" s="30" t="s">
        <v>255</v>
      </c>
      <c r="L11515" s="30" t="s">
        <v>374</v>
      </c>
      <c r="M11515" s="30" t="s">
        <v>3774</v>
      </c>
      <c r="N11515" s="30" t="s">
        <v>2066</v>
      </c>
      <c r="P11515" s="30" t="s">
        <v>10089</v>
      </c>
      <c r="Q11515" t="s">
        <v>620</v>
      </c>
      <c r="R11515" t="s">
        <v>920</v>
      </c>
      <c r="S11515">
        <v>37</v>
      </c>
      <c r="T11515" s="29" t="str">
        <f>HYPERLINK("https://ictv.global/ictv/proposals/2021.036M.R.Rhabdoviridae_sprename.zip","2021.036M.R.Rhabdoviridae_sprename.zip")</f>
        <v>2021.036M.R.Rhabdoviridae_sprename.zip</v>
      </c>
      <c r="U11515" s="29" t="str">
        <f>HYPERLINK("https://ictv.global/taxonomy/taxondetails?taxnode_id=202307129","ictv.global=202307129")</f>
        <v>ictv.global=202307129</v>
      </c>
    </row>
    <row r="11516" spans="1:21">
      <c r="A11516">
        <v>11515</v>
      </c>
      <c r="B11516" s="30" t="s">
        <v>1226</v>
      </c>
      <c r="D11516" s="30" t="s">
        <v>2024</v>
      </c>
      <c r="F11516" s="30" t="s">
        <v>1040</v>
      </c>
      <c r="G11516" s="30" t="s">
        <v>1041</v>
      </c>
      <c r="H11516" s="30" t="s">
        <v>1047</v>
      </c>
      <c r="J11516" s="30" t="s">
        <v>255</v>
      </c>
      <c r="L11516" s="30" t="s">
        <v>374</v>
      </c>
      <c r="M11516" s="30" t="s">
        <v>3774</v>
      </c>
      <c r="N11516" s="30" t="s">
        <v>2066</v>
      </c>
      <c r="P11516" s="30" t="s">
        <v>10090</v>
      </c>
      <c r="Q11516" t="s">
        <v>620</v>
      </c>
      <c r="R11516" t="s">
        <v>917</v>
      </c>
      <c r="S11516">
        <v>37</v>
      </c>
      <c r="T11516" s="29" t="str">
        <f>HYPERLINK("https://ictv.global/ictv/proposals/2021.004M.R.Alpharhabdovirinae_13nsp.zip","2021.004M.R.Alpharhabdovirinae_13nsp.zip")</f>
        <v>2021.004M.R.Alpharhabdovirinae_13nsp.zip</v>
      </c>
      <c r="U11516" s="29" t="str">
        <f>HYPERLINK("https://ictv.global/taxonomy/taxondetails?taxnode_id=202313331","ictv.global=202313331")</f>
        <v>ictv.global=202313331</v>
      </c>
    </row>
    <row r="11517" spans="1:21">
      <c r="A11517">
        <v>11516</v>
      </c>
      <c r="B11517" s="30" t="s">
        <v>1226</v>
      </c>
      <c r="D11517" s="30" t="s">
        <v>2024</v>
      </c>
      <c r="F11517" s="30" t="s">
        <v>1040</v>
      </c>
      <c r="G11517" s="30" t="s">
        <v>1041</v>
      </c>
      <c r="H11517" s="30" t="s">
        <v>1047</v>
      </c>
      <c r="J11517" s="30" t="s">
        <v>255</v>
      </c>
      <c r="L11517" s="30" t="s">
        <v>374</v>
      </c>
      <c r="M11517" s="30" t="s">
        <v>3774</v>
      </c>
      <c r="N11517" s="30" t="s">
        <v>2066</v>
      </c>
      <c r="P11517" s="30" t="s">
        <v>10091</v>
      </c>
      <c r="Q11517" t="s">
        <v>620</v>
      </c>
      <c r="R11517" t="s">
        <v>917</v>
      </c>
      <c r="S11517">
        <v>37</v>
      </c>
      <c r="T11517" s="29" t="str">
        <f>HYPERLINK("https://ictv.global/ictv/proposals/2021.004M.R.Alpharhabdovirinae_13nsp.zip","2021.004M.R.Alpharhabdovirinae_13nsp.zip")</f>
        <v>2021.004M.R.Alpharhabdovirinae_13nsp.zip</v>
      </c>
      <c r="U11517" s="29" t="str">
        <f>HYPERLINK("https://ictv.global/taxonomy/taxondetails?taxnode_id=202313326","ictv.global=202313326")</f>
        <v>ictv.global=202313326</v>
      </c>
    </row>
    <row r="11518" spans="1:21">
      <c r="A11518">
        <v>11517</v>
      </c>
      <c r="B11518" s="30" t="s">
        <v>1226</v>
      </c>
      <c r="D11518" s="30" t="s">
        <v>2024</v>
      </c>
      <c r="F11518" s="30" t="s">
        <v>1040</v>
      </c>
      <c r="G11518" s="30" t="s">
        <v>1041</v>
      </c>
      <c r="H11518" s="30" t="s">
        <v>1047</v>
      </c>
      <c r="J11518" s="30" t="s">
        <v>255</v>
      </c>
      <c r="L11518" s="30" t="s">
        <v>374</v>
      </c>
      <c r="M11518" s="30" t="s">
        <v>3774</v>
      </c>
      <c r="N11518" s="30" t="s">
        <v>2066</v>
      </c>
      <c r="P11518" s="30" t="s">
        <v>10092</v>
      </c>
      <c r="Q11518" t="s">
        <v>620</v>
      </c>
      <c r="R11518" t="s">
        <v>920</v>
      </c>
      <c r="S11518">
        <v>37</v>
      </c>
      <c r="T11518" s="29" t="str">
        <f>HYPERLINK("https://ictv.global/ictv/proposals/2021.036M.R.Rhabdoviridae_sprename.zip","2021.036M.R.Rhabdoviridae_sprename.zip")</f>
        <v>2021.036M.R.Rhabdoviridae_sprename.zip</v>
      </c>
      <c r="U11518" s="29" t="str">
        <f>HYPERLINK("https://ictv.global/taxonomy/taxondetails?taxnode_id=202307124","ictv.global=202307124")</f>
        <v>ictv.global=202307124</v>
      </c>
    </row>
    <row r="11519" spans="1:21">
      <c r="A11519">
        <v>11518</v>
      </c>
      <c r="B11519" s="30" t="s">
        <v>1226</v>
      </c>
      <c r="D11519" s="30" t="s">
        <v>2024</v>
      </c>
      <c r="F11519" s="30" t="s">
        <v>1040</v>
      </c>
      <c r="G11519" s="30" t="s">
        <v>1041</v>
      </c>
      <c r="H11519" s="30" t="s">
        <v>1047</v>
      </c>
      <c r="J11519" s="30" t="s">
        <v>255</v>
      </c>
      <c r="L11519" s="30" t="s">
        <v>374</v>
      </c>
      <c r="M11519" s="30" t="s">
        <v>3774</v>
      </c>
      <c r="N11519" s="30" t="s">
        <v>2066</v>
      </c>
      <c r="P11519" s="30" t="s">
        <v>10093</v>
      </c>
      <c r="Q11519" t="s">
        <v>620</v>
      </c>
      <c r="R11519" t="s">
        <v>920</v>
      </c>
      <c r="S11519">
        <v>37</v>
      </c>
      <c r="T11519" s="29" t="str">
        <f>HYPERLINK("https://ictv.global/ictv/proposals/2021.036M.R.Rhabdoviridae_sprename.zip","2021.036M.R.Rhabdoviridae_sprename.zip")</f>
        <v>2021.036M.R.Rhabdoviridae_sprename.zip</v>
      </c>
      <c r="U11519" s="29" t="str">
        <f>HYPERLINK("https://ictv.global/taxonomy/taxondetails?taxnode_id=202307127","ictv.global=202307127")</f>
        <v>ictv.global=202307127</v>
      </c>
    </row>
    <row r="11520" spans="1:21">
      <c r="A11520">
        <v>11519</v>
      </c>
      <c r="B11520" s="30" t="s">
        <v>1226</v>
      </c>
      <c r="D11520" s="30" t="s">
        <v>2024</v>
      </c>
      <c r="F11520" s="30" t="s">
        <v>1040</v>
      </c>
      <c r="G11520" s="30" t="s">
        <v>1041</v>
      </c>
      <c r="H11520" s="30" t="s">
        <v>1047</v>
      </c>
      <c r="J11520" s="30" t="s">
        <v>255</v>
      </c>
      <c r="L11520" s="30" t="s">
        <v>374</v>
      </c>
      <c r="M11520" s="30" t="s">
        <v>3774</v>
      </c>
      <c r="N11520" s="30" t="s">
        <v>10094</v>
      </c>
      <c r="P11520" s="30" t="s">
        <v>10095</v>
      </c>
      <c r="Q11520" t="s">
        <v>620</v>
      </c>
      <c r="R11520" t="s">
        <v>917</v>
      </c>
      <c r="S11520">
        <v>38</v>
      </c>
      <c r="T11520" s="29" t="str">
        <f>HYPERLINK("https://ictv.global/ictv/proposals/2022.002M.Alpharhabdovirinae_1ngen14nsp.zip","2022.002M.Alpharhabdovirinae_1ngen14nsp.zip")</f>
        <v>2022.002M.Alpharhabdovirinae_1ngen14nsp.zip</v>
      </c>
      <c r="U11520" s="29" t="str">
        <f>HYPERLINK("https://ictv.global/taxonomy/taxondetails?taxnode_id=202314147","ictv.global=202314147")</f>
        <v>ictv.global=202314147</v>
      </c>
    </row>
    <row r="11521" spans="1:21">
      <c r="A11521">
        <v>11520</v>
      </c>
      <c r="B11521" s="30" t="s">
        <v>1226</v>
      </c>
      <c r="D11521" s="30" t="s">
        <v>2024</v>
      </c>
      <c r="F11521" s="30" t="s">
        <v>1040</v>
      </c>
      <c r="G11521" s="30" t="s">
        <v>1041</v>
      </c>
      <c r="H11521" s="30" t="s">
        <v>1047</v>
      </c>
      <c r="J11521" s="30" t="s">
        <v>255</v>
      </c>
      <c r="L11521" s="30" t="s">
        <v>374</v>
      </c>
      <c r="M11521" s="30" t="s">
        <v>3774</v>
      </c>
      <c r="N11521" s="30" t="s">
        <v>10094</v>
      </c>
      <c r="P11521" s="30" t="s">
        <v>10096</v>
      </c>
      <c r="Q11521" t="s">
        <v>620</v>
      </c>
      <c r="R11521" t="s">
        <v>917</v>
      </c>
      <c r="S11521">
        <v>38</v>
      </c>
      <c r="T11521" s="29" t="str">
        <f>HYPERLINK("https://ictv.global/ictv/proposals/2022.002M.Alpharhabdovirinae_1ngen14nsp.zip","2022.002M.Alpharhabdovirinae_1ngen14nsp.zip")</f>
        <v>2022.002M.Alpharhabdovirinae_1ngen14nsp.zip</v>
      </c>
      <c r="U11521" s="29" t="str">
        <f>HYPERLINK("https://ictv.global/taxonomy/taxondetails?taxnode_id=202314146","ictv.global=202314146")</f>
        <v>ictv.global=202314146</v>
      </c>
    </row>
    <row r="11522" spans="1:21">
      <c r="A11522">
        <v>11521</v>
      </c>
      <c r="B11522" s="30" t="s">
        <v>1226</v>
      </c>
      <c r="D11522" s="30" t="s">
        <v>2024</v>
      </c>
      <c r="F11522" s="30" t="s">
        <v>1040</v>
      </c>
      <c r="G11522" s="30" t="s">
        <v>1041</v>
      </c>
      <c r="H11522" s="30" t="s">
        <v>1047</v>
      </c>
      <c r="J11522" s="30" t="s">
        <v>255</v>
      </c>
      <c r="L11522" s="30" t="s">
        <v>374</v>
      </c>
      <c r="M11522" s="30" t="s">
        <v>3774</v>
      </c>
      <c r="N11522" s="30" t="s">
        <v>509</v>
      </c>
      <c r="P11522" s="30" t="s">
        <v>10097</v>
      </c>
      <c r="Q11522" t="s">
        <v>620</v>
      </c>
      <c r="R11522" t="s">
        <v>920</v>
      </c>
      <c r="S11522">
        <v>37</v>
      </c>
      <c r="T11522" s="29" t="str">
        <f>HYPERLINK("https://ictv.global/ictv/proposals/2021.036M.R.Rhabdoviridae_sprename.zip","2021.036M.R.Rhabdoviridae_sprename.zip")</f>
        <v>2021.036M.R.Rhabdoviridae_sprename.zip</v>
      </c>
      <c r="U11522" s="29" t="str">
        <f>HYPERLINK("https://ictv.global/taxonomy/taxondetails?taxnode_id=202301776","ictv.global=202301776")</f>
        <v>ictv.global=202301776</v>
      </c>
    </row>
    <row r="11523" spans="1:21">
      <c r="A11523">
        <v>11522</v>
      </c>
      <c r="B11523" s="30" t="s">
        <v>1226</v>
      </c>
      <c r="D11523" s="30" t="s">
        <v>2024</v>
      </c>
      <c r="F11523" s="30" t="s">
        <v>1040</v>
      </c>
      <c r="G11523" s="30" t="s">
        <v>1041</v>
      </c>
      <c r="H11523" s="30" t="s">
        <v>1047</v>
      </c>
      <c r="J11523" s="30" t="s">
        <v>255</v>
      </c>
      <c r="L11523" s="30" t="s">
        <v>374</v>
      </c>
      <c r="M11523" s="30" t="s">
        <v>3774</v>
      </c>
      <c r="N11523" s="30" t="s">
        <v>509</v>
      </c>
      <c r="P11523" s="30" t="s">
        <v>10098</v>
      </c>
      <c r="Q11523" t="s">
        <v>620</v>
      </c>
      <c r="R11523" t="s">
        <v>920</v>
      </c>
      <c r="S11523">
        <v>37</v>
      </c>
      <c r="T11523" s="29" t="str">
        <f>HYPERLINK("https://ictv.global/ictv/proposals/2021.036M.R.Rhabdoviridae_sprename.zip","2021.036M.R.Rhabdoviridae_sprename.zip")</f>
        <v>2021.036M.R.Rhabdoviridae_sprename.zip</v>
      </c>
      <c r="U11523" s="29" t="str">
        <f>HYPERLINK("https://ictv.global/taxonomy/taxondetails?taxnode_id=202305583","ictv.global=202305583")</f>
        <v>ictv.global=202305583</v>
      </c>
    </row>
    <row r="11524" spans="1:21">
      <c r="A11524">
        <v>11523</v>
      </c>
      <c r="B11524" s="30" t="s">
        <v>1226</v>
      </c>
      <c r="D11524" s="30" t="s">
        <v>2024</v>
      </c>
      <c r="F11524" s="30" t="s">
        <v>1040</v>
      </c>
      <c r="G11524" s="30" t="s">
        <v>1041</v>
      </c>
      <c r="H11524" s="30" t="s">
        <v>1047</v>
      </c>
      <c r="J11524" s="30" t="s">
        <v>255</v>
      </c>
      <c r="L11524" s="30" t="s">
        <v>374</v>
      </c>
      <c r="M11524" s="30" t="s">
        <v>3774</v>
      </c>
      <c r="N11524" s="30" t="s">
        <v>509</v>
      </c>
      <c r="P11524" s="30" t="s">
        <v>10099</v>
      </c>
      <c r="Q11524" t="s">
        <v>620</v>
      </c>
      <c r="R11524" t="s">
        <v>920</v>
      </c>
      <c r="S11524">
        <v>37</v>
      </c>
      <c r="T11524" s="29" t="str">
        <f>HYPERLINK("https://ictv.global/ictv/proposals/2021.036M.R.Rhabdoviridae_sprename.zip","2021.036M.R.Rhabdoviridae_sprename.zip")</f>
        <v>2021.036M.R.Rhabdoviridae_sprename.zip</v>
      </c>
      <c r="U11524" s="29" t="str">
        <f>HYPERLINK("https://ictv.global/taxonomy/taxondetails?taxnode_id=202301777","ictv.global=202301777")</f>
        <v>ictv.global=202301777</v>
      </c>
    </row>
    <row r="11525" spans="1:21">
      <c r="A11525">
        <v>11524</v>
      </c>
      <c r="B11525" s="30" t="s">
        <v>1226</v>
      </c>
      <c r="D11525" s="30" t="s">
        <v>2024</v>
      </c>
      <c r="F11525" s="30" t="s">
        <v>1040</v>
      </c>
      <c r="G11525" s="30" t="s">
        <v>1041</v>
      </c>
      <c r="H11525" s="30" t="s">
        <v>1047</v>
      </c>
      <c r="J11525" s="30" t="s">
        <v>255</v>
      </c>
      <c r="L11525" s="30" t="s">
        <v>374</v>
      </c>
      <c r="M11525" s="30" t="s">
        <v>3774</v>
      </c>
      <c r="N11525" s="30" t="s">
        <v>509</v>
      </c>
      <c r="P11525" s="30" t="s">
        <v>10100</v>
      </c>
      <c r="Q11525" t="s">
        <v>620</v>
      </c>
      <c r="R11525" t="s">
        <v>920</v>
      </c>
      <c r="S11525">
        <v>37</v>
      </c>
      <c r="T11525" s="29" t="str">
        <f>HYPERLINK("https://ictv.global/ictv/proposals/2021.036M.R.Rhabdoviridae_sprename.zip","2021.036M.R.Rhabdoviridae_sprename.zip")</f>
        <v>2021.036M.R.Rhabdoviridae_sprename.zip</v>
      </c>
      <c r="U11525" s="29" t="str">
        <f>HYPERLINK("https://ictv.global/taxonomy/taxondetails?taxnode_id=202301775","ictv.global=202301775")</f>
        <v>ictv.global=202301775</v>
      </c>
    </row>
    <row r="11526" spans="1:21">
      <c r="A11526">
        <v>11525</v>
      </c>
      <c r="B11526" s="30" t="s">
        <v>1226</v>
      </c>
      <c r="D11526" s="30" t="s">
        <v>2024</v>
      </c>
      <c r="F11526" s="30" t="s">
        <v>1040</v>
      </c>
      <c r="G11526" s="30" t="s">
        <v>1041</v>
      </c>
      <c r="H11526" s="30" t="s">
        <v>1047</v>
      </c>
      <c r="J11526" s="30" t="s">
        <v>255</v>
      </c>
      <c r="L11526" s="30" t="s">
        <v>374</v>
      </c>
      <c r="M11526" s="30" t="s">
        <v>3774</v>
      </c>
      <c r="N11526" s="30" t="s">
        <v>509</v>
      </c>
      <c r="P11526" s="30" t="s">
        <v>10101</v>
      </c>
      <c r="Q11526" t="s">
        <v>620</v>
      </c>
      <c r="R11526" t="s">
        <v>920</v>
      </c>
      <c r="S11526">
        <v>37</v>
      </c>
      <c r="T11526" s="29" t="str">
        <f>HYPERLINK("https://ictv.global/ictv/proposals/2021.036M.R.Rhabdoviridae_sprename.zip","2021.036M.R.Rhabdoviridae_sprename.zip")</f>
        <v>2021.036M.R.Rhabdoviridae_sprename.zip</v>
      </c>
      <c r="U11526" s="29" t="str">
        <f>HYPERLINK("https://ictv.global/taxonomy/taxondetails?taxnode_id=202301774","ictv.global=202301774")</f>
        <v>ictv.global=202301774</v>
      </c>
    </row>
    <row r="11527" spans="1:21">
      <c r="A11527">
        <v>11526</v>
      </c>
      <c r="B11527" s="30" t="s">
        <v>1226</v>
      </c>
      <c r="D11527" s="30" t="s">
        <v>2024</v>
      </c>
      <c r="F11527" s="30" t="s">
        <v>1040</v>
      </c>
      <c r="G11527" s="30" t="s">
        <v>1041</v>
      </c>
      <c r="H11527" s="30" t="s">
        <v>1047</v>
      </c>
      <c r="J11527" s="30" t="s">
        <v>255</v>
      </c>
      <c r="L11527" s="30" t="s">
        <v>374</v>
      </c>
      <c r="M11527" s="30" t="s">
        <v>3774</v>
      </c>
      <c r="N11527" s="30" t="s">
        <v>509</v>
      </c>
      <c r="P11527" s="30" t="s">
        <v>10102</v>
      </c>
      <c r="Q11527" t="s">
        <v>620</v>
      </c>
      <c r="R11527" t="s">
        <v>917</v>
      </c>
      <c r="S11527">
        <v>38</v>
      </c>
      <c r="T11527" s="29" t="str">
        <f>HYPERLINK("https://ictv.global/ictv/proposals/2022.002M.Alpharhabdovirinae_1ngen14nsp.zip","2022.002M.Alpharhabdovirinae_1ngen14nsp.zip")</f>
        <v>2022.002M.Alpharhabdovirinae_1ngen14nsp.zip</v>
      </c>
      <c r="U11527" s="29" t="str">
        <f>HYPERLINK("https://ictv.global/taxonomy/taxondetails?taxnode_id=202314152","ictv.global=202314152")</f>
        <v>ictv.global=202314152</v>
      </c>
    </row>
    <row r="11528" spans="1:21">
      <c r="A11528">
        <v>11527</v>
      </c>
      <c r="B11528" s="30" t="s">
        <v>1226</v>
      </c>
      <c r="D11528" s="30" t="s">
        <v>2024</v>
      </c>
      <c r="F11528" s="30" t="s">
        <v>1040</v>
      </c>
      <c r="G11528" s="30" t="s">
        <v>1041</v>
      </c>
      <c r="H11528" s="30" t="s">
        <v>1047</v>
      </c>
      <c r="J11528" s="30" t="s">
        <v>255</v>
      </c>
      <c r="L11528" s="30" t="s">
        <v>374</v>
      </c>
      <c r="M11528" s="30" t="s">
        <v>3774</v>
      </c>
      <c r="N11528" s="30" t="s">
        <v>509</v>
      </c>
      <c r="P11528" s="30" t="s">
        <v>10103</v>
      </c>
      <c r="Q11528" t="s">
        <v>620</v>
      </c>
      <c r="R11528" t="s">
        <v>920</v>
      </c>
      <c r="S11528">
        <v>37</v>
      </c>
      <c r="T11528" s="29" t="str">
        <f>HYPERLINK("https://ictv.global/ictv/proposals/2021.036M.R.Rhabdoviridae_sprename.zip","2021.036M.R.Rhabdoviridae_sprename.zip")</f>
        <v>2021.036M.R.Rhabdoviridae_sprename.zip</v>
      </c>
      <c r="U11528" s="29" t="str">
        <f>HYPERLINK("https://ictv.global/taxonomy/taxondetails?taxnode_id=202301778","ictv.global=202301778")</f>
        <v>ictv.global=202301778</v>
      </c>
    </row>
    <row r="11529" spans="1:21">
      <c r="A11529">
        <v>11528</v>
      </c>
      <c r="B11529" s="30" t="s">
        <v>1226</v>
      </c>
      <c r="D11529" s="30" t="s">
        <v>2024</v>
      </c>
      <c r="F11529" s="30" t="s">
        <v>1040</v>
      </c>
      <c r="G11529" s="30" t="s">
        <v>1041</v>
      </c>
      <c r="H11529" s="30" t="s">
        <v>1047</v>
      </c>
      <c r="J11529" s="30" t="s">
        <v>255</v>
      </c>
      <c r="L11529" s="30" t="s">
        <v>374</v>
      </c>
      <c r="M11529" s="30" t="s">
        <v>3774</v>
      </c>
      <c r="N11529" s="30" t="s">
        <v>509</v>
      </c>
      <c r="P11529" s="30" t="s">
        <v>10104</v>
      </c>
      <c r="Q11529" t="s">
        <v>620</v>
      </c>
      <c r="R11529" t="s">
        <v>920</v>
      </c>
      <c r="S11529">
        <v>37</v>
      </c>
      <c r="T11529" s="29" t="str">
        <f>HYPERLINK("https://ictv.global/ictv/proposals/2021.036M.R.Rhabdoviridae_sprename.zip","2021.036M.R.Rhabdoviridae_sprename.zip")</f>
        <v>2021.036M.R.Rhabdoviridae_sprename.zip</v>
      </c>
      <c r="U11529" s="29" t="str">
        <f>HYPERLINK("https://ictv.global/taxonomy/taxondetails?taxnode_id=202301779","ictv.global=202301779")</f>
        <v>ictv.global=202301779</v>
      </c>
    </row>
    <row r="11530" spans="1:21">
      <c r="A11530">
        <v>11529</v>
      </c>
      <c r="B11530" s="30" t="s">
        <v>1226</v>
      </c>
      <c r="D11530" s="30" t="s">
        <v>2024</v>
      </c>
      <c r="F11530" s="30" t="s">
        <v>1040</v>
      </c>
      <c r="G11530" s="30" t="s">
        <v>1041</v>
      </c>
      <c r="H11530" s="30" t="s">
        <v>1047</v>
      </c>
      <c r="J11530" s="30" t="s">
        <v>255</v>
      </c>
      <c r="L11530" s="30" t="s">
        <v>374</v>
      </c>
      <c r="M11530" s="30" t="s">
        <v>3774</v>
      </c>
      <c r="N11530" s="30" t="s">
        <v>537</v>
      </c>
      <c r="P11530" s="30" t="s">
        <v>10105</v>
      </c>
      <c r="Q11530" t="s">
        <v>620</v>
      </c>
      <c r="R11530" t="s">
        <v>920</v>
      </c>
      <c r="S11530">
        <v>37</v>
      </c>
      <c r="T11530" s="29" t="str">
        <f>HYPERLINK("https://ictv.global/ictv/proposals/2021.036M.R.Rhabdoviridae_sprename.zip","2021.036M.R.Rhabdoviridae_sprename.zip")</f>
        <v>2021.036M.R.Rhabdoviridae_sprename.zip</v>
      </c>
      <c r="U11530" s="29" t="str">
        <f>HYPERLINK("https://ictv.global/taxonomy/taxondetails?taxnode_id=202301781","ictv.global=202301781")</f>
        <v>ictv.global=202301781</v>
      </c>
    </row>
    <row r="11531" spans="1:21">
      <c r="A11531">
        <v>11530</v>
      </c>
      <c r="B11531" s="30" t="s">
        <v>1226</v>
      </c>
      <c r="D11531" s="30" t="s">
        <v>2024</v>
      </c>
      <c r="F11531" s="30" t="s">
        <v>1040</v>
      </c>
      <c r="G11531" s="30" t="s">
        <v>1041</v>
      </c>
      <c r="H11531" s="30" t="s">
        <v>1047</v>
      </c>
      <c r="J11531" s="30" t="s">
        <v>255</v>
      </c>
      <c r="L11531" s="30" t="s">
        <v>374</v>
      </c>
      <c r="M11531" s="30" t="s">
        <v>3774</v>
      </c>
      <c r="N11531" s="30" t="s">
        <v>537</v>
      </c>
      <c r="P11531" s="30" t="s">
        <v>17409</v>
      </c>
      <c r="Q11531" t="s">
        <v>620</v>
      </c>
      <c r="R11531" t="s">
        <v>917</v>
      </c>
      <c r="S11531">
        <v>39</v>
      </c>
      <c r="T11531" s="29" t="str">
        <f>HYPERLINK("https://ictv.global/ictv/proposals/2023.003M.Alpharhabdovirinae_8nsp.zip","2023.003M.Alpharhabdovirinae_8nsp.zip")</f>
        <v>2023.003M.Alpharhabdovirinae_8nsp.zip</v>
      </c>
      <c r="U11531" s="29" t="str">
        <f>HYPERLINK("https://ictv.global/taxonomy/taxondetails?taxnode_id=202317780","ictv.global=202317780")</f>
        <v>ictv.global=202317780</v>
      </c>
    </row>
    <row r="11532" spans="1:21">
      <c r="A11532">
        <v>11531</v>
      </c>
      <c r="B11532" s="30" t="s">
        <v>1226</v>
      </c>
      <c r="D11532" s="30" t="s">
        <v>2024</v>
      </c>
      <c r="F11532" s="30" t="s">
        <v>1040</v>
      </c>
      <c r="G11532" s="30" t="s">
        <v>1041</v>
      </c>
      <c r="H11532" s="30" t="s">
        <v>1047</v>
      </c>
      <c r="J11532" s="30" t="s">
        <v>255</v>
      </c>
      <c r="L11532" s="30" t="s">
        <v>374</v>
      </c>
      <c r="M11532" s="30" t="s">
        <v>3774</v>
      </c>
      <c r="N11532" s="30" t="s">
        <v>537</v>
      </c>
      <c r="P11532" s="30" t="s">
        <v>10106</v>
      </c>
      <c r="Q11532" t="s">
        <v>620</v>
      </c>
      <c r="R11532" t="s">
        <v>920</v>
      </c>
      <c r="S11532">
        <v>37</v>
      </c>
      <c r="T11532" s="29" t="str">
        <f>HYPERLINK("https://ictv.global/ictv/proposals/2021.036M.R.Rhabdoviridae_sprename.zip","2021.036M.R.Rhabdoviridae_sprename.zip")</f>
        <v>2021.036M.R.Rhabdoviridae_sprename.zip</v>
      </c>
      <c r="U11532" s="29" t="str">
        <f>HYPERLINK("https://ictv.global/taxonomy/taxondetails?taxnode_id=202301782","ictv.global=202301782")</f>
        <v>ictv.global=202301782</v>
      </c>
    </row>
    <row r="11533" spans="1:21">
      <c r="A11533">
        <v>11532</v>
      </c>
      <c r="B11533" s="30" t="s">
        <v>1226</v>
      </c>
      <c r="D11533" s="30" t="s">
        <v>2024</v>
      </c>
      <c r="F11533" s="30" t="s">
        <v>1040</v>
      </c>
      <c r="G11533" s="30" t="s">
        <v>1041</v>
      </c>
      <c r="H11533" s="30" t="s">
        <v>1047</v>
      </c>
      <c r="J11533" s="30" t="s">
        <v>255</v>
      </c>
      <c r="L11533" s="30" t="s">
        <v>374</v>
      </c>
      <c r="M11533" s="30" t="s">
        <v>3774</v>
      </c>
      <c r="N11533" s="30" t="s">
        <v>537</v>
      </c>
      <c r="P11533" s="30" t="s">
        <v>10107</v>
      </c>
      <c r="Q11533" t="s">
        <v>620</v>
      </c>
      <c r="R11533" t="s">
        <v>917</v>
      </c>
      <c r="S11533">
        <v>38</v>
      </c>
      <c r="T11533" s="29" t="str">
        <f>HYPERLINK("https://ictv.global/ictv/proposals/2022.002M.Alpharhabdovirinae_1ngen14nsp.zip","2022.002M.Alpharhabdovirinae_1ngen14nsp.zip")</f>
        <v>2022.002M.Alpharhabdovirinae_1ngen14nsp.zip</v>
      </c>
      <c r="U11533" s="29" t="str">
        <f>HYPERLINK("https://ictv.global/taxonomy/taxondetails?taxnode_id=202314149","ictv.global=202314149")</f>
        <v>ictv.global=202314149</v>
      </c>
    </row>
    <row r="11534" spans="1:21">
      <c r="A11534">
        <v>11533</v>
      </c>
      <c r="B11534" s="30" t="s">
        <v>1226</v>
      </c>
      <c r="D11534" s="30" t="s">
        <v>2024</v>
      </c>
      <c r="F11534" s="30" t="s">
        <v>1040</v>
      </c>
      <c r="G11534" s="30" t="s">
        <v>1041</v>
      </c>
      <c r="H11534" s="30" t="s">
        <v>1047</v>
      </c>
      <c r="J11534" s="30" t="s">
        <v>255</v>
      </c>
      <c r="L11534" s="30" t="s">
        <v>374</v>
      </c>
      <c r="M11534" s="30" t="s">
        <v>3774</v>
      </c>
      <c r="N11534" s="30" t="s">
        <v>537</v>
      </c>
      <c r="P11534" s="30" t="s">
        <v>10108</v>
      </c>
      <c r="Q11534" t="s">
        <v>620</v>
      </c>
      <c r="R11534" t="s">
        <v>917</v>
      </c>
      <c r="S11534">
        <v>38</v>
      </c>
      <c r="T11534" s="29" t="str">
        <f>HYPERLINK("https://ictv.global/ictv/proposals/2022.002M.Alpharhabdovirinae_1ngen14nsp.zip","2022.002M.Alpharhabdovirinae_1ngen14nsp.zip")</f>
        <v>2022.002M.Alpharhabdovirinae_1ngen14nsp.zip</v>
      </c>
      <c r="U11534" s="29" t="str">
        <f>HYPERLINK("https://ictv.global/taxonomy/taxondetails?taxnode_id=202314148","ictv.global=202314148")</f>
        <v>ictv.global=202314148</v>
      </c>
    </row>
    <row r="11535" spans="1:21">
      <c r="A11535">
        <v>11534</v>
      </c>
      <c r="B11535" s="30" t="s">
        <v>1226</v>
      </c>
      <c r="D11535" s="30" t="s">
        <v>2024</v>
      </c>
      <c r="F11535" s="30" t="s">
        <v>1040</v>
      </c>
      <c r="G11535" s="30" t="s">
        <v>1041</v>
      </c>
      <c r="H11535" s="30" t="s">
        <v>1047</v>
      </c>
      <c r="J11535" s="30" t="s">
        <v>255</v>
      </c>
      <c r="L11535" s="30" t="s">
        <v>374</v>
      </c>
      <c r="M11535" s="30" t="s">
        <v>3774</v>
      </c>
      <c r="N11535" s="30" t="s">
        <v>537</v>
      </c>
      <c r="P11535" s="30" t="s">
        <v>17410</v>
      </c>
      <c r="Q11535" t="s">
        <v>620</v>
      </c>
      <c r="R11535" t="s">
        <v>917</v>
      </c>
      <c r="S11535">
        <v>39</v>
      </c>
      <c r="T11535" s="29" t="str">
        <f>HYPERLINK("https://ictv.global/ictv/proposals/2023.003M.Alpharhabdovirinae_8nsp.zip","2023.003M.Alpharhabdovirinae_8nsp.zip")</f>
        <v>2023.003M.Alpharhabdovirinae_8nsp.zip</v>
      </c>
      <c r="U11535" s="29" t="str">
        <f>HYPERLINK("https://ictv.global/taxonomy/taxondetails?taxnode_id=202317781","ictv.global=202317781")</f>
        <v>ictv.global=202317781</v>
      </c>
    </row>
    <row r="11536" spans="1:21">
      <c r="A11536">
        <v>11535</v>
      </c>
      <c r="B11536" s="30" t="s">
        <v>1226</v>
      </c>
      <c r="D11536" s="30" t="s">
        <v>2024</v>
      </c>
      <c r="F11536" s="30" t="s">
        <v>1040</v>
      </c>
      <c r="G11536" s="30" t="s">
        <v>1041</v>
      </c>
      <c r="H11536" s="30" t="s">
        <v>1047</v>
      </c>
      <c r="J11536" s="30" t="s">
        <v>255</v>
      </c>
      <c r="L11536" s="30" t="s">
        <v>374</v>
      </c>
      <c r="M11536" s="30" t="s">
        <v>3774</v>
      </c>
      <c r="N11536" s="30" t="s">
        <v>537</v>
      </c>
      <c r="P11536" s="30" t="s">
        <v>17411</v>
      </c>
      <c r="Q11536" t="s">
        <v>620</v>
      </c>
      <c r="R11536" t="s">
        <v>917</v>
      </c>
      <c r="S11536">
        <v>39</v>
      </c>
      <c r="T11536" s="29" t="str">
        <f>HYPERLINK("https://ictv.global/ictv/proposals/2023.003M.Alpharhabdovirinae_8nsp.zip","2023.003M.Alpharhabdovirinae_8nsp.zip")</f>
        <v>2023.003M.Alpharhabdovirinae_8nsp.zip</v>
      </c>
      <c r="U11536" s="29" t="str">
        <f>HYPERLINK("https://ictv.global/taxonomy/taxondetails?taxnode_id=202317782","ictv.global=202317782")</f>
        <v>ictv.global=202317782</v>
      </c>
    </row>
    <row r="11537" spans="1:21">
      <c r="A11537">
        <v>11536</v>
      </c>
      <c r="B11537" s="30" t="s">
        <v>1226</v>
      </c>
      <c r="D11537" s="30" t="s">
        <v>2024</v>
      </c>
      <c r="F11537" s="30" t="s">
        <v>1040</v>
      </c>
      <c r="G11537" s="30" t="s">
        <v>1041</v>
      </c>
      <c r="H11537" s="30" t="s">
        <v>1047</v>
      </c>
      <c r="J11537" s="30" t="s">
        <v>255</v>
      </c>
      <c r="L11537" s="30" t="s">
        <v>374</v>
      </c>
      <c r="M11537" s="30" t="s">
        <v>3774</v>
      </c>
      <c r="N11537" s="30" t="s">
        <v>537</v>
      </c>
      <c r="P11537" s="30" t="s">
        <v>10109</v>
      </c>
      <c r="Q11537" t="s">
        <v>620</v>
      </c>
      <c r="R11537" t="s">
        <v>920</v>
      </c>
      <c r="S11537">
        <v>37</v>
      </c>
      <c r="T11537" s="29" t="str">
        <f>HYPERLINK("https://ictv.global/ictv/proposals/2021.036M.R.Rhabdoviridae_sprename.zip","2021.036M.R.Rhabdoviridae_sprename.zip")</f>
        <v>2021.036M.R.Rhabdoviridae_sprename.zip</v>
      </c>
      <c r="U11537" s="29" t="str">
        <f>HYPERLINK("https://ictv.global/taxonomy/taxondetails?taxnode_id=202301783","ictv.global=202301783")</f>
        <v>ictv.global=202301783</v>
      </c>
    </row>
    <row r="11538" spans="1:21">
      <c r="A11538">
        <v>11537</v>
      </c>
      <c r="B11538" s="30" t="s">
        <v>1226</v>
      </c>
      <c r="D11538" s="30" t="s">
        <v>2024</v>
      </c>
      <c r="F11538" s="30" t="s">
        <v>1040</v>
      </c>
      <c r="G11538" s="30" t="s">
        <v>1041</v>
      </c>
      <c r="H11538" s="30" t="s">
        <v>1047</v>
      </c>
      <c r="J11538" s="30" t="s">
        <v>255</v>
      </c>
      <c r="L11538" s="30" t="s">
        <v>374</v>
      </c>
      <c r="M11538" s="30" t="s">
        <v>3774</v>
      </c>
      <c r="N11538" s="30" t="s">
        <v>17412</v>
      </c>
      <c r="P11538" s="30" t="s">
        <v>17413</v>
      </c>
      <c r="Q11538" t="s">
        <v>620</v>
      </c>
      <c r="R11538" t="s">
        <v>917</v>
      </c>
      <c r="S11538">
        <v>39</v>
      </c>
      <c r="T11538" s="29" t="str">
        <f>HYPERLINK("https://ictv.global/ictv/proposals/2023.002M.Alpharhabdovirinae_2ngen_2nsp.zip","2023.002M.Alpharhabdovirinae_2ngen_2nsp.zip")</f>
        <v>2023.002M.Alpharhabdovirinae_2ngen_2nsp.zip</v>
      </c>
      <c r="U11538" s="29" t="str">
        <f>HYPERLINK("https://ictv.global/taxonomy/taxondetails?taxnode_id=202317750","ictv.global=202317750")</f>
        <v>ictv.global=202317750</v>
      </c>
    </row>
    <row r="11539" spans="1:21">
      <c r="A11539">
        <v>11538</v>
      </c>
      <c r="B11539" s="30" t="s">
        <v>1226</v>
      </c>
      <c r="D11539" s="30" t="s">
        <v>2024</v>
      </c>
      <c r="F11539" s="30" t="s">
        <v>1040</v>
      </c>
      <c r="G11539" s="30" t="s">
        <v>1041</v>
      </c>
      <c r="H11539" s="30" t="s">
        <v>1047</v>
      </c>
      <c r="J11539" s="30" t="s">
        <v>255</v>
      </c>
      <c r="L11539" s="30" t="s">
        <v>374</v>
      </c>
      <c r="M11539" s="30" t="s">
        <v>3774</v>
      </c>
      <c r="N11539" s="30" t="s">
        <v>376</v>
      </c>
      <c r="P11539" s="30" t="s">
        <v>10110</v>
      </c>
      <c r="Q11539" t="s">
        <v>620</v>
      </c>
      <c r="R11539" t="s">
        <v>920</v>
      </c>
      <c r="S11539">
        <v>37</v>
      </c>
      <c r="T11539" s="29" t="str">
        <f t="shared" ref="T11539:T11549" si="482">HYPERLINK("https://ictv.global/ictv/proposals/2021.036M.R.Rhabdoviridae_sprename.zip","2021.036M.R.Rhabdoviridae_sprename.zip")</f>
        <v>2021.036M.R.Rhabdoviridae_sprename.zip</v>
      </c>
      <c r="U11539" s="29" t="str">
        <f>HYPERLINK("https://ictv.global/taxonomy/taxondetails?taxnode_id=202301789","ictv.global=202301789")</f>
        <v>ictv.global=202301789</v>
      </c>
    </row>
    <row r="11540" spans="1:21">
      <c r="A11540">
        <v>11539</v>
      </c>
      <c r="B11540" s="30" t="s">
        <v>1226</v>
      </c>
      <c r="D11540" s="30" t="s">
        <v>2024</v>
      </c>
      <c r="F11540" s="30" t="s">
        <v>1040</v>
      </c>
      <c r="G11540" s="30" t="s">
        <v>1041</v>
      </c>
      <c r="H11540" s="30" t="s">
        <v>1047</v>
      </c>
      <c r="J11540" s="30" t="s">
        <v>255</v>
      </c>
      <c r="L11540" s="30" t="s">
        <v>374</v>
      </c>
      <c r="M11540" s="30" t="s">
        <v>3774</v>
      </c>
      <c r="N11540" s="30" t="s">
        <v>376</v>
      </c>
      <c r="P11540" s="30" t="s">
        <v>10111</v>
      </c>
      <c r="Q11540" t="s">
        <v>620</v>
      </c>
      <c r="R11540" t="s">
        <v>920</v>
      </c>
      <c r="S11540">
        <v>37</v>
      </c>
      <c r="T11540" s="29" t="str">
        <f t="shared" si="482"/>
        <v>2021.036M.R.Rhabdoviridae_sprename.zip</v>
      </c>
      <c r="U11540" s="29" t="str">
        <f>HYPERLINK("https://ictv.global/taxonomy/taxondetails?taxnode_id=202301804","ictv.global=202301804")</f>
        <v>ictv.global=202301804</v>
      </c>
    </row>
    <row r="11541" spans="1:21">
      <c r="A11541">
        <v>11540</v>
      </c>
      <c r="B11541" s="30" t="s">
        <v>1226</v>
      </c>
      <c r="D11541" s="30" t="s">
        <v>2024</v>
      </c>
      <c r="F11541" s="30" t="s">
        <v>1040</v>
      </c>
      <c r="G11541" s="30" t="s">
        <v>1041</v>
      </c>
      <c r="H11541" s="30" t="s">
        <v>1047</v>
      </c>
      <c r="J11541" s="30" t="s">
        <v>255</v>
      </c>
      <c r="L11541" s="30" t="s">
        <v>374</v>
      </c>
      <c r="M11541" s="30" t="s">
        <v>3774</v>
      </c>
      <c r="N11541" s="30" t="s">
        <v>376</v>
      </c>
      <c r="P11541" s="30" t="s">
        <v>10112</v>
      </c>
      <c r="Q11541" t="s">
        <v>620</v>
      </c>
      <c r="R11541" t="s">
        <v>920</v>
      </c>
      <c r="S11541">
        <v>37</v>
      </c>
      <c r="T11541" s="29" t="str">
        <f t="shared" si="482"/>
        <v>2021.036M.R.Rhabdoviridae_sprename.zip</v>
      </c>
      <c r="U11541" s="29" t="str">
        <f>HYPERLINK("https://ictv.global/taxonomy/taxondetails?taxnode_id=202301791","ictv.global=202301791")</f>
        <v>ictv.global=202301791</v>
      </c>
    </row>
    <row r="11542" spans="1:21">
      <c r="A11542">
        <v>11541</v>
      </c>
      <c r="B11542" s="30" t="s">
        <v>1226</v>
      </c>
      <c r="D11542" s="30" t="s">
        <v>2024</v>
      </c>
      <c r="F11542" s="30" t="s">
        <v>1040</v>
      </c>
      <c r="G11542" s="30" t="s">
        <v>1041</v>
      </c>
      <c r="H11542" s="30" t="s">
        <v>1047</v>
      </c>
      <c r="J11542" s="30" t="s">
        <v>255</v>
      </c>
      <c r="L11542" s="30" t="s">
        <v>374</v>
      </c>
      <c r="M11542" s="30" t="s">
        <v>3774</v>
      </c>
      <c r="N11542" s="30" t="s">
        <v>376</v>
      </c>
      <c r="P11542" s="30" t="s">
        <v>10113</v>
      </c>
      <c r="Q11542" t="s">
        <v>620</v>
      </c>
      <c r="R11542" t="s">
        <v>920</v>
      </c>
      <c r="S11542">
        <v>37</v>
      </c>
      <c r="T11542" s="29" t="str">
        <f t="shared" si="482"/>
        <v>2021.036M.R.Rhabdoviridae_sprename.zip</v>
      </c>
      <c r="U11542" s="29" t="str">
        <f>HYPERLINK("https://ictv.global/taxonomy/taxondetails?taxnode_id=202301792","ictv.global=202301792")</f>
        <v>ictv.global=202301792</v>
      </c>
    </row>
    <row r="11543" spans="1:21">
      <c r="A11543">
        <v>11542</v>
      </c>
      <c r="B11543" s="30" t="s">
        <v>1226</v>
      </c>
      <c r="D11543" s="30" t="s">
        <v>2024</v>
      </c>
      <c r="F11543" s="30" t="s">
        <v>1040</v>
      </c>
      <c r="G11543" s="30" t="s">
        <v>1041</v>
      </c>
      <c r="H11543" s="30" t="s">
        <v>1047</v>
      </c>
      <c r="J11543" s="30" t="s">
        <v>255</v>
      </c>
      <c r="L11543" s="30" t="s">
        <v>374</v>
      </c>
      <c r="M11543" s="30" t="s">
        <v>3774</v>
      </c>
      <c r="N11543" s="30" t="s">
        <v>376</v>
      </c>
      <c r="P11543" s="30" t="s">
        <v>10114</v>
      </c>
      <c r="Q11543" t="s">
        <v>620</v>
      </c>
      <c r="R11543" t="s">
        <v>920</v>
      </c>
      <c r="S11543">
        <v>37</v>
      </c>
      <c r="T11543" s="29" t="str">
        <f t="shared" si="482"/>
        <v>2021.036M.R.Rhabdoviridae_sprename.zip</v>
      </c>
      <c r="U11543" s="29" t="str">
        <f>HYPERLINK("https://ictv.global/taxonomy/taxondetails?taxnode_id=202301793","ictv.global=202301793")</f>
        <v>ictv.global=202301793</v>
      </c>
    </row>
    <row r="11544" spans="1:21">
      <c r="A11544">
        <v>11543</v>
      </c>
      <c r="B11544" s="30" t="s">
        <v>1226</v>
      </c>
      <c r="D11544" s="30" t="s">
        <v>2024</v>
      </c>
      <c r="F11544" s="30" t="s">
        <v>1040</v>
      </c>
      <c r="G11544" s="30" t="s">
        <v>1041</v>
      </c>
      <c r="H11544" s="30" t="s">
        <v>1047</v>
      </c>
      <c r="J11544" s="30" t="s">
        <v>255</v>
      </c>
      <c r="L11544" s="30" t="s">
        <v>374</v>
      </c>
      <c r="M11544" s="30" t="s">
        <v>3774</v>
      </c>
      <c r="N11544" s="30" t="s">
        <v>376</v>
      </c>
      <c r="P11544" s="30" t="s">
        <v>10115</v>
      </c>
      <c r="Q11544" t="s">
        <v>620</v>
      </c>
      <c r="R11544" t="s">
        <v>920</v>
      </c>
      <c r="S11544">
        <v>37</v>
      </c>
      <c r="T11544" s="29" t="str">
        <f t="shared" si="482"/>
        <v>2021.036M.R.Rhabdoviridae_sprename.zip</v>
      </c>
      <c r="U11544" s="29" t="str">
        <f>HYPERLINK("https://ictv.global/taxonomy/taxondetails?taxnode_id=202301790","ictv.global=202301790")</f>
        <v>ictv.global=202301790</v>
      </c>
    </row>
    <row r="11545" spans="1:21">
      <c r="A11545">
        <v>11544</v>
      </c>
      <c r="B11545" s="30" t="s">
        <v>1226</v>
      </c>
      <c r="D11545" s="30" t="s">
        <v>2024</v>
      </c>
      <c r="F11545" s="30" t="s">
        <v>1040</v>
      </c>
      <c r="G11545" s="30" t="s">
        <v>1041</v>
      </c>
      <c r="H11545" s="30" t="s">
        <v>1047</v>
      </c>
      <c r="J11545" s="30" t="s">
        <v>255</v>
      </c>
      <c r="L11545" s="30" t="s">
        <v>374</v>
      </c>
      <c r="M11545" s="30" t="s">
        <v>3774</v>
      </c>
      <c r="N11545" s="30" t="s">
        <v>376</v>
      </c>
      <c r="P11545" s="30" t="s">
        <v>10116</v>
      </c>
      <c r="Q11545" t="s">
        <v>620</v>
      </c>
      <c r="R11545" t="s">
        <v>920</v>
      </c>
      <c r="S11545">
        <v>37</v>
      </c>
      <c r="T11545" s="29" t="str">
        <f t="shared" si="482"/>
        <v>2021.036M.R.Rhabdoviridae_sprename.zip</v>
      </c>
      <c r="U11545" s="29" t="str">
        <f>HYPERLINK("https://ictv.global/taxonomy/taxondetails?taxnode_id=202301794","ictv.global=202301794")</f>
        <v>ictv.global=202301794</v>
      </c>
    </row>
    <row r="11546" spans="1:21">
      <c r="A11546">
        <v>11545</v>
      </c>
      <c r="B11546" s="30" t="s">
        <v>1226</v>
      </c>
      <c r="D11546" s="30" t="s">
        <v>2024</v>
      </c>
      <c r="F11546" s="30" t="s">
        <v>1040</v>
      </c>
      <c r="G11546" s="30" t="s">
        <v>1041</v>
      </c>
      <c r="H11546" s="30" t="s">
        <v>1047</v>
      </c>
      <c r="J11546" s="30" t="s">
        <v>255</v>
      </c>
      <c r="L11546" s="30" t="s">
        <v>374</v>
      </c>
      <c r="M11546" s="30" t="s">
        <v>3774</v>
      </c>
      <c r="N11546" s="30" t="s">
        <v>376</v>
      </c>
      <c r="P11546" s="30" t="s">
        <v>10117</v>
      </c>
      <c r="Q11546" t="s">
        <v>620</v>
      </c>
      <c r="R11546" t="s">
        <v>920</v>
      </c>
      <c r="S11546">
        <v>37</v>
      </c>
      <c r="T11546" s="29" t="str">
        <f t="shared" si="482"/>
        <v>2021.036M.R.Rhabdoviridae_sprename.zip</v>
      </c>
      <c r="U11546" s="29" t="str">
        <f>HYPERLINK("https://ictv.global/taxonomy/taxondetails?taxnode_id=202301795","ictv.global=202301795")</f>
        <v>ictv.global=202301795</v>
      </c>
    </row>
    <row r="11547" spans="1:21">
      <c r="A11547">
        <v>11546</v>
      </c>
      <c r="B11547" s="30" t="s">
        <v>1226</v>
      </c>
      <c r="D11547" s="30" t="s">
        <v>2024</v>
      </c>
      <c r="F11547" s="30" t="s">
        <v>1040</v>
      </c>
      <c r="G11547" s="30" t="s">
        <v>1041</v>
      </c>
      <c r="H11547" s="30" t="s">
        <v>1047</v>
      </c>
      <c r="J11547" s="30" t="s">
        <v>255</v>
      </c>
      <c r="L11547" s="30" t="s">
        <v>374</v>
      </c>
      <c r="M11547" s="30" t="s">
        <v>3774</v>
      </c>
      <c r="N11547" s="30" t="s">
        <v>376</v>
      </c>
      <c r="P11547" s="30" t="s">
        <v>10118</v>
      </c>
      <c r="Q11547" t="s">
        <v>620</v>
      </c>
      <c r="R11547" t="s">
        <v>920</v>
      </c>
      <c r="S11547">
        <v>37</v>
      </c>
      <c r="T11547" s="29" t="str">
        <f t="shared" si="482"/>
        <v>2021.036M.R.Rhabdoviridae_sprename.zip</v>
      </c>
      <c r="U11547" s="29" t="str">
        <f>HYPERLINK("https://ictv.global/taxonomy/taxondetails?taxnode_id=202301796","ictv.global=202301796")</f>
        <v>ictv.global=202301796</v>
      </c>
    </row>
    <row r="11548" spans="1:21">
      <c r="A11548">
        <v>11547</v>
      </c>
      <c r="B11548" s="30" t="s">
        <v>1226</v>
      </c>
      <c r="D11548" s="30" t="s">
        <v>2024</v>
      </c>
      <c r="F11548" s="30" t="s">
        <v>1040</v>
      </c>
      <c r="G11548" s="30" t="s">
        <v>1041</v>
      </c>
      <c r="H11548" s="30" t="s">
        <v>1047</v>
      </c>
      <c r="J11548" s="30" t="s">
        <v>255</v>
      </c>
      <c r="L11548" s="30" t="s">
        <v>374</v>
      </c>
      <c r="M11548" s="30" t="s">
        <v>3774</v>
      </c>
      <c r="N11548" s="30" t="s">
        <v>376</v>
      </c>
      <c r="P11548" s="30" t="s">
        <v>10119</v>
      </c>
      <c r="Q11548" t="s">
        <v>620</v>
      </c>
      <c r="R11548" t="s">
        <v>920</v>
      </c>
      <c r="S11548">
        <v>37</v>
      </c>
      <c r="T11548" s="29" t="str">
        <f t="shared" si="482"/>
        <v>2021.036M.R.Rhabdoviridae_sprename.zip</v>
      </c>
      <c r="U11548" s="29" t="str">
        <f>HYPERLINK("https://ictv.global/taxonomy/taxondetails?taxnode_id=202301797","ictv.global=202301797")</f>
        <v>ictv.global=202301797</v>
      </c>
    </row>
    <row r="11549" spans="1:21">
      <c r="A11549">
        <v>11548</v>
      </c>
      <c r="B11549" s="30" t="s">
        <v>1226</v>
      </c>
      <c r="D11549" s="30" t="s">
        <v>2024</v>
      </c>
      <c r="F11549" s="30" t="s">
        <v>1040</v>
      </c>
      <c r="G11549" s="30" t="s">
        <v>1041</v>
      </c>
      <c r="H11549" s="30" t="s">
        <v>1047</v>
      </c>
      <c r="J11549" s="30" t="s">
        <v>255</v>
      </c>
      <c r="L11549" s="30" t="s">
        <v>374</v>
      </c>
      <c r="M11549" s="30" t="s">
        <v>3774</v>
      </c>
      <c r="N11549" s="30" t="s">
        <v>376</v>
      </c>
      <c r="P11549" s="30" t="s">
        <v>10120</v>
      </c>
      <c r="Q11549" t="s">
        <v>620</v>
      </c>
      <c r="R11549" t="s">
        <v>920</v>
      </c>
      <c r="S11549">
        <v>37</v>
      </c>
      <c r="T11549" s="29" t="str">
        <f t="shared" si="482"/>
        <v>2021.036M.R.Rhabdoviridae_sprename.zip</v>
      </c>
      <c r="U11549" s="29" t="str">
        <f>HYPERLINK("https://ictv.global/taxonomy/taxondetails?taxnode_id=202301798","ictv.global=202301798")</f>
        <v>ictv.global=202301798</v>
      </c>
    </row>
    <row r="11550" spans="1:21">
      <c r="A11550">
        <v>11549</v>
      </c>
      <c r="B11550" s="30" t="s">
        <v>1226</v>
      </c>
      <c r="D11550" s="30" t="s">
        <v>2024</v>
      </c>
      <c r="F11550" s="30" t="s">
        <v>1040</v>
      </c>
      <c r="G11550" s="30" t="s">
        <v>1041</v>
      </c>
      <c r="H11550" s="30" t="s">
        <v>1047</v>
      </c>
      <c r="J11550" s="30" t="s">
        <v>255</v>
      </c>
      <c r="L11550" s="30" t="s">
        <v>374</v>
      </c>
      <c r="M11550" s="30" t="s">
        <v>3774</v>
      </c>
      <c r="N11550" s="30" t="s">
        <v>376</v>
      </c>
      <c r="P11550" s="30" t="s">
        <v>10121</v>
      </c>
      <c r="Q11550" t="s">
        <v>620</v>
      </c>
      <c r="R11550" t="s">
        <v>917</v>
      </c>
      <c r="S11550">
        <v>37</v>
      </c>
      <c r="T11550" s="29" t="str">
        <f>HYPERLINK("https://ictv.global/ictv/proposals/2021.004M.R.Alpharhabdovirinae_13nsp.zip","2021.004M.R.Alpharhabdovirinae_13nsp.zip")</f>
        <v>2021.004M.R.Alpharhabdovirinae_13nsp.zip</v>
      </c>
      <c r="U11550" s="29" t="str">
        <f>HYPERLINK("https://ictv.global/taxonomy/taxondetails?taxnode_id=202313323","ictv.global=202313323")</f>
        <v>ictv.global=202313323</v>
      </c>
    </row>
    <row r="11551" spans="1:21">
      <c r="A11551">
        <v>11550</v>
      </c>
      <c r="B11551" s="30" t="s">
        <v>1226</v>
      </c>
      <c r="D11551" s="30" t="s">
        <v>2024</v>
      </c>
      <c r="F11551" s="30" t="s">
        <v>1040</v>
      </c>
      <c r="G11551" s="30" t="s">
        <v>1041</v>
      </c>
      <c r="H11551" s="30" t="s">
        <v>1047</v>
      </c>
      <c r="J11551" s="30" t="s">
        <v>255</v>
      </c>
      <c r="L11551" s="30" t="s">
        <v>374</v>
      </c>
      <c r="M11551" s="30" t="s">
        <v>3774</v>
      </c>
      <c r="N11551" s="30" t="s">
        <v>376</v>
      </c>
      <c r="P11551" s="30" t="s">
        <v>10122</v>
      </c>
      <c r="Q11551" t="s">
        <v>620</v>
      </c>
      <c r="R11551" t="s">
        <v>917</v>
      </c>
      <c r="S11551">
        <v>38</v>
      </c>
      <c r="T11551" s="29" t="str">
        <f>HYPERLINK("https://ictv.global/ictv/proposals/2022.022M.Vesiculovirus_2nsp.zip","2022.022M.Vesiculovirus_2nsp.zip")</f>
        <v>2022.022M.Vesiculovirus_2nsp.zip</v>
      </c>
      <c r="U11551" s="29" t="str">
        <f>HYPERLINK("https://ictv.global/taxonomy/taxondetails?taxnode_id=202314276","ictv.global=202314276")</f>
        <v>ictv.global=202314276</v>
      </c>
    </row>
    <row r="11552" spans="1:21">
      <c r="A11552">
        <v>11551</v>
      </c>
      <c r="B11552" s="30" t="s">
        <v>1226</v>
      </c>
      <c r="D11552" s="30" t="s">
        <v>2024</v>
      </c>
      <c r="F11552" s="30" t="s">
        <v>1040</v>
      </c>
      <c r="G11552" s="30" t="s">
        <v>1041</v>
      </c>
      <c r="H11552" s="30" t="s">
        <v>1047</v>
      </c>
      <c r="J11552" s="30" t="s">
        <v>255</v>
      </c>
      <c r="L11552" s="30" t="s">
        <v>374</v>
      </c>
      <c r="M11552" s="30" t="s">
        <v>3774</v>
      </c>
      <c r="N11552" s="30" t="s">
        <v>376</v>
      </c>
      <c r="P11552" s="30" t="s">
        <v>10123</v>
      </c>
      <c r="Q11552" t="s">
        <v>620</v>
      </c>
      <c r="R11552" t="s">
        <v>920</v>
      </c>
      <c r="S11552">
        <v>37</v>
      </c>
      <c r="T11552" s="29" t="str">
        <f t="shared" ref="T11552:T11557" si="483">HYPERLINK("https://ictv.global/ictv/proposals/2021.036M.R.Rhabdoviridae_sprename.zip","2021.036M.R.Rhabdoviridae_sprename.zip")</f>
        <v>2021.036M.R.Rhabdoviridae_sprename.zip</v>
      </c>
      <c r="U11552" s="29" t="str">
        <f>HYPERLINK("https://ictv.global/taxonomy/taxondetails?taxnode_id=202301799","ictv.global=202301799")</f>
        <v>ictv.global=202301799</v>
      </c>
    </row>
    <row r="11553" spans="1:21">
      <c r="A11553">
        <v>11552</v>
      </c>
      <c r="B11553" s="30" t="s">
        <v>1226</v>
      </c>
      <c r="D11553" s="30" t="s">
        <v>2024</v>
      </c>
      <c r="F11553" s="30" t="s">
        <v>1040</v>
      </c>
      <c r="G11553" s="30" t="s">
        <v>1041</v>
      </c>
      <c r="H11553" s="30" t="s">
        <v>1047</v>
      </c>
      <c r="J11553" s="30" t="s">
        <v>255</v>
      </c>
      <c r="L11553" s="30" t="s">
        <v>374</v>
      </c>
      <c r="M11553" s="30" t="s">
        <v>3774</v>
      </c>
      <c r="N11553" s="30" t="s">
        <v>376</v>
      </c>
      <c r="P11553" s="30" t="s">
        <v>10124</v>
      </c>
      <c r="Q11553" t="s">
        <v>620</v>
      </c>
      <c r="R11553" t="s">
        <v>920</v>
      </c>
      <c r="S11553">
        <v>37</v>
      </c>
      <c r="T11553" s="29" t="str">
        <f t="shared" si="483"/>
        <v>2021.036M.R.Rhabdoviridae_sprename.zip</v>
      </c>
      <c r="U11553" s="29" t="str">
        <f>HYPERLINK("https://ictv.global/taxonomy/taxondetails?taxnode_id=202301800","ictv.global=202301800")</f>
        <v>ictv.global=202301800</v>
      </c>
    </row>
    <row r="11554" spans="1:21">
      <c r="A11554">
        <v>11553</v>
      </c>
      <c r="B11554" s="30" t="s">
        <v>1226</v>
      </c>
      <c r="D11554" s="30" t="s">
        <v>2024</v>
      </c>
      <c r="F11554" s="30" t="s">
        <v>1040</v>
      </c>
      <c r="G11554" s="30" t="s">
        <v>1041</v>
      </c>
      <c r="H11554" s="30" t="s">
        <v>1047</v>
      </c>
      <c r="J11554" s="30" t="s">
        <v>255</v>
      </c>
      <c r="L11554" s="30" t="s">
        <v>374</v>
      </c>
      <c r="M11554" s="30" t="s">
        <v>3774</v>
      </c>
      <c r="N11554" s="30" t="s">
        <v>376</v>
      </c>
      <c r="P11554" s="30" t="s">
        <v>10125</v>
      </c>
      <c r="Q11554" t="s">
        <v>620</v>
      </c>
      <c r="R11554" t="s">
        <v>920</v>
      </c>
      <c r="S11554">
        <v>37</v>
      </c>
      <c r="T11554" s="29" t="str">
        <f t="shared" si="483"/>
        <v>2021.036M.R.Rhabdoviridae_sprename.zip</v>
      </c>
      <c r="U11554" s="29" t="str">
        <f>HYPERLINK("https://ictv.global/taxonomy/taxondetails?taxnode_id=202301801","ictv.global=202301801")</f>
        <v>ictv.global=202301801</v>
      </c>
    </row>
    <row r="11555" spans="1:21">
      <c r="A11555">
        <v>11554</v>
      </c>
      <c r="B11555" s="30" t="s">
        <v>1226</v>
      </c>
      <c r="D11555" s="30" t="s">
        <v>2024</v>
      </c>
      <c r="F11555" s="30" t="s">
        <v>1040</v>
      </c>
      <c r="G11555" s="30" t="s">
        <v>1041</v>
      </c>
      <c r="H11555" s="30" t="s">
        <v>1047</v>
      </c>
      <c r="J11555" s="30" t="s">
        <v>255</v>
      </c>
      <c r="L11555" s="30" t="s">
        <v>374</v>
      </c>
      <c r="M11555" s="30" t="s">
        <v>3774</v>
      </c>
      <c r="N11555" s="30" t="s">
        <v>376</v>
      </c>
      <c r="P11555" s="30" t="s">
        <v>10126</v>
      </c>
      <c r="Q11555" t="s">
        <v>620</v>
      </c>
      <c r="R11555" t="s">
        <v>920</v>
      </c>
      <c r="S11555">
        <v>37</v>
      </c>
      <c r="T11555" s="29" t="str">
        <f t="shared" si="483"/>
        <v>2021.036M.R.Rhabdoviridae_sprename.zip</v>
      </c>
      <c r="U11555" s="29" t="str">
        <f>HYPERLINK("https://ictv.global/taxonomy/taxondetails?taxnode_id=202301802","ictv.global=202301802")</f>
        <v>ictv.global=202301802</v>
      </c>
    </row>
    <row r="11556" spans="1:21">
      <c r="A11556">
        <v>11555</v>
      </c>
      <c r="B11556" s="30" t="s">
        <v>1226</v>
      </c>
      <c r="D11556" s="30" t="s">
        <v>2024</v>
      </c>
      <c r="F11556" s="30" t="s">
        <v>1040</v>
      </c>
      <c r="G11556" s="30" t="s">
        <v>1041</v>
      </c>
      <c r="H11556" s="30" t="s">
        <v>1047</v>
      </c>
      <c r="J11556" s="30" t="s">
        <v>255</v>
      </c>
      <c r="L11556" s="30" t="s">
        <v>374</v>
      </c>
      <c r="M11556" s="30" t="s">
        <v>3774</v>
      </c>
      <c r="N11556" s="30" t="s">
        <v>376</v>
      </c>
      <c r="P11556" s="30" t="s">
        <v>10127</v>
      </c>
      <c r="Q11556" t="s">
        <v>620</v>
      </c>
      <c r="R11556" t="s">
        <v>920</v>
      </c>
      <c r="S11556">
        <v>37</v>
      </c>
      <c r="T11556" s="29" t="str">
        <f t="shared" si="483"/>
        <v>2021.036M.R.Rhabdoviridae_sprename.zip</v>
      </c>
      <c r="U11556" s="29" t="str">
        <f>HYPERLINK("https://ictv.global/taxonomy/taxondetails?taxnode_id=202301803","ictv.global=202301803")</f>
        <v>ictv.global=202301803</v>
      </c>
    </row>
    <row r="11557" spans="1:21">
      <c r="A11557">
        <v>11556</v>
      </c>
      <c r="B11557" s="30" t="s">
        <v>1226</v>
      </c>
      <c r="D11557" s="30" t="s">
        <v>2024</v>
      </c>
      <c r="F11557" s="30" t="s">
        <v>1040</v>
      </c>
      <c r="G11557" s="30" t="s">
        <v>1041</v>
      </c>
      <c r="H11557" s="30" t="s">
        <v>1047</v>
      </c>
      <c r="J11557" s="30" t="s">
        <v>255</v>
      </c>
      <c r="L11557" s="30" t="s">
        <v>374</v>
      </c>
      <c r="M11557" s="30" t="s">
        <v>3774</v>
      </c>
      <c r="N11557" s="30" t="s">
        <v>376</v>
      </c>
      <c r="P11557" s="30" t="s">
        <v>10128</v>
      </c>
      <c r="Q11557" t="s">
        <v>620</v>
      </c>
      <c r="R11557" t="s">
        <v>920</v>
      </c>
      <c r="S11557">
        <v>37</v>
      </c>
      <c r="T11557" s="29" t="str">
        <f t="shared" si="483"/>
        <v>2021.036M.R.Rhabdoviridae_sprename.zip</v>
      </c>
      <c r="U11557" s="29" t="str">
        <f>HYPERLINK("https://ictv.global/taxonomy/taxondetails?taxnode_id=202309186","ictv.global=202309186")</f>
        <v>ictv.global=202309186</v>
      </c>
    </row>
    <row r="11558" spans="1:21">
      <c r="A11558">
        <v>11557</v>
      </c>
      <c r="B11558" s="30" t="s">
        <v>1226</v>
      </c>
      <c r="D11558" s="30" t="s">
        <v>2024</v>
      </c>
      <c r="F11558" s="30" t="s">
        <v>1040</v>
      </c>
      <c r="G11558" s="30" t="s">
        <v>1041</v>
      </c>
      <c r="H11558" s="30" t="s">
        <v>1047</v>
      </c>
      <c r="J11558" s="30" t="s">
        <v>255</v>
      </c>
      <c r="L11558" s="30" t="s">
        <v>374</v>
      </c>
      <c r="M11558" s="30" t="s">
        <v>3774</v>
      </c>
      <c r="N11558" s="30" t="s">
        <v>376</v>
      </c>
      <c r="P11558" s="30" t="s">
        <v>10129</v>
      </c>
      <c r="Q11558" t="s">
        <v>620</v>
      </c>
      <c r="R11558" t="s">
        <v>917</v>
      </c>
      <c r="S11558">
        <v>38</v>
      </c>
      <c r="T11558" s="29" t="str">
        <f>HYPERLINK("https://ictv.global/ictv/proposals/2022.022M.Vesiculovirus_2nsp.zip","2022.022M.Vesiculovirus_2nsp.zip")</f>
        <v>2022.022M.Vesiculovirus_2nsp.zip</v>
      </c>
      <c r="U11558" s="29" t="str">
        <f>HYPERLINK("https://ictv.global/taxonomy/taxondetails?taxnode_id=202314275","ictv.global=202314275")</f>
        <v>ictv.global=202314275</v>
      </c>
    </row>
    <row r="11559" spans="1:21">
      <c r="A11559">
        <v>11558</v>
      </c>
      <c r="B11559" s="30" t="s">
        <v>1226</v>
      </c>
      <c r="D11559" s="30" t="s">
        <v>2024</v>
      </c>
      <c r="F11559" s="30" t="s">
        <v>1040</v>
      </c>
      <c r="G11559" s="30" t="s">
        <v>1041</v>
      </c>
      <c r="H11559" s="30" t="s">
        <v>1047</v>
      </c>
      <c r="J11559" s="30" t="s">
        <v>255</v>
      </c>
      <c r="L11559" s="30" t="s">
        <v>374</v>
      </c>
      <c r="M11559" s="30" t="s">
        <v>3774</v>
      </c>
      <c r="N11559" s="30" t="s">
        <v>376</v>
      </c>
      <c r="P11559" s="30" t="s">
        <v>10130</v>
      </c>
      <c r="Q11559" t="s">
        <v>620</v>
      </c>
      <c r="R11559" t="s">
        <v>917</v>
      </c>
      <c r="S11559">
        <v>37</v>
      </c>
      <c r="T11559" s="29" t="str">
        <f>HYPERLINK("https://ictv.global/ictv/proposals/2021.004M.R.Alpharhabdovirinae_13nsp.zip","2021.004M.R.Alpharhabdovirinae_13nsp.zip")</f>
        <v>2021.004M.R.Alpharhabdovirinae_13nsp.zip</v>
      </c>
      <c r="U11559" s="29" t="str">
        <f>HYPERLINK("https://ictv.global/taxonomy/taxondetails?taxnode_id=202313324","ictv.global=202313324")</f>
        <v>ictv.global=202313324</v>
      </c>
    </row>
    <row r="11560" spans="1:21">
      <c r="A11560">
        <v>11559</v>
      </c>
      <c r="B11560" s="30" t="s">
        <v>1226</v>
      </c>
      <c r="D11560" s="30" t="s">
        <v>2024</v>
      </c>
      <c r="F11560" s="30" t="s">
        <v>1040</v>
      </c>
      <c r="G11560" s="30" t="s">
        <v>1041</v>
      </c>
      <c r="H11560" s="30" t="s">
        <v>1047</v>
      </c>
      <c r="J11560" s="30" t="s">
        <v>255</v>
      </c>
      <c r="L11560" s="30" t="s">
        <v>374</v>
      </c>
      <c r="M11560" s="30" t="s">
        <v>3774</v>
      </c>
      <c r="N11560" s="30" t="s">
        <v>2184</v>
      </c>
      <c r="P11560" s="30" t="s">
        <v>10131</v>
      </c>
      <c r="Q11560" t="s">
        <v>620</v>
      </c>
      <c r="R11560" t="s">
        <v>920</v>
      </c>
      <c r="S11560">
        <v>37</v>
      </c>
      <c r="T11560" s="29" t="str">
        <f>HYPERLINK("https://ictv.global/ictv/proposals/2021.036M.R.Rhabdoviridae_sprename.zip","2021.036M.R.Rhabdoviridae_sprename.zip")</f>
        <v>2021.036M.R.Rhabdoviridae_sprename.zip</v>
      </c>
      <c r="U11560" s="29" t="str">
        <f>HYPERLINK("https://ictv.global/taxonomy/taxondetails?taxnode_id=202307389","ictv.global=202307389")</f>
        <v>ictv.global=202307389</v>
      </c>
    </row>
    <row r="11561" spans="1:21">
      <c r="A11561">
        <v>11560</v>
      </c>
      <c r="B11561" s="30" t="s">
        <v>1226</v>
      </c>
      <c r="D11561" s="30" t="s">
        <v>2024</v>
      </c>
      <c r="F11561" s="30" t="s">
        <v>1040</v>
      </c>
      <c r="G11561" s="30" t="s">
        <v>1041</v>
      </c>
      <c r="H11561" s="30" t="s">
        <v>1047</v>
      </c>
      <c r="J11561" s="30" t="s">
        <v>255</v>
      </c>
      <c r="L11561" s="30" t="s">
        <v>374</v>
      </c>
      <c r="M11561" s="30" t="s">
        <v>3778</v>
      </c>
      <c r="N11561" s="30" t="s">
        <v>17414</v>
      </c>
      <c r="P11561" s="30" t="s">
        <v>17415</v>
      </c>
      <c r="Q11561" t="s">
        <v>620</v>
      </c>
      <c r="R11561" t="s">
        <v>917</v>
      </c>
      <c r="S11561">
        <v>39</v>
      </c>
      <c r="T11561" s="29" t="str">
        <f t="shared" ref="T11561:T11569" si="484">HYPERLINK("https://ictv.global/ictv/proposals/2023.004M.Betarhabdovirinae_2ngen_9nsp_move1sp.zip","2023.004M.Betarhabdovirinae_2ngen_9nsp_move1sp.zip")</f>
        <v>2023.004M.Betarhabdovirinae_2ngen_9nsp_move1sp.zip</v>
      </c>
      <c r="U11561" s="29" t="str">
        <f>HYPERLINK("https://ictv.global/taxonomy/taxondetails?taxnode_id=202317788","ictv.global=202317788")</f>
        <v>ictv.global=202317788</v>
      </c>
    </row>
    <row r="11562" spans="1:21">
      <c r="A11562">
        <v>11561</v>
      </c>
      <c r="B11562" s="30" t="s">
        <v>1226</v>
      </c>
      <c r="D11562" s="30" t="s">
        <v>2024</v>
      </c>
      <c r="F11562" s="30" t="s">
        <v>1040</v>
      </c>
      <c r="G11562" s="30" t="s">
        <v>1041</v>
      </c>
      <c r="H11562" s="30" t="s">
        <v>1047</v>
      </c>
      <c r="J11562" s="30" t="s">
        <v>255</v>
      </c>
      <c r="L11562" s="30" t="s">
        <v>374</v>
      </c>
      <c r="M11562" s="30" t="s">
        <v>3778</v>
      </c>
      <c r="N11562" s="30" t="s">
        <v>17414</v>
      </c>
      <c r="P11562" s="30" t="s">
        <v>17416</v>
      </c>
      <c r="Q11562" t="s">
        <v>620</v>
      </c>
      <c r="R11562" t="s">
        <v>917</v>
      </c>
      <c r="S11562">
        <v>39</v>
      </c>
      <c r="T11562" s="29" t="str">
        <f t="shared" si="484"/>
        <v>2023.004M.Betarhabdovirinae_2ngen_9nsp_move1sp.zip</v>
      </c>
      <c r="U11562" s="29" t="str">
        <f>HYPERLINK("https://ictv.global/taxonomy/taxondetails?taxnode_id=202317789","ictv.global=202317789")</f>
        <v>ictv.global=202317789</v>
      </c>
    </row>
    <row r="11563" spans="1:21">
      <c r="A11563">
        <v>11562</v>
      </c>
      <c r="B11563" s="30" t="s">
        <v>1226</v>
      </c>
      <c r="D11563" s="30" t="s">
        <v>2024</v>
      </c>
      <c r="F11563" s="30" t="s">
        <v>1040</v>
      </c>
      <c r="G11563" s="30" t="s">
        <v>1041</v>
      </c>
      <c r="H11563" s="30" t="s">
        <v>1047</v>
      </c>
      <c r="J11563" s="30" t="s">
        <v>255</v>
      </c>
      <c r="L11563" s="30" t="s">
        <v>374</v>
      </c>
      <c r="M11563" s="30" t="s">
        <v>3778</v>
      </c>
      <c r="N11563" s="30" t="s">
        <v>17414</v>
      </c>
      <c r="P11563" s="30" t="s">
        <v>17417</v>
      </c>
      <c r="Q11563" t="s">
        <v>620</v>
      </c>
      <c r="R11563" t="s">
        <v>917</v>
      </c>
      <c r="S11563">
        <v>39</v>
      </c>
      <c r="T11563" s="29" t="str">
        <f t="shared" si="484"/>
        <v>2023.004M.Betarhabdovirinae_2ngen_9nsp_move1sp.zip</v>
      </c>
      <c r="U11563" s="29" t="str">
        <f>HYPERLINK("https://ictv.global/taxonomy/taxondetails?taxnode_id=202317790","ictv.global=202317790")</f>
        <v>ictv.global=202317790</v>
      </c>
    </row>
    <row r="11564" spans="1:21">
      <c r="A11564">
        <v>11563</v>
      </c>
      <c r="B11564" s="30" t="s">
        <v>1226</v>
      </c>
      <c r="D11564" s="30" t="s">
        <v>2024</v>
      </c>
      <c r="F11564" s="30" t="s">
        <v>1040</v>
      </c>
      <c r="G11564" s="30" t="s">
        <v>1041</v>
      </c>
      <c r="H11564" s="30" t="s">
        <v>1047</v>
      </c>
      <c r="J11564" s="30" t="s">
        <v>255</v>
      </c>
      <c r="L11564" s="30" t="s">
        <v>374</v>
      </c>
      <c r="M11564" s="30" t="s">
        <v>3778</v>
      </c>
      <c r="N11564" s="30" t="s">
        <v>17414</v>
      </c>
      <c r="P11564" s="30" t="s">
        <v>17418</v>
      </c>
      <c r="Q11564" t="s">
        <v>620</v>
      </c>
      <c r="R11564" t="s">
        <v>917</v>
      </c>
      <c r="S11564">
        <v>39</v>
      </c>
      <c r="T11564" s="29" t="str">
        <f t="shared" si="484"/>
        <v>2023.004M.Betarhabdovirinae_2ngen_9nsp_move1sp.zip</v>
      </c>
      <c r="U11564" s="29" t="str">
        <f>HYPERLINK("https://ictv.global/taxonomy/taxondetails?taxnode_id=202317791","ictv.global=202317791")</f>
        <v>ictv.global=202317791</v>
      </c>
    </row>
    <row r="11565" spans="1:21">
      <c r="A11565">
        <v>11564</v>
      </c>
      <c r="B11565" s="30" t="s">
        <v>1226</v>
      </c>
      <c r="D11565" s="30" t="s">
        <v>2024</v>
      </c>
      <c r="F11565" s="30" t="s">
        <v>1040</v>
      </c>
      <c r="G11565" s="30" t="s">
        <v>1041</v>
      </c>
      <c r="H11565" s="30" t="s">
        <v>1047</v>
      </c>
      <c r="J11565" s="30" t="s">
        <v>255</v>
      </c>
      <c r="L11565" s="30" t="s">
        <v>374</v>
      </c>
      <c r="M11565" s="30" t="s">
        <v>3778</v>
      </c>
      <c r="N11565" s="30" t="s">
        <v>17414</v>
      </c>
      <c r="P11565" s="30" t="s">
        <v>17419</v>
      </c>
      <c r="Q11565" t="s">
        <v>620</v>
      </c>
      <c r="R11565" t="s">
        <v>917</v>
      </c>
      <c r="S11565">
        <v>39</v>
      </c>
      <c r="T11565" s="29" t="str">
        <f t="shared" si="484"/>
        <v>2023.004M.Betarhabdovirinae_2ngen_9nsp_move1sp.zip</v>
      </c>
      <c r="U11565" s="29" t="str">
        <f>HYPERLINK("https://ictv.global/taxonomy/taxondetails?taxnode_id=202317792","ictv.global=202317792")</f>
        <v>ictv.global=202317792</v>
      </c>
    </row>
    <row r="11566" spans="1:21">
      <c r="A11566">
        <v>11565</v>
      </c>
      <c r="B11566" s="30" t="s">
        <v>1226</v>
      </c>
      <c r="D11566" s="30" t="s">
        <v>2024</v>
      </c>
      <c r="F11566" s="30" t="s">
        <v>1040</v>
      </c>
      <c r="G11566" s="30" t="s">
        <v>1041</v>
      </c>
      <c r="H11566" s="30" t="s">
        <v>1047</v>
      </c>
      <c r="J11566" s="30" t="s">
        <v>255</v>
      </c>
      <c r="L11566" s="30" t="s">
        <v>374</v>
      </c>
      <c r="M11566" s="30" t="s">
        <v>3778</v>
      </c>
      <c r="N11566" s="30" t="s">
        <v>17414</v>
      </c>
      <c r="P11566" s="30" t="s">
        <v>17420</v>
      </c>
      <c r="Q11566" t="s">
        <v>620</v>
      </c>
      <c r="R11566" t="s">
        <v>918</v>
      </c>
      <c r="S11566">
        <v>39</v>
      </c>
      <c r="T11566" s="29" t="str">
        <f t="shared" si="484"/>
        <v>2023.004M.Betarhabdovirinae_2ngen_9nsp_move1sp.zip</v>
      </c>
      <c r="U11566" s="29" t="str">
        <f>HYPERLINK("https://ictv.global/taxonomy/taxondetails?taxnode_id=202314271","ictv.global=202314271")</f>
        <v>ictv.global=202314271</v>
      </c>
    </row>
    <row r="11567" spans="1:21">
      <c r="A11567">
        <v>11566</v>
      </c>
      <c r="B11567" s="30" t="s">
        <v>1226</v>
      </c>
      <c r="D11567" s="30" t="s">
        <v>2024</v>
      </c>
      <c r="F11567" s="30" t="s">
        <v>1040</v>
      </c>
      <c r="G11567" s="30" t="s">
        <v>1041</v>
      </c>
      <c r="H11567" s="30" t="s">
        <v>1047</v>
      </c>
      <c r="J11567" s="30" t="s">
        <v>255</v>
      </c>
      <c r="L11567" s="30" t="s">
        <v>374</v>
      </c>
      <c r="M11567" s="30" t="s">
        <v>3778</v>
      </c>
      <c r="N11567" s="30" t="s">
        <v>17414</v>
      </c>
      <c r="P11567" s="30" t="s">
        <v>17421</v>
      </c>
      <c r="Q11567" t="s">
        <v>620</v>
      </c>
      <c r="R11567" t="s">
        <v>917</v>
      </c>
      <c r="S11567">
        <v>39</v>
      </c>
      <c r="T11567" s="29" t="str">
        <f t="shared" si="484"/>
        <v>2023.004M.Betarhabdovirinae_2ngen_9nsp_move1sp.zip</v>
      </c>
      <c r="U11567" s="29" t="str">
        <f>HYPERLINK("https://ictv.global/taxonomy/taxondetails?taxnode_id=202317793","ictv.global=202317793")</f>
        <v>ictv.global=202317793</v>
      </c>
    </row>
    <row r="11568" spans="1:21">
      <c r="A11568">
        <v>11567</v>
      </c>
      <c r="B11568" s="30" t="s">
        <v>1226</v>
      </c>
      <c r="D11568" s="30" t="s">
        <v>2024</v>
      </c>
      <c r="F11568" s="30" t="s">
        <v>1040</v>
      </c>
      <c r="G11568" s="30" t="s">
        <v>1041</v>
      </c>
      <c r="H11568" s="30" t="s">
        <v>1047</v>
      </c>
      <c r="J11568" s="30" t="s">
        <v>255</v>
      </c>
      <c r="L11568" s="30" t="s">
        <v>374</v>
      </c>
      <c r="M11568" s="30" t="s">
        <v>3778</v>
      </c>
      <c r="N11568" s="30" t="s">
        <v>17414</v>
      </c>
      <c r="P11568" s="30" t="s">
        <v>17422</v>
      </c>
      <c r="Q11568" t="s">
        <v>620</v>
      </c>
      <c r="R11568" t="s">
        <v>917</v>
      </c>
      <c r="S11568">
        <v>39</v>
      </c>
      <c r="T11568" s="29" t="str">
        <f t="shared" si="484"/>
        <v>2023.004M.Betarhabdovirinae_2ngen_9nsp_move1sp.zip</v>
      </c>
      <c r="U11568" s="29" t="str">
        <f>HYPERLINK("https://ictv.global/taxonomy/taxondetails?taxnode_id=202317794","ictv.global=202317794")</f>
        <v>ictv.global=202317794</v>
      </c>
    </row>
    <row r="11569" spans="1:21">
      <c r="A11569">
        <v>11568</v>
      </c>
      <c r="B11569" s="30" t="s">
        <v>1226</v>
      </c>
      <c r="D11569" s="30" t="s">
        <v>2024</v>
      </c>
      <c r="F11569" s="30" t="s">
        <v>1040</v>
      </c>
      <c r="G11569" s="30" t="s">
        <v>1041</v>
      </c>
      <c r="H11569" s="30" t="s">
        <v>1047</v>
      </c>
      <c r="J11569" s="30" t="s">
        <v>255</v>
      </c>
      <c r="L11569" s="30" t="s">
        <v>374</v>
      </c>
      <c r="M11569" s="30" t="s">
        <v>3778</v>
      </c>
      <c r="N11569" s="30" t="s">
        <v>17414</v>
      </c>
      <c r="P11569" s="30" t="s">
        <v>17423</v>
      </c>
      <c r="Q11569" t="s">
        <v>620</v>
      </c>
      <c r="R11569" t="s">
        <v>917</v>
      </c>
      <c r="S11569">
        <v>39</v>
      </c>
      <c r="T11569" s="29" t="str">
        <f t="shared" si="484"/>
        <v>2023.004M.Betarhabdovirinae_2ngen_9nsp_move1sp.zip</v>
      </c>
      <c r="U11569" s="29" t="str">
        <f>HYPERLINK("https://ictv.global/taxonomy/taxondetails?taxnode_id=202317795","ictv.global=202317795")</f>
        <v>ictv.global=202317795</v>
      </c>
    </row>
    <row r="11570" spans="1:21">
      <c r="A11570">
        <v>11569</v>
      </c>
      <c r="B11570" s="30" t="s">
        <v>1226</v>
      </c>
      <c r="D11570" s="30" t="s">
        <v>2024</v>
      </c>
      <c r="F11570" s="30" t="s">
        <v>1040</v>
      </c>
      <c r="G11570" s="30" t="s">
        <v>1041</v>
      </c>
      <c r="H11570" s="30" t="s">
        <v>1047</v>
      </c>
      <c r="J11570" s="30" t="s">
        <v>255</v>
      </c>
      <c r="L11570" s="30" t="s">
        <v>374</v>
      </c>
      <c r="M11570" s="30" t="s">
        <v>3778</v>
      </c>
      <c r="N11570" s="30" t="s">
        <v>2060</v>
      </c>
      <c r="P11570" s="30" t="s">
        <v>10132</v>
      </c>
      <c r="Q11570" t="s">
        <v>620</v>
      </c>
      <c r="R11570" t="s">
        <v>917</v>
      </c>
      <c r="S11570">
        <v>38</v>
      </c>
      <c r="T11570" s="29" t="str">
        <f>HYPERLINK("https://ictv.global/ictv/proposals/2022.001M.Alpha_and_betanucleorhabdoviruses_6nsp.zip","2022.001M.Alpha_and_betanucleorhabdoviruses_6nsp.zip")</f>
        <v>2022.001M.Alpha_and_betanucleorhabdoviruses_6nsp.zip</v>
      </c>
      <c r="U11570" s="29" t="str">
        <f>HYPERLINK("https://ictv.global/taxonomy/taxondetails?taxnode_id=202314139","ictv.global=202314139")</f>
        <v>ictv.global=202314139</v>
      </c>
    </row>
    <row r="11571" spans="1:21">
      <c r="A11571">
        <v>11570</v>
      </c>
      <c r="B11571" s="30" t="s">
        <v>1226</v>
      </c>
      <c r="D11571" s="30" t="s">
        <v>2024</v>
      </c>
      <c r="F11571" s="30" t="s">
        <v>1040</v>
      </c>
      <c r="G11571" s="30" t="s">
        <v>1041</v>
      </c>
      <c r="H11571" s="30" t="s">
        <v>1047</v>
      </c>
      <c r="J11571" s="30" t="s">
        <v>255</v>
      </c>
      <c r="L11571" s="30" t="s">
        <v>374</v>
      </c>
      <c r="M11571" s="30" t="s">
        <v>3778</v>
      </c>
      <c r="N11571" s="30" t="s">
        <v>2060</v>
      </c>
      <c r="P11571" s="30" t="s">
        <v>10133</v>
      </c>
      <c r="Q11571" t="s">
        <v>620</v>
      </c>
      <c r="R11571" t="s">
        <v>917</v>
      </c>
      <c r="S11571">
        <v>38</v>
      </c>
      <c r="T11571" s="29" t="str">
        <f>HYPERLINK("https://ictv.global/ictv/proposals/2022.001M.Alpha_and_betanucleorhabdoviruses_6nsp.zip","2022.001M.Alpha_and_betanucleorhabdoviruses_6nsp.zip")</f>
        <v>2022.001M.Alpha_and_betanucleorhabdoviruses_6nsp.zip</v>
      </c>
      <c r="U11571" s="29" t="str">
        <f>HYPERLINK("https://ictv.global/taxonomy/taxondetails?taxnode_id=202314140","ictv.global=202314140")</f>
        <v>ictv.global=202314140</v>
      </c>
    </row>
    <row r="11572" spans="1:21">
      <c r="A11572">
        <v>11571</v>
      </c>
      <c r="B11572" s="30" t="s">
        <v>1226</v>
      </c>
      <c r="D11572" s="30" t="s">
        <v>2024</v>
      </c>
      <c r="F11572" s="30" t="s">
        <v>1040</v>
      </c>
      <c r="G11572" s="30" t="s">
        <v>1041</v>
      </c>
      <c r="H11572" s="30" t="s">
        <v>1047</v>
      </c>
      <c r="J11572" s="30" t="s">
        <v>255</v>
      </c>
      <c r="L11572" s="30" t="s">
        <v>374</v>
      </c>
      <c r="M11572" s="30" t="s">
        <v>3778</v>
      </c>
      <c r="N11572" s="30" t="s">
        <v>2060</v>
      </c>
      <c r="P11572" s="30" t="s">
        <v>10134</v>
      </c>
      <c r="Q11572" t="s">
        <v>620</v>
      </c>
      <c r="R11572" t="s">
        <v>920</v>
      </c>
      <c r="S11572">
        <v>37</v>
      </c>
      <c r="T11572" s="29" t="str">
        <f>HYPERLINK("https://ictv.global/ictv/proposals/2021.036M.R.Rhabdoviridae_sprename.zip","2021.036M.R.Rhabdoviridae_sprename.zip")</f>
        <v>2021.036M.R.Rhabdoviridae_sprename.zip</v>
      </c>
      <c r="U11572" s="29" t="str">
        <f>HYPERLINK("https://ictv.global/taxonomy/taxondetails?taxnode_id=202301751","ictv.global=202301751")</f>
        <v>ictv.global=202301751</v>
      </c>
    </row>
    <row r="11573" spans="1:21">
      <c r="A11573">
        <v>11572</v>
      </c>
      <c r="B11573" s="30" t="s">
        <v>1226</v>
      </c>
      <c r="D11573" s="30" t="s">
        <v>2024</v>
      </c>
      <c r="F11573" s="30" t="s">
        <v>1040</v>
      </c>
      <c r="G11573" s="30" t="s">
        <v>1041</v>
      </c>
      <c r="H11573" s="30" t="s">
        <v>1047</v>
      </c>
      <c r="J11573" s="30" t="s">
        <v>255</v>
      </c>
      <c r="L11573" s="30" t="s">
        <v>374</v>
      </c>
      <c r="M11573" s="30" t="s">
        <v>3778</v>
      </c>
      <c r="N11573" s="30" t="s">
        <v>2060</v>
      </c>
      <c r="P11573" s="30" t="s">
        <v>10135</v>
      </c>
      <c r="Q11573" t="s">
        <v>620</v>
      </c>
      <c r="R11573" t="s">
        <v>920</v>
      </c>
      <c r="S11573">
        <v>37</v>
      </c>
      <c r="T11573" s="29" t="str">
        <f>HYPERLINK("https://ictv.global/ictv/proposals/2021.036M.R.Rhabdoviridae_sprename.zip","2021.036M.R.Rhabdoviridae_sprename.zip")</f>
        <v>2021.036M.R.Rhabdoviridae_sprename.zip</v>
      </c>
      <c r="U11573" s="29" t="str">
        <f>HYPERLINK("https://ictv.global/taxonomy/taxondetails?taxnode_id=202309365","ictv.global=202309365")</f>
        <v>ictv.global=202309365</v>
      </c>
    </row>
    <row r="11574" spans="1:21">
      <c r="A11574">
        <v>11573</v>
      </c>
      <c r="B11574" s="30" t="s">
        <v>1226</v>
      </c>
      <c r="D11574" s="30" t="s">
        <v>2024</v>
      </c>
      <c r="F11574" s="30" t="s">
        <v>1040</v>
      </c>
      <c r="G11574" s="30" t="s">
        <v>1041</v>
      </c>
      <c r="H11574" s="30" t="s">
        <v>1047</v>
      </c>
      <c r="J11574" s="30" t="s">
        <v>255</v>
      </c>
      <c r="L11574" s="30" t="s">
        <v>374</v>
      </c>
      <c r="M11574" s="30" t="s">
        <v>3778</v>
      </c>
      <c r="N11574" s="30" t="s">
        <v>2060</v>
      </c>
      <c r="P11574" s="30" t="s">
        <v>10136</v>
      </c>
      <c r="Q11574" t="s">
        <v>620</v>
      </c>
      <c r="R11574" t="s">
        <v>917</v>
      </c>
      <c r="S11574">
        <v>37</v>
      </c>
      <c r="T11574" s="29" t="str">
        <f>HYPERLINK("https://ictv.global/ictv/proposals/2021.001M.R.Betarhabdovirinae_7nsp.zip","2021.001M.R.Betarhabdovirinae_7nsp.zip")</f>
        <v>2021.001M.R.Betarhabdovirinae_7nsp.zip</v>
      </c>
      <c r="U11574" s="29" t="str">
        <f>HYPERLINK("https://ictv.global/taxonomy/taxondetails?taxnode_id=202313306","ictv.global=202313306")</f>
        <v>ictv.global=202313306</v>
      </c>
    </row>
    <row r="11575" spans="1:21">
      <c r="A11575">
        <v>11574</v>
      </c>
      <c r="B11575" s="30" t="s">
        <v>1226</v>
      </c>
      <c r="D11575" s="30" t="s">
        <v>2024</v>
      </c>
      <c r="F11575" s="30" t="s">
        <v>1040</v>
      </c>
      <c r="G11575" s="30" t="s">
        <v>1041</v>
      </c>
      <c r="H11575" s="30" t="s">
        <v>1047</v>
      </c>
      <c r="J11575" s="30" t="s">
        <v>255</v>
      </c>
      <c r="L11575" s="30" t="s">
        <v>374</v>
      </c>
      <c r="M11575" s="30" t="s">
        <v>3778</v>
      </c>
      <c r="N11575" s="30" t="s">
        <v>2060</v>
      </c>
      <c r="P11575" s="30" t="s">
        <v>17424</v>
      </c>
      <c r="Q11575" t="s">
        <v>620</v>
      </c>
      <c r="R11575" t="s">
        <v>917</v>
      </c>
      <c r="S11575">
        <v>39</v>
      </c>
      <c r="T11575" s="29" t="str">
        <f>HYPERLINK("https://ictv.global/ictv/proposals/2023.017M.Betarhabdovirinae_1ng_7nsp.zip","2023.017M.Betarhabdovirinae_1ng_7nsp.zip")</f>
        <v>2023.017M.Betarhabdovirinae_1ng_7nsp.zip</v>
      </c>
      <c r="U11575" s="29" t="str">
        <f>HYPERLINK("https://ictv.global/taxonomy/taxondetails?taxnode_id=202318284","ictv.global=202318284")</f>
        <v>ictv.global=202318284</v>
      </c>
    </row>
    <row r="11576" spans="1:21">
      <c r="A11576">
        <v>11575</v>
      </c>
      <c r="B11576" s="30" t="s">
        <v>1226</v>
      </c>
      <c r="D11576" s="30" t="s">
        <v>2024</v>
      </c>
      <c r="F11576" s="30" t="s">
        <v>1040</v>
      </c>
      <c r="G11576" s="30" t="s">
        <v>1041</v>
      </c>
      <c r="H11576" s="30" t="s">
        <v>1047</v>
      </c>
      <c r="J11576" s="30" t="s">
        <v>255</v>
      </c>
      <c r="L11576" s="30" t="s">
        <v>374</v>
      </c>
      <c r="M11576" s="30" t="s">
        <v>3778</v>
      </c>
      <c r="N11576" s="30" t="s">
        <v>2060</v>
      </c>
      <c r="P11576" s="30" t="s">
        <v>10137</v>
      </c>
      <c r="Q11576" t="s">
        <v>620</v>
      </c>
      <c r="R11576" t="s">
        <v>920</v>
      </c>
      <c r="S11576">
        <v>37</v>
      </c>
      <c r="T11576" s="29" t="str">
        <f t="shared" ref="T11576:T11583" si="485">HYPERLINK("https://ictv.global/ictv/proposals/2021.036M.R.Rhabdoviridae_sprename.zip","2021.036M.R.Rhabdoviridae_sprename.zip")</f>
        <v>2021.036M.R.Rhabdoviridae_sprename.zip</v>
      </c>
      <c r="U11576" s="29" t="str">
        <f>HYPERLINK("https://ictv.global/taxonomy/taxondetails?taxnode_id=202301746","ictv.global=202301746")</f>
        <v>ictv.global=202301746</v>
      </c>
    </row>
    <row r="11577" spans="1:21">
      <c r="A11577">
        <v>11576</v>
      </c>
      <c r="B11577" s="30" t="s">
        <v>1226</v>
      </c>
      <c r="D11577" s="30" t="s">
        <v>2024</v>
      </c>
      <c r="F11577" s="30" t="s">
        <v>1040</v>
      </c>
      <c r="G11577" s="30" t="s">
        <v>1041</v>
      </c>
      <c r="H11577" s="30" t="s">
        <v>1047</v>
      </c>
      <c r="J11577" s="30" t="s">
        <v>255</v>
      </c>
      <c r="L11577" s="30" t="s">
        <v>374</v>
      </c>
      <c r="M11577" s="30" t="s">
        <v>3778</v>
      </c>
      <c r="N11577" s="30" t="s">
        <v>2060</v>
      </c>
      <c r="P11577" s="30" t="s">
        <v>10138</v>
      </c>
      <c r="Q11577" t="s">
        <v>620</v>
      </c>
      <c r="R11577" t="s">
        <v>920</v>
      </c>
      <c r="S11577">
        <v>37</v>
      </c>
      <c r="T11577" s="29" t="str">
        <f t="shared" si="485"/>
        <v>2021.036M.R.Rhabdoviridae_sprename.zip</v>
      </c>
      <c r="U11577" s="29" t="str">
        <f>HYPERLINK("https://ictv.global/taxonomy/taxondetails?taxnode_id=202301743","ictv.global=202301743")</f>
        <v>ictv.global=202301743</v>
      </c>
    </row>
    <row r="11578" spans="1:21">
      <c r="A11578">
        <v>11577</v>
      </c>
      <c r="B11578" s="30" t="s">
        <v>1226</v>
      </c>
      <c r="D11578" s="30" t="s">
        <v>2024</v>
      </c>
      <c r="F11578" s="30" t="s">
        <v>1040</v>
      </c>
      <c r="G11578" s="30" t="s">
        <v>1041</v>
      </c>
      <c r="H11578" s="30" t="s">
        <v>1047</v>
      </c>
      <c r="J11578" s="30" t="s">
        <v>255</v>
      </c>
      <c r="L11578" s="30" t="s">
        <v>374</v>
      </c>
      <c r="M11578" s="30" t="s">
        <v>3778</v>
      </c>
      <c r="N11578" s="30" t="s">
        <v>2060</v>
      </c>
      <c r="P11578" s="30" t="s">
        <v>10139</v>
      </c>
      <c r="Q11578" t="s">
        <v>620</v>
      </c>
      <c r="R11578" t="s">
        <v>920</v>
      </c>
      <c r="S11578">
        <v>37</v>
      </c>
      <c r="T11578" s="29" t="str">
        <f t="shared" si="485"/>
        <v>2021.036M.R.Rhabdoviridae_sprename.zip</v>
      </c>
      <c r="U11578" s="29" t="str">
        <f>HYPERLINK("https://ictv.global/taxonomy/taxondetails?taxnode_id=202307683","ictv.global=202307683")</f>
        <v>ictv.global=202307683</v>
      </c>
    </row>
    <row r="11579" spans="1:21">
      <c r="A11579">
        <v>11578</v>
      </c>
      <c r="B11579" s="30" t="s">
        <v>1226</v>
      </c>
      <c r="D11579" s="30" t="s">
        <v>2024</v>
      </c>
      <c r="F11579" s="30" t="s">
        <v>1040</v>
      </c>
      <c r="G11579" s="30" t="s">
        <v>1041</v>
      </c>
      <c r="H11579" s="30" t="s">
        <v>1047</v>
      </c>
      <c r="J11579" s="30" t="s">
        <v>255</v>
      </c>
      <c r="L11579" s="30" t="s">
        <v>374</v>
      </c>
      <c r="M11579" s="30" t="s">
        <v>3778</v>
      </c>
      <c r="N11579" s="30" t="s">
        <v>2060</v>
      </c>
      <c r="P11579" s="30" t="s">
        <v>10140</v>
      </c>
      <c r="Q11579" t="s">
        <v>620</v>
      </c>
      <c r="R11579" t="s">
        <v>920</v>
      </c>
      <c r="S11579">
        <v>37</v>
      </c>
      <c r="T11579" s="29" t="str">
        <f t="shared" si="485"/>
        <v>2021.036M.R.Rhabdoviridae_sprename.zip</v>
      </c>
      <c r="U11579" s="29" t="str">
        <f>HYPERLINK("https://ictv.global/taxonomy/taxondetails?taxnode_id=202301748","ictv.global=202301748")</f>
        <v>ictv.global=202301748</v>
      </c>
    </row>
    <row r="11580" spans="1:21">
      <c r="A11580">
        <v>11579</v>
      </c>
      <c r="B11580" s="30" t="s">
        <v>1226</v>
      </c>
      <c r="D11580" s="30" t="s">
        <v>2024</v>
      </c>
      <c r="F11580" s="30" t="s">
        <v>1040</v>
      </c>
      <c r="G11580" s="30" t="s">
        <v>1041</v>
      </c>
      <c r="H11580" s="30" t="s">
        <v>1047</v>
      </c>
      <c r="J11580" s="30" t="s">
        <v>255</v>
      </c>
      <c r="L11580" s="30" t="s">
        <v>374</v>
      </c>
      <c r="M11580" s="30" t="s">
        <v>3778</v>
      </c>
      <c r="N11580" s="30" t="s">
        <v>2060</v>
      </c>
      <c r="P11580" s="30" t="s">
        <v>10141</v>
      </c>
      <c r="Q11580" t="s">
        <v>620</v>
      </c>
      <c r="R11580" t="s">
        <v>920</v>
      </c>
      <c r="S11580">
        <v>37</v>
      </c>
      <c r="T11580" s="29" t="str">
        <f t="shared" si="485"/>
        <v>2021.036M.R.Rhabdoviridae_sprename.zip</v>
      </c>
      <c r="U11580" s="29" t="str">
        <f>HYPERLINK("https://ictv.global/taxonomy/taxondetails?taxnode_id=202307684","ictv.global=202307684")</f>
        <v>ictv.global=202307684</v>
      </c>
    </row>
    <row r="11581" spans="1:21">
      <c r="A11581">
        <v>11580</v>
      </c>
      <c r="B11581" s="30" t="s">
        <v>1226</v>
      </c>
      <c r="D11581" s="30" t="s">
        <v>2024</v>
      </c>
      <c r="F11581" s="30" t="s">
        <v>1040</v>
      </c>
      <c r="G11581" s="30" t="s">
        <v>1041</v>
      </c>
      <c r="H11581" s="30" t="s">
        <v>1047</v>
      </c>
      <c r="J11581" s="30" t="s">
        <v>255</v>
      </c>
      <c r="L11581" s="30" t="s">
        <v>374</v>
      </c>
      <c r="M11581" s="30" t="s">
        <v>3778</v>
      </c>
      <c r="N11581" s="30" t="s">
        <v>2060</v>
      </c>
      <c r="P11581" s="30" t="s">
        <v>10142</v>
      </c>
      <c r="Q11581" t="s">
        <v>620</v>
      </c>
      <c r="R11581" t="s">
        <v>920</v>
      </c>
      <c r="S11581">
        <v>37</v>
      </c>
      <c r="T11581" s="29" t="str">
        <f t="shared" si="485"/>
        <v>2021.036M.R.Rhabdoviridae_sprename.zip</v>
      </c>
      <c r="U11581" s="29" t="str">
        <f>HYPERLINK("https://ictv.global/taxonomy/taxondetails?taxnode_id=202309364","ictv.global=202309364")</f>
        <v>ictv.global=202309364</v>
      </c>
    </row>
    <row r="11582" spans="1:21">
      <c r="A11582">
        <v>11581</v>
      </c>
      <c r="B11582" s="30" t="s">
        <v>1226</v>
      </c>
      <c r="D11582" s="30" t="s">
        <v>2024</v>
      </c>
      <c r="F11582" s="30" t="s">
        <v>1040</v>
      </c>
      <c r="G11582" s="30" t="s">
        <v>1041</v>
      </c>
      <c r="H11582" s="30" t="s">
        <v>1047</v>
      </c>
      <c r="J11582" s="30" t="s">
        <v>255</v>
      </c>
      <c r="L11582" s="30" t="s">
        <v>374</v>
      </c>
      <c r="M11582" s="30" t="s">
        <v>3778</v>
      </c>
      <c r="N11582" s="30" t="s">
        <v>2060</v>
      </c>
      <c r="P11582" s="30" t="s">
        <v>10143</v>
      </c>
      <c r="Q11582" t="s">
        <v>620</v>
      </c>
      <c r="R11582" t="s">
        <v>920</v>
      </c>
      <c r="S11582">
        <v>37</v>
      </c>
      <c r="T11582" s="29" t="str">
        <f t="shared" si="485"/>
        <v>2021.036M.R.Rhabdoviridae_sprename.zip</v>
      </c>
      <c r="U11582" s="29" t="str">
        <f>HYPERLINK("https://ictv.global/taxonomy/taxondetails?taxnode_id=202307682","ictv.global=202307682")</f>
        <v>ictv.global=202307682</v>
      </c>
    </row>
    <row r="11583" spans="1:21">
      <c r="A11583">
        <v>11582</v>
      </c>
      <c r="B11583" s="30" t="s">
        <v>1226</v>
      </c>
      <c r="D11583" s="30" t="s">
        <v>2024</v>
      </c>
      <c r="F11583" s="30" t="s">
        <v>1040</v>
      </c>
      <c r="G11583" s="30" t="s">
        <v>1041</v>
      </c>
      <c r="H11583" s="30" t="s">
        <v>1047</v>
      </c>
      <c r="J11583" s="30" t="s">
        <v>255</v>
      </c>
      <c r="L11583" s="30" t="s">
        <v>374</v>
      </c>
      <c r="M11583" s="30" t="s">
        <v>3778</v>
      </c>
      <c r="N11583" s="30" t="s">
        <v>2060</v>
      </c>
      <c r="P11583" s="30" t="s">
        <v>10144</v>
      </c>
      <c r="Q11583" t="s">
        <v>620</v>
      </c>
      <c r="R11583" t="s">
        <v>920</v>
      </c>
      <c r="S11583">
        <v>37</v>
      </c>
      <c r="T11583" s="29" t="str">
        <f t="shared" si="485"/>
        <v>2021.036M.R.Rhabdoviridae_sprename.zip</v>
      </c>
      <c r="U11583" s="29" t="str">
        <f>HYPERLINK("https://ictv.global/taxonomy/taxondetails?taxnode_id=202301747","ictv.global=202301747")</f>
        <v>ictv.global=202301747</v>
      </c>
    </row>
    <row r="11584" spans="1:21">
      <c r="A11584">
        <v>11583</v>
      </c>
      <c r="B11584" s="30" t="s">
        <v>1226</v>
      </c>
      <c r="D11584" s="30" t="s">
        <v>2024</v>
      </c>
      <c r="F11584" s="30" t="s">
        <v>1040</v>
      </c>
      <c r="G11584" s="30" t="s">
        <v>1041</v>
      </c>
      <c r="H11584" s="30" t="s">
        <v>1047</v>
      </c>
      <c r="J11584" s="30" t="s">
        <v>255</v>
      </c>
      <c r="L11584" s="30" t="s">
        <v>374</v>
      </c>
      <c r="M11584" s="30" t="s">
        <v>3778</v>
      </c>
      <c r="N11584" s="30" t="s">
        <v>2060</v>
      </c>
      <c r="P11584" s="30" t="s">
        <v>17425</v>
      </c>
      <c r="Q11584" t="s">
        <v>620</v>
      </c>
      <c r="R11584" t="s">
        <v>917</v>
      </c>
      <c r="S11584">
        <v>39</v>
      </c>
      <c r="T11584" s="29" t="str">
        <f>HYPERLINK("https://ictv.global/ictv/proposals/2023.017M.Betarhabdovirinae_1ng_7nsp.zip","2023.017M.Betarhabdovirinae_1ng_7nsp.zip")</f>
        <v>2023.017M.Betarhabdovirinae_1ng_7nsp.zip</v>
      </c>
      <c r="U11584" s="29" t="str">
        <f>HYPERLINK("https://ictv.global/taxonomy/taxondetails?taxnode_id=202318285","ictv.global=202318285")</f>
        <v>ictv.global=202318285</v>
      </c>
    </row>
    <row r="11585" spans="1:21">
      <c r="A11585">
        <v>11584</v>
      </c>
      <c r="B11585" s="30" t="s">
        <v>1226</v>
      </c>
      <c r="D11585" s="30" t="s">
        <v>2024</v>
      </c>
      <c r="F11585" s="30" t="s">
        <v>1040</v>
      </c>
      <c r="G11585" s="30" t="s">
        <v>1041</v>
      </c>
      <c r="H11585" s="30" t="s">
        <v>1047</v>
      </c>
      <c r="J11585" s="30" t="s">
        <v>255</v>
      </c>
      <c r="L11585" s="30" t="s">
        <v>374</v>
      </c>
      <c r="M11585" s="30" t="s">
        <v>3778</v>
      </c>
      <c r="N11585" s="30" t="s">
        <v>2060</v>
      </c>
      <c r="P11585" s="30" t="s">
        <v>10145</v>
      </c>
      <c r="Q11585" t="s">
        <v>620</v>
      </c>
      <c r="R11585" t="s">
        <v>920</v>
      </c>
      <c r="S11585">
        <v>37</v>
      </c>
      <c r="T11585" s="29" t="str">
        <f>HYPERLINK("https://ictv.global/ictv/proposals/2021.036M.R.Rhabdoviridae_sprename.zip","2021.036M.R.Rhabdoviridae_sprename.zip")</f>
        <v>2021.036M.R.Rhabdoviridae_sprename.zip</v>
      </c>
      <c r="U11585" s="29" t="str">
        <f>HYPERLINK("https://ictv.global/taxonomy/taxondetails?taxnode_id=202301745","ictv.global=202301745")</f>
        <v>ictv.global=202301745</v>
      </c>
    </row>
    <row r="11586" spans="1:21">
      <c r="A11586">
        <v>11585</v>
      </c>
      <c r="B11586" s="30" t="s">
        <v>1226</v>
      </c>
      <c r="D11586" s="30" t="s">
        <v>2024</v>
      </c>
      <c r="F11586" s="30" t="s">
        <v>1040</v>
      </c>
      <c r="G11586" s="30" t="s">
        <v>1041</v>
      </c>
      <c r="H11586" s="30" t="s">
        <v>1047</v>
      </c>
      <c r="J11586" s="30" t="s">
        <v>255</v>
      </c>
      <c r="L11586" s="30" t="s">
        <v>374</v>
      </c>
      <c r="M11586" s="30" t="s">
        <v>3778</v>
      </c>
      <c r="N11586" s="30" t="s">
        <v>17426</v>
      </c>
      <c r="P11586" s="30" t="s">
        <v>17427</v>
      </c>
      <c r="Q11586" t="s">
        <v>620</v>
      </c>
      <c r="R11586" t="s">
        <v>917</v>
      </c>
      <c r="S11586">
        <v>39</v>
      </c>
      <c r="T11586" s="29" t="str">
        <f>HYPERLINK("https://ictv.global/ictv/proposals/2023.004M.Betarhabdovirinae_2ngen_9nsp_move1sp.zip","2023.004M.Betarhabdovirinae_2ngen_9nsp_move1sp.zip")</f>
        <v>2023.004M.Betarhabdovirinae_2ngen_9nsp_move1sp.zip</v>
      </c>
      <c r="U11586" s="29" t="str">
        <f>HYPERLINK("https://ictv.global/taxonomy/taxondetails?taxnode_id=202317796","ictv.global=202317796")</f>
        <v>ictv.global=202317796</v>
      </c>
    </row>
    <row r="11587" spans="1:21">
      <c r="A11587">
        <v>11586</v>
      </c>
      <c r="B11587" s="30" t="s">
        <v>1226</v>
      </c>
      <c r="D11587" s="30" t="s">
        <v>2024</v>
      </c>
      <c r="F11587" s="30" t="s">
        <v>1040</v>
      </c>
      <c r="G11587" s="30" t="s">
        <v>1041</v>
      </c>
      <c r="H11587" s="30" t="s">
        <v>1047</v>
      </c>
      <c r="J11587" s="30" t="s">
        <v>255</v>
      </c>
      <c r="L11587" s="30" t="s">
        <v>374</v>
      </c>
      <c r="M11587" s="30" t="s">
        <v>3778</v>
      </c>
      <c r="N11587" s="30" t="s">
        <v>2062</v>
      </c>
      <c r="P11587" s="30" t="s">
        <v>17428</v>
      </c>
      <c r="Q11587" t="s">
        <v>620</v>
      </c>
      <c r="R11587" t="s">
        <v>917</v>
      </c>
      <c r="S11587">
        <v>39</v>
      </c>
      <c r="T11587" s="29" t="str">
        <f>HYPERLINK("https://ictv.global/ictv/proposals/2023.017M.Betarhabdovirinae_1ng_7nsp.zip","2023.017M.Betarhabdovirinae_1ng_7nsp.zip")</f>
        <v>2023.017M.Betarhabdovirinae_1ng_7nsp.zip</v>
      </c>
      <c r="U11587" s="29" t="str">
        <f>HYPERLINK("https://ictv.global/taxonomy/taxondetails?taxnode_id=202318288","ictv.global=202318288")</f>
        <v>ictv.global=202318288</v>
      </c>
    </row>
    <row r="11588" spans="1:21">
      <c r="A11588">
        <v>11587</v>
      </c>
      <c r="B11588" s="30" t="s">
        <v>1226</v>
      </c>
      <c r="D11588" s="30" t="s">
        <v>2024</v>
      </c>
      <c r="F11588" s="30" t="s">
        <v>1040</v>
      </c>
      <c r="G11588" s="30" t="s">
        <v>1041</v>
      </c>
      <c r="H11588" s="30" t="s">
        <v>1047</v>
      </c>
      <c r="J11588" s="30" t="s">
        <v>255</v>
      </c>
      <c r="L11588" s="30" t="s">
        <v>374</v>
      </c>
      <c r="M11588" s="30" t="s">
        <v>3778</v>
      </c>
      <c r="N11588" s="30" t="s">
        <v>2062</v>
      </c>
      <c r="P11588" s="30" t="s">
        <v>10146</v>
      </c>
      <c r="Q11588" t="s">
        <v>620</v>
      </c>
      <c r="R11588" t="s">
        <v>917</v>
      </c>
      <c r="S11588">
        <v>38</v>
      </c>
      <c r="T11588" s="29" t="str">
        <f>HYPERLINK("https://ictv.global/ictv/proposals/2022.001M.Alpha_and_betanucleorhabdoviruses_6nsp.zip","2022.001M.Alpha_and_betanucleorhabdoviruses_6nsp.zip")</f>
        <v>2022.001M.Alpha_and_betanucleorhabdoviruses_6nsp.zip</v>
      </c>
      <c r="U11588" s="29" t="str">
        <f>HYPERLINK("https://ictv.global/taxonomy/taxondetails?taxnode_id=202314141","ictv.global=202314141")</f>
        <v>ictv.global=202314141</v>
      </c>
    </row>
    <row r="11589" spans="1:21">
      <c r="A11589">
        <v>11588</v>
      </c>
      <c r="B11589" s="30" t="s">
        <v>1226</v>
      </c>
      <c r="D11589" s="30" t="s">
        <v>2024</v>
      </c>
      <c r="F11589" s="30" t="s">
        <v>1040</v>
      </c>
      <c r="G11589" s="30" t="s">
        <v>1041</v>
      </c>
      <c r="H11589" s="30" t="s">
        <v>1047</v>
      </c>
      <c r="J11589" s="30" t="s">
        <v>255</v>
      </c>
      <c r="L11589" s="30" t="s">
        <v>374</v>
      </c>
      <c r="M11589" s="30" t="s">
        <v>3778</v>
      </c>
      <c r="N11589" s="30" t="s">
        <v>2062</v>
      </c>
      <c r="P11589" s="30" t="s">
        <v>10147</v>
      </c>
      <c r="Q11589" t="s">
        <v>620</v>
      </c>
      <c r="R11589" t="s">
        <v>917</v>
      </c>
      <c r="S11589">
        <v>37</v>
      </c>
      <c r="T11589" s="29" t="str">
        <f>HYPERLINK("https://ictv.global/ictv/proposals/2021.001M.R.Betarhabdovirinae_7nsp.zip","2021.001M.R.Betarhabdovirinae_7nsp.zip")</f>
        <v>2021.001M.R.Betarhabdovirinae_7nsp.zip</v>
      </c>
      <c r="U11589" s="29" t="str">
        <f>HYPERLINK("https://ictv.global/taxonomy/taxondetails?taxnode_id=202313307","ictv.global=202313307")</f>
        <v>ictv.global=202313307</v>
      </c>
    </row>
    <row r="11590" spans="1:21">
      <c r="A11590">
        <v>11589</v>
      </c>
      <c r="B11590" s="30" t="s">
        <v>1226</v>
      </c>
      <c r="D11590" s="30" t="s">
        <v>2024</v>
      </c>
      <c r="F11590" s="30" t="s">
        <v>1040</v>
      </c>
      <c r="G11590" s="30" t="s">
        <v>1041</v>
      </c>
      <c r="H11590" s="30" t="s">
        <v>1047</v>
      </c>
      <c r="J11590" s="30" t="s">
        <v>255</v>
      </c>
      <c r="L11590" s="30" t="s">
        <v>374</v>
      </c>
      <c r="M11590" s="30" t="s">
        <v>3778</v>
      </c>
      <c r="N11590" s="30" t="s">
        <v>2062</v>
      </c>
      <c r="P11590" s="30" t="s">
        <v>17429</v>
      </c>
      <c r="Q11590" t="s">
        <v>620</v>
      </c>
      <c r="R11590" t="s">
        <v>917</v>
      </c>
      <c r="S11590">
        <v>39</v>
      </c>
      <c r="T11590" s="29" t="str">
        <f>HYPERLINK("https://ictv.global/ictv/proposals/2023.017M.Betarhabdovirinae_1ng_7nsp.zip","2023.017M.Betarhabdovirinae_1ng_7nsp.zip")</f>
        <v>2023.017M.Betarhabdovirinae_1ng_7nsp.zip</v>
      </c>
      <c r="U11590" s="29" t="str">
        <f>HYPERLINK("https://ictv.global/taxonomy/taxondetails?taxnode_id=202318289","ictv.global=202318289")</f>
        <v>ictv.global=202318289</v>
      </c>
    </row>
    <row r="11591" spans="1:21">
      <c r="A11591">
        <v>11590</v>
      </c>
      <c r="B11591" s="30" t="s">
        <v>1226</v>
      </c>
      <c r="D11591" s="30" t="s">
        <v>2024</v>
      </c>
      <c r="F11591" s="30" t="s">
        <v>1040</v>
      </c>
      <c r="G11591" s="30" t="s">
        <v>1041</v>
      </c>
      <c r="H11591" s="30" t="s">
        <v>1047</v>
      </c>
      <c r="J11591" s="30" t="s">
        <v>255</v>
      </c>
      <c r="L11591" s="30" t="s">
        <v>374</v>
      </c>
      <c r="M11591" s="30" t="s">
        <v>3778</v>
      </c>
      <c r="N11591" s="30" t="s">
        <v>2062</v>
      </c>
      <c r="P11591" s="30" t="s">
        <v>10148</v>
      </c>
      <c r="Q11591" t="s">
        <v>620</v>
      </c>
      <c r="R11591" t="s">
        <v>920</v>
      </c>
      <c r="S11591">
        <v>37</v>
      </c>
      <c r="T11591" s="29" t="str">
        <f>HYPERLINK("https://ictv.global/ictv/proposals/2021.036M.R.Rhabdoviridae_sprename.zip","2021.036M.R.Rhabdoviridae_sprename.zip")</f>
        <v>2021.036M.R.Rhabdoviridae_sprename.zip</v>
      </c>
      <c r="U11591" s="29" t="str">
        <f>HYPERLINK("https://ictv.global/taxonomy/taxondetails?taxnode_id=202309366","ictv.global=202309366")</f>
        <v>ictv.global=202309366</v>
      </c>
    </row>
    <row r="11592" spans="1:21">
      <c r="A11592">
        <v>11591</v>
      </c>
      <c r="B11592" s="30" t="s">
        <v>1226</v>
      </c>
      <c r="D11592" s="30" t="s">
        <v>2024</v>
      </c>
      <c r="F11592" s="30" t="s">
        <v>1040</v>
      </c>
      <c r="G11592" s="30" t="s">
        <v>1041</v>
      </c>
      <c r="H11592" s="30" t="s">
        <v>1047</v>
      </c>
      <c r="J11592" s="30" t="s">
        <v>255</v>
      </c>
      <c r="L11592" s="30" t="s">
        <v>374</v>
      </c>
      <c r="M11592" s="30" t="s">
        <v>3778</v>
      </c>
      <c r="N11592" s="30" t="s">
        <v>2062</v>
      </c>
      <c r="P11592" s="30" t="s">
        <v>10149</v>
      </c>
      <c r="Q11592" t="s">
        <v>620</v>
      </c>
      <c r="R11592" t="s">
        <v>917</v>
      </c>
      <c r="S11592">
        <v>38</v>
      </c>
      <c r="T11592" s="29" t="str">
        <f>HYPERLINK("https://ictv.global/ictv/proposals/2022.001M.Alpha_and_betanucleorhabdoviruses_6nsp.zip","2022.001M.Alpha_and_betanucleorhabdoviruses_6nsp.zip")</f>
        <v>2022.001M.Alpha_and_betanucleorhabdoviruses_6nsp.zip</v>
      </c>
      <c r="U11592" s="29" t="str">
        <f>HYPERLINK("https://ictv.global/taxonomy/taxondetails?taxnode_id=202314142","ictv.global=202314142")</f>
        <v>ictv.global=202314142</v>
      </c>
    </row>
    <row r="11593" spans="1:21">
      <c r="A11593">
        <v>11592</v>
      </c>
      <c r="B11593" s="30" t="s">
        <v>1226</v>
      </c>
      <c r="D11593" s="30" t="s">
        <v>2024</v>
      </c>
      <c r="F11593" s="30" t="s">
        <v>1040</v>
      </c>
      <c r="G11593" s="30" t="s">
        <v>1041</v>
      </c>
      <c r="H11593" s="30" t="s">
        <v>1047</v>
      </c>
      <c r="J11593" s="30" t="s">
        <v>255</v>
      </c>
      <c r="L11593" s="30" t="s">
        <v>374</v>
      </c>
      <c r="M11593" s="30" t="s">
        <v>3778</v>
      </c>
      <c r="N11593" s="30" t="s">
        <v>2062</v>
      </c>
      <c r="P11593" s="30" t="s">
        <v>10150</v>
      </c>
      <c r="Q11593" t="s">
        <v>620</v>
      </c>
      <c r="R11593" t="s">
        <v>920</v>
      </c>
      <c r="S11593">
        <v>37</v>
      </c>
      <c r="T11593" s="29" t="str">
        <f>HYPERLINK("https://ictv.global/ictv/proposals/2021.036M.R.Rhabdoviridae_sprename.zip","2021.036M.R.Rhabdoviridae_sprename.zip")</f>
        <v>2021.036M.R.Rhabdoviridae_sprename.zip</v>
      </c>
      <c r="U11593" s="29" t="str">
        <f>HYPERLINK("https://ictv.global/taxonomy/taxondetails?taxnode_id=202301742","ictv.global=202301742")</f>
        <v>ictv.global=202301742</v>
      </c>
    </row>
    <row r="11594" spans="1:21">
      <c r="A11594">
        <v>11593</v>
      </c>
      <c r="B11594" s="30" t="s">
        <v>1226</v>
      </c>
      <c r="D11594" s="30" t="s">
        <v>2024</v>
      </c>
      <c r="F11594" s="30" t="s">
        <v>1040</v>
      </c>
      <c r="G11594" s="30" t="s">
        <v>1041</v>
      </c>
      <c r="H11594" s="30" t="s">
        <v>1047</v>
      </c>
      <c r="J11594" s="30" t="s">
        <v>255</v>
      </c>
      <c r="L11594" s="30" t="s">
        <v>374</v>
      </c>
      <c r="M11594" s="30" t="s">
        <v>3778</v>
      </c>
      <c r="N11594" s="30" t="s">
        <v>2062</v>
      </c>
      <c r="P11594" s="30" t="s">
        <v>10151</v>
      </c>
      <c r="Q11594" t="s">
        <v>620</v>
      </c>
      <c r="R11594" t="s">
        <v>920</v>
      </c>
      <c r="S11594">
        <v>37</v>
      </c>
      <c r="T11594" s="29" t="str">
        <f>HYPERLINK("https://ictv.global/ictv/proposals/2021.036M.R.Rhabdoviridae_sprename.zip","2021.036M.R.Rhabdoviridae_sprename.zip")</f>
        <v>2021.036M.R.Rhabdoviridae_sprename.zip</v>
      </c>
      <c r="U11594" s="29" t="str">
        <f>HYPERLINK("https://ictv.global/taxonomy/taxondetails?taxnode_id=202307687","ictv.global=202307687")</f>
        <v>ictv.global=202307687</v>
      </c>
    </row>
    <row r="11595" spans="1:21">
      <c r="A11595">
        <v>11594</v>
      </c>
      <c r="B11595" s="30" t="s">
        <v>1226</v>
      </c>
      <c r="D11595" s="30" t="s">
        <v>2024</v>
      </c>
      <c r="F11595" s="30" t="s">
        <v>1040</v>
      </c>
      <c r="G11595" s="30" t="s">
        <v>1041</v>
      </c>
      <c r="H11595" s="30" t="s">
        <v>1047</v>
      </c>
      <c r="J11595" s="30" t="s">
        <v>255</v>
      </c>
      <c r="L11595" s="30" t="s">
        <v>374</v>
      </c>
      <c r="M11595" s="30" t="s">
        <v>3778</v>
      </c>
      <c r="N11595" s="30" t="s">
        <v>2062</v>
      </c>
      <c r="P11595" s="30" t="s">
        <v>10152</v>
      </c>
      <c r="Q11595" t="s">
        <v>620</v>
      </c>
      <c r="R11595" t="s">
        <v>920</v>
      </c>
      <c r="S11595">
        <v>37</v>
      </c>
      <c r="T11595" s="29" t="str">
        <f>HYPERLINK("https://ictv.global/ictv/proposals/2021.036M.R.Rhabdoviridae_sprename.zip","2021.036M.R.Rhabdoviridae_sprename.zip")</f>
        <v>2021.036M.R.Rhabdoviridae_sprename.zip</v>
      </c>
      <c r="U11595" s="29" t="str">
        <f>HYPERLINK("https://ictv.global/taxonomy/taxondetails?taxnode_id=202309367","ictv.global=202309367")</f>
        <v>ictv.global=202309367</v>
      </c>
    </row>
    <row r="11596" spans="1:21">
      <c r="A11596">
        <v>11595</v>
      </c>
      <c r="B11596" s="30" t="s">
        <v>1226</v>
      </c>
      <c r="D11596" s="30" t="s">
        <v>2024</v>
      </c>
      <c r="F11596" s="30" t="s">
        <v>1040</v>
      </c>
      <c r="G11596" s="30" t="s">
        <v>1041</v>
      </c>
      <c r="H11596" s="30" t="s">
        <v>1047</v>
      </c>
      <c r="J11596" s="30" t="s">
        <v>255</v>
      </c>
      <c r="L11596" s="30" t="s">
        <v>374</v>
      </c>
      <c r="M11596" s="30" t="s">
        <v>3778</v>
      </c>
      <c r="N11596" s="30" t="s">
        <v>2062</v>
      </c>
      <c r="P11596" s="30" t="s">
        <v>10153</v>
      </c>
      <c r="Q11596" t="s">
        <v>620</v>
      </c>
      <c r="R11596" t="s">
        <v>920</v>
      </c>
      <c r="S11596">
        <v>37</v>
      </c>
      <c r="T11596" s="29" t="str">
        <f>HYPERLINK("https://ictv.global/ictv/proposals/2021.036M.R.Rhabdoviridae_sprename.zip","2021.036M.R.Rhabdoviridae_sprename.zip")</f>
        <v>2021.036M.R.Rhabdoviridae_sprename.zip</v>
      </c>
      <c r="U11596" s="29" t="str">
        <f>HYPERLINK("https://ictv.global/taxonomy/taxondetails?taxnode_id=202307688","ictv.global=202307688")</f>
        <v>ictv.global=202307688</v>
      </c>
    </row>
    <row r="11597" spans="1:21">
      <c r="A11597">
        <v>11596</v>
      </c>
      <c r="B11597" s="30" t="s">
        <v>1226</v>
      </c>
      <c r="D11597" s="30" t="s">
        <v>2024</v>
      </c>
      <c r="F11597" s="30" t="s">
        <v>1040</v>
      </c>
      <c r="G11597" s="30" t="s">
        <v>1041</v>
      </c>
      <c r="H11597" s="30" t="s">
        <v>1047</v>
      </c>
      <c r="J11597" s="30" t="s">
        <v>255</v>
      </c>
      <c r="L11597" s="30" t="s">
        <v>374</v>
      </c>
      <c r="M11597" s="30" t="s">
        <v>3778</v>
      </c>
      <c r="N11597" s="30" t="s">
        <v>2062</v>
      </c>
      <c r="P11597" s="30" t="s">
        <v>17430</v>
      </c>
      <c r="Q11597" t="s">
        <v>620</v>
      </c>
      <c r="R11597" t="s">
        <v>917</v>
      </c>
      <c r="S11597">
        <v>39</v>
      </c>
      <c r="T11597" s="29" t="str">
        <f>HYPERLINK("https://ictv.global/ictv/proposals/2023.017M.Betarhabdovirinae_1ng_7nsp.zip","2023.017M.Betarhabdovirinae_1ng_7nsp.zip")</f>
        <v>2023.017M.Betarhabdovirinae_1ng_7nsp.zip</v>
      </c>
      <c r="U11597" s="29" t="str">
        <f>HYPERLINK("https://ictv.global/taxonomy/taxondetails?taxnode_id=202318286","ictv.global=202318286")</f>
        <v>ictv.global=202318286</v>
      </c>
    </row>
    <row r="11598" spans="1:21">
      <c r="A11598">
        <v>11597</v>
      </c>
      <c r="B11598" s="30" t="s">
        <v>1226</v>
      </c>
      <c r="D11598" s="30" t="s">
        <v>2024</v>
      </c>
      <c r="F11598" s="30" t="s">
        <v>1040</v>
      </c>
      <c r="G11598" s="30" t="s">
        <v>1041</v>
      </c>
      <c r="H11598" s="30" t="s">
        <v>1047</v>
      </c>
      <c r="J11598" s="30" t="s">
        <v>255</v>
      </c>
      <c r="L11598" s="30" t="s">
        <v>374</v>
      </c>
      <c r="M11598" s="30" t="s">
        <v>3778</v>
      </c>
      <c r="N11598" s="30" t="s">
        <v>2062</v>
      </c>
      <c r="P11598" s="30" t="s">
        <v>10154</v>
      </c>
      <c r="Q11598" t="s">
        <v>620</v>
      </c>
      <c r="R11598" t="s">
        <v>917</v>
      </c>
      <c r="S11598">
        <v>38</v>
      </c>
      <c r="T11598" s="29" t="str">
        <f>HYPERLINK("https://ictv.global/ictv/proposals/2022.001M.Alpha_and_betanucleorhabdoviruses_6nsp.zip","2022.001M.Alpha_and_betanucleorhabdoviruses_6nsp.zip")</f>
        <v>2022.001M.Alpha_and_betanucleorhabdoviruses_6nsp.zip</v>
      </c>
      <c r="U11598" s="29" t="str">
        <f>HYPERLINK("https://ictv.global/taxonomy/taxondetails?taxnode_id=202314143","ictv.global=202314143")</f>
        <v>ictv.global=202314143</v>
      </c>
    </row>
    <row r="11599" spans="1:21">
      <c r="A11599">
        <v>11598</v>
      </c>
      <c r="B11599" s="30" t="s">
        <v>1226</v>
      </c>
      <c r="D11599" s="30" t="s">
        <v>2024</v>
      </c>
      <c r="F11599" s="30" t="s">
        <v>1040</v>
      </c>
      <c r="G11599" s="30" t="s">
        <v>1041</v>
      </c>
      <c r="H11599" s="30" t="s">
        <v>1047</v>
      </c>
      <c r="J11599" s="30" t="s">
        <v>255</v>
      </c>
      <c r="L11599" s="30" t="s">
        <v>374</v>
      </c>
      <c r="M11599" s="30" t="s">
        <v>3778</v>
      </c>
      <c r="N11599" s="30" t="s">
        <v>2062</v>
      </c>
      <c r="P11599" s="30" t="s">
        <v>10155</v>
      </c>
      <c r="Q11599" t="s">
        <v>620</v>
      </c>
      <c r="R11599" t="s">
        <v>920</v>
      </c>
      <c r="S11599">
        <v>37</v>
      </c>
      <c r="T11599" s="29" t="str">
        <f>HYPERLINK("https://ictv.global/ictv/proposals/2021.036M.R.Rhabdoviridae_sprename.zip","2021.036M.R.Rhabdoviridae_sprename.zip")</f>
        <v>2021.036M.R.Rhabdoviridae_sprename.zip</v>
      </c>
      <c r="U11599" s="29" t="str">
        <f>HYPERLINK("https://ictv.global/taxonomy/taxondetails?taxnode_id=202301749","ictv.global=202301749")</f>
        <v>ictv.global=202301749</v>
      </c>
    </row>
    <row r="11600" spans="1:21">
      <c r="A11600">
        <v>11599</v>
      </c>
      <c r="B11600" s="30" t="s">
        <v>1226</v>
      </c>
      <c r="D11600" s="30" t="s">
        <v>2024</v>
      </c>
      <c r="F11600" s="30" t="s">
        <v>1040</v>
      </c>
      <c r="G11600" s="30" t="s">
        <v>1041</v>
      </c>
      <c r="H11600" s="30" t="s">
        <v>1047</v>
      </c>
      <c r="J11600" s="30" t="s">
        <v>255</v>
      </c>
      <c r="L11600" s="30" t="s">
        <v>374</v>
      </c>
      <c r="M11600" s="30" t="s">
        <v>3778</v>
      </c>
      <c r="N11600" s="30" t="s">
        <v>2062</v>
      </c>
      <c r="P11600" s="30" t="s">
        <v>10156</v>
      </c>
      <c r="Q11600" t="s">
        <v>620</v>
      </c>
      <c r="R11600" t="s">
        <v>917</v>
      </c>
      <c r="S11600">
        <v>38</v>
      </c>
      <c r="T11600" s="29" t="str">
        <f>HYPERLINK("https://ictv.global/ictv/proposals/2022.001M.Alpha_and_betanucleorhabdoviruses_6nsp.zip","2022.001M.Alpha_and_betanucleorhabdoviruses_6nsp.zip")</f>
        <v>2022.001M.Alpha_and_betanucleorhabdoviruses_6nsp.zip</v>
      </c>
      <c r="U11600" s="29" t="str">
        <f>HYPERLINK("https://ictv.global/taxonomy/taxondetails?taxnode_id=202314144","ictv.global=202314144")</f>
        <v>ictv.global=202314144</v>
      </c>
    </row>
    <row r="11601" spans="1:21">
      <c r="A11601">
        <v>11600</v>
      </c>
      <c r="B11601" s="30" t="s">
        <v>1226</v>
      </c>
      <c r="D11601" s="30" t="s">
        <v>2024</v>
      </c>
      <c r="F11601" s="30" t="s">
        <v>1040</v>
      </c>
      <c r="G11601" s="30" t="s">
        <v>1041</v>
      </c>
      <c r="H11601" s="30" t="s">
        <v>1047</v>
      </c>
      <c r="J11601" s="30" t="s">
        <v>255</v>
      </c>
      <c r="L11601" s="30" t="s">
        <v>374</v>
      </c>
      <c r="M11601" s="30" t="s">
        <v>3778</v>
      </c>
      <c r="N11601" s="30" t="s">
        <v>2062</v>
      </c>
      <c r="P11601" s="30" t="s">
        <v>10157</v>
      </c>
      <c r="Q11601" t="s">
        <v>620</v>
      </c>
      <c r="R11601" t="s">
        <v>920</v>
      </c>
      <c r="S11601">
        <v>37</v>
      </c>
      <c r="T11601" s="29" t="str">
        <f>HYPERLINK("https://ictv.global/ictv/proposals/2021.036M.R.Rhabdoviridae_sprename.zip","2021.036M.R.Rhabdoviridae_sprename.zip")</f>
        <v>2021.036M.R.Rhabdoviridae_sprename.zip</v>
      </c>
      <c r="U11601" s="29" t="str">
        <f>HYPERLINK("https://ictv.global/taxonomy/taxondetails?taxnode_id=202307686","ictv.global=202307686")</f>
        <v>ictv.global=202307686</v>
      </c>
    </row>
    <row r="11602" spans="1:21">
      <c r="A11602">
        <v>11601</v>
      </c>
      <c r="B11602" s="30" t="s">
        <v>1226</v>
      </c>
      <c r="D11602" s="30" t="s">
        <v>2024</v>
      </c>
      <c r="F11602" s="30" t="s">
        <v>1040</v>
      </c>
      <c r="G11602" s="30" t="s">
        <v>1041</v>
      </c>
      <c r="H11602" s="30" t="s">
        <v>1047</v>
      </c>
      <c r="J11602" s="30" t="s">
        <v>255</v>
      </c>
      <c r="L11602" s="30" t="s">
        <v>374</v>
      </c>
      <c r="M11602" s="30" t="s">
        <v>3778</v>
      </c>
      <c r="N11602" s="30" t="s">
        <v>2062</v>
      </c>
      <c r="P11602" s="30" t="s">
        <v>17431</v>
      </c>
      <c r="Q11602" t="s">
        <v>620</v>
      </c>
      <c r="R11602" t="s">
        <v>917</v>
      </c>
      <c r="S11602">
        <v>39</v>
      </c>
      <c r="T11602" s="29" t="str">
        <f>HYPERLINK("https://ictv.global/ictv/proposals/2023.017M.Betarhabdovirinae_1ng_7nsp.zip","2023.017M.Betarhabdovirinae_1ng_7nsp.zip")</f>
        <v>2023.017M.Betarhabdovirinae_1ng_7nsp.zip</v>
      </c>
      <c r="U11602" s="29" t="str">
        <f>HYPERLINK("https://ictv.global/taxonomy/taxondetails?taxnode_id=202318287","ictv.global=202318287")</f>
        <v>ictv.global=202318287</v>
      </c>
    </row>
    <row r="11603" spans="1:21">
      <c r="A11603">
        <v>11602</v>
      </c>
      <c r="B11603" s="30" t="s">
        <v>1226</v>
      </c>
      <c r="D11603" s="30" t="s">
        <v>2024</v>
      </c>
      <c r="F11603" s="30" t="s">
        <v>1040</v>
      </c>
      <c r="G11603" s="30" t="s">
        <v>1041</v>
      </c>
      <c r="H11603" s="30" t="s">
        <v>1047</v>
      </c>
      <c r="J11603" s="30" t="s">
        <v>255</v>
      </c>
      <c r="L11603" s="30" t="s">
        <v>374</v>
      </c>
      <c r="M11603" s="30" t="s">
        <v>3778</v>
      </c>
      <c r="N11603" s="30" t="s">
        <v>2062</v>
      </c>
      <c r="P11603" s="30" t="s">
        <v>10158</v>
      </c>
      <c r="Q11603" t="s">
        <v>620</v>
      </c>
      <c r="R11603" t="s">
        <v>920</v>
      </c>
      <c r="S11603">
        <v>37</v>
      </c>
      <c r="T11603" s="29" t="str">
        <f>HYPERLINK("https://ictv.global/ictv/proposals/2021.036M.R.Rhabdoviridae_sprename.zip","2021.036M.R.Rhabdoviridae_sprename.zip")</f>
        <v>2021.036M.R.Rhabdoviridae_sprename.zip</v>
      </c>
      <c r="U11603" s="29" t="str">
        <f>HYPERLINK("https://ictv.global/taxonomy/taxondetails?taxnode_id=202301750","ictv.global=202301750")</f>
        <v>ictv.global=202301750</v>
      </c>
    </row>
    <row r="11604" spans="1:21">
      <c r="A11604">
        <v>11603</v>
      </c>
      <c r="B11604" s="30" t="s">
        <v>1226</v>
      </c>
      <c r="D11604" s="30" t="s">
        <v>2024</v>
      </c>
      <c r="F11604" s="30" t="s">
        <v>1040</v>
      </c>
      <c r="G11604" s="30" t="s">
        <v>1041</v>
      </c>
      <c r="H11604" s="30" t="s">
        <v>1047</v>
      </c>
      <c r="J11604" s="30" t="s">
        <v>255</v>
      </c>
      <c r="L11604" s="30" t="s">
        <v>374</v>
      </c>
      <c r="M11604" s="30" t="s">
        <v>3778</v>
      </c>
      <c r="N11604" s="30" t="s">
        <v>2062</v>
      </c>
      <c r="P11604" s="30" t="s">
        <v>10159</v>
      </c>
      <c r="Q11604" t="s">
        <v>620</v>
      </c>
      <c r="R11604" t="s">
        <v>920</v>
      </c>
      <c r="S11604">
        <v>37</v>
      </c>
      <c r="T11604" s="29" t="str">
        <f>HYPERLINK("https://ictv.global/ictv/proposals/2021.036M.R.Rhabdoviridae_sprename.zip","2021.036M.R.Rhabdoviridae_sprename.zip")</f>
        <v>2021.036M.R.Rhabdoviridae_sprename.zip</v>
      </c>
      <c r="U11604" s="29" t="str">
        <f>HYPERLINK("https://ictv.global/taxonomy/taxondetails?taxnode_id=202309368","ictv.global=202309368")</f>
        <v>ictv.global=202309368</v>
      </c>
    </row>
    <row r="11605" spans="1:21">
      <c r="A11605">
        <v>11604</v>
      </c>
      <c r="B11605" s="30" t="s">
        <v>1226</v>
      </c>
      <c r="D11605" s="30" t="s">
        <v>2024</v>
      </c>
      <c r="F11605" s="30" t="s">
        <v>1040</v>
      </c>
      <c r="G11605" s="30" t="s">
        <v>1041</v>
      </c>
      <c r="H11605" s="30" t="s">
        <v>1047</v>
      </c>
      <c r="J11605" s="30" t="s">
        <v>255</v>
      </c>
      <c r="L11605" s="30" t="s">
        <v>374</v>
      </c>
      <c r="M11605" s="30" t="s">
        <v>3778</v>
      </c>
      <c r="N11605" s="30" t="s">
        <v>375</v>
      </c>
      <c r="P11605" s="30" t="s">
        <v>10160</v>
      </c>
      <c r="Q11605" t="s">
        <v>620</v>
      </c>
      <c r="R11605" t="s">
        <v>917</v>
      </c>
      <c r="S11605">
        <v>38</v>
      </c>
      <c r="T11605" s="29" t="str">
        <f>HYPERLINK("https://ictv.global/ictv/proposals/2022.007M.Cytorhabdovirus_10nsp.zip","2022.007M.Cytorhabdovirus_10nsp.zip")</f>
        <v>2022.007M.Cytorhabdovirus_10nsp.zip</v>
      </c>
      <c r="U11605" s="29" t="str">
        <f>HYPERLINK("https://ictv.global/taxonomy/taxondetails?taxnode_id=202314166","ictv.global=202314166")</f>
        <v>ictv.global=202314166</v>
      </c>
    </row>
    <row r="11606" spans="1:21">
      <c r="A11606">
        <v>11605</v>
      </c>
      <c r="B11606" s="30" t="s">
        <v>1226</v>
      </c>
      <c r="D11606" s="30" t="s">
        <v>2024</v>
      </c>
      <c r="F11606" s="30" t="s">
        <v>1040</v>
      </c>
      <c r="G11606" s="30" t="s">
        <v>1041</v>
      </c>
      <c r="H11606" s="30" t="s">
        <v>1047</v>
      </c>
      <c r="J11606" s="30" t="s">
        <v>255</v>
      </c>
      <c r="L11606" s="30" t="s">
        <v>374</v>
      </c>
      <c r="M11606" s="30" t="s">
        <v>3778</v>
      </c>
      <c r="N11606" s="30" t="s">
        <v>375</v>
      </c>
      <c r="P11606" s="30" t="s">
        <v>10161</v>
      </c>
      <c r="Q11606" t="s">
        <v>620</v>
      </c>
      <c r="R11606" t="s">
        <v>920</v>
      </c>
      <c r="S11606">
        <v>37</v>
      </c>
      <c r="T11606" s="29" t="str">
        <f>HYPERLINK("https://ictv.global/ictv/proposals/2021.036M.R.Rhabdoviridae_sprename.zip","2021.036M.R.Rhabdoviridae_sprename.zip")</f>
        <v>2021.036M.R.Rhabdoviridae_sprename.zip</v>
      </c>
      <c r="U11606" s="29" t="str">
        <f>HYPERLINK("https://ictv.global/taxonomy/taxondetails?taxnode_id=202308908","ictv.global=202308908")</f>
        <v>ictv.global=202308908</v>
      </c>
    </row>
    <row r="11607" spans="1:21">
      <c r="A11607">
        <v>11606</v>
      </c>
      <c r="B11607" s="30" t="s">
        <v>1226</v>
      </c>
      <c r="D11607" s="30" t="s">
        <v>2024</v>
      </c>
      <c r="F11607" s="30" t="s">
        <v>1040</v>
      </c>
      <c r="G11607" s="30" t="s">
        <v>1041</v>
      </c>
      <c r="H11607" s="30" t="s">
        <v>1047</v>
      </c>
      <c r="J11607" s="30" t="s">
        <v>255</v>
      </c>
      <c r="L11607" s="30" t="s">
        <v>374</v>
      </c>
      <c r="M11607" s="30" t="s">
        <v>3778</v>
      </c>
      <c r="N11607" s="30" t="s">
        <v>375</v>
      </c>
      <c r="P11607" s="30" t="s">
        <v>10162</v>
      </c>
      <c r="Q11607" t="s">
        <v>620</v>
      </c>
      <c r="R11607" t="s">
        <v>920</v>
      </c>
      <c r="S11607">
        <v>37</v>
      </c>
      <c r="T11607" s="29" t="str">
        <f>HYPERLINK("https://ictv.global/ictv/proposals/2021.036M.R.Rhabdoviridae_sprename.zip","2021.036M.R.Rhabdoviridae_sprename.zip")</f>
        <v>2021.036M.R.Rhabdoviridae_sprename.zip</v>
      </c>
      <c r="U11607" s="29" t="str">
        <f>HYPERLINK("https://ictv.global/taxonomy/taxondetails?taxnode_id=202307675","ictv.global=202307675")</f>
        <v>ictv.global=202307675</v>
      </c>
    </row>
    <row r="11608" spans="1:21">
      <c r="A11608">
        <v>11607</v>
      </c>
      <c r="B11608" s="30" t="s">
        <v>1226</v>
      </c>
      <c r="D11608" s="30" t="s">
        <v>2024</v>
      </c>
      <c r="F11608" s="30" t="s">
        <v>1040</v>
      </c>
      <c r="G11608" s="30" t="s">
        <v>1041</v>
      </c>
      <c r="H11608" s="30" t="s">
        <v>1047</v>
      </c>
      <c r="J11608" s="30" t="s">
        <v>255</v>
      </c>
      <c r="L11608" s="30" t="s">
        <v>374</v>
      </c>
      <c r="M11608" s="30" t="s">
        <v>3778</v>
      </c>
      <c r="N11608" s="30" t="s">
        <v>375</v>
      </c>
      <c r="P11608" s="30" t="s">
        <v>10163</v>
      </c>
      <c r="Q11608" t="s">
        <v>620</v>
      </c>
      <c r="R11608" t="s">
        <v>917</v>
      </c>
      <c r="S11608">
        <v>38</v>
      </c>
      <c r="T11608" s="29" t="str">
        <f>HYPERLINK("https://ictv.global/ictv/proposals/2022.007M.Cytorhabdovirus_10nsp.zip","2022.007M.Cytorhabdovirus_10nsp.zip")</f>
        <v>2022.007M.Cytorhabdovirus_10nsp.zip</v>
      </c>
      <c r="U11608" s="29" t="str">
        <f>HYPERLINK("https://ictv.global/taxonomy/taxondetails?taxnode_id=202314167","ictv.global=202314167")</f>
        <v>ictv.global=202314167</v>
      </c>
    </row>
    <row r="11609" spans="1:21">
      <c r="A11609">
        <v>11608</v>
      </c>
      <c r="B11609" s="30" t="s">
        <v>1226</v>
      </c>
      <c r="D11609" s="30" t="s">
        <v>2024</v>
      </c>
      <c r="F11609" s="30" t="s">
        <v>1040</v>
      </c>
      <c r="G11609" s="30" t="s">
        <v>1041</v>
      </c>
      <c r="H11609" s="30" t="s">
        <v>1047</v>
      </c>
      <c r="J11609" s="30" t="s">
        <v>255</v>
      </c>
      <c r="L11609" s="30" t="s">
        <v>374</v>
      </c>
      <c r="M11609" s="30" t="s">
        <v>3778</v>
      </c>
      <c r="N11609" s="30" t="s">
        <v>375</v>
      </c>
      <c r="P11609" s="30" t="s">
        <v>10164</v>
      </c>
      <c r="Q11609" t="s">
        <v>620</v>
      </c>
      <c r="R11609" t="s">
        <v>917</v>
      </c>
      <c r="S11609">
        <v>38</v>
      </c>
      <c r="T11609" s="29" t="str">
        <f>HYPERLINK("https://ictv.global/ictv/proposals/2022.007M.Cytorhabdovirus_10nsp.zip","2022.007M.Cytorhabdovirus_10nsp.zip")</f>
        <v>2022.007M.Cytorhabdovirus_10nsp.zip</v>
      </c>
      <c r="U11609" s="29" t="str">
        <f>HYPERLINK("https://ictv.global/taxonomy/taxondetails?taxnode_id=202314168","ictv.global=202314168")</f>
        <v>ictv.global=202314168</v>
      </c>
    </row>
    <row r="11610" spans="1:21">
      <c r="A11610">
        <v>11609</v>
      </c>
      <c r="B11610" s="30" t="s">
        <v>1226</v>
      </c>
      <c r="D11610" s="30" t="s">
        <v>2024</v>
      </c>
      <c r="F11610" s="30" t="s">
        <v>1040</v>
      </c>
      <c r="G11610" s="30" t="s">
        <v>1041</v>
      </c>
      <c r="H11610" s="30" t="s">
        <v>1047</v>
      </c>
      <c r="J11610" s="30" t="s">
        <v>255</v>
      </c>
      <c r="L11610" s="30" t="s">
        <v>374</v>
      </c>
      <c r="M11610" s="30" t="s">
        <v>3778</v>
      </c>
      <c r="N11610" s="30" t="s">
        <v>375</v>
      </c>
      <c r="P11610" s="30" t="s">
        <v>10165</v>
      </c>
      <c r="Q11610" t="s">
        <v>620</v>
      </c>
      <c r="R11610" t="s">
        <v>917</v>
      </c>
      <c r="S11610">
        <v>37</v>
      </c>
      <c r="T11610" s="29" t="str">
        <f>HYPERLINK("https://ictv.global/ictv/proposals/2021.001M.R.Betarhabdovirinae_7nsp.zip","2021.001M.R.Betarhabdovirinae_7nsp.zip")</f>
        <v>2021.001M.R.Betarhabdovirinae_7nsp.zip</v>
      </c>
      <c r="U11610" s="29" t="str">
        <f>HYPERLINK("https://ictv.global/taxonomy/taxondetails?taxnode_id=202313308","ictv.global=202313308")</f>
        <v>ictv.global=202313308</v>
      </c>
    </row>
    <row r="11611" spans="1:21">
      <c r="A11611">
        <v>11610</v>
      </c>
      <c r="B11611" s="30" t="s">
        <v>1226</v>
      </c>
      <c r="D11611" s="30" t="s">
        <v>2024</v>
      </c>
      <c r="F11611" s="30" t="s">
        <v>1040</v>
      </c>
      <c r="G11611" s="30" t="s">
        <v>1041</v>
      </c>
      <c r="H11611" s="30" t="s">
        <v>1047</v>
      </c>
      <c r="J11611" s="30" t="s">
        <v>255</v>
      </c>
      <c r="L11611" s="30" t="s">
        <v>374</v>
      </c>
      <c r="M11611" s="30" t="s">
        <v>3778</v>
      </c>
      <c r="N11611" s="30" t="s">
        <v>375</v>
      </c>
      <c r="P11611" s="30" t="s">
        <v>10166</v>
      </c>
      <c r="Q11611" t="s">
        <v>620</v>
      </c>
      <c r="R11611" t="s">
        <v>917</v>
      </c>
      <c r="S11611">
        <v>38</v>
      </c>
      <c r="T11611" s="29" t="str">
        <f>HYPERLINK("https://ictv.global/ictv/proposals/2022.007M.Cytorhabdovirus_10nsp.zip","2022.007M.Cytorhabdovirus_10nsp.zip")</f>
        <v>2022.007M.Cytorhabdovirus_10nsp.zip</v>
      </c>
      <c r="U11611" s="29" t="str">
        <f>HYPERLINK("https://ictv.global/taxonomy/taxondetails?taxnode_id=202314169","ictv.global=202314169")</f>
        <v>ictv.global=202314169</v>
      </c>
    </row>
    <row r="11612" spans="1:21">
      <c r="A11612">
        <v>11611</v>
      </c>
      <c r="B11612" s="30" t="s">
        <v>1226</v>
      </c>
      <c r="D11612" s="30" t="s">
        <v>2024</v>
      </c>
      <c r="F11612" s="30" t="s">
        <v>1040</v>
      </c>
      <c r="G11612" s="30" t="s">
        <v>1041</v>
      </c>
      <c r="H11612" s="30" t="s">
        <v>1047</v>
      </c>
      <c r="J11612" s="30" t="s">
        <v>255</v>
      </c>
      <c r="L11612" s="30" t="s">
        <v>374</v>
      </c>
      <c r="M11612" s="30" t="s">
        <v>3778</v>
      </c>
      <c r="N11612" s="30" t="s">
        <v>375</v>
      </c>
      <c r="P11612" s="30" t="s">
        <v>17432</v>
      </c>
      <c r="Q11612" t="s">
        <v>620</v>
      </c>
      <c r="R11612" t="s">
        <v>917</v>
      </c>
      <c r="S11612">
        <v>39</v>
      </c>
      <c r="T11612" s="29" t="str">
        <f>HYPERLINK("https://ictv.global/ictv/proposals/2023.008M.Cytorhabdovirus_12nsp.zip","2023.008M.Cytorhabdovirus_12nsp.zip")</f>
        <v>2023.008M.Cytorhabdovirus_12nsp.zip</v>
      </c>
      <c r="U11612" s="29" t="str">
        <f>HYPERLINK("https://ictv.global/taxonomy/taxondetails?taxnode_id=202317923","ictv.global=202317923")</f>
        <v>ictv.global=202317923</v>
      </c>
    </row>
    <row r="11613" spans="1:21">
      <c r="A11613">
        <v>11612</v>
      </c>
      <c r="B11613" s="30" t="s">
        <v>1226</v>
      </c>
      <c r="D11613" s="30" t="s">
        <v>2024</v>
      </c>
      <c r="F11613" s="30" t="s">
        <v>1040</v>
      </c>
      <c r="G11613" s="30" t="s">
        <v>1041</v>
      </c>
      <c r="H11613" s="30" t="s">
        <v>1047</v>
      </c>
      <c r="J11613" s="30" t="s">
        <v>255</v>
      </c>
      <c r="L11613" s="30" t="s">
        <v>374</v>
      </c>
      <c r="M11613" s="30" t="s">
        <v>3778</v>
      </c>
      <c r="N11613" s="30" t="s">
        <v>375</v>
      </c>
      <c r="P11613" s="30" t="s">
        <v>17433</v>
      </c>
      <c r="Q11613" t="s">
        <v>620</v>
      </c>
      <c r="R11613" t="s">
        <v>917</v>
      </c>
      <c r="S11613">
        <v>39</v>
      </c>
      <c r="T11613" s="29" t="str">
        <f>HYPERLINK("https://ictv.global/ictv/proposals/2023.008M.Cytorhabdovirus_12nsp.zip","2023.008M.Cytorhabdovirus_12nsp.zip")</f>
        <v>2023.008M.Cytorhabdovirus_12nsp.zip</v>
      </c>
      <c r="U11613" s="29" t="str">
        <f>HYPERLINK("https://ictv.global/taxonomy/taxondetails?taxnode_id=202317919","ictv.global=202317919")</f>
        <v>ictv.global=202317919</v>
      </c>
    </row>
    <row r="11614" spans="1:21">
      <c r="A11614">
        <v>11613</v>
      </c>
      <c r="B11614" s="30" t="s">
        <v>1226</v>
      </c>
      <c r="D11614" s="30" t="s">
        <v>2024</v>
      </c>
      <c r="F11614" s="30" t="s">
        <v>1040</v>
      </c>
      <c r="G11614" s="30" t="s">
        <v>1041</v>
      </c>
      <c r="H11614" s="30" t="s">
        <v>1047</v>
      </c>
      <c r="J11614" s="30" t="s">
        <v>255</v>
      </c>
      <c r="L11614" s="30" t="s">
        <v>374</v>
      </c>
      <c r="M11614" s="30" t="s">
        <v>3778</v>
      </c>
      <c r="N11614" s="30" t="s">
        <v>375</v>
      </c>
      <c r="P11614" s="30" t="s">
        <v>10167</v>
      </c>
      <c r="Q11614" t="s">
        <v>620</v>
      </c>
      <c r="R11614" t="s">
        <v>920</v>
      </c>
      <c r="S11614">
        <v>37</v>
      </c>
      <c r="T11614" s="29" t="str">
        <f>HYPERLINK("https://ictv.global/ictv/proposals/2021.036M.R.Rhabdoviridae_sprename.zip","2021.036M.R.Rhabdoviridae_sprename.zip")</f>
        <v>2021.036M.R.Rhabdoviridae_sprename.zip</v>
      </c>
      <c r="U11614" s="29" t="str">
        <f>HYPERLINK("https://ictv.global/taxonomy/taxondetails?taxnode_id=202308909","ictv.global=202308909")</f>
        <v>ictv.global=202308909</v>
      </c>
    </row>
    <row r="11615" spans="1:21">
      <c r="A11615">
        <v>11614</v>
      </c>
      <c r="B11615" s="30" t="s">
        <v>1226</v>
      </c>
      <c r="D11615" s="30" t="s">
        <v>2024</v>
      </c>
      <c r="F11615" s="30" t="s">
        <v>1040</v>
      </c>
      <c r="G11615" s="30" t="s">
        <v>1041</v>
      </c>
      <c r="H11615" s="30" t="s">
        <v>1047</v>
      </c>
      <c r="J11615" s="30" t="s">
        <v>255</v>
      </c>
      <c r="L11615" s="30" t="s">
        <v>374</v>
      </c>
      <c r="M11615" s="30" t="s">
        <v>3778</v>
      </c>
      <c r="N11615" s="30" t="s">
        <v>375</v>
      </c>
      <c r="P11615" s="30" t="s">
        <v>10168</v>
      </c>
      <c r="Q11615" t="s">
        <v>620</v>
      </c>
      <c r="R11615" t="s">
        <v>920</v>
      </c>
      <c r="S11615">
        <v>37</v>
      </c>
      <c r="T11615" s="29" t="str">
        <f>HYPERLINK("https://ictv.global/ictv/proposals/2021.036M.R.Rhabdoviridae_sprename.zip","2021.036M.R.Rhabdoviridae_sprename.zip")</f>
        <v>2021.036M.R.Rhabdoviridae_sprename.zip</v>
      </c>
      <c r="U11615" s="29" t="str">
        <f>HYPERLINK("https://ictv.global/taxonomy/taxondetails?taxnode_id=202307676","ictv.global=202307676")</f>
        <v>ictv.global=202307676</v>
      </c>
    </row>
    <row r="11616" spans="1:21">
      <c r="A11616">
        <v>11615</v>
      </c>
      <c r="B11616" s="30" t="s">
        <v>1226</v>
      </c>
      <c r="D11616" s="30" t="s">
        <v>2024</v>
      </c>
      <c r="F11616" s="30" t="s">
        <v>1040</v>
      </c>
      <c r="G11616" s="30" t="s">
        <v>1041</v>
      </c>
      <c r="H11616" s="30" t="s">
        <v>1047</v>
      </c>
      <c r="J11616" s="30" t="s">
        <v>255</v>
      </c>
      <c r="L11616" s="30" t="s">
        <v>374</v>
      </c>
      <c r="M11616" s="30" t="s">
        <v>3778</v>
      </c>
      <c r="N11616" s="30" t="s">
        <v>375</v>
      </c>
      <c r="P11616" s="30" t="s">
        <v>10169</v>
      </c>
      <c r="Q11616" t="s">
        <v>620</v>
      </c>
      <c r="R11616" t="s">
        <v>920</v>
      </c>
      <c r="S11616">
        <v>37</v>
      </c>
      <c r="T11616" s="29" t="str">
        <f>HYPERLINK("https://ictv.global/ictv/proposals/2021.036M.R.Rhabdoviridae_sprename.zip","2021.036M.R.Rhabdoviridae_sprename.zip")</f>
        <v>2021.036M.R.Rhabdoviridae_sprename.zip</v>
      </c>
      <c r="U11616" s="29" t="str">
        <f>HYPERLINK("https://ictv.global/taxonomy/taxondetails?taxnode_id=202301669","ictv.global=202301669")</f>
        <v>ictv.global=202301669</v>
      </c>
    </row>
    <row r="11617" spans="1:21">
      <c r="A11617">
        <v>11616</v>
      </c>
      <c r="B11617" s="30" t="s">
        <v>1226</v>
      </c>
      <c r="D11617" s="30" t="s">
        <v>2024</v>
      </c>
      <c r="F11617" s="30" t="s">
        <v>1040</v>
      </c>
      <c r="G11617" s="30" t="s">
        <v>1041</v>
      </c>
      <c r="H11617" s="30" t="s">
        <v>1047</v>
      </c>
      <c r="J11617" s="30" t="s">
        <v>255</v>
      </c>
      <c r="L11617" s="30" t="s">
        <v>374</v>
      </c>
      <c r="M11617" s="30" t="s">
        <v>3778</v>
      </c>
      <c r="N11617" s="30" t="s">
        <v>375</v>
      </c>
      <c r="P11617" s="30" t="s">
        <v>10170</v>
      </c>
      <c r="Q11617" t="s">
        <v>620</v>
      </c>
      <c r="R11617" t="s">
        <v>920</v>
      </c>
      <c r="S11617">
        <v>37</v>
      </c>
      <c r="T11617" s="29" t="str">
        <f>HYPERLINK("https://ictv.global/ictv/proposals/2021.036M.R.Rhabdoviridae_sprename.zip","2021.036M.R.Rhabdoviridae_sprename.zip")</f>
        <v>2021.036M.R.Rhabdoviridae_sprename.zip</v>
      </c>
      <c r="U11617" s="29" t="str">
        <f>HYPERLINK("https://ictv.global/taxonomy/taxondetails?taxnode_id=202307666","ictv.global=202307666")</f>
        <v>ictv.global=202307666</v>
      </c>
    </row>
    <row r="11618" spans="1:21">
      <c r="A11618">
        <v>11617</v>
      </c>
      <c r="B11618" s="30" t="s">
        <v>1226</v>
      </c>
      <c r="D11618" s="30" t="s">
        <v>2024</v>
      </c>
      <c r="F11618" s="30" t="s">
        <v>1040</v>
      </c>
      <c r="G11618" s="30" t="s">
        <v>1041</v>
      </c>
      <c r="H11618" s="30" t="s">
        <v>1047</v>
      </c>
      <c r="J11618" s="30" t="s">
        <v>255</v>
      </c>
      <c r="L11618" s="30" t="s">
        <v>374</v>
      </c>
      <c r="M11618" s="30" t="s">
        <v>3778</v>
      </c>
      <c r="N11618" s="30" t="s">
        <v>375</v>
      </c>
      <c r="P11618" s="30" t="s">
        <v>10171</v>
      </c>
      <c r="Q11618" t="s">
        <v>620</v>
      </c>
      <c r="R11618" t="s">
        <v>917</v>
      </c>
      <c r="S11618">
        <v>37</v>
      </c>
      <c r="T11618" s="29" t="str">
        <f>HYPERLINK("https://ictv.global/ictv/proposals/2021.001M.R.Betarhabdovirinae_7nsp.zip","2021.001M.R.Betarhabdovirinae_7nsp.zip")</f>
        <v>2021.001M.R.Betarhabdovirinae_7nsp.zip</v>
      </c>
      <c r="U11618" s="29" t="str">
        <f>HYPERLINK("https://ictv.global/taxonomy/taxondetails?taxnode_id=202313311","ictv.global=202313311")</f>
        <v>ictv.global=202313311</v>
      </c>
    </row>
    <row r="11619" spans="1:21">
      <c r="A11619">
        <v>11618</v>
      </c>
      <c r="B11619" s="30" t="s">
        <v>1226</v>
      </c>
      <c r="D11619" s="30" t="s">
        <v>2024</v>
      </c>
      <c r="F11619" s="30" t="s">
        <v>1040</v>
      </c>
      <c r="G11619" s="30" t="s">
        <v>1041</v>
      </c>
      <c r="H11619" s="30" t="s">
        <v>1047</v>
      </c>
      <c r="J11619" s="30" t="s">
        <v>255</v>
      </c>
      <c r="L11619" s="30" t="s">
        <v>374</v>
      </c>
      <c r="M11619" s="30" t="s">
        <v>3778</v>
      </c>
      <c r="N11619" s="30" t="s">
        <v>375</v>
      </c>
      <c r="P11619" s="30" t="s">
        <v>10172</v>
      </c>
      <c r="Q11619" t="s">
        <v>620</v>
      </c>
      <c r="R11619" t="s">
        <v>920</v>
      </c>
      <c r="S11619">
        <v>37</v>
      </c>
      <c r="T11619" s="29" t="str">
        <f>HYPERLINK("https://ictv.global/ictv/proposals/2021.036M.R.Rhabdoviridae_sprename.zip","2021.036M.R.Rhabdoviridae_sprename.zip")</f>
        <v>2021.036M.R.Rhabdoviridae_sprename.zip</v>
      </c>
      <c r="U11619" s="29" t="str">
        <f>HYPERLINK("https://ictv.global/taxonomy/taxondetails?taxnode_id=202307669","ictv.global=202307669")</f>
        <v>ictv.global=202307669</v>
      </c>
    </row>
    <row r="11620" spans="1:21">
      <c r="A11620">
        <v>11619</v>
      </c>
      <c r="B11620" s="30" t="s">
        <v>1226</v>
      </c>
      <c r="D11620" s="30" t="s">
        <v>2024</v>
      </c>
      <c r="F11620" s="30" t="s">
        <v>1040</v>
      </c>
      <c r="G11620" s="30" t="s">
        <v>1041</v>
      </c>
      <c r="H11620" s="30" t="s">
        <v>1047</v>
      </c>
      <c r="J11620" s="30" t="s">
        <v>255</v>
      </c>
      <c r="L11620" s="30" t="s">
        <v>374</v>
      </c>
      <c r="M11620" s="30" t="s">
        <v>3778</v>
      </c>
      <c r="N11620" s="30" t="s">
        <v>375</v>
      </c>
      <c r="P11620" s="30" t="s">
        <v>10173</v>
      </c>
      <c r="Q11620" t="s">
        <v>620</v>
      </c>
      <c r="R11620" t="s">
        <v>917</v>
      </c>
      <c r="S11620">
        <v>37</v>
      </c>
      <c r="T11620" s="29" t="str">
        <f>HYPERLINK("https://ictv.global/ictv/proposals/2021.001M.R.Betarhabdovirinae_7nsp.zip","2021.001M.R.Betarhabdovirinae_7nsp.zip")</f>
        <v>2021.001M.R.Betarhabdovirinae_7nsp.zip</v>
      </c>
      <c r="U11620" s="29" t="str">
        <f>HYPERLINK("https://ictv.global/taxonomy/taxondetails?taxnode_id=202313309","ictv.global=202313309")</f>
        <v>ictv.global=202313309</v>
      </c>
    </row>
    <row r="11621" spans="1:21">
      <c r="A11621">
        <v>11620</v>
      </c>
      <c r="B11621" s="30" t="s">
        <v>1226</v>
      </c>
      <c r="D11621" s="30" t="s">
        <v>2024</v>
      </c>
      <c r="F11621" s="30" t="s">
        <v>1040</v>
      </c>
      <c r="G11621" s="30" t="s">
        <v>1041</v>
      </c>
      <c r="H11621" s="30" t="s">
        <v>1047</v>
      </c>
      <c r="J11621" s="30" t="s">
        <v>255</v>
      </c>
      <c r="L11621" s="30" t="s">
        <v>374</v>
      </c>
      <c r="M11621" s="30" t="s">
        <v>3778</v>
      </c>
      <c r="N11621" s="30" t="s">
        <v>375</v>
      </c>
      <c r="P11621" s="30" t="s">
        <v>10174</v>
      </c>
      <c r="Q11621" t="s">
        <v>620</v>
      </c>
      <c r="R11621" t="s">
        <v>920</v>
      </c>
      <c r="S11621">
        <v>37</v>
      </c>
      <c r="T11621" s="29" t="str">
        <f>HYPERLINK("https://ictv.global/ictv/proposals/2021.036M.R.Rhabdoviridae_sprename.zip","2021.036M.R.Rhabdoviridae_sprename.zip")</f>
        <v>2021.036M.R.Rhabdoviridae_sprename.zip</v>
      </c>
      <c r="U11621" s="29" t="str">
        <f>HYPERLINK("https://ictv.global/taxonomy/taxondetails?taxnode_id=202301670","ictv.global=202301670")</f>
        <v>ictv.global=202301670</v>
      </c>
    </row>
    <row r="11622" spans="1:21">
      <c r="A11622">
        <v>11621</v>
      </c>
      <c r="B11622" s="30" t="s">
        <v>1226</v>
      </c>
      <c r="D11622" s="30" t="s">
        <v>2024</v>
      </c>
      <c r="F11622" s="30" t="s">
        <v>1040</v>
      </c>
      <c r="G11622" s="30" t="s">
        <v>1041</v>
      </c>
      <c r="H11622" s="30" t="s">
        <v>1047</v>
      </c>
      <c r="J11622" s="30" t="s">
        <v>255</v>
      </c>
      <c r="L11622" s="30" t="s">
        <v>374</v>
      </c>
      <c r="M11622" s="30" t="s">
        <v>3778</v>
      </c>
      <c r="N11622" s="30" t="s">
        <v>375</v>
      </c>
      <c r="P11622" s="30" t="s">
        <v>10175</v>
      </c>
      <c r="Q11622" t="s">
        <v>620</v>
      </c>
      <c r="R11622" t="s">
        <v>917</v>
      </c>
      <c r="S11622">
        <v>37</v>
      </c>
      <c r="T11622" s="29" t="str">
        <f>HYPERLINK("https://ictv.global/ictv/proposals/2021.001M.R.Betarhabdovirinae_7nsp.zip","2021.001M.R.Betarhabdovirinae_7nsp.zip")</f>
        <v>2021.001M.R.Betarhabdovirinae_7nsp.zip</v>
      </c>
      <c r="U11622" s="29" t="str">
        <f>HYPERLINK("https://ictv.global/taxonomy/taxondetails?taxnode_id=202313310","ictv.global=202313310")</f>
        <v>ictv.global=202313310</v>
      </c>
    </row>
    <row r="11623" spans="1:21">
      <c r="A11623">
        <v>11622</v>
      </c>
      <c r="B11623" s="30" t="s">
        <v>1226</v>
      </c>
      <c r="D11623" s="30" t="s">
        <v>2024</v>
      </c>
      <c r="F11623" s="30" t="s">
        <v>1040</v>
      </c>
      <c r="G11623" s="30" t="s">
        <v>1041</v>
      </c>
      <c r="H11623" s="30" t="s">
        <v>1047</v>
      </c>
      <c r="J11623" s="30" t="s">
        <v>255</v>
      </c>
      <c r="L11623" s="30" t="s">
        <v>374</v>
      </c>
      <c r="M11623" s="30" t="s">
        <v>3778</v>
      </c>
      <c r="N11623" s="30" t="s">
        <v>375</v>
      </c>
      <c r="P11623" s="30" t="s">
        <v>17434</v>
      </c>
      <c r="Q11623" t="s">
        <v>620</v>
      </c>
      <c r="R11623" t="s">
        <v>917</v>
      </c>
      <c r="S11623">
        <v>39</v>
      </c>
      <c r="T11623" s="29" t="str">
        <f>HYPERLINK("https://ictv.global/ictv/proposals/2023.008M.Cytorhabdovirus_12nsp.zip","2023.008M.Cytorhabdovirus_12nsp.zip")</f>
        <v>2023.008M.Cytorhabdovirus_12nsp.zip</v>
      </c>
      <c r="U11623" s="29" t="str">
        <f>HYPERLINK("https://ictv.global/taxonomy/taxondetails?taxnode_id=202317915","ictv.global=202317915")</f>
        <v>ictv.global=202317915</v>
      </c>
    </row>
    <row r="11624" spans="1:21">
      <c r="A11624">
        <v>11623</v>
      </c>
      <c r="B11624" s="30" t="s">
        <v>1226</v>
      </c>
      <c r="D11624" s="30" t="s">
        <v>2024</v>
      </c>
      <c r="F11624" s="30" t="s">
        <v>1040</v>
      </c>
      <c r="G11624" s="30" t="s">
        <v>1041</v>
      </c>
      <c r="H11624" s="30" t="s">
        <v>1047</v>
      </c>
      <c r="J11624" s="30" t="s">
        <v>255</v>
      </c>
      <c r="L11624" s="30" t="s">
        <v>374</v>
      </c>
      <c r="M11624" s="30" t="s">
        <v>3778</v>
      </c>
      <c r="N11624" s="30" t="s">
        <v>375</v>
      </c>
      <c r="P11624" s="30" t="s">
        <v>10176</v>
      </c>
      <c r="Q11624" t="s">
        <v>620</v>
      </c>
      <c r="R11624" t="s">
        <v>920</v>
      </c>
      <c r="S11624">
        <v>37</v>
      </c>
      <c r="T11624" s="29" t="str">
        <f>HYPERLINK("https://ictv.global/ictv/proposals/2021.036M.R.Rhabdoviridae_sprename.zip","2021.036M.R.Rhabdoviridae_sprename.zip")</f>
        <v>2021.036M.R.Rhabdoviridae_sprename.zip</v>
      </c>
      <c r="U11624" s="29" t="str">
        <f>HYPERLINK("https://ictv.global/taxonomy/taxondetails?taxnode_id=202301671","ictv.global=202301671")</f>
        <v>ictv.global=202301671</v>
      </c>
    </row>
    <row r="11625" spans="1:21">
      <c r="A11625">
        <v>11624</v>
      </c>
      <c r="B11625" s="30" t="s">
        <v>1226</v>
      </c>
      <c r="D11625" s="30" t="s">
        <v>2024</v>
      </c>
      <c r="F11625" s="30" t="s">
        <v>1040</v>
      </c>
      <c r="G11625" s="30" t="s">
        <v>1041</v>
      </c>
      <c r="H11625" s="30" t="s">
        <v>1047</v>
      </c>
      <c r="J11625" s="30" t="s">
        <v>255</v>
      </c>
      <c r="L11625" s="30" t="s">
        <v>374</v>
      </c>
      <c r="M11625" s="30" t="s">
        <v>3778</v>
      </c>
      <c r="N11625" s="30" t="s">
        <v>375</v>
      </c>
      <c r="P11625" s="30" t="s">
        <v>10177</v>
      </c>
      <c r="Q11625" t="s">
        <v>620</v>
      </c>
      <c r="R11625" t="s">
        <v>920</v>
      </c>
      <c r="S11625">
        <v>37</v>
      </c>
      <c r="T11625" s="29" t="str">
        <f>HYPERLINK("https://ictv.global/ictv/proposals/2021.036M.R.Rhabdoviridae_sprename.zip","2021.036M.R.Rhabdoviridae_sprename.zip")</f>
        <v>2021.036M.R.Rhabdoviridae_sprename.zip</v>
      </c>
      <c r="U11625" s="29" t="str">
        <f>HYPERLINK("https://ictv.global/taxonomy/taxondetails?taxnode_id=202307674","ictv.global=202307674")</f>
        <v>ictv.global=202307674</v>
      </c>
    </row>
    <row r="11626" spans="1:21">
      <c r="A11626">
        <v>11625</v>
      </c>
      <c r="B11626" s="30" t="s">
        <v>1226</v>
      </c>
      <c r="D11626" s="30" t="s">
        <v>2024</v>
      </c>
      <c r="F11626" s="30" t="s">
        <v>1040</v>
      </c>
      <c r="G11626" s="30" t="s">
        <v>1041</v>
      </c>
      <c r="H11626" s="30" t="s">
        <v>1047</v>
      </c>
      <c r="J11626" s="30" t="s">
        <v>255</v>
      </c>
      <c r="L11626" s="30" t="s">
        <v>374</v>
      </c>
      <c r="M11626" s="30" t="s">
        <v>3778</v>
      </c>
      <c r="N11626" s="30" t="s">
        <v>375</v>
      </c>
      <c r="P11626" s="30" t="s">
        <v>10178</v>
      </c>
      <c r="Q11626" t="s">
        <v>620</v>
      </c>
      <c r="R11626" t="s">
        <v>920</v>
      </c>
      <c r="S11626">
        <v>37</v>
      </c>
      <c r="T11626" s="29" t="str">
        <f>HYPERLINK("https://ictv.global/ictv/proposals/2021.036M.R.Rhabdoviridae_sprename.zip","2021.036M.R.Rhabdoviridae_sprename.zip")</f>
        <v>2021.036M.R.Rhabdoviridae_sprename.zip</v>
      </c>
      <c r="U11626" s="29" t="str">
        <f>HYPERLINK("https://ictv.global/taxonomy/taxondetails?taxnode_id=202308907","ictv.global=202308907")</f>
        <v>ictv.global=202308907</v>
      </c>
    </row>
    <row r="11627" spans="1:21">
      <c r="A11627">
        <v>11626</v>
      </c>
      <c r="B11627" s="30" t="s">
        <v>1226</v>
      </c>
      <c r="D11627" s="30" t="s">
        <v>2024</v>
      </c>
      <c r="F11627" s="30" t="s">
        <v>1040</v>
      </c>
      <c r="G11627" s="30" t="s">
        <v>1041</v>
      </c>
      <c r="H11627" s="30" t="s">
        <v>1047</v>
      </c>
      <c r="J11627" s="30" t="s">
        <v>255</v>
      </c>
      <c r="L11627" s="30" t="s">
        <v>374</v>
      </c>
      <c r="M11627" s="30" t="s">
        <v>3778</v>
      </c>
      <c r="N11627" s="30" t="s">
        <v>375</v>
      </c>
      <c r="P11627" s="30" t="s">
        <v>10179</v>
      </c>
      <c r="Q11627" t="s">
        <v>620</v>
      </c>
      <c r="R11627" t="s">
        <v>920</v>
      </c>
      <c r="S11627">
        <v>37</v>
      </c>
      <c r="T11627" s="29" t="str">
        <f>HYPERLINK("https://ictv.global/ictv/proposals/2021.036M.R.Rhabdoviridae_sprename.zip","2021.036M.R.Rhabdoviridae_sprename.zip")</f>
        <v>2021.036M.R.Rhabdoviridae_sprename.zip</v>
      </c>
      <c r="U11627" s="29" t="str">
        <f>HYPERLINK("https://ictv.global/taxonomy/taxondetails?taxnode_id=202301676","ictv.global=202301676")</f>
        <v>ictv.global=202301676</v>
      </c>
    </row>
    <row r="11628" spans="1:21">
      <c r="A11628">
        <v>11627</v>
      </c>
      <c r="B11628" s="30" t="s">
        <v>1226</v>
      </c>
      <c r="D11628" s="30" t="s">
        <v>2024</v>
      </c>
      <c r="F11628" s="30" t="s">
        <v>1040</v>
      </c>
      <c r="G11628" s="30" t="s">
        <v>1041</v>
      </c>
      <c r="H11628" s="30" t="s">
        <v>1047</v>
      </c>
      <c r="J11628" s="30" t="s">
        <v>255</v>
      </c>
      <c r="L11628" s="30" t="s">
        <v>374</v>
      </c>
      <c r="M11628" s="30" t="s">
        <v>3778</v>
      </c>
      <c r="N11628" s="30" t="s">
        <v>375</v>
      </c>
      <c r="P11628" s="30" t="s">
        <v>10180</v>
      </c>
      <c r="Q11628" t="s">
        <v>620</v>
      </c>
      <c r="R11628" t="s">
        <v>920</v>
      </c>
      <c r="S11628">
        <v>37</v>
      </c>
      <c r="T11628" s="29" t="str">
        <f>HYPERLINK("https://ictv.global/ictv/proposals/2021.036M.R.Rhabdoviridae_sprename.zip","2021.036M.R.Rhabdoviridae_sprename.zip")</f>
        <v>2021.036M.R.Rhabdoviridae_sprename.zip</v>
      </c>
      <c r="U11628" s="29" t="str">
        <f>HYPERLINK("https://ictv.global/taxonomy/taxondetails?taxnode_id=202307677","ictv.global=202307677")</f>
        <v>ictv.global=202307677</v>
      </c>
    </row>
    <row r="11629" spans="1:21">
      <c r="A11629">
        <v>11628</v>
      </c>
      <c r="B11629" s="30" t="s">
        <v>1226</v>
      </c>
      <c r="D11629" s="30" t="s">
        <v>2024</v>
      </c>
      <c r="F11629" s="30" t="s">
        <v>1040</v>
      </c>
      <c r="G11629" s="30" t="s">
        <v>1041</v>
      </c>
      <c r="H11629" s="30" t="s">
        <v>1047</v>
      </c>
      <c r="J11629" s="30" t="s">
        <v>255</v>
      </c>
      <c r="L11629" s="30" t="s">
        <v>374</v>
      </c>
      <c r="M11629" s="30" t="s">
        <v>3778</v>
      </c>
      <c r="N11629" s="30" t="s">
        <v>375</v>
      </c>
      <c r="P11629" s="30" t="s">
        <v>10181</v>
      </c>
      <c r="Q11629" t="s">
        <v>620</v>
      </c>
      <c r="R11629" t="s">
        <v>917</v>
      </c>
      <c r="S11629">
        <v>38</v>
      </c>
      <c r="T11629" s="29" t="str">
        <f>HYPERLINK("https://ictv.global/ictv/proposals/2022.007M.Cytorhabdovirus_10nsp.zip","2022.007M.Cytorhabdovirus_10nsp.zip")</f>
        <v>2022.007M.Cytorhabdovirus_10nsp.zip</v>
      </c>
      <c r="U11629" s="29" t="str">
        <f>HYPERLINK("https://ictv.global/taxonomy/taxondetails?taxnode_id=202314170","ictv.global=202314170")</f>
        <v>ictv.global=202314170</v>
      </c>
    </row>
    <row r="11630" spans="1:21">
      <c r="A11630">
        <v>11629</v>
      </c>
      <c r="B11630" s="30" t="s">
        <v>1226</v>
      </c>
      <c r="D11630" s="30" t="s">
        <v>2024</v>
      </c>
      <c r="F11630" s="30" t="s">
        <v>1040</v>
      </c>
      <c r="G11630" s="30" t="s">
        <v>1041</v>
      </c>
      <c r="H11630" s="30" t="s">
        <v>1047</v>
      </c>
      <c r="J11630" s="30" t="s">
        <v>255</v>
      </c>
      <c r="L11630" s="30" t="s">
        <v>374</v>
      </c>
      <c r="M11630" s="30" t="s">
        <v>3778</v>
      </c>
      <c r="N11630" s="30" t="s">
        <v>375</v>
      </c>
      <c r="P11630" s="30" t="s">
        <v>17435</v>
      </c>
      <c r="Q11630" t="s">
        <v>620</v>
      </c>
      <c r="R11630" t="s">
        <v>917</v>
      </c>
      <c r="S11630">
        <v>39</v>
      </c>
      <c r="T11630" s="29" t="str">
        <f>HYPERLINK("https://ictv.global/ictv/proposals/2023.008M.Cytorhabdovirus_12nsp.zip","2023.008M.Cytorhabdovirus_12nsp.zip")</f>
        <v>2023.008M.Cytorhabdovirus_12nsp.zip</v>
      </c>
      <c r="U11630" s="29" t="str">
        <f>HYPERLINK("https://ictv.global/taxonomy/taxondetails?taxnode_id=202317922","ictv.global=202317922")</f>
        <v>ictv.global=202317922</v>
      </c>
    </row>
    <row r="11631" spans="1:21">
      <c r="A11631">
        <v>11630</v>
      </c>
      <c r="B11631" s="30" t="s">
        <v>1226</v>
      </c>
      <c r="D11631" s="30" t="s">
        <v>2024</v>
      </c>
      <c r="F11631" s="30" t="s">
        <v>1040</v>
      </c>
      <c r="G11631" s="30" t="s">
        <v>1041</v>
      </c>
      <c r="H11631" s="30" t="s">
        <v>1047</v>
      </c>
      <c r="J11631" s="30" t="s">
        <v>255</v>
      </c>
      <c r="L11631" s="30" t="s">
        <v>374</v>
      </c>
      <c r="M11631" s="30" t="s">
        <v>3778</v>
      </c>
      <c r="N11631" s="30" t="s">
        <v>375</v>
      </c>
      <c r="P11631" s="30" t="s">
        <v>10182</v>
      </c>
      <c r="Q11631" t="s">
        <v>620</v>
      </c>
      <c r="R11631" t="s">
        <v>920</v>
      </c>
      <c r="S11631">
        <v>37</v>
      </c>
      <c r="T11631" s="29" t="str">
        <f>HYPERLINK("https://ictv.global/ictv/proposals/2021.036M.R.Rhabdoviridae_sprename.zip","2021.036M.R.Rhabdoviridae_sprename.zip")</f>
        <v>2021.036M.R.Rhabdoviridae_sprename.zip</v>
      </c>
      <c r="U11631" s="29" t="str">
        <f>HYPERLINK("https://ictv.global/taxonomy/taxondetails?taxnode_id=202301674","ictv.global=202301674")</f>
        <v>ictv.global=202301674</v>
      </c>
    </row>
    <row r="11632" spans="1:21">
      <c r="A11632">
        <v>11631</v>
      </c>
      <c r="B11632" s="30" t="s">
        <v>1226</v>
      </c>
      <c r="D11632" s="30" t="s">
        <v>2024</v>
      </c>
      <c r="F11632" s="30" t="s">
        <v>1040</v>
      </c>
      <c r="G11632" s="30" t="s">
        <v>1041</v>
      </c>
      <c r="H11632" s="30" t="s">
        <v>1047</v>
      </c>
      <c r="J11632" s="30" t="s">
        <v>255</v>
      </c>
      <c r="L11632" s="30" t="s">
        <v>374</v>
      </c>
      <c r="M11632" s="30" t="s">
        <v>3778</v>
      </c>
      <c r="N11632" s="30" t="s">
        <v>375</v>
      </c>
      <c r="P11632" s="30" t="s">
        <v>10183</v>
      </c>
      <c r="Q11632" t="s">
        <v>620</v>
      </c>
      <c r="R11632" t="s">
        <v>920</v>
      </c>
      <c r="S11632">
        <v>37</v>
      </c>
      <c r="T11632" s="29" t="str">
        <f>HYPERLINK("https://ictv.global/ictv/proposals/2021.036M.R.Rhabdoviridae_sprename.zip","2021.036M.R.Rhabdoviridae_sprename.zip")</f>
        <v>2021.036M.R.Rhabdoviridae_sprename.zip</v>
      </c>
      <c r="U11632" s="29" t="str">
        <f>HYPERLINK("https://ictv.global/taxonomy/taxondetails?taxnode_id=202301668","ictv.global=202301668")</f>
        <v>ictv.global=202301668</v>
      </c>
    </row>
    <row r="11633" spans="1:21">
      <c r="A11633">
        <v>11632</v>
      </c>
      <c r="B11633" s="30" t="s">
        <v>1226</v>
      </c>
      <c r="D11633" s="30" t="s">
        <v>2024</v>
      </c>
      <c r="F11633" s="30" t="s">
        <v>1040</v>
      </c>
      <c r="G11633" s="30" t="s">
        <v>1041</v>
      </c>
      <c r="H11633" s="30" t="s">
        <v>1047</v>
      </c>
      <c r="J11633" s="30" t="s">
        <v>255</v>
      </c>
      <c r="L11633" s="30" t="s">
        <v>374</v>
      </c>
      <c r="M11633" s="30" t="s">
        <v>3778</v>
      </c>
      <c r="N11633" s="30" t="s">
        <v>375</v>
      </c>
      <c r="P11633" s="30" t="s">
        <v>17436</v>
      </c>
      <c r="Q11633" t="s">
        <v>620</v>
      </c>
      <c r="R11633" t="s">
        <v>917</v>
      </c>
      <c r="S11633">
        <v>39</v>
      </c>
      <c r="T11633" s="29" t="str">
        <f>HYPERLINK("https://ictv.global/ictv/proposals/2023.008M.Cytorhabdovirus_12nsp.zip","2023.008M.Cytorhabdovirus_12nsp.zip")</f>
        <v>2023.008M.Cytorhabdovirus_12nsp.zip</v>
      </c>
      <c r="U11633" s="29" t="str">
        <f>HYPERLINK("https://ictv.global/taxonomy/taxondetails?taxnode_id=202317916","ictv.global=202317916")</f>
        <v>ictv.global=202317916</v>
      </c>
    </row>
    <row r="11634" spans="1:21">
      <c r="A11634">
        <v>11633</v>
      </c>
      <c r="B11634" s="30" t="s">
        <v>1226</v>
      </c>
      <c r="D11634" s="30" t="s">
        <v>2024</v>
      </c>
      <c r="F11634" s="30" t="s">
        <v>1040</v>
      </c>
      <c r="G11634" s="30" t="s">
        <v>1041</v>
      </c>
      <c r="H11634" s="30" t="s">
        <v>1047</v>
      </c>
      <c r="J11634" s="30" t="s">
        <v>255</v>
      </c>
      <c r="L11634" s="30" t="s">
        <v>374</v>
      </c>
      <c r="M11634" s="30" t="s">
        <v>3778</v>
      </c>
      <c r="N11634" s="30" t="s">
        <v>375</v>
      </c>
      <c r="P11634" s="30" t="s">
        <v>10184</v>
      </c>
      <c r="Q11634" t="s">
        <v>620</v>
      </c>
      <c r="R11634" t="s">
        <v>917</v>
      </c>
      <c r="S11634">
        <v>38</v>
      </c>
      <c r="T11634" s="29" t="str">
        <f>HYPERLINK("https://ictv.global/ictv/proposals/2022.007M.Cytorhabdovirus_10nsp.zip","2022.007M.Cytorhabdovirus_10nsp.zip")</f>
        <v>2022.007M.Cytorhabdovirus_10nsp.zip</v>
      </c>
      <c r="U11634" s="29" t="str">
        <f>HYPERLINK("https://ictv.global/taxonomy/taxondetails?taxnode_id=202314172","ictv.global=202314172")</f>
        <v>ictv.global=202314172</v>
      </c>
    </row>
    <row r="11635" spans="1:21">
      <c r="A11635">
        <v>11634</v>
      </c>
      <c r="B11635" s="30" t="s">
        <v>1226</v>
      </c>
      <c r="D11635" s="30" t="s">
        <v>2024</v>
      </c>
      <c r="F11635" s="30" t="s">
        <v>1040</v>
      </c>
      <c r="G11635" s="30" t="s">
        <v>1041</v>
      </c>
      <c r="H11635" s="30" t="s">
        <v>1047</v>
      </c>
      <c r="J11635" s="30" t="s">
        <v>255</v>
      </c>
      <c r="L11635" s="30" t="s">
        <v>374</v>
      </c>
      <c r="M11635" s="30" t="s">
        <v>3778</v>
      </c>
      <c r="N11635" s="30" t="s">
        <v>375</v>
      </c>
      <c r="P11635" s="30" t="s">
        <v>10185</v>
      </c>
      <c r="Q11635" t="s">
        <v>620</v>
      </c>
      <c r="R11635" t="s">
        <v>920</v>
      </c>
      <c r="S11635">
        <v>37</v>
      </c>
      <c r="T11635" s="29" t="str">
        <f t="shared" ref="T11635:T11640" si="486">HYPERLINK("https://ictv.global/ictv/proposals/2021.036M.R.Rhabdoviridae_sprename.zip","2021.036M.R.Rhabdoviridae_sprename.zip")</f>
        <v>2021.036M.R.Rhabdoviridae_sprename.zip</v>
      </c>
      <c r="U11635" s="29" t="str">
        <f>HYPERLINK("https://ictv.global/taxonomy/taxondetails?taxnode_id=202301673","ictv.global=202301673")</f>
        <v>ictv.global=202301673</v>
      </c>
    </row>
    <row r="11636" spans="1:21">
      <c r="A11636">
        <v>11635</v>
      </c>
      <c r="B11636" s="30" t="s">
        <v>1226</v>
      </c>
      <c r="D11636" s="30" t="s">
        <v>2024</v>
      </c>
      <c r="F11636" s="30" t="s">
        <v>1040</v>
      </c>
      <c r="G11636" s="30" t="s">
        <v>1041</v>
      </c>
      <c r="H11636" s="30" t="s">
        <v>1047</v>
      </c>
      <c r="J11636" s="30" t="s">
        <v>255</v>
      </c>
      <c r="L11636" s="30" t="s">
        <v>374</v>
      </c>
      <c r="M11636" s="30" t="s">
        <v>3778</v>
      </c>
      <c r="N11636" s="30" t="s">
        <v>375</v>
      </c>
      <c r="P11636" s="30" t="s">
        <v>10186</v>
      </c>
      <c r="Q11636" t="s">
        <v>620</v>
      </c>
      <c r="R11636" t="s">
        <v>920</v>
      </c>
      <c r="S11636">
        <v>37</v>
      </c>
      <c r="T11636" s="29" t="str">
        <f t="shared" si="486"/>
        <v>2021.036M.R.Rhabdoviridae_sprename.zip</v>
      </c>
      <c r="U11636" s="29" t="str">
        <f>HYPERLINK("https://ictv.global/taxonomy/taxondetails?taxnode_id=202301672","ictv.global=202301672")</f>
        <v>ictv.global=202301672</v>
      </c>
    </row>
    <row r="11637" spans="1:21">
      <c r="A11637">
        <v>11636</v>
      </c>
      <c r="B11637" s="30" t="s">
        <v>1226</v>
      </c>
      <c r="D11637" s="30" t="s">
        <v>2024</v>
      </c>
      <c r="F11637" s="30" t="s">
        <v>1040</v>
      </c>
      <c r="G11637" s="30" t="s">
        <v>1041</v>
      </c>
      <c r="H11637" s="30" t="s">
        <v>1047</v>
      </c>
      <c r="J11637" s="30" t="s">
        <v>255</v>
      </c>
      <c r="L11637" s="30" t="s">
        <v>374</v>
      </c>
      <c r="M11637" s="30" t="s">
        <v>3778</v>
      </c>
      <c r="N11637" s="30" t="s">
        <v>375</v>
      </c>
      <c r="P11637" s="30" t="s">
        <v>10187</v>
      </c>
      <c r="Q11637" t="s">
        <v>620</v>
      </c>
      <c r="R11637" t="s">
        <v>920</v>
      </c>
      <c r="S11637">
        <v>37</v>
      </c>
      <c r="T11637" s="29" t="str">
        <f t="shared" si="486"/>
        <v>2021.036M.R.Rhabdoviridae_sprename.zip</v>
      </c>
      <c r="U11637" s="29" t="str">
        <f>HYPERLINK("https://ictv.global/taxonomy/taxondetails?taxnode_id=202307673","ictv.global=202307673")</f>
        <v>ictv.global=202307673</v>
      </c>
    </row>
    <row r="11638" spans="1:21">
      <c r="A11638">
        <v>11637</v>
      </c>
      <c r="B11638" s="30" t="s">
        <v>1226</v>
      </c>
      <c r="D11638" s="30" t="s">
        <v>2024</v>
      </c>
      <c r="F11638" s="30" t="s">
        <v>1040</v>
      </c>
      <c r="G11638" s="30" t="s">
        <v>1041</v>
      </c>
      <c r="H11638" s="30" t="s">
        <v>1047</v>
      </c>
      <c r="J11638" s="30" t="s">
        <v>255</v>
      </c>
      <c r="L11638" s="30" t="s">
        <v>374</v>
      </c>
      <c r="M11638" s="30" t="s">
        <v>3778</v>
      </c>
      <c r="N11638" s="30" t="s">
        <v>375</v>
      </c>
      <c r="P11638" s="30" t="s">
        <v>10188</v>
      </c>
      <c r="Q11638" t="s">
        <v>620</v>
      </c>
      <c r="R11638" t="s">
        <v>920</v>
      </c>
      <c r="S11638">
        <v>37</v>
      </c>
      <c r="T11638" s="29" t="str">
        <f t="shared" si="486"/>
        <v>2021.036M.R.Rhabdoviridae_sprename.zip</v>
      </c>
      <c r="U11638" s="29" t="str">
        <f>HYPERLINK("https://ictv.global/taxonomy/taxondetails?taxnode_id=202307667","ictv.global=202307667")</f>
        <v>ictv.global=202307667</v>
      </c>
    </row>
    <row r="11639" spans="1:21">
      <c r="A11639">
        <v>11638</v>
      </c>
      <c r="B11639" s="30" t="s">
        <v>1226</v>
      </c>
      <c r="D11639" s="30" t="s">
        <v>2024</v>
      </c>
      <c r="F11639" s="30" t="s">
        <v>1040</v>
      </c>
      <c r="G11639" s="30" t="s">
        <v>1041</v>
      </c>
      <c r="H11639" s="30" t="s">
        <v>1047</v>
      </c>
      <c r="J11639" s="30" t="s">
        <v>255</v>
      </c>
      <c r="L11639" s="30" t="s">
        <v>374</v>
      </c>
      <c r="M11639" s="30" t="s">
        <v>3778</v>
      </c>
      <c r="N11639" s="30" t="s">
        <v>375</v>
      </c>
      <c r="P11639" s="30" t="s">
        <v>10189</v>
      </c>
      <c r="Q11639" t="s">
        <v>620</v>
      </c>
      <c r="R11639" t="s">
        <v>920</v>
      </c>
      <c r="S11639">
        <v>37</v>
      </c>
      <c r="T11639" s="29" t="str">
        <f t="shared" si="486"/>
        <v>2021.036M.R.Rhabdoviridae_sprename.zip</v>
      </c>
      <c r="U11639" s="29" t="str">
        <f>HYPERLINK("https://ictv.global/taxonomy/taxondetails?taxnode_id=202307668","ictv.global=202307668")</f>
        <v>ictv.global=202307668</v>
      </c>
    </row>
    <row r="11640" spans="1:21">
      <c r="A11640">
        <v>11639</v>
      </c>
      <c r="B11640" s="30" t="s">
        <v>1226</v>
      </c>
      <c r="D11640" s="30" t="s">
        <v>2024</v>
      </c>
      <c r="F11640" s="30" t="s">
        <v>1040</v>
      </c>
      <c r="G11640" s="30" t="s">
        <v>1041</v>
      </c>
      <c r="H11640" s="30" t="s">
        <v>1047</v>
      </c>
      <c r="J11640" s="30" t="s">
        <v>255</v>
      </c>
      <c r="L11640" s="30" t="s">
        <v>374</v>
      </c>
      <c r="M11640" s="30" t="s">
        <v>3778</v>
      </c>
      <c r="N11640" s="30" t="s">
        <v>375</v>
      </c>
      <c r="P11640" s="30" t="s">
        <v>10190</v>
      </c>
      <c r="Q11640" t="s">
        <v>620</v>
      </c>
      <c r="R11640" t="s">
        <v>920</v>
      </c>
      <c r="S11640">
        <v>37</v>
      </c>
      <c r="T11640" s="29" t="str">
        <f t="shared" si="486"/>
        <v>2021.036M.R.Rhabdoviridae_sprename.zip</v>
      </c>
      <c r="U11640" s="29" t="str">
        <f>HYPERLINK("https://ictv.global/taxonomy/taxondetails?taxnode_id=202301667","ictv.global=202301667")</f>
        <v>ictv.global=202301667</v>
      </c>
    </row>
    <row r="11641" spans="1:21">
      <c r="A11641">
        <v>11640</v>
      </c>
      <c r="B11641" s="30" t="s">
        <v>1226</v>
      </c>
      <c r="D11641" s="30" t="s">
        <v>2024</v>
      </c>
      <c r="F11641" s="30" t="s">
        <v>1040</v>
      </c>
      <c r="G11641" s="30" t="s">
        <v>1041</v>
      </c>
      <c r="H11641" s="30" t="s">
        <v>1047</v>
      </c>
      <c r="J11641" s="30" t="s">
        <v>255</v>
      </c>
      <c r="L11641" s="30" t="s">
        <v>374</v>
      </c>
      <c r="M11641" s="30" t="s">
        <v>3778</v>
      </c>
      <c r="N11641" s="30" t="s">
        <v>375</v>
      </c>
      <c r="P11641" s="30" t="s">
        <v>10191</v>
      </c>
      <c r="Q11641" t="s">
        <v>620</v>
      </c>
      <c r="R11641" t="s">
        <v>917</v>
      </c>
      <c r="S11641">
        <v>38</v>
      </c>
      <c r="T11641" s="29" t="str">
        <f>HYPERLINK("https://ictv.global/ictv/proposals/2022.007M.Cytorhabdovirus_10nsp.zip","2022.007M.Cytorhabdovirus_10nsp.zip")</f>
        <v>2022.007M.Cytorhabdovirus_10nsp.zip</v>
      </c>
      <c r="U11641" s="29" t="str">
        <f>HYPERLINK("https://ictv.global/taxonomy/taxondetails?taxnode_id=202314173","ictv.global=202314173")</f>
        <v>ictv.global=202314173</v>
      </c>
    </row>
    <row r="11642" spans="1:21">
      <c r="A11642">
        <v>11641</v>
      </c>
      <c r="B11642" s="30" t="s">
        <v>1226</v>
      </c>
      <c r="D11642" s="30" t="s">
        <v>2024</v>
      </c>
      <c r="F11642" s="30" t="s">
        <v>1040</v>
      </c>
      <c r="G11642" s="30" t="s">
        <v>1041</v>
      </c>
      <c r="H11642" s="30" t="s">
        <v>1047</v>
      </c>
      <c r="J11642" s="30" t="s">
        <v>255</v>
      </c>
      <c r="L11642" s="30" t="s">
        <v>374</v>
      </c>
      <c r="M11642" s="30" t="s">
        <v>3778</v>
      </c>
      <c r="N11642" s="30" t="s">
        <v>375</v>
      </c>
      <c r="P11642" s="30" t="s">
        <v>10192</v>
      </c>
      <c r="Q11642" t="s">
        <v>620</v>
      </c>
      <c r="R11642" t="s">
        <v>917</v>
      </c>
      <c r="S11642">
        <v>38</v>
      </c>
      <c r="T11642" s="29" t="str">
        <f>HYPERLINK("https://ictv.global/ictv/proposals/2022.007M.Cytorhabdovirus_10nsp.zip","2022.007M.Cytorhabdovirus_10nsp.zip")</f>
        <v>2022.007M.Cytorhabdovirus_10nsp.zip</v>
      </c>
      <c r="U11642" s="29" t="str">
        <f>HYPERLINK("https://ictv.global/taxonomy/taxondetails?taxnode_id=202314171","ictv.global=202314171")</f>
        <v>ictv.global=202314171</v>
      </c>
    </row>
    <row r="11643" spans="1:21">
      <c r="A11643">
        <v>11642</v>
      </c>
      <c r="B11643" s="30" t="s">
        <v>1226</v>
      </c>
      <c r="D11643" s="30" t="s">
        <v>2024</v>
      </c>
      <c r="F11643" s="30" t="s">
        <v>1040</v>
      </c>
      <c r="G11643" s="30" t="s">
        <v>1041</v>
      </c>
      <c r="H11643" s="30" t="s">
        <v>1047</v>
      </c>
      <c r="J11643" s="30" t="s">
        <v>255</v>
      </c>
      <c r="L11643" s="30" t="s">
        <v>374</v>
      </c>
      <c r="M11643" s="30" t="s">
        <v>3778</v>
      </c>
      <c r="N11643" s="30" t="s">
        <v>375</v>
      </c>
      <c r="P11643" s="30" t="s">
        <v>10193</v>
      </c>
      <c r="Q11643" t="s">
        <v>620</v>
      </c>
      <c r="R11643" t="s">
        <v>920</v>
      </c>
      <c r="S11643">
        <v>37</v>
      </c>
      <c r="T11643" s="29" t="str">
        <f>HYPERLINK("https://ictv.global/ictv/proposals/2021.036M.R.Rhabdoviridae_sprename.zip","2021.036M.R.Rhabdoviridae_sprename.zip")</f>
        <v>2021.036M.R.Rhabdoviridae_sprename.zip</v>
      </c>
      <c r="U11643" s="29" t="str">
        <f>HYPERLINK("https://ictv.global/taxonomy/taxondetails?taxnode_id=202307672","ictv.global=202307672")</f>
        <v>ictv.global=202307672</v>
      </c>
    </row>
    <row r="11644" spans="1:21">
      <c r="A11644">
        <v>11643</v>
      </c>
      <c r="B11644" s="30" t="s">
        <v>1226</v>
      </c>
      <c r="D11644" s="30" t="s">
        <v>2024</v>
      </c>
      <c r="F11644" s="30" t="s">
        <v>1040</v>
      </c>
      <c r="G11644" s="30" t="s">
        <v>1041</v>
      </c>
      <c r="H11644" s="30" t="s">
        <v>1047</v>
      </c>
      <c r="J11644" s="30" t="s">
        <v>255</v>
      </c>
      <c r="L11644" s="30" t="s">
        <v>374</v>
      </c>
      <c r="M11644" s="30" t="s">
        <v>3778</v>
      </c>
      <c r="N11644" s="30" t="s">
        <v>375</v>
      </c>
      <c r="P11644" s="30" t="s">
        <v>17437</v>
      </c>
      <c r="Q11644" t="s">
        <v>620</v>
      </c>
      <c r="R11644" t="s">
        <v>917</v>
      </c>
      <c r="S11644">
        <v>39</v>
      </c>
      <c r="T11644" s="29" t="str">
        <f>HYPERLINK("https://ictv.global/ictv/proposals/2023.008M.Cytorhabdovirus_12nsp.zip","2023.008M.Cytorhabdovirus_12nsp.zip")</f>
        <v>2023.008M.Cytorhabdovirus_12nsp.zip</v>
      </c>
      <c r="U11644" s="29" t="str">
        <f>HYPERLINK("https://ictv.global/taxonomy/taxondetails?taxnode_id=202317917","ictv.global=202317917")</f>
        <v>ictv.global=202317917</v>
      </c>
    </row>
    <row r="11645" spans="1:21">
      <c r="A11645">
        <v>11644</v>
      </c>
      <c r="B11645" s="30" t="s">
        <v>1226</v>
      </c>
      <c r="D11645" s="30" t="s">
        <v>2024</v>
      </c>
      <c r="F11645" s="30" t="s">
        <v>1040</v>
      </c>
      <c r="G11645" s="30" t="s">
        <v>1041</v>
      </c>
      <c r="H11645" s="30" t="s">
        <v>1047</v>
      </c>
      <c r="J11645" s="30" t="s">
        <v>255</v>
      </c>
      <c r="L11645" s="30" t="s">
        <v>374</v>
      </c>
      <c r="M11645" s="30" t="s">
        <v>3778</v>
      </c>
      <c r="N11645" s="30" t="s">
        <v>375</v>
      </c>
      <c r="P11645" s="30" t="s">
        <v>10194</v>
      </c>
      <c r="Q11645" t="s">
        <v>620</v>
      </c>
      <c r="R11645" t="s">
        <v>920</v>
      </c>
      <c r="S11645">
        <v>37</v>
      </c>
      <c r="T11645" s="29" t="str">
        <f>HYPERLINK("https://ictv.global/ictv/proposals/2021.036M.R.Rhabdoviridae_sprename.zip","2021.036M.R.Rhabdoviridae_sprename.zip")</f>
        <v>2021.036M.R.Rhabdoviridae_sprename.zip</v>
      </c>
      <c r="U11645" s="29" t="str">
        <f>HYPERLINK("https://ictv.global/taxonomy/taxondetails?taxnode_id=202307670","ictv.global=202307670")</f>
        <v>ictv.global=202307670</v>
      </c>
    </row>
    <row r="11646" spans="1:21">
      <c r="A11646">
        <v>11645</v>
      </c>
      <c r="B11646" s="30" t="s">
        <v>1226</v>
      </c>
      <c r="D11646" s="30" t="s">
        <v>2024</v>
      </c>
      <c r="F11646" s="30" t="s">
        <v>1040</v>
      </c>
      <c r="G11646" s="30" t="s">
        <v>1041</v>
      </c>
      <c r="H11646" s="30" t="s">
        <v>1047</v>
      </c>
      <c r="J11646" s="30" t="s">
        <v>255</v>
      </c>
      <c r="L11646" s="30" t="s">
        <v>374</v>
      </c>
      <c r="M11646" s="30" t="s">
        <v>3778</v>
      </c>
      <c r="N11646" s="30" t="s">
        <v>375</v>
      </c>
      <c r="P11646" s="30" t="s">
        <v>17438</v>
      </c>
      <c r="Q11646" t="s">
        <v>620</v>
      </c>
      <c r="R11646" t="s">
        <v>917</v>
      </c>
      <c r="S11646">
        <v>39</v>
      </c>
      <c r="T11646" s="29" t="str">
        <f>HYPERLINK("https://ictv.global/ictv/proposals/2023.008M.Cytorhabdovirus_12nsp.zip","2023.008M.Cytorhabdovirus_12nsp.zip")</f>
        <v>2023.008M.Cytorhabdovirus_12nsp.zip</v>
      </c>
      <c r="U11646" s="29" t="str">
        <f>HYPERLINK("https://ictv.global/taxonomy/taxondetails?taxnode_id=202317918","ictv.global=202317918")</f>
        <v>ictv.global=202317918</v>
      </c>
    </row>
    <row r="11647" spans="1:21">
      <c r="A11647">
        <v>11646</v>
      </c>
      <c r="B11647" s="30" t="s">
        <v>1226</v>
      </c>
      <c r="D11647" s="30" t="s">
        <v>2024</v>
      </c>
      <c r="F11647" s="30" t="s">
        <v>1040</v>
      </c>
      <c r="G11647" s="30" t="s">
        <v>1041</v>
      </c>
      <c r="H11647" s="30" t="s">
        <v>1047</v>
      </c>
      <c r="J11647" s="30" t="s">
        <v>255</v>
      </c>
      <c r="L11647" s="30" t="s">
        <v>374</v>
      </c>
      <c r="M11647" s="30" t="s">
        <v>3778</v>
      </c>
      <c r="N11647" s="30" t="s">
        <v>375</v>
      </c>
      <c r="P11647" s="30" t="s">
        <v>17439</v>
      </c>
      <c r="Q11647" t="s">
        <v>620</v>
      </c>
      <c r="R11647" t="s">
        <v>917</v>
      </c>
      <c r="S11647">
        <v>39</v>
      </c>
      <c r="T11647" s="29" t="str">
        <f>HYPERLINK("https://ictv.global/ictv/proposals/2023.008M.Cytorhabdovirus_12nsp.zip","2023.008M.Cytorhabdovirus_12nsp.zip")</f>
        <v>2023.008M.Cytorhabdovirus_12nsp.zip</v>
      </c>
      <c r="U11647" s="29" t="str">
        <f>HYPERLINK("https://ictv.global/taxonomy/taxondetails?taxnode_id=202317914","ictv.global=202317914")</f>
        <v>ictv.global=202317914</v>
      </c>
    </row>
    <row r="11648" spans="1:21">
      <c r="A11648">
        <v>11647</v>
      </c>
      <c r="B11648" s="30" t="s">
        <v>1226</v>
      </c>
      <c r="D11648" s="30" t="s">
        <v>2024</v>
      </c>
      <c r="F11648" s="30" t="s">
        <v>1040</v>
      </c>
      <c r="G11648" s="30" t="s">
        <v>1041</v>
      </c>
      <c r="H11648" s="30" t="s">
        <v>1047</v>
      </c>
      <c r="J11648" s="30" t="s">
        <v>255</v>
      </c>
      <c r="L11648" s="30" t="s">
        <v>374</v>
      </c>
      <c r="M11648" s="30" t="s">
        <v>3778</v>
      </c>
      <c r="N11648" s="30" t="s">
        <v>375</v>
      </c>
      <c r="P11648" s="30" t="s">
        <v>10195</v>
      </c>
      <c r="Q11648" t="s">
        <v>620</v>
      </c>
      <c r="R11648" t="s">
        <v>917</v>
      </c>
      <c r="S11648">
        <v>37</v>
      </c>
      <c r="T11648" s="29" t="str">
        <f>HYPERLINK("https://ictv.global/ictv/proposals/2021.001M.R.Betarhabdovirinae_7nsp.zip","2021.001M.R.Betarhabdovirinae_7nsp.zip")</f>
        <v>2021.001M.R.Betarhabdovirinae_7nsp.zip</v>
      </c>
      <c r="U11648" s="29" t="str">
        <f>HYPERLINK("https://ictv.global/taxonomy/taxondetails?taxnode_id=202313312","ictv.global=202313312")</f>
        <v>ictv.global=202313312</v>
      </c>
    </row>
    <row r="11649" spans="1:21">
      <c r="A11649">
        <v>11648</v>
      </c>
      <c r="B11649" s="30" t="s">
        <v>1226</v>
      </c>
      <c r="D11649" s="30" t="s">
        <v>2024</v>
      </c>
      <c r="F11649" s="30" t="s">
        <v>1040</v>
      </c>
      <c r="G11649" s="30" t="s">
        <v>1041</v>
      </c>
      <c r="H11649" s="30" t="s">
        <v>1047</v>
      </c>
      <c r="J11649" s="30" t="s">
        <v>255</v>
      </c>
      <c r="L11649" s="30" t="s">
        <v>374</v>
      </c>
      <c r="M11649" s="30" t="s">
        <v>3778</v>
      </c>
      <c r="N11649" s="30" t="s">
        <v>375</v>
      </c>
      <c r="P11649" s="30" t="s">
        <v>10196</v>
      </c>
      <c r="Q11649" t="s">
        <v>620</v>
      </c>
      <c r="R11649" t="s">
        <v>920</v>
      </c>
      <c r="S11649">
        <v>37</v>
      </c>
      <c r="T11649" s="29" t="str">
        <f>HYPERLINK("https://ictv.global/ictv/proposals/2021.036M.R.Rhabdoviridae_sprename.zip","2021.036M.R.Rhabdoviridae_sprename.zip")</f>
        <v>2021.036M.R.Rhabdoviridae_sprename.zip</v>
      </c>
      <c r="U11649" s="29" t="str">
        <f>HYPERLINK("https://ictv.global/taxonomy/taxondetails?taxnode_id=202307671","ictv.global=202307671")</f>
        <v>ictv.global=202307671</v>
      </c>
    </row>
    <row r="11650" spans="1:21">
      <c r="A11650">
        <v>11649</v>
      </c>
      <c r="B11650" s="30" t="s">
        <v>1226</v>
      </c>
      <c r="D11650" s="30" t="s">
        <v>2024</v>
      </c>
      <c r="F11650" s="30" t="s">
        <v>1040</v>
      </c>
      <c r="G11650" s="30" t="s">
        <v>1041</v>
      </c>
      <c r="H11650" s="30" t="s">
        <v>1047</v>
      </c>
      <c r="J11650" s="30" t="s">
        <v>255</v>
      </c>
      <c r="L11650" s="30" t="s">
        <v>374</v>
      </c>
      <c r="M11650" s="30" t="s">
        <v>3778</v>
      </c>
      <c r="N11650" s="30" t="s">
        <v>375</v>
      </c>
      <c r="P11650" s="30" t="s">
        <v>17440</v>
      </c>
      <c r="Q11650" t="s">
        <v>620</v>
      </c>
      <c r="R11650" t="s">
        <v>917</v>
      </c>
      <c r="S11650">
        <v>39</v>
      </c>
      <c r="T11650" s="29" t="str">
        <f>HYPERLINK("https://ictv.global/ictv/proposals/2023.008M.Cytorhabdovirus_12nsp.zip","2023.008M.Cytorhabdovirus_12nsp.zip")</f>
        <v>2023.008M.Cytorhabdovirus_12nsp.zip</v>
      </c>
      <c r="U11650" s="29" t="str">
        <f>HYPERLINK("https://ictv.global/taxonomy/taxondetails?taxnode_id=202317920","ictv.global=202317920")</f>
        <v>ictv.global=202317920</v>
      </c>
    </row>
    <row r="11651" spans="1:21">
      <c r="A11651">
        <v>11650</v>
      </c>
      <c r="B11651" s="30" t="s">
        <v>1226</v>
      </c>
      <c r="D11651" s="30" t="s">
        <v>2024</v>
      </c>
      <c r="F11651" s="30" t="s">
        <v>1040</v>
      </c>
      <c r="G11651" s="30" t="s">
        <v>1041</v>
      </c>
      <c r="H11651" s="30" t="s">
        <v>1047</v>
      </c>
      <c r="J11651" s="30" t="s">
        <v>255</v>
      </c>
      <c r="L11651" s="30" t="s">
        <v>374</v>
      </c>
      <c r="M11651" s="30" t="s">
        <v>3778</v>
      </c>
      <c r="N11651" s="30" t="s">
        <v>375</v>
      </c>
      <c r="P11651" s="30" t="s">
        <v>17441</v>
      </c>
      <c r="Q11651" t="s">
        <v>620</v>
      </c>
      <c r="R11651" t="s">
        <v>917</v>
      </c>
      <c r="S11651">
        <v>39</v>
      </c>
      <c r="T11651" s="29" t="str">
        <f>HYPERLINK("https://ictv.global/ictv/proposals/2023.008M.Cytorhabdovirus_12nsp.zip","2023.008M.Cytorhabdovirus_12nsp.zip")</f>
        <v>2023.008M.Cytorhabdovirus_12nsp.zip</v>
      </c>
      <c r="U11651" s="29" t="str">
        <f>HYPERLINK("https://ictv.global/taxonomy/taxondetails?taxnode_id=202317921","ictv.global=202317921")</f>
        <v>ictv.global=202317921</v>
      </c>
    </row>
    <row r="11652" spans="1:21">
      <c r="A11652">
        <v>11651</v>
      </c>
      <c r="B11652" s="30" t="s">
        <v>1226</v>
      </c>
      <c r="D11652" s="30" t="s">
        <v>2024</v>
      </c>
      <c r="F11652" s="30" t="s">
        <v>1040</v>
      </c>
      <c r="G11652" s="30" t="s">
        <v>1041</v>
      </c>
      <c r="H11652" s="30" t="s">
        <v>1047</v>
      </c>
      <c r="J11652" s="30" t="s">
        <v>255</v>
      </c>
      <c r="L11652" s="30" t="s">
        <v>374</v>
      </c>
      <c r="M11652" s="30" t="s">
        <v>3778</v>
      </c>
      <c r="N11652" s="30" t="s">
        <v>375</v>
      </c>
      <c r="P11652" s="30" t="s">
        <v>10197</v>
      </c>
      <c r="Q11652" t="s">
        <v>620</v>
      </c>
      <c r="R11652" t="s">
        <v>920</v>
      </c>
      <c r="S11652">
        <v>37</v>
      </c>
      <c r="T11652" s="29" t="str">
        <f>HYPERLINK("https://ictv.global/ictv/proposals/2021.036M.R.Rhabdoviridae_sprename.zip","2021.036M.R.Rhabdoviridae_sprename.zip")</f>
        <v>2021.036M.R.Rhabdoviridae_sprename.zip</v>
      </c>
      <c r="U11652" s="29" t="str">
        <f>HYPERLINK("https://ictv.global/taxonomy/taxondetails?taxnode_id=202301675","ictv.global=202301675")</f>
        <v>ictv.global=202301675</v>
      </c>
    </row>
    <row r="11653" spans="1:21">
      <c r="A11653">
        <v>11652</v>
      </c>
      <c r="B11653" s="30" t="s">
        <v>1226</v>
      </c>
      <c r="D11653" s="30" t="s">
        <v>2024</v>
      </c>
      <c r="F11653" s="30" t="s">
        <v>1040</v>
      </c>
      <c r="G11653" s="30" t="s">
        <v>1041</v>
      </c>
      <c r="H11653" s="30" t="s">
        <v>1047</v>
      </c>
      <c r="J11653" s="30" t="s">
        <v>255</v>
      </c>
      <c r="L11653" s="30" t="s">
        <v>374</v>
      </c>
      <c r="M11653" s="30" t="s">
        <v>3778</v>
      </c>
      <c r="N11653" s="30" t="s">
        <v>375</v>
      </c>
      <c r="P11653" s="30" t="s">
        <v>10198</v>
      </c>
      <c r="Q11653" t="s">
        <v>620</v>
      </c>
      <c r="R11653" t="s">
        <v>917</v>
      </c>
      <c r="S11653">
        <v>38</v>
      </c>
      <c r="T11653" s="29" t="str">
        <f>HYPERLINK("https://ictv.global/ictv/proposals/2022.007M.Cytorhabdovirus_10nsp.zip","2022.007M.Cytorhabdovirus_10nsp.zip")</f>
        <v>2022.007M.Cytorhabdovirus_10nsp.zip</v>
      </c>
      <c r="U11653" s="29" t="str">
        <f>HYPERLINK("https://ictv.global/taxonomy/taxondetails?taxnode_id=202314174","ictv.global=202314174")</f>
        <v>ictv.global=202314174</v>
      </c>
    </row>
    <row r="11654" spans="1:21">
      <c r="A11654">
        <v>11653</v>
      </c>
      <c r="B11654" s="30" t="s">
        <v>1226</v>
      </c>
      <c r="D11654" s="30" t="s">
        <v>2024</v>
      </c>
      <c r="F11654" s="30" t="s">
        <v>1040</v>
      </c>
      <c r="G11654" s="30" t="s">
        <v>1041</v>
      </c>
      <c r="H11654" s="30" t="s">
        <v>1047</v>
      </c>
      <c r="J11654" s="30" t="s">
        <v>255</v>
      </c>
      <c r="L11654" s="30" t="s">
        <v>374</v>
      </c>
      <c r="M11654" s="30" t="s">
        <v>3778</v>
      </c>
      <c r="N11654" s="30" t="s">
        <v>375</v>
      </c>
      <c r="P11654" s="30" t="s">
        <v>17442</v>
      </c>
      <c r="Q11654" t="s">
        <v>620</v>
      </c>
      <c r="R11654" t="s">
        <v>917</v>
      </c>
      <c r="S11654">
        <v>39</v>
      </c>
      <c r="T11654" s="29" t="str">
        <f>HYPERLINK("https://ictv.global/ictv/proposals/2023.008M.Cytorhabdovirus_12nsp.zip","2023.008M.Cytorhabdovirus_12nsp.zip")</f>
        <v>2023.008M.Cytorhabdovirus_12nsp.zip</v>
      </c>
      <c r="U11654" s="29" t="str">
        <f>HYPERLINK("https://ictv.global/taxonomy/taxondetails?taxnode_id=202317924","ictv.global=202317924")</f>
        <v>ictv.global=202317924</v>
      </c>
    </row>
    <row r="11655" spans="1:21">
      <c r="A11655">
        <v>11654</v>
      </c>
      <c r="B11655" s="30" t="s">
        <v>1226</v>
      </c>
      <c r="D11655" s="30" t="s">
        <v>2024</v>
      </c>
      <c r="F11655" s="30" t="s">
        <v>1040</v>
      </c>
      <c r="G11655" s="30" t="s">
        <v>1041</v>
      </c>
      <c r="H11655" s="30" t="s">
        <v>1047</v>
      </c>
      <c r="J11655" s="30" t="s">
        <v>255</v>
      </c>
      <c r="L11655" s="30" t="s">
        <v>374</v>
      </c>
      <c r="M11655" s="30" t="s">
        <v>3778</v>
      </c>
      <c r="N11655" s="30" t="s">
        <v>375</v>
      </c>
      <c r="P11655" s="30" t="s">
        <v>17443</v>
      </c>
      <c r="Q11655" t="s">
        <v>620</v>
      </c>
      <c r="R11655" t="s">
        <v>917</v>
      </c>
      <c r="S11655">
        <v>39</v>
      </c>
      <c r="T11655" s="29" t="str">
        <f>HYPERLINK("https://ictv.global/ictv/proposals/2023.008M.Cytorhabdovirus_12nsp.zip","2023.008M.Cytorhabdovirus_12nsp.zip")</f>
        <v>2023.008M.Cytorhabdovirus_12nsp.zip</v>
      </c>
      <c r="U11655" s="29" t="str">
        <f>HYPERLINK("https://ictv.global/taxonomy/taxondetails?taxnode_id=202317925","ictv.global=202317925")</f>
        <v>ictv.global=202317925</v>
      </c>
    </row>
    <row r="11656" spans="1:21">
      <c r="A11656">
        <v>11655</v>
      </c>
      <c r="B11656" s="30" t="s">
        <v>1226</v>
      </c>
      <c r="D11656" s="30" t="s">
        <v>2024</v>
      </c>
      <c r="F11656" s="30" t="s">
        <v>1040</v>
      </c>
      <c r="G11656" s="30" t="s">
        <v>1041</v>
      </c>
      <c r="H11656" s="30" t="s">
        <v>1047</v>
      </c>
      <c r="J11656" s="30" t="s">
        <v>255</v>
      </c>
      <c r="L11656" s="30" t="s">
        <v>374</v>
      </c>
      <c r="M11656" s="30" t="s">
        <v>3778</v>
      </c>
      <c r="N11656" s="30" t="s">
        <v>375</v>
      </c>
      <c r="P11656" s="30" t="s">
        <v>10199</v>
      </c>
      <c r="Q11656" t="s">
        <v>620</v>
      </c>
      <c r="R11656" t="s">
        <v>917</v>
      </c>
      <c r="S11656">
        <v>38</v>
      </c>
      <c r="T11656" s="29" t="str">
        <f>HYPERLINK("https://ictv.global/ictv/proposals/2022.007M.Cytorhabdovirus_10nsp.zip","2022.007M.Cytorhabdovirus_10nsp.zip")</f>
        <v>2022.007M.Cytorhabdovirus_10nsp.zip</v>
      </c>
      <c r="U11656" s="29" t="str">
        <f>HYPERLINK("https://ictv.global/taxonomy/taxondetails?taxnode_id=202314175","ictv.global=202314175")</f>
        <v>ictv.global=202314175</v>
      </c>
    </row>
    <row r="11657" spans="1:21">
      <c r="A11657">
        <v>11656</v>
      </c>
      <c r="B11657" s="30" t="s">
        <v>1226</v>
      </c>
      <c r="D11657" s="30" t="s">
        <v>2024</v>
      </c>
      <c r="F11657" s="30" t="s">
        <v>1040</v>
      </c>
      <c r="G11657" s="30" t="s">
        <v>1041</v>
      </c>
      <c r="H11657" s="30" t="s">
        <v>1047</v>
      </c>
      <c r="J11657" s="30" t="s">
        <v>255</v>
      </c>
      <c r="L11657" s="30" t="s">
        <v>374</v>
      </c>
      <c r="M11657" s="30" t="s">
        <v>3778</v>
      </c>
      <c r="N11657" s="30" t="s">
        <v>375</v>
      </c>
      <c r="P11657" s="30" t="s">
        <v>10200</v>
      </c>
      <c r="Q11657" t="s">
        <v>620</v>
      </c>
      <c r="R11657" t="s">
        <v>920</v>
      </c>
      <c r="S11657">
        <v>37</v>
      </c>
      <c r="T11657" s="29" t="str">
        <f>HYPERLINK("https://ictv.global/ictv/proposals/2021.036M.R.Rhabdoviridae_sprename.zip","2021.036M.R.Rhabdoviridae_sprename.zip")</f>
        <v>2021.036M.R.Rhabdoviridae_sprename.zip</v>
      </c>
      <c r="U11657" s="29" t="str">
        <f>HYPERLINK("https://ictv.global/taxonomy/taxondetails?taxnode_id=202309363","ictv.global=202309363")</f>
        <v>ictv.global=202309363</v>
      </c>
    </row>
    <row r="11658" spans="1:21">
      <c r="A11658">
        <v>11657</v>
      </c>
      <c r="B11658" s="30" t="s">
        <v>1226</v>
      </c>
      <c r="D11658" s="30" t="s">
        <v>2024</v>
      </c>
      <c r="F11658" s="30" t="s">
        <v>1040</v>
      </c>
      <c r="G11658" s="30" t="s">
        <v>1041</v>
      </c>
      <c r="H11658" s="30" t="s">
        <v>1047</v>
      </c>
      <c r="J11658" s="30" t="s">
        <v>255</v>
      </c>
      <c r="L11658" s="30" t="s">
        <v>374</v>
      </c>
      <c r="M11658" s="30" t="s">
        <v>3778</v>
      </c>
      <c r="N11658" s="30" t="s">
        <v>375</v>
      </c>
      <c r="P11658" s="30" t="s">
        <v>10201</v>
      </c>
      <c r="Q11658" t="s">
        <v>620</v>
      </c>
      <c r="R11658" t="s">
        <v>920</v>
      </c>
      <c r="S11658">
        <v>37</v>
      </c>
      <c r="T11658" s="29" t="str">
        <f>HYPERLINK("https://ictv.global/ictv/proposals/2021.036M.R.Rhabdoviridae_sprename.zip","2021.036M.R.Rhabdoviridae_sprename.zip")</f>
        <v>2021.036M.R.Rhabdoviridae_sprename.zip</v>
      </c>
      <c r="U11658" s="29" t="str">
        <f>HYPERLINK("https://ictv.global/taxonomy/taxondetails?taxnode_id=202301677","ictv.global=202301677")</f>
        <v>ictv.global=202301677</v>
      </c>
    </row>
    <row r="11659" spans="1:21">
      <c r="A11659">
        <v>11658</v>
      </c>
      <c r="B11659" s="30" t="s">
        <v>1226</v>
      </c>
      <c r="D11659" s="30" t="s">
        <v>2024</v>
      </c>
      <c r="F11659" s="30" t="s">
        <v>1040</v>
      </c>
      <c r="G11659" s="30" t="s">
        <v>1041</v>
      </c>
      <c r="H11659" s="30" t="s">
        <v>1047</v>
      </c>
      <c r="J11659" s="30" t="s">
        <v>255</v>
      </c>
      <c r="L11659" s="30" t="s">
        <v>374</v>
      </c>
      <c r="M11659" s="30" t="s">
        <v>3778</v>
      </c>
      <c r="N11659" s="30" t="s">
        <v>375</v>
      </c>
      <c r="P11659" s="30" t="s">
        <v>10202</v>
      </c>
      <c r="Q11659" t="s">
        <v>620</v>
      </c>
      <c r="R11659" t="s">
        <v>920</v>
      </c>
      <c r="S11659">
        <v>37</v>
      </c>
      <c r="T11659" s="29" t="str">
        <f>HYPERLINK("https://ictv.global/ictv/proposals/2021.036M.R.Rhabdoviridae_sprename.zip","2021.036M.R.Rhabdoviridae_sprename.zip")</f>
        <v>2021.036M.R.Rhabdoviridae_sprename.zip</v>
      </c>
      <c r="U11659" s="29" t="str">
        <f>HYPERLINK("https://ictv.global/taxonomy/taxondetails?taxnode_id=202309362","ictv.global=202309362")</f>
        <v>ictv.global=202309362</v>
      </c>
    </row>
    <row r="11660" spans="1:21">
      <c r="A11660">
        <v>11659</v>
      </c>
      <c r="B11660" s="30" t="s">
        <v>1226</v>
      </c>
      <c r="D11660" s="30" t="s">
        <v>2024</v>
      </c>
      <c r="F11660" s="30" t="s">
        <v>1040</v>
      </c>
      <c r="G11660" s="30" t="s">
        <v>1041</v>
      </c>
      <c r="H11660" s="30" t="s">
        <v>1047</v>
      </c>
      <c r="J11660" s="30" t="s">
        <v>255</v>
      </c>
      <c r="L11660" s="30" t="s">
        <v>374</v>
      </c>
      <c r="M11660" s="30" t="s">
        <v>3778</v>
      </c>
      <c r="N11660" s="30" t="s">
        <v>17444</v>
      </c>
      <c r="P11660" s="30" t="s">
        <v>17445</v>
      </c>
      <c r="Q11660" t="s">
        <v>620</v>
      </c>
      <c r="R11660" t="s">
        <v>917</v>
      </c>
      <c r="S11660">
        <v>39</v>
      </c>
      <c r="T11660" s="29" t="str">
        <f>HYPERLINK("https://ictv.global/ictv/proposals/2023.017M.Betarhabdovirinae_1ng_7nsp.zip","2023.017M.Betarhabdovirinae_1ng_7nsp.zip")</f>
        <v>2023.017M.Betarhabdovirinae_1ng_7nsp.zip</v>
      </c>
      <c r="U11660" s="29" t="str">
        <f>HYPERLINK("https://ictv.global/taxonomy/taxondetails?taxnode_id=202318292","ictv.global=202318292")</f>
        <v>ictv.global=202318292</v>
      </c>
    </row>
    <row r="11661" spans="1:21">
      <c r="A11661">
        <v>11660</v>
      </c>
      <c r="B11661" s="30" t="s">
        <v>1226</v>
      </c>
      <c r="D11661" s="30" t="s">
        <v>2024</v>
      </c>
      <c r="F11661" s="30" t="s">
        <v>1040</v>
      </c>
      <c r="G11661" s="30" t="s">
        <v>1041</v>
      </c>
      <c r="H11661" s="30" t="s">
        <v>1047</v>
      </c>
      <c r="J11661" s="30" t="s">
        <v>255</v>
      </c>
      <c r="L11661" s="30" t="s">
        <v>374</v>
      </c>
      <c r="M11661" s="30" t="s">
        <v>3778</v>
      </c>
      <c r="N11661" s="30" t="s">
        <v>17444</v>
      </c>
      <c r="P11661" s="30" t="s">
        <v>17446</v>
      </c>
      <c r="Q11661" t="s">
        <v>620</v>
      </c>
      <c r="R11661" t="s">
        <v>917</v>
      </c>
      <c r="S11661">
        <v>39</v>
      </c>
      <c r="T11661" s="29" t="str">
        <f>HYPERLINK("https://ictv.global/ictv/proposals/2023.017M.Betarhabdovirinae_1ng_7nsp.zip","2023.017M.Betarhabdovirinae_1ng_7nsp.zip")</f>
        <v>2023.017M.Betarhabdovirinae_1ng_7nsp.zip</v>
      </c>
      <c r="U11661" s="29" t="str">
        <f>HYPERLINK("https://ictv.global/taxonomy/taxondetails?taxnode_id=202318291","ictv.global=202318291")</f>
        <v>ictv.global=202318291</v>
      </c>
    </row>
    <row r="11662" spans="1:21">
      <c r="A11662">
        <v>11661</v>
      </c>
      <c r="B11662" s="30" t="s">
        <v>1226</v>
      </c>
      <c r="D11662" s="30" t="s">
        <v>2024</v>
      </c>
      <c r="F11662" s="30" t="s">
        <v>1040</v>
      </c>
      <c r="G11662" s="30" t="s">
        <v>1041</v>
      </c>
      <c r="H11662" s="30" t="s">
        <v>1047</v>
      </c>
      <c r="J11662" s="30" t="s">
        <v>255</v>
      </c>
      <c r="L11662" s="30" t="s">
        <v>374</v>
      </c>
      <c r="M11662" s="30" t="s">
        <v>3778</v>
      </c>
      <c r="N11662" s="30" t="s">
        <v>715</v>
      </c>
      <c r="P11662" s="30" t="s">
        <v>17447</v>
      </c>
      <c r="Q11662" t="s">
        <v>620</v>
      </c>
      <c r="R11662" t="s">
        <v>917</v>
      </c>
      <c r="S11662">
        <v>39</v>
      </c>
      <c r="T11662" s="29" t="str">
        <f>HYPERLINK("https://ictv.global/ictv/proposals/2023.009M.Dichorhavirus_1nsp.zip","2023.009M.Dichorhavirus_1nsp.zip")</f>
        <v>2023.009M.Dichorhavirus_1nsp.zip</v>
      </c>
      <c r="U11662" s="29" t="str">
        <f>HYPERLINK("https://ictv.global/taxonomy/taxondetails?taxnode_id=202317933","ictv.global=202317933")</f>
        <v>ictv.global=202317933</v>
      </c>
    </row>
    <row r="11663" spans="1:21">
      <c r="A11663">
        <v>11662</v>
      </c>
      <c r="B11663" s="30" t="s">
        <v>1226</v>
      </c>
      <c r="D11663" s="30" t="s">
        <v>2024</v>
      </c>
      <c r="F11663" s="30" t="s">
        <v>1040</v>
      </c>
      <c r="G11663" s="30" t="s">
        <v>1041</v>
      </c>
      <c r="H11663" s="30" t="s">
        <v>1047</v>
      </c>
      <c r="J11663" s="30" t="s">
        <v>255</v>
      </c>
      <c r="L11663" s="30" t="s">
        <v>374</v>
      </c>
      <c r="M11663" s="30" t="s">
        <v>3778</v>
      </c>
      <c r="N11663" s="30" t="s">
        <v>715</v>
      </c>
      <c r="P11663" s="30" t="s">
        <v>10203</v>
      </c>
      <c r="Q11663" t="s">
        <v>620</v>
      </c>
      <c r="R11663" t="s">
        <v>920</v>
      </c>
      <c r="S11663">
        <v>37</v>
      </c>
      <c r="T11663" s="29" t="str">
        <f>HYPERLINK("https://ictv.global/ictv/proposals/2021.036M.R.Rhabdoviridae_sprename.zip","2021.036M.R.Rhabdoviridae_sprename.zip")</f>
        <v>2021.036M.R.Rhabdoviridae_sprename.zip</v>
      </c>
      <c r="U11663" s="29" t="str">
        <f>HYPERLINK("https://ictv.global/taxonomy/taxondetails?taxnode_id=202306289","ictv.global=202306289")</f>
        <v>ictv.global=202306289</v>
      </c>
    </row>
    <row r="11664" spans="1:21">
      <c r="A11664">
        <v>11663</v>
      </c>
      <c r="B11664" s="30" t="s">
        <v>1226</v>
      </c>
      <c r="D11664" s="30" t="s">
        <v>2024</v>
      </c>
      <c r="F11664" s="30" t="s">
        <v>1040</v>
      </c>
      <c r="G11664" s="30" t="s">
        <v>1041</v>
      </c>
      <c r="H11664" s="30" t="s">
        <v>1047</v>
      </c>
      <c r="J11664" s="30" t="s">
        <v>255</v>
      </c>
      <c r="L11664" s="30" t="s">
        <v>374</v>
      </c>
      <c r="M11664" s="30" t="s">
        <v>3778</v>
      </c>
      <c r="N11664" s="30" t="s">
        <v>715</v>
      </c>
      <c r="P11664" s="30" t="s">
        <v>10204</v>
      </c>
      <c r="Q11664" t="s">
        <v>620</v>
      </c>
      <c r="R11664" t="s">
        <v>920</v>
      </c>
      <c r="S11664">
        <v>37</v>
      </c>
      <c r="T11664" s="29" t="str">
        <f>HYPERLINK("https://ictv.global/ictv/proposals/2021.036M.R.Rhabdoviridae_sprename.zip","2021.036M.R.Rhabdoviridae_sprename.zip")</f>
        <v>2021.036M.R.Rhabdoviridae_sprename.zip</v>
      </c>
      <c r="U11664" s="29" t="str">
        <f>HYPERLINK("https://ictv.global/taxonomy/taxondetails?taxnode_id=202306288","ictv.global=202306288")</f>
        <v>ictv.global=202306288</v>
      </c>
    </row>
    <row r="11665" spans="1:21">
      <c r="A11665">
        <v>11664</v>
      </c>
      <c r="B11665" s="30" t="s">
        <v>1226</v>
      </c>
      <c r="D11665" s="30" t="s">
        <v>2024</v>
      </c>
      <c r="F11665" s="30" t="s">
        <v>1040</v>
      </c>
      <c r="G11665" s="30" t="s">
        <v>1041</v>
      </c>
      <c r="H11665" s="30" t="s">
        <v>1047</v>
      </c>
      <c r="J11665" s="30" t="s">
        <v>255</v>
      </c>
      <c r="L11665" s="30" t="s">
        <v>374</v>
      </c>
      <c r="M11665" s="30" t="s">
        <v>3778</v>
      </c>
      <c r="N11665" s="30" t="s">
        <v>715</v>
      </c>
      <c r="P11665" s="30" t="s">
        <v>10205</v>
      </c>
      <c r="Q11665" t="s">
        <v>620</v>
      </c>
      <c r="R11665" t="s">
        <v>920</v>
      </c>
      <c r="S11665">
        <v>37</v>
      </c>
      <c r="T11665" s="29" t="str">
        <f>HYPERLINK("https://ictv.global/ictv/proposals/2021.036M.R.Rhabdoviridae_sprename.zip","2021.036M.R.Rhabdoviridae_sprename.zip")</f>
        <v>2021.036M.R.Rhabdoviridae_sprename.zip</v>
      </c>
      <c r="U11665" s="29" t="str">
        <f>HYPERLINK("https://ictv.global/taxonomy/taxondetails?taxnode_id=202301679","ictv.global=202301679")</f>
        <v>ictv.global=202301679</v>
      </c>
    </row>
    <row r="11666" spans="1:21">
      <c r="A11666">
        <v>11665</v>
      </c>
      <c r="B11666" s="30" t="s">
        <v>1226</v>
      </c>
      <c r="D11666" s="30" t="s">
        <v>2024</v>
      </c>
      <c r="F11666" s="30" t="s">
        <v>1040</v>
      </c>
      <c r="G11666" s="30" t="s">
        <v>1041</v>
      </c>
      <c r="H11666" s="30" t="s">
        <v>1047</v>
      </c>
      <c r="J11666" s="30" t="s">
        <v>255</v>
      </c>
      <c r="L11666" s="30" t="s">
        <v>374</v>
      </c>
      <c r="M11666" s="30" t="s">
        <v>3778</v>
      </c>
      <c r="N11666" s="30" t="s">
        <v>715</v>
      </c>
      <c r="P11666" s="30" t="s">
        <v>10206</v>
      </c>
      <c r="Q11666" t="s">
        <v>620</v>
      </c>
      <c r="R11666" t="s">
        <v>920</v>
      </c>
      <c r="S11666">
        <v>37</v>
      </c>
      <c r="T11666" s="29" t="str">
        <f>HYPERLINK("https://ictv.global/ictv/proposals/2021.036M.R.Rhabdoviridae_sprename.zip","2021.036M.R.Rhabdoviridae_sprename.zip")</f>
        <v>2021.036M.R.Rhabdoviridae_sprename.zip</v>
      </c>
      <c r="U11666" s="29" t="str">
        <f>HYPERLINK("https://ictv.global/taxonomy/taxondetails?taxnode_id=202306287","ictv.global=202306287")</f>
        <v>ictv.global=202306287</v>
      </c>
    </row>
    <row r="11667" spans="1:21">
      <c r="A11667">
        <v>11666</v>
      </c>
      <c r="B11667" s="30" t="s">
        <v>1226</v>
      </c>
      <c r="D11667" s="30" t="s">
        <v>2024</v>
      </c>
      <c r="F11667" s="30" t="s">
        <v>1040</v>
      </c>
      <c r="G11667" s="30" t="s">
        <v>1041</v>
      </c>
      <c r="H11667" s="30" t="s">
        <v>1047</v>
      </c>
      <c r="J11667" s="30" t="s">
        <v>255</v>
      </c>
      <c r="L11667" s="30" t="s">
        <v>374</v>
      </c>
      <c r="M11667" s="30" t="s">
        <v>3778</v>
      </c>
      <c r="N11667" s="30" t="s">
        <v>715</v>
      </c>
      <c r="P11667" s="30" t="s">
        <v>10207</v>
      </c>
      <c r="Q11667" t="s">
        <v>620</v>
      </c>
      <c r="R11667" t="s">
        <v>920</v>
      </c>
      <c r="S11667">
        <v>37</v>
      </c>
      <c r="T11667" s="29" t="str">
        <f>HYPERLINK("https://ictv.global/ictv/proposals/2021.036M.R.Rhabdoviridae_sprename.zip","2021.036M.R.Rhabdoviridae_sprename.zip")</f>
        <v>2021.036M.R.Rhabdoviridae_sprename.zip</v>
      </c>
      <c r="U11667" s="29" t="str">
        <f>HYPERLINK("https://ictv.global/taxonomy/taxondetails?taxnode_id=202301680","ictv.global=202301680")</f>
        <v>ictv.global=202301680</v>
      </c>
    </row>
    <row r="11668" spans="1:21">
      <c r="A11668">
        <v>11667</v>
      </c>
      <c r="B11668" s="30" t="s">
        <v>1226</v>
      </c>
      <c r="D11668" s="30" t="s">
        <v>2024</v>
      </c>
      <c r="F11668" s="30" t="s">
        <v>1040</v>
      </c>
      <c r="G11668" s="30" t="s">
        <v>1041</v>
      </c>
      <c r="H11668" s="30" t="s">
        <v>1047</v>
      </c>
      <c r="J11668" s="30" t="s">
        <v>255</v>
      </c>
      <c r="L11668" s="30" t="s">
        <v>374</v>
      </c>
      <c r="M11668" s="30" t="s">
        <v>3778</v>
      </c>
      <c r="N11668" s="30" t="s">
        <v>2063</v>
      </c>
      <c r="P11668" s="30" t="s">
        <v>17448</v>
      </c>
      <c r="Q11668" t="s">
        <v>620</v>
      </c>
      <c r="R11668" t="s">
        <v>917</v>
      </c>
      <c r="S11668">
        <v>39</v>
      </c>
      <c r="T11668" s="29" t="str">
        <f>HYPERLINK("https://ictv.global/ictv/proposals/2023.017M.Betarhabdovirinae_1ng_7nsp.zip","2023.017M.Betarhabdovirinae_1ng_7nsp.zip")</f>
        <v>2023.017M.Betarhabdovirinae_1ng_7nsp.zip</v>
      </c>
      <c r="U11668" s="29" t="str">
        <f>HYPERLINK("https://ictv.global/taxonomy/taxondetails?taxnode_id=202318290","ictv.global=202318290")</f>
        <v>ictv.global=202318290</v>
      </c>
    </row>
    <row r="11669" spans="1:21">
      <c r="A11669">
        <v>11668</v>
      </c>
      <c r="B11669" s="30" t="s">
        <v>1226</v>
      </c>
      <c r="D11669" s="30" t="s">
        <v>2024</v>
      </c>
      <c r="F11669" s="30" t="s">
        <v>1040</v>
      </c>
      <c r="G11669" s="30" t="s">
        <v>1041</v>
      </c>
      <c r="H11669" s="30" t="s">
        <v>1047</v>
      </c>
      <c r="J11669" s="30" t="s">
        <v>255</v>
      </c>
      <c r="L11669" s="30" t="s">
        <v>374</v>
      </c>
      <c r="M11669" s="30" t="s">
        <v>3778</v>
      </c>
      <c r="N11669" s="30" t="s">
        <v>2063</v>
      </c>
      <c r="P11669" s="30" t="s">
        <v>10208</v>
      </c>
      <c r="Q11669" t="s">
        <v>620</v>
      </c>
      <c r="R11669" t="s">
        <v>920</v>
      </c>
      <c r="S11669">
        <v>37</v>
      </c>
      <c r="T11669" s="29" t="str">
        <f>HYPERLINK("https://ictv.global/ictv/proposals/2021.036M.R.Rhabdoviridae_sprename.zip","2021.036M.R.Rhabdoviridae_sprename.zip")</f>
        <v>2021.036M.R.Rhabdoviridae_sprename.zip</v>
      </c>
      <c r="U11669" s="29" t="str">
        <f>HYPERLINK("https://ictv.global/taxonomy/taxondetails?taxnode_id=202301744","ictv.global=202301744")</f>
        <v>ictv.global=202301744</v>
      </c>
    </row>
    <row r="11670" spans="1:21">
      <c r="A11670">
        <v>11669</v>
      </c>
      <c r="B11670" s="30" t="s">
        <v>1226</v>
      </c>
      <c r="D11670" s="30" t="s">
        <v>2024</v>
      </c>
      <c r="F11670" s="30" t="s">
        <v>1040</v>
      </c>
      <c r="G11670" s="30" t="s">
        <v>1041</v>
      </c>
      <c r="H11670" s="30" t="s">
        <v>1047</v>
      </c>
      <c r="J11670" s="30" t="s">
        <v>255</v>
      </c>
      <c r="L11670" s="30" t="s">
        <v>374</v>
      </c>
      <c r="M11670" s="30" t="s">
        <v>3778</v>
      </c>
      <c r="N11670" s="30" t="s">
        <v>382</v>
      </c>
      <c r="P11670" s="30" t="s">
        <v>17449</v>
      </c>
      <c r="Q11670" t="s">
        <v>620</v>
      </c>
      <c r="R11670" t="s">
        <v>917</v>
      </c>
      <c r="S11670">
        <v>39</v>
      </c>
      <c r="T11670" s="29" t="str">
        <f>HYPERLINK("https://ictv.global/ictv/proposals/2023.022M.Varicosavirus_32nsp.zip","2023.022M.Varicosavirus_32nsp.zip")</f>
        <v>2023.022M.Varicosavirus_32nsp.zip</v>
      </c>
      <c r="U11670" s="29" t="str">
        <f>HYPERLINK("https://ictv.global/taxonomy/taxondetails?taxnode_id=202318590","ictv.global=202318590")</f>
        <v>ictv.global=202318590</v>
      </c>
    </row>
    <row r="11671" spans="1:21">
      <c r="A11671">
        <v>11670</v>
      </c>
      <c r="B11671" s="30" t="s">
        <v>1226</v>
      </c>
      <c r="D11671" s="30" t="s">
        <v>2024</v>
      </c>
      <c r="F11671" s="30" t="s">
        <v>1040</v>
      </c>
      <c r="G11671" s="30" t="s">
        <v>1041</v>
      </c>
      <c r="H11671" s="30" t="s">
        <v>1047</v>
      </c>
      <c r="J11671" s="30" t="s">
        <v>255</v>
      </c>
      <c r="L11671" s="30" t="s">
        <v>374</v>
      </c>
      <c r="M11671" s="30" t="s">
        <v>3778</v>
      </c>
      <c r="N11671" s="30" t="s">
        <v>382</v>
      </c>
      <c r="P11671" s="30" t="s">
        <v>10209</v>
      </c>
      <c r="Q11671" t="s">
        <v>620</v>
      </c>
      <c r="R11671" t="s">
        <v>917</v>
      </c>
      <c r="S11671">
        <v>38</v>
      </c>
      <c r="T11671" s="29" t="str">
        <f>HYPERLINK("https://ictv.global/ictv/proposals/2022.021M.Varicosavirus_9nsp.zip","2022.021M.Varicosavirus_9nsp.zip")</f>
        <v>2022.021M.Varicosavirus_9nsp.zip</v>
      </c>
      <c r="U11671" s="29" t="str">
        <f>HYPERLINK("https://ictv.global/taxonomy/taxondetails?taxnode_id=202314266","ictv.global=202314266")</f>
        <v>ictv.global=202314266</v>
      </c>
    </row>
    <row r="11672" spans="1:21">
      <c r="A11672">
        <v>11671</v>
      </c>
      <c r="B11672" s="30" t="s">
        <v>1226</v>
      </c>
      <c r="D11672" s="30" t="s">
        <v>2024</v>
      </c>
      <c r="F11672" s="30" t="s">
        <v>1040</v>
      </c>
      <c r="G11672" s="30" t="s">
        <v>1041</v>
      </c>
      <c r="H11672" s="30" t="s">
        <v>1047</v>
      </c>
      <c r="J11672" s="30" t="s">
        <v>255</v>
      </c>
      <c r="L11672" s="30" t="s">
        <v>374</v>
      </c>
      <c r="M11672" s="30" t="s">
        <v>3778</v>
      </c>
      <c r="N11672" s="30" t="s">
        <v>382</v>
      </c>
      <c r="P11672" s="30" t="s">
        <v>10210</v>
      </c>
      <c r="Q11672" t="s">
        <v>620</v>
      </c>
      <c r="R11672" t="s">
        <v>920</v>
      </c>
      <c r="S11672">
        <v>37</v>
      </c>
      <c r="T11672" s="29" t="str">
        <f>HYPERLINK("https://ictv.global/ictv/proposals/2021.036M.R.Rhabdoviridae_sprename.zip","2021.036M.R.Rhabdoviridae_sprename.zip")</f>
        <v>2021.036M.R.Rhabdoviridae_sprename.zip</v>
      </c>
      <c r="U11672" s="29" t="str">
        <f>HYPERLINK("https://ictv.global/taxonomy/taxondetails?taxnode_id=202309370","ictv.global=202309370")</f>
        <v>ictv.global=202309370</v>
      </c>
    </row>
    <row r="11673" spans="1:21">
      <c r="A11673">
        <v>11672</v>
      </c>
      <c r="B11673" s="30" t="s">
        <v>1226</v>
      </c>
      <c r="D11673" s="30" t="s">
        <v>2024</v>
      </c>
      <c r="F11673" s="30" t="s">
        <v>1040</v>
      </c>
      <c r="G11673" s="30" t="s">
        <v>1041</v>
      </c>
      <c r="H11673" s="30" t="s">
        <v>1047</v>
      </c>
      <c r="J11673" s="30" t="s">
        <v>255</v>
      </c>
      <c r="L11673" s="30" t="s">
        <v>374</v>
      </c>
      <c r="M11673" s="30" t="s">
        <v>3778</v>
      </c>
      <c r="N11673" s="30" t="s">
        <v>382</v>
      </c>
      <c r="P11673" s="30" t="s">
        <v>17450</v>
      </c>
      <c r="Q11673" t="s">
        <v>620</v>
      </c>
      <c r="R11673" t="s">
        <v>920</v>
      </c>
      <c r="S11673">
        <v>39</v>
      </c>
      <c r="T11673" s="29" t="str">
        <f t="shared" ref="T11673:T11687" si="487">HYPERLINK("https://ictv.global/ictv/proposals/2023.022M.Varicosavirus_32nsp.zip","2023.022M.Varicosavirus_32nsp.zip")</f>
        <v>2023.022M.Varicosavirus_32nsp.zip</v>
      </c>
      <c r="U11673" s="29" t="str">
        <f>HYPERLINK("https://ictv.global/taxonomy/taxondetails?taxnode_id=202314267","ictv.global=202314267")</f>
        <v>ictv.global=202314267</v>
      </c>
    </row>
    <row r="11674" spans="1:21">
      <c r="A11674">
        <v>11673</v>
      </c>
      <c r="B11674" s="30" t="s">
        <v>1226</v>
      </c>
      <c r="D11674" s="30" t="s">
        <v>2024</v>
      </c>
      <c r="F11674" s="30" t="s">
        <v>1040</v>
      </c>
      <c r="G11674" s="30" t="s">
        <v>1041</v>
      </c>
      <c r="H11674" s="30" t="s">
        <v>1047</v>
      </c>
      <c r="J11674" s="30" t="s">
        <v>255</v>
      </c>
      <c r="L11674" s="30" t="s">
        <v>374</v>
      </c>
      <c r="M11674" s="30" t="s">
        <v>3778</v>
      </c>
      <c r="N11674" s="30" t="s">
        <v>382</v>
      </c>
      <c r="P11674" s="30" t="s">
        <v>17451</v>
      </c>
      <c r="Q11674" t="s">
        <v>620</v>
      </c>
      <c r="R11674" t="s">
        <v>917</v>
      </c>
      <c r="S11674">
        <v>39</v>
      </c>
      <c r="T11674" s="29" t="str">
        <f t="shared" si="487"/>
        <v>2023.022M.Varicosavirus_32nsp.zip</v>
      </c>
      <c r="U11674" s="29" t="str">
        <f>HYPERLINK("https://ictv.global/taxonomy/taxondetails?taxnode_id=202318591","ictv.global=202318591")</f>
        <v>ictv.global=202318591</v>
      </c>
    </row>
    <row r="11675" spans="1:21">
      <c r="A11675">
        <v>11674</v>
      </c>
      <c r="B11675" s="30" t="s">
        <v>1226</v>
      </c>
      <c r="D11675" s="30" t="s">
        <v>2024</v>
      </c>
      <c r="F11675" s="30" t="s">
        <v>1040</v>
      </c>
      <c r="G11675" s="30" t="s">
        <v>1041</v>
      </c>
      <c r="H11675" s="30" t="s">
        <v>1047</v>
      </c>
      <c r="J11675" s="30" t="s">
        <v>255</v>
      </c>
      <c r="L11675" s="30" t="s">
        <v>374</v>
      </c>
      <c r="M11675" s="30" t="s">
        <v>3778</v>
      </c>
      <c r="N11675" s="30" t="s">
        <v>382</v>
      </c>
      <c r="P11675" s="30" t="s">
        <v>17452</v>
      </c>
      <c r="Q11675" t="s">
        <v>620</v>
      </c>
      <c r="R11675" t="s">
        <v>917</v>
      </c>
      <c r="S11675">
        <v>39</v>
      </c>
      <c r="T11675" s="29" t="str">
        <f t="shared" si="487"/>
        <v>2023.022M.Varicosavirus_32nsp.zip</v>
      </c>
      <c r="U11675" s="29" t="str">
        <f>HYPERLINK("https://ictv.global/taxonomy/taxondetails?taxnode_id=202318592","ictv.global=202318592")</f>
        <v>ictv.global=202318592</v>
      </c>
    </row>
    <row r="11676" spans="1:21">
      <c r="A11676">
        <v>11675</v>
      </c>
      <c r="B11676" s="30" t="s">
        <v>1226</v>
      </c>
      <c r="D11676" s="30" t="s">
        <v>2024</v>
      </c>
      <c r="F11676" s="30" t="s">
        <v>1040</v>
      </c>
      <c r="G11676" s="30" t="s">
        <v>1041</v>
      </c>
      <c r="H11676" s="30" t="s">
        <v>1047</v>
      </c>
      <c r="J11676" s="30" t="s">
        <v>255</v>
      </c>
      <c r="L11676" s="30" t="s">
        <v>374</v>
      </c>
      <c r="M11676" s="30" t="s">
        <v>3778</v>
      </c>
      <c r="N11676" s="30" t="s">
        <v>382</v>
      </c>
      <c r="P11676" s="30" t="s">
        <v>17453</v>
      </c>
      <c r="Q11676" t="s">
        <v>620</v>
      </c>
      <c r="R11676" t="s">
        <v>917</v>
      </c>
      <c r="S11676">
        <v>39</v>
      </c>
      <c r="T11676" s="29" t="str">
        <f t="shared" si="487"/>
        <v>2023.022M.Varicosavirus_32nsp.zip</v>
      </c>
      <c r="U11676" s="29" t="str">
        <f>HYPERLINK("https://ictv.global/taxonomy/taxondetails?taxnode_id=202318593","ictv.global=202318593")</f>
        <v>ictv.global=202318593</v>
      </c>
    </row>
    <row r="11677" spans="1:21">
      <c r="A11677">
        <v>11676</v>
      </c>
      <c r="B11677" s="30" t="s">
        <v>1226</v>
      </c>
      <c r="D11677" s="30" t="s">
        <v>2024</v>
      </c>
      <c r="F11677" s="30" t="s">
        <v>1040</v>
      </c>
      <c r="G11677" s="30" t="s">
        <v>1041</v>
      </c>
      <c r="H11677" s="30" t="s">
        <v>1047</v>
      </c>
      <c r="J11677" s="30" t="s">
        <v>255</v>
      </c>
      <c r="L11677" s="30" t="s">
        <v>374</v>
      </c>
      <c r="M11677" s="30" t="s">
        <v>3778</v>
      </c>
      <c r="N11677" s="30" t="s">
        <v>382</v>
      </c>
      <c r="P11677" s="30" t="s">
        <v>17454</v>
      </c>
      <c r="Q11677" t="s">
        <v>620</v>
      </c>
      <c r="R11677" t="s">
        <v>917</v>
      </c>
      <c r="S11677">
        <v>39</v>
      </c>
      <c r="T11677" s="29" t="str">
        <f t="shared" si="487"/>
        <v>2023.022M.Varicosavirus_32nsp.zip</v>
      </c>
      <c r="U11677" s="29" t="str">
        <f>HYPERLINK("https://ictv.global/taxonomy/taxondetails?taxnode_id=202318594","ictv.global=202318594")</f>
        <v>ictv.global=202318594</v>
      </c>
    </row>
    <row r="11678" spans="1:21">
      <c r="A11678">
        <v>11677</v>
      </c>
      <c r="B11678" s="30" t="s">
        <v>1226</v>
      </c>
      <c r="D11678" s="30" t="s">
        <v>2024</v>
      </c>
      <c r="F11678" s="30" t="s">
        <v>1040</v>
      </c>
      <c r="G11678" s="30" t="s">
        <v>1041</v>
      </c>
      <c r="H11678" s="30" t="s">
        <v>1047</v>
      </c>
      <c r="J11678" s="30" t="s">
        <v>255</v>
      </c>
      <c r="L11678" s="30" t="s">
        <v>374</v>
      </c>
      <c r="M11678" s="30" t="s">
        <v>3778</v>
      </c>
      <c r="N11678" s="30" t="s">
        <v>382</v>
      </c>
      <c r="P11678" s="30" t="s">
        <v>17455</v>
      </c>
      <c r="Q11678" t="s">
        <v>620</v>
      </c>
      <c r="R11678" t="s">
        <v>917</v>
      </c>
      <c r="S11678">
        <v>39</v>
      </c>
      <c r="T11678" s="29" t="str">
        <f t="shared" si="487"/>
        <v>2023.022M.Varicosavirus_32nsp.zip</v>
      </c>
      <c r="U11678" s="29" t="str">
        <f>HYPERLINK("https://ictv.global/taxonomy/taxondetails?taxnode_id=202318595","ictv.global=202318595")</f>
        <v>ictv.global=202318595</v>
      </c>
    </row>
    <row r="11679" spans="1:21">
      <c r="A11679">
        <v>11678</v>
      </c>
      <c r="B11679" s="30" t="s">
        <v>1226</v>
      </c>
      <c r="D11679" s="30" t="s">
        <v>2024</v>
      </c>
      <c r="F11679" s="30" t="s">
        <v>1040</v>
      </c>
      <c r="G11679" s="30" t="s">
        <v>1041</v>
      </c>
      <c r="H11679" s="30" t="s">
        <v>1047</v>
      </c>
      <c r="J11679" s="30" t="s">
        <v>255</v>
      </c>
      <c r="L11679" s="30" t="s">
        <v>374</v>
      </c>
      <c r="M11679" s="30" t="s">
        <v>3778</v>
      </c>
      <c r="N11679" s="30" t="s">
        <v>382</v>
      </c>
      <c r="P11679" s="30" t="s">
        <v>17456</v>
      </c>
      <c r="Q11679" t="s">
        <v>620</v>
      </c>
      <c r="R11679" t="s">
        <v>917</v>
      </c>
      <c r="S11679">
        <v>39</v>
      </c>
      <c r="T11679" s="29" t="str">
        <f t="shared" si="487"/>
        <v>2023.022M.Varicosavirus_32nsp.zip</v>
      </c>
      <c r="U11679" s="29" t="str">
        <f>HYPERLINK("https://ictv.global/taxonomy/taxondetails?taxnode_id=202318596","ictv.global=202318596")</f>
        <v>ictv.global=202318596</v>
      </c>
    </row>
    <row r="11680" spans="1:21">
      <c r="A11680">
        <v>11679</v>
      </c>
      <c r="B11680" s="30" t="s">
        <v>1226</v>
      </c>
      <c r="D11680" s="30" t="s">
        <v>2024</v>
      </c>
      <c r="F11680" s="30" t="s">
        <v>1040</v>
      </c>
      <c r="G11680" s="30" t="s">
        <v>1041</v>
      </c>
      <c r="H11680" s="30" t="s">
        <v>1047</v>
      </c>
      <c r="J11680" s="30" t="s">
        <v>255</v>
      </c>
      <c r="L11680" s="30" t="s">
        <v>374</v>
      </c>
      <c r="M11680" s="30" t="s">
        <v>3778</v>
      </c>
      <c r="N11680" s="30" t="s">
        <v>382</v>
      </c>
      <c r="P11680" s="30" t="s">
        <v>17457</v>
      </c>
      <c r="Q11680" t="s">
        <v>620</v>
      </c>
      <c r="R11680" t="s">
        <v>917</v>
      </c>
      <c r="S11680">
        <v>39</v>
      </c>
      <c r="T11680" s="29" t="str">
        <f t="shared" si="487"/>
        <v>2023.022M.Varicosavirus_32nsp.zip</v>
      </c>
      <c r="U11680" s="29" t="str">
        <f>HYPERLINK("https://ictv.global/taxonomy/taxondetails?taxnode_id=202318597","ictv.global=202318597")</f>
        <v>ictv.global=202318597</v>
      </c>
    </row>
    <row r="11681" spans="1:21">
      <c r="A11681">
        <v>11680</v>
      </c>
      <c r="B11681" s="30" t="s">
        <v>1226</v>
      </c>
      <c r="D11681" s="30" t="s">
        <v>2024</v>
      </c>
      <c r="F11681" s="30" t="s">
        <v>1040</v>
      </c>
      <c r="G11681" s="30" t="s">
        <v>1041</v>
      </c>
      <c r="H11681" s="30" t="s">
        <v>1047</v>
      </c>
      <c r="J11681" s="30" t="s">
        <v>255</v>
      </c>
      <c r="L11681" s="30" t="s">
        <v>374</v>
      </c>
      <c r="M11681" s="30" t="s">
        <v>3778</v>
      </c>
      <c r="N11681" s="30" t="s">
        <v>382</v>
      </c>
      <c r="P11681" s="30" t="s">
        <v>17458</v>
      </c>
      <c r="Q11681" t="s">
        <v>620</v>
      </c>
      <c r="R11681" t="s">
        <v>917</v>
      </c>
      <c r="S11681">
        <v>39</v>
      </c>
      <c r="T11681" s="29" t="str">
        <f t="shared" si="487"/>
        <v>2023.022M.Varicosavirus_32nsp.zip</v>
      </c>
      <c r="U11681" s="29" t="str">
        <f>HYPERLINK("https://ictv.global/taxonomy/taxondetails?taxnode_id=202318598","ictv.global=202318598")</f>
        <v>ictv.global=202318598</v>
      </c>
    </row>
    <row r="11682" spans="1:21">
      <c r="A11682">
        <v>11681</v>
      </c>
      <c r="B11682" s="30" t="s">
        <v>1226</v>
      </c>
      <c r="D11682" s="30" t="s">
        <v>2024</v>
      </c>
      <c r="F11682" s="30" t="s">
        <v>1040</v>
      </c>
      <c r="G11682" s="30" t="s">
        <v>1041</v>
      </c>
      <c r="H11682" s="30" t="s">
        <v>1047</v>
      </c>
      <c r="J11682" s="30" t="s">
        <v>255</v>
      </c>
      <c r="L11682" s="30" t="s">
        <v>374</v>
      </c>
      <c r="M11682" s="30" t="s">
        <v>3778</v>
      </c>
      <c r="N11682" s="30" t="s">
        <v>382</v>
      </c>
      <c r="P11682" s="30" t="s">
        <v>17459</v>
      </c>
      <c r="Q11682" t="s">
        <v>620</v>
      </c>
      <c r="R11682" t="s">
        <v>917</v>
      </c>
      <c r="S11682">
        <v>39</v>
      </c>
      <c r="T11682" s="29" t="str">
        <f t="shared" si="487"/>
        <v>2023.022M.Varicosavirus_32nsp.zip</v>
      </c>
      <c r="U11682" s="29" t="str">
        <f>HYPERLINK("https://ictv.global/taxonomy/taxondetails?taxnode_id=202318599","ictv.global=202318599")</f>
        <v>ictv.global=202318599</v>
      </c>
    </row>
    <row r="11683" spans="1:21">
      <c r="A11683">
        <v>11682</v>
      </c>
      <c r="B11683" s="30" t="s">
        <v>1226</v>
      </c>
      <c r="D11683" s="30" t="s">
        <v>2024</v>
      </c>
      <c r="F11683" s="30" t="s">
        <v>1040</v>
      </c>
      <c r="G11683" s="30" t="s">
        <v>1041</v>
      </c>
      <c r="H11683" s="30" t="s">
        <v>1047</v>
      </c>
      <c r="J11683" s="30" t="s">
        <v>255</v>
      </c>
      <c r="L11683" s="30" t="s">
        <v>374</v>
      </c>
      <c r="M11683" s="30" t="s">
        <v>3778</v>
      </c>
      <c r="N11683" s="30" t="s">
        <v>382</v>
      </c>
      <c r="P11683" s="30" t="s">
        <v>17460</v>
      </c>
      <c r="Q11683" t="s">
        <v>620</v>
      </c>
      <c r="R11683" t="s">
        <v>917</v>
      </c>
      <c r="S11683">
        <v>39</v>
      </c>
      <c r="T11683" s="29" t="str">
        <f t="shared" si="487"/>
        <v>2023.022M.Varicosavirus_32nsp.zip</v>
      </c>
      <c r="U11683" s="29" t="str">
        <f>HYPERLINK("https://ictv.global/taxonomy/taxondetails?taxnode_id=202318600","ictv.global=202318600")</f>
        <v>ictv.global=202318600</v>
      </c>
    </row>
    <row r="11684" spans="1:21">
      <c r="A11684">
        <v>11683</v>
      </c>
      <c r="B11684" s="30" t="s">
        <v>1226</v>
      </c>
      <c r="D11684" s="30" t="s">
        <v>2024</v>
      </c>
      <c r="F11684" s="30" t="s">
        <v>1040</v>
      </c>
      <c r="G11684" s="30" t="s">
        <v>1041</v>
      </c>
      <c r="H11684" s="30" t="s">
        <v>1047</v>
      </c>
      <c r="J11684" s="30" t="s">
        <v>255</v>
      </c>
      <c r="L11684" s="30" t="s">
        <v>374</v>
      </c>
      <c r="M11684" s="30" t="s">
        <v>3778</v>
      </c>
      <c r="N11684" s="30" t="s">
        <v>382</v>
      </c>
      <c r="P11684" s="30" t="s">
        <v>17461</v>
      </c>
      <c r="Q11684" t="s">
        <v>620</v>
      </c>
      <c r="R11684" t="s">
        <v>917</v>
      </c>
      <c r="S11684">
        <v>39</v>
      </c>
      <c r="T11684" s="29" t="str">
        <f t="shared" si="487"/>
        <v>2023.022M.Varicosavirus_32nsp.zip</v>
      </c>
      <c r="U11684" s="29" t="str">
        <f>HYPERLINK("https://ictv.global/taxonomy/taxondetails?taxnode_id=202318601","ictv.global=202318601")</f>
        <v>ictv.global=202318601</v>
      </c>
    </row>
    <row r="11685" spans="1:21">
      <c r="A11685">
        <v>11684</v>
      </c>
      <c r="B11685" s="30" t="s">
        <v>1226</v>
      </c>
      <c r="D11685" s="30" t="s">
        <v>2024</v>
      </c>
      <c r="F11685" s="30" t="s">
        <v>1040</v>
      </c>
      <c r="G11685" s="30" t="s">
        <v>1041</v>
      </c>
      <c r="H11685" s="30" t="s">
        <v>1047</v>
      </c>
      <c r="J11685" s="30" t="s">
        <v>255</v>
      </c>
      <c r="L11685" s="30" t="s">
        <v>374</v>
      </c>
      <c r="M11685" s="30" t="s">
        <v>3778</v>
      </c>
      <c r="N11685" s="30" t="s">
        <v>382</v>
      </c>
      <c r="P11685" s="30" t="s">
        <v>17462</v>
      </c>
      <c r="Q11685" t="s">
        <v>620</v>
      </c>
      <c r="R11685" t="s">
        <v>917</v>
      </c>
      <c r="S11685">
        <v>39</v>
      </c>
      <c r="T11685" s="29" t="str">
        <f t="shared" si="487"/>
        <v>2023.022M.Varicosavirus_32nsp.zip</v>
      </c>
      <c r="U11685" s="29" t="str">
        <f>HYPERLINK("https://ictv.global/taxonomy/taxondetails?taxnode_id=202318602","ictv.global=202318602")</f>
        <v>ictv.global=202318602</v>
      </c>
    </row>
    <row r="11686" spans="1:21">
      <c r="A11686">
        <v>11685</v>
      </c>
      <c r="B11686" s="30" t="s">
        <v>1226</v>
      </c>
      <c r="D11686" s="30" t="s">
        <v>2024</v>
      </c>
      <c r="F11686" s="30" t="s">
        <v>1040</v>
      </c>
      <c r="G11686" s="30" t="s">
        <v>1041</v>
      </c>
      <c r="H11686" s="30" t="s">
        <v>1047</v>
      </c>
      <c r="J11686" s="30" t="s">
        <v>255</v>
      </c>
      <c r="L11686" s="30" t="s">
        <v>374</v>
      </c>
      <c r="M11686" s="30" t="s">
        <v>3778</v>
      </c>
      <c r="N11686" s="30" t="s">
        <v>382</v>
      </c>
      <c r="P11686" s="30" t="s">
        <v>17463</v>
      </c>
      <c r="Q11686" t="s">
        <v>620</v>
      </c>
      <c r="R11686" t="s">
        <v>917</v>
      </c>
      <c r="S11686">
        <v>39</v>
      </c>
      <c r="T11686" s="29" t="str">
        <f t="shared" si="487"/>
        <v>2023.022M.Varicosavirus_32nsp.zip</v>
      </c>
      <c r="U11686" s="29" t="str">
        <f>HYPERLINK("https://ictv.global/taxonomy/taxondetails?taxnode_id=202318603","ictv.global=202318603")</f>
        <v>ictv.global=202318603</v>
      </c>
    </row>
    <row r="11687" spans="1:21">
      <c r="A11687">
        <v>11686</v>
      </c>
      <c r="B11687" s="30" t="s">
        <v>1226</v>
      </c>
      <c r="D11687" s="30" t="s">
        <v>2024</v>
      </c>
      <c r="F11687" s="30" t="s">
        <v>1040</v>
      </c>
      <c r="G11687" s="30" t="s">
        <v>1041</v>
      </c>
      <c r="H11687" s="30" t="s">
        <v>1047</v>
      </c>
      <c r="J11687" s="30" t="s">
        <v>255</v>
      </c>
      <c r="L11687" s="30" t="s">
        <v>374</v>
      </c>
      <c r="M11687" s="30" t="s">
        <v>3778</v>
      </c>
      <c r="N11687" s="30" t="s">
        <v>382</v>
      </c>
      <c r="P11687" s="30" t="s">
        <v>17464</v>
      </c>
      <c r="Q11687" t="s">
        <v>620</v>
      </c>
      <c r="R11687" t="s">
        <v>917</v>
      </c>
      <c r="S11687">
        <v>39</v>
      </c>
      <c r="T11687" s="29" t="str">
        <f t="shared" si="487"/>
        <v>2023.022M.Varicosavirus_32nsp.zip</v>
      </c>
      <c r="U11687" s="29" t="str">
        <f>HYPERLINK("https://ictv.global/taxonomy/taxondetails?taxnode_id=202318604","ictv.global=202318604")</f>
        <v>ictv.global=202318604</v>
      </c>
    </row>
    <row r="11688" spans="1:21">
      <c r="A11688">
        <v>11687</v>
      </c>
      <c r="B11688" s="30" t="s">
        <v>1226</v>
      </c>
      <c r="D11688" s="30" t="s">
        <v>2024</v>
      </c>
      <c r="F11688" s="30" t="s">
        <v>1040</v>
      </c>
      <c r="G11688" s="30" t="s">
        <v>1041</v>
      </c>
      <c r="H11688" s="30" t="s">
        <v>1047</v>
      </c>
      <c r="J11688" s="30" t="s">
        <v>255</v>
      </c>
      <c r="L11688" s="30" t="s">
        <v>374</v>
      </c>
      <c r="M11688" s="30" t="s">
        <v>3778</v>
      </c>
      <c r="N11688" s="30" t="s">
        <v>382</v>
      </c>
      <c r="P11688" s="30" t="s">
        <v>10211</v>
      </c>
      <c r="Q11688" t="s">
        <v>620</v>
      </c>
      <c r="R11688" t="s">
        <v>917</v>
      </c>
      <c r="S11688">
        <v>38</v>
      </c>
      <c r="T11688" s="29" t="str">
        <f>HYPERLINK("https://ictv.global/ictv/proposals/2022.021M.Varicosavirus_9nsp.zip","2022.021M.Varicosavirus_9nsp.zip")</f>
        <v>2022.021M.Varicosavirus_9nsp.zip</v>
      </c>
      <c r="U11688" s="29" t="str">
        <f>HYPERLINK("https://ictv.global/taxonomy/taxondetails?taxnode_id=202314270","ictv.global=202314270")</f>
        <v>ictv.global=202314270</v>
      </c>
    </row>
    <row r="11689" spans="1:21">
      <c r="A11689">
        <v>11688</v>
      </c>
      <c r="B11689" s="30" t="s">
        <v>1226</v>
      </c>
      <c r="D11689" s="30" t="s">
        <v>2024</v>
      </c>
      <c r="F11689" s="30" t="s">
        <v>1040</v>
      </c>
      <c r="G11689" s="30" t="s">
        <v>1041</v>
      </c>
      <c r="H11689" s="30" t="s">
        <v>1047</v>
      </c>
      <c r="J11689" s="30" t="s">
        <v>255</v>
      </c>
      <c r="L11689" s="30" t="s">
        <v>374</v>
      </c>
      <c r="M11689" s="30" t="s">
        <v>3778</v>
      </c>
      <c r="N11689" s="30" t="s">
        <v>382</v>
      </c>
      <c r="P11689" s="30" t="s">
        <v>10212</v>
      </c>
      <c r="Q11689" t="s">
        <v>620</v>
      </c>
      <c r="R11689" t="s">
        <v>920</v>
      </c>
      <c r="S11689">
        <v>37</v>
      </c>
      <c r="T11689" s="29" t="str">
        <f>HYPERLINK("https://ictv.global/ictv/proposals/2021.036M.R.Rhabdoviridae_sprename.zip","2021.036M.R.Rhabdoviridae_sprename.zip")</f>
        <v>2021.036M.R.Rhabdoviridae_sprename.zip</v>
      </c>
      <c r="U11689" s="29" t="str">
        <f>HYPERLINK("https://ictv.global/taxonomy/taxondetails?taxnode_id=202301787","ictv.global=202301787")</f>
        <v>ictv.global=202301787</v>
      </c>
    </row>
    <row r="11690" spans="1:21">
      <c r="A11690">
        <v>11689</v>
      </c>
      <c r="B11690" s="30" t="s">
        <v>1226</v>
      </c>
      <c r="D11690" s="30" t="s">
        <v>2024</v>
      </c>
      <c r="F11690" s="30" t="s">
        <v>1040</v>
      </c>
      <c r="G11690" s="30" t="s">
        <v>1041</v>
      </c>
      <c r="H11690" s="30" t="s">
        <v>1047</v>
      </c>
      <c r="J11690" s="30" t="s">
        <v>255</v>
      </c>
      <c r="L11690" s="30" t="s">
        <v>374</v>
      </c>
      <c r="M11690" s="30" t="s">
        <v>3778</v>
      </c>
      <c r="N11690" s="30" t="s">
        <v>382</v>
      </c>
      <c r="P11690" s="30" t="s">
        <v>17465</v>
      </c>
      <c r="Q11690" t="s">
        <v>620</v>
      </c>
      <c r="R11690" t="s">
        <v>917</v>
      </c>
      <c r="S11690">
        <v>39</v>
      </c>
      <c r="T11690" s="29" t="str">
        <f>HYPERLINK("https://ictv.global/ictv/proposals/2023.022M.Varicosavirus_32nsp.zip","2023.022M.Varicosavirus_32nsp.zip")</f>
        <v>2023.022M.Varicosavirus_32nsp.zip</v>
      </c>
      <c r="U11690" s="29" t="str">
        <f>HYPERLINK("https://ictv.global/taxonomy/taxondetails?taxnode_id=202318605","ictv.global=202318605")</f>
        <v>ictv.global=202318605</v>
      </c>
    </row>
    <row r="11691" spans="1:21">
      <c r="A11691">
        <v>11690</v>
      </c>
      <c r="B11691" s="30" t="s">
        <v>1226</v>
      </c>
      <c r="D11691" s="30" t="s">
        <v>2024</v>
      </c>
      <c r="F11691" s="30" t="s">
        <v>1040</v>
      </c>
      <c r="G11691" s="30" t="s">
        <v>1041</v>
      </c>
      <c r="H11691" s="30" t="s">
        <v>1047</v>
      </c>
      <c r="J11691" s="30" t="s">
        <v>255</v>
      </c>
      <c r="L11691" s="30" t="s">
        <v>374</v>
      </c>
      <c r="M11691" s="30" t="s">
        <v>3778</v>
      </c>
      <c r="N11691" s="30" t="s">
        <v>382</v>
      </c>
      <c r="P11691" s="30" t="s">
        <v>10213</v>
      </c>
      <c r="Q11691" t="s">
        <v>620</v>
      </c>
      <c r="R11691" t="s">
        <v>917</v>
      </c>
      <c r="S11691">
        <v>38</v>
      </c>
      <c r="T11691" s="29" t="str">
        <f>HYPERLINK("https://ictv.global/ictv/proposals/2022.021M.Varicosavirus_9nsp.zip","2022.021M.Varicosavirus_9nsp.zip")</f>
        <v>2022.021M.Varicosavirus_9nsp.zip</v>
      </c>
      <c r="U11691" s="29" t="str">
        <f>HYPERLINK("https://ictv.global/taxonomy/taxondetails?taxnode_id=202314268","ictv.global=202314268")</f>
        <v>ictv.global=202314268</v>
      </c>
    </row>
    <row r="11692" spans="1:21">
      <c r="A11692">
        <v>11691</v>
      </c>
      <c r="B11692" s="30" t="s">
        <v>1226</v>
      </c>
      <c r="D11692" s="30" t="s">
        <v>2024</v>
      </c>
      <c r="F11692" s="30" t="s">
        <v>1040</v>
      </c>
      <c r="G11692" s="30" t="s">
        <v>1041</v>
      </c>
      <c r="H11692" s="30" t="s">
        <v>1047</v>
      </c>
      <c r="J11692" s="30" t="s">
        <v>255</v>
      </c>
      <c r="L11692" s="30" t="s">
        <v>374</v>
      </c>
      <c r="M11692" s="30" t="s">
        <v>3778</v>
      </c>
      <c r="N11692" s="30" t="s">
        <v>382</v>
      </c>
      <c r="P11692" s="30" t="s">
        <v>17466</v>
      </c>
      <c r="Q11692" t="s">
        <v>620</v>
      </c>
      <c r="R11692" t="s">
        <v>917</v>
      </c>
      <c r="S11692">
        <v>39</v>
      </c>
      <c r="T11692" s="29" t="str">
        <f>HYPERLINK("https://ictv.global/ictv/proposals/2023.022M.Varicosavirus_32nsp.zip","2023.022M.Varicosavirus_32nsp.zip")</f>
        <v>2023.022M.Varicosavirus_32nsp.zip</v>
      </c>
      <c r="U11692" s="29" t="str">
        <f>HYPERLINK("https://ictv.global/taxonomy/taxondetails?taxnode_id=202318606","ictv.global=202318606")</f>
        <v>ictv.global=202318606</v>
      </c>
    </row>
    <row r="11693" spans="1:21">
      <c r="A11693">
        <v>11692</v>
      </c>
      <c r="B11693" s="30" t="s">
        <v>1226</v>
      </c>
      <c r="D11693" s="30" t="s">
        <v>2024</v>
      </c>
      <c r="F11693" s="30" t="s">
        <v>1040</v>
      </c>
      <c r="G11693" s="30" t="s">
        <v>1041</v>
      </c>
      <c r="H11693" s="30" t="s">
        <v>1047</v>
      </c>
      <c r="J11693" s="30" t="s">
        <v>255</v>
      </c>
      <c r="L11693" s="30" t="s">
        <v>374</v>
      </c>
      <c r="M11693" s="30" t="s">
        <v>3778</v>
      </c>
      <c r="N11693" s="30" t="s">
        <v>382</v>
      </c>
      <c r="P11693" s="30" t="s">
        <v>10214</v>
      </c>
      <c r="Q11693" t="s">
        <v>620</v>
      </c>
      <c r="R11693" t="s">
        <v>917</v>
      </c>
      <c r="S11693">
        <v>38</v>
      </c>
      <c r="T11693" s="29" t="str">
        <f>HYPERLINK("https://ictv.global/ictv/proposals/2022.021M.Varicosavirus_9nsp.zip","2022.021M.Varicosavirus_9nsp.zip")</f>
        <v>2022.021M.Varicosavirus_9nsp.zip</v>
      </c>
      <c r="U11693" s="29" t="str">
        <f>HYPERLINK("https://ictv.global/taxonomy/taxondetails?taxnode_id=202314269","ictv.global=202314269")</f>
        <v>ictv.global=202314269</v>
      </c>
    </row>
    <row r="11694" spans="1:21">
      <c r="A11694">
        <v>11693</v>
      </c>
      <c r="B11694" s="30" t="s">
        <v>1226</v>
      </c>
      <c r="D11694" s="30" t="s">
        <v>2024</v>
      </c>
      <c r="F11694" s="30" t="s">
        <v>1040</v>
      </c>
      <c r="G11694" s="30" t="s">
        <v>1041</v>
      </c>
      <c r="H11694" s="30" t="s">
        <v>1047</v>
      </c>
      <c r="J11694" s="30" t="s">
        <v>255</v>
      </c>
      <c r="L11694" s="30" t="s">
        <v>374</v>
      </c>
      <c r="M11694" s="30" t="s">
        <v>3778</v>
      </c>
      <c r="N11694" s="30" t="s">
        <v>382</v>
      </c>
      <c r="P11694" s="30" t="s">
        <v>17467</v>
      </c>
      <c r="Q11694" t="s">
        <v>620</v>
      </c>
      <c r="R11694" t="s">
        <v>917</v>
      </c>
      <c r="S11694">
        <v>39</v>
      </c>
      <c r="T11694" s="29" t="str">
        <f t="shared" ref="T11694:T11705" si="488">HYPERLINK("https://ictv.global/ictv/proposals/2023.022M.Varicosavirus_32nsp.zip","2023.022M.Varicosavirus_32nsp.zip")</f>
        <v>2023.022M.Varicosavirus_32nsp.zip</v>
      </c>
      <c r="U11694" s="29" t="str">
        <f>HYPERLINK("https://ictv.global/taxonomy/taxondetails?taxnode_id=202318607","ictv.global=202318607")</f>
        <v>ictv.global=202318607</v>
      </c>
    </row>
    <row r="11695" spans="1:21">
      <c r="A11695">
        <v>11694</v>
      </c>
      <c r="B11695" s="30" t="s">
        <v>1226</v>
      </c>
      <c r="D11695" s="30" t="s">
        <v>2024</v>
      </c>
      <c r="F11695" s="30" t="s">
        <v>1040</v>
      </c>
      <c r="G11695" s="30" t="s">
        <v>1041</v>
      </c>
      <c r="H11695" s="30" t="s">
        <v>1047</v>
      </c>
      <c r="J11695" s="30" t="s">
        <v>255</v>
      </c>
      <c r="L11695" s="30" t="s">
        <v>374</v>
      </c>
      <c r="M11695" s="30" t="s">
        <v>3778</v>
      </c>
      <c r="N11695" s="30" t="s">
        <v>382</v>
      </c>
      <c r="P11695" s="30" t="s">
        <v>17468</v>
      </c>
      <c r="Q11695" t="s">
        <v>620</v>
      </c>
      <c r="R11695" t="s">
        <v>917</v>
      </c>
      <c r="S11695">
        <v>39</v>
      </c>
      <c r="T11695" s="29" t="str">
        <f t="shared" si="488"/>
        <v>2023.022M.Varicosavirus_32nsp.zip</v>
      </c>
      <c r="U11695" s="29" t="str">
        <f>HYPERLINK("https://ictv.global/taxonomy/taxondetails?taxnode_id=202318608","ictv.global=202318608")</f>
        <v>ictv.global=202318608</v>
      </c>
    </row>
    <row r="11696" spans="1:21">
      <c r="A11696">
        <v>11695</v>
      </c>
      <c r="B11696" s="30" t="s">
        <v>1226</v>
      </c>
      <c r="D11696" s="30" t="s">
        <v>2024</v>
      </c>
      <c r="F11696" s="30" t="s">
        <v>1040</v>
      </c>
      <c r="G11696" s="30" t="s">
        <v>1041</v>
      </c>
      <c r="H11696" s="30" t="s">
        <v>1047</v>
      </c>
      <c r="J11696" s="30" t="s">
        <v>255</v>
      </c>
      <c r="L11696" s="30" t="s">
        <v>374</v>
      </c>
      <c r="M11696" s="30" t="s">
        <v>3778</v>
      </c>
      <c r="N11696" s="30" t="s">
        <v>382</v>
      </c>
      <c r="P11696" s="30" t="s">
        <v>17469</v>
      </c>
      <c r="Q11696" t="s">
        <v>620</v>
      </c>
      <c r="R11696" t="s">
        <v>917</v>
      </c>
      <c r="S11696">
        <v>39</v>
      </c>
      <c r="T11696" s="29" t="str">
        <f t="shared" si="488"/>
        <v>2023.022M.Varicosavirus_32nsp.zip</v>
      </c>
      <c r="U11696" s="29" t="str">
        <f>HYPERLINK("https://ictv.global/taxonomy/taxondetails?taxnode_id=202318609","ictv.global=202318609")</f>
        <v>ictv.global=202318609</v>
      </c>
    </row>
    <row r="11697" spans="1:21">
      <c r="A11697">
        <v>11696</v>
      </c>
      <c r="B11697" s="30" t="s">
        <v>1226</v>
      </c>
      <c r="D11697" s="30" t="s">
        <v>2024</v>
      </c>
      <c r="F11697" s="30" t="s">
        <v>1040</v>
      </c>
      <c r="G11697" s="30" t="s">
        <v>1041</v>
      </c>
      <c r="H11697" s="30" t="s">
        <v>1047</v>
      </c>
      <c r="J11697" s="30" t="s">
        <v>255</v>
      </c>
      <c r="L11697" s="30" t="s">
        <v>374</v>
      </c>
      <c r="M11697" s="30" t="s">
        <v>3778</v>
      </c>
      <c r="N11697" s="30" t="s">
        <v>382</v>
      </c>
      <c r="P11697" s="30" t="s">
        <v>17470</v>
      </c>
      <c r="Q11697" t="s">
        <v>620</v>
      </c>
      <c r="R11697" t="s">
        <v>917</v>
      </c>
      <c r="S11697">
        <v>39</v>
      </c>
      <c r="T11697" s="29" t="str">
        <f t="shared" si="488"/>
        <v>2023.022M.Varicosavirus_32nsp.zip</v>
      </c>
      <c r="U11697" s="29" t="str">
        <f>HYPERLINK("https://ictv.global/taxonomy/taxondetails?taxnode_id=202318610","ictv.global=202318610")</f>
        <v>ictv.global=202318610</v>
      </c>
    </row>
    <row r="11698" spans="1:21">
      <c r="A11698">
        <v>11697</v>
      </c>
      <c r="B11698" s="30" t="s">
        <v>1226</v>
      </c>
      <c r="D11698" s="30" t="s">
        <v>2024</v>
      </c>
      <c r="F11698" s="30" t="s">
        <v>1040</v>
      </c>
      <c r="G11698" s="30" t="s">
        <v>1041</v>
      </c>
      <c r="H11698" s="30" t="s">
        <v>1047</v>
      </c>
      <c r="J11698" s="30" t="s">
        <v>255</v>
      </c>
      <c r="L11698" s="30" t="s">
        <v>374</v>
      </c>
      <c r="M11698" s="30" t="s">
        <v>3778</v>
      </c>
      <c r="N11698" s="30" t="s">
        <v>382</v>
      </c>
      <c r="P11698" s="30" t="s">
        <v>17471</v>
      </c>
      <c r="Q11698" t="s">
        <v>620</v>
      </c>
      <c r="R11698" t="s">
        <v>917</v>
      </c>
      <c r="S11698">
        <v>39</v>
      </c>
      <c r="T11698" s="29" t="str">
        <f t="shared" si="488"/>
        <v>2023.022M.Varicosavirus_32nsp.zip</v>
      </c>
      <c r="U11698" s="29" t="str">
        <f>HYPERLINK("https://ictv.global/taxonomy/taxondetails?taxnode_id=202318611","ictv.global=202318611")</f>
        <v>ictv.global=202318611</v>
      </c>
    </row>
    <row r="11699" spans="1:21">
      <c r="A11699">
        <v>11698</v>
      </c>
      <c r="B11699" s="30" t="s">
        <v>1226</v>
      </c>
      <c r="D11699" s="30" t="s">
        <v>2024</v>
      </c>
      <c r="F11699" s="30" t="s">
        <v>1040</v>
      </c>
      <c r="G11699" s="30" t="s">
        <v>1041</v>
      </c>
      <c r="H11699" s="30" t="s">
        <v>1047</v>
      </c>
      <c r="J11699" s="30" t="s">
        <v>255</v>
      </c>
      <c r="L11699" s="30" t="s">
        <v>374</v>
      </c>
      <c r="M11699" s="30" t="s">
        <v>3778</v>
      </c>
      <c r="N11699" s="30" t="s">
        <v>382</v>
      </c>
      <c r="P11699" s="30" t="s">
        <v>17472</v>
      </c>
      <c r="Q11699" t="s">
        <v>620</v>
      </c>
      <c r="R11699" t="s">
        <v>917</v>
      </c>
      <c r="S11699">
        <v>39</v>
      </c>
      <c r="T11699" s="29" t="str">
        <f t="shared" si="488"/>
        <v>2023.022M.Varicosavirus_32nsp.zip</v>
      </c>
      <c r="U11699" s="29" t="str">
        <f>HYPERLINK("https://ictv.global/taxonomy/taxondetails?taxnode_id=202318612","ictv.global=202318612")</f>
        <v>ictv.global=202318612</v>
      </c>
    </row>
    <row r="11700" spans="1:21">
      <c r="A11700">
        <v>11699</v>
      </c>
      <c r="B11700" s="30" t="s">
        <v>1226</v>
      </c>
      <c r="D11700" s="30" t="s">
        <v>2024</v>
      </c>
      <c r="F11700" s="30" t="s">
        <v>1040</v>
      </c>
      <c r="G11700" s="30" t="s">
        <v>1041</v>
      </c>
      <c r="H11700" s="30" t="s">
        <v>1047</v>
      </c>
      <c r="J11700" s="30" t="s">
        <v>255</v>
      </c>
      <c r="L11700" s="30" t="s">
        <v>374</v>
      </c>
      <c r="M11700" s="30" t="s">
        <v>3778</v>
      </c>
      <c r="N11700" s="30" t="s">
        <v>382</v>
      </c>
      <c r="P11700" s="30" t="s">
        <v>17473</v>
      </c>
      <c r="Q11700" t="s">
        <v>620</v>
      </c>
      <c r="R11700" t="s">
        <v>917</v>
      </c>
      <c r="S11700">
        <v>39</v>
      </c>
      <c r="T11700" s="29" t="str">
        <f t="shared" si="488"/>
        <v>2023.022M.Varicosavirus_32nsp.zip</v>
      </c>
      <c r="U11700" s="29" t="str">
        <f>HYPERLINK("https://ictv.global/taxonomy/taxondetails?taxnode_id=202318613","ictv.global=202318613")</f>
        <v>ictv.global=202318613</v>
      </c>
    </row>
    <row r="11701" spans="1:21">
      <c r="A11701">
        <v>11700</v>
      </c>
      <c r="B11701" s="30" t="s">
        <v>1226</v>
      </c>
      <c r="D11701" s="30" t="s">
        <v>2024</v>
      </c>
      <c r="F11701" s="30" t="s">
        <v>1040</v>
      </c>
      <c r="G11701" s="30" t="s">
        <v>1041</v>
      </c>
      <c r="H11701" s="30" t="s">
        <v>1047</v>
      </c>
      <c r="J11701" s="30" t="s">
        <v>255</v>
      </c>
      <c r="L11701" s="30" t="s">
        <v>374</v>
      </c>
      <c r="M11701" s="30" t="s">
        <v>3778</v>
      </c>
      <c r="N11701" s="30" t="s">
        <v>382</v>
      </c>
      <c r="P11701" s="30" t="s">
        <v>17474</v>
      </c>
      <c r="Q11701" t="s">
        <v>620</v>
      </c>
      <c r="R11701" t="s">
        <v>917</v>
      </c>
      <c r="S11701">
        <v>39</v>
      </c>
      <c r="T11701" s="29" t="str">
        <f t="shared" si="488"/>
        <v>2023.022M.Varicosavirus_32nsp.zip</v>
      </c>
      <c r="U11701" s="29" t="str">
        <f>HYPERLINK("https://ictv.global/taxonomy/taxondetails?taxnode_id=202318614","ictv.global=202318614")</f>
        <v>ictv.global=202318614</v>
      </c>
    </row>
    <row r="11702" spans="1:21">
      <c r="A11702">
        <v>11701</v>
      </c>
      <c r="B11702" s="30" t="s">
        <v>1226</v>
      </c>
      <c r="D11702" s="30" t="s">
        <v>2024</v>
      </c>
      <c r="F11702" s="30" t="s">
        <v>1040</v>
      </c>
      <c r="G11702" s="30" t="s">
        <v>1041</v>
      </c>
      <c r="H11702" s="30" t="s">
        <v>1047</v>
      </c>
      <c r="J11702" s="30" t="s">
        <v>255</v>
      </c>
      <c r="L11702" s="30" t="s">
        <v>374</v>
      </c>
      <c r="M11702" s="30" t="s">
        <v>3778</v>
      </c>
      <c r="N11702" s="30" t="s">
        <v>382</v>
      </c>
      <c r="P11702" s="30" t="s">
        <v>17475</v>
      </c>
      <c r="Q11702" t="s">
        <v>620</v>
      </c>
      <c r="R11702" t="s">
        <v>917</v>
      </c>
      <c r="S11702">
        <v>39</v>
      </c>
      <c r="T11702" s="29" t="str">
        <f t="shared" si="488"/>
        <v>2023.022M.Varicosavirus_32nsp.zip</v>
      </c>
      <c r="U11702" s="29" t="str">
        <f>HYPERLINK("https://ictv.global/taxonomy/taxondetails?taxnode_id=202318615","ictv.global=202318615")</f>
        <v>ictv.global=202318615</v>
      </c>
    </row>
    <row r="11703" spans="1:21">
      <c r="A11703">
        <v>11702</v>
      </c>
      <c r="B11703" s="30" t="s">
        <v>1226</v>
      </c>
      <c r="D11703" s="30" t="s">
        <v>2024</v>
      </c>
      <c r="F11703" s="30" t="s">
        <v>1040</v>
      </c>
      <c r="G11703" s="30" t="s">
        <v>1041</v>
      </c>
      <c r="H11703" s="30" t="s">
        <v>1047</v>
      </c>
      <c r="J11703" s="30" t="s">
        <v>255</v>
      </c>
      <c r="L11703" s="30" t="s">
        <v>374</v>
      </c>
      <c r="M11703" s="30" t="s">
        <v>3778</v>
      </c>
      <c r="N11703" s="30" t="s">
        <v>382</v>
      </c>
      <c r="P11703" s="30" t="s">
        <v>17476</v>
      </c>
      <c r="Q11703" t="s">
        <v>620</v>
      </c>
      <c r="R11703" t="s">
        <v>917</v>
      </c>
      <c r="S11703">
        <v>39</v>
      </c>
      <c r="T11703" s="29" t="str">
        <f t="shared" si="488"/>
        <v>2023.022M.Varicosavirus_32nsp.zip</v>
      </c>
      <c r="U11703" s="29" t="str">
        <f>HYPERLINK("https://ictv.global/taxonomy/taxondetails?taxnode_id=202318616","ictv.global=202318616")</f>
        <v>ictv.global=202318616</v>
      </c>
    </row>
    <row r="11704" spans="1:21">
      <c r="A11704">
        <v>11703</v>
      </c>
      <c r="B11704" s="30" t="s">
        <v>1226</v>
      </c>
      <c r="D11704" s="30" t="s">
        <v>2024</v>
      </c>
      <c r="F11704" s="30" t="s">
        <v>1040</v>
      </c>
      <c r="G11704" s="30" t="s">
        <v>1041</v>
      </c>
      <c r="H11704" s="30" t="s">
        <v>1047</v>
      </c>
      <c r="J11704" s="30" t="s">
        <v>255</v>
      </c>
      <c r="L11704" s="30" t="s">
        <v>374</v>
      </c>
      <c r="M11704" s="30" t="s">
        <v>3778</v>
      </c>
      <c r="N11704" s="30" t="s">
        <v>382</v>
      </c>
      <c r="P11704" s="30" t="s">
        <v>17477</v>
      </c>
      <c r="Q11704" t="s">
        <v>620</v>
      </c>
      <c r="R11704" t="s">
        <v>917</v>
      </c>
      <c r="S11704">
        <v>39</v>
      </c>
      <c r="T11704" s="29" t="str">
        <f t="shared" si="488"/>
        <v>2023.022M.Varicosavirus_32nsp.zip</v>
      </c>
      <c r="U11704" s="29" t="str">
        <f>HYPERLINK("https://ictv.global/taxonomy/taxondetails?taxnode_id=202318617","ictv.global=202318617")</f>
        <v>ictv.global=202318617</v>
      </c>
    </row>
    <row r="11705" spans="1:21">
      <c r="A11705">
        <v>11704</v>
      </c>
      <c r="B11705" s="30" t="s">
        <v>1226</v>
      </c>
      <c r="D11705" s="30" t="s">
        <v>2024</v>
      </c>
      <c r="F11705" s="30" t="s">
        <v>1040</v>
      </c>
      <c r="G11705" s="30" t="s">
        <v>1041</v>
      </c>
      <c r="H11705" s="30" t="s">
        <v>1047</v>
      </c>
      <c r="J11705" s="30" t="s">
        <v>255</v>
      </c>
      <c r="L11705" s="30" t="s">
        <v>374</v>
      </c>
      <c r="M11705" s="30" t="s">
        <v>3778</v>
      </c>
      <c r="N11705" s="30" t="s">
        <v>382</v>
      </c>
      <c r="P11705" s="30" t="s">
        <v>17478</v>
      </c>
      <c r="Q11705" t="s">
        <v>620</v>
      </c>
      <c r="R11705" t="s">
        <v>917</v>
      </c>
      <c r="S11705">
        <v>39</v>
      </c>
      <c r="T11705" s="29" t="str">
        <f t="shared" si="488"/>
        <v>2023.022M.Varicosavirus_32nsp.zip</v>
      </c>
      <c r="U11705" s="29" t="str">
        <f>HYPERLINK("https://ictv.global/taxonomy/taxondetails?taxnode_id=202318618","ictv.global=202318618")</f>
        <v>ictv.global=202318618</v>
      </c>
    </row>
    <row r="11706" spans="1:21">
      <c r="A11706">
        <v>11705</v>
      </c>
      <c r="B11706" s="30" t="s">
        <v>1226</v>
      </c>
      <c r="D11706" s="30" t="s">
        <v>2024</v>
      </c>
      <c r="F11706" s="30" t="s">
        <v>1040</v>
      </c>
      <c r="G11706" s="30" t="s">
        <v>1041</v>
      </c>
      <c r="H11706" s="30" t="s">
        <v>1047</v>
      </c>
      <c r="J11706" s="30" t="s">
        <v>255</v>
      </c>
      <c r="L11706" s="30" t="s">
        <v>374</v>
      </c>
      <c r="M11706" s="30" t="s">
        <v>3778</v>
      </c>
      <c r="N11706" s="30" t="s">
        <v>382</v>
      </c>
      <c r="P11706" s="30" t="s">
        <v>10215</v>
      </c>
      <c r="Q11706" t="s">
        <v>620</v>
      </c>
      <c r="R11706" t="s">
        <v>920</v>
      </c>
      <c r="S11706">
        <v>37</v>
      </c>
      <c r="T11706" s="29" t="str">
        <f>HYPERLINK("https://ictv.global/ictv/proposals/2021.036M.R.Rhabdoviridae_sprename.zip","2021.036M.R.Rhabdoviridae_sprename.zip")</f>
        <v>2021.036M.R.Rhabdoviridae_sprename.zip</v>
      </c>
      <c r="U11706" s="29" t="str">
        <f>HYPERLINK("https://ictv.global/taxonomy/taxondetails?taxnode_id=202309369","ictv.global=202309369")</f>
        <v>ictv.global=202309369</v>
      </c>
    </row>
    <row r="11707" spans="1:21">
      <c r="A11707">
        <v>11706</v>
      </c>
      <c r="B11707" s="30" t="s">
        <v>1226</v>
      </c>
      <c r="D11707" s="30" t="s">
        <v>2024</v>
      </c>
      <c r="F11707" s="30" t="s">
        <v>1040</v>
      </c>
      <c r="G11707" s="30" t="s">
        <v>1041</v>
      </c>
      <c r="H11707" s="30" t="s">
        <v>1047</v>
      </c>
      <c r="J11707" s="30" t="s">
        <v>255</v>
      </c>
      <c r="L11707" s="30" t="s">
        <v>374</v>
      </c>
      <c r="M11707" s="30" t="s">
        <v>3778</v>
      </c>
      <c r="N11707" s="30" t="s">
        <v>382</v>
      </c>
      <c r="P11707" s="30" t="s">
        <v>17479</v>
      </c>
      <c r="Q11707" t="s">
        <v>620</v>
      </c>
      <c r="R11707" t="s">
        <v>917</v>
      </c>
      <c r="S11707">
        <v>39</v>
      </c>
      <c r="T11707" s="29" t="str">
        <f>HYPERLINK("https://ictv.global/ictv/proposals/2023.022M.Varicosavirus_32nsp.zip","2023.022M.Varicosavirus_32nsp.zip")</f>
        <v>2023.022M.Varicosavirus_32nsp.zip</v>
      </c>
      <c r="U11707" s="29" t="str">
        <f>HYPERLINK("https://ictv.global/taxonomy/taxondetails?taxnode_id=202318619","ictv.global=202318619")</f>
        <v>ictv.global=202318619</v>
      </c>
    </row>
    <row r="11708" spans="1:21">
      <c r="A11708">
        <v>11707</v>
      </c>
      <c r="B11708" s="30" t="s">
        <v>1226</v>
      </c>
      <c r="D11708" s="30" t="s">
        <v>2024</v>
      </c>
      <c r="F11708" s="30" t="s">
        <v>1040</v>
      </c>
      <c r="G11708" s="30" t="s">
        <v>1041</v>
      </c>
      <c r="H11708" s="30" t="s">
        <v>1047</v>
      </c>
      <c r="J11708" s="30" t="s">
        <v>255</v>
      </c>
      <c r="L11708" s="30" t="s">
        <v>374</v>
      </c>
      <c r="M11708" s="30" t="s">
        <v>3778</v>
      </c>
      <c r="N11708" s="30" t="s">
        <v>382</v>
      </c>
      <c r="P11708" s="30" t="s">
        <v>17480</v>
      </c>
      <c r="Q11708" t="s">
        <v>620</v>
      </c>
      <c r="R11708" t="s">
        <v>917</v>
      </c>
      <c r="S11708">
        <v>39</v>
      </c>
      <c r="T11708" s="29" t="str">
        <f>HYPERLINK("https://ictv.global/ictv/proposals/2023.022M.Varicosavirus_32nsp.zip","2023.022M.Varicosavirus_32nsp.zip")</f>
        <v>2023.022M.Varicosavirus_32nsp.zip</v>
      </c>
      <c r="U11708" s="29" t="str">
        <f>HYPERLINK("https://ictv.global/taxonomy/taxondetails?taxnode_id=202318620","ictv.global=202318620")</f>
        <v>ictv.global=202318620</v>
      </c>
    </row>
    <row r="11709" spans="1:21">
      <c r="A11709">
        <v>11708</v>
      </c>
      <c r="B11709" s="30" t="s">
        <v>1226</v>
      </c>
      <c r="D11709" s="30" t="s">
        <v>2024</v>
      </c>
      <c r="F11709" s="30" t="s">
        <v>1040</v>
      </c>
      <c r="G11709" s="30" t="s">
        <v>1041</v>
      </c>
      <c r="H11709" s="30" t="s">
        <v>1047</v>
      </c>
      <c r="J11709" s="30" t="s">
        <v>255</v>
      </c>
      <c r="L11709" s="30" t="s">
        <v>374</v>
      </c>
      <c r="M11709" s="30" t="s">
        <v>3778</v>
      </c>
      <c r="N11709" s="30" t="s">
        <v>382</v>
      </c>
      <c r="P11709" s="30" t="s">
        <v>10216</v>
      </c>
      <c r="Q11709" t="s">
        <v>620</v>
      </c>
      <c r="R11709" t="s">
        <v>917</v>
      </c>
      <c r="S11709">
        <v>38</v>
      </c>
      <c r="T11709" s="29" t="str">
        <f>HYPERLINK("https://ictv.global/ictv/proposals/2022.021M.Varicosavirus_9nsp.zip","2022.021M.Varicosavirus_9nsp.zip")</f>
        <v>2022.021M.Varicosavirus_9nsp.zip</v>
      </c>
      <c r="U11709" s="29" t="str">
        <f>HYPERLINK("https://ictv.global/taxonomy/taxondetails?taxnode_id=202314272","ictv.global=202314272")</f>
        <v>ictv.global=202314272</v>
      </c>
    </row>
    <row r="11710" spans="1:21">
      <c r="A11710">
        <v>11709</v>
      </c>
      <c r="B11710" s="30" t="s">
        <v>1226</v>
      </c>
      <c r="D11710" s="30" t="s">
        <v>2024</v>
      </c>
      <c r="F11710" s="30" t="s">
        <v>1040</v>
      </c>
      <c r="G11710" s="30" t="s">
        <v>1041</v>
      </c>
      <c r="H11710" s="30" t="s">
        <v>1047</v>
      </c>
      <c r="J11710" s="30" t="s">
        <v>255</v>
      </c>
      <c r="L11710" s="30" t="s">
        <v>374</v>
      </c>
      <c r="M11710" s="30" t="s">
        <v>3778</v>
      </c>
      <c r="N11710" s="30" t="s">
        <v>382</v>
      </c>
      <c r="P11710" s="30" t="s">
        <v>10217</v>
      </c>
      <c r="Q11710" t="s">
        <v>620</v>
      </c>
      <c r="R11710" t="s">
        <v>917</v>
      </c>
      <c r="S11710">
        <v>38</v>
      </c>
      <c r="T11710" s="29" t="str">
        <f>HYPERLINK("https://ictv.global/ictv/proposals/2022.021M.Varicosavirus_9nsp.zip","2022.021M.Varicosavirus_9nsp.zip")</f>
        <v>2022.021M.Varicosavirus_9nsp.zip</v>
      </c>
      <c r="U11710" s="29" t="str">
        <f>HYPERLINK("https://ictv.global/taxonomy/taxondetails?taxnode_id=202314273","ictv.global=202314273")</f>
        <v>ictv.global=202314273</v>
      </c>
    </row>
    <row r="11711" spans="1:21">
      <c r="A11711">
        <v>11710</v>
      </c>
      <c r="B11711" s="30" t="s">
        <v>1226</v>
      </c>
      <c r="D11711" s="30" t="s">
        <v>2024</v>
      </c>
      <c r="F11711" s="30" t="s">
        <v>1040</v>
      </c>
      <c r="G11711" s="30" t="s">
        <v>1041</v>
      </c>
      <c r="H11711" s="30" t="s">
        <v>1047</v>
      </c>
      <c r="J11711" s="30" t="s">
        <v>255</v>
      </c>
      <c r="L11711" s="30" t="s">
        <v>374</v>
      </c>
      <c r="M11711" s="30" t="s">
        <v>3778</v>
      </c>
      <c r="N11711" s="30" t="s">
        <v>382</v>
      </c>
      <c r="P11711" s="30" t="s">
        <v>17481</v>
      </c>
      <c r="Q11711" t="s">
        <v>620</v>
      </c>
      <c r="R11711" t="s">
        <v>917</v>
      </c>
      <c r="S11711">
        <v>39</v>
      </c>
      <c r="T11711" s="29" t="str">
        <f>HYPERLINK("https://ictv.global/ictv/proposals/2023.022M.Varicosavirus_32nsp.zip","2023.022M.Varicosavirus_32nsp.zip")</f>
        <v>2023.022M.Varicosavirus_32nsp.zip</v>
      </c>
      <c r="U11711" s="29" t="str">
        <f>HYPERLINK("https://ictv.global/taxonomy/taxondetails?taxnode_id=202318621","ictv.global=202318621")</f>
        <v>ictv.global=202318621</v>
      </c>
    </row>
    <row r="11712" spans="1:21">
      <c r="A11712">
        <v>11711</v>
      </c>
      <c r="B11712" s="30" t="s">
        <v>1226</v>
      </c>
      <c r="D11712" s="30" t="s">
        <v>2024</v>
      </c>
      <c r="F11712" s="30" t="s">
        <v>1040</v>
      </c>
      <c r="G11712" s="30" t="s">
        <v>1041</v>
      </c>
      <c r="H11712" s="30" t="s">
        <v>1047</v>
      </c>
      <c r="J11712" s="30" t="s">
        <v>255</v>
      </c>
      <c r="L11712" s="30" t="s">
        <v>374</v>
      </c>
      <c r="M11712" s="30" t="s">
        <v>3778</v>
      </c>
      <c r="N11712" s="30" t="s">
        <v>382</v>
      </c>
      <c r="P11712" s="30" t="s">
        <v>10218</v>
      </c>
      <c r="Q11712" t="s">
        <v>620</v>
      </c>
      <c r="R11712" t="s">
        <v>917</v>
      </c>
      <c r="S11712">
        <v>38</v>
      </c>
      <c r="T11712" s="29" t="str">
        <f>HYPERLINK("https://ictv.global/ictv/proposals/2022.021M.Varicosavirus_9nsp.zip","2022.021M.Varicosavirus_9nsp.zip")</f>
        <v>2022.021M.Varicosavirus_9nsp.zip</v>
      </c>
      <c r="U11712" s="29" t="str">
        <f>HYPERLINK("https://ictv.global/taxonomy/taxondetails?taxnode_id=202314274","ictv.global=202314274")</f>
        <v>ictv.global=202314274</v>
      </c>
    </row>
    <row r="11713" spans="1:21">
      <c r="A11713">
        <v>11712</v>
      </c>
      <c r="B11713" s="30" t="s">
        <v>1226</v>
      </c>
      <c r="D11713" s="30" t="s">
        <v>2024</v>
      </c>
      <c r="F11713" s="30" t="s">
        <v>1040</v>
      </c>
      <c r="G11713" s="30" t="s">
        <v>1041</v>
      </c>
      <c r="H11713" s="30" t="s">
        <v>1047</v>
      </c>
      <c r="J11713" s="30" t="s">
        <v>255</v>
      </c>
      <c r="L11713" s="30" t="s">
        <v>374</v>
      </c>
      <c r="M11713" s="30" t="s">
        <v>17482</v>
      </c>
      <c r="N11713" s="30" t="s">
        <v>3780</v>
      </c>
      <c r="P11713" s="30" t="s">
        <v>10223</v>
      </c>
      <c r="Q11713" t="s">
        <v>620</v>
      </c>
      <c r="R11713" t="s">
        <v>919</v>
      </c>
      <c r="S11713">
        <v>39</v>
      </c>
      <c r="T11713" s="29" t="str">
        <f t="shared" ref="T11713:T11746" si="489">HYPERLINK("https://ictv.global/ictv/proposals/2023.021M.Rhabdoviridae_24nsp_5ngen_1nsf.zip","2023.021M.Rhabdoviridae_24nsp_5ngen_1nsf.zip")</f>
        <v>2023.021M.Rhabdoviridae_24nsp_5ngen_1nsf.zip</v>
      </c>
      <c r="U11713" s="29" t="str">
        <f>HYPERLINK("https://ictv.global/taxonomy/taxondetails?taxnode_id=202309636","ictv.global=202309636")</f>
        <v>ictv.global=202309636</v>
      </c>
    </row>
    <row r="11714" spans="1:21">
      <c r="A11714">
        <v>11713</v>
      </c>
      <c r="B11714" s="30" t="s">
        <v>1226</v>
      </c>
      <c r="D11714" s="30" t="s">
        <v>2024</v>
      </c>
      <c r="F11714" s="30" t="s">
        <v>1040</v>
      </c>
      <c r="G11714" s="30" t="s">
        <v>1041</v>
      </c>
      <c r="H11714" s="30" t="s">
        <v>1047</v>
      </c>
      <c r="J11714" s="30" t="s">
        <v>255</v>
      </c>
      <c r="L11714" s="30" t="s">
        <v>374</v>
      </c>
      <c r="M11714" s="30" t="s">
        <v>17482</v>
      </c>
      <c r="N11714" s="30" t="s">
        <v>3780</v>
      </c>
      <c r="P11714" s="30" t="s">
        <v>10224</v>
      </c>
      <c r="Q11714" t="s">
        <v>620</v>
      </c>
      <c r="R11714" t="s">
        <v>919</v>
      </c>
      <c r="S11714">
        <v>39</v>
      </c>
      <c r="T11714" s="29" t="str">
        <f t="shared" si="489"/>
        <v>2023.021M.Rhabdoviridae_24nsp_5ngen_1nsf.zip</v>
      </c>
      <c r="U11714" s="29" t="str">
        <f>HYPERLINK("https://ictv.global/taxonomy/taxondetails?taxnode_id=202309637","ictv.global=202309637")</f>
        <v>ictv.global=202309637</v>
      </c>
    </row>
    <row r="11715" spans="1:21">
      <c r="A11715">
        <v>11714</v>
      </c>
      <c r="B11715" s="30" t="s">
        <v>1226</v>
      </c>
      <c r="D11715" s="30" t="s">
        <v>2024</v>
      </c>
      <c r="F11715" s="30" t="s">
        <v>1040</v>
      </c>
      <c r="G11715" s="30" t="s">
        <v>1041</v>
      </c>
      <c r="H11715" s="30" t="s">
        <v>1047</v>
      </c>
      <c r="J11715" s="30" t="s">
        <v>255</v>
      </c>
      <c r="L11715" s="30" t="s">
        <v>374</v>
      </c>
      <c r="M11715" s="30" t="s">
        <v>17482</v>
      </c>
      <c r="N11715" s="30" t="s">
        <v>3781</v>
      </c>
      <c r="P11715" s="30" t="s">
        <v>10225</v>
      </c>
      <c r="Q11715" t="s">
        <v>620</v>
      </c>
      <c r="R11715" t="s">
        <v>919</v>
      </c>
      <c r="S11715">
        <v>39</v>
      </c>
      <c r="T11715" s="29" t="str">
        <f t="shared" si="489"/>
        <v>2023.021M.Rhabdoviridae_24nsp_5ngen_1nsf.zip</v>
      </c>
      <c r="U11715" s="29" t="str">
        <f>HYPERLINK("https://ictv.global/taxonomy/taxondetails?taxnode_id=202309640","ictv.global=202309640")</f>
        <v>ictv.global=202309640</v>
      </c>
    </row>
    <row r="11716" spans="1:21">
      <c r="A11716">
        <v>11715</v>
      </c>
      <c r="B11716" s="30" t="s">
        <v>1226</v>
      </c>
      <c r="D11716" s="30" t="s">
        <v>2024</v>
      </c>
      <c r="F11716" s="30" t="s">
        <v>1040</v>
      </c>
      <c r="G11716" s="30" t="s">
        <v>1041</v>
      </c>
      <c r="H11716" s="30" t="s">
        <v>1047</v>
      </c>
      <c r="J11716" s="30" t="s">
        <v>255</v>
      </c>
      <c r="L11716" s="30" t="s">
        <v>374</v>
      </c>
      <c r="M11716" s="30" t="s">
        <v>17482</v>
      </c>
      <c r="N11716" s="30" t="s">
        <v>3781</v>
      </c>
      <c r="P11716" s="30" t="s">
        <v>10226</v>
      </c>
      <c r="Q11716" t="s">
        <v>620</v>
      </c>
      <c r="R11716" t="s">
        <v>919</v>
      </c>
      <c r="S11716">
        <v>39</v>
      </c>
      <c r="T11716" s="29" t="str">
        <f t="shared" si="489"/>
        <v>2023.021M.Rhabdoviridae_24nsp_5ngen_1nsf.zip</v>
      </c>
      <c r="U11716" s="29" t="str">
        <f>HYPERLINK("https://ictv.global/taxonomy/taxondetails?taxnode_id=202309639","ictv.global=202309639")</f>
        <v>ictv.global=202309639</v>
      </c>
    </row>
    <row r="11717" spans="1:21">
      <c r="A11717">
        <v>11716</v>
      </c>
      <c r="B11717" s="30" t="s">
        <v>1226</v>
      </c>
      <c r="D11717" s="30" t="s">
        <v>2024</v>
      </c>
      <c r="F11717" s="30" t="s">
        <v>1040</v>
      </c>
      <c r="G11717" s="30" t="s">
        <v>1041</v>
      </c>
      <c r="H11717" s="30" t="s">
        <v>1047</v>
      </c>
      <c r="J11717" s="30" t="s">
        <v>255</v>
      </c>
      <c r="L11717" s="30" t="s">
        <v>374</v>
      </c>
      <c r="M11717" s="30" t="s">
        <v>17482</v>
      </c>
      <c r="N11717" s="30" t="s">
        <v>3782</v>
      </c>
      <c r="P11717" s="30" t="s">
        <v>10227</v>
      </c>
      <c r="Q11717" t="s">
        <v>620</v>
      </c>
      <c r="R11717" t="s">
        <v>919</v>
      </c>
      <c r="S11717">
        <v>39</v>
      </c>
      <c r="T11717" s="29" t="str">
        <f t="shared" si="489"/>
        <v>2023.021M.Rhabdoviridae_24nsp_5ngen_1nsf.zip</v>
      </c>
      <c r="U11717" s="29" t="str">
        <f>HYPERLINK("https://ictv.global/taxonomy/taxondetails?taxnode_id=202309643","ictv.global=202309643")</f>
        <v>ictv.global=202309643</v>
      </c>
    </row>
    <row r="11718" spans="1:21">
      <c r="A11718">
        <v>11717</v>
      </c>
      <c r="B11718" s="30" t="s">
        <v>1226</v>
      </c>
      <c r="D11718" s="30" t="s">
        <v>2024</v>
      </c>
      <c r="F11718" s="30" t="s">
        <v>1040</v>
      </c>
      <c r="G11718" s="30" t="s">
        <v>1041</v>
      </c>
      <c r="H11718" s="30" t="s">
        <v>1047</v>
      </c>
      <c r="J11718" s="30" t="s">
        <v>255</v>
      </c>
      <c r="L11718" s="30" t="s">
        <v>374</v>
      </c>
      <c r="M11718" s="30" t="s">
        <v>17482</v>
      </c>
      <c r="N11718" s="30" t="s">
        <v>3782</v>
      </c>
      <c r="P11718" s="30" t="s">
        <v>17483</v>
      </c>
      <c r="Q11718" t="s">
        <v>620</v>
      </c>
      <c r="R11718" t="s">
        <v>917</v>
      </c>
      <c r="S11718">
        <v>39</v>
      </c>
      <c r="T11718" s="29" t="str">
        <f t="shared" si="489"/>
        <v>2023.021M.Rhabdoviridae_24nsp_5ngen_1nsf.zip</v>
      </c>
      <c r="U11718" s="29" t="str">
        <f>HYPERLINK("https://ictv.global/taxonomy/taxondetails?taxnode_id=202318549","ictv.global=202318549")</f>
        <v>ictv.global=202318549</v>
      </c>
    </row>
    <row r="11719" spans="1:21">
      <c r="A11719">
        <v>11718</v>
      </c>
      <c r="B11719" s="30" t="s">
        <v>1226</v>
      </c>
      <c r="D11719" s="30" t="s">
        <v>2024</v>
      </c>
      <c r="F11719" s="30" t="s">
        <v>1040</v>
      </c>
      <c r="G11719" s="30" t="s">
        <v>1041</v>
      </c>
      <c r="H11719" s="30" t="s">
        <v>1047</v>
      </c>
      <c r="J11719" s="30" t="s">
        <v>255</v>
      </c>
      <c r="L11719" s="30" t="s">
        <v>374</v>
      </c>
      <c r="M11719" s="30" t="s">
        <v>17482</v>
      </c>
      <c r="N11719" s="30" t="s">
        <v>3782</v>
      </c>
      <c r="P11719" s="30" t="s">
        <v>10228</v>
      </c>
      <c r="Q11719" t="s">
        <v>620</v>
      </c>
      <c r="R11719" t="s">
        <v>919</v>
      </c>
      <c r="S11719">
        <v>39</v>
      </c>
      <c r="T11719" s="29" t="str">
        <f t="shared" si="489"/>
        <v>2023.021M.Rhabdoviridae_24nsp_5ngen_1nsf.zip</v>
      </c>
      <c r="U11719" s="29" t="str">
        <f>HYPERLINK("https://ictv.global/taxonomy/taxondetails?taxnode_id=202309645","ictv.global=202309645")</f>
        <v>ictv.global=202309645</v>
      </c>
    </row>
    <row r="11720" spans="1:21">
      <c r="A11720">
        <v>11719</v>
      </c>
      <c r="B11720" s="30" t="s">
        <v>1226</v>
      </c>
      <c r="D11720" s="30" t="s">
        <v>2024</v>
      </c>
      <c r="F11720" s="30" t="s">
        <v>1040</v>
      </c>
      <c r="G11720" s="30" t="s">
        <v>1041</v>
      </c>
      <c r="H11720" s="30" t="s">
        <v>1047</v>
      </c>
      <c r="J11720" s="30" t="s">
        <v>255</v>
      </c>
      <c r="L11720" s="30" t="s">
        <v>374</v>
      </c>
      <c r="M11720" s="30" t="s">
        <v>17482</v>
      </c>
      <c r="N11720" s="30" t="s">
        <v>3782</v>
      </c>
      <c r="P11720" s="30" t="s">
        <v>10229</v>
      </c>
      <c r="Q11720" t="s">
        <v>620</v>
      </c>
      <c r="R11720" t="s">
        <v>919</v>
      </c>
      <c r="S11720">
        <v>39</v>
      </c>
      <c r="T11720" s="29" t="str">
        <f t="shared" si="489"/>
        <v>2023.021M.Rhabdoviridae_24nsp_5ngen_1nsf.zip</v>
      </c>
      <c r="U11720" s="29" t="str">
        <f>HYPERLINK("https://ictv.global/taxonomy/taxondetails?taxnode_id=202309642","ictv.global=202309642")</f>
        <v>ictv.global=202309642</v>
      </c>
    </row>
    <row r="11721" spans="1:21">
      <c r="A11721">
        <v>11720</v>
      </c>
      <c r="B11721" s="30" t="s">
        <v>1226</v>
      </c>
      <c r="D11721" s="30" t="s">
        <v>2024</v>
      </c>
      <c r="F11721" s="30" t="s">
        <v>1040</v>
      </c>
      <c r="G11721" s="30" t="s">
        <v>1041</v>
      </c>
      <c r="H11721" s="30" t="s">
        <v>1047</v>
      </c>
      <c r="J11721" s="30" t="s">
        <v>255</v>
      </c>
      <c r="L11721" s="30" t="s">
        <v>374</v>
      </c>
      <c r="M11721" s="30" t="s">
        <v>17482</v>
      </c>
      <c r="N11721" s="30" t="s">
        <v>3782</v>
      </c>
      <c r="P11721" s="30" t="s">
        <v>10230</v>
      </c>
      <c r="Q11721" t="s">
        <v>620</v>
      </c>
      <c r="R11721" t="s">
        <v>919</v>
      </c>
      <c r="S11721">
        <v>39</v>
      </c>
      <c r="T11721" s="29" t="str">
        <f t="shared" si="489"/>
        <v>2023.021M.Rhabdoviridae_24nsp_5ngen_1nsf.zip</v>
      </c>
      <c r="U11721" s="29" t="str">
        <f>HYPERLINK("https://ictv.global/taxonomy/taxondetails?taxnode_id=202309644","ictv.global=202309644")</f>
        <v>ictv.global=202309644</v>
      </c>
    </row>
    <row r="11722" spans="1:21">
      <c r="A11722">
        <v>11721</v>
      </c>
      <c r="B11722" s="30" t="s">
        <v>1226</v>
      </c>
      <c r="D11722" s="30" t="s">
        <v>2024</v>
      </c>
      <c r="F11722" s="30" t="s">
        <v>1040</v>
      </c>
      <c r="G11722" s="30" t="s">
        <v>1041</v>
      </c>
      <c r="H11722" s="30" t="s">
        <v>1047</v>
      </c>
      <c r="J11722" s="30" t="s">
        <v>255</v>
      </c>
      <c r="L11722" s="30" t="s">
        <v>374</v>
      </c>
      <c r="M11722" s="30" t="s">
        <v>17482</v>
      </c>
      <c r="N11722" s="30" t="s">
        <v>3782</v>
      </c>
      <c r="P11722" s="30" t="s">
        <v>17484</v>
      </c>
      <c r="Q11722" t="s">
        <v>620</v>
      </c>
      <c r="R11722" t="s">
        <v>917</v>
      </c>
      <c r="S11722">
        <v>39</v>
      </c>
      <c r="T11722" s="29" t="str">
        <f t="shared" si="489"/>
        <v>2023.021M.Rhabdoviridae_24nsp_5ngen_1nsf.zip</v>
      </c>
      <c r="U11722" s="29" t="str">
        <f>HYPERLINK("https://ictv.global/taxonomy/taxondetails?taxnode_id=202318550","ictv.global=202318550")</f>
        <v>ictv.global=202318550</v>
      </c>
    </row>
    <row r="11723" spans="1:21">
      <c r="A11723">
        <v>11722</v>
      </c>
      <c r="B11723" s="30" t="s">
        <v>1226</v>
      </c>
      <c r="D11723" s="30" t="s">
        <v>2024</v>
      </c>
      <c r="F11723" s="30" t="s">
        <v>1040</v>
      </c>
      <c r="G11723" s="30" t="s">
        <v>1041</v>
      </c>
      <c r="H11723" s="30" t="s">
        <v>1047</v>
      </c>
      <c r="J11723" s="30" t="s">
        <v>255</v>
      </c>
      <c r="L11723" s="30" t="s">
        <v>374</v>
      </c>
      <c r="M11723" s="30" t="s">
        <v>17482</v>
      </c>
      <c r="N11723" s="30" t="s">
        <v>3783</v>
      </c>
      <c r="P11723" s="30" t="s">
        <v>10231</v>
      </c>
      <c r="Q11723" t="s">
        <v>620</v>
      </c>
      <c r="R11723" t="s">
        <v>919</v>
      </c>
      <c r="S11723">
        <v>39</v>
      </c>
      <c r="T11723" s="29" t="str">
        <f t="shared" si="489"/>
        <v>2023.021M.Rhabdoviridae_24nsp_5ngen_1nsf.zip</v>
      </c>
      <c r="U11723" s="29" t="str">
        <f>HYPERLINK("https://ictv.global/taxonomy/taxondetails?taxnode_id=202309647","ictv.global=202309647")</f>
        <v>ictv.global=202309647</v>
      </c>
    </row>
    <row r="11724" spans="1:21">
      <c r="A11724">
        <v>11723</v>
      </c>
      <c r="B11724" s="30" t="s">
        <v>1226</v>
      </c>
      <c r="D11724" s="30" t="s">
        <v>2024</v>
      </c>
      <c r="F11724" s="30" t="s">
        <v>1040</v>
      </c>
      <c r="G11724" s="30" t="s">
        <v>1041</v>
      </c>
      <c r="H11724" s="30" t="s">
        <v>1047</v>
      </c>
      <c r="J11724" s="30" t="s">
        <v>255</v>
      </c>
      <c r="L11724" s="30" t="s">
        <v>374</v>
      </c>
      <c r="M11724" s="30" t="s">
        <v>17482</v>
      </c>
      <c r="N11724" s="30" t="s">
        <v>3783</v>
      </c>
      <c r="P11724" s="30" t="s">
        <v>10232</v>
      </c>
      <c r="Q11724" t="s">
        <v>620</v>
      </c>
      <c r="R11724" t="s">
        <v>919</v>
      </c>
      <c r="S11724">
        <v>39</v>
      </c>
      <c r="T11724" s="29" t="str">
        <f t="shared" si="489"/>
        <v>2023.021M.Rhabdoviridae_24nsp_5ngen_1nsf.zip</v>
      </c>
      <c r="U11724" s="29" t="str">
        <f>HYPERLINK("https://ictv.global/taxonomy/taxondetails?taxnode_id=202309648","ictv.global=202309648")</f>
        <v>ictv.global=202309648</v>
      </c>
    </row>
    <row r="11725" spans="1:21">
      <c r="A11725">
        <v>11724</v>
      </c>
      <c r="B11725" s="30" t="s">
        <v>1226</v>
      </c>
      <c r="D11725" s="30" t="s">
        <v>2024</v>
      </c>
      <c r="F11725" s="30" t="s">
        <v>1040</v>
      </c>
      <c r="G11725" s="30" t="s">
        <v>1041</v>
      </c>
      <c r="H11725" s="30" t="s">
        <v>1047</v>
      </c>
      <c r="J11725" s="30" t="s">
        <v>255</v>
      </c>
      <c r="L11725" s="30" t="s">
        <v>374</v>
      </c>
      <c r="M11725" s="30" t="s">
        <v>17482</v>
      </c>
      <c r="N11725" s="30" t="s">
        <v>3783</v>
      </c>
      <c r="P11725" s="30" t="s">
        <v>17485</v>
      </c>
      <c r="Q11725" t="s">
        <v>620</v>
      </c>
      <c r="R11725" t="s">
        <v>917</v>
      </c>
      <c r="S11725">
        <v>39</v>
      </c>
      <c r="T11725" s="29" t="str">
        <f t="shared" si="489"/>
        <v>2023.021M.Rhabdoviridae_24nsp_5ngen_1nsf.zip</v>
      </c>
      <c r="U11725" s="29" t="str">
        <f>HYPERLINK("https://ictv.global/taxonomy/taxondetails?taxnode_id=202318551","ictv.global=202318551")</f>
        <v>ictv.global=202318551</v>
      </c>
    </row>
    <row r="11726" spans="1:21">
      <c r="A11726">
        <v>11725</v>
      </c>
      <c r="B11726" s="30" t="s">
        <v>1226</v>
      </c>
      <c r="D11726" s="30" t="s">
        <v>2024</v>
      </c>
      <c r="F11726" s="30" t="s">
        <v>1040</v>
      </c>
      <c r="G11726" s="30" t="s">
        <v>1041</v>
      </c>
      <c r="H11726" s="30" t="s">
        <v>1047</v>
      </c>
      <c r="J11726" s="30" t="s">
        <v>255</v>
      </c>
      <c r="L11726" s="30" t="s">
        <v>374</v>
      </c>
      <c r="M11726" s="30" t="s">
        <v>17482</v>
      </c>
      <c r="N11726" s="30" t="s">
        <v>3784</v>
      </c>
      <c r="P11726" s="30" t="s">
        <v>10233</v>
      </c>
      <c r="Q11726" t="s">
        <v>620</v>
      </c>
      <c r="R11726" t="s">
        <v>919</v>
      </c>
      <c r="S11726">
        <v>39</v>
      </c>
      <c r="T11726" s="29" t="str">
        <f t="shared" si="489"/>
        <v>2023.021M.Rhabdoviridae_24nsp_5ngen_1nsf.zip</v>
      </c>
      <c r="U11726" s="29" t="str">
        <f>HYPERLINK("https://ictv.global/taxonomy/taxondetails?taxnode_id=202309651","ictv.global=202309651")</f>
        <v>ictv.global=202309651</v>
      </c>
    </row>
    <row r="11727" spans="1:21">
      <c r="A11727">
        <v>11726</v>
      </c>
      <c r="B11727" s="30" t="s">
        <v>1226</v>
      </c>
      <c r="D11727" s="30" t="s">
        <v>2024</v>
      </c>
      <c r="F11727" s="30" t="s">
        <v>1040</v>
      </c>
      <c r="G11727" s="30" t="s">
        <v>1041</v>
      </c>
      <c r="H11727" s="30" t="s">
        <v>1047</v>
      </c>
      <c r="J11727" s="30" t="s">
        <v>255</v>
      </c>
      <c r="L11727" s="30" t="s">
        <v>374</v>
      </c>
      <c r="M11727" s="30" t="s">
        <v>17482</v>
      </c>
      <c r="N11727" s="30" t="s">
        <v>3784</v>
      </c>
      <c r="P11727" s="30" t="s">
        <v>10234</v>
      </c>
      <c r="Q11727" t="s">
        <v>620</v>
      </c>
      <c r="R11727" t="s">
        <v>919</v>
      </c>
      <c r="S11727">
        <v>39</v>
      </c>
      <c r="T11727" s="29" t="str">
        <f t="shared" si="489"/>
        <v>2023.021M.Rhabdoviridae_24nsp_5ngen_1nsf.zip</v>
      </c>
      <c r="U11727" s="29" t="str">
        <f>HYPERLINK("https://ictv.global/taxonomy/taxondetails?taxnode_id=202309650","ictv.global=202309650")</f>
        <v>ictv.global=202309650</v>
      </c>
    </row>
    <row r="11728" spans="1:21">
      <c r="A11728">
        <v>11727</v>
      </c>
      <c r="B11728" s="30" t="s">
        <v>1226</v>
      </c>
      <c r="D11728" s="30" t="s">
        <v>2024</v>
      </c>
      <c r="F11728" s="30" t="s">
        <v>1040</v>
      </c>
      <c r="G11728" s="30" t="s">
        <v>1041</v>
      </c>
      <c r="H11728" s="30" t="s">
        <v>1047</v>
      </c>
      <c r="J11728" s="30" t="s">
        <v>255</v>
      </c>
      <c r="L11728" s="30" t="s">
        <v>374</v>
      </c>
      <c r="M11728" s="30" t="s">
        <v>17482</v>
      </c>
      <c r="N11728" s="30" t="s">
        <v>3785</v>
      </c>
      <c r="P11728" s="30" t="s">
        <v>10235</v>
      </c>
      <c r="Q11728" t="s">
        <v>620</v>
      </c>
      <c r="R11728" t="s">
        <v>919</v>
      </c>
      <c r="S11728">
        <v>39</v>
      </c>
      <c r="T11728" s="29" t="str">
        <f t="shared" si="489"/>
        <v>2023.021M.Rhabdoviridae_24nsp_5ngen_1nsf.zip</v>
      </c>
      <c r="U11728" s="29" t="str">
        <f>HYPERLINK("https://ictv.global/taxonomy/taxondetails?taxnode_id=202309653","ictv.global=202309653")</f>
        <v>ictv.global=202309653</v>
      </c>
    </row>
    <row r="11729" spans="1:21">
      <c r="A11729">
        <v>11728</v>
      </c>
      <c r="B11729" s="30" t="s">
        <v>1226</v>
      </c>
      <c r="D11729" s="30" t="s">
        <v>2024</v>
      </c>
      <c r="F11729" s="30" t="s">
        <v>1040</v>
      </c>
      <c r="G11729" s="30" t="s">
        <v>1041</v>
      </c>
      <c r="H11729" s="30" t="s">
        <v>1047</v>
      </c>
      <c r="J11729" s="30" t="s">
        <v>255</v>
      </c>
      <c r="L11729" s="30" t="s">
        <v>374</v>
      </c>
      <c r="M11729" s="30" t="s">
        <v>17482</v>
      </c>
      <c r="N11729" s="30" t="s">
        <v>3785</v>
      </c>
      <c r="P11729" s="30" t="s">
        <v>10236</v>
      </c>
      <c r="Q11729" t="s">
        <v>620</v>
      </c>
      <c r="R11729" t="s">
        <v>919</v>
      </c>
      <c r="S11729">
        <v>39</v>
      </c>
      <c r="T11729" s="29" t="str">
        <f t="shared" si="489"/>
        <v>2023.021M.Rhabdoviridae_24nsp_5ngen_1nsf.zip</v>
      </c>
      <c r="U11729" s="29" t="str">
        <f>HYPERLINK("https://ictv.global/taxonomy/taxondetails?taxnode_id=202309654","ictv.global=202309654")</f>
        <v>ictv.global=202309654</v>
      </c>
    </row>
    <row r="11730" spans="1:21">
      <c r="A11730">
        <v>11729</v>
      </c>
      <c r="B11730" s="30" t="s">
        <v>1226</v>
      </c>
      <c r="D11730" s="30" t="s">
        <v>2024</v>
      </c>
      <c r="F11730" s="30" t="s">
        <v>1040</v>
      </c>
      <c r="G11730" s="30" t="s">
        <v>1041</v>
      </c>
      <c r="H11730" s="30" t="s">
        <v>1047</v>
      </c>
      <c r="J11730" s="30" t="s">
        <v>255</v>
      </c>
      <c r="L11730" s="30" t="s">
        <v>374</v>
      </c>
      <c r="M11730" s="30" t="s">
        <v>17482</v>
      </c>
      <c r="N11730" s="30" t="s">
        <v>3786</v>
      </c>
      <c r="P11730" s="30" t="s">
        <v>10237</v>
      </c>
      <c r="Q11730" t="s">
        <v>620</v>
      </c>
      <c r="R11730" t="s">
        <v>919</v>
      </c>
      <c r="S11730">
        <v>39</v>
      </c>
      <c r="T11730" s="29" t="str">
        <f t="shared" si="489"/>
        <v>2023.021M.Rhabdoviridae_24nsp_5ngen_1nsf.zip</v>
      </c>
      <c r="U11730" s="29" t="str">
        <f>HYPERLINK("https://ictv.global/taxonomy/taxondetails?taxnode_id=202309656","ictv.global=202309656")</f>
        <v>ictv.global=202309656</v>
      </c>
    </row>
    <row r="11731" spans="1:21">
      <c r="A11731">
        <v>11730</v>
      </c>
      <c r="B11731" s="30" t="s">
        <v>1226</v>
      </c>
      <c r="D11731" s="30" t="s">
        <v>2024</v>
      </c>
      <c r="F11731" s="30" t="s">
        <v>1040</v>
      </c>
      <c r="G11731" s="30" t="s">
        <v>1041</v>
      </c>
      <c r="H11731" s="30" t="s">
        <v>1047</v>
      </c>
      <c r="J11731" s="30" t="s">
        <v>255</v>
      </c>
      <c r="L11731" s="30" t="s">
        <v>374</v>
      </c>
      <c r="M11731" s="30" t="s">
        <v>17482</v>
      </c>
      <c r="N11731" s="30" t="s">
        <v>3786</v>
      </c>
      <c r="P11731" s="30" t="s">
        <v>17486</v>
      </c>
      <c r="Q11731" t="s">
        <v>620</v>
      </c>
      <c r="R11731" t="s">
        <v>917</v>
      </c>
      <c r="S11731">
        <v>39</v>
      </c>
      <c r="T11731" s="29" t="str">
        <f t="shared" si="489"/>
        <v>2023.021M.Rhabdoviridae_24nsp_5ngen_1nsf.zip</v>
      </c>
      <c r="U11731" s="29" t="str">
        <f>HYPERLINK("https://ictv.global/taxonomy/taxondetails?taxnode_id=202318552","ictv.global=202318552")</f>
        <v>ictv.global=202318552</v>
      </c>
    </row>
    <row r="11732" spans="1:21">
      <c r="A11732">
        <v>11731</v>
      </c>
      <c r="B11732" s="30" t="s">
        <v>1226</v>
      </c>
      <c r="D11732" s="30" t="s">
        <v>2024</v>
      </c>
      <c r="F11732" s="30" t="s">
        <v>1040</v>
      </c>
      <c r="G11732" s="30" t="s">
        <v>1041</v>
      </c>
      <c r="H11732" s="30" t="s">
        <v>1047</v>
      </c>
      <c r="J11732" s="30" t="s">
        <v>255</v>
      </c>
      <c r="L11732" s="30" t="s">
        <v>374</v>
      </c>
      <c r="M11732" s="30" t="s">
        <v>17482</v>
      </c>
      <c r="N11732" s="30" t="s">
        <v>3786</v>
      </c>
      <c r="P11732" s="30" t="s">
        <v>10238</v>
      </c>
      <c r="Q11732" t="s">
        <v>620</v>
      </c>
      <c r="R11732" t="s">
        <v>919</v>
      </c>
      <c r="S11732">
        <v>39</v>
      </c>
      <c r="T11732" s="29" t="str">
        <f t="shared" si="489"/>
        <v>2023.021M.Rhabdoviridae_24nsp_5ngen_1nsf.zip</v>
      </c>
      <c r="U11732" s="29" t="str">
        <f>HYPERLINK("https://ictv.global/taxonomy/taxondetails?taxnode_id=202309657","ictv.global=202309657")</f>
        <v>ictv.global=202309657</v>
      </c>
    </row>
    <row r="11733" spans="1:21">
      <c r="A11733">
        <v>11732</v>
      </c>
      <c r="B11733" s="30" t="s">
        <v>1226</v>
      </c>
      <c r="D11733" s="30" t="s">
        <v>2024</v>
      </c>
      <c r="F11733" s="30" t="s">
        <v>1040</v>
      </c>
      <c r="G11733" s="30" t="s">
        <v>1041</v>
      </c>
      <c r="H11733" s="30" t="s">
        <v>1047</v>
      </c>
      <c r="J11733" s="30" t="s">
        <v>255</v>
      </c>
      <c r="L11733" s="30" t="s">
        <v>374</v>
      </c>
      <c r="M11733" s="30" t="s">
        <v>17482</v>
      </c>
      <c r="N11733" s="30" t="s">
        <v>3786</v>
      </c>
      <c r="P11733" s="30" t="s">
        <v>17487</v>
      </c>
      <c r="Q11733" t="s">
        <v>620</v>
      </c>
      <c r="R11733" t="s">
        <v>917</v>
      </c>
      <c r="S11733">
        <v>39</v>
      </c>
      <c r="T11733" s="29" t="str">
        <f t="shared" si="489"/>
        <v>2023.021M.Rhabdoviridae_24nsp_5ngen_1nsf.zip</v>
      </c>
      <c r="U11733" s="29" t="str">
        <f>HYPERLINK("https://ictv.global/taxonomy/taxondetails?taxnode_id=202318553","ictv.global=202318553")</f>
        <v>ictv.global=202318553</v>
      </c>
    </row>
    <row r="11734" spans="1:21">
      <c r="A11734">
        <v>11733</v>
      </c>
      <c r="B11734" s="30" t="s">
        <v>1226</v>
      </c>
      <c r="D11734" s="30" t="s">
        <v>2024</v>
      </c>
      <c r="F11734" s="30" t="s">
        <v>1040</v>
      </c>
      <c r="G11734" s="30" t="s">
        <v>1041</v>
      </c>
      <c r="H11734" s="30" t="s">
        <v>1047</v>
      </c>
      <c r="J11734" s="30" t="s">
        <v>255</v>
      </c>
      <c r="L11734" s="30" t="s">
        <v>374</v>
      </c>
      <c r="M11734" s="30" t="s">
        <v>17482</v>
      </c>
      <c r="N11734" s="30" t="s">
        <v>3786</v>
      </c>
      <c r="P11734" s="30" t="s">
        <v>17488</v>
      </c>
      <c r="Q11734" t="s">
        <v>620</v>
      </c>
      <c r="R11734" t="s">
        <v>917</v>
      </c>
      <c r="S11734">
        <v>39</v>
      </c>
      <c r="T11734" s="29" t="str">
        <f t="shared" si="489"/>
        <v>2023.021M.Rhabdoviridae_24nsp_5ngen_1nsf.zip</v>
      </c>
      <c r="U11734" s="29" t="str">
        <f>HYPERLINK("https://ictv.global/taxonomy/taxondetails?taxnode_id=202318554","ictv.global=202318554")</f>
        <v>ictv.global=202318554</v>
      </c>
    </row>
    <row r="11735" spans="1:21">
      <c r="A11735">
        <v>11734</v>
      </c>
      <c r="B11735" s="30" t="s">
        <v>1226</v>
      </c>
      <c r="D11735" s="30" t="s">
        <v>2024</v>
      </c>
      <c r="F11735" s="30" t="s">
        <v>1040</v>
      </c>
      <c r="G11735" s="30" t="s">
        <v>1041</v>
      </c>
      <c r="H11735" s="30" t="s">
        <v>1047</v>
      </c>
      <c r="J11735" s="30" t="s">
        <v>255</v>
      </c>
      <c r="L11735" s="30" t="s">
        <v>374</v>
      </c>
      <c r="M11735" s="30" t="s">
        <v>17482</v>
      </c>
      <c r="N11735" s="30" t="s">
        <v>17489</v>
      </c>
      <c r="P11735" s="30" t="s">
        <v>17490</v>
      </c>
      <c r="Q11735" t="s">
        <v>620</v>
      </c>
      <c r="R11735" t="s">
        <v>917</v>
      </c>
      <c r="S11735">
        <v>39</v>
      </c>
      <c r="T11735" s="29" t="str">
        <f t="shared" si="489"/>
        <v>2023.021M.Rhabdoviridae_24nsp_5ngen_1nsf.zip</v>
      </c>
      <c r="U11735" s="29" t="str">
        <f>HYPERLINK("https://ictv.global/taxonomy/taxondetails?taxnode_id=202318538","ictv.global=202318538")</f>
        <v>ictv.global=202318538</v>
      </c>
    </row>
    <row r="11736" spans="1:21">
      <c r="A11736">
        <v>11735</v>
      </c>
      <c r="B11736" s="30" t="s">
        <v>1226</v>
      </c>
      <c r="D11736" s="30" t="s">
        <v>2024</v>
      </c>
      <c r="F11736" s="30" t="s">
        <v>1040</v>
      </c>
      <c r="G11736" s="30" t="s">
        <v>1041</v>
      </c>
      <c r="H11736" s="30" t="s">
        <v>1047</v>
      </c>
      <c r="J11736" s="30" t="s">
        <v>255</v>
      </c>
      <c r="L11736" s="30" t="s">
        <v>374</v>
      </c>
      <c r="M11736" s="30" t="s">
        <v>17482</v>
      </c>
      <c r="N11736" s="30" t="s">
        <v>17489</v>
      </c>
      <c r="P11736" s="30" t="s">
        <v>17491</v>
      </c>
      <c r="Q11736" t="s">
        <v>620</v>
      </c>
      <c r="R11736" t="s">
        <v>917</v>
      </c>
      <c r="S11736">
        <v>39</v>
      </c>
      <c r="T11736" s="29" t="str">
        <f t="shared" si="489"/>
        <v>2023.021M.Rhabdoviridae_24nsp_5ngen_1nsf.zip</v>
      </c>
      <c r="U11736" s="29" t="str">
        <f>HYPERLINK("https://ictv.global/taxonomy/taxondetails?taxnode_id=202318539","ictv.global=202318539")</f>
        <v>ictv.global=202318539</v>
      </c>
    </row>
    <row r="11737" spans="1:21">
      <c r="A11737">
        <v>11736</v>
      </c>
      <c r="B11737" s="30" t="s">
        <v>1226</v>
      </c>
      <c r="D11737" s="30" t="s">
        <v>2024</v>
      </c>
      <c r="F11737" s="30" t="s">
        <v>1040</v>
      </c>
      <c r="G11737" s="30" t="s">
        <v>1041</v>
      </c>
      <c r="H11737" s="30" t="s">
        <v>1047</v>
      </c>
      <c r="J11737" s="30" t="s">
        <v>255</v>
      </c>
      <c r="L11737" s="30" t="s">
        <v>374</v>
      </c>
      <c r="M11737" s="30" t="s">
        <v>17482</v>
      </c>
      <c r="N11737" s="30" t="s">
        <v>17489</v>
      </c>
      <c r="P11737" s="30" t="s">
        <v>17492</v>
      </c>
      <c r="Q11737" t="s">
        <v>620</v>
      </c>
      <c r="R11737" t="s">
        <v>917</v>
      </c>
      <c r="S11737">
        <v>39</v>
      </c>
      <c r="T11737" s="29" t="str">
        <f t="shared" si="489"/>
        <v>2023.021M.Rhabdoviridae_24nsp_5ngen_1nsf.zip</v>
      </c>
      <c r="U11737" s="29" t="str">
        <f>HYPERLINK("https://ictv.global/taxonomy/taxondetails?taxnode_id=202318537","ictv.global=202318537")</f>
        <v>ictv.global=202318537</v>
      </c>
    </row>
    <row r="11738" spans="1:21">
      <c r="A11738">
        <v>11737</v>
      </c>
      <c r="B11738" s="30" t="s">
        <v>1226</v>
      </c>
      <c r="D11738" s="30" t="s">
        <v>2024</v>
      </c>
      <c r="F11738" s="30" t="s">
        <v>1040</v>
      </c>
      <c r="G11738" s="30" t="s">
        <v>1041</v>
      </c>
      <c r="H11738" s="30" t="s">
        <v>1047</v>
      </c>
      <c r="J11738" s="30" t="s">
        <v>255</v>
      </c>
      <c r="L11738" s="30" t="s">
        <v>374</v>
      </c>
      <c r="M11738" s="30" t="s">
        <v>17482</v>
      </c>
      <c r="N11738" s="30" t="s">
        <v>17493</v>
      </c>
      <c r="P11738" s="30" t="s">
        <v>17494</v>
      </c>
      <c r="Q11738" t="s">
        <v>620</v>
      </c>
      <c r="R11738" t="s">
        <v>917</v>
      </c>
      <c r="S11738">
        <v>39</v>
      </c>
      <c r="T11738" s="29" t="str">
        <f t="shared" si="489"/>
        <v>2023.021M.Rhabdoviridae_24nsp_5ngen_1nsf.zip</v>
      </c>
      <c r="U11738" s="29" t="str">
        <f>HYPERLINK("https://ictv.global/taxonomy/taxondetails?taxnode_id=202318540","ictv.global=202318540")</f>
        <v>ictv.global=202318540</v>
      </c>
    </row>
    <row r="11739" spans="1:21">
      <c r="A11739">
        <v>11738</v>
      </c>
      <c r="B11739" s="30" t="s">
        <v>1226</v>
      </c>
      <c r="D11739" s="30" t="s">
        <v>2024</v>
      </c>
      <c r="F11739" s="30" t="s">
        <v>1040</v>
      </c>
      <c r="G11739" s="30" t="s">
        <v>1041</v>
      </c>
      <c r="H11739" s="30" t="s">
        <v>1047</v>
      </c>
      <c r="J11739" s="30" t="s">
        <v>255</v>
      </c>
      <c r="L11739" s="30" t="s">
        <v>374</v>
      </c>
      <c r="M11739" s="30" t="s">
        <v>17482</v>
      </c>
      <c r="N11739" s="30" t="s">
        <v>17493</v>
      </c>
      <c r="P11739" s="30" t="s">
        <v>17495</v>
      </c>
      <c r="Q11739" t="s">
        <v>620</v>
      </c>
      <c r="R11739" t="s">
        <v>917</v>
      </c>
      <c r="S11739">
        <v>39</v>
      </c>
      <c r="T11739" s="29" t="str">
        <f t="shared" si="489"/>
        <v>2023.021M.Rhabdoviridae_24nsp_5ngen_1nsf.zip</v>
      </c>
      <c r="U11739" s="29" t="str">
        <f>HYPERLINK("https://ictv.global/taxonomy/taxondetails?taxnode_id=202318541","ictv.global=202318541")</f>
        <v>ictv.global=202318541</v>
      </c>
    </row>
    <row r="11740" spans="1:21">
      <c r="A11740">
        <v>11739</v>
      </c>
      <c r="B11740" s="30" t="s">
        <v>1226</v>
      </c>
      <c r="D11740" s="30" t="s">
        <v>2024</v>
      </c>
      <c r="F11740" s="30" t="s">
        <v>1040</v>
      </c>
      <c r="G11740" s="30" t="s">
        <v>1041</v>
      </c>
      <c r="H11740" s="30" t="s">
        <v>1047</v>
      </c>
      <c r="J11740" s="30" t="s">
        <v>255</v>
      </c>
      <c r="L11740" s="30" t="s">
        <v>374</v>
      </c>
      <c r="M11740" s="30" t="s">
        <v>17482</v>
      </c>
      <c r="N11740" s="30" t="s">
        <v>17496</v>
      </c>
      <c r="P11740" s="30" t="s">
        <v>17497</v>
      </c>
      <c r="Q11740" t="s">
        <v>620</v>
      </c>
      <c r="R11740" t="s">
        <v>917</v>
      </c>
      <c r="S11740">
        <v>39</v>
      </c>
      <c r="T11740" s="29" t="str">
        <f t="shared" si="489"/>
        <v>2023.021M.Rhabdoviridae_24nsp_5ngen_1nsf.zip</v>
      </c>
      <c r="U11740" s="29" t="str">
        <f>HYPERLINK("https://ictv.global/taxonomy/taxondetails?taxnode_id=202318548","ictv.global=202318548")</f>
        <v>ictv.global=202318548</v>
      </c>
    </row>
    <row r="11741" spans="1:21">
      <c r="A11741">
        <v>11740</v>
      </c>
      <c r="B11741" s="30" t="s">
        <v>1226</v>
      </c>
      <c r="D11741" s="30" t="s">
        <v>2024</v>
      </c>
      <c r="F11741" s="30" t="s">
        <v>1040</v>
      </c>
      <c r="G11741" s="30" t="s">
        <v>1041</v>
      </c>
      <c r="H11741" s="30" t="s">
        <v>1047</v>
      </c>
      <c r="J11741" s="30" t="s">
        <v>255</v>
      </c>
      <c r="L11741" s="30" t="s">
        <v>374</v>
      </c>
      <c r="M11741" s="30" t="s">
        <v>17482</v>
      </c>
      <c r="N11741" s="30" t="s">
        <v>17496</v>
      </c>
      <c r="P11741" s="30" t="s">
        <v>17498</v>
      </c>
      <c r="Q11741" t="s">
        <v>620</v>
      </c>
      <c r="R11741" t="s">
        <v>917</v>
      </c>
      <c r="S11741">
        <v>39</v>
      </c>
      <c r="T11741" s="29" t="str">
        <f t="shared" si="489"/>
        <v>2023.021M.Rhabdoviridae_24nsp_5ngen_1nsf.zip</v>
      </c>
      <c r="U11741" s="29" t="str">
        <f>HYPERLINK("https://ictv.global/taxonomy/taxondetails?taxnode_id=202318547","ictv.global=202318547")</f>
        <v>ictv.global=202318547</v>
      </c>
    </row>
    <row r="11742" spans="1:21">
      <c r="A11742">
        <v>11741</v>
      </c>
      <c r="B11742" s="30" t="s">
        <v>1226</v>
      </c>
      <c r="D11742" s="30" t="s">
        <v>2024</v>
      </c>
      <c r="F11742" s="30" t="s">
        <v>1040</v>
      </c>
      <c r="G11742" s="30" t="s">
        <v>1041</v>
      </c>
      <c r="H11742" s="30" t="s">
        <v>1047</v>
      </c>
      <c r="J11742" s="30" t="s">
        <v>255</v>
      </c>
      <c r="L11742" s="30" t="s">
        <v>374</v>
      </c>
      <c r="M11742" s="30" t="s">
        <v>17482</v>
      </c>
      <c r="N11742" s="30" t="s">
        <v>17496</v>
      </c>
      <c r="P11742" s="30" t="s">
        <v>17499</v>
      </c>
      <c r="Q11742" t="s">
        <v>620</v>
      </c>
      <c r="R11742" t="s">
        <v>917</v>
      </c>
      <c r="S11742">
        <v>39</v>
      </c>
      <c r="T11742" s="29" t="str">
        <f t="shared" si="489"/>
        <v>2023.021M.Rhabdoviridae_24nsp_5ngen_1nsf.zip</v>
      </c>
      <c r="U11742" s="29" t="str">
        <f>HYPERLINK("https://ictv.global/taxonomy/taxondetails?taxnode_id=202318546","ictv.global=202318546")</f>
        <v>ictv.global=202318546</v>
      </c>
    </row>
    <row r="11743" spans="1:21">
      <c r="A11743">
        <v>11742</v>
      </c>
      <c r="B11743" s="30" t="s">
        <v>1226</v>
      </c>
      <c r="D11743" s="30" t="s">
        <v>2024</v>
      </c>
      <c r="F11743" s="30" t="s">
        <v>1040</v>
      </c>
      <c r="G11743" s="30" t="s">
        <v>1041</v>
      </c>
      <c r="H11743" s="30" t="s">
        <v>1047</v>
      </c>
      <c r="J11743" s="30" t="s">
        <v>255</v>
      </c>
      <c r="L11743" s="30" t="s">
        <v>374</v>
      </c>
      <c r="M11743" s="30" t="s">
        <v>17482</v>
      </c>
      <c r="N11743" s="30" t="s">
        <v>17500</v>
      </c>
      <c r="P11743" s="30" t="s">
        <v>17501</v>
      </c>
      <c r="Q11743" t="s">
        <v>620</v>
      </c>
      <c r="R11743" t="s">
        <v>917</v>
      </c>
      <c r="S11743">
        <v>39</v>
      </c>
      <c r="T11743" s="29" t="str">
        <f t="shared" si="489"/>
        <v>2023.021M.Rhabdoviridae_24nsp_5ngen_1nsf.zip</v>
      </c>
      <c r="U11743" s="29" t="str">
        <f>HYPERLINK("https://ictv.global/taxonomy/taxondetails?taxnode_id=202318543","ictv.global=202318543")</f>
        <v>ictv.global=202318543</v>
      </c>
    </row>
    <row r="11744" spans="1:21">
      <c r="A11744">
        <v>11743</v>
      </c>
      <c r="B11744" s="30" t="s">
        <v>1226</v>
      </c>
      <c r="D11744" s="30" t="s">
        <v>2024</v>
      </c>
      <c r="F11744" s="30" t="s">
        <v>1040</v>
      </c>
      <c r="G11744" s="30" t="s">
        <v>1041</v>
      </c>
      <c r="H11744" s="30" t="s">
        <v>1047</v>
      </c>
      <c r="J11744" s="30" t="s">
        <v>255</v>
      </c>
      <c r="L11744" s="30" t="s">
        <v>374</v>
      </c>
      <c r="M11744" s="30" t="s">
        <v>17482</v>
      </c>
      <c r="N11744" s="30" t="s">
        <v>17500</v>
      </c>
      <c r="P11744" s="30" t="s">
        <v>17502</v>
      </c>
      <c r="Q11744" t="s">
        <v>620</v>
      </c>
      <c r="R11744" t="s">
        <v>917</v>
      </c>
      <c r="S11744">
        <v>39</v>
      </c>
      <c r="T11744" s="29" t="str">
        <f t="shared" si="489"/>
        <v>2023.021M.Rhabdoviridae_24nsp_5ngen_1nsf.zip</v>
      </c>
      <c r="U11744" s="29" t="str">
        <f>HYPERLINK("https://ictv.global/taxonomy/taxondetails?taxnode_id=202318545","ictv.global=202318545")</f>
        <v>ictv.global=202318545</v>
      </c>
    </row>
    <row r="11745" spans="1:21">
      <c r="A11745">
        <v>11744</v>
      </c>
      <c r="B11745" s="30" t="s">
        <v>1226</v>
      </c>
      <c r="D11745" s="30" t="s">
        <v>2024</v>
      </c>
      <c r="F11745" s="30" t="s">
        <v>1040</v>
      </c>
      <c r="G11745" s="30" t="s">
        <v>1041</v>
      </c>
      <c r="H11745" s="30" t="s">
        <v>1047</v>
      </c>
      <c r="J11745" s="30" t="s">
        <v>255</v>
      </c>
      <c r="L11745" s="30" t="s">
        <v>374</v>
      </c>
      <c r="M11745" s="30" t="s">
        <v>17482</v>
      </c>
      <c r="N11745" s="30" t="s">
        <v>17500</v>
      </c>
      <c r="P11745" s="30" t="s">
        <v>17503</v>
      </c>
      <c r="Q11745" t="s">
        <v>620</v>
      </c>
      <c r="R11745" t="s">
        <v>917</v>
      </c>
      <c r="S11745">
        <v>39</v>
      </c>
      <c r="T11745" s="29" t="str">
        <f t="shared" si="489"/>
        <v>2023.021M.Rhabdoviridae_24nsp_5ngen_1nsf.zip</v>
      </c>
      <c r="U11745" s="29" t="str">
        <f>HYPERLINK("https://ictv.global/taxonomy/taxondetails?taxnode_id=202318542","ictv.global=202318542")</f>
        <v>ictv.global=202318542</v>
      </c>
    </row>
    <row r="11746" spans="1:21">
      <c r="A11746">
        <v>11745</v>
      </c>
      <c r="B11746" s="30" t="s">
        <v>1226</v>
      </c>
      <c r="D11746" s="30" t="s">
        <v>2024</v>
      </c>
      <c r="F11746" s="30" t="s">
        <v>1040</v>
      </c>
      <c r="G11746" s="30" t="s">
        <v>1041</v>
      </c>
      <c r="H11746" s="30" t="s">
        <v>1047</v>
      </c>
      <c r="J11746" s="30" t="s">
        <v>255</v>
      </c>
      <c r="L11746" s="30" t="s">
        <v>374</v>
      </c>
      <c r="M11746" s="30" t="s">
        <v>17482</v>
      </c>
      <c r="N11746" s="30" t="s">
        <v>17500</v>
      </c>
      <c r="P11746" s="30" t="s">
        <v>17504</v>
      </c>
      <c r="Q11746" t="s">
        <v>620</v>
      </c>
      <c r="R11746" t="s">
        <v>917</v>
      </c>
      <c r="S11746">
        <v>39</v>
      </c>
      <c r="T11746" s="29" t="str">
        <f t="shared" si="489"/>
        <v>2023.021M.Rhabdoviridae_24nsp_5ngen_1nsf.zip</v>
      </c>
      <c r="U11746" s="29" t="str">
        <f>HYPERLINK("https://ictv.global/taxonomy/taxondetails?taxnode_id=202318544","ictv.global=202318544")</f>
        <v>ictv.global=202318544</v>
      </c>
    </row>
    <row r="11747" spans="1:21">
      <c r="A11747">
        <v>11746</v>
      </c>
      <c r="B11747" s="30" t="s">
        <v>1226</v>
      </c>
      <c r="D11747" s="30" t="s">
        <v>2024</v>
      </c>
      <c r="F11747" s="30" t="s">
        <v>1040</v>
      </c>
      <c r="G11747" s="30" t="s">
        <v>1041</v>
      </c>
      <c r="H11747" s="30" t="s">
        <v>1047</v>
      </c>
      <c r="J11747" s="30" t="s">
        <v>255</v>
      </c>
      <c r="L11747" s="30" t="s">
        <v>374</v>
      </c>
      <c r="M11747" s="30" t="s">
        <v>3779</v>
      </c>
      <c r="N11747" s="30" t="s">
        <v>17505</v>
      </c>
      <c r="P11747" s="30" t="s">
        <v>17506</v>
      </c>
      <c r="Q11747" t="s">
        <v>620</v>
      </c>
      <c r="R11747" t="s">
        <v>917</v>
      </c>
      <c r="S11747">
        <v>39</v>
      </c>
      <c r="T11747" s="29" t="str">
        <f>HYPERLINK("https://ictv.global/ictv/proposals/2023.002M.Alpharhabdovirinae_2ngen_2nsp.zip","2023.002M.Alpharhabdovirinae_2ngen_2nsp.zip")</f>
        <v>2023.002M.Alpharhabdovirinae_2ngen_2nsp.zip</v>
      </c>
      <c r="U11747" s="29" t="str">
        <f>HYPERLINK("https://ictv.global/taxonomy/taxondetails?taxnode_id=202317751","ictv.global=202317751")</f>
        <v>ictv.global=202317751</v>
      </c>
    </row>
    <row r="11748" spans="1:21">
      <c r="A11748">
        <v>11747</v>
      </c>
      <c r="B11748" s="30" t="s">
        <v>1226</v>
      </c>
      <c r="D11748" s="30" t="s">
        <v>2024</v>
      </c>
      <c r="F11748" s="30" t="s">
        <v>1040</v>
      </c>
      <c r="G11748" s="30" t="s">
        <v>1041</v>
      </c>
      <c r="H11748" s="30" t="s">
        <v>1047</v>
      </c>
      <c r="J11748" s="30" t="s">
        <v>255</v>
      </c>
      <c r="L11748" s="30" t="s">
        <v>374</v>
      </c>
      <c r="M11748" s="30" t="s">
        <v>3779</v>
      </c>
      <c r="N11748" s="30" t="s">
        <v>298</v>
      </c>
      <c r="P11748" s="30" t="s">
        <v>10219</v>
      </c>
      <c r="Q11748" t="s">
        <v>620</v>
      </c>
      <c r="R11748" t="s">
        <v>920</v>
      </c>
      <c r="S11748">
        <v>37</v>
      </c>
      <c r="T11748" s="29" t="str">
        <f>HYPERLINK("https://ictv.global/ictv/proposals/2021.036M.R.Rhabdoviridae_sprename.zip","2021.036M.R.Rhabdoviridae_sprename.zip")</f>
        <v>2021.036M.R.Rhabdoviridae_sprename.zip</v>
      </c>
      <c r="U11748" s="29" t="str">
        <f>HYPERLINK("https://ictv.global/taxonomy/taxondetails?taxnode_id=202301737","ictv.global=202301737")</f>
        <v>ictv.global=202301737</v>
      </c>
    </row>
    <row r="11749" spans="1:21">
      <c r="A11749">
        <v>11748</v>
      </c>
      <c r="B11749" s="30" t="s">
        <v>1226</v>
      </c>
      <c r="D11749" s="30" t="s">
        <v>2024</v>
      </c>
      <c r="F11749" s="30" t="s">
        <v>1040</v>
      </c>
      <c r="G11749" s="30" t="s">
        <v>1041</v>
      </c>
      <c r="H11749" s="30" t="s">
        <v>1047</v>
      </c>
      <c r="J11749" s="30" t="s">
        <v>255</v>
      </c>
      <c r="L11749" s="30" t="s">
        <v>374</v>
      </c>
      <c r="M11749" s="30" t="s">
        <v>3779</v>
      </c>
      <c r="N11749" s="30" t="s">
        <v>298</v>
      </c>
      <c r="P11749" s="30" t="s">
        <v>10220</v>
      </c>
      <c r="Q11749" t="s">
        <v>620</v>
      </c>
      <c r="R11749" t="s">
        <v>920</v>
      </c>
      <c r="S11749">
        <v>37</v>
      </c>
      <c r="T11749" s="29" t="str">
        <f>HYPERLINK("https://ictv.global/ictv/proposals/2021.036M.R.Rhabdoviridae_sprename.zip","2021.036M.R.Rhabdoviridae_sprename.zip")</f>
        <v>2021.036M.R.Rhabdoviridae_sprename.zip</v>
      </c>
      <c r="U11749" s="29" t="str">
        <f>HYPERLINK("https://ictv.global/taxonomy/taxondetails?taxnode_id=202301738","ictv.global=202301738")</f>
        <v>ictv.global=202301738</v>
      </c>
    </row>
    <row r="11750" spans="1:21">
      <c r="A11750">
        <v>11749</v>
      </c>
      <c r="B11750" s="30" t="s">
        <v>1226</v>
      </c>
      <c r="D11750" s="30" t="s">
        <v>2024</v>
      </c>
      <c r="F11750" s="30" t="s">
        <v>1040</v>
      </c>
      <c r="G11750" s="30" t="s">
        <v>1041</v>
      </c>
      <c r="H11750" s="30" t="s">
        <v>1047</v>
      </c>
      <c r="J11750" s="30" t="s">
        <v>255</v>
      </c>
      <c r="L11750" s="30" t="s">
        <v>374</v>
      </c>
      <c r="M11750" s="30" t="s">
        <v>3779</v>
      </c>
      <c r="N11750" s="30" t="s">
        <v>298</v>
      </c>
      <c r="P11750" s="30" t="s">
        <v>10221</v>
      </c>
      <c r="Q11750" t="s">
        <v>620</v>
      </c>
      <c r="R11750" t="s">
        <v>920</v>
      </c>
      <c r="S11750">
        <v>37</v>
      </c>
      <c r="T11750" s="29" t="str">
        <f>HYPERLINK("https://ictv.global/ictv/proposals/2021.036M.R.Rhabdoviridae_sprename.zip","2021.036M.R.Rhabdoviridae_sprename.zip")</f>
        <v>2021.036M.R.Rhabdoviridae_sprename.zip</v>
      </c>
      <c r="U11750" s="29" t="str">
        <f>HYPERLINK("https://ictv.global/taxonomy/taxondetails?taxnode_id=202301739","ictv.global=202301739")</f>
        <v>ictv.global=202301739</v>
      </c>
    </row>
    <row r="11751" spans="1:21">
      <c r="A11751">
        <v>11750</v>
      </c>
      <c r="B11751" s="30" t="s">
        <v>1226</v>
      </c>
      <c r="D11751" s="30" t="s">
        <v>2024</v>
      </c>
      <c r="F11751" s="30" t="s">
        <v>1040</v>
      </c>
      <c r="G11751" s="30" t="s">
        <v>1041</v>
      </c>
      <c r="H11751" s="30" t="s">
        <v>1047</v>
      </c>
      <c r="J11751" s="30" t="s">
        <v>255</v>
      </c>
      <c r="L11751" s="30" t="s">
        <v>374</v>
      </c>
      <c r="M11751" s="30" t="s">
        <v>3779</v>
      </c>
      <c r="N11751" s="30" t="s">
        <v>298</v>
      </c>
      <c r="P11751" s="30" t="s">
        <v>10222</v>
      </c>
      <c r="Q11751" t="s">
        <v>620</v>
      </c>
      <c r="R11751" t="s">
        <v>920</v>
      </c>
      <c r="S11751">
        <v>37</v>
      </c>
      <c r="T11751" s="29" t="str">
        <f>HYPERLINK("https://ictv.global/ictv/proposals/2021.036M.R.Rhabdoviridae_sprename.zip","2021.036M.R.Rhabdoviridae_sprename.zip")</f>
        <v>2021.036M.R.Rhabdoviridae_sprename.zip</v>
      </c>
      <c r="U11751" s="29" t="str">
        <f>HYPERLINK("https://ictv.global/taxonomy/taxondetails?taxnode_id=202301740","ictv.global=202301740")</f>
        <v>ictv.global=202301740</v>
      </c>
    </row>
    <row r="11752" spans="1:21">
      <c r="A11752">
        <v>11751</v>
      </c>
      <c r="B11752" s="30" t="s">
        <v>1226</v>
      </c>
      <c r="D11752" s="30" t="s">
        <v>2024</v>
      </c>
      <c r="F11752" s="30" t="s">
        <v>1040</v>
      </c>
      <c r="G11752" s="30" t="s">
        <v>1041</v>
      </c>
      <c r="H11752" s="30" t="s">
        <v>1047</v>
      </c>
      <c r="J11752" s="30" t="s">
        <v>255</v>
      </c>
      <c r="L11752" s="30" t="s">
        <v>374</v>
      </c>
      <c r="N11752" s="30" t="s">
        <v>17507</v>
      </c>
      <c r="P11752" s="30" t="s">
        <v>17508</v>
      </c>
      <c r="Q11752" t="s">
        <v>620</v>
      </c>
      <c r="R11752" t="s">
        <v>917</v>
      </c>
      <c r="S11752">
        <v>39</v>
      </c>
      <c r="T11752" s="29" t="str">
        <f t="shared" ref="T11752:T11757" si="490">HYPERLINK("https://ictv.global/ictv/proposals/2023.021M.Rhabdoviridae_24nsp_5ngen_1nsf.zip","2023.021M.Rhabdoviridae_24nsp_5ngen_1nsf.zip")</f>
        <v>2023.021M.Rhabdoviridae_24nsp_5ngen_1nsf.zip</v>
      </c>
      <c r="U11752" s="29" t="str">
        <f>HYPERLINK("https://ictv.global/taxonomy/taxondetails?taxnode_id=202318556","ictv.global=202318556")</f>
        <v>ictv.global=202318556</v>
      </c>
    </row>
    <row r="11753" spans="1:21">
      <c r="A11753">
        <v>11752</v>
      </c>
      <c r="B11753" s="30" t="s">
        <v>1226</v>
      </c>
      <c r="D11753" s="30" t="s">
        <v>2024</v>
      </c>
      <c r="F11753" s="30" t="s">
        <v>1040</v>
      </c>
      <c r="G11753" s="30" t="s">
        <v>1041</v>
      </c>
      <c r="H11753" s="30" t="s">
        <v>1047</v>
      </c>
      <c r="J11753" s="30" t="s">
        <v>255</v>
      </c>
      <c r="L11753" s="30" t="s">
        <v>374</v>
      </c>
      <c r="N11753" s="30" t="s">
        <v>17507</v>
      </c>
      <c r="P11753" s="30" t="s">
        <v>17509</v>
      </c>
      <c r="Q11753" t="s">
        <v>620</v>
      </c>
      <c r="R11753" t="s">
        <v>917</v>
      </c>
      <c r="S11753">
        <v>39</v>
      </c>
      <c r="T11753" s="29" t="str">
        <f t="shared" si="490"/>
        <v>2023.021M.Rhabdoviridae_24nsp_5ngen_1nsf.zip</v>
      </c>
      <c r="U11753" s="29" t="str">
        <f>HYPERLINK("https://ictv.global/taxonomy/taxondetails?taxnode_id=202318555","ictv.global=202318555")</f>
        <v>ictv.global=202318555</v>
      </c>
    </row>
    <row r="11754" spans="1:21">
      <c r="A11754">
        <v>11753</v>
      </c>
      <c r="B11754" s="30" t="s">
        <v>1226</v>
      </c>
      <c r="D11754" s="30" t="s">
        <v>2024</v>
      </c>
      <c r="F11754" s="30" t="s">
        <v>1040</v>
      </c>
      <c r="G11754" s="30" t="s">
        <v>1041</v>
      </c>
      <c r="H11754" s="30" t="s">
        <v>1047</v>
      </c>
      <c r="J11754" s="30" t="s">
        <v>255</v>
      </c>
      <c r="L11754" s="30" t="s">
        <v>374</v>
      </c>
      <c r="N11754" s="30" t="s">
        <v>17507</v>
      </c>
      <c r="P11754" s="30" t="s">
        <v>17510</v>
      </c>
      <c r="Q11754" t="s">
        <v>620</v>
      </c>
      <c r="R11754" t="s">
        <v>917</v>
      </c>
      <c r="S11754">
        <v>39</v>
      </c>
      <c r="T11754" s="29" t="str">
        <f t="shared" si="490"/>
        <v>2023.021M.Rhabdoviridae_24nsp_5ngen_1nsf.zip</v>
      </c>
      <c r="U11754" s="29" t="str">
        <f>HYPERLINK("https://ictv.global/taxonomy/taxondetails?taxnode_id=202318559","ictv.global=202318559")</f>
        <v>ictv.global=202318559</v>
      </c>
    </row>
    <row r="11755" spans="1:21">
      <c r="A11755">
        <v>11754</v>
      </c>
      <c r="B11755" s="30" t="s">
        <v>1226</v>
      </c>
      <c r="D11755" s="30" t="s">
        <v>2024</v>
      </c>
      <c r="F11755" s="30" t="s">
        <v>1040</v>
      </c>
      <c r="G11755" s="30" t="s">
        <v>1041</v>
      </c>
      <c r="H11755" s="30" t="s">
        <v>1047</v>
      </c>
      <c r="J11755" s="30" t="s">
        <v>255</v>
      </c>
      <c r="L11755" s="30" t="s">
        <v>374</v>
      </c>
      <c r="N11755" s="30" t="s">
        <v>17507</v>
      </c>
      <c r="P11755" s="30" t="s">
        <v>17511</v>
      </c>
      <c r="Q11755" t="s">
        <v>620</v>
      </c>
      <c r="R11755" t="s">
        <v>917</v>
      </c>
      <c r="S11755">
        <v>39</v>
      </c>
      <c r="T11755" s="29" t="str">
        <f t="shared" si="490"/>
        <v>2023.021M.Rhabdoviridae_24nsp_5ngen_1nsf.zip</v>
      </c>
      <c r="U11755" s="29" t="str">
        <f>HYPERLINK("https://ictv.global/taxonomy/taxondetails?taxnode_id=202318557","ictv.global=202318557")</f>
        <v>ictv.global=202318557</v>
      </c>
    </row>
    <row r="11756" spans="1:21">
      <c r="A11756">
        <v>11755</v>
      </c>
      <c r="B11756" s="30" t="s">
        <v>1226</v>
      </c>
      <c r="D11756" s="30" t="s">
        <v>2024</v>
      </c>
      <c r="F11756" s="30" t="s">
        <v>1040</v>
      </c>
      <c r="G11756" s="30" t="s">
        <v>1041</v>
      </c>
      <c r="H11756" s="30" t="s">
        <v>1047</v>
      </c>
      <c r="J11756" s="30" t="s">
        <v>255</v>
      </c>
      <c r="L11756" s="30" t="s">
        <v>374</v>
      </c>
      <c r="N11756" s="30" t="s">
        <v>17507</v>
      </c>
      <c r="P11756" s="30" t="s">
        <v>17512</v>
      </c>
      <c r="Q11756" t="s">
        <v>620</v>
      </c>
      <c r="R11756" t="s">
        <v>917</v>
      </c>
      <c r="S11756">
        <v>39</v>
      </c>
      <c r="T11756" s="29" t="str">
        <f t="shared" si="490"/>
        <v>2023.021M.Rhabdoviridae_24nsp_5ngen_1nsf.zip</v>
      </c>
      <c r="U11756" s="29" t="str">
        <f>HYPERLINK("https://ictv.global/taxonomy/taxondetails?taxnode_id=202318558","ictv.global=202318558")</f>
        <v>ictv.global=202318558</v>
      </c>
    </row>
    <row r="11757" spans="1:21">
      <c r="A11757">
        <v>11756</v>
      </c>
      <c r="B11757" s="30" t="s">
        <v>1226</v>
      </c>
      <c r="D11757" s="30" t="s">
        <v>2024</v>
      </c>
      <c r="F11757" s="30" t="s">
        <v>1040</v>
      </c>
      <c r="G11757" s="30" t="s">
        <v>1041</v>
      </c>
      <c r="H11757" s="30" t="s">
        <v>1047</v>
      </c>
      <c r="J11757" s="30" t="s">
        <v>255</v>
      </c>
      <c r="L11757" s="30" t="s">
        <v>374</v>
      </c>
      <c r="N11757" s="30" t="s">
        <v>17507</v>
      </c>
      <c r="P11757" s="30" t="s">
        <v>17513</v>
      </c>
      <c r="Q11757" t="s">
        <v>620</v>
      </c>
      <c r="R11757" t="s">
        <v>917</v>
      </c>
      <c r="S11757">
        <v>39</v>
      </c>
      <c r="T11757" s="29" t="str">
        <f t="shared" si="490"/>
        <v>2023.021M.Rhabdoviridae_24nsp_5ngen_1nsf.zip</v>
      </c>
      <c r="U11757" s="29" t="str">
        <f>HYPERLINK("https://ictv.global/taxonomy/taxondetails?taxnode_id=202318560","ictv.global=202318560")</f>
        <v>ictv.global=202318560</v>
      </c>
    </row>
    <row r="11758" spans="1:21">
      <c r="A11758">
        <v>11757</v>
      </c>
      <c r="B11758" s="30" t="s">
        <v>1226</v>
      </c>
      <c r="D11758" s="30" t="s">
        <v>2024</v>
      </c>
      <c r="F11758" s="30" t="s">
        <v>1040</v>
      </c>
      <c r="G11758" s="30" t="s">
        <v>1041</v>
      </c>
      <c r="H11758" s="30" t="s">
        <v>1047</v>
      </c>
      <c r="J11758" s="30" t="s">
        <v>255</v>
      </c>
      <c r="L11758" s="30" t="s">
        <v>716</v>
      </c>
      <c r="N11758" s="30" t="s">
        <v>717</v>
      </c>
      <c r="P11758" s="30" t="s">
        <v>10239</v>
      </c>
      <c r="Q11758" t="s">
        <v>620</v>
      </c>
      <c r="R11758" t="s">
        <v>920</v>
      </c>
      <c r="S11758">
        <v>37</v>
      </c>
      <c r="T11758" s="29" t="str">
        <f>HYPERLINK("https://ictv.global/ictv/proposals/2021.037M.R.Sunviridae _sprename.zip","2021.037M.R.Sunviridae _sprename.zip")</f>
        <v>2021.037M.R.Sunviridae _sprename.zip</v>
      </c>
      <c r="U11758" s="29" t="str">
        <f>HYPERLINK("https://ictv.global/taxonomy/taxondetails?taxnode_id=202301808","ictv.global=202301808")</f>
        <v>ictv.global=202301808</v>
      </c>
    </row>
    <row r="11759" spans="1:21">
      <c r="A11759">
        <v>11758</v>
      </c>
      <c r="B11759" s="30" t="s">
        <v>1226</v>
      </c>
      <c r="D11759" s="30" t="s">
        <v>2024</v>
      </c>
      <c r="F11759" s="30" t="s">
        <v>1040</v>
      </c>
      <c r="G11759" s="30" t="s">
        <v>1041</v>
      </c>
      <c r="H11759" s="30" t="s">
        <v>1047</v>
      </c>
      <c r="J11759" s="30" t="s">
        <v>255</v>
      </c>
      <c r="L11759" s="30" t="s">
        <v>1056</v>
      </c>
      <c r="N11759" s="30" t="s">
        <v>10240</v>
      </c>
      <c r="P11759" s="30" t="s">
        <v>10241</v>
      </c>
      <c r="Q11759" t="s">
        <v>620</v>
      </c>
      <c r="R11759" t="s">
        <v>918</v>
      </c>
      <c r="S11759">
        <v>37</v>
      </c>
      <c r="T11759" s="29" t="str">
        <f>HYPERLINK("https://ictv.global/ictv/proposals/2021.039M.R.Xinmoviridae_11ngen_8nsp.zip","2021.039M.R.Xinmoviridae_11ngen_8nsp.zip")</f>
        <v>2021.039M.R.Xinmoviridae_11ngen_8nsp.zip</v>
      </c>
      <c r="U11759" s="29" t="str">
        <f>HYPERLINK("https://ictv.global/taxonomy/taxondetails?taxnode_id=202306265","ictv.global=202306265")</f>
        <v>ictv.global=202306265</v>
      </c>
    </row>
    <row r="11760" spans="1:21">
      <c r="A11760">
        <v>11759</v>
      </c>
      <c r="B11760" s="30" t="s">
        <v>1226</v>
      </c>
      <c r="D11760" s="30" t="s">
        <v>2024</v>
      </c>
      <c r="F11760" s="30" t="s">
        <v>1040</v>
      </c>
      <c r="G11760" s="30" t="s">
        <v>1041</v>
      </c>
      <c r="H11760" s="30" t="s">
        <v>1047</v>
      </c>
      <c r="J11760" s="30" t="s">
        <v>255</v>
      </c>
      <c r="L11760" s="30" t="s">
        <v>1056</v>
      </c>
      <c r="N11760" s="30" t="s">
        <v>718</v>
      </c>
      <c r="P11760" s="30" t="s">
        <v>10242</v>
      </c>
      <c r="Q11760" t="s">
        <v>620</v>
      </c>
      <c r="R11760" t="s">
        <v>920</v>
      </c>
      <c r="S11760">
        <v>37</v>
      </c>
      <c r="T11760" s="29" t="str">
        <f>HYPERLINK("https://ictv.global/ictv/proposals/2021.039M.R.Xinmoviridae_11ngen_8nsp.zip","2021.039M.R.Xinmoviridae_11ngen_8nsp.zip")</f>
        <v>2021.039M.R.Xinmoviridae_11ngen_8nsp.zip</v>
      </c>
      <c r="U11760" s="29" t="str">
        <f>HYPERLINK("https://ictv.global/taxonomy/taxondetails?taxnode_id=202301812","ictv.global=202301812")</f>
        <v>ictv.global=202301812</v>
      </c>
    </row>
    <row r="11761" spans="1:21">
      <c r="A11761">
        <v>11760</v>
      </c>
      <c r="B11761" s="30" t="s">
        <v>1226</v>
      </c>
      <c r="D11761" s="30" t="s">
        <v>2024</v>
      </c>
      <c r="F11761" s="30" t="s">
        <v>1040</v>
      </c>
      <c r="G11761" s="30" t="s">
        <v>1041</v>
      </c>
      <c r="H11761" s="30" t="s">
        <v>1047</v>
      </c>
      <c r="J11761" s="30" t="s">
        <v>255</v>
      </c>
      <c r="L11761" s="30" t="s">
        <v>1056</v>
      </c>
      <c r="N11761" s="30" t="s">
        <v>17514</v>
      </c>
      <c r="P11761" s="30" t="s">
        <v>17515</v>
      </c>
      <c r="Q11761" t="s">
        <v>620</v>
      </c>
      <c r="R11761" t="s">
        <v>917</v>
      </c>
      <c r="S11761">
        <v>39</v>
      </c>
      <c r="T11761" s="29" t="str">
        <f>HYPERLINK("https://ictv.global/ictv/proposals/2023.023M.Xinmoviridae_10ng_11nsp.zip","2023.023M.Xinmoviridae_10ng_11nsp.zip")</f>
        <v>2023.023M.Xinmoviridae_10ng_11nsp.zip</v>
      </c>
      <c r="U11761" s="29" t="str">
        <f>HYPERLINK("https://ictv.global/taxonomy/taxondetails?taxnode_id=202318783","ictv.global=202318783")</f>
        <v>ictv.global=202318783</v>
      </c>
    </row>
    <row r="11762" spans="1:21">
      <c r="A11762">
        <v>11761</v>
      </c>
      <c r="B11762" s="30" t="s">
        <v>1226</v>
      </c>
      <c r="D11762" s="30" t="s">
        <v>2024</v>
      </c>
      <c r="F11762" s="30" t="s">
        <v>1040</v>
      </c>
      <c r="G11762" s="30" t="s">
        <v>1041</v>
      </c>
      <c r="H11762" s="30" t="s">
        <v>1047</v>
      </c>
      <c r="J11762" s="30" t="s">
        <v>255</v>
      </c>
      <c r="L11762" s="30" t="s">
        <v>1056</v>
      </c>
      <c r="N11762" s="30" t="s">
        <v>17516</v>
      </c>
      <c r="P11762" s="30" t="s">
        <v>17517</v>
      </c>
      <c r="Q11762" t="s">
        <v>620</v>
      </c>
      <c r="R11762" t="s">
        <v>917</v>
      </c>
      <c r="S11762">
        <v>39</v>
      </c>
      <c r="T11762" s="29" t="str">
        <f>HYPERLINK("https://ictv.global/ictv/proposals/2023.023M.Xinmoviridae_10ng_11nsp.zip","2023.023M.Xinmoviridae_10ng_11nsp.zip")</f>
        <v>2023.023M.Xinmoviridae_10ng_11nsp.zip</v>
      </c>
      <c r="U11762" s="29" t="str">
        <f>HYPERLINK("https://ictv.global/taxonomy/taxondetails?taxnode_id=202318779","ictv.global=202318779")</f>
        <v>ictv.global=202318779</v>
      </c>
    </row>
    <row r="11763" spans="1:21">
      <c r="A11763">
        <v>11762</v>
      </c>
      <c r="B11763" s="30" t="s">
        <v>1226</v>
      </c>
      <c r="D11763" s="30" t="s">
        <v>2024</v>
      </c>
      <c r="F11763" s="30" t="s">
        <v>1040</v>
      </c>
      <c r="G11763" s="30" t="s">
        <v>1041</v>
      </c>
      <c r="H11763" s="30" t="s">
        <v>1047</v>
      </c>
      <c r="J11763" s="30" t="s">
        <v>255</v>
      </c>
      <c r="L11763" s="30" t="s">
        <v>1056</v>
      </c>
      <c r="N11763" s="30" t="s">
        <v>17516</v>
      </c>
      <c r="P11763" s="30" t="s">
        <v>17518</v>
      </c>
      <c r="Q11763" t="s">
        <v>620</v>
      </c>
      <c r="R11763" t="s">
        <v>917</v>
      </c>
      <c r="S11763">
        <v>39</v>
      </c>
      <c r="T11763" s="29" t="str">
        <f>HYPERLINK("https://ictv.global/ictv/proposals/2023.023M.Xinmoviridae_10ng_11nsp.zip","2023.023M.Xinmoviridae_10ng_11nsp.zip")</f>
        <v>2023.023M.Xinmoviridae_10ng_11nsp.zip</v>
      </c>
      <c r="U11763" s="29" t="str">
        <f>HYPERLINK("https://ictv.global/taxonomy/taxondetails?taxnode_id=202318780","ictv.global=202318780")</f>
        <v>ictv.global=202318780</v>
      </c>
    </row>
    <row r="11764" spans="1:21">
      <c r="A11764">
        <v>11763</v>
      </c>
      <c r="B11764" s="30" t="s">
        <v>1226</v>
      </c>
      <c r="D11764" s="30" t="s">
        <v>2024</v>
      </c>
      <c r="F11764" s="30" t="s">
        <v>1040</v>
      </c>
      <c r="G11764" s="30" t="s">
        <v>1041</v>
      </c>
      <c r="H11764" s="30" t="s">
        <v>1047</v>
      </c>
      <c r="J11764" s="30" t="s">
        <v>255</v>
      </c>
      <c r="L11764" s="30" t="s">
        <v>1056</v>
      </c>
      <c r="N11764" s="30" t="s">
        <v>10243</v>
      </c>
      <c r="P11764" s="30" t="s">
        <v>10244</v>
      </c>
      <c r="Q11764" t="s">
        <v>620</v>
      </c>
      <c r="R11764" t="s">
        <v>917</v>
      </c>
      <c r="S11764">
        <v>37</v>
      </c>
      <c r="T11764" s="29" t="str">
        <f>HYPERLINK("https://ictv.global/ictv/proposals/2021.039M.R.Xinmoviridae_11ngen_8nsp.zip","2021.039M.R.Xinmoviridae_11ngen_8nsp.zip")</f>
        <v>2021.039M.R.Xinmoviridae_11ngen_8nsp.zip</v>
      </c>
      <c r="U11764" s="29" t="str">
        <f>HYPERLINK("https://ictv.global/taxonomy/taxondetails?taxnode_id=202312935","ictv.global=202312935")</f>
        <v>ictv.global=202312935</v>
      </c>
    </row>
    <row r="11765" spans="1:21">
      <c r="A11765">
        <v>11764</v>
      </c>
      <c r="B11765" s="30" t="s">
        <v>1226</v>
      </c>
      <c r="D11765" s="30" t="s">
        <v>2024</v>
      </c>
      <c r="F11765" s="30" t="s">
        <v>1040</v>
      </c>
      <c r="G11765" s="30" t="s">
        <v>1041</v>
      </c>
      <c r="H11765" s="30" t="s">
        <v>1047</v>
      </c>
      <c r="J11765" s="30" t="s">
        <v>255</v>
      </c>
      <c r="L11765" s="30" t="s">
        <v>1056</v>
      </c>
      <c r="N11765" s="30" t="s">
        <v>10245</v>
      </c>
      <c r="P11765" s="30" t="s">
        <v>10246</v>
      </c>
      <c r="Q11765" t="s">
        <v>620</v>
      </c>
      <c r="R11765" t="s">
        <v>918</v>
      </c>
      <c r="S11765">
        <v>37</v>
      </c>
      <c r="T11765" s="29" t="str">
        <f>HYPERLINK("https://ictv.global/ictv/proposals/2021.039M.R.Xinmoviridae_11ngen_8nsp.zip","2021.039M.R.Xinmoviridae_11ngen_8nsp.zip")</f>
        <v>2021.039M.R.Xinmoviridae_11ngen_8nsp.zip</v>
      </c>
      <c r="U11765" s="29" t="str">
        <f>HYPERLINK("https://ictv.global/taxonomy/taxondetails?taxnode_id=202306261","ictv.global=202306261")</f>
        <v>ictv.global=202306261</v>
      </c>
    </row>
    <row r="11766" spans="1:21">
      <c r="A11766">
        <v>11765</v>
      </c>
      <c r="B11766" s="30" t="s">
        <v>1226</v>
      </c>
      <c r="D11766" s="30" t="s">
        <v>2024</v>
      </c>
      <c r="F11766" s="30" t="s">
        <v>1040</v>
      </c>
      <c r="G11766" s="30" t="s">
        <v>1041</v>
      </c>
      <c r="H11766" s="30" t="s">
        <v>1047</v>
      </c>
      <c r="J11766" s="30" t="s">
        <v>255</v>
      </c>
      <c r="L11766" s="30" t="s">
        <v>1056</v>
      </c>
      <c r="N11766" s="30" t="s">
        <v>10247</v>
      </c>
      <c r="P11766" s="30" t="s">
        <v>10248</v>
      </c>
      <c r="Q11766" t="s">
        <v>620</v>
      </c>
      <c r="R11766" t="s">
        <v>918</v>
      </c>
      <c r="S11766">
        <v>37</v>
      </c>
      <c r="T11766" s="29" t="str">
        <f>HYPERLINK("https://ictv.global/ictv/proposals/2021.039M.R.Xinmoviridae_11ngen_8nsp.zip","2021.039M.R.Xinmoviridae_11ngen_8nsp.zip")</f>
        <v>2021.039M.R.Xinmoviridae_11ngen_8nsp.zip</v>
      </c>
      <c r="U11766" s="29" t="str">
        <f>HYPERLINK("https://ictv.global/taxonomy/taxondetails?taxnode_id=202306263","ictv.global=202306263")</f>
        <v>ictv.global=202306263</v>
      </c>
    </row>
    <row r="11767" spans="1:21">
      <c r="A11767">
        <v>11766</v>
      </c>
      <c r="B11767" s="30" t="s">
        <v>1226</v>
      </c>
      <c r="D11767" s="30" t="s">
        <v>2024</v>
      </c>
      <c r="F11767" s="30" t="s">
        <v>1040</v>
      </c>
      <c r="G11767" s="30" t="s">
        <v>1041</v>
      </c>
      <c r="H11767" s="30" t="s">
        <v>1047</v>
      </c>
      <c r="J11767" s="30" t="s">
        <v>255</v>
      </c>
      <c r="L11767" s="30" t="s">
        <v>1056</v>
      </c>
      <c r="N11767" s="30" t="s">
        <v>10249</v>
      </c>
      <c r="P11767" s="30" t="s">
        <v>10250</v>
      </c>
      <c r="Q11767" t="s">
        <v>620</v>
      </c>
      <c r="R11767" t="s">
        <v>918</v>
      </c>
      <c r="S11767">
        <v>37</v>
      </c>
      <c r="T11767" s="29" t="str">
        <f>HYPERLINK("https://ictv.global/ictv/proposals/2021.039M.R.Xinmoviridae_11ngen_8nsp.zip","2021.039M.R.Xinmoviridae_11ngen_8nsp.zip")</f>
        <v>2021.039M.R.Xinmoviridae_11ngen_8nsp.zip</v>
      </c>
      <c r="U11767" s="29" t="str">
        <f>HYPERLINK("https://ictv.global/taxonomy/taxondetails?taxnode_id=202306262","ictv.global=202306262")</f>
        <v>ictv.global=202306262</v>
      </c>
    </row>
    <row r="11768" spans="1:21">
      <c r="A11768">
        <v>11767</v>
      </c>
      <c r="B11768" s="30" t="s">
        <v>1226</v>
      </c>
      <c r="D11768" s="30" t="s">
        <v>2024</v>
      </c>
      <c r="F11768" s="30" t="s">
        <v>1040</v>
      </c>
      <c r="G11768" s="30" t="s">
        <v>1041</v>
      </c>
      <c r="H11768" s="30" t="s">
        <v>1047</v>
      </c>
      <c r="J11768" s="30" t="s">
        <v>255</v>
      </c>
      <c r="L11768" s="30" t="s">
        <v>1056</v>
      </c>
      <c r="N11768" s="30" t="s">
        <v>10249</v>
      </c>
      <c r="P11768" s="30" t="s">
        <v>10251</v>
      </c>
      <c r="Q11768" t="s">
        <v>620</v>
      </c>
      <c r="R11768" t="s">
        <v>917</v>
      </c>
      <c r="S11768">
        <v>37</v>
      </c>
      <c r="T11768" s="29" t="str">
        <f>HYPERLINK("https://ictv.global/ictv/proposals/2021.039M.R.Xinmoviridae_11ngen_8nsp.zip","2021.039M.R.Xinmoviridae_11ngen_8nsp.zip")</f>
        <v>2021.039M.R.Xinmoviridae_11ngen_8nsp.zip</v>
      </c>
      <c r="U11768" s="29" t="str">
        <f>HYPERLINK("https://ictv.global/taxonomy/taxondetails?taxnode_id=202312939","ictv.global=202312939")</f>
        <v>ictv.global=202312939</v>
      </c>
    </row>
    <row r="11769" spans="1:21">
      <c r="A11769">
        <v>11768</v>
      </c>
      <c r="B11769" s="30" t="s">
        <v>1226</v>
      </c>
      <c r="D11769" s="30" t="s">
        <v>2024</v>
      </c>
      <c r="F11769" s="30" t="s">
        <v>1040</v>
      </c>
      <c r="G11769" s="30" t="s">
        <v>1041</v>
      </c>
      <c r="H11769" s="30" t="s">
        <v>1047</v>
      </c>
      <c r="J11769" s="30" t="s">
        <v>255</v>
      </c>
      <c r="L11769" s="30" t="s">
        <v>1056</v>
      </c>
      <c r="N11769" s="30" t="s">
        <v>17519</v>
      </c>
      <c r="P11769" s="30" t="s">
        <v>17520</v>
      </c>
      <c r="Q11769" t="s">
        <v>620</v>
      </c>
      <c r="R11769" t="s">
        <v>917</v>
      </c>
      <c r="S11769">
        <v>39</v>
      </c>
      <c r="T11769" s="29" t="str">
        <f>HYPERLINK("https://ictv.global/ictv/proposals/2023.023M.Xinmoviridae_10ng_11nsp.zip","2023.023M.Xinmoviridae_10ng_11nsp.zip")</f>
        <v>2023.023M.Xinmoviridae_10ng_11nsp.zip</v>
      </c>
      <c r="U11769" s="29" t="str">
        <f>HYPERLINK("https://ictv.global/taxonomy/taxondetails?taxnode_id=202318781","ictv.global=202318781")</f>
        <v>ictv.global=202318781</v>
      </c>
    </row>
    <row r="11770" spans="1:21">
      <c r="A11770">
        <v>11769</v>
      </c>
      <c r="B11770" s="30" t="s">
        <v>1226</v>
      </c>
      <c r="D11770" s="30" t="s">
        <v>2024</v>
      </c>
      <c r="F11770" s="30" t="s">
        <v>1040</v>
      </c>
      <c r="G11770" s="30" t="s">
        <v>1041</v>
      </c>
      <c r="H11770" s="30" t="s">
        <v>1047</v>
      </c>
      <c r="J11770" s="30" t="s">
        <v>255</v>
      </c>
      <c r="L11770" s="30" t="s">
        <v>1056</v>
      </c>
      <c r="N11770" s="30" t="s">
        <v>17521</v>
      </c>
      <c r="P11770" s="30" t="s">
        <v>17522</v>
      </c>
      <c r="Q11770" t="s">
        <v>620</v>
      </c>
      <c r="R11770" t="s">
        <v>917</v>
      </c>
      <c r="S11770">
        <v>39</v>
      </c>
      <c r="T11770" s="29" t="str">
        <f>HYPERLINK("https://ictv.global/ictv/proposals/2023.023M.Xinmoviridae_10ng_11nsp.zip","2023.023M.Xinmoviridae_10ng_11nsp.zip")</f>
        <v>2023.023M.Xinmoviridae_10ng_11nsp.zip</v>
      </c>
      <c r="U11770" s="29" t="str">
        <f>HYPERLINK("https://ictv.global/taxonomy/taxondetails?taxnode_id=202318778","ictv.global=202318778")</f>
        <v>ictv.global=202318778</v>
      </c>
    </row>
    <row r="11771" spans="1:21">
      <c r="A11771">
        <v>11770</v>
      </c>
      <c r="B11771" s="30" t="s">
        <v>1226</v>
      </c>
      <c r="D11771" s="30" t="s">
        <v>2024</v>
      </c>
      <c r="F11771" s="30" t="s">
        <v>1040</v>
      </c>
      <c r="G11771" s="30" t="s">
        <v>1041</v>
      </c>
      <c r="H11771" s="30" t="s">
        <v>1047</v>
      </c>
      <c r="J11771" s="30" t="s">
        <v>255</v>
      </c>
      <c r="L11771" s="30" t="s">
        <v>1056</v>
      </c>
      <c r="N11771" s="30" t="s">
        <v>10252</v>
      </c>
      <c r="P11771" s="30" t="s">
        <v>10253</v>
      </c>
      <c r="Q11771" t="s">
        <v>620</v>
      </c>
      <c r="R11771" t="s">
        <v>917</v>
      </c>
      <c r="S11771">
        <v>37</v>
      </c>
      <c r="T11771" s="29" t="str">
        <f>HYPERLINK("https://ictv.global/ictv/proposals/2021.039M.R.Xinmoviridae_11ngen_8nsp.zip","2021.039M.R.Xinmoviridae_11ngen_8nsp.zip")</f>
        <v>2021.039M.R.Xinmoviridae_11ngen_8nsp.zip</v>
      </c>
      <c r="U11771" s="29" t="str">
        <f>HYPERLINK("https://ictv.global/taxonomy/taxondetails?taxnode_id=202312941","ictv.global=202312941")</f>
        <v>ictv.global=202312941</v>
      </c>
    </row>
    <row r="11772" spans="1:21">
      <c r="A11772">
        <v>11771</v>
      </c>
      <c r="B11772" s="30" t="s">
        <v>1226</v>
      </c>
      <c r="D11772" s="30" t="s">
        <v>2024</v>
      </c>
      <c r="F11772" s="30" t="s">
        <v>1040</v>
      </c>
      <c r="G11772" s="30" t="s">
        <v>1041</v>
      </c>
      <c r="H11772" s="30" t="s">
        <v>1047</v>
      </c>
      <c r="J11772" s="30" t="s">
        <v>255</v>
      </c>
      <c r="L11772" s="30" t="s">
        <v>1056</v>
      </c>
      <c r="N11772" s="30" t="s">
        <v>10254</v>
      </c>
      <c r="P11772" s="30" t="s">
        <v>10255</v>
      </c>
      <c r="Q11772" t="s">
        <v>620</v>
      </c>
      <c r="R11772" t="s">
        <v>918</v>
      </c>
      <c r="S11772">
        <v>37</v>
      </c>
      <c r="T11772" s="29" t="str">
        <f>HYPERLINK("https://ictv.global/ictv/proposals/2021.039M.R.Xinmoviridae_11ngen_8nsp.zip","2021.039M.R.Xinmoviridae_11ngen_8nsp.zip")</f>
        <v>2021.039M.R.Xinmoviridae_11ngen_8nsp.zip</v>
      </c>
      <c r="U11772" s="29" t="str">
        <f>HYPERLINK("https://ictv.global/taxonomy/taxondetails?taxnode_id=202306260","ictv.global=202306260")</f>
        <v>ictv.global=202306260</v>
      </c>
    </row>
    <row r="11773" spans="1:21">
      <c r="A11773">
        <v>11772</v>
      </c>
      <c r="B11773" s="30" t="s">
        <v>1226</v>
      </c>
      <c r="D11773" s="30" t="s">
        <v>2024</v>
      </c>
      <c r="F11773" s="30" t="s">
        <v>1040</v>
      </c>
      <c r="G11773" s="30" t="s">
        <v>1041</v>
      </c>
      <c r="H11773" s="30" t="s">
        <v>1047</v>
      </c>
      <c r="J11773" s="30" t="s">
        <v>255</v>
      </c>
      <c r="L11773" s="30" t="s">
        <v>1056</v>
      </c>
      <c r="N11773" s="30" t="s">
        <v>17523</v>
      </c>
      <c r="P11773" s="30" t="s">
        <v>17524</v>
      </c>
      <c r="Q11773" t="s">
        <v>620</v>
      </c>
      <c r="R11773" t="s">
        <v>917</v>
      </c>
      <c r="S11773">
        <v>39</v>
      </c>
      <c r="T11773" s="29" t="str">
        <f>HYPERLINK("https://ictv.global/ictv/proposals/2023.023M.Xinmoviridae_10ng_11nsp.zip","2023.023M.Xinmoviridae_10ng_11nsp.zip")</f>
        <v>2023.023M.Xinmoviridae_10ng_11nsp.zip</v>
      </c>
      <c r="U11773" s="29" t="str">
        <f>HYPERLINK("https://ictv.global/taxonomy/taxondetails?taxnode_id=202318786","ictv.global=202318786")</f>
        <v>ictv.global=202318786</v>
      </c>
    </row>
    <row r="11774" spans="1:21">
      <c r="A11774">
        <v>11773</v>
      </c>
      <c r="B11774" s="30" t="s">
        <v>1226</v>
      </c>
      <c r="D11774" s="30" t="s">
        <v>2024</v>
      </c>
      <c r="F11774" s="30" t="s">
        <v>1040</v>
      </c>
      <c r="G11774" s="30" t="s">
        <v>1041</v>
      </c>
      <c r="H11774" s="30" t="s">
        <v>1047</v>
      </c>
      <c r="J11774" s="30" t="s">
        <v>255</v>
      </c>
      <c r="L11774" s="30" t="s">
        <v>1056</v>
      </c>
      <c r="N11774" s="30" t="s">
        <v>10256</v>
      </c>
      <c r="P11774" s="30" t="s">
        <v>10257</v>
      </c>
      <c r="Q11774" t="s">
        <v>620</v>
      </c>
      <c r="R11774" t="s">
        <v>917</v>
      </c>
      <c r="S11774">
        <v>37</v>
      </c>
      <c r="T11774" s="29" t="str">
        <f>HYPERLINK("https://ictv.global/ictv/proposals/2021.039M.R.Xinmoviridae_11ngen_8nsp.zip","2021.039M.R.Xinmoviridae_11ngen_8nsp.zip")</f>
        <v>2021.039M.R.Xinmoviridae_11ngen_8nsp.zip</v>
      </c>
      <c r="U11774" s="29" t="str">
        <f>HYPERLINK("https://ictv.global/taxonomy/taxondetails?taxnode_id=202312944","ictv.global=202312944")</f>
        <v>ictv.global=202312944</v>
      </c>
    </row>
    <row r="11775" spans="1:21">
      <c r="A11775">
        <v>11774</v>
      </c>
      <c r="B11775" s="30" t="s">
        <v>1226</v>
      </c>
      <c r="D11775" s="30" t="s">
        <v>2024</v>
      </c>
      <c r="F11775" s="30" t="s">
        <v>1040</v>
      </c>
      <c r="G11775" s="30" t="s">
        <v>1041</v>
      </c>
      <c r="H11775" s="30" t="s">
        <v>1047</v>
      </c>
      <c r="J11775" s="30" t="s">
        <v>255</v>
      </c>
      <c r="L11775" s="30" t="s">
        <v>1056</v>
      </c>
      <c r="N11775" s="30" t="s">
        <v>10256</v>
      </c>
      <c r="P11775" s="30" t="s">
        <v>10258</v>
      </c>
      <c r="Q11775" t="s">
        <v>620</v>
      </c>
      <c r="R11775" t="s">
        <v>917</v>
      </c>
      <c r="S11775">
        <v>37</v>
      </c>
      <c r="T11775" s="29" t="str">
        <f>HYPERLINK("https://ictv.global/ictv/proposals/2021.039M.R.Xinmoviridae_11ngen_8nsp.zip","2021.039M.R.Xinmoviridae_11ngen_8nsp.zip")</f>
        <v>2021.039M.R.Xinmoviridae_11ngen_8nsp.zip</v>
      </c>
      <c r="U11775" s="29" t="str">
        <f>HYPERLINK("https://ictv.global/taxonomy/taxondetails?taxnode_id=202312945","ictv.global=202312945")</f>
        <v>ictv.global=202312945</v>
      </c>
    </row>
    <row r="11776" spans="1:21">
      <c r="A11776">
        <v>11775</v>
      </c>
      <c r="B11776" s="30" t="s">
        <v>1226</v>
      </c>
      <c r="D11776" s="30" t="s">
        <v>2024</v>
      </c>
      <c r="F11776" s="30" t="s">
        <v>1040</v>
      </c>
      <c r="G11776" s="30" t="s">
        <v>1041</v>
      </c>
      <c r="H11776" s="30" t="s">
        <v>1047</v>
      </c>
      <c r="J11776" s="30" t="s">
        <v>255</v>
      </c>
      <c r="L11776" s="30" t="s">
        <v>1056</v>
      </c>
      <c r="N11776" s="30" t="s">
        <v>17525</v>
      </c>
      <c r="P11776" s="30" t="s">
        <v>17526</v>
      </c>
      <c r="Q11776" t="s">
        <v>620</v>
      </c>
      <c r="R11776" t="s">
        <v>917</v>
      </c>
      <c r="S11776">
        <v>39</v>
      </c>
      <c r="T11776" s="29" t="str">
        <f>HYPERLINK("https://ictv.global/ictv/proposals/2023.023M.Xinmoviridae_10ng_11nsp.zip","2023.023M.Xinmoviridae_10ng_11nsp.zip")</f>
        <v>2023.023M.Xinmoviridae_10ng_11nsp.zip</v>
      </c>
      <c r="U11776" s="29" t="str">
        <f>HYPERLINK("https://ictv.global/taxonomy/taxondetails?taxnode_id=202318785","ictv.global=202318785")</f>
        <v>ictv.global=202318785</v>
      </c>
    </row>
    <row r="11777" spans="1:21">
      <c r="A11777">
        <v>11776</v>
      </c>
      <c r="B11777" s="30" t="s">
        <v>1226</v>
      </c>
      <c r="D11777" s="30" t="s">
        <v>2024</v>
      </c>
      <c r="F11777" s="30" t="s">
        <v>1040</v>
      </c>
      <c r="G11777" s="30" t="s">
        <v>1041</v>
      </c>
      <c r="H11777" s="30" t="s">
        <v>1047</v>
      </c>
      <c r="J11777" s="30" t="s">
        <v>255</v>
      </c>
      <c r="L11777" s="30" t="s">
        <v>1056</v>
      </c>
      <c r="N11777" s="30" t="s">
        <v>17527</v>
      </c>
      <c r="P11777" s="30" t="s">
        <v>17528</v>
      </c>
      <c r="Q11777" t="s">
        <v>620</v>
      </c>
      <c r="R11777" t="s">
        <v>917</v>
      </c>
      <c r="S11777">
        <v>39</v>
      </c>
      <c r="T11777" s="29" t="str">
        <f>HYPERLINK("https://ictv.global/ictv/proposals/2023.023M.Xinmoviridae_10ng_11nsp.zip","2023.023M.Xinmoviridae_10ng_11nsp.zip")</f>
        <v>2023.023M.Xinmoviridae_10ng_11nsp.zip</v>
      </c>
      <c r="U11777" s="29" t="str">
        <f>HYPERLINK("https://ictv.global/taxonomy/taxondetails?taxnode_id=202318784","ictv.global=202318784")</f>
        <v>ictv.global=202318784</v>
      </c>
    </row>
    <row r="11778" spans="1:21">
      <c r="A11778">
        <v>11777</v>
      </c>
      <c r="B11778" s="30" t="s">
        <v>1226</v>
      </c>
      <c r="D11778" s="30" t="s">
        <v>2024</v>
      </c>
      <c r="F11778" s="30" t="s">
        <v>1040</v>
      </c>
      <c r="G11778" s="30" t="s">
        <v>1041</v>
      </c>
      <c r="H11778" s="30" t="s">
        <v>1047</v>
      </c>
      <c r="J11778" s="30" t="s">
        <v>255</v>
      </c>
      <c r="L11778" s="30" t="s">
        <v>1056</v>
      </c>
      <c r="N11778" s="30" t="s">
        <v>10259</v>
      </c>
      <c r="P11778" s="30" t="s">
        <v>10260</v>
      </c>
      <c r="Q11778" t="s">
        <v>620</v>
      </c>
      <c r="R11778" t="s">
        <v>917</v>
      </c>
      <c r="S11778">
        <v>37</v>
      </c>
      <c r="T11778" s="29" t="str">
        <f>HYPERLINK("https://ictv.global/ictv/proposals/2021.039M.R.Xinmoviridae_11ngen_8nsp.zip","2021.039M.R.Xinmoviridae_11ngen_8nsp.zip")</f>
        <v>2021.039M.R.Xinmoviridae_11ngen_8nsp.zip</v>
      </c>
      <c r="U11778" s="29" t="str">
        <f>HYPERLINK("https://ictv.global/taxonomy/taxondetails?taxnode_id=202312947","ictv.global=202312947")</f>
        <v>ictv.global=202312947</v>
      </c>
    </row>
    <row r="11779" spans="1:21">
      <c r="A11779">
        <v>11778</v>
      </c>
      <c r="B11779" s="30" t="s">
        <v>1226</v>
      </c>
      <c r="D11779" s="30" t="s">
        <v>2024</v>
      </c>
      <c r="F11779" s="30" t="s">
        <v>1040</v>
      </c>
      <c r="G11779" s="30" t="s">
        <v>1041</v>
      </c>
      <c r="H11779" s="30" t="s">
        <v>1047</v>
      </c>
      <c r="J11779" s="30" t="s">
        <v>255</v>
      </c>
      <c r="L11779" s="30" t="s">
        <v>1056</v>
      </c>
      <c r="N11779" s="30" t="s">
        <v>17529</v>
      </c>
      <c r="P11779" s="30" t="s">
        <v>17530</v>
      </c>
      <c r="Q11779" t="s">
        <v>620</v>
      </c>
      <c r="R11779" t="s">
        <v>917</v>
      </c>
      <c r="S11779">
        <v>39</v>
      </c>
      <c r="T11779" s="29" t="str">
        <f>HYPERLINK("https://ictv.global/ictv/proposals/2023.023M.Xinmoviridae_10ng_11nsp.zip","2023.023M.Xinmoviridae_10ng_11nsp.zip")</f>
        <v>2023.023M.Xinmoviridae_10ng_11nsp.zip</v>
      </c>
      <c r="U11779" s="29" t="str">
        <f>HYPERLINK("https://ictv.global/taxonomy/taxondetails?taxnode_id=202318782","ictv.global=202318782")</f>
        <v>ictv.global=202318782</v>
      </c>
    </row>
    <row r="11780" spans="1:21">
      <c r="A11780">
        <v>11779</v>
      </c>
      <c r="B11780" s="30" t="s">
        <v>1226</v>
      </c>
      <c r="D11780" s="30" t="s">
        <v>2024</v>
      </c>
      <c r="F11780" s="30" t="s">
        <v>1040</v>
      </c>
      <c r="G11780" s="30" t="s">
        <v>1041</v>
      </c>
      <c r="H11780" s="30" t="s">
        <v>1047</v>
      </c>
      <c r="J11780" s="30" t="s">
        <v>255</v>
      </c>
      <c r="L11780" s="30" t="s">
        <v>1056</v>
      </c>
      <c r="N11780" s="30" t="s">
        <v>17531</v>
      </c>
      <c r="P11780" s="30" t="s">
        <v>17532</v>
      </c>
      <c r="Q11780" t="s">
        <v>620</v>
      </c>
      <c r="R11780" t="s">
        <v>917</v>
      </c>
      <c r="S11780">
        <v>39</v>
      </c>
      <c r="T11780" s="29" t="str">
        <f>HYPERLINK("https://ictv.global/ictv/proposals/2023.023M.Xinmoviridae_10ng_11nsp.zip","2023.023M.Xinmoviridae_10ng_11nsp.zip")</f>
        <v>2023.023M.Xinmoviridae_10ng_11nsp.zip</v>
      </c>
      <c r="U11780" s="29" t="str">
        <f>HYPERLINK("https://ictv.global/taxonomy/taxondetails?taxnode_id=202318787","ictv.global=202318787")</f>
        <v>ictv.global=202318787</v>
      </c>
    </row>
    <row r="11781" spans="1:21">
      <c r="A11781">
        <v>11780</v>
      </c>
      <c r="B11781" s="30" t="s">
        <v>1226</v>
      </c>
      <c r="D11781" s="30" t="s">
        <v>2024</v>
      </c>
      <c r="F11781" s="30" t="s">
        <v>1040</v>
      </c>
      <c r="G11781" s="30" t="s">
        <v>1041</v>
      </c>
      <c r="H11781" s="30" t="s">
        <v>1047</v>
      </c>
      <c r="J11781" s="30" t="s">
        <v>255</v>
      </c>
      <c r="L11781" s="30" t="s">
        <v>1056</v>
      </c>
      <c r="N11781" s="30" t="s">
        <v>10261</v>
      </c>
      <c r="P11781" s="30" t="s">
        <v>10262</v>
      </c>
      <c r="Q11781" t="s">
        <v>620</v>
      </c>
      <c r="R11781" t="s">
        <v>917</v>
      </c>
      <c r="S11781">
        <v>37</v>
      </c>
      <c r="T11781" s="29" t="str">
        <f>HYPERLINK("https://ictv.global/ictv/proposals/2021.039M.R.Xinmoviridae_11ngen_8nsp.zip","2021.039M.R.Xinmoviridae_11ngen_8nsp.zip")</f>
        <v>2021.039M.R.Xinmoviridae_11ngen_8nsp.zip</v>
      </c>
      <c r="U11781" s="29" t="str">
        <f>HYPERLINK("https://ictv.global/taxonomy/taxondetails?taxnode_id=202312949","ictv.global=202312949")</f>
        <v>ictv.global=202312949</v>
      </c>
    </row>
    <row r="11782" spans="1:21">
      <c r="A11782">
        <v>11781</v>
      </c>
      <c r="B11782" s="30" t="s">
        <v>1226</v>
      </c>
      <c r="D11782" s="30" t="s">
        <v>2024</v>
      </c>
      <c r="F11782" s="30" t="s">
        <v>1040</v>
      </c>
      <c r="G11782" s="30" t="s">
        <v>1041</v>
      </c>
      <c r="H11782" s="30" t="s">
        <v>1047</v>
      </c>
      <c r="J11782" s="30" t="s">
        <v>255</v>
      </c>
      <c r="L11782" s="30" t="s">
        <v>1056</v>
      </c>
      <c r="N11782" s="30" t="s">
        <v>17533</v>
      </c>
      <c r="P11782" s="30" t="s">
        <v>17534</v>
      </c>
      <c r="Q11782" t="s">
        <v>620</v>
      </c>
      <c r="R11782" t="s">
        <v>917</v>
      </c>
      <c r="S11782">
        <v>39</v>
      </c>
      <c r="T11782" s="29" t="str">
        <f>HYPERLINK("https://ictv.global/ictv/proposals/2023.023M.Xinmoviridae_10ng_11nsp.zip","2023.023M.Xinmoviridae_10ng_11nsp.zip")</f>
        <v>2023.023M.Xinmoviridae_10ng_11nsp.zip</v>
      </c>
      <c r="U11782" s="29" t="str">
        <f>HYPERLINK("https://ictv.global/taxonomy/taxondetails?taxnode_id=202318777","ictv.global=202318777")</f>
        <v>ictv.global=202318777</v>
      </c>
    </row>
    <row r="11783" spans="1:21">
      <c r="A11783">
        <v>11782</v>
      </c>
      <c r="B11783" s="30" t="s">
        <v>1226</v>
      </c>
      <c r="D11783" s="30" t="s">
        <v>2024</v>
      </c>
      <c r="F11783" s="30" t="s">
        <v>1040</v>
      </c>
      <c r="G11783" s="30" t="s">
        <v>1041</v>
      </c>
      <c r="H11783" s="30" t="s">
        <v>1047</v>
      </c>
      <c r="J11783" s="30" t="s">
        <v>255</v>
      </c>
      <c r="L11783" s="30" t="s">
        <v>1056</v>
      </c>
      <c r="N11783" s="30" t="s">
        <v>10263</v>
      </c>
      <c r="P11783" s="30" t="s">
        <v>10264</v>
      </c>
      <c r="Q11783" t="s">
        <v>620</v>
      </c>
      <c r="R11783" t="s">
        <v>917</v>
      </c>
      <c r="S11783">
        <v>37</v>
      </c>
      <c r="T11783" s="29" t="str">
        <f>HYPERLINK("https://ictv.global/ictv/proposals/2021.039M.R.Xinmoviridae_11ngen_8nsp.zip","2021.039M.R.Xinmoviridae_11ngen_8nsp.zip")</f>
        <v>2021.039M.R.Xinmoviridae_11ngen_8nsp.zip</v>
      </c>
      <c r="U11783" s="29" t="str">
        <f>HYPERLINK("https://ictv.global/taxonomy/taxondetails?taxnode_id=202312951","ictv.global=202312951")</f>
        <v>ictv.global=202312951</v>
      </c>
    </row>
    <row r="11784" spans="1:21">
      <c r="A11784">
        <v>11783</v>
      </c>
      <c r="B11784" s="30" t="s">
        <v>1226</v>
      </c>
      <c r="D11784" s="30" t="s">
        <v>2024</v>
      </c>
      <c r="F11784" s="30" t="s">
        <v>1040</v>
      </c>
      <c r="G11784" s="30" t="s">
        <v>1041</v>
      </c>
      <c r="H11784" s="30" t="s">
        <v>1057</v>
      </c>
      <c r="J11784" s="30" t="s">
        <v>1058</v>
      </c>
      <c r="L11784" s="30" t="s">
        <v>1059</v>
      </c>
      <c r="N11784" s="30" t="s">
        <v>1060</v>
      </c>
      <c r="P11784" s="30" t="s">
        <v>10265</v>
      </c>
      <c r="Q11784" t="s">
        <v>620</v>
      </c>
      <c r="R11784" t="s">
        <v>920</v>
      </c>
      <c r="S11784">
        <v>37</v>
      </c>
      <c r="T11784" s="29" t="str">
        <f>HYPERLINK("https://ictv.global/ictv/proposals/2021.018M.R.Negarnaviricota_sprename.zip","2021.018M.R.Negarnaviricota_sprename.zip")</f>
        <v>2021.018M.R.Negarnaviricota_sprename.zip</v>
      </c>
      <c r="U11784" s="29" t="str">
        <f>HYPERLINK("https://ictv.global/taxonomy/taxondetails?taxnode_id=202306075","ictv.global=202306075")</f>
        <v>ictv.global=202306075</v>
      </c>
    </row>
    <row r="11785" spans="1:21">
      <c r="A11785">
        <v>11784</v>
      </c>
      <c r="B11785" s="30" t="s">
        <v>1226</v>
      </c>
      <c r="D11785" s="30" t="s">
        <v>2024</v>
      </c>
      <c r="F11785" s="30" t="s">
        <v>1040</v>
      </c>
      <c r="G11785" s="30" t="s">
        <v>1041</v>
      </c>
      <c r="H11785" s="30" t="s">
        <v>1057</v>
      </c>
      <c r="J11785" s="30" t="s">
        <v>1058</v>
      </c>
      <c r="L11785" s="30" t="s">
        <v>1059</v>
      </c>
      <c r="N11785" s="30" t="s">
        <v>1060</v>
      </c>
      <c r="P11785" s="30" t="s">
        <v>10266</v>
      </c>
      <c r="Q11785" t="s">
        <v>620</v>
      </c>
      <c r="R11785" t="s">
        <v>920</v>
      </c>
      <c r="S11785">
        <v>37</v>
      </c>
      <c r="T11785" s="29" t="str">
        <f>HYPERLINK("https://ictv.global/ictv/proposals/2021.018M.R.Negarnaviricota_sprename.zip","2021.018M.R.Negarnaviricota_sprename.zip")</f>
        <v>2021.018M.R.Negarnaviricota_sprename.zip</v>
      </c>
      <c r="U11785" s="29" t="str">
        <f>HYPERLINK("https://ictv.global/taxonomy/taxondetails?taxnode_id=202306076","ictv.global=202306076")</f>
        <v>ictv.global=202306076</v>
      </c>
    </row>
    <row r="11786" spans="1:21">
      <c r="A11786">
        <v>11785</v>
      </c>
      <c r="B11786" s="30" t="s">
        <v>1226</v>
      </c>
      <c r="D11786" s="30" t="s">
        <v>2024</v>
      </c>
      <c r="F11786" s="30" t="s">
        <v>1040</v>
      </c>
      <c r="G11786" s="30" t="s">
        <v>1061</v>
      </c>
      <c r="H11786" s="30" t="s">
        <v>17535</v>
      </c>
      <c r="J11786" s="30" t="s">
        <v>17536</v>
      </c>
      <c r="L11786" s="30" t="s">
        <v>1062</v>
      </c>
      <c r="N11786" s="30" t="s">
        <v>1063</v>
      </c>
      <c r="P11786" s="30" t="s">
        <v>17537</v>
      </c>
      <c r="Q11786" t="s">
        <v>620</v>
      </c>
      <c r="R11786" t="s">
        <v>917</v>
      </c>
      <c r="S11786">
        <v>39</v>
      </c>
      <c r="T11786" s="29" t="str">
        <f t="shared" ref="T11786:T11791" si="491">HYPERLINK("https://ictv.global/ictv/proposals/2023.024M.Bunyaviricetes.zip","2023.024M.Bunyaviricetes.zip")</f>
        <v>2023.024M.Bunyaviricetes.zip</v>
      </c>
      <c r="U11786" s="29" t="str">
        <f>HYPERLINK("https://ictv.global/taxonomy/taxondetails?taxnode_id=202318850","ictv.global=202318850")</f>
        <v>ictv.global=202318850</v>
      </c>
    </row>
    <row r="11787" spans="1:21">
      <c r="A11787">
        <v>11786</v>
      </c>
      <c r="B11787" s="30" t="s">
        <v>1226</v>
      </c>
      <c r="D11787" s="30" t="s">
        <v>2024</v>
      </c>
      <c r="F11787" s="30" t="s">
        <v>1040</v>
      </c>
      <c r="G11787" s="30" t="s">
        <v>1061</v>
      </c>
      <c r="H11787" s="30" t="s">
        <v>17535</v>
      </c>
      <c r="J11787" s="30" t="s">
        <v>17536</v>
      </c>
      <c r="L11787" s="30" t="s">
        <v>1062</v>
      </c>
      <c r="N11787" s="30" t="s">
        <v>1063</v>
      </c>
      <c r="P11787" s="30" t="s">
        <v>3787</v>
      </c>
      <c r="Q11787" t="s">
        <v>620</v>
      </c>
      <c r="R11787" t="s">
        <v>920</v>
      </c>
      <c r="S11787">
        <v>39</v>
      </c>
      <c r="T11787" s="29" t="str">
        <f t="shared" si="491"/>
        <v>2023.024M.Bunyaviricetes.zip</v>
      </c>
      <c r="U11787" s="29" t="str">
        <f>HYPERLINK("https://ictv.global/taxonomy/taxondetails?taxnode_id=202308791","ictv.global=202308791")</f>
        <v>ictv.global=202308791</v>
      </c>
    </row>
    <row r="11788" spans="1:21">
      <c r="A11788">
        <v>11787</v>
      </c>
      <c r="B11788" s="30" t="s">
        <v>1226</v>
      </c>
      <c r="D11788" s="30" t="s">
        <v>2024</v>
      </c>
      <c r="F11788" s="30" t="s">
        <v>1040</v>
      </c>
      <c r="G11788" s="30" t="s">
        <v>1061</v>
      </c>
      <c r="H11788" s="30" t="s">
        <v>17535</v>
      </c>
      <c r="J11788" s="30" t="s">
        <v>17536</v>
      </c>
      <c r="L11788" s="30" t="s">
        <v>1062</v>
      </c>
      <c r="N11788" s="30" t="s">
        <v>1063</v>
      </c>
      <c r="P11788" s="30" t="s">
        <v>3788</v>
      </c>
      <c r="Q11788" t="s">
        <v>620</v>
      </c>
      <c r="R11788" t="s">
        <v>920</v>
      </c>
      <c r="S11788">
        <v>39</v>
      </c>
      <c r="T11788" s="29" t="str">
        <f t="shared" si="491"/>
        <v>2023.024M.Bunyaviricetes.zip</v>
      </c>
      <c r="U11788" s="29" t="str">
        <f>HYPERLINK("https://ictv.global/taxonomy/taxondetails?taxnode_id=202308792","ictv.global=202308792")</f>
        <v>ictv.global=202308792</v>
      </c>
    </row>
    <row r="11789" spans="1:21">
      <c r="A11789">
        <v>11788</v>
      </c>
      <c r="B11789" s="30" t="s">
        <v>1226</v>
      </c>
      <c r="D11789" s="30" t="s">
        <v>2024</v>
      </c>
      <c r="F11789" s="30" t="s">
        <v>1040</v>
      </c>
      <c r="G11789" s="30" t="s">
        <v>1061</v>
      </c>
      <c r="H11789" s="30" t="s">
        <v>17535</v>
      </c>
      <c r="J11789" s="30" t="s">
        <v>17536</v>
      </c>
      <c r="L11789" s="30" t="s">
        <v>1062</v>
      </c>
      <c r="N11789" s="30" t="s">
        <v>1063</v>
      </c>
      <c r="P11789" s="30" t="s">
        <v>3789</v>
      </c>
      <c r="Q11789" t="s">
        <v>620</v>
      </c>
      <c r="R11789" t="s">
        <v>920</v>
      </c>
      <c r="S11789">
        <v>39</v>
      </c>
      <c r="T11789" s="29" t="str">
        <f t="shared" si="491"/>
        <v>2023.024M.Bunyaviricetes.zip</v>
      </c>
      <c r="U11789" s="29" t="str">
        <f>HYPERLINK("https://ictv.global/taxonomy/taxondetails?taxnode_id=202306209","ictv.global=202306209")</f>
        <v>ictv.global=202306209</v>
      </c>
    </row>
    <row r="11790" spans="1:21">
      <c r="A11790">
        <v>11789</v>
      </c>
      <c r="B11790" s="30" t="s">
        <v>1226</v>
      </c>
      <c r="D11790" s="30" t="s">
        <v>2024</v>
      </c>
      <c r="F11790" s="30" t="s">
        <v>1040</v>
      </c>
      <c r="G11790" s="30" t="s">
        <v>1061</v>
      </c>
      <c r="H11790" s="30" t="s">
        <v>17535</v>
      </c>
      <c r="J11790" s="30" t="s">
        <v>17536</v>
      </c>
      <c r="L11790" s="30" t="s">
        <v>810</v>
      </c>
      <c r="N11790" s="30" t="s">
        <v>167</v>
      </c>
      <c r="P11790" s="30" t="s">
        <v>10335</v>
      </c>
      <c r="Q11790" t="s">
        <v>620</v>
      </c>
      <c r="R11790" t="s">
        <v>920</v>
      </c>
      <c r="S11790">
        <v>39</v>
      </c>
      <c r="T11790" s="29" t="str">
        <f t="shared" si="491"/>
        <v>2023.024M.Bunyaviricetes.zip</v>
      </c>
      <c r="U11790" s="29" t="str">
        <f>HYPERLINK("https://ictv.global/taxonomy/taxondetails?taxnode_id=202313864","ictv.global=202313864")</f>
        <v>ictv.global=202313864</v>
      </c>
    </row>
    <row r="11791" spans="1:21">
      <c r="A11791">
        <v>11790</v>
      </c>
      <c r="B11791" s="30" t="s">
        <v>1226</v>
      </c>
      <c r="D11791" s="30" t="s">
        <v>2024</v>
      </c>
      <c r="F11791" s="30" t="s">
        <v>1040</v>
      </c>
      <c r="G11791" s="30" t="s">
        <v>1061</v>
      </c>
      <c r="H11791" s="30" t="s">
        <v>17535</v>
      </c>
      <c r="J11791" s="30" t="s">
        <v>17536</v>
      </c>
      <c r="L11791" s="30" t="s">
        <v>810</v>
      </c>
      <c r="N11791" s="30" t="s">
        <v>167</v>
      </c>
      <c r="P11791" s="30" t="s">
        <v>10336</v>
      </c>
      <c r="Q11791" t="s">
        <v>620</v>
      </c>
      <c r="R11791" t="s">
        <v>920</v>
      </c>
      <c r="S11791">
        <v>39</v>
      </c>
      <c r="T11791" s="29" t="str">
        <f t="shared" si="491"/>
        <v>2023.024M.Bunyaviricetes.zip</v>
      </c>
      <c r="U11791" s="29" t="str">
        <f>HYPERLINK("https://ictv.global/taxonomy/taxondetails?taxnode_id=202300009","ictv.global=202300009")</f>
        <v>ictv.global=202300009</v>
      </c>
    </row>
    <row r="11792" spans="1:21">
      <c r="A11792">
        <v>11791</v>
      </c>
      <c r="B11792" s="30" t="s">
        <v>1226</v>
      </c>
      <c r="D11792" s="30" t="s">
        <v>2024</v>
      </c>
      <c r="F11792" s="30" t="s">
        <v>1040</v>
      </c>
      <c r="G11792" s="30" t="s">
        <v>1061</v>
      </c>
      <c r="H11792" s="30" t="s">
        <v>17535</v>
      </c>
      <c r="J11792" s="30" t="s">
        <v>17536</v>
      </c>
      <c r="L11792" s="30" t="s">
        <v>810</v>
      </c>
      <c r="N11792" s="30" t="s">
        <v>167</v>
      </c>
      <c r="P11792" s="30" t="s">
        <v>17538</v>
      </c>
      <c r="Q11792" t="s">
        <v>620</v>
      </c>
      <c r="R11792" t="s">
        <v>917</v>
      </c>
      <c r="S11792">
        <v>39</v>
      </c>
      <c r="T11792" s="29" t="str">
        <f>HYPERLINK("https://ictv.global/ictv/proposals/2023.011P.Emaravirus_1nsp.zip","2023.011P.Emaravirus_1nsp.zip")</f>
        <v>2023.011P.Emaravirus_1nsp.zip</v>
      </c>
      <c r="U11792" s="29" t="str">
        <f>HYPERLINK("https://ictv.global/taxonomy/taxondetails?taxnode_id=202318030","ictv.global=202318030")</f>
        <v>ictv.global=202318030</v>
      </c>
    </row>
    <row r="11793" spans="1:21">
      <c r="A11793">
        <v>11792</v>
      </c>
      <c r="B11793" s="30" t="s">
        <v>1226</v>
      </c>
      <c r="D11793" s="30" t="s">
        <v>2024</v>
      </c>
      <c r="F11793" s="30" t="s">
        <v>1040</v>
      </c>
      <c r="G11793" s="30" t="s">
        <v>1061</v>
      </c>
      <c r="H11793" s="30" t="s">
        <v>17535</v>
      </c>
      <c r="J11793" s="30" t="s">
        <v>17536</v>
      </c>
      <c r="L11793" s="30" t="s">
        <v>810</v>
      </c>
      <c r="N11793" s="30" t="s">
        <v>167</v>
      </c>
      <c r="P11793" s="30" t="s">
        <v>17539</v>
      </c>
      <c r="Q11793" t="s">
        <v>620</v>
      </c>
      <c r="R11793" t="s">
        <v>917</v>
      </c>
      <c r="S11793">
        <v>39</v>
      </c>
      <c r="T11793" s="29" t="str">
        <f>HYPERLINK("https://ictv.global/ictv/proposals/2023.010P.Emaravirus_1nsp.zip","2023.010P.Emaravirus_1nsp.zip")</f>
        <v>2023.010P.Emaravirus_1nsp.zip</v>
      </c>
      <c r="U11793" s="29" t="str">
        <f>HYPERLINK("https://ictv.global/taxonomy/taxondetails?taxnode_id=202317950","ictv.global=202317950")</f>
        <v>ictv.global=202317950</v>
      </c>
    </row>
    <row r="11794" spans="1:21">
      <c r="A11794">
        <v>11793</v>
      </c>
      <c r="B11794" s="30" t="s">
        <v>1226</v>
      </c>
      <c r="D11794" s="30" t="s">
        <v>2024</v>
      </c>
      <c r="F11794" s="30" t="s">
        <v>1040</v>
      </c>
      <c r="G11794" s="30" t="s">
        <v>1061</v>
      </c>
      <c r="H11794" s="30" t="s">
        <v>17535</v>
      </c>
      <c r="J11794" s="30" t="s">
        <v>17536</v>
      </c>
      <c r="L11794" s="30" t="s">
        <v>810</v>
      </c>
      <c r="N11794" s="30" t="s">
        <v>167</v>
      </c>
      <c r="P11794" s="30" t="s">
        <v>10337</v>
      </c>
      <c r="Q11794" t="s">
        <v>620</v>
      </c>
      <c r="R11794" t="s">
        <v>920</v>
      </c>
      <c r="S11794">
        <v>39</v>
      </c>
      <c r="T11794" s="29" t="str">
        <f t="shared" ref="T11794:T11804" si="492">HYPERLINK("https://ictv.global/ictv/proposals/2023.024M.Bunyaviricetes.zip","2023.024M.Bunyaviricetes.zip")</f>
        <v>2023.024M.Bunyaviricetes.zip</v>
      </c>
      <c r="U11794" s="29" t="str">
        <f>HYPERLINK("https://ictv.global/taxonomy/taxondetails?taxnode_id=202300013","ictv.global=202300013")</f>
        <v>ictv.global=202300013</v>
      </c>
    </row>
    <row r="11795" spans="1:21">
      <c r="A11795">
        <v>11794</v>
      </c>
      <c r="B11795" s="30" t="s">
        <v>1226</v>
      </c>
      <c r="D11795" s="30" t="s">
        <v>2024</v>
      </c>
      <c r="F11795" s="30" t="s">
        <v>1040</v>
      </c>
      <c r="G11795" s="30" t="s">
        <v>1061</v>
      </c>
      <c r="H11795" s="30" t="s">
        <v>17535</v>
      </c>
      <c r="J11795" s="30" t="s">
        <v>17536</v>
      </c>
      <c r="L11795" s="30" t="s">
        <v>810</v>
      </c>
      <c r="N11795" s="30" t="s">
        <v>167</v>
      </c>
      <c r="P11795" s="30" t="s">
        <v>10338</v>
      </c>
      <c r="Q11795" t="s">
        <v>620</v>
      </c>
      <c r="R11795" t="s">
        <v>920</v>
      </c>
      <c r="S11795">
        <v>39</v>
      </c>
      <c r="T11795" s="29" t="str">
        <f t="shared" si="492"/>
        <v>2023.024M.Bunyaviricetes.zip</v>
      </c>
      <c r="U11795" s="29" t="str">
        <f>HYPERLINK("https://ictv.global/taxonomy/taxondetails?taxnode_id=202309578","ictv.global=202309578")</f>
        <v>ictv.global=202309578</v>
      </c>
    </row>
    <row r="11796" spans="1:21">
      <c r="A11796">
        <v>11795</v>
      </c>
      <c r="B11796" s="30" t="s">
        <v>1226</v>
      </c>
      <c r="D11796" s="30" t="s">
        <v>2024</v>
      </c>
      <c r="F11796" s="30" t="s">
        <v>1040</v>
      </c>
      <c r="G11796" s="30" t="s">
        <v>1061</v>
      </c>
      <c r="H11796" s="30" t="s">
        <v>17535</v>
      </c>
      <c r="J11796" s="30" t="s">
        <v>17536</v>
      </c>
      <c r="L11796" s="30" t="s">
        <v>810</v>
      </c>
      <c r="N11796" s="30" t="s">
        <v>167</v>
      </c>
      <c r="P11796" s="30" t="s">
        <v>10339</v>
      </c>
      <c r="Q11796" t="s">
        <v>620</v>
      </c>
      <c r="R11796" t="s">
        <v>920</v>
      </c>
      <c r="S11796">
        <v>39</v>
      </c>
      <c r="T11796" s="29" t="str">
        <f t="shared" si="492"/>
        <v>2023.024M.Bunyaviricetes.zip</v>
      </c>
      <c r="U11796" s="29" t="str">
        <f>HYPERLINK("https://ictv.global/taxonomy/taxondetails?taxnode_id=202300016","ictv.global=202300016")</f>
        <v>ictv.global=202300016</v>
      </c>
    </row>
    <row r="11797" spans="1:21">
      <c r="A11797">
        <v>11796</v>
      </c>
      <c r="B11797" s="30" t="s">
        <v>1226</v>
      </c>
      <c r="D11797" s="30" t="s">
        <v>2024</v>
      </c>
      <c r="F11797" s="30" t="s">
        <v>1040</v>
      </c>
      <c r="G11797" s="30" t="s">
        <v>1061</v>
      </c>
      <c r="H11797" s="30" t="s">
        <v>17535</v>
      </c>
      <c r="J11797" s="30" t="s">
        <v>17536</v>
      </c>
      <c r="L11797" s="30" t="s">
        <v>810</v>
      </c>
      <c r="N11797" s="30" t="s">
        <v>167</v>
      </c>
      <c r="P11797" s="30" t="s">
        <v>10340</v>
      </c>
      <c r="Q11797" t="s">
        <v>620</v>
      </c>
      <c r="R11797" t="s">
        <v>920</v>
      </c>
      <c r="S11797">
        <v>39</v>
      </c>
      <c r="T11797" s="29" t="str">
        <f t="shared" si="492"/>
        <v>2023.024M.Bunyaviricetes.zip</v>
      </c>
      <c r="U11797" s="29" t="str">
        <f>HYPERLINK("https://ictv.global/taxonomy/taxondetails?taxnode_id=202313865","ictv.global=202313865")</f>
        <v>ictv.global=202313865</v>
      </c>
    </row>
    <row r="11798" spans="1:21">
      <c r="A11798">
        <v>11797</v>
      </c>
      <c r="B11798" s="30" t="s">
        <v>1226</v>
      </c>
      <c r="D11798" s="30" t="s">
        <v>2024</v>
      </c>
      <c r="F11798" s="30" t="s">
        <v>1040</v>
      </c>
      <c r="G11798" s="30" t="s">
        <v>1061</v>
      </c>
      <c r="H11798" s="30" t="s">
        <v>17535</v>
      </c>
      <c r="J11798" s="30" t="s">
        <v>17536</v>
      </c>
      <c r="L11798" s="30" t="s">
        <v>810</v>
      </c>
      <c r="N11798" s="30" t="s">
        <v>167</v>
      </c>
      <c r="P11798" s="30" t="s">
        <v>10341</v>
      </c>
      <c r="Q11798" t="s">
        <v>620</v>
      </c>
      <c r="R11798" t="s">
        <v>920</v>
      </c>
      <c r="S11798">
        <v>39</v>
      </c>
      <c r="T11798" s="29" t="str">
        <f t="shared" si="492"/>
        <v>2023.024M.Bunyaviricetes.zip</v>
      </c>
      <c r="U11798" s="29" t="str">
        <f>HYPERLINK("https://ictv.global/taxonomy/taxondetails?taxnode_id=202309551","ictv.global=202309551")</f>
        <v>ictv.global=202309551</v>
      </c>
    </row>
    <row r="11799" spans="1:21">
      <c r="A11799">
        <v>11798</v>
      </c>
      <c r="B11799" s="30" t="s">
        <v>1226</v>
      </c>
      <c r="D11799" s="30" t="s">
        <v>2024</v>
      </c>
      <c r="F11799" s="30" t="s">
        <v>1040</v>
      </c>
      <c r="G11799" s="30" t="s">
        <v>1061</v>
      </c>
      <c r="H11799" s="30" t="s">
        <v>17535</v>
      </c>
      <c r="J11799" s="30" t="s">
        <v>17536</v>
      </c>
      <c r="L11799" s="30" t="s">
        <v>810</v>
      </c>
      <c r="N11799" s="30" t="s">
        <v>167</v>
      </c>
      <c r="P11799" s="30" t="s">
        <v>10342</v>
      </c>
      <c r="Q11799" t="s">
        <v>620</v>
      </c>
      <c r="R11799" t="s">
        <v>920</v>
      </c>
      <c r="S11799">
        <v>39</v>
      </c>
      <c r="T11799" s="29" t="str">
        <f t="shared" si="492"/>
        <v>2023.024M.Bunyaviricetes.zip</v>
      </c>
      <c r="U11799" s="29" t="str">
        <f>HYPERLINK("https://ictv.global/taxonomy/taxondetails?taxnode_id=202315125","ictv.global=202315125")</f>
        <v>ictv.global=202315125</v>
      </c>
    </row>
    <row r="11800" spans="1:21">
      <c r="A11800">
        <v>11799</v>
      </c>
      <c r="B11800" s="30" t="s">
        <v>1226</v>
      </c>
      <c r="D11800" s="30" t="s">
        <v>2024</v>
      </c>
      <c r="F11800" s="30" t="s">
        <v>1040</v>
      </c>
      <c r="G11800" s="30" t="s">
        <v>1061</v>
      </c>
      <c r="H11800" s="30" t="s">
        <v>17535</v>
      </c>
      <c r="J11800" s="30" t="s">
        <v>17536</v>
      </c>
      <c r="L11800" s="30" t="s">
        <v>810</v>
      </c>
      <c r="N11800" s="30" t="s">
        <v>167</v>
      </c>
      <c r="P11800" s="30" t="s">
        <v>10343</v>
      </c>
      <c r="Q11800" t="s">
        <v>620</v>
      </c>
      <c r="R11800" t="s">
        <v>920</v>
      </c>
      <c r="S11800">
        <v>39</v>
      </c>
      <c r="T11800" s="29" t="str">
        <f t="shared" si="492"/>
        <v>2023.024M.Bunyaviricetes.zip</v>
      </c>
      <c r="U11800" s="29" t="str">
        <f>HYPERLINK("https://ictv.global/taxonomy/taxondetails?taxnode_id=202300011","ictv.global=202300011")</f>
        <v>ictv.global=202300011</v>
      </c>
    </row>
    <row r="11801" spans="1:21">
      <c r="A11801">
        <v>11800</v>
      </c>
      <c r="B11801" s="30" t="s">
        <v>1226</v>
      </c>
      <c r="D11801" s="30" t="s">
        <v>2024</v>
      </c>
      <c r="F11801" s="30" t="s">
        <v>1040</v>
      </c>
      <c r="G11801" s="30" t="s">
        <v>1061</v>
      </c>
      <c r="H11801" s="30" t="s">
        <v>17535</v>
      </c>
      <c r="J11801" s="30" t="s">
        <v>17536</v>
      </c>
      <c r="L11801" s="30" t="s">
        <v>810</v>
      </c>
      <c r="N11801" s="30" t="s">
        <v>167</v>
      </c>
      <c r="P11801" s="30" t="s">
        <v>10344</v>
      </c>
      <c r="Q11801" t="s">
        <v>620</v>
      </c>
      <c r="R11801" t="s">
        <v>920</v>
      </c>
      <c r="S11801">
        <v>39</v>
      </c>
      <c r="T11801" s="29" t="str">
        <f t="shared" si="492"/>
        <v>2023.024M.Bunyaviricetes.zip</v>
      </c>
      <c r="U11801" s="29" t="str">
        <f>HYPERLINK("https://ictv.global/taxonomy/taxondetails?taxnode_id=202315122","ictv.global=202315122")</f>
        <v>ictv.global=202315122</v>
      </c>
    </row>
    <row r="11802" spans="1:21">
      <c r="A11802">
        <v>11801</v>
      </c>
      <c r="B11802" s="30" t="s">
        <v>1226</v>
      </c>
      <c r="D11802" s="30" t="s">
        <v>2024</v>
      </c>
      <c r="F11802" s="30" t="s">
        <v>1040</v>
      </c>
      <c r="G11802" s="30" t="s">
        <v>1061</v>
      </c>
      <c r="H11802" s="30" t="s">
        <v>17535</v>
      </c>
      <c r="J11802" s="30" t="s">
        <v>17536</v>
      </c>
      <c r="L11802" s="30" t="s">
        <v>810</v>
      </c>
      <c r="N11802" s="30" t="s">
        <v>167</v>
      </c>
      <c r="P11802" s="30" t="s">
        <v>10345</v>
      </c>
      <c r="Q11802" t="s">
        <v>620</v>
      </c>
      <c r="R11802" t="s">
        <v>920</v>
      </c>
      <c r="S11802">
        <v>39</v>
      </c>
      <c r="T11802" s="29" t="str">
        <f t="shared" si="492"/>
        <v>2023.024M.Bunyaviricetes.zip</v>
      </c>
      <c r="U11802" s="29" t="str">
        <f>HYPERLINK("https://ictv.global/taxonomy/taxondetails?taxnode_id=202300015","ictv.global=202300015")</f>
        <v>ictv.global=202300015</v>
      </c>
    </row>
    <row r="11803" spans="1:21">
      <c r="A11803">
        <v>11802</v>
      </c>
      <c r="B11803" s="30" t="s">
        <v>1226</v>
      </c>
      <c r="D11803" s="30" t="s">
        <v>2024</v>
      </c>
      <c r="F11803" s="30" t="s">
        <v>1040</v>
      </c>
      <c r="G11803" s="30" t="s">
        <v>1061</v>
      </c>
      <c r="H11803" s="30" t="s">
        <v>17535</v>
      </c>
      <c r="J11803" s="30" t="s">
        <v>17536</v>
      </c>
      <c r="L11803" s="30" t="s">
        <v>810</v>
      </c>
      <c r="N11803" s="30" t="s">
        <v>167</v>
      </c>
      <c r="P11803" s="30" t="s">
        <v>10346</v>
      </c>
      <c r="Q11803" t="s">
        <v>620</v>
      </c>
      <c r="R11803" t="s">
        <v>920</v>
      </c>
      <c r="S11803">
        <v>39</v>
      </c>
      <c r="T11803" s="29" t="str">
        <f t="shared" si="492"/>
        <v>2023.024M.Bunyaviricetes.zip</v>
      </c>
      <c r="U11803" s="29" t="str">
        <f>HYPERLINK("https://ictv.global/taxonomy/taxondetails?taxnode_id=202315124","ictv.global=202315124")</f>
        <v>ictv.global=202315124</v>
      </c>
    </row>
    <row r="11804" spans="1:21">
      <c r="A11804">
        <v>11803</v>
      </c>
      <c r="B11804" s="30" t="s">
        <v>1226</v>
      </c>
      <c r="D11804" s="30" t="s">
        <v>2024</v>
      </c>
      <c r="F11804" s="30" t="s">
        <v>1040</v>
      </c>
      <c r="G11804" s="30" t="s">
        <v>1061</v>
      </c>
      <c r="H11804" s="30" t="s">
        <v>17535</v>
      </c>
      <c r="J11804" s="30" t="s">
        <v>17536</v>
      </c>
      <c r="L11804" s="30" t="s">
        <v>810</v>
      </c>
      <c r="N11804" s="30" t="s">
        <v>167</v>
      </c>
      <c r="P11804" s="30" t="s">
        <v>10347</v>
      </c>
      <c r="Q11804" t="s">
        <v>620</v>
      </c>
      <c r="R11804" t="s">
        <v>920</v>
      </c>
      <c r="S11804">
        <v>39</v>
      </c>
      <c r="T11804" s="29" t="str">
        <f t="shared" si="492"/>
        <v>2023.024M.Bunyaviricetes.zip</v>
      </c>
      <c r="U11804" s="29" t="str">
        <f>HYPERLINK("https://ictv.global/taxonomy/taxondetails?taxnode_id=202309331","ictv.global=202309331")</f>
        <v>ictv.global=202309331</v>
      </c>
    </row>
    <row r="11805" spans="1:21">
      <c r="A11805">
        <v>11804</v>
      </c>
      <c r="B11805" s="30" t="s">
        <v>1226</v>
      </c>
      <c r="D11805" s="30" t="s">
        <v>2024</v>
      </c>
      <c r="F11805" s="30" t="s">
        <v>1040</v>
      </c>
      <c r="G11805" s="30" t="s">
        <v>1061</v>
      </c>
      <c r="H11805" s="30" t="s">
        <v>17535</v>
      </c>
      <c r="J11805" s="30" t="s">
        <v>17536</v>
      </c>
      <c r="L11805" s="30" t="s">
        <v>810</v>
      </c>
      <c r="N11805" s="30" t="s">
        <v>167</v>
      </c>
      <c r="P11805" s="30" t="s">
        <v>17540</v>
      </c>
      <c r="Q11805" t="s">
        <v>620</v>
      </c>
      <c r="R11805" t="s">
        <v>917</v>
      </c>
      <c r="S11805">
        <v>39</v>
      </c>
      <c r="T11805" s="29" t="str">
        <f>HYPERLINK("https://ictv.global/ictv/proposals/2023.009P.Emaravirus_1nsp.zip","2023.009P.Emaravirus_1nsp.zip")</f>
        <v>2023.009P.Emaravirus_1nsp.zip</v>
      </c>
      <c r="U11805" s="29" t="str">
        <f>HYPERLINK("https://ictv.global/taxonomy/taxondetails?taxnode_id=202317934","ictv.global=202317934")</f>
        <v>ictv.global=202317934</v>
      </c>
    </row>
    <row r="11806" spans="1:21">
      <c r="A11806">
        <v>11805</v>
      </c>
      <c r="B11806" s="30" t="s">
        <v>1226</v>
      </c>
      <c r="D11806" s="30" t="s">
        <v>2024</v>
      </c>
      <c r="F11806" s="30" t="s">
        <v>1040</v>
      </c>
      <c r="G11806" s="30" t="s">
        <v>1061</v>
      </c>
      <c r="H11806" s="30" t="s">
        <v>17535</v>
      </c>
      <c r="J11806" s="30" t="s">
        <v>17536</v>
      </c>
      <c r="L11806" s="30" t="s">
        <v>810</v>
      </c>
      <c r="N11806" s="30" t="s">
        <v>167</v>
      </c>
      <c r="P11806" s="30" t="s">
        <v>10348</v>
      </c>
      <c r="Q11806" t="s">
        <v>620</v>
      </c>
      <c r="R11806" t="s">
        <v>920</v>
      </c>
      <c r="S11806">
        <v>39</v>
      </c>
      <c r="T11806" s="29" t="str">
        <f t="shared" ref="T11806:T11824" si="493">HYPERLINK("https://ictv.global/ictv/proposals/2023.024M.Bunyaviricetes.zip","2023.024M.Bunyaviricetes.zip")</f>
        <v>2023.024M.Bunyaviricetes.zip</v>
      </c>
      <c r="U11806" s="29" t="str">
        <f>HYPERLINK("https://ictv.global/taxonomy/taxondetails?taxnode_id=202309489","ictv.global=202309489")</f>
        <v>ictv.global=202309489</v>
      </c>
    </row>
    <row r="11807" spans="1:21">
      <c r="A11807">
        <v>11806</v>
      </c>
      <c r="B11807" s="30" t="s">
        <v>1226</v>
      </c>
      <c r="D11807" s="30" t="s">
        <v>2024</v>
      </c>
      <c r="F11807" s="30" t="s">
        <v>1040</v>
      </c>
      <c r="G11807" s="30" t="s">
        <v>1061</v>
      </c>
      <c r="H11807" s="30" t="s">
        <v>17535</v>
      </c>
      <c r="J11807" s="30" t="s">
        <v>17536</v>
      </c>
      <c r="L11807" s="30" t="s">
        <v>810</v>
      </c>
      <c r="N11807" s="30" t="s">
        <v>167</v>
      </c>
      <c r="P11807" s="30" t="s">
        <v>10349</v>
      </c>
      <c r="Q11807" t="s">
        <v>620</v>
      </c>
      <c r="R11807" t="s">
        <v>920</v>
      </c>
      <c r="S11807">
        <v>39</v>
      </c>
      <c r="T11807" s="29" t="str">
        <f t="shared" si="493"/>
        <v>2023.024M.Bunyaviricetes.zip</v>
      </c>
      <c r="U11807" s="29" t="str">
        <f>HYPERLINK("https://ictv.global/taxonomy/taxondetails?taxnode_id=202309618","ictv.global=202309618")</f>
        <v>ictv.global=202309618</v>
      </c>
    </row>
    <row r="11808" spans="1:21">
      <c r="A11808">
        <v>11807</v>
      </c>
      <c r="B11808" s="30" t="s">
        <v>1226</v>
      </c>
      <c r="D11808" s="30" t="s">
        <v>2024</v>
      </c>
      <c r="F11808" s="30" t="s">
        <v>1040</v>
      </c>
      <c r="G11808" s="30" t="s">
        <v>1061</v>
      </c>
      <c r="H11808" s="30" t="s">
        <v>17535</v>
      </c>
      <c r="J11808" s="30" t="s">
        <v>17536</v>
      </c>
      <c r="L11808" s="30" t="s">
        <v>810</v>
      </c>
      <c r="N11808" s="30" t="s">
        <v>167</v>
      </c>
      <c r="P11808" s="30" t="s">
        <v>10350</v>
      </c>
      <c r="Q11808" t="s">
        <v>620</v>
      </c>
      <c r="R11808" t="s">
        <v>920</v>
      </c>
      <c r="S11808">
        <v>39</v>
      </c>
      <c r="T11808" s="29" t="str">
        <f t="shared" si="493"/>
        <v>2023.024M.Bunyaviricetes.zip</v>
      </c>
      <c r="U11808" s="29" t="str">
        <f>HYPERLINK("https://ictv.global/taxonomy/taxondetails?taxnode_id=202307368","ictv.global=202307368")</f>
        <v>ictv.global=202307368</v>
      </c>
    </row>
    <row r="11809" spans="1:21">
      <c r="A11809">
        <v>11808</v>
      </c>
      <c r="B11809" s="30" t="s">
        <v>1226</v>
      </c>
      <c r="D11809" s="30" t="s">
        <v>2024</v>
      </c>
      <c r="F11809" s="30" t="s">
        <v>1040</v>
      </c>
      <c r="G11809" s="30" t="s">
        <v>1061</v>
      </c>
      <c r="H11809" s="30" t="s">
        <v>17535</v>
      </c>
      <c r="J11809" s="30" t="s">
        <v>17536</v>
      </c>
      <c r="L11809" s="30" t="s">
        <v>810</v>
      </c>
      <c r="N11809" s="30" t="s">
        <v>167</v>
      </c>
      <c r="P11809" s="30" t="s">
        <v>10351</v>
      </c>
      <c r="Q11809" t="s">
        <v>620</v>
      </c>
      <c r="R11809" t="s">
        <v>920</v>
      </c>
      <c r="S11809">
        <v>39</v>
      </c>
      <c r="T11809" s="29" t="str">
        <f t="shared" si="493"/>
        <v>2023.024M.Bunyaviricetes.zip</v>
      </c>
      <c r="U11809" s="29" t="str">
        <f>HYPERLINK("https://ictv.global/taxonomy/taxondetails?taxnode_id=202309371","ictv.global=202309371")</f>
        <v>ictv.global=202309371</v>
      </c>
    </row>
    <row r="11810" spans="1:21">
      <c r="A11810">
        <v>11809</v>
      </c>
      <c r="B11810" s="30" t="s">
        <v>1226</v>
      </c>
      <c r="D11810" s="30" t="s">
        <v>2024</v>
      </c>
      <c r="F11810" s="30" t="s">
        <v>1040</v>
      </c>
      <c r="G11810" s="30" t="s">
        <v>1061</v>
      </c>
      <c r="H11810" s="30" t="s">
        <v>17535</v>
      </c>
      <c r="J11810" s="30" t="s">
        <v>17536</v>
      </c>
      <c r="L11810" s="30" t="s">
        <v>810</v>
      </c>
      <c r="N11810" s="30" t="s">
        <v>167</v>
      </c>
      <c r="P11810" s="30" t="s">
        <v>10352</v>
      </c>
      <c r="Q11810" t="s">
        <v>620</v>
      </c>
      <c r="R11810" t="s">
        <v>920</v>
      </c>
      <c r="S11810">
        <v>39</v>
      </c>
      <c r="T11810" s="29" t="str">
        <f t="shared" si="493"/>
        <v>2023.024M.Bunyaviricetes.zip</v>
      </c>
      <c r="U11810" s="29" t="str">
        <f>HYPERLINK("https://ictv.global/taxonomy/taxondetails?taxnode_id=202309546","ictv.global=202309546")</f>
        <v>ictv.global=202309546</v>
      </c>
    </row>
    <row r="11811" spans="1:21">
      <c r="A11811">
        <v>11810</v>
      </c>
      <c r="B11811" s="30" t="s">
        <v>1226</v>
      </c>
      <c r="D11811" s="30" t="s">
        <v>2024</v>
      </c>
      <c r="F11811" s="30" t="s">
        <v>1040</v>
      </c>
      <c r="G11811" s="30" t="s">
        <v>1061</v>
      </c>
      <c r="H11811" s="30" t="s">
        <v>17535</v>
      </c>
      <c r="J11811" s="30" t="s">
        <v>17536</v>
      </c>
      <c r="L11811" s="30" t="s">
        <v>810</v>
      </c>
      <c r="N11811" s="30" t="s">
        <v>167</v>
      </c>
      <c r="P11811" s="30" t="s">
        <v>10353</v>
      </c>
      <c r="Q11811" t="s">
        <v>620</v>
      </c>
      <c r="R11811" t="s">
        <v>920</v>
      </c>
      <c r="S11811">
        <v>39</v>
      </c>
      <c r="T11811" s="29" t="str">
        <f t="shared" si="493"/>
        <v>2023.024M.Bunyaviricetes.zip</v>
      </c>
      <c r="U11811" s="29" t="str">
        <f>HYPERLINK("https://ictv.global/taxonomy/taxondetails?taxnode_id=202313866","ictv.global=202313866")</f>
        <v>ictv.global=202313866</v>
      </c>
    </row>
    <row r="11812" spans="1:21">
      <c r="A11812">
        <v>11811</v>
      </c>
      <c r="B11812" s="30" t="s">
        <v>1226</v>
      </c>
      <c r="D11812" s="30" t="s">
        <v>2024</v>
      </c>
      <c r="F11812" s="30" t="s">
        <v>1040</v>
      </c>
      <c r="G11812" s="30" t="s">
        <v>1061</v>
      </c>
      <c r="H11812" s="30" t="s">
        <v>17535</v>
      </c>
      <c r="J11812" s="30" t="s">
        <v>17536</v>
      </c>
      <c r="L11812" s="30" t="s">
        <v>810</v>
      </c>
      <c r="N11812" s="30" t="s">
        <v>167</v>
      </c>
      <c r="P11812" s="30" t="s">
        <v>10354</v>
      </c>
      <c r="Q11812" t="s">
        <v>620</v>
      </c>
      <c r="R11812" t="s">
        <v>920</v>
      </c>
      <c r="S11812">
        <v>39</v>
      </c>
      <c r="T11812" s="29" t="str">
        <f t="shared" si="493"/>
        <v>2023.024M.Bunyaviricetes.zip</v>
      </c>
      <c r="U11812" s="29" t="str">
        <f>HYPERLINK("https://ictv.global/taxonomy/taxondetails?taxnode_id=202300017","ictv.global=202300017")</f>
        <v>ictv.global=202300017</v>
      </c>
    </row>
    <row r="11813" spans="1:21">
      <c r="A11813">
        <v>11812</v>
      </c>
      <c r="B11813" s="30" t="s">
        <v>1226</v>
      </c>
      <c r="D11813" s="30" t="s">
        <v>2024</v>
      </c>
      <c r="F11813" s="30" t="s">
        <v>1040</v>
      </c>
      <c r="G11813" s="30" t="s">
        <v>1061</v>
      </c>
      <c r="H11813" s="30" t="s">
        <v>17535</v>
      </c>
      <c r="J11813" s="30" t="s">
        <v>17536</v>
      </c>
      <c r="L11813" s="30" t="s">
        <v>810</v>
      </c>
      <c r="N11813" s="30" t="s">
        <v>167</v>
      </c>
      <c r="P11813" s="30" t="s">
        <v>10355</v>
      </c>
      <c r="Q11813" t="s">
        <v>620</v>
      </c>
      <c r="R11813" t="s">
        <v>920</v>
      </c>
      <c r="S11813">
        <v>39</v>
      </c>
      <c r="T11813" s="29" t="str">
        <f t="shared" si="493"/>
        <v>2023.024M.Bunyaviricetes.zip</v>
      </c>
      <c r="U11813" s="29" t="str">
        <f>HYPERLINK("https://ictv.global/taxonomy/taxondetails?taxnode_id=202307357","ictv.global=202307357")</f>
        <v>ictv.global=202307357</v>
      </c>
    </row>
    <row r="11814" spans="1:21">
      <c r="A11814">
        <v>11813</v>
      </c>
      <c r="B11814" s="30" t="s">
        <v>1226</v>
      </c>
      <c r="D11814" s="30" t="s">
        <v>2024</v>
      </c>
      <c r="F11814" s="30" t="s">
        <v>1040</v>
      </c>
      <c r="G11814" s="30" t="s">
        <v>1061</v>
      </c>
      <c r="H11814" s="30" t="s">
        <v>17535</v>
      </c>
      <c r="J11814" s="30" t="s">
        <v>17536</v>
      </c>
      <c r="L11814" s="30" t="s">
        <v>810</v>
      </c>
      <c r="N11814" s="30" t="s">
        <v>167</v>
      </c>
      <c r="P11814" s="30" t="s">
        <v>10356</v>
      </c>
      <c r="Q11814" t="s">
        <v>620</v>
      </c>
      <c r="R11814" t="s">
        <v>920</v>
      </c>
      <c r="S11814">
        <v>39</v>
      </c>
      <c r="T11814" s="29" t="str">
        <f t="shared" si="493"/>
        <v>2023.024M.Bunyaviricetes.zip</v>
      </c>
      <c r="U11814" s="29" t="str">
        <f>HYPERLINK("https://ictv.global/taxonomy/taxondetails?taxnode_id=202300010","ictv.global=202300010")</f>
        <v>ictv.global=202300010</v>
      </c>
    </row>
    <row r="11815" spans="1:21">
      <c r="A11815">
        <v>11814</v>
      </c>
      <c r="B11815" s="30" t="s">
        <v>1226</v>
      </c>
      <c r="D11815" s="30" t="s">
        <v>2024</v>
      </c>
      <c r="F11815" s="30" t="s">
        <v>1040</v>
      </c>
      <c r="G11815" s="30" t="s">
        <v>1061</v>
      </c>
      <c r="H11815" s="30" t="s">
        <v>17535</v>
      </c>
      <c r="J11815" s="30" t="s">
        <v>17536</v>
      </c>
      <c r="L11815" s="30" t="s">
        <v>810</v>
      </c>
      <c r="N11815" s="30" t="s">
        <v>167</v>
      </c>
      <c r="P11815" s="30" t="s">
        <v>10357</v>
      </c>
      <c r="Q11815" t="s">
        <v>620</v>
      </c>
      <c r="R11815" t="s">
        <v>920</v>
      </c>
      <c r="S11815">
        <v>39</v>
      </c>
      <c r="T11815" s="29" t="str">
        <f t="shared" si="493"/>
        <v>2023.024M.Bunyaviricetes.zip</v>
      </c>
      <c r="U11815" s="29" t="str">
        <f>HYPERLINK("https://ictv.global/taxonomy/taxondetails?taxnode_id=202309383","ictv.global=202309383")</f>
        <v>ictv.global=202309383</v>
      </c>
    </row>
    <row r="11816" spans="1:21">
      <c r="A11816">
        <v>11815</v>
      </c>
      <c r="B11816" s="30" t="s">
        <v>1226</v>
      </c>
      <c r="D11816" s="30" t="s">
        <v>2024</v>
      </c>
      <c r="F11816" s="30" t="s">
        <v>1040</v>
      </c>
      <c r="G11816" s="30" t="s">
        <v>1061</v>
      </c>
      <c r="H11816" s="30" t="s">
        <v>17535</v>
      </c>
      <c r="J11816" s="30" t="s">
        <v>17536</v>
      </c>
      <c r="L11816" s="30" t="s">
        <v>810</v>
      </c>
      <c r="N11816" s="30" t="s">
        <v>167</v>
      </c>
      <c r="P11816" s="30" t="s">
        <v>10358</v>
      </c>
      <c r="Q11816" t="s">
        <v>620</v>
      </c>
      <c r="R11816" t="s">
        <v>920</v>
      </c>
      <c r="S11816">
        <v>39</v>
      </c>
      <c r="T11816" s="29" t="str">
        <f t="shared" si="493"/>
        <v>2023.024M.Bunyaviricetes.zip</v>
      </c>
      <c r="U11816" s="29" t="str">
        <f>HYPERLINK("https://ictv.global/taxonomy/taxondetails?taxnode_id=202300014","ictv.global=202300014")</f>
        <v>ictv.global=202300014</v>
      </c>
    </row>
    <row r="11817" spans="1:21">
      <c r="A11817">
        <v>11816</v>
      </c>
      <c r="B11817" s="30" t="s">
        <v>1226</v>
      </c>
      <c r="D11817" s="30" t="s">
        <v>2024</v>
      </c>
      <c r="F11817" s="30" t="s">
        <v>1040</v>
      </c>
      <c r="G11817" s="30" t="s">
        <v>1061</v>
      </c>
      <c r="H11817" s="30" t="s">
        <v>17535</v>
      </c>
      <c r="J11817" s="30" t="s">
        <v>17536</v>
      </c>
      <c r="L11817" s="30" t="s">
        <v>810</v>
      </c>
      <c r="N11817" s="30" t="s">
        <v>167</v>
      </c>
      <c r="P11817" s="30" t="s">
        <v>10359</v>
      </c>
      <c r="Q11817" t="s">
        <v>620</v>
      </c>
      <c r="R11817" t="s">
        <v>920</v>
      </c>
      <c r="S11817">
        <v>39</v>
      </c>
      <c r="T11817" s="29" t="str">
        <f t="shared" si="493"/>
        <v>2023.024M.Bunyaviricetes.zip</v>
      </c>
      <c r="U11817" s="29" t="str">
        <f>HYPERLINK("https://ictv.global/taxonomy/taxondetails?taxnode_id=202300012","ictv.global=202300012")</f>
        <v>ictv.global=202300012</v>
      </c>
    </row>
    <row r="11818" spans="1:21">
      <c r="A11818">
        <v>11817</v>
      </c>
      <c r="B11818" s="30" t="s">
        <v>1226</v>
      </c>
      <c r="D11818" s="30" t="s">
        <v>2024</v>
      </c>
      <c r="F11818" s="30" t="s">
        <v>1040</v>
      </c>
      <c r="G11818" s="30" t="s">
        <v>1061</v>
      </c>
      <c r="H11818" s="30" t="s">
        <v>17535</v>
      </c>
      <c r="J11818" s="30" t="s">
        <v>17536</v>
      </c>
      <c r="L11818" s="30" t="s">
        <v>810</v>
      </c>
      <c r="N11818" s="30" t="s">
        <v>167</v>
      </c>
      <c r="P11818" s="30" t="s">
        <v>10360</v>
      </c>
      <c r="Q11818" t="s">
        <v>620</v>
      </c>
      <c r="R11818" t="s">
        <v>920</v>
      </c>
      <c r="S11818">
        <v>39</v>
      </c>
      <c r="T11818" s="29" t="str">
        <f t="shared" si="493"/>
        <v>2023.024M.Bunyaviricetes.zip</v>
      </c>
      <c r="U11818" s="29" t="str">
        <f>HYPERLINK("https://ictv.global/taxonomy/taxondetails?taxnode_id=202309601","ictv.global=202309601")</f>
        <v>ictv.global=202309601</v>
      </c>
    </row>
    <row r="11819" spans="1:21">
      <c r="A11819">
        <v>11818</v>
      </c>
      <c r="B11819" s="30" t="s">
        <v>1226</v>
      </c>
      <c r="D11819" s="30" t="s">
        <v>2024</v>
      </c>
      <c r="F11819" s="30" t="s">
        <v>1040</v>
      </c>
      <c r="G11819" s="30" t="s">
        <v>1061</v>
      </c>
      <c r="H11819" s="30" t="s">
        <v>17535</v>
      </c>
      <c r="J11819" s="30" t="s">
        <v>17536</v>
      </c>
      <c r="L11819" s="30" t="s">
        <v>810</v>
      </c>
      <c r="N11819" s="30" t="s">
        <v>167</v>
      </c>
      <c r="P11819" s="30" t="s">
        <v>10361</v>
      </c>
      <c r="Q11819" t="s">
        <v>620</v>
      </c>
      <c r="R11819" t="s">
        <v>920</v>
      </c>
      <c r="S11819">
        <v>39</v>
      </c>
      <c r="T11819" s="29" t="str">
        <f t="shared" si="493"/>
        <v>2023.024M.Bunyaviricetes.zip</v>
      </c>
      <c r="U11819" s="29" t="str">
        <f>HYPERLINK("https://ictv.global/taxonomy/taxondetails?taxnode_id=202315121","ictv.global=202315121")</f>
        <v>ictv.global=202315121</v>
      </c>
    </row>
    <row r="11820" spans="1:21">
      <c r="A11820">
        <v>11819</v>
      </c>
      <c r="B11820" s="30" t="s">
        <v>1226</v>
      </c>
      <c r="D11820" s="30" t="s">
        <v>2024</v>
      </c>
      <c r="F11820" s="30" t="s">
        <v>1040</v>
      </c>
      <c r="G11820" s="30" t="s">
        <v>1061</v>
      </c>
      <c r="H11820" s="30" t="s">
        <v>17535</v>
      </c>
      <c r="J11820" s="30" t="s">
        <v>17536</v>
      </c>
      <c r="L11820" s="30" t="s">
        <v>810</v>
      </c>
      <c r="N11820" s="30" t="s">
        <v>167</v>
      </c>
      <c r="P11820" s="30" t="s">
        <v>10362</v>
      </c>
      <c r="Q11820" t="s">
        <v>620</v>
      </c>
      <c r="R11820" t="s">
        <v>920</v>
      </c>
      <c r="S11820">
        <v>39</v>
      </c>
      <c r="T11820" s="29" t="str">
        <f t="shared" si="493"/>
        <v>2023.024M.Bunyaviricetes.zip</v>
      </c>
      <c r="U11820" s="29" t="str">
        <f>HYPERLINK("https://ictv.global/taxonomy/taxondetails?taxnode_id=202315123","ictv.global=202315123")</f>
        <v>ictv.global=202315123</v>
      </c>
    </row>
    <row r="11821" spans="1:21">
      <c r="A11821">
        <v>11820</v>
      </c>
      <c r="B11821" s="30" t="s">
        <v>1226</v>
      </c>
      <c r="D11821" s="30" t="s">
        <v>2024</v>
      </c>
      <c r="F11821" s="30" t="s">
        <v>1040</v>
      </c>
      <c r="G11821" s="30" t="s">
        <v>1061</v>
      </c>
      <c r="H11821" s="30" t="s">
        <v>17535</v>
      </c>
      <c r="J11821" s="30" t="s">
        <v>17536</v>
      </c>
      <c r="L11821" s="30" t="s">
        <v>810</v>
      </c>
      <c r="N11821" s="30" t="s">
        <v>167</v>
      </c>
      <c r="P11821" s="30" t="s">
        <v>10363</v>
      </c>
      <c r="Q11821" t="s">
        <v>620</v>
      </c>
      <c r="R11821" t="s">
        <v>920</v>
      </c>
      <c r="S11821">
        <v>39</v>
      </c>
      <c r="T11821" s="29" t="str">
        <f t="shared" si="493"/>
        <v>2023.024M.Bunyaviricetes.zip</v>
      </c>
      <c r="U11821" s="29" t="str">
        <f>HYPERLINK("https://ictv.global/taxonomy/taxondetails?taxnode_id=202309614","ictv.global=202309614")</f>
        <v>ictv.global=202309614</v>
      </c>
    </row>
    <row r="11822" spans="1:21">
      <c r="A11822">
        <v>11821</v>
      </c>
      <c r="B11822" s="30" t="s">
        <v>1226</v>
      </c>
      <c r="D11822" s="30" t="s">
        <v>2024</v>
      </c>
      <c r="F11822" s="30" t="s">
        <v>1040</v>
      </c>
      <c r="G11822" s="30" t="s">
        <v>1061</v>
      </c>
      <c r="H11822" s="30" t="s">
        <v>17535</v>
      </c>
      <c r="J11822" s="30" t="s">
        <v>17536</v>
      </c>
      <c r="L11822" s="30" t="s">
        <v>811</v>
      </c>
      <c r="M11822" s="30" t="s">
        <v>1246</v>
      </c>
      <c r="N11822" s="30" t="s">
        <v>1247</v>
      </c>
      <c r="P11822" s="30" t="s">
        <v>10364</v>
      </c>
      <c r="Q11822" t="s">
        <v>620</v>
      </c>
      <c r="R11822" t="s">
        <v>920</v>
      </c>
      <c r="S11822">
        <v>39</v>
      </c>
      <c r="T11822" s="29" t="str">
        <f t="shared" si="493"/>
        <v>2023.024M.Bunyaviricetes.zip</v>
      </c>
      <c r="U11822" s="29" t="str">
        <f>HYPERLINK("https://ictv.global/taxonomy/taxondetails?taxnode_id=202309699","ictv.global=202309699")</f>
        <v>ictv.global=202309699</v>
      </c>
    </row>
    <row r="11823" spans="1:21">
      <c r="A11823">
        <v>11822</v>
      </c>
      <c r="B11823" s="30" t="s">
        <v>1226</v>
      </c>
      <c r="D11823" s="30" t="s">
        <v>2024</v>
      </c>
      <c r="F11823" s="30" t="s">
        <v>1040</v>
      </c>
      <c r="G11823" s="30" t="s">
        <v>1061</v>
      </c>
      <c r="H11823" s="30" t="s">
        <v>17535</v>
      </c>
      <c r="J11823" s="30" t="s">
        <v>17536</v>
      </c>
      <c r="L11823" s="30" t="s">
        <v>811</v>
      </c>
      <c r="M11823" s="30" t="s">
        <v>1246</v>
      </c>
      <c r="N11823" s="30" t="s">
        <v>1247</v>
      </c>
      <c r="P11823" s="30" t="s">
        <v>10365</v>
      </c>
      <c r="Q11823" t="s">
        <v>620</v>
      </c>
      <c r="R11823" t="s">
        <v>920</v>
      </c>
      <c r="S11823">
        <v>39</v>
      </c>
      <c r="T11823" s="29" t="str">
        <f t="shared" si="493"/>
        <v>2023.024M.Bunyaviricetes.zip</v>
      </c>
      <c r="U11823" s="29" t="str">
        <f>HYPERLINK("https://ictv.global/taxonomy/taxondetails?taxnode_id=202306428","ictv.global=202306428")</f>
        <v>ictv.global=202306428</v>
      </c>
    </row>
    <row r="11824" spans="1:21">
      <c r="A11824">
        <v>11823</v>
      </c>
      <c r="B11824" s="30" t="s">
        <v>1226</v>
      </c>
      <c r="D11824" s="30" t="s">
        <v>2024</v>
      </c>
      <c r="F11824" s="30" t="s">
        <v>1040</v>
      </c>
      <c r="G11824" s="30" t="s">
        <v>1061</v>
      </c>
      <c r="H11824" s="30" t="s">
        <v>17535</v>
      </c>
      <c r="J11824" s="30" t="s">
        <v>17536</v>
      </c>
      <c r="L11824" s="30" t="s">
        <v>811</v>
      </c>
      <c r="M11824" s="30" t="s">
        <v>1246</v>
      </c>
      <c r="N11824" s="30" t="s">
        <v>1247</v>
      </c>
      <c r="P11824" s="30" t="s">
        <v>10366</v>
      </c>
      <c r="Q11824" t="s">
        <v>620</v>
      </c>
      <c r="R11824" t="s">
        <v>920</v>
      </c>
      <c r="S11824">
        <v>39</v>
      </c>
      <c r="T11824" s="29" t="str">
        <f t="shared" si="493"/>
        <v>2023.024M.Bunyaviricetes.zip</v>
      </c>
      <c r="U11824" s="29" t="str">
        <f>HYPERLINK("https://ictv.global/taxonomy/taxondetails?taxnode_id=202306429","ictv.global=202306429")</f>
        <v>ictv.global=202306429</v>
      </c>
    </row>
    <row r="11825" spans="1:21">
      <c r="A11825">
        <v>11824</v>
      </c>
      <c r="B11825" s="30" t="s">
        <v>1226</v>
      </c>
      <c r="D11825" s="30" t="s">
        <v>2024</v>
      </c>
      <c r="F11825" s="30" t="s">
        <v>1040</v>
      </c>
      <c r="G11825" s="30" t="s">
        <v>1061</v>
      </c>
      <c r="H11825" s="30" t="s">
        <v>17535</v>
      </c>
      <c r="J11825" s="30" t="s">
        <v>17536</v>
      </c>
      <c r="L11825" s="30" t="s">
        <v>811</v>
      </c>
      <c r="M11825" s="30" t="s">
        <v>1246</v>
      </c>
      <c r="N11825" s="30" t="s">
        <v>17541</v>
      </c>
      <c r="P11825" s="30" t="s">
        <v>17542</v>
      </c>
      <c r="Q11825" t="s">
        <v>620</v>
      </c>
      <c r="R11825" t="s">
        <v>917</v>
      </c>
      <c r="S11825">
        <v>39</v>
      </c>
      <c r="T11825" s="29" t="str">
        <f>HYPERLINK("https://ictv.global/ictv/proposals/2023.035M.Hantaviridae_reorg.zip","2023.035M.Hantaviridae_reorg.zip")</f>
        <v>2023.035M.Hantaviridae_reorg.zip</v>
      </c>
      <c r="U11825" s="29" t="str">
        <f>HYPERLINK("https://ictv.global/taxonomy/taxondetails?taxnode_id=202319091","ictv.global=202319091")</f>
        <v>ictv.global=202319091</v>
      </c>
    </row>
    <row r="11826" spans="1:21">
      <c r="A11826">
        <v>11825</v>
      </c>
      <c r="B11826" s="30" t="s">
        <v>1226</v>
      </c>
      <c r="D11826" s="30" t="s">
        <v>2024</v>
      </c>
      <c r="F11826" s="30" t="s">
        <v>1040</v>
      </c>
      <c r="G11826" s="30" t="s">
        <v>1061</v>
      </c>
      <c r="H11826" s="30" t="s">
        <v>17535</v>
      </c>
      <c r="J11826" s="30" t="s">
        <v>17536</v>
      </c>
      <c r="L11826" s="30" t="s">
        <v>811</v>
      </c>
      <c r="M11826" s="30" t="s">
        <v>1246</v>
      </c>
      <c r="N11826" s="30" t="s">
        <v>17541</v>
      </c>
      <c r="P11826" s="30" t="s">
        <v>17543</v>
      </c>
      <c r="Q11826" t="s">
        <v>620</v>
      </c>
      <c r="R11826" t="s">
        <v>918</v>
      </c>
      <c r="S11826">
        <v>39</v>
      </c>
      <c r="T11826" s="29" t="str">
        <f>HYPERLINK("https://ictv.global/ictv/proposals/2023.035M.Hantaviridae_reorg.zip","2023.035M.Hantaviridae_reorg.zip")</f>
        <v>2023.035M.Hantaviridae_reorg.zip</v>
      </c>
      <c r="U11826" s="29" t="str">
        <f>HYPERLINK("https://ictv.global/taxonomy/taxondetails?taxnode_id=202306430","ictv.global=202306430")</f>
        <v>ictv.global=202306430</v>
      </c>
    </row>
    <row r="11827" spans="1:21">
      <c r="A11827">
        <v>11826</v>
      </c>
      <c r="B11827" s="30" t="s">
        <v>1226</v>
      </c>
      <c r="D11827" s="30" t="s">
        <v>2024</v>
      </c>
      <c r="F11827" s="30" t="s">
        <v>1040</v>
      </c>
      <c r="G11827" s="30" t="s">
        <v>1061</v>
      </c>
      <c r="H11827" s="30" t="s">
        <v>17535</v>
      </c>
      <c r="J11827" s="30" t="s">
        <v>17536</v>
      </c>
      <c r="L11827" s="30" t="s">
        <v>811</v>
      </c>
      <c r="M11827" s="30" t="s">
        <v>1248</v>
      </c>
      <c r="N11827" s="30" t="s">
        <v>1249</v>
      </c>
      <c r="P11827" s="30" t="s">
        <v>10367</v>
      </c>
      <c r="Q11827" t="s">
        <v>620</v>
      </c>
      <c r="R11827" t="s">
        <v>920</v>
      </c>
      <c r="S11827">
        <v>39</v>
      </c>
      <c r="T11827" s="29" t="str">
        <f>HYPERLINK("https://ictv.global/ictv/proposals/2023.024M.Bunyaviricetes.zip","2023.024M.Bunyaviricetes.zip")</f>
        <v>2023.024M.Bunyaviricetes.zip</v>
      </c>
      <c r="U11827" s="29" t="str">
        <f>HYPERLINK("https://ictv.global/taxonomy/taxondetails?taxnode_id=202306433","ictv.global=202306433")</f>
        <v>ictv.global=202306433</v>
      </c>
    </row>
    <row r="11828" spans="1:21">
      <c r="A11828">
        <v>11827</v>
      </c>
      <c r="B11828" s="30" t="s">
        <v>1226</v>
      </c>
      <c r="D11828" s="30" t="s">
        <v>2024</v>
      </c>
      <c r="F11828" s="30" t="s">
        <v>1040</v>
      </c>
      <c r="G11828" s="30" t="s">
        <v>1061</v>
      </c>
      <c r="H11828" s="30" t="s">
        <v>17535</v>
      </c>
      <c r="J11828" s="30" t="s">
        <v>17536</v>
      </c>
      <c r="L11828" s="30" t="s">
        <v>811</v>
      </c>
      <c r="M11828" s="30" t="s">
        <v>1250</v>
      </c>
      <c r="N11828" s="30" t="s">
        <v>1064</v>
      </c>
      <c r="P11828" s="30" t="s">
        <v>10368</v>
      </c>
      <c r="Q11828" t="s">
        <v>620</v>
      </c>
      <c r="R11828" t="s">
        <v>920</v>
      </c>
      <c r="S11828">
        <v>39</v>
      </c>
      <c r="T11828" s="29" t="str">
        <f>HYPERLINK("https://ictv.global/ictv/proposals/2023.024M.Bunyaviricetes.zip","2023.024M.Bunyaviricetes.zip")</f>
        <v>2023.024M.Bunyaviricetes.zip</v>
      </c>
      <c r="U11828" s="29" t="str">
        <f>HYPERLINK("https://ictv.global/taxonomy/taxondetails?taxnode_id=202307442","ictv.global=202307442")</f>
        <v>ictv.global=202307442</v>
      </c>
    </row>
    <row r="11829" spans="1:21">
      <c r="A11829">
        <v>11828</v>
      </c>
      <c r="B11829" s="30" t="s">
        <v>1226</v>
      </c>
      <c r="D11829" s="30" t="s">
        <v>2024</v>
      </c>
      <c r="F11829" s="30" t="s">
        <v>1040</v>
      </c>
      <c r="G11829" s="30" t="s">
        <v>1061</v>
      </c>
      <c r="H11829" s="30" t="s">
        <v>17535</v>
      </c>
      <c r="J11829" s="30" t="s">
        <v>17536</v>
      </c>
      <c r="L11829" s="30" t="s">
        <v>811</v>
      </c>
      <c r="M11829" s="30" t="s">
        <v>1250</v>
      </c>
      <c r="N11829" s="30" t="s">
        <v>1064</v>
      </c>
      <c r="P11829" s="30" t="s">
        <v>10369</v>
      </c>
      <c r="Q11829" t="s">
        <v>620</v>
      </c>
      <c r="R11829" t="s">
        <v>920</v>
      </c>
      <c r="S11829">
        <v>39</v>
      </c>
      <c r="T11829" s="29" t="str">
        <f>HYPERLINK("https://ictv.global/ictv/proposals/2023.024M.Bunyaviricetes.zip","2023.024M.Bunyaviricetes.zip")</f>
        <v>2023.024M.Bunyaviricetes.zip</v>
      </c>
      <c r="U11829" s="29" t="str">
        <f>HYPERLINK("https://ictv.global/taxonomy/taxondetails?taxnode_id=202300044","ictv.global=202300044")</f>
        <v>ictv.global=202300044</v>
      </c>
    </row>
    <row r="11830" spans="1:21">
      <c r="A11830">
        <v>11829</v>
      </c>
      <c r="B11830" s="30" t="s">
        <v>1226</v>
      </c>
      <c r="D11830" s="30" t="s">
        <v>2024</v>
      </c>
      <c r="F11830" s="30" t="s">
        <v>1040</v>
      </c>
      <c r="G11830" s="30" t="s">
        <v>1061</v>
      </c>
      <c r="H11830" s="30" t="s">
        <v>17535</v>
      </c>
      <c r="J11830" s="30" t="s">
        <v>17536</v>
      </c>
      <c r="L11830" s="30" t="s">
        <v>811</v>
      </c>
      <c r="M11830" s="30" t="s">
        <v>1250</v>
      </c>
      <c r="N11830" s="30" t="s">
        <v>1065</v>
      </c>
      <c r="P11830" s="30" t="s">
        <v>17544</v>
      </c>
      <c r="Q11830" t="s">
        <v>620</v>
      </c>
      <c r="R11830" t="s">
        <v>917</v>
      </c>
      <c r="S11830">
        <v>39</v>
      </c>
      <c r="T11830" s="29" t="str">
        <f>HYPERLINK("https://ictv.global/ictv/proposals/2023.035M.Hantaviridae_reorg.zip","2023.035M.Hantaviridae_reorg.zip")</f>
        <v>2023.035M.Hantaviridae_reorg.zip</v>
      </c>
      <c r="U11830" s="29" t="str">
        <f>HYPERLINK("https://ictv.global/taxonomy/taxondetails?taxnode_id=202319087","ictv.global=202319087")</f>
        <v>ictv.global=202319087</v>
      </c>
    </row>
    <row r="11831" spans="1:21">
      <c r="A11831">
        <v>11830</v>
      </c>
      <c r="B11831" s="30" t="s">
        <v>1226</v>
      </c>
      <c r="D11831" s="30" t="s">
        <v>2024</v>
      </c>
      <c r="F11831" s="30" t="s">
        <v>1040</v>
      </c>
      <c r="G11831" s="30" t="s">
        <v>1061</v>
      </c>
      <c r="H11831" s="30" t="s">
        <v>17535</v>
      </c>
      <c r="J11831" s="30" t="s">
        <v>17536</v>
      </c>
      <c r="L11831" s="30" t="s">
        <v>811</v>
      </c>
      <c r="M11831" s="30" t="s">
        <v>1250</v>
      </c>
      <c r="N11831" s="30" t="s">
        <v>1065</v>
      </c>
      <c r="P11831" s="30" t="s">
        <v>10370</v>
      </c>
      <c r="Q11831" t="s">
        <v>620</v>
      </c>
      <c r="R11831" t="s">
        <v>920</v>
      </c>
      <c r="S11831">
        <v>39</v>
      </c>
      <c r="T11831" s="29" t="str">
        <f>HYPERLINK("https://ictv.global/ictv/proposals/2023.024M.Bunyaviricetes.zip","2023.024M.Bunyaviricetes.zip")</f>
        <v>2023.024M.Bunyaviricetes.zip</v>
      </c>
      <c r="U11831" s="29" t="str">
        <f>HYPERLINK("https://ictv.global/taxonomy/taxondetails?taxnode_id=202300043","ictv.global=202300043")</f>
        <v>ictv.global=202300043</v>
      </c>
    </row>
    <row r="11832" spans="1:21">
      <c r="A11832">
        <v>11831</v>
      </c>
      <c r="B11832" s="30" t="s">
        <v>1226</v>
      </c>
      <c r="D11832" s="30" t="s">
        <v>2024</v>
      </c>
      <c r="F11832" s="30" t="s">
        <v>1040</v>
      </c>
      <c r="G11832" s="30" t="s">
        <v>1061</v>
      </c>
      <c r="H11832" s="30" t="s">
        <v>17535</v>
      </c>
      <c r="J11832" s="30" t="s">
        <v>17536</v>
      </c>
      <c r="L11832" s="30" t="s">
        <v>811</v>
      </c>
      <c r="M11832" s="30" t="s">
        <v>1250</v>
      </c>
      <c r="N11832" s="30" t="s">
        <v>1065</v>
      </c>
      <c r="P11832" s="30" t="s">
        <v>10371</v>
      </c>
      <c r="Q11832" t="s">
        <v>620</v>
      </c>
      <c r="R11832" t="s">
        <v>920</v>
      </c>
      <c r="S11832">
        <v>39</v>
      </c>
      <c r="T11832" s="29" t="str">
        <f>HYPERLINK("https://ictv.global/ictv/proposals/2023.024M.Bunyaviricetes.zip","2023.024M.Bunyaviricetes.zip")</f>
        <v>2023.024M.Bunyaviricetes.zip</v>
      </c>
      <c r="U11832" s="29" t="str">
        <f>HYPERLINK("https://ictv.global/taxonomy/taxondetails?taxnode_id=202309700","ictv.global=202309700")</f>
        <v>ictv.global=202309700</v>
      </c>
    </row>
    <row r="11833" spans="1:21">
      <c r="A11833">
        <v>11832</v>
      </c>
      <c r="B11833" s="30" t="s">
        <v>1226</v>
      </c>
      <c r="D11833" s="30" t="s">
        <v>2024</v>
      </c>
      <c r="F11833" s="30" t="s">
        <v>1040</v>
      </c>
      <c r="G11833" s="30" t="s">
        <v>1061</v>
      </c>
      <c r="H11833" s="30" t="s">
        <v>17535</v>
      </c>
      <c r="J11833" s="30" t="s">
        <v>17536</v>
      </c>
      <c r="L11833" s="30" t="s">
        <v>811</v>
      </c>
      <c r="M11833" s="30" t="s">
        <v>1250</v>
      </c>
      <c r="N11833" s="30" t="s">
        <v>1065</v>
      </c>
      <c r="P11833" s="30" t="s">
        <v>10372</v>
      </c>
      <c r="Q11833" t="s">
        <v>620</v>
      </c>
      <c r="R11833" t="s">
        <v>920</v>
      </c>
      <c r="S11833">
        <v>39</v>
      </c>
      <c r="T11833" s="29" t="str">
        <f>HYPERLINK("https://ictv.global/ictv/proposals/2023.024M.Bunyaviricetes.zip","2023.024M.Bunyaviricetes.zip")</f>
        <v>2023.024M.Bunyaviricetes.zip</v>
      </c>
      <c r="U11833" s="29" t="str">
        <f>HYPERLINK("https://ictv.global/taxonomy/taxondetails?taxnode_id=202300049","ictv.global=202300049")</f>
        <v>ictv.global=202300049</v>
      </c>
    </row>
    <row r="11834" spans="1:21">
      <c r="A11834">
        <v>11833</v>
      </c>
      <c r="B11834" s="30" t="s">
        <v>1226</v>
      </c>
      <c r="D11834" s="30" t="s">
        <v>2024</v>
      </c>
      <c r="F11834" s="30" t="s">
        <v>1040</v>
      </c>
      <c r="G11834" s="30" t="s">
        <v>1061</v>
      </c>
      <c r="H11834" s="30" t="s">
        <v>17535</v>
      </c>
      <c r="J11834" s="30" t="s">
        <v>17536</v>
      </c>
      <c r="L11834" s="30" t="s">
        <v>811</v>
      </c>
      <c r="M11834" s="30" t="s">
        <v>1250</v>
      </c>
      <c r="N11834" s="30" t="s">
        <v>1065</v>
      </c>
      <c r="P11834" s="30" t="s">
        <v>10373</v>
      </c>
      <c r="Q11834" t="s">
        <v>620</v>
      </c>
      <c r="R11834" t="s">
        <v>920</v>
      </c>
      <c r="S11834">
        <v>39</v>
      </c>
      <c r="T11834" s="29" t="str">
        <f>HYPERLINK("https://ictv.global/ictv/proposals/2023.024M.Bunyaviricetes.zip","2023.024M.Bunyaviricetes.zip")</f>
        <v>2023.024M.Bunyaviricetes.zip</v>
      </c>
      <c r="U11834" s="29" t="str">
        <f>HYPERLINK("https://ictv.global/taxonomy/taxondetails?taxnode_id=202300053","ictv.global=202300053")</f>
        <v>ictv.global=202300053</v>
      </c>
    </row>
    <row r="11835" spans="1:21">
      <c r="A11835">
        <v>11834</v>
      </c>
      <c r="B11835" s="30" t="s">
        <v>1226</v>
      </c>
      <c r="D11835" s="30" t="s">
        <v>2024</v>
      </c>
      <c r="F11835" s="30" t="s">
        <v>1040</v>
      </c>
      <c r="G11835" s="30" t="s">
        <v>1061</v>
      </c>
      <c r="H11835" s="30" t="s">
        <v>17535</v>
      </c>
      <c r="J11835" s="30" t="s">
        <v>17536</v>
      </c>
      <c r="L11835" s="30" t="s">
        <v>811</v>
      </c>
      <c r="M11835" s="30" t="s">
        <v>1250</v>
      </c>
      <c r="N11835" s="30" t="s">
        <v>1065</v>
      </c>
      <c r="P11835" s="30" t="s">
        <v>17545</v>
      </c>
      <c r="Q11835" t="s">
        <v>620</v>
      </c>
      <c r="R11835" t="s">
        <v>918</v>
      </c>
      <c r="S11835">
        <v>39</v>
      </c>
      <c r="T11835" s="29" t="str">
        <f>HYPERLINK("https://ictv.global/ictv/proposals/2023.035M.Hantaviridae_reorg.zip","2023.035M.Hantaviridae_reorg.zip")</f>
        <v>2023.035M.Hantaviridae_reorg.zip</v>
      </c>
      <c r="U11835" s="29" t="str">
        <f>HYPERLINK("https://ictv.global/taxonomy/taxondetails?taxnode_id=202309702","ictv.global=202309702")</f>
        <v>ictv.global=202309702</v>
      </c>
    </row>
    <row r="11836" spans="1:21">
      <c r="A11836">
        <v>11835</v>
      </c>
      <c r="B11836" s="30" t="s">
        <v>1226</v>
      </c>
      <c r="D11836" s="30" t="s">
        <v>2024</v>
      </c>
      <c r="F11836" s="30" t="s">
        <v>1040</v>
      </c>
      <c r="G11836" s="30" t="s">
        <v>1061</v>
      </c>
      <c r="H11836" s="30" t="s">
        <v>17535</v>
      </c>
      <c r="J11836" s="30" t="s">
        <v>17536</v>
      </c>
      <c r="L11836" s="30" t="s">
        <v>811</v>
      </c>
      <c r="M11836" s="30" t="s">
        <v>1250</v>
      </c>
      <c r="N11836" s="30" t="s">
        <v>1065</v>
      </c>
      <c r="P11836" s="30" t="s">
        <v>10374</v>
      </c>
      <c r="Q11836" t="s">
        <v>620</v>
      </c>
      <c r="R11836" t="s">
        <v>920</v>
      </c>
      <c r="S11836">
        <v>39</v>
      </c>
      <c r="T11836" s="29" t="str">
        <f>HYPERLINK("https://ictv.global/ictv/proposals/2023.024M.Bunyaviricetes.zip","2023.024M.Bunyaviricetes.zip")</f>
        <v>2023.024M.Bunyaviricetes.zip</v>
      </c>
      <c r="U11836" s="29" t="str">
        <f>HYPERLINK("https://ictv.global/taxonomy/taxondetails?taxnode_id=202309701","ictv.global=202309701")</f>
        <v>ictv.global=202309701</v>
      </c>
    </row>
    <row r="11837" spans="1:21">
      <c r="A11837">
        <v>11836</v>
      </c>
      <c r="B11837" s="30" t="s">
        <v>1226</v>
      </c>
      <c r="D11837" s="30" t="s">
        <v>2024</v>
      </c>
      <c r="F11837" s="30" t="s">
        <v>1040</v>
      </c>
      <c r="G11837" s="30" t="s">
        <v>1061</v>
      </c>
      <c r="H11837" s="30" t="s">
        <v>17535</v>
      </c>
      <c r="J11837" s="30" t="s">
        <v>17536</v>
      </c>
      <c r="L11837" s="30" t="s">
        <v>811</v>
      </c>
      <c r="M11837" s="30" t="s">
        <v>1250</v>
      </c>
      <c r="N11837" s="30" t="s">
        <v>812</v>
      </c>
      <c r="P11837" s="30" t="s">
        <v>10375</v>
      </c>
      <c r="Q11837" t="s">
        <v>620</v>
      </c>
      <c r="R11837" t="s">
        <v>920</v>
      </c>
      <c r="S11837">
        <v>39</v>
      </c>
      <c r="T11837" s="29" t="str">
        <f>HYPERLINK("https://ictv.global/ictv/proposals/2023.024M.Bunyaviricetes.zip","2023.024M.Bunyaviricetes.zip")</f>
        <v>2023.024M.Bunyaviricetes.zip</v>
      </c>
      <c r="U11837" s="29" t="str">
        <f>HYPERLINK("https://ictv.global/taxonomy/taxondetails?taxnode_id=202300022","ictv.global=202300022")</f>
        <v>ictv.global=202300022</v>
      </c>
    </row>
    <row r="11838" spans="1:21">
      <c r="A11838">
        <v>11837</v>
      </c>
      <c r="B11838" s="30" t="s">
        <v>1226</v>
      </c>
      <c r="D11838" s="30" t="s">
        <v>2024</v>
      </c>
      <c r="F11838" s="30" t="s">
        <v>1040</v>
      </c>
      <c r="G11838" s="30" t="s">
        <v>1061</v>
      </c>
      <c r="H11838" s="30" t="s">
        <v>17535</v>
      </c>
      <c r="J11838" s="30" t="s">
        <v>17536</v>
      </c>
      <c r="L11838" s="30" t="s">
        <v>811</v>
      </c>
      <c r="M11838" s="30" t="s">
        <v>1250</v>
      </c>
      <c r="N11838" s="30" t="s">
        <v>812</v>
      </c>
      <c r="P11838" s="30" t="s">
        <v>17546</v>
      </c>
      <c r="Q11838" t="s">
        <v>620</v>
      </c>
      <c r="R11838" t="s">
        <v>917</v>
      </c>
      <c r="S11838">
        <v>39</v>
      </c>
      <c r="T11838" s="29" t="str">
        <f>HYPERLINK("https://ictv.global/ictv/proposals/2023.035M.Hantaviridae_reorg.zip","2023.035M.Hantaviridae_reorg.zip")</f>
        <v>2023.035M.Hantaviridae_reorg.zip</v>
      </c>
      <c r="U11838" s="29" t="str">
        <f>HYPERLINK("https://ictv.global/taxonomy/taxondetails?taxnode_id=202319088","ictv.global=202319088")</f>
        <v>ictv.global=202319088</v>
      </c>
    </row>
    <row r="11839" spans="1:21">
      <c r="A11839">
        <v>11838</v>
      </c>
      <c r="B11839" s="30" t="s">
        <v>1226</v>
      </c>
      <c r="D11839" s="30" t="s">
        <v>2024</v>
      </c>
      <c r="F11839" s="30" t="s">
        <v>1040</v>
      </c>
      <c r="G11839" s="30" t="s">
        <v>1061</v>
      </c>
      <c r="H11839" s="30" t="s">
        <v>17535</v>
      </c>
      <c r="J11839" s="30" t="s">
        <v>17536</v>
      </c>
      <c r="L11839" s="30" t="s">
        <v>811</v>
      </c>
      <c r="M11839" s="30" t="s">
        <v>1250</v>
      </c>
      <c r="N11839" s="30" t="s">
        <v>812</v>
      </c>
      <c r="P11839" s="30" t="s">
        <v>10376</v>
      </c>
      <c r="Q11839" t="s">
        <v>620</v>
      </c>
      <c r="R11839" t="s">
        <v>920</v>
      </c>
      <c r="S11839">
        <v>39</v>
      </c>
      <c r="T11839" s="29" t="str">
        <f t="shared" ref="T11839:T11844" si="494">HYPERLINK("https://ictv.global/ictv/proposals/2023.024M.Bunyaviricetes.zip","2023.024M.Bunyaviricetes.zip")</f>
        <v>2023.024M.Bunyaviricetes.zip</v>
      </c>
      <c r="U11839" s="29" t="str">
        <f>HYPERLINK("https://ictv.global/taxonomy/taxondetails?taxnode_id=202300023","ictv.global=202300023")</f>
        <v>ictv.global=202300023</v>
      </c>
    </row>
    <row r="11840" spans="1:21">
      <c r="A11840">
        <v>11839</v>
      </c>
      <c r="B11840" s="30" t="s">
        <v>1226</v>
      </c>
      <c r="D11840" s="30" t="s">
        <v>2024</v>
      </c>
      <c r="F11840" s="30" t="s">
        <v>1040</v>
      </c>
      <c r="G11840" s="30" t="s">
        <v>1061</v>
      </c>
      <c r="H11840" s="30" t="s">
        <v>17535</v>
      </c>
      <c r="J11840" s="30" t="s">
        <v>17536</v>
      </c>
      <c r="L11840" s="30" t="s">
        <v>811</v>
      </c>
      <c r="M11840" s="30" t="s">
        <v>1250</v>
      </c>
      <c r="N11840" s="30" t="s">
        <v>812</v>
      </c>
      <c r="P11840" s="30" t="s">
        <v>10377</v>
      </c>
      <c r="Q11840" t="s">
        <v>620</v>
      </c>
      <c r="R11840" t="s">
        <v>920</v>
      </c>
      <c r="S11840">
        <v>39</v>
      </c>
      <c r="T11840" s="29" t="str">
        <f t="shared" si="494"/>
        <v>2023.024M.Bunyaviricetes.zip</v>
      </c>
      <c r="U11840" s="29" t="str">
        <f>HYPERLINK("https://ictv.global/taxonomy/taxondetails?taxnode_id=202300024","ictv.global=202300024")</f>
        <v>ictv.global=202300024</v>
      </c>
    </row>
    <row r="11841" spans="1:21">
      <c r="A11841">
        <v>11840</v>
      </c>
      <c r="B11841" s="30" t="s">
        <v>1226</v>
      </c>
      <c r="D11841" s="30" t="s">
        <v>2024</v>
      </c>
      <c r="F11841" s="30" t="s">
        <v>1040</v>
      </c>
      <c r="G11841" s="30" t="s">
        <v>1061</v>
      </c>
      <c r="H11841" s="30" t="s">
        <v>17535</v>
      </c>
      <c r="J11841" s="30" t="s">
        <v>17536</v>
      </c>
      <c r="L11841" s="30" t="s">
        <v>811</v>
      </c>
      <c r="M11841" s="30" t="s">
        <v>1250</v>
      </c>
      <c r="N11841" s="30" t="s">
        <v>812</v>
      </c>
      <c r="P11841" s="30" t="s">
        <v>10378</v>
      </c>
      <c r="Q11841" t="s">
        <v>620</v>
      </c>
      <c r="R11841" t="s">
        <v>920</v>
      </c>
      <c r="S11841">
        <v>39</v>
      </c>
      <c r="T11841" s="29" t="str">
        <f t="shared" si="494"/>
        <v>2023.024M.Bunyaviricetes.zip</v>
      </c>
      <c r="U11841" s="29" t="str">
        <f>HYPERLINK("https://ictv.global/taxonomy/taxondetails?taxnode_id=202300025","ictv.global=202300025")</f>
        <v>ictv.global=202300025</v>
      </c>
    </row>
    <row r="11842" spans="1:21">
      <c r="A11842">
        <v>11841</v>
      </c>
      <c r="B11842" s="30" t="s">
        <v>1226</v>
      </c>
      <c r="D11842" s="30" t="s">
        <v>2024</v>
      </c>
      <c r="F11842" s="30" t="s">
        <v>1040</v>
      </c>
      <c r="G11842" s="30" t="s">
        <v>1061</v>
      </c>
      <c r="H11842" s="30" t="s">
        <v>17535</v>
      </c>
      <c r="J11842" s="30" t="s">
        <v>17536</v>
      </c>
      <c r="L11842" s="30" t="s">
        <v>811</v>
      </c>
      <c r="M11842" s="30" t="s">
        <v>1250</v>
      </c>
      <c r="N11842" s="30" t="s">
        <v>812</v>
      </c>
      <c r="P11842" s="30" t="s">
        <v>10379</v>
      </c>
      <c r="Q11842" t="s">
        <v>620</v>
      </c>
      <c r="R11842" t="s">
        <v>920</v>
      </c>
      <c r="S11842">
        <v>39</v>
      </c>
      <c r="T11842" s="29" t="str">
        <f t="shared" si="494"/>
        <v>2023.024M.Bunyaviricetes.zip</v>
      </c>
      <c r="U11842" s="29" t="str">
        <f>HYPERLINK("https://ictv.global/taxonomy/taxondetails?taxnode_id=202300027","ictv.global=202300027")</f>
        <v>ictv.global=202300027</v>
      </c>
    </row>
    <row r="11843" spans="1:21">
      <c r="A11843">
        <v>11842</v>
      </c>
      <c r="B11843" s="30" t="s">
        <v>1226</v>
      </c>
      <c r="D11843" s="30" t="s">
        <v>2024</v>
      </c>
      <c r="F11843" s="30" t="s">
        <v>1040</v>
      </c>
      <c r="G11843" s="30" t="s">
        <v>1061</v>
      </c>
      <c r="H11843" s="30" t="s">
        <v>17535</v>
      </c>
      <c r="J11843" s="30" t="s">
        <v>17536</v>
      </c>
      <c r="L11843" s="30" t="s">
        <v>811</v>
      </c>
      <c r="M11843" s="30" t="s">
        <v>1250</v>
      </c>
      <c r="N11843" s="30" t="s">
        <v>812</v>
      </c>
      <c r="P11843" s="30" t="s">
        <v>10380</v>
      </c>
      <c r="Q11843" t="s">
        <v>620</v>
      </c>
      <c r="R11843" t="s">
        <v>920</v>
      </c>
      <c r="S11843">
        <v>39</v>
      </c>
      <c r="T11843" s="29" t="str">
        <f t="shared" si="494"/>
        <v>2023.024M.Bunyaviricetes.zip</v>
      </c>
      <c r="U11843" s="29" t="str">
        <f>HYPERLINK("https://ictv.global/taxonomy/taxondetails?taxnode_id=202300028","ictv.global=202300028")</f>
        <v>ictv.global=202300028</v>
      </c>
    </row>
    <row r="11844" spans="1:21">
      <c r="A11844">
        <v>11843</v>
      </c>
      <c r="B11844" s="30" t="s">
        <v>1226</v>
      </c>
      <c r="D11844" s="30" t="s">
        <v>2024</v>
      </c>
      <c r="F11844" s="30" t="s">
        <v>1040</v>
      </c>
      <c r="G11844" s="30" t="s">
        <v>1061</v>
      </c>
      <c r="H11844" s="30" t="s">
        <v>17535</v>
      </c>
      <c r="J11844" s="30" t="s">
        <v>17536</v>
      </c>
      <c r="L11844" s="30" t="s">
        <v>811</v>
      </c>
      <c r="M11844" s="30" t="s">
        <v>1250</v>
      </c>
      <c r="N11844" s="30" t="s">
        <v>812</v>
      </c>
      <c r="P11844" s="30" t="s">
        <v>10381</v>
      </c>
      <c r="Q11844" t="s">
        <v>620</v>
      </c>
      <c r="R11844" t="s">
        <v>920</v>
      </c>
      <c r="S11844">
        <v>39</v>
      </c>
      <c r="T11844" s="29" t="str">
        <f t="shared" si="494"/>
        <v>2023.024M.Bunyaviricetes.zip</v>
      </c>
      <c r="U11844" s="29" t="str">
        <f>HYPERLINK("https://ictv.global/taxonomy/taxondetails?taxnode_id=202300030","ictv.global=202300030")</f>
        <v>ictv.global=202300030</v>
      </c>
    </row>
    <row r="11845" spans="1:21">
      <c r="A11845">
        <v>11844</v>
      </c>
      <c r="B11845" s="30" t="s">
        <v>1226</v>
      </c>
      <c r="D11845" s="30" t="s">
        <v>2024</v>
      </c>
      <c r="F11845" s="30" t="s">
        <v>1040</v>
      </c>
      <c r="G11845" s="30" t="s">
        <v>1061</v>
      </c>
      <c r="H11845" s="30" t="s">
        <v>17535</v>
      </c>
      <c r="J11845" s="30" t="s">
        <v>17536</v>
      </c>
      <c r="L11845" s="30" t="s">
        <v>811</v>
      </c>
      <c r="M11845" s="30" t="s">
        <v>1250</v>
      </c>
      <c r="N11845" s="30" t="s">
        <v>812</v>
      </c>
      <c r="P11845" s="30" t="s">
        <v>17547</v>
      </c>
      <c r="Q11845" t="s">
        <v>620</v>
      </c>
      <c r="R11845" t="s">
        <v>920</v>
      </c>
      <c r="S11845">
        <v>39</v>
      </c>
      <c r="T11845" s="29" t="str">
        <f>HYPERLINK("https://ictv.global/ictv/proposals/2023.035M.Hantaviridae_reorg.zip","2023.035M.Hantaviridae_reorg.zip")</f>
        <v>2023.035M.Hantaviridae_reorg.zip</v>
      </c>
      <c r="U11845" s="29" t="str">
        <f>HYPERLINK("https://ictv.global/taxonomy/taxondetails?taxnode_id=202300034","ictv.global=202300034")</f>
        <v>ictv.global=202300034</v>
      </c>
    </row>
    <row r="11846" spans="1:21">
      <c r="A11846">
        <v>11845</v>
      </c>
      <c r="B11846" s="30" t="s">
        <v>1226</v>
      </c>
      <c r="D11846" s="30" t="s">
        <v>2024</v>
      </c>
      <c r="F11846" s="30" t="s">
        <v>1040</v>
      </c>
      <c r="G11846" s="30" t="s">
        <v>1061</v>
      </c>
      <c r="H11846" s="30" t="s">
        <v>17535</v>
      </c>
      <c r="J11846" s="30" t="s">
        <v>17536</v>
      </c>
      <c r="L11846" s="30" t="s">
        <v>811</v>
      </c>
      <c r="M11846" s="30" t="s">
        <v>1250</v>
      </c>
      <c r="N11846" s="30" t="s">
        <v>812</v>
      </c>
      <c r="P11846" s="30" t="s">
        <v>10382</v>
      </c>
      <c r="Q11846" t="s">
        <v>620</v>
      </c>
      <c r="R11846" t="s">
        <v>920</v>
      </c>
      <c r="S11846">
        <v>39</v>
      </c>
      <c r="T11846" s="29" t="str">
        <f t="shared" ref="T11846:T11854" si="495">HYPERLINK("https://ictv.global/ictv/proposals/2023.024M.Bunyaviricetes.zip","2023.024M.Bunyaviricetes.zip")</f>
        <v>2023.024M.Bunyaviricetes.zip</v>
      </c>
      <c r="U11846" s="29" t="str">
        <f>HYPERLINK("https://ictv.global/taxonomy/taxondetails?taxnode_id=202300031","ictv.global=202300031")</f>
        <v>ictv.global=202300031</v>
      </c>
    </row>
    <row r="11847" spans="1:21">
      <c r="A11847">
        <v>11846</v>
      </c>
      <c r="B11847" s="30" t="s">
        <v>1226</v>
      </c>
      <c r="D11847" s="30" t="s">
        <v>2024</v>
      </c>
      <c r="F11847" s="30" t="s">
        <v>1040</v>
      </c>
      <c r="G11847" s="30" t="s">
        <v>1061</v>
      </c>
      <c r="H11847" s="30" t="s">
        <v>17535</v>
      </c>
      <c r="J11847" s="30" t="s">
        <v>17536</v>
      </c>
      <c r="L11847" s="30" t="s">
        <v>811</v>
      </c>
      <c r="M11847" s="30" t="s">
        <v>1250</v>
      </c>
      <c r="N11847" s="30" t="s">
        <v>812</v>
      </c>
      <c r="P11847" s="30" t="s">
        <v>10383</v>
      </c>
      <c r="Q11847" t="s">
        <v>620</v>
      </c>
      <c r="R11847" t="s">
        <v>920</v>
      </c>
      <c r="S11847">
        <v>39</v>
      </c>
      <c r="T11847" s="29" t="str">
        <f t="shared" si="495"/>
        <v>2023.024M.Bunyaviricetes.zip</v>
      </c>
      <c r="U11847" s="29" t="str">
        <f>HYPERLINK("https://ictv.global/taxonomy/taxondetails?taxnode_id=202300032","ictv.global=202300032")</f>
        <v>ictv.global=202300032</v>
      </c>
    </row>
    <row r="11848" spans="1:21">
      <c r="A11848">
        <v>11847</v>
      </c>
      <c r="B11848" s="30" t="s">
        <v>1226</v>
      </c>
      <c r="D11848" s="30" t="s">
        <v>2024</v>
      </c>
      <c r="F11848" s="30" t="s">
        <v>1040</v>
      </c>
      <c r="G11848" s="30" t="s">
        <v>1061</v>
      </c>
      <c r="H11848" s="30" t="s">
        <v>17535</v>
      </c>
      <c r="J11848" s="30" t="s">
        <v>17536</v>
      </c>
      <c r="L11848" s="30" t="s">
        <v>811</v>
      </c>
      <c r="M11848" s="30" t="s">
        <v>1250</v>
      </c>
      <c r="N11848" s="30" t="s">
        <v>812</v>
      </c>
      <c r="P11848" s="30" t="s">
        <v>10384</v>
      </c>
      <c r="Q11848" t="s">
        <v>620</v>
      </c>
      <c r="R11848" t="s">
        <v>920</v>
      </c>
      <c r="S11848">
        <v>39</v>
      </c>
      <c r="T11848" s="29" t="str">
        <f t="shared" si="495"/>
        <v>2023.024M.Bunyaviricetes.zip</v>
      </c>
      <c r="U11848" s="29" t="str">
        <f>HYPERLINK("https://ictv.global/taxonomy/taxondetails?taxnode_id=202300029","ictv.global=202300029")</f>
        <v>ictv.global=202300029</v>
      </c>
    </row>
    <row r="11849" spans="1:21">
      <c r="A11849">
        <v>11848</v>
      </c>
      <c r="B11849" s="30" t="s">
        <v>1226</v>
      </c>
      <c r="D11849" s="30" t="s">
        <v>2024</v>
      </c>
      <c r="F11849" s="30" t="s">
        <v>1040</v>
      </c>
      <c r="G11849" s="30" t="s">
        <v>1061</v>
      </c>
      <c r="H11849" s="30" t="s">
        <v>17535</v>
      </c>
      <c r="J11849" s="30" t="s">
        <v>17536</v>
      </c>
      <c r="L11849" s="30" t="s">
        <v>811</v>
      </c>
      <c r="M11849" s="30" t="s">
        <v>1250</v>
      </c>
      <c r="N11849" s="30" t="s">
        <v>812</v>
      </c>
      <c r="P11849" s="30" t="s">
        <v>10385</v>
      </c>
      <c r="Q11849" t="s">
        <v>620</v>
      </c>
      <c r="R11849" t="s">
        <v>920</v>
      </c>
      <c r="S11849">
        <v>39</v>
      </c>
      <c r="T11849" s="29" t="str">
        <f t="shared" si="495"/>
        <v>2023.024M.Bunyaviricetes.zip</v>
      </c>
      <c r="U11849" s="29" t="str">
        <f>HYPERLINK("https://ictv.global/taxonomy/taxondetails?taxnode_id=202300033","ictv.global=202300033")</f>
        <v>ictv.global=202300033</v>
      </c>
    </row>
    <row r="11850" spans="1:21">
      <c r="A11850">
        <v>11849</v>
      </c>
      <c r="B11850" s="30" t="s">
        <v>1226</v>
      </c>
      <c r="D11850" s="30" t="s">
        <v>2024</v>
      </c>
      <c r="F11850" s="30" t="s">
        <v>1040</v>
      </c>
      <c r="G11850" s="30" t="s">
        <v>1061</v>
      </c>
      <c r="H11850" s="30" t="s">
        <v>17535</v>
      </c>
      <c r="J11850" s="30" t="s">
        <v>17536</v>
      </c>
      <c r="L11850" s="30" t="s">
        <v>811</v>
      </c>
      <c r="M11850" s="30" t="s">
        <v>1250</v>
      </c>
      <c r="N11850" s="30" t="s">
        <v>812</v>
      </c>
      <c r="P11850" s="30" t="s">
        <v>10386</v>
      </c>
      <c r="Q11850" t="s">
        <v>620</v>
      </c>
      <c r="R11850" t="s">
        <v>920</v>
      </c>
      <c r="S11850">
        <v>39</v>
      </c>
      <c r="T11850" s="29" t="str">
        <f t="shared" si="495"/>
        <v>2023.024M.Bunyaviricetes.zip</v>
      </c>
      <c r="U11850" s="29" t="str">
        <f>HYPERLINK("https://ictv.global/taxonomy/taxondetails?taxnode_id=202300035","ictv.global=202300035")</f>
        <v>ictv.global=202300035</v>
      </c>
    </row>
    <row r="11851" spans="1:21">
      <c r="A11851">
        <v>11850</v>
      </c>
      <c r="B11851" s="30" t="s">
        <v>1226</v>
      </c>
      <c r="D11851" s="30" t="s">
        <v>2024</v>
      </c>
      <c r="F11851" s="30" t="s">
        <v>1040</v>
      </c>
      <c r="G11851" s="30" t="s">
        <v>1061</v>
      </c>
      <c r="H11851" s="30" t="s">
        <v>17535</v>
      </c>
      <c r="J11851" s="30" t="s">
        <v>17536</v>
      </c>
      <c r="L11851" s="30" t="s">
        <v>811</v>
      </c>
      <c r="M11851" s="30" t="s">
        <v>1250</v>
      </c>
      <c r="N11851" s="30" t="s">
        <v>812</v>
      </c>
      <c r="P11851" s="30" t="s">
        <v>10387</v>
      </c>
      <c r="Q11851" t="s">
        <v>620</v>
      </c>
      <c r="R11851" t="s">
        <v>920</v>
      </c>
      <c r="S11851">
        <v>39</v>
      </c>
      <c r="T11851" s="29" t="str">
        <f t="shared" si="495"/>
        <v>2023.024M.Bunyaviricetes.zip</v>
      </c>
      <c r="U11851" s="29" t="str">
        <f>HYPERLINK("https://ictv.global/taxonomy/taxondetails?taxnode_id=202300037","ictv.global=202300037")</f>
        <v>ictv.global=202300037</v>
      </c>
    </row>
    <row r="11852" spans="1:21">
      <c r="A11852">
        <v>11851</v>
      </c>
      <c r="B11852" s="30" t="s">
        <v>1226</v>
      </c>
      <c r="D11852" s="30" t="s">
        <v>2024</v>
      </c>
      <c r="F11852" s="30" t="s">
        <v>1040</v>
      </c>
      <c r="G11852" s="30" t="s">
        <v>1061</v>
      </c>
      <c r="H11852" s="30" t="s">
        <v>17535</v>
      </c>
      <c r="J11852" s="30" t="s">
        <v>17536</v>
      </c>
      <c r="L11852" s="30" t="s">
        <v>811</v>
      </c>
      <c r="M11852" s="30" t="s">
        <v>1250</v>
      </c>
      <c r="N11852" s="30" t="s">
        <v>812</v>
      </c>
      <c r="P11852" s="30" t="s">
        <v>10388</v>
      </c>
      <c r="Q11852" t="s">
        <v>620</v>
      </c>
      <c r="R11852" t="s">
        <v>920</v>
      </c>
      <c r="S11852">
        <v>39</v>
      </c>
      <c r="T11852" s="29" t="str">
        <f t="shared" si="495"/>
        <v>2023.024M.Bunyaviricetes.zip</v>
      </c>
      <c r="U11852" s="29" t="str">
        <f>HYPERLINK("https://ictv.global/taxonomy/taxondetails?taxnode_id=202300039","ictv.global=202300039")</f>
        <v>ictv.global=202300039</v>
      </c>
    </row>
    <row r="11853" spans="1:21">
      <c r="A11853">
        <v>11852</v>
      </c>
      <c r="B11853" s="30" t="s">
        <v>1226</v>
      </c>
      <c r="D11853" s="30" t="s">
        <v>2024</v>
      </c>
      <c r="F11853" s="30" t="s">
        <v>1040</v>
      </c>
      <c r="G11853" s="30" t="s">
        <v>1061</v>
      </c>
      <c r="H11853" s="30" t="s">
        <v>17535</v>
      </c>
      <c r="J11853" s="30" t="s">
        <v>17536</v>
      </c>
      <c r="L11853" s="30" t="s">
        <v>811</v>
      </c>
      <c r="M11853" s="30" t="s">
        <v>1250</v>
      </c>
      <c r="N11853" s="30" t="s">
        <v>812</v>
      </c>
      <c r="P11853" s="30" t="s">
        <v>10389</v>
      </c>
      <c r="Q11853" t="s">
        <v>620</v>
      </c>
      <c r="R11853" t="s">
        <v>920</v>
      </c>
      <c r="S11853">
        <v>39</v>
      </c>
      <c r="T11853" s="29" t="str">
        <f t="shared" si="495"/>
        <v>2023.024M.Bunyaviricetes.zip</v>
      </c>
      <c r="U11853" s="29" t="str">
        <f>HYPERLINK("https://ictv.global/taxonomy/taxondetails?taxnode_id=202300040","ictv.global=202300040")</f>
        <v>ictv.global=202300040</v>
      </c>
    </row>
    <row r="11854" spans="1:21">
      <c r="A11854">
        <v>11853</v>
      </c>
      <c r="B11854" s="30" t="s">
        <v>1226</v>
      </c>
      <c r="D11854" s="30" t="s">
        <v>2024</v>
      </c>
      <c r="F11854" s="30" t="s">
        <v>1040</v>
      </c>
      <c r="G11854" s="30" t="s">
        <v>1061</v>
      </c>
      <c r="H11854" s="30" t="s">
        <v>17535</v>
      </c>
      <c r="J11854" s="30" t="s">
        <v>17536</v>
      </c>
      <c r="L11854" s="30" t="s">
        <v>811</v>
      </c>
      <c r="M11854" s="30" t="s">
        <v>1250</v>
      </c>
      <c r="N11854" s="30" t="s">
        <v>812</v>
      </c>
      <c r="P11854" s="30" t="s">
        <v>10390</v>
      </c>
      <c r="Q11854" t="s">
        <v>620</v>
      </c>
      <c r="R11854" t="s">
        <v>920</v>
      </c>
      <c r="S11854">
        <v>39</v>
      </c>
      <c r="T11854" s="29" t="str">
        <f t="shared" si="495"/>
        <v>2023.024M.Bunyaviricetes.zip</v>
      </c>
      <c r="U11854" s="29" t="str">
        <f>HYPERLINK("https://ictv.global/taxonomy/taxondetails?taxnode_id=202300041","ictv.global=202300041")</f>
        <v>ictv.global=202300041</v>
      </c>
    </row>
    <row r="11855" spans="1:21">
      <c r="A11855">
        <v>11854</v>
      </c>
      <c r="B11855" s="30" t="s">
        <v>1226</v>
      </c>
      <c r="D11855" s="30" t="s">
        <v>2024</v>
      </c>
      <c r="F11855" s="30" t="s">
        <v>1040</v>
      </c>
      <c r="G11855" s="30" t="s">
        <v>1061</v>
      </c>
      <c r="H11855" s="30" t="s">
        <v>17535</v>
      </c>
      <c r="J11855" s="30" t="s">
        <v>17536</v>
      </c>
      <c r="L11855" s="30" t="s">
        <v>811</v>
      </c>
      <c r="M11855" s="30" t="s">
        <v>1250</v>
      </c>
      <c r="N11855" s="30" t="s">
        <v>812</v>
      </c>
      <c r="P11855" s="30" t="s">
        <v>17548</v>
      </c>
      <c r="Q11855" t="s">
        <v>620</v>
      </c>
      <c r="R11855" t="s">
        <v>917</v>
      </c>
      <c r="S11855">
        <v>39</v>
      </c>
      <c r="T11855" s="29" t="str">
        <f>HYPERLINK("https://ictv.global/ictv/proposals/2023.035M.Hantaviridae_reorg.zip","2023.035M.Hantaviridae_reorg.zip")</f>
        <v>2023.035M.Hantaviridae_reorg.zip</v>
      </c>
      <c r="U11855" s="29" t="str">
        <f>HYPERLINK("https://ictv.global/taxonomy/taxondetails?taxnode_id=202319089","ictv.global=202319089")</f>
        <v>ictv.global=202319089</v>
      </c>
    </row>
    <row r="11856" spans="1:21">
      <c r="A11856">
        <v>11855</v>
      </c>
      <c r="B11856" s="30" t="s">
        <v>1226</v>
      </c>
      <c r="D11856" s="30" t="s">
        <v>2024</v>
      </c>
      <c r="F11856" s="30" t="s">
        <v>1040</v>
      </c>
      <c r="G11856" s="30" t="s">
        <v>1061</v>
      </c>
      <c r="H11856" s="30" t="s">
        <v>17535</v>
      </c>
      <c r="J11856" s="30" t="s">
        <v>17536</v>
      </c>
      <c r="L11856" s="30" t="s">
        <v>811</v>
      </c>
      <c r="M11856" s="30" t="s">
        <v>1250</v>
      </c>
      <c r="N11856" s="30" t="s">
        <v>812</v>
      </c>
      <c r="P11856" s="30" t="s">
        <v>10391</v>
      </c>
      <c r="Q11856" t="s">
        <v>620</v>
      </c>
      <c r="R11856" t="s">
        <v>920</v>
      </c>
      <c r="S11856">
        <v>39</v>
      </c>
      <c r="T11856" s="29" t="str">
        <f>HYPERLINK("https://ictv.global/ictv/proposals/2023.024M.Bunyaviricetes.zip","2023.024M.Bunyaviricetes.zip")</f>
        <v>2023.024M.Bunyaviricetes.zip</v>
      </c>
      <c r="U11856" s="29" t="str">
        <f>HYPERLINK("https://ictv.global/taxonomy/taxondetails?taxnode_id=202300045","ictv.global=202300045")</f>
        <v>ictv.global=202300045</v>
      </c>
    </row>
    <row r="11857" spans="1:21">
      <c r="A11857">
        <v>11856</v>
      </c>
      <c r="B11857" s="30" t="s">
        <v>1226</v>
      </c>
      <c r="D11857" s="30" t="s">
        <v>2024</v>
      </c>
      <c r="F11857" s="30" t="s">
        <v>1040</v>
      </c>
      <c r="G11857" s="30" t="s">
        <v>1061</v>
      </c>
      <c r="H11857" s="30" t="s">
        <v>17535</v>
      </c>
      <c r="J11857" s="30" t="s">
        <v>17536</v>
      </c>
      <c r="L11857" s="30" t="s">
        <v>811</v>
      </c>
      <c r="M11857" s="30" t="s">
        <v>1250</v>
      </c>
      <c r="N11857" s="30" t="s">
        <v>812</v>
      </c>
      <c r="P11857" s="30" t="s">
        <v>17549</v>
      </c>
      <c r="Q11857" t="s">
        <v>620</v>
      </c>
      <c r="R11857" t="s">
        <v>920</v>
      </c>
      <c r="S11857">
        <v>39</v>
      </c>
      <c r="T11857" s="29" t="str">
        <f>HYPERLINK("https://ictv.global/ictv/proposals/2023.035M.Hantaviridae_reorg.zip","2023.035M.Hantaviridae_reorg.zip")</f>
        <v>2023.035M.Hantaviridae_reorg.zip</v>
      </c>
      <c r="U11857" s="29" t="str">
        <f>HYPERLINK("https://ictv.global/taxonomy/taxondetails?taxnode_id=202300042","ictv.global=202300042")</f>
        <v>ictv.global=202300042</v>
      </c>
    </row>
    <row r="11858" spans="1:21">
      <c r="A11858">
        <v>11857</v>
      </c>
      <c r="B11858" s="30" t="s">
        <v>1226</v>
      </c>
      <c r="D11858" s="30" t="s">
        <v>2024</v>
      </c>
      <c r="F11858" s="30" t="s">
        <v>1040</v>
      </c>
      <c r="G11858" s="30" t="s">
        <v>1061</v>
      </c>
      <c r="H11858" s="30" t="s">
        <v>17535</v>
      </c>
      <c r="J11858" s="30" t="s">
        <v>17536</v>
      </c>
      <c r="L11858" s="30" t="s">
        <v>811</v>
      </c>
      <c r="M11858" s="30" t="s">
        <v>1250</v>
      </c>
      <c r="N11858" s="30" t="s">
        <v>812</v>
      </c>
      <c r="P11858" s="30" t="s">
        <v>10392</v>
      </c>
      <c r="Q11858" t="s">
        <v>620</v>
      </c>
      <c r="R11858" t="s">
        <v>920</v>
      </c>
      <c r="S11858">
        <v>39</v>
      </c>
      <c r="T11858" s="29" t="str">
        <f t="shared" ref="T11858:T11870" si="496">HYPERLINK("https://ictv.global/ictv/proposals/2023.024M.Bunyaviricetes.zip","2023.024M.Bunyaviricetes.zip")</f>
        <v>2023.024M.Bunyaviricetes.zip</v>
      </c>
      <c r="U11858" s="29" t="str">
        <f>HYPERLINK("https://ictv.global/taxonomy/taxondetails?taxnode_id=202300046","ictv.global=202300046")</f>
        <v>ictv.global=202300046</v>
      </c>
    </row>
    <row r="11859" spans="1:21">
      <c r="A11859">
        <v>11858</v>
      </c>
      <c r="B11859" s="30" t="s">
        <v>1226</v>
      </c>
      <c r="D11859" s="30" t="s">
        <v>2024</v>
      </c>
      <c r="F11859" s="30" t="s">
        <v>1040</v>
      </c>
      <c r="G11859" s="30" t="s">
        <v>1061</v>
      </c>
      <c r="H11859" s="30" t="s">
        <v>17535</v>
      </c>
      <c r="J11859" s="30" t="s">
        <v>17536</v>
      </c>
      <c r="L11859" s="30" t="s">
        <v>811</v>
      </c>
      <c r="M11859" s="30" t="s">
        <v>1250</v>
      </c>
      <c r="N11859" s="30" t="s">
        <v>812</v>
      </c>
      <c r="P11859" s="30" t="s">
        <v>10393</v>
      </c>
      <c r="Q11859" t="s">
        <v>620</v>
      </c>
      <c r="R11859" t="s">
        <v>920</v>
      </c>
      <c r="S11859">
        <v>39</v>
      </c>
      <c r="T11859" s="29" t="str">
        <f t="shared" si="496"/>
        <v>2023.024M.Bunyaviricetes.zip</v>
      </c>
      <c r="U11859" s="29" t="str">
        <f>HYPERLINK("https://ictv.global/taxonomy/taxondetails?taxnode_id=202300047","ictv.global=202300047")</f>
        <v>ictv.global=202300047</v>
      </c>
    </row>
    <row r="11860" spans="1:21">
      <c r="A11860">
        <v>11859</v>
      </c>
      <c r="B11860" s="30" t="s">
        <v>1226</v>
      </c>
      <c r="D11860" s="30" t="s">
        <v>2024</v>
      </c>
      <c r="F11860" s="30" t="s">
        <v>1040</v>
      </c>
      <c r="G11860" s="30" t="s">
        <v>1061</v>
      </c>
      <c r="H11860" s="30" t="s">
        <v>17535</v>
      </c>
      <c r="J11860" s="30" t="s">
        <v>17536</v>
      </c>
      <c r="L11860" s="30" t="s">
        <v>811</v>
      </c>
      <c r="M11860" s="30" t="s">
        <v>1250</v>
      </c>
      <c r="N11860" s="30" t="s">
        <v>812</v>
      </c>
      <c r="P11860" s="30" t="s">
        <v>10394</v>
      </c>
      <c r="Q11860" t="s">
        <v>620</v>
      </c>
      <c r="R11860" t="s">
        <v>920</v>
      </c>
      <c r="S11860">
        <v>39</v>
      </c>
      <c r="T11860" s="29" t="str">
        <f t="shared" si="496"/>
        <v>2023.024M.Bunyaviricetes.zip</v>
      </c>
      <c r="U11860" s="29" t="str">
        <f>HYPERLINK("https://ictv.global/taxonomy/taxondetails?taxnode_id=202300026","ictv.global=202300026")</f>
        <v>ictv.global=202300026</v>
      </c>
    </row>
    <row r="11861" spans="1:21">
      <c r="A11861">
        <v>11860</v>
      </c>
      <c r="B11861" s="30" t="s">
        <v>1226</v>
      </c>
      <c r="D11861" s="30" t="s">
        <v>2024</v>
      </c>
      <c r="F11861" s="30" t="s">
        <v>1040</v>
      </c>
      <c r="G11861" s="30" t="s">
        <v>1061</v>
      </c>
      <c r="H11861" s="30" t="s">
        <v>17535</v>
      </c>
      <c r="J11861" s="30" t="s">
        <v>17536</v>
      </c>
      <c r="L11861" s="30" t="s">
        <v>811</v>
      </c>
      <c r="M11861" s="30" t="s">
        <v>1250</v>
      </c>
      <c r="N11861" s="30" t="s">
        <v>812</v>
      </c>
      <c r="P11861" s="30" t="s">
        <v>10395</v>
      </c>
      <c r="Q11861" t="s">
        <v>620</v>
      </c>
      <c r="R11861" t="s">
        <v>920</v>
      </c>
      <c r="S11861">
        <v>39</v>
      </c>
      <c r="T11861" s="29" t="str">
        <f t="shared" si="496"/>
        <v>2023.024M.Bunyaviricetes.zip</v>
      </c>
      <c r="U11861" s="29" t="str">
        <f>HYPERLINK("https://ictv.global/taxonomy/taxondetails?taxnode_id=202300051","ictv.global=202300051")</f>
        <v>ictv.global=202300051</v>
      </c>
    </row>
    <row r="11862" spans="1:21">
      <c r="A11862">
        <v>11861</v>
      </c>
      <c r="B11862" s="30" t="s">
        <v>1226</v>
      </c>
      <c r="D11862" s="30" t="s">
        <v>2024</v>
      </c>
      <c r="F11862" s="30" t="s">
        <v>1040</v>
      </c>
      <c r="G11862" s="30" t="s">
        <v>1061</v>
      </c>
      <c r="H11862" s="30" t="s">
        <v>17535</v>
      </c>
      <c r="J11862" s="30" t="s">
        <v>17536</v>
      </c>
      <c r="L11862" s="30" t="s">
        <v>811</v>
      </c>
      <c r="M11862" s="30" t="s">
        <v>1250</v>
      </c>
      <c r="N11862" s="30" t="s">
        <v>812</v>
      </c>
      <c r="P11862" s="30" t="s">
        <v>10396</v>
      </c>
      <c r="Q11862" t="s">
        <v>620</v>
      </c>
      <c r="R11862" t="s">
        <v>920</v>
      </c>
      <c r="S11862">
        <v>39</v>
      </c>
      <c r="T11862" s="29" t="str">
        <f t="shared" si="496"/>
        <v>2023.024M.Bunyaviricetes.zip</v>
      </c>
      <c r="U11862" s="29" t="str">
        <f>HYPERLINK("https://ictv.global/taxonomy/taxondetails?taxnode_id=202300052","ictv.global=202300052")</f>
        <v>ictv.global=202300052</v>
      </c>
    </row>
    <row r="11863" spans="1:21">
      <c r="A11863">
        <v>11862</v>
      </c>
      <c r="B11863" s="30" t="s">
        <v>1226</v>
      </c>
      <c r="D11863" s="30" t="s">
        <v>2024</v>
      </c>
      <c r="F11863" s="30" t="s">
        <v>1040</v>
      </c>
      <c r="G11863" s="30" t="s">
        <v>1061</v>
      </c>
      <c r="H11863" s="30" t="s">
        <v>17535</v>
      </c>
      <c r="J11863" s="30" t="s">
        <v>17536</v>
      </c>
      <c r="L11863" s="30" t="s">
        <v>811</v>
      </c>
      <c r="M11863" s="30" t="s">
        <v>1250</v>
      </c>
      <c r="N11863" s="30" t="s">
        <v>812</v>
      </c>
      <c r="P11863" s="30" t="s">
        <v>10397</v>
      </c>
      <c r="Q11863" t="s">
        <v>620</v>
      </c>
      <c r="R11863" t="s">
        <v>920</v>
      </c>
      <c r="S11863">
        <v>39</v>
      </c>
      <c r="T11863" s="29" t="str">
        <f t="shared" si="496"/>
        <v>2023.024M.Bunyaviricetes.zip</v>
      </c>
      <c r="U11863" s="29" t="str">
        <f>HYPERLINK("https://ictv.global/taxonomy/taxondetails?taxnode_id=202300054","ictv.global=202300054")</f>
        <v>ictv.global=202300054</v>
      </c>
    </row>
    <row r="11864" spans="1:21">
      <c r="A11864">
        <v>11863</v>
      </c>
      <c r="B11864" s="30" t="s">
        <v>1226</v>
      </c>
      <c r="D11864" s="30" t="s">
        <v>2024</v>
      </c>
      <c r="F11864" s="30" t="s">
        <v>1040</v>
      </c>
      <c r="G11864" s="30" t="s">
        <v>1061</v>
      </c>
      <c r="H11864" s="30" t="s">
        <v>17535</v>
      </c>
      <c r="J11864" s="30" t="s">
        <v>17536</v>
      </c>
      <c r="L11864" s="30" t="s">
        <v>811</v>
      </c>
      <c r="M11864" s="30" t="s">
        <v>1250</v>
      </c>
      <c r="N11864" s="30" t="s">
        <v>812</v>
      </c>
      <c r="P11864" s="30" t="s">
        <v>10398</v>
      </c>
      <c r="Q11864" t="s">
        <v>620</v>
      </c>
      <c r="R11864" t="s">
        <v>920</v>
      </c>
      <c r="S11864">
        <v>39</v>
      </c>
      <c r="T11864" s="29" t="str">
        <f t="shared" si="496"/>
        <v>2023.024M.Bunyaviricetes.zip</v>
      </c>
      <c r="U11864" s="29" t="str">
        <f>HYPERLINK("https://ictv.global/taxonomy/taxondetails?taxnode_id=202300055","ictv.global=202300055")</f>
        <v>ictv.global=202300055</v>
      </c>
    </row>
    <row r="11865" spans="1:21">
      <c r="A11865">
        <v>11864</v>
      </c>
      <c r="B11865" s="30" t="s">
        <v>1226</v>
      </c>
      <c r="D11865" s="30" t="s">
        <v>2024</v>
      </c>
      <c r="F11865" s="30" t="s">
        <v>1040</v>
      </c>
      <c r="G11865" s="30" t="s">
        <v>1061</v>
      </c>
      <c r="H11865" s="30" t="s">
        <v>17535</v>
      </c>
      <c r="J11865" s="30" t="s">
        <v>17536</v>
      </c>
      <c r="L11865" s="30" t="s">
        <v>811</v>
      </c>
      <c r="M11865" s="30" t="s">
        <v>1250</v>
      </c>
      <c r="N11865" s="30" t="s">
        <v>812</v>
      </c>
      <c r="P11865" s="30" t="s">
        <v>10399</v>
      </c>
      <c r="Q11865" t="s">
        <v>620</v>
      </c>
      <c r="R11865" t="s">
        <v>920</v>
      </c>
      <c r="S11865">
        <v>39</v>
      </c>
      <c r="T11865" s="29" t="str">
        <f t="shared" si="496"/>
        <v>2023.024M.Bunyaviricetes.zip</v>
      </c>
      <c r="U11865" s="29" t="str">
        <f>HYPERLINK("https://ictv.global/taxonomy/taxondetails?taxnode_id=202300056","ictv.global=202300056")</f>
        <v>ictv.global=202300056</v>
      </c>
    </row>
    <row r="11866" spans="1:21">
      <c r="A11866">
        <v>11865</v>
      </c>
      <c r="B11866" s="30" t="s">
        <v>1226</v>
      </c>
      <c r="D11866" s="30" t="s">
        <v>2024</v>
      </c>
      <c r="F11866" s="30" t="s">
        <v>1040</v>
      </c>
      <c r="G11866" s="30" t="s">
        <v>1061</v>
      </c>
      <c r="H11866" s="30" t="s">
        <v>17535</v>
      </c>
      <c r="J11866" s="30" t="s">
        <v>17536</v>
      </c>
      <c r="L11866" s="30" t="s">
        <v>811</v>
      </c>
      <c r="M11866" s="30" t="s">
        <v>1250</v>
      </c>
      <c r="N11866" s="30" t="s">
        <v>812</v>
      </c>
      <c r="P11866" s="30" t="s">
        <v>10400</v>
      </c>
      <c r="Q11866" t="s">
        <v>620</v>
      </c>
      <c r="R11866" t="s">
        <v>920</v>
      </c>
      <c r="S11866">
        <v>39</v>
      </c>
      <c r="T11866" s="29" t="str">
        <f t="shared" si="496"/>
        <v>2023.024M.Bunyaviricetes.zip</v>
      </c>
      <c r="U11866" s="29" t="str">
        <f>HYPERLINK("https://ictv.global/taxonomy/taxondetails?taxnode_id=202300057","ictv.global=202300057")</f>
        <v>ictv.global=202300057</v>
      </c>
    </row>
    <row r="11867" spans="1:21">
      <c r="A11867">
        <v>11866</v>
      </c>
      <c r="B11867" s="30" t="s">
        <v>1226</v>
      </c>
      <c r="D11867" s="30" t="s">
        <v>2024</v>
      </c>
      <c r="F11867" s="30" t="s">
        <v>1040</v>
      </c>
      <c r="G11867" s="30" t="s">
        <v>1061</v>
      </c>
      <c r="H11867" s="30" t="s">
        <v>17535</v>
      </c>
      <c r="J11867" s="30" t="s">
        <v>17536</v>
      </c>
      <c r="L11867" s="30" t="s">
        <v>811</v>
      </c>
      <c r="M11867" s="30" t="s">
        <v>1250</v>
      </c>
      <c r="N11867" s="30" t="s">
        <v>812</v>
      </c>
      <c r="P11867" s="30" t="s">
        <v>10401</v>
      </c>
      <c r="Q11867" t="s">
        <v>620</v>
      </c>
      <c r="R11867" t="s">
        <v>920</v>
      </c>
      <c r="S11867">
        <v>39</v>
      </c>
      <c r="T11867" s="29" t="str">
        <f t="shared" si="496"/>
        <v>2023.024M.Bunyaviricetes.zip</v>
      </c>
      <c r="U11867" s="29" t="str">
        <f>HYPERLINK("https://ictv.global/taxonomy/taxondetails?taxnode_id=202309703","ictv.global=202309703")</f>
        <v>ictv.global=202309703</v>
      </c>
    </row>
    <row r="11868" spans="1:21">
      <c r="A11868">
        <v>11867</v>
      </c>
      <c r="B11868" s="30" t="s">
        <v>1226</v>
      </c>
      <c r="D11868" s="30" t="s">
        <v>2024</v>
      </c>
      <c r="F11868" s="30" t="s">
        <v>1040</v>
      </c>
      <c r="G11868" s="30" t="s">
        <v>1061</v>
      </c>
      <c r="H11868" s="30" t="s">
        <v>17535</v>
      </c>
      <c r="J11868" s="30" t="s">
        <v>17536</v>
      </c>
      <c r="L11868" s="30" t="s">
        <v>811</v>
      </c>
      <c r="M11868" s="30" t="s">
        <v>1250</v>
      </c>
      <c r="N11868" s="30" t="s">
        <v>812</v>
      </c>
      <c r="P11868" s="30" t="s">
        <v>10402</v>
      </c>
      <c r="Q11868" t="s">
        <v>620</v>
      </c>
      <c r="R11868" t="s">
        <v>920</v>
      </c>
      <c r="S11868">
        <v>39</v>
      </c>
      <c r="T11868" s="29" t="str">
        <f t="shared" si="496"/>
        <v>2023.024M.Bunyaviricetes.zip</v>
      </c>
      <c r="U11868" s="29" t="str">
        <f>HYPERLINK("https://ictv.global/taxonomy/taxondetails?taxnode_id=202300058","ictv.global=202300058")</f>
        <v>ictv.global=202300058</v>
      </c>
    </row>
    <row r="11869" spans="1:21">
      <c r="A11869">
        <v>11868</v>
      </c>
      <c r="B11869" s="30" t="s">
        <v>1226</v>
      </c>
      <c r="D11869" s="30" t="s">
        <v>2024</v>
      </c>
      <c r="F11869" s="30" t="s">
        <v>1040</v>
      </c>
      <c r="G11869" s="30" t="s">
        <v>1061</v>
      </c>
      <c r="H11869" s="30" t="s">
        <v>17535</v>
      </c>
      <c r="J11869" s="30" t="s">
        <v>17536</v>
      </c>
      <c r="L11869" s="30" t="s">
        <v>811</v>
      </c>
      <c r="M11869" s="30" t="s">
        <v>1250</v>
      </c>
      <c r="N11869" s="30" t="s">
        <v>812</v>
      </c>
      <c r="P11869" s="30" t="s">
        <v>10403</v>
      </c>
      <c r="Q11869" t="s">
        <v>620</v>
      </c>
      <c r="R11869" t="s">
        <v>920</v>
      </c>
      <c r="S11869">
        <v>39</v>
      </c>
      <c r="T11869" s="29" t="str">
        <f t="shared" si="496"/>
        <v>2023.024M.Bunyaviricetes.zip</v>
      </c>
      <c r="U11869" s="29" t="str">
        <f>HYPERLINK("https://ictv.global/taxonomy/taxondetails?taxnode_id=202306435","ictv.global=202306435")</f>
        <v>ictv.global=202306435</v>
      </c>
    </row>
    <row r="11870" spans="1:21">
      <c r="A11870">
        <v>11869</v>
      </c>
      <c r="B11870" s="30" t="s">
        <v>1226</v>
      </c>
      <c r="D11870" s="30" t="s">
        <v>2024</v>
      </c>
      <c r="F11870" s="30" t="s">
        <v>1040</v>
      </c>
      <c r="G11870" s="30" t="s">
        <v>1061</v>
      </c>
      <c r="H11870" s="30" t="s">
        <v>17535</v>
      </c>
      <c r="J11870" s="30" t="s">
        <v>17536</v>
      </c>
      <c r="L11870" s="30" t="s">
        <v>811</v>
      </c>
      <c r="M11870" s="30" t="s">
        <v>1250</v>
      </c>
      <c r="N11870" s="30" t="s">
        <v>812</v>
      </c>
      <c r="P11870" s="30" t="s">
        <v>10404</v>
      </c>
      <c r="Q11870" t="s">
        <v>620</v>
      </c>
      <c r="R11870" t="s">
        <v>920</v>
      </c>
      <c r="S11870">
        <v>39</v>
      </c>
      <c r="T11870" s="29" t="str">
        <f t="shared" si="496"/>
        <v>2023.024M.Bunyaviricetes.zip</v>
      </c>
      <c r="U11870" s="29" t="str">
        <f>HYPERLINK("https://ictv.global/taxonomy/taxondetails?taxnode_id=202300060","ictv.global=202300060")</f>
        <v>ictv.global=202300060</v>
      </c>
    </row>
    <row r="11871" spans="1:21">
      <c r="A11871">
        <v>11870</v>
      </c>
      <c r="B11871" s="30" t="s">
        <v>1226</v>
      </c>
      <c r="D11871" s="30" t="s">
        <v>2024</v>
      </c>
      <c r="F11871" s="30" t="s">
        <v>1040</v>
      </c>
      <c r="G11871" s="30" t="s">
        <v>1061</v>
      </c>
      <c r="H11871" s="30" t="s">
        <v>17535</v>
      </c>
      <c r="J11871" s="30" t="s">
        <v>17536</v>
      </c>
      <c r="L11871" s="30" t="s">
        <v>811</v>
      </c>
      <c r="M11871" s="30" t="s">
        <v>1250</v>
      </c>
      <c r="N11871" s="30" t="s">
        <v>812</v>
      </c>
      <c r="P11871" s="30" t="s">
        <v>17550</v>
      </c>
      <c r="Q11871" t="s">
        <v>620</v>
      </c>
      <c r="R11871" t="s">
        <v>917</v>
      </c>
      <c r="S11871">
        <v>39</v>
      </c>
      <c r="T11871" s="29" t="str">
        <f>HYPERLINK("https://ictv.global/ictv/proposals/2023.035M.Hantaviridae_reorg.zip","2023.035M.Hantaviridae_reorg.zip")</f>
        <v>2023.035M.Hantaviridae_reorg.zip</v>
      </c>
      <c r="U11871" s="29" t="str">
        <f>HYPERLINK("https://ictv.global/taxonomy/taxondetails?taxnode_id=202319090","ictv.global=202319090")</f>
        <v>ictv.global=202319090</v>
      </c>
    </row>
    <row r="11872" spans="1:21">
      <c r="A11872">
        <v>11871</v>
      </c>
      <c r="B11872" s="30" t="s">
        <v>1226</v>
      </c>
      <c r="D11872" s="30" t="s">
        <v>2024</v>
      </c>
      <c r="F11872" s="30" t="s">
        <v>1040</v>
      </c>
      <c r="G11872" s="30" t="s">
        <v>1061</v>
      </c>
      <c r="H11872" s="30" t="s">
        <v>17535</v>
      </c>
      <c r="J11872" s="30" t="s">
        <v>17536</v>
      </c>
      <c r="L11872" s="30" t="s">
        <v>811</v>
      </c>
      <c r="M11872" s="30" t="s">
        <v>1250</v>
      </c>
      <c r="N11872" s="30" t="s">
        <v>1066</v>
      </c>
      <c r="P11872" s="30" t="s">
        <v>10405</v>
      </c>
      <c r="Q11872" t="s">
        <v>620</v>
      </c>
      <c r="R11872" t="s">
        <v>920</v>
      </c>
      <c r="S11872">
        <v>39</v>
      </c>
      <c r="T11872" s="29" t="str">
        <f>HYPERLINK("https://ictv.global/ictv/proposals/2023.024M.Bunyaviricetes.zip","2023.024M.Bunyaviricetes.zip")</f>
        <v>2023.024M.Bunyaviricetes.zip</v>
      </c>
      <c r="U11872" s="29" t="str">
        <f>HYPERLINK("https://ictv.global/taxonomy/taxondetails?taxnode_id=202300038","ictv.global=202300038")</f>
        <v>ictv.global=202300038</v>
      </c>
    </row>
    <row r="11873" spans="1:21">
      <c r="A11873">
        <v>11872</v>
      </c>
      <c r="B11873" s="30" t="s">
        <v>1226</v>
      </c>
      <c r="D11873" s="30" t="s">
        <v>2024</v>
      </c>
      <c r="F11873" s="30" t="s">
        <v>1040</v>
      </c>
      <c r="G11873" s="30" t="s">
        <v>1061</v>
      </c>
      <c r="H11873" s="30" t="s">
        <v>17535</v>
      </c>
      <c r="J11873" s="30" t="s">
        <v>17536</v>
      </c>
      <c r="L11873" s="30" t="s">
        <v>811</v>
      </c>
      <c r="M11873" s="30" t="s">
        <v>1250</v>
      </c>
      <c r="N11873" s="30" t="s">
        <v>1066</v>
      </c>
      <c r="P11873" s="30" t="s">
        <v>10406</v>
      </c>
      <c r="Q11873" t="s">
        <v>620</v>
      </c>
      <c r="R11873" t="s">
        <v>920</v>
      </c>
      <c r="S11873">
        <v>39</v>
      </c>
      <c r="T11873" s="29" t="str">
        <f>HYPERLINK("https://ictv.global/ictv/proposals/2023.024M.Bunyaviricetes.zip","2023.024M.Bunyaviricetes.zip")</f>
        <v>2023.024M.Bunyaviricetes.zip</v>
      </c>
      <c r="U11873" s="29" t="str">
        <f>HYPERLINK("https://ictv.global/taxonomy/taxondetails?taxnode_id=202300059","ictv.global=202300059")</f>
        <v>ictv.global=202300059</v>
      </c>
    </row>
    <row r="11874" spans="1:21">
      <c r="A11874">
        <v>11873</v>
      </c>
      <c r="B11874" s="30" t="s">
        <v>1226</v>
      </c>
      <c r="D11874" s="30" t="s">
        <v>2024</v>
      </c>
      <c r="F11874" s="30" t="s">
        <v>1040</v>
      </c>
      <c r="G11874" s="30" t="s">
        <v>1061</v>
      </c>
      <c r="H11874" s="30" t="s">
        <v>17535</v>
      </c>
      <c r="J11874" s="30" t="s">
        <v>17536</v>
      </c>
      <c r="L11874" s="30" t="s">
        <v>811</v>
      </c>
      <c r="M11874" s="30" t="s">
        <v>1251</v>
      </c>
      <c r="N11874" s="30" t="s">
        <v>1252</v>
      </c>
      <c r="P11874" s="30" t="s">
        <v>10407</v>
      </c>
      <c r="Q11874" t="s">
        <v>620</v>
      </c>
      <c r="R11874" t="s">
        <v>920</v>
      </c>
      <c r="S11874">
        <v>39</v>
      </c>
      <c r="T11874" s="29" t="str">
        <f>HYPERLINK("https://ictv.global/ictv/proposals/2023.024M.Bunyaviricetes.zip","2023.024M.Bunyaviricetes.zip")</f>
        <v>2023.024M.Bunyaviricetes.zip</v>
      </c>
      <c r="U11874" s="29" t="str">
        <f>HYPERLINK("https://ictv.global/taxonomy/taxondetails?taxnode_id=202306438","ictv.global=202306438")</f>
        <v>ictv.global=202306438</v>
      </c>
    </row>
    <row r="11875" spans="1:21">
      <c r="A11875">
        <v>11874</v>
      </c>
      <c r="B11875" s="30" t="s">
        <v>1226</v>
      </c>
      <c r="D11875" s="30" t="s">
        <v>2024</v>
      </c>
      <c r="F11875" s="30" t="s">
        <v>1040</v>
      </c>
      <c r="G11875" s="30" t="s">
        <v>1061</v>
      </c>
      <c r="H11875" s="30" t="s">
        <v>17535</v>
      </c>
      <c r="J11875" s="30" t="s">
        <v>17536</v>
      </c>
      <c r="L11875" s="30" t="s">
        <v>17551</v>
      </c>
      <c r="N11875" s="30" t="s">
        <v>17552</v>
      </c>
      <c r="P11875" s="30" t="s">
        <v>17553</v>
      </c>
      <c r="Q11875" t="s">
        <v>620</v>
      </c>
      <c r="R11875" t="s">
        <v>917</v>
      </c>
      <c r="S11875">
        <v>39</v>
      </c>
      <c r="T11875" s="29" t="str">
        <f>HYPERLINK("https://ictv.global/ictv/proposals/2023.006M.Bunyavirales_1nfam_1ngen_1nsp.zip","2023.006M.Bunyavirales_1nfam_1ngen_1nsp.zip")</f>
        <v>2023.006M.Bunyavirales_1nfam_1ngen_1nsp.zip</v>
      </c>
      <c r="U11875" s="29" t="str">
        <f>HYPERLINK("https://ictv.global/taxonomy/taxondetails?taxnode_id=202317829","ictv.global=202317829")</f>
        <v>ictv.global=202317829</v>
      </c>
    </row>
    <row r="11876" spans="1:21">
      <c r="A11876">
        <v>11875</v>
      </c>
      <c r="B11876" s="30" t="s">
        <v>1226</v>
      </c>
      <c r="D11876" s="30" t="s">
        <v>2024</v>
      </c>
      <c r="F11876" s="30" t="s">
        <v>1040</v>
      </c>
      <c r="G11876" s="30" t="s">
        <v>1061</v>
      </c>
      <c r="H11876" s="30" t="s">
        <v>17535</v>
      </c>
      <c r="J11876" s="30" t="s">
        <v>17536</v>
      </c>
      <c r="L11876" s="30" t="s">
        <v>815</v>
      </c>
      <c r="N11876" s="30" t="s">
        <v>17554</v>
      </c>
      <c r="P11876" s="30" t="s">
        <v>17555</v>
      </c>
      <c r="Q11876" t="s">
        <v>620</v>
      </c>
      <c r="R11876" t="s">
        <v>917</v>
      </c>
      <c r="S11876">
        <v>39</v>
      </c>
      <c r="T11876" s="29" t="str">
        <f>HYPERLINK("https://ictv.global/ictv/proposals/2023.031M.Peribunyaviridae_1ng_7nsp.zip","2023.031M.Peribunyaviridae_1ng_7nsp.zip")</f>
        <v>2023.031M.Peribunyaviridae_1ng_7nsp.zip</v>
      </c>
      <c r="U11876" s="29" t="str">
        <f>HYPERLINK("https://ictv.global/taxonomy/taxondetails?taxnode_id=202319070","ictv.global=202319070")</f>
        <v>ictv.global=202319070</v>
      </c>
    </row>
    <row r="11877" spans="1:21">
      <c r="A11877">
        <v>11876</v>
      </c>
      <c r="B11877" s="30" t="s">
        <v>1226</v>
      </c>
      <c r="D11877" s="30" t="s">
        <v>2024</v>
      </c>
      <c r="F11877" s="30" t="s">
        <v>1040</v>
      </c>
      <c r="G11877" s="30" t="s">
        <v>1061</v>
      </c>
      <c r="H11877" s="30" t="s">
        <v>17535</v>
      </c>
      <c r="J11877" s="30" t="s">
        <v>17536</v>
      </c>
      <c r="L11877" s="30" t="s">
        <v>815</v>
      </c>
      <c r="N11877" s="30" t="s">
        <v>17554</v>
      </c>
      <c r="P11877" s="30" t="s">
        <v>17556</v>
      </c>
      <c r="Q11877" t="s">
        <v>620</v>
      </c>
      <c r="R11877" t="s">
        <v>917</v>
      </c>
      <c r="S11877">
        <v>39</v>
      </c>
      <c r="T11877" s="29" t="str">
        <f>HYPERLINK("https://ictv.global/ictv/proposals/2023.031M.Peribunyaviridae_1ng_7nsp.zip","2023.031M.Peribunyaviridae_1ng_7nsp.zip")</f>
        <v>2023.031M.Peribunyaviridae_1ng_7nsp.zip</v>
      </c>
      <c r="U11877" s="29" t="str">
        <f>HYPERLINK("https://ictv.global/taxonomy/taxondetails?taxnode_id=202319069","ictv.global=202319069")</f>
        <v>ictv.global=202319069</v>
      </c>
    </row>
    <row r="11878" spans="1:21">
      <c r="A11878">
        <v>11877</v>
      </c>
      <c r="B11878" s="30" t="s">
        <v>1226</v>
      </c>
      <c r="D11878" s="30" t="s">
        <v>2024</v>
      </c>
      <c r="F11878" s="30" t="s">
        <v>1040</v>
      </c>
      <c r="G11878" s="30" t="s">
        <v>1061</v>
      </c>
      <c r="H11878" s="30" t="s">
        <v>17535</v>
      </c>
      <c r="J11878" s="30" t="s">
        <v>17536</v>
      </c>
      <c r="L11878" s="30" t="s">
        <v>815</v>
      </c>
      <c r="N11878" s="30" t="s">
        <v>839</v>
      </c>
      <c r="P11878" s="30" t="s">
        <v>10461</v>
      </c>
      <c r="Q11878" t="s">
        <v>620</v>
      </c>
      <c r="R11878" t="s">
        <v>920</v>
      </c>
      <c r="S11878">
        <v>39</v>
      </c>
      <c r="T11878" s="29" t="str">
        <f t="shared" ref="T11878:T11896" si="497">HYPERLINK("https://ictv.global/ictv/proposals/2023.024M.Bunyaviricetes.zip","2023.024M.Bunyaviricetes.zip")</f>
        <v>2023.024M.Bunyaviricetes.zip</v>
      </c>
      <c r="U11878" s="29" t="str">
        <f>HYPERLINK("https://ictv.global/taxonomy/taxondetails?taxnode_id=202300083","ictv.global=202300083")</f>
        <v>ictv.global=202300083</v>
      </c>
    </row>
    <row r="11879" spans="1:21">
      <c r="A11879">
        <v>11878</v>
      </c>
      <c r="B11879" s="30" t="s">
        <v>1226</v>
      </c>
      <c r="D11879" s="30" t="s">
        <v>2024</v>
      </c>
      <c r="F11879" s="30" t="s">
        <v>1040</v>
      </c>
      <c r="G11879" s="30" t="s">
        <v>1061</v>
      </c>
      <c r="H11879" s="30" t="s">
        <v>17535</v>
      </c>
      <c r="J11879" s="30" t="s">
        <v>17536</v>
      </c>
      <c r="L11879" s="30" t="s">
        <v>815</v>
      </c>
      <c r="N11879" s="30" t="s">
        <v>839</v>
      </c>
      <c r="P11879" s="30" t="s">
        <v>10462</v>
      </c>
      <c r="Q11879" t="s">
        <v>620</v>
      </c>
      <c r="R11879" t="s">
        <v>920</v>
      </c>
      <c r="S11879">
        <v>39</v>
      </c>
      <c r="T11879" s="29" t="str">
        <f t="shared" si="497"/>
        <v>2023.024M.Bunyaviricetes.zip</v>
      </c>
      <c r="U11879" s="29" t="str">
        <f>HYPERLINK("https://ictv.global/taxonomy/taxondetails?taxnode_id=202300084","ictv.global=202300084")</f>
        <v>ictv.global=202300084</v>
      </c>
    </row>
    <row r="11880" spans="1:21">
      <c r="A11880">
        <v>11879</v>
      </c>
      <c r="B11880" s="30" t="s">
        <v>1226</v>
      </c>
      <c r="D11880" s="30" t="s">
        <v>2024</v>
      </c>
      <c r="F11880" s="30" t="s">
        <v>1040</v>
      </c>
      <c r="G11880" s="30" t="s">
        <v>1061</v>
      </c>
      <c r="H11880" s="30" t="s">
        <v>17535</v>
      </c>
      <c r="J11880" s="30" t="s">
        <v>17536</v>
      </c>
      <c r="L11880" s="30" t="s">
        <v>815</v>
      </c>
      <c r="N11880" s="30" t="s">
        <v>839</v>
      </c>
      <c r="P11880" s="30" t="s">
        <v>10463</v>
      </c>
      <c r="Q11880" t="s">
        <v>620</v>
      </c>
      <c r="R11880" t="s">
        <v>920</v>
      </c>
      <c r="S11880">
        <v>39</v>
      </c>
      <c r="T11880" s="29" t="str">
        <f t="shared" si="497"/>
        <v>2023.024M.Bunyaviricetes.zip</v>
      </c>
      <c r="U11880" s="29" t="str">
        <f>HYPERLINK("https://ictv.global/taxonomy/taxondetails?taxnode_id=202300086","ictv.global=202300086")</f>
        <v>ictv.global=202300086</v>
      </c>
    </row>
    <row r="11881" spans="1:21">
      <c r="A11881">
        <v>11880</v>
      </c>
      <c r="B11881" s="30" t="s">
        <v>1226</v>
      </c>
      <c r="D11881" s="30" t="s">
        <v>2024</v>
      </c>
      <c r="F11881" s="30" t="s">
        <v>1040</v>
      </c>
      <c r="G11881" s="30" t="s">
        <v>1061</v>
      </c>
      <c r="H11881" s="30" t="s">
        <v>17535</v>
      </c>
      <c r="J11881" s="30" t="s">
        <v>17536</v>
      </c>
      <c r="L11881" s="30" t="s">
        <v>815</v>
      </c>
      <c r="N11881" s="30" t="s">
        <v>10464</v>
      </c>
      <c r="P11881" s="30" t="s">
        <v>10465</v>
      </c>
      <c r="Q11881" t="s">
        <v>620</v>
      </c>
      <c r="R11881" t="s">
        <v>920</v>
      </c>
      <c r="S11881">
        <v>39</v>
      </c>
      <c r="T11881" s="29" t="str">
        <f t="shared" si="497"/>
        <v>2023.024M.Bunyaviricetes.zip</v>
      </c>
      <c r="U11881" s="29" t="str">
        <f>HYPERLINK("https://ictv.global/taxonomy/taxondetails?taxnode_id=202312232","ictv.global=202312232")</f>
        <v>ictv.global=202312232</v>
      </c>
    </row>
    <row r="11882" spans="1:21">
      <c r="A11882">
        <v>11881</v>
      </c>
      <c r="B11882" s="30" t="s">
        <v>1226</v>
      </c>
      <c r="D11882" s="30" t="s">
        <v>2024</v>
      </c>
      <c r="F11882" s="30" t="s">
        <v>1040</v>
      </c>
      <c r="G11882" s="30" t="s">
        <v>1061</v>
      </c>
      <c r="H11882" s="30" t="s">
        <v>17535</v>
      </c>
      <c r="J11882" s="30" t="s">
        <v>17536</v>
      </c>
      <c r="L11882" s="30" t="s">
        <v>815</v>
      </c>
      <c r="N11882" s="30" t="s">
        <v>10466</v>
      </c>
      <c r="P11882" s="30" t="s">
        <v>10467</v>
      </c>
      <c r="Q11882" t="s">
        <v>620</v>
      </c>
      <c r="R11882" t="s">
        <v>920</v>
      </c>
      <c r="S11882">
        <v>39</v>
      </c>
      <c r="T11882" s="29" t="str">
        <f t="shared" si="497"/>
        <v>2023.024M.Bunyaviricetes.zip</v>
      </c>
      <c r="U11882" s="29" t="str">
        <f>HYPERLINK("https://ictv.global/taxonomy/taxondetails?taxnode_id=202312234","ictv.global=202312234")</f>
        <v>ictv.global=202312234</v>
      </c>
    </row>
    <row r="11883" spans="1:21">
      <c r="A11883">
        <v>11882</v>
      </c>
      <c r="B11883" s="30" t="s">
        <v>1226</v>
      </c>
      <c r="D11883" s="30" t="s">
        <v>2024</v>
      </c>
      <c r="F11883" s="30" t="s">
        <v>1040</v>
      </c>
      <c r="G11883" s="30" t="s">
        <v>1061</v>
      </c>
      <c r="H11883" s="30" t="s">
        <v>17535</v>
      </c>
      <c r="J11883" s="30" t="s">
        <v>17536</v>
      </c>
      <c r="L11883" s="30" t="s">
        <v>815</v>
      </c>
      <c r="N11883" s="30" t="s">
        <v>10468</v>
      </c>
      <c r="P11883" s="30" t="s">
        <v>10469</v>
      </c>
      <c r="Q11883" t="s">
        <v>620</v>
      </c>
      <c r="R11883" t="s">
        <v>920</v>
      </c>
      <c r="S11883">
        <v>39</v>
      </c>
      <c r="T11883" s="29" t="str">
        <f t="shared" si="497"/>
        <v>2023.024M.Bunyaviricetes.zip</v>
      </c>
      <c r="U11883" s="29" t="str">
        <f>HYPERLINK("https://ictv.global/taxonomy/taxondetails?taxnode_id=202312236","ictv.global=202312236")</f>
        <v>ictv.global=202312236</v>
      </c>
    </row>
    <row r="11884" spans="1:21">
      <c r="A11884">
        <v>11883</v>
      </c>
      <c r="B11884" s="30" t="s">
        <v>1226</v>
      </c>
      <c r="D11884" s="30" t="s">
        <v>2024</v>
      </c>
      <c r="F11884" s="30" t="s">
        <v>1040</v>
      </c>
      <c r="G11884" s="30" t="s">
        <v>1061</v>
      </c>
      <c r="H11884" s="30" t="s">
        <v>17535</v>
      </c>
      <c r="J11884" s="30" t="s">
        <v>17536</v>
      </c>
      <c r="L11884" s="30" t="s">
        <v>815</v>
      </c>
      <c r="N11884" s="30" t="s">
        <v>464</v>
      </c>
      <c r="P11884" s="30" t="s">
        <v>10470</v>
      </c>
      <c r="Q11884" t="s">
        <v>620</v>
      </c>
      <c r="R11884" t="s">
        <v>920</v>
      </c>
      <c r="S11884">
        <v>39</v>
      </c>
      <c r="T11884" s="29" t="str">
        <f t="shared" si="497"/>
        <v>2023.024M.Bunyaviricetes.zip</v>
      </c>
      <c r="U11884" s="29" t="str">
        <f>HYPERLINK("https://ictv.global/taxonomy/taxondetails?taxnode_id=202309315","ictv.global=202309315")</f>
        <v>ictv.global=202309315</v>
      </c>
    </row>
    <row r="11885" spans="1:21">
      <c r="A11885">
        <v>11884</v>
      </c>
      <c r="B11885" s="30" t="s">
        <v>1226</v>
      </c>
      <c r="D11885" s="30" t="s">
        <v>2024</v>
      </c>
      <c r="F11885" s="30" t="s">
        <v>1040</v>
      </c>
      <c r="G11885" s="30" t="s">
        <v>1061</v>
      </c>
      <c r="H11885" s="30" t="s">
        <v>17535</v>
      </c>
      <c r="J11885" s="30" t="s">
        <v>17536</v>
      </c>
      <c r="L11885" s="30" t="s">
        <v>815</v>
      </c>
      <c r="N11885" s="30" t="s">
        <v>464</v>
      </c>
      <c r="P11885" s="30" t="s">
        <v>10471</v>
      </c>
      <c r="Q11885" t="s">
        <v>620</v>
      </c>
      <c r="R11885" t="s">
        <v>920</v>
      </c>
      <c r="S11885">
        <v>39</v>
      </c>
      <c r="T11885" s="29" t="str">
        <f t="shared" si="497"/>
        <v>2023.024M.Bunyaviricetes.zip</v>
      </c>
      <c r="U11885" s="29" t="str">
        <f>HYPERLINK("https://ictv.global/taxonomy/taxondetails?taxnode_id=202300089","ictv.global=202300089")</f>
        <v>ictv.global=202300089</v>
      </c>
    </row>
    <row r="11886" spans="1:21">
      <c r="A11886">
        <v>11885</v>
      </c>
      <c r="B11886" s="30" t="s">
        <v>1226</v>
      </c>
      <c r="D11886" s="30" t="s">
        <v>2024</v>
      </c>
      <c r="F11886" s="30" t="s">
        <v>1040</v>
      </c>
      <c r="G11886" s="30" t="s">
        <v>1061</v>
      </c>
      <c r="H11886" s="30" t="s">
        <v>17535</v>
      </c>
      <c r="J11886" s="30" t="s">
        <v>17536</v>
      </c>
      <c r="L11886" s="30" t="s">
        <v>815</v>
      </c>
      <c r="N11886" s="30" t="s">
        <v>464</v>
      </c>
      <c r="P11886" s="30" t="s">
        <v>10472</v>
      </c>
      <c r="Q11886" t="s">
        <v>620</v>
      </c>
      <c r="R11886" t="s">
        <v>920</v>
      </c>
      <c r="S11886">
        <v>39</v>
      </c>
      <c r="T11886" s="29" t="str">
        <f t="shared" si="497"/>
        <v>2023.024M.Bunyaviricetes.zip</v>
      </c>
      <c r="U11886" s="29" t="str">
        <f>HYPERLINK("https://ictv.global/taxonomy/taxondetails?taxnode_id=202306373","ictv.global=202306373")</f>
        <v>ictv.global=202306373</v>
      </c>
    </row>
    <row r="11887" spans="1:21">
      <c r="A11887">
        <v>11886</v>
      </c>
      <c r="B11887" s="30" t="s">
        <v>1226</v>
      </c>
      <c r="D11887" s="30" t="s">
        <v>2024</v>
      </c>
      <c r="F11887" s="30" t="s">
        <v>1040</v>
      </c>
      <c r="G11887" s="30" t="s">
        <v>1061</v>
      </c>
      <c r="H11887" s="30" t="s">
        <v>17535</v>
      </c>
      <c r="J11887" s="30" t="s">
        <v>17536</v>
      </c>
      <c r="L11887" s="30" t="s">
        <v>815</v>
      </c>
      <c r="N11887" s="30" t="s">
        <v>464</v>
      </c>
      <c r="P11887" s="30" t="s">
        <v>10473</v>
      </c>
      <c r="Q11887" t="s">
        <v>620</v>
      </c>
      <c r="R11887" t="s">
        <v>920</v>
      </c>
      <c r="S11887">
        <v>39</v>
      </c>
      <c r="T11887" s="29" t="str">
        <f t="shared" si="497"/>
        <v>2023.024M.Bunyaviricetes.zip</v>
      </c>
      <c r="U11887" s="29" t="str">
        <f>HYPERLINK("https://ictv.global/taxonomy/taxondetails?taxnode_id=202306382","ictv.global=202306382")</f>
        <v>ictv.global=202306382</v>
      </c>
    </row>
    <row r="11888" spans="1:21">
      <c r="A11888">
        <v>11887</v>
      </c>
      <c r="B11888" s="30" t="s">
        <v>1226</v>
      </c>
      <c r="D11888" s="30" t="s">
        <v>2024</v>
      </c>
      <c r="F11888" s="30" t="s">
        <v>1040</v>
      </c>
      <c r="G11888" s="30" t="s">
        <v>1061</v>
      </c>
      <c r="H11888" s="30" t="s">
        <v>17535</v>
      </c>
      <c r="J11888" s="30" t="s">
        <v>17536</v>
      </c>
      <c r="L11888" s="30" t="s">
        <v>815</v>
      </c>
      <c r="N11888" s="30" t="s">
        <v>464</v>
      </c>
      <c r="P11888" s="30" t="s">
        <v>10474</v>
      </c>
      <c r="Q11888" t="s">
        <v>620</v>
      </c>
      <c r="R11888" t="s">
        <v>920</v>
      </c>
      <c r="S11888">
        <v>39</v>
      </c>
      <c r="T11888" s="29" t="str">
        <f t="shared" si="497"/>
        <v>2023.024M.Bunyaviricetes.zip</v>
      </c>
      <c r="U11888" s="29" t="str">
        <f>HYPERLINK("https://ictv.global/taxonomy/taxondetails?taxnode_id=202300090","ictv.global=202300090")</f>
        <v>ictv.global=202300090</v>
      </c>
    </row>
    <row r="11889" spans="1:21">
      <c r="A11889">
        <v>11888</v>
      </c>
      <c r="B11889" s="30" t="s">
        <v>1226</v>
      </c>
      <c r="D11889" s="30" t="s">
        <v>2024</v>
      </c>
      <c r="F11889" s="30" t="s">
        <v>1040</v>
      </c>
      <c r="G11889" s="30" t="s">
        <v>1061</v>
      </c>
      <c r="H11889" s="30" t="s">
        <v>17535</v>
      </c>
      <c r="J11889" s="30" t="s">
        <v>17536</v>
      </c>
      <c r="L11889" s="30" t="s">
        <v>815</v>
      </c>
      <c r="N11889" s="30" t="s">
        <v>464</v>
      </c>
      <c r="P11889" s="30" t="s">
        <v>10475</v>
      </c>
      <c r="Q11889" t="s">
        <v>620</v>
      </c>
      <c r="R11889" t="s">
        <v>920</v>
      </c>
      <c r="S11889">
        <v>39</v>
      </c>
      <c r="T11889" s="29" t="str">
        <f t="shared" si="497"/>
        <v>2023.024M.Bunyaviricetes.zip</v>
      </c>
      <c r="U11889" s="29" t="str">
        <f>HYPERLINK("https://ictv.global/taxonomy/taxondetails?taxnode_id=202306354","ictv.global=202306354")</f>
        <v>ictv.global=202306354</v>
      </c>
    </row>
    <row r="11890" spans="1:21">
      <c r="A11890">
        <v>11889</v>
      </c>
      <c r="B11890" s="30" t="s">
        <v>1226</v>
      </c>
      <c r="D11890" s="30" t="s">
        <v>2024</v>
      </c>
      <c r="F11890" s="30" t="s">
        <v>1040</v>
      </c>
      <c r="G11890" s="30" t="s">
        <v>1061</v>
      </c>
      <c r="H11890" s="30" t="s">
        <v>17535</v>
      </c>
      <c r="J11890" s="30" t="s">
        <v>17536</v>
      </c>
      <c r="L11890" s="30" t="s">
        <v>815</v>
      </c>
      <c r="N11890" s="30" t="s">
        <v>464</v>
      </c>
      <c r="P11890" s="30" t="s">
        <v>10476</v>
      </c>
      <c r="Q11890" t="s">
        <v>620</v>
      </c>
      <c r="R11890" t="s">
        <v>920</v>
      </c>
      <c r="S11890">
        <v>39</v>
      </c>
      <c r="T11890" s="29" t="str">
        <f t="shared" si="497"/>
        <v>2023.024M.Bunyaviricetes.zip</v>
      </c>
      <c r="U11890" s="29" t="str">
        <f>HYPERLINK("https://ictv.global/taxonomy/taxondetails?taxnode_id=202309316","ictv.global=202309316")</f>
        <v>ictv.global=202309316</v>
      </c>
    </row>
    <row r="11891" spans="1:21">
      <c r="A11891">
        <v>11890</v>
      </c>
      <c r="B11891" s="30" t="s">
        <v>1226</v>
      </c>
      <c r="D11891" s="30" t="s">
        <v>2024</v>
      </c>
      <c r="F11891" s="30" t="s">
        <v>1040</v>
      </c>
      <c r="G11891" s="30" t="s">
        <v>1061</v>
      </c>
      <c r="H11891" s="30" t="s">
        <v>17535</v>
      </c>
      <c r="J11891" s="30" t="s">
        <v>17536</v>
      </c>
      <c r="L11891" s="30" t="s">
        <v>815</v>
      </c>
      <c r="N11891" s="30" t="s">
        <v>464</v>
      </c>
      <c r="P11891" s="30" t="s">
        <v>10477</v>
      </c>
      <c r="Q11891" t="s">
        <v>620</v>
      </c>
      <c r="R11891" t="s">
        <v>920</v>
      </c>
      <c r="S11891">
        <v>39</v>
      </c>
      <c r="T11891" s="29" t="str">
        <f t="shared" si="497"/>
        <v>2023.024M.Bunyaviricetes.zip</v>
      </c>
      <c r="U11891" s="29" t="str">
        <f>HYPERLINK("https://ictv.global/taxonomy/taxondetails?taxnode_id=202306369","ictv.global=202306369")</f>
        <v>ictv.global=202306369</v>
      </c>
    </row>
    <row r="11892" spans="1:21">
      <c r="A11892">
        <v>11891</v>
      </c>
      <c r="B11892" s="30" t="s">
        <v>1226</v>
      </c>
      <c r="D11892" s="30" t="s">
        <v>2024</v>
      </c>
      <c r="F11892" s="30" t="s">
        <v>1040</v>
      </c>
      <c r="G11892" s="30" t="s">
        <v>1061</v>
      </c>
      <c r="H11892" s="30" t="s">
        <v>17535</v>
      </c>
      <c r="J11892" s="30" t="s">
        <v>17536</v>
      </c>
      <c r="L11892" s="30" t="s">
        <v>815</v>
      </c>
      <c r="N11892" s="30" t="s">
        <v>464</v>
      </c>
      <c r="P11892" s="30" t="s">
        <v>10478</v>
      </c>
      <c r="Q11892" t="s">
        <v>620</v>
      </c>
      <c r="R11892" t="s">
        <v>920</v>
      </c>
      <c r="S11892">
        <v>39</v>
      </c>
      <c r="T11892" s="29" t="str">
        <f t="shared" si="497"/>
        <v>2023.024M.Bunyaviricetes.zip</v>
      </c>
      <c r="U11892" s="29" t="str">
        <f>HYPERLINK("https://ictv.global/taxonomy/taxondetails?taxnode_id=202306383","ictv.global=202306383")</f>
        <v>ictv.global=202306383</v>
      </c>
    </row>
    <row r="11893" spans="1:21">
      <c r="A11893">
        <v>11892</v>
      </c>
      <c r="B11893" s="30" t="s">
        <v>1226</v>
      </c>
      <c r="D11893" s="30" t="s">
        <v>2024</v>
      </c>
      <c r="F11893" s="30" t="s">
        <v>1040</v>
      </c>
      <c r="G11893" s="30" t="s">
        <v>1061</v>
      </c>
      <c r="H11893" s="30" t="s">
        <v>17535</v>
      </c>
      <c r="J11893" s="30" t="s">
        <v>17536</v>
      </c>
      <c r="L11893" s="30" t="s">
        <v>815</v>
      </c>
      <c r="N11893" s="30" t="s">
        <v>464</v>
      </c>
      <c r="P11893" s="30" t="s">
        <v>10479</v>
      </c>
      <c r="Q11893" t="s">
        <v>620</v>
      </c>
      <c r="R11893" t="s">
        <v>920</v>
      </c>
      <c r="S11893">
        <v>39</v>
      </c>
      <c r="T11893" s="29" t="str">
        <f t="shared" si="497"/>
        <v>2023.024M.Bunyaviricetes.zip</v>
      </c>
      <c r="U11893" s="29" t="str">
        <f>HYPERLINK("https://ictv.global/taxonomy/taxondetails?taxnode_id=202309317","ictv.global=202309317")</f>
        <v>ictv.global=202309317</v>
      </c>
    </row>
    <row r="11894" spans="1:21">
      <c r="A11894">
        <v>11893</v>
      </c>
      <c r="B11894" s="30" t="s">
        <v>1226</v>
      </c>
      <c r="D11894" s="30" t="s">
        <v>2024</v>
      </c>
      <c r="F11894" s="30" t="s">
        <v>1040</v>
      </c>
      <c r="G11894" s="30" t="s">
        <v>1061</v>
      </c>
      <c r="H11894" s="30" t="s">
        <v>17535</v>
      </c>
      <c r="J11894" s="30" t="s">
        <v>17536</v>
      </c>
      <c r="L11894" s="30" t="s">
        <v>815</v>
      </c>
      <c r="N11894" s="30" t="s">
        <v>464</v>
      </c>
      <c r="P11894" s="30" t="s">
        <v>10480</v>
      </c>
      <c r="Q11894" t="s">
        <v>620</v>
      </c>
      <c r="R11894" t="s">
        <v>920</v>
      </c>
      <c r="S11894">
        <v>39</v>
      </c>
      <c r="T11894" s="29" t="str">
        <f t="shared" si="497"/>
        <v>2023.024M.Bunyaviricetes.zip</v>
      </c>
      <c r="U11894" s="29" t="str">
        <f>HYPERLINK("https://ictv.global/taxonomy/taxondetails?taxnode_id=202314235","ictv.global=202314235")</f>
        <v>ictv.global=202314235</v>
      </c>
    </row>
    <row r="11895" spans="1:21">
      <c r="A11895">
        <v>11894</v>
      </c>
      <c r="B11895" s="30" t="s">
        <v>1226</v>
      </c>
      <c r="D11895" s="30" t="s">
        <v>2024</v>
      </c>
      <c r="F11895" s="30" t="s">
        <v>1040</v>
      </c>
      <c r="G11895" s="30" t="s">
        <v>1061</v>
      </c>
      <c r="H11895" s="30" t="s">
        <v>17535</v>
      </c>
      <c r="J11895" s="30" t="s">
        <v>17536</v>
      </c>
      <c r="L11895" s="30" t="s">
        <v>815</v>
      </c>
      <c r="N11895" s="30" t="s">
        <v>464</v>
      </c>
      <c r="P11895" s="30" t="s">
        <v>10481</v>
      </c>
      <c r="Q11895" t="s">
        <v>620</v>
      </c>
      <c r="R11895" t="s">
        <v>920</v>
      </c>
      <c r="S11895">
        <v>39</v>
      </c>
      <c r="T11895" s="29" t="str">
        <f t="shared" si="497"/>
        <v>2023.024M.Bunyaviricetes.zip</v>
      </c>
      <c r="U11895" s="29" t="str">
        <f>HYPERLINK("https://ictv.global/taxonomy/taxondetails?taxnode_id=202300094","ictv.global=202300094")</f>
        <v>ictv.global=202300094</v>
      </c>
    </row>
    <row r="11896" spans="1:21">
      <c r="A11896">
        <v>11895</v>
      </c>
      <c r="B11896" s="30" t="s">
        <v>1226</v>
      </c>
      <c r="D11896" s="30" t="s">
        <v>2024</v>
      </c>
      <c r="F11896" s="30" t="s">
        <v>1040</v>
      </c>
      <c r="G11896" s="30" t="s">
        <v>1061</v>
      </c>
      <c r="H11896" s="30" t="s">
        <v>17535</v>
      </c>
      <c r="J11896" s="30" t="s">
        <v>17536</v>
      </c>
      <c r="L11896" s="30" t="s">
        <v>815</v>
      </c>
      <c r="N11896" s="30" t="s">
        <v>464</v>
      </c>
      <c r="P11896" s="30" t="s">
        <v>10482</v>
      </c>
      <c r="Q11896" t="s">
        <v>620</v>
      </c>
      <c r="R11896" t="s">
        <v>920</v>
      </c>
      <c r="S11896">
        <v>39</v>
      </c>
      <c r="T11896" s="29" t="str">
        <f t="shared" si="497"/>
        <v>2023.024M.Bunyaviricetes.zip</v>
      </c>
      <c r="U11896" s="29" t="str">
        <f>HYPERLINK("https://ictv.global/taxonomy/taxondetails?taxnode_id=202314236","ictv.global=202314236")</f>
        <v>ictv.global=202314236</v>
      </c>
    </row>
    <row r="11897" spans="1:21">
      <c r="A11897">
        <v>11896</v>
      </c>
      <c r="B11897" s="30" t="s">
        <v>1226</v>
      </c>
      <c r="D11897" s="30" t="s">
        <v>2024</v>
      </c>
      <c r="F11897" s="30" t="s">
        <v>1040</v>
      </c>
      <c r="G11897" s="30" t="s">
        <v>1061</v>
      </c>
      <c r="H11897" s="30" t="s">
        <v>17535</v>
      </c>
      <c r="J11897" s="30" t="s">
        <v>17536</v>
      </c>
      <c r="L11897" s="30" t="s">
        <v>815</v>
      </c>
      <c r="N11897" s="30" t="s">
        <v>464</v>
      </c>
      <c r="P11897" s="30" t="s">
        <v>17557</v>
      </c>
      <c r="Q11897" t="s">
        <v>620</v>
      </c>
      <c r="R11897" t="s">
        <v>917</v>
      </c>
      <c r="S11897">
        <v>39</v>
      </c>
      <c r="T11897" s="29" t="str">
        <f>HYPERLINK("https://ictv.global/ictv/proposals/2023.031M.Peribunyaviridae_1ng_7nsp.zip","2023.031M.Peribunyaviridae_1ng_7nsp.zip")</f>
        <v>2023.031M.Peribunyaviridae_1ng_7nsp.zip</v>
      </c>
      <c r="U11897" s="29" t="str">
        <f>HYPERLINK("https://ictv.global/taxonomy/taxondetails?taxnode_id=202319068","ictv.global=202319068")</f>
        <v>ictv.global=202319068</v>
      </c>
    </row>
    <row r="11898" spans="1:21">
      <c r="A11898">
        <v>11897</v>
      </c>
      <c r="B11898" s="30" t="s">
        <v>1226</v>
      </c>
      <c r="D11898" s="30" t="s">
        <v>2024</v>
      </c>
      <c r="F11898" s="30" t="s">
        <v>1040</v>
      </c>
      <c r="G11898" s="30" t="s">
        <v>1061</v>
      </c>
      <c r="H11898" s="30" t="s">
        <v>17535</v>
      </c>
      <c r="J11898" s="30" t="s">
        <v>17536</v>
      </c>
      <c r="L11898" s="30" t="s">
        <v>815</v>
      </c>
      <c r="N11898" s="30" t="s">
        <v>464</v>
      </c>
      <c r="P11898" s="30" t="s">
        <v>10483</v>
      </c>
      <c r="Q11898" t="s">
        <v>620</v>
      </c>
      <c r="R11898" t="s">
        <v>920</v>
      </c>
      <c r="S11898">
        <v>39</v>
      </c>
      <c r="T11898" s="29" t="str">
        <f>HYPERLINK("https://ictv.global/ictv/proposals/2023.024M.Bunyaviricetes.zip","2023.024M.Bunyaviricetes.zip")</f>
        <v>2023.024M.Bunyaviricetes.zip</v>
      </c>
      <c r="U11898" s="29" t="str">
        <f>HYPERLINK("https://ictv.global/taxonomy/taxondetails?taxnode_id=202306355","ictv.global=202306355")</f>
        <v>ictv.global=202306355</v>
      </c>
    </row>
    <row r="11899" spans="1:21">
      <c r="A11899">
        <v>11898</v>
      </c>
      <c r="B11899" s="30" t="s">
        <v>1226</v>
      </c>
      <c r="D11899" s="30" t="s">
        <v>2024</v>
      </c>
      <c r="F11899" s="30" t="s">
        <v>1040</v>
      </c>
      <c r="G11899" s="30" t="s">
        <v>1061</v>
      </c>
      <c r="H11899" s="30" t="s">
        <v>17535</v>
      </c>
      <c r="J11899" s="30" t="s">
        <v>17536</v>
      </c>
      <c r="L11899" s="30" t="s">
        <v>815</v>
      </c>
      <c r="N11899" s="30" t="s">
        <v>464</v>
      </c>
      <c r="P11899" s="30" t="s">
        <v>10484</v>
      </c>
      <c r="Q11899" t="s">
        <v>620</v>
      </c>
      <c r="R11899" t="s">
        <v>920</v>
      </c>
      <c r="S11899">
        <v>39</v>
      </c>
      <c r="T11899" s="29" t="str">
        <f>HYPERLINK("https://ictv.global/ictv/proposals/2023.024M.Bunyaviricetes.zip","2023.024M.Bunyaviricetes.zip")</f>
        <v>2023.024M.Bunyaviricetes.zip</v>
      </c>
      <c r="U11899" s="29" t="str">
        <f>HYPERLINK("https://ictv.global/taxonomy/taxondetails?taxnode_id=202300095","ictv.global=202300095")</f>
        <v>ictv.global=202300095</v>
      </c>
    </row>
    <row r="11900" spans="1:21">
      <c r="A11900">
        <v>11899</v>
      </c>
      <c r="B11900" s="30" t="s">
        <v>1226</v>
      </c>
      <c r="D11900" s="30" t="s">
        <v>2024</v>
      </c>
      <c r="F11900" s="30" t="s">
        <v>1040</v>
      </c>
      <c r="G11900" s="30" t="s">
        <v>1061</v>
      </c>
      <c r="H11900" s="30" t="s">
        <v>17535</v>
      </c>
      <c r="J11900" s="30" t="s">
        <v>17536</v>
      </c>
      <c r="L11900" s="30" t="s">
        <v>815</v>
      </c>
      <c r="N11900" s="30" t="s">
        <v>464</v>
      </c>
      <c r="P11900" s="30" t="s">
        <v>10485</v>
      </c>
      <c r="Q11900" t="s">
        <v>620</v>
      </c>
      <c r="R11900" t="s">
        <v>920</v>
      </c>
      <c r="S11900">
        <v>39</v>
      </c>
      <c r="T11900" s="29" t="str">
        <f>HYPERLINK("https://ictv.global/ictv/proposals/2023.024M.Bunyaviricetes.zip","2023.024M.Bunyaviricetes.zip")</f>
        <v>2023.024M.Bunyaviricetes.zip</v>
      </c>
      <c r="U11900" s="29" t="str">
        <f>HYPERLINK("https://ictv.global/taxonomy/taxondetails?taxnode_id=202314237","ictv.global=202314237")</f>
        <v>ictv.global=202314237</v>
      </c>
    </row>
    <row r="11901" spans="1:21">
      <c r="A11901">
        <v>11900</v>
      </c>
      <c r="B11901" s="30" t="s">
        <v>1226</v>
      </c>
      <c r="D11901" s="30" t="s">
        <v>2024</v>
      </c>
      <c r="F11901" s="30" t="s">
        <v>1040</v>
      </c>
      <c r="G11901" s="30" t="s">
        <v>1061</v>
      </c>
      <c r="H11901" s="30" t="s">
        <v>17535</v>
      </c>
      <c r="J11901" s="30" t="s">
        <v>17536</v>
      </c>
      <c r="L11901" s="30" t="s">
        <v>815</v>
      </c>
      <c r="N11901" s="30" t="s">
        <v>464</v>
      </c>
      <c r="P11901" s="30" t="s">
        <v>10486</v>
      </c>
      <c r="Q11901" t="s">
        <v>620</v>
      </c>
      <c r="R11901" t="s">
        <v>920</v>
      </c>
      <c r="S11901">
        <v>39</v>
      </c>
      <c r="T11901" s="29" t="str">
        <f>HYPERLINK("https://ictv.global/ictv/proposals/2023.024M.Bunyaviricetes.zip","2023.024M.Bunyaviricetes.zip")</f>
        <v>2023.024M.Bunyaviricetes.zip</v>
      </c>
      <c r="U11901" s="29" t="str">
        <f>HYPERLINK("https://ictv.global/taxonomy/taxondetails?taxnode_id=202306596","ictv.global=202306596")</f>
        <v>ictv.global=202306596</v>
      </c>
    </row>
    <row r="11902" spans="1:21">
      <c r="A11902">
        <v>11901</v>
      </c>
      <c r="B11902" s="30" t="s">
        <v>1226</v>
      </c>
      <c r="D11902" s="30" t="s">
        <v>2024</v>
      </c>
      <c r="F11902" s="30" t="s">
        <v>1040</v>
      </c>
      <c r="G11902" s="30" t="s">
        <v>1061</v>
      </c>
      <c r="H11902" s="30" t="s">
        <v>17535</v>
      </c>
      <c r="J11902" s="30" t="s">
        <v>17536</v>
      </c>
      <c r="L11902" s="30" t="s">
        <v>815</v>
      </c>
      <c r="N11902" s="30" t="s">
        <v>464</v>
      </c>
      <c r="P11902" s="30" t="s">
        <v>17558</v>
      </c>
      <c r="Q11902" t="s">
        <v>620</v>
      </c>
      <c r="R11902" t="s">
        <v>917</v>
      </c>
      <c r="S11902">
        <v>39</v>
      </c>
      <c r="T11902" s="29" t="str">
        <f>HYPERLINK("https://ictv.global/ictv/proposals/2023.031M.Peribunyaviridae_1ng_7nsp.zip","2023.031M.Peribunyaviridae_1ng_7nsp.zip")</f>
        <v>2023.031M.Peribunyaviridae_1ng_7nsp.zip</v>
      </c>
      <c r="U11902" s="29" t="str">
        <f>HYPERLINK("https://ictv.global/taxonomy/taxondetails?taxnode_id=202319064","ictv.global=202319064")</f>
        <v>ictv.global=202319064</v>
      </c>
    </row>
    <row r="11903" spans="1:21">
      <c r="A11903">
        <v>11902</v>
      </c>
      <c r="B11903" s="30" t="s">
        <v>1226</v>
      </c>
      <c r="D11903" s="30" t="s">
        <v>2024</v>
      </c>
      <c r="F11903" s="30" t="s">
        <v>1040</v>
      </c>
      <c r="G11903" s="30" t="s">
        <v>1061</v>
      </c>
      <c r="H11903" s="30" t="s">
        <v>17535</v>
      </c>
      <c r="J11903" s="30" t="s">
        <v>17536</v>
      </c>
      <c r="L11903" s="30" t="s">
        <v>815</v>
      </c>
      <c r="N11903" s="30" t="s">
        <v>464</v>
      </c>
      <c r="P11903" s="30" t="s">
        <v>10487</v>
      </c>
      <c r="Q11903" t="s">
        <v>620</v>
      </c>
      <c r="R11903" t="s">
        <v>920</v>
      </c>
      <c r="S11903">
        <v>39</v>
      </c>
      <c r="T11903" s="29" t="str">
        <f t="shared" ref="T11903:T11934" si="498">HYPERLINK("https://ictv.global/ictv/proposals/2023.024M.Bunyaviricetes.zip","2023.024M.Bunyaviricetes.zip")</f>
        <v>2023.024M.Bunyaviricetes.zip</v>
      </c>
      <c r="U11903" s="29" t="str">
        <f>HYPERLINK("https://ictv.global/taxonomy/taxondetails?taxnode_id=202314229","ictv.global=202314229")</f>
        <v>ictv.global=202314229</v>
      </c>
    </row>
    <row r="11904" spans="1:21">
      <c r="A11904">
        <v>11903</v>
      </c>
      <c r="B11904" s="30" t="s">
        <v>1226</v>
      </c>
      <c r="D11904" s="30" t="s">
        <v>2024</v>
      </c>
      <c r="F11904" s="30" t="s">
        <v>1040</v>
      </c>
      <c r="G11904" s="30" t="s">
        <v>1061</v>
      </c>
      <c r="H11904" s="30" t="s">
        <v>17535</v>
      </c>
      <c r="J11904" s="30" t="s">
        <v>17536</v>
      </c>
      <c r="L11904" s="30" t="s">
        <v>815</v>
      </c>
      <c r="N11904" s="30" t="s">
        <v>464</v>
      </c>
      <c r="P11904" s="30" t="s">
        <v>10488</v>
      </c>
      <c r="Q11904" t="s">
        <v>620</v>
      </c>
      <c r="R11904" t="s">
        <v>920</v>
      </c>
      <c r="S11904">
        <v>39</v>
      </c>
      <c r="T11904" s="29" t="str">
        <f t="shared" si="498"/>
        <v>2023.024M.Bunyaviricetes.zip</v>
      </c>
      <c r="U11904" s="29" t="str">
        <f>HYPERLINK("https://ictv.global/taxonomy/taxondetails?taxnode_id=202300097","ictv.global=202300097")</f>
        <v>ictv.global=202300097</v>
      </c>
    </row>
    <row r="11905" spans="1:21">
      <c r="A11905">
        <v>11904</v>
      </c>
      <c r="B11905" s="30" t="s">
        <v>1226</v>
      </c>
      <c r="D11905" s="30" t="s">
        <v>2024</v>
      </c>
      <c r="F11905" s="30" t="s">
        <v>1040</v>
      </c>
      <c r="G11905" s="30" t="s">
        <v>1061</v>
      </c>
      <c r="H11905" s="30" t="s">
        <v>17535</v>
      </c>
      <c r="J11905" s="30" t="s">
        <v>17536</v>
      </c>
      <c r="L11905" s="30" t="s">
        <v>815</v>
      </c>
      <c r="N11905" s="30" t="s">
        <v>464</v>
      </c>
      <c r="P11905" s="30" t="s">
        <v>10489</v>
      </c>
      <c r="Q11905" t="s">
        <v>620</v>
      </c>
      <c r="R11905" t="s">
        <v>920</v>
      </c>
      <c r="S11905">
        <v>39</v>
      </c>
      <c r="T11905" s="29" t="str">
        <f t="shared" si="498"/>
        <v>2023.024M.Bunyaviricetes.zip</v>
      </c>
      <c r="U11905" s="29" t="str">
        <f>HYPERLINK("https://ictv.global/taxonomy/taxondetails?taxnode_id=202306356","ictv.global=202306356")</f>
        <v>ictv.global=202306356</v>
      </c>
    </row>
    <row r="11906" spans="1:21">
      <c r="A11906">
        <v>11905</v>
      </c>
      <c r="B11906" s="30" t="s">
        <v>1226</v>
      </c>
      <c r="D11906" s="30" t="s">
        <v>2024</v>
      </c>
      <c r="F11906" s="30" t="s">
        <v>1040</v>
      </c>
      <c r="G11906" s="30" t="s">
        <v>1061</v>
      </c>
      <c r="H11906" s="30" t="s">
        <v>17535</v>
      </c>
      <c r="J11906" s="30" t="s">
        <v>17536</v>
      </c>
      <c r="L11906" s="30" t="s">
        <v>815</v>
      </c>
      <c r="N11906" s="30" t="s">
        <v>464</v>
      </c>
      <c r="P11906" s="30" t="s">
        <v>10490</v>
      </c>
      <c r="Q11906" t="s">
        <v>620</v>
      </c>
      <c r="R11906" t="s">
        <v>920</v>
      </c>
      <c r="S11906">
        <v>39</v>
      </c>
      <c r="T11906" s="29" t="str">
        <f t="shared" si="498"/>
        <v>2023.024M.Bunyaviricetes.zip</v>
      </c>
      <c r="U11906" s="29" t="str">
        <f>HYPERLINK("https://ictv.global/taxonomy/taxondetails?taxnode_id=202314238","ictv.global=202314238")</f>
        <v>ictv.global=202314238</v>
      </c>
    </row>
    <row r="11907" spans="1:21">
      <c r="A11907">
        <v>11906</v>
      </c>
      <c r="B11907" s="30" t="s">
        <v>1226</v>
      </c>
      <c r="D11907" s="30" t="s">
        <v>2024</v>
      </c>
      <c r="F11907" s="30" t="s">
        <v>1040</v>
      </c>
      <c r="G11907" s="30" t="s">
        <v>1061</v>
      </c>
      <c r="H11907" s="30" t="s">
        <v>17535</v>
      </c>
      <c r="J11907" s="30" t="s">
        <v>17536</v>
      </c>
      <c r="L11907" s="30" t="s">
        <v>815</v>
      </c>
      <c r="N11907" s="30" t="s">
        <v>464</v>
      </c>
      <c r="P11907" s="30" t="s">
        <v>10491</v>
      </c>
      <c r="Q11907" t="s">
        <v>620</v>
      </c>
      <c r="R11907" t="s">
        <v>920</v>
      </c>
      <c r="S11907">
        <v>39</v>
      </c>
      <c r="T11907" s="29" t="str">
        <f t="shared" si="498"/>
        <v>2023.024M.Bunyaviricetes.zip</v>
      </c>
      <c r="U11907" s="29" t="str">
        <f>HYPERLINK("https://ictv.global/taxonomy/taxondetails?taxnode_id=202314250","ictv.global=202314250")</f>
        <v>ictv.global=202314250</v>
      </c>
    </row>
    <row r="11908" spans="1:21">
      <c r="A11908">
        <v>11907</v>
      </c>
      <c r="B11908" s="30" t="s">
        <v>1226</v>
      </c>
      <c r="D11908" s="30" t="s">
        <v>2024</v>
      </c>
      <c r="F11908" s="30" t="s">
        <v>1040</v>
      </c>
      <c r="G11908" s="30" t="s">
        <v>1061</v>
      </c>
      <c r="H11908" s="30" t="s">
        <v>17535</v>
      </c>
      <c r="J11908" s="30" t="s">
        <v>17536</v>
      </c>
      <c r="L11908" s="30" t="s">
        <v>815</v>
      </c>
      <c r="N11908" s="30" t="s">
        <v>464</v>
      </c>
      <c r="P11908" s="30" t="s">
        <v>10492</v>
      </c>
      <c r="Q11908" t="s">
        <v>620</v>
      </c>
      <c r="R11908" t="s">
        <v>920</v>
      </c>
      <c r="S11908">
        <v>39</v>
      </c>
      <c r="T11908" s="29" t="str">
        <f t="shared" si="498"/>
        <v>2023.024M.Bunyaviricetes.zip</v>
      </c>
      <c r="U11908" s="29" t="str">
        <f>HYPERLINK("https://ictv.global/taxonomy/taxondetails?taxnode_id=202300099","ictv.global=202300099")</f>
        <v>ictv.global=202300099</v>
      </c>
    </row>
    <row r="11909" spans="1:21">
      <c r="A11909">
        <v>11908</v>
      </c>
      <c r="B11909" s="30" t="s">
        <v>1226</v>
      </c>
      <c r="D11909" s="30" t="s">
        <v>2024</v>
      </c>
      <c r="F11909" s="30" t="s">
        <v>1040</v>
      </c>
      <c r="G11909" s="30" t="s">
        <v>1061</v>
      </c>
      <c r="H11909" s="30" t="s">
        <v>17535</v>
      </c>
      <c r="J11909" s="30" t="s">
        <v>17536</v>
      </c>
      <c r="L11909" s="30" t="s">
        <v>815</v>
      </c>
      <c r="N11909" s="30" t="s">
        <v>464</v>
      </c>
      <c r="P11909" s="30" t="s">
        <v>10493</v>
      </c>
      <c r="Q11909" t="s">
        <v>620</v>
      </c>
      <c r="R11909" t="s">
        <v>920</v>
      </c>
      <c r="S11909">
        <v>39</v>
      </c>
      <c r="T11909" s="29" t="str">
        <f t="shared" si="498"/>
        <v>2023.024M.Bunyaviricetes.zip</v>
      </c>
      <c r="U11909" s="29" t="str">
        <f>HYPERLINK("https://ictv.global/taxonomy/taxondetails?taxnode_id=202306357","ictv.global=202306357")</f>
        <v>ictv.global=202306357</v>
      </c>
    </row>
    <row r="11910" spans="1:21">
      <c r="A11910">
        <v>11909</v>
      </c>
      <c r="B11910" s="30" t="s">
        <v>1226</v>
      </c>
      <c r="D11910" s="30" t="s">
        <v>2024</v>
      </c>
      <c r="F11910" s="30" t="s">
        <v>1040</v>
      </c>
      <c r="G11910" s="30" t="s">
        <v>1061</v>
      </c>
      <c r="H11910" s="30" t="s">
        <v>17535</v>
      </c>
      <c r="J11910" s="30" t="s">
        <v>17536</v>
      </c>
      <c r="L11910" s="30" t="s">
        <v>815</v>
      </c>
      <c r="N11910" s="30" t="s">
        <v>464</v>
      </c>
      <c r="P11910" s="30" t="s">
        <v>10494</v>
      </c>
      <c r="Q11910" t="s">
        <v>620</v>
      </c>
      <c r="R11910" t="s">
        <v>920</v>
      </c>
      <c r="S11910">
        <v>39</v>
      </c>
      <c r="T11910" s="29" t="str">
        <f t="shared" si="498"/>
        <v>2023.024M.Bunyaviricetes.zip</v>
      </c>
      <c r="U11910" s="29" t="str">
        <f>HYPERLINK("https://ictv.global/taxonomy/taxondetails?taxnode_id=202309318","ictv.global=202309318")</f>
        <v>ictv.global=202309318</v>
      </c>
    </row>
    <row r="11911" spans="1:21">
      <c r="A11911">
        <v>11910</v>
      </c>
      <c r="B11911" s="30" t="s">
        <v>1226</v>
      </c>
      <c r="D11911" s="30" t="s">
        <v>2024</v>
      </c>
      <c r="F11911" s="30" t="s">
        <v>1040</v>
      </c>
      <c r="G11911" s="30" t="s">
        <v>1061</v>
      </c>
      <c r="H11911" s="30" t="s">
        <v>17535</v>
      </c>
      <c r="J11911" s="30" t="s">
        <v>17536</v>
      </c>
      <c r="L11911" s="30" t="s">
        <v>815</v>
      </c>
      <c r="N11911" s="30" t="s">
        <v>464</v>
      </c>
      <c r="P11911" s="30" t="s">
        <v>10495</v>
      </c>
      <c r="Q11911" t="s">
        <v>620</v>
      </c>
      <c r="R11911" t="s">
        <v>920</v>
      </c>
      <c r="S11911">
        <v>39</v>
      </c>
      <c r="T11911" s="29" t="str">
        <f t="shared" si="498"/>
        <v>2023.024M.Bunyaviricetes.zip</v>
      </c>
      <c r="U11911" s="29" t="str">
        <f>HYPERLINK("https://ictv.global/taxonomy/taxondetails?taxnode_id=202309319","ictv.global=202309319")</f>
        <v>ictv.global=202309319</v>
      </c>
    </row>
    <row r="11912" spans="1:21">
      <c r="A11912">
        <v>11911</v>
      </c>
      <c r="B11912" s="30" t="s">
        <v>1226</v>
      </c>
      <c r="D11912" s="30" t="s">
        <v>2024</v>
      </c>
      <c r="F11912" s="30" t="s">
        <v>1040</v>
      </c>
      <c r="G11912" s="30" t="s">
        <v>1061</v>
      </c>
      <c r="H11912" s="30" t="s">
        <v>17535</v>
      </c>
      <c r="J11912" s="30" t="s">
        <v>17536</v>
      </c>
      <c r="L11912" s="30" t="s">
        <v>815</v>
      </c>
      <c r="N11912" s="30" t="s">
        <v>464</v>
      </c>
      <c r="P11912" s="30" t="s">
        <v>10496</v>
      </c>
      <c r="Q11912" t="s">
        <v>620</v>
      </c>
      <c r="R11912" t="s">
        <v>920</v>
      </c>
      <c r="S11912">
        <v>39</v>
      </c>
      <c r="T11912" s="29" t="str">
        <f t="shared" si="498"/>
        <v>2023.024M.Bunyaviricetes.zip</v>
      </c>
      <c r="U11912" s="29" t="str">
        <f>HYPERLINK("https://ictv.global/taxonomy/taxondetails?taxnode_id=202309320","ictv.global=202309320")</f>
        <v>ictv.global=202309320</v>
      </c>
    </row>
    <row r="11913" spans="1:21">
      <c r="A11913">
        <v>11912</v>
      </c>
      <c r="B11913" s="30" t="s">
        <v>1226</v>
      </c>
      <c r="D11913" s="30" t="s">
        <v>2024</v>
      </c>
      <c r="F11913" s="30" t="s">
        <v>1040</v>
      </c>
      <c r="G11913" s="30" t="s">
        <v>1061</v>
      </c>
      <c r="H11913" s="30" t="s">
        <v>17535</v>
      </c>
      <c r="J11913" s="30" t="s">
        <v>17536</v>
      </c>
      <c r="L11913" s="30" t="s">
        <v>815</v>
      </c>
      <c r="N11913" s="30" t="s">
        <v>464</v>
      </c>
      <c r="P11913" s="30" t="s">
        <v>10497</v>
      </c>
      <c r="Q11913" t="s">
        <v>620</v>
      </c>
      <c r="R11913" t="s">
        <v>920</v>
      </c>
      <c r="S11913">
        <v>39</v>
      </c>
      <c r="T11913" s="29" t="str">
        <f t="shared" si="498"/>
        <v>2023.024M.Bunyaviricetes.zip</v>
      </c>
      <c r="U11913" s="29" t="str">
        <f>HYPERLINK("https://ictv.global/taxonomy/taxondetails?taxnode_id=202300100","ictv.global=202300100")</f>
        <v>ictv.global=202300100</v>
      </c>
    </row>
    <row r="11914" spans="1:21">
      <c r="A11914">
        <v>11913</v>
      </c>
      <c r="B11914" s="30" t="s">
        <v>1226</v>
      </c>
      <c r="D11914" s="30" t="s">
        <v>2024</v>
      </c>
      <c r="F11914" s="30" t="s">
        <v>1040</v>
      </c>
      <c r="G11914" s="30" t="s">
        <v>1061</v>
      </c>
      <c r="H11914" s="30" t="s">
        <v>17535</v>
      </c>
      <c r="J11914" s="30" t="s">
        <v>17536</v>
      </c>
      <c r="L11914" s="30" t="s">
        <v>815</v>
      </c>
      <c r="N11914" s="30" t="s">
        <v>464</v>
      </c>
      <c r="P11914" s="30" t="s">
        <v>10498</v>
      </c>
      <c r="Q11914" t="s">
        <v>620</v>
      </c>
      <c r="R11914" t="s">
        <v>920</v>
      </c>
      <c r="S11914">
        <v>39</v>
      </c>
      <c r="T11914" s="29" t="str">
        <f t="shared" si="498"/>
        <v>2023.024M.Bunyaviricetes.zip</v>
      </c>
      <c r="U11914" s="29" t="str">
        <f>HYPERLINK("https://ictv.global/taxonomy/taxondetails?taxnode_id=202300101","ictv.global=202300101")</f>
        <v>ictv.global=202300101</v>
      </c>
    </row>
    <row r="11915" spans="1:21">
      <c r="A11915">
        <v>11914</v>
      </c>
      <c r="B11915" s="30" t="s">
        <v>1226</v>
      </c>
      <c r="D11915" s="30" t="s">
        <v>2024</v>
      </c>
      <c r="F11915" s="30" t="s">
        <v>1040</v>
      </c>
      <c r="G11915" s="30" t="s">
        <v>1061</v>
      </c>
      <c r="H11915" s="30" t="s">
        <v>17535</v>
      </c>
      <c r="J11915" s="30" t="s">
        <v>17536</v>
      </c>
      <c r="L11915" s="30" t="s">
        <v>815</v>
      </c>
      <c r="N11915" s="30" t="s">
        <v>464</v>
      </c>
      <c r="P11915" s="30" t="s">
        <v>10499</v>
      </c>
      <c r="Q11915" t="s">
        <v>620</v>
      </c>
      <c r="R11915" t="s">
        <v>920</v>
      </c>
      <c r="S11915">
        <v>39</v>
      </c>
      <c r="T11915" s="29" t="str">
        <f t="shared" si="498"/>
        <v>2023.024M.Bunyaviricetes.zip</v>
      </c>
      <c r="U11915" s="29" t="str">
        <f>HYPERLINK("https://ictv.global/taxonomy/taxondetails?taxnode_id=202306374","ictv.global=202306374")</f>
        <v>ictv.global=202306374</v>
      </c>
    </row>
    <row r="11916" spans="1:21">
      <c r="A11916">
        <v>11915</v>
      </c>
      <c r="B11916" s="30" t="s">
        <v>1226</v>
      </c>
      <c r="D11916" s="30" t="s">
        <v>2024</v>
      </c>
      <c r="F11916" s="30" t="s">
        <v>1040</v>
      </c>
      <c r="G11916" s="30" t="s">
        <v>1061</v>
      </c>
      <c r="H11916" s="30" t="s">
        <v>17535</v>
      </c>
      <c r="J11916" s="30" t="s">
        <v>17536</v>
      </c>
      <c r="L11916" s="30" t="s">
        <v>815</v>
      </c>
      <c r="N11916" s="30" t="s">
        <v>464</v>
      </c>
      <c r="P11916" s="30" t="s">
        <v>10500</v>
      </c>
      <c r="Q11916" t="s">
        <v>620</v>
      </c>
      <c r="R11916" t="s">
        <v>920</v>
      </c>
      <c r="S11916">
        <v>39</v>
      </c>
      <c r="T11916" s="29" t="str">
        <f t="shared" si="498"/>
        <v>2023.024M.Bunyaviricetes.zip</v>
      </c>
      <c r="U11916" s="29" t="str">
        <f>HYPERLINK("https://ictv.global/taxonomy/taxondetails?taxnode_id=202300102","ictv.global=202300102")</f>
        <v>ictv.global=202300102</v>
      </c>
    </row>
    <row r="11917" spans="1:21">
      <c r="A11917">
        <v>11916</v>
      </c>
      <c r="B11917" s="30" t="s">
        <v>1226</v>
      </c>
      <c r="D11917" s="30" t="s">
        <v>2024</v>
      </c>
      <c r="F11917" s="30" t="s">
        <v>1040</v>
      </c>
      <c r="G11917" s="30" t="s">
        <v>1061</v>
      </c>
      <c r="H11917" s="30" t="s">
        <v>17535</v>
      </c>
      <c r="J11917" s="30" t="s">
        <v>17536</v>
      </c>
      <c r="L11917" s="30" t="s">
        <v>815</v>
      </c>
      <c r="N11917" s="30" t="s">
        <v>464</v>
      </c>
      <c r="P11917" s="30" t="s">
        <v>10501</v>
      </c>
      <c r="Q11917" t="s">
        <v>620</v>
      </c>
      <c r="R11917" t="s">
        <v>920</v>
      </c>
      <c r="S11917">
        <v>39</v>
      </c>
      <c r="T11917" s="29" t="str">
        <f t="shared" si="498"/>
        <v>2023.024M.Bunyaviricetes.zip</v>
      </c>
      <c r="U11917" s="29" t="str">
        <f>HYPERLINK("https://ictv.global/taxonomy/taxondetails?taxnode_id=202306358","ictv.global=202306358")</f>
        <v>ictv.global=202306358</v>
      </c>
    </row>
    <row r="11918" spans="1:21">
      <c r="A11918">
        <v>11917</v>
      </c>
      <c r="B11918" s="30" t="s">
        <v>1226</v>
      </c>
      <c r="D11918" s="30" t="s">
        <v>2024</v>
      </c>
      <c r="F11918" s="30" t="s">
        <v>1040</v>
      </c>
      <c r="G11918" s="30" t="s">
        <v>1061</v>
      </c>
      <c r="H11918" s="30" t="s">
        <v>17535</v>
      </c>
      <c r="J11918" s="30" t="s">
        <v>17536</v>
      </c>
      <c r="L11918" s="30" t="s">
        <v>815</v>
      </c>
      <c r="N11918" s="30" t="s">
        <v>464</v>
      </c>
      <c r="P11918" s="30" t="s">
        <v>10502</v>
      </c>
      <c r="Q11918" t="s">
        <v>620</v>
      </c>
      <c r="R11918" t="s">
        <v>920</v>
      </c>
      <c r="S11918">
        <v>39</v>
      </c>
      <c r="T11918" s="29" t="str">
        <f t="shared" si="498"/>
        <v>2023.024M.Bunyaviricetes.zip</v>
      </c>
      <c r="U11918" s="29" t="str">
        <f>HYPERLINK("https://ictv.global/taxonomy/taxondetails?taxnode_id=202300104","ictv.global=202300104")</f>
        <v>ictv.global=202300104</v>
      </c>
    </row>
    <row r="11919" spans="1:21">
      <c r="A11919">
        <v>11918</v>
      </c>
      <c r="B11919" s="30" t="s">
        <v>1226</v>
      </c>
      <c r="D11919" s="30" t="s">
        <v>2024</v>
      </c>
      <c r="F11919" s="30" t="s">
        <v>1040</v>
      </c>
      <c r="G11919" s="30" t="s">
        <v>1061</v>
      </c>
      <c r="H11919" s="30" t="s">
        <v>17535</v>
      </c>
      <c r="J11919" s="30" t="s">
        <v>17536</v>
      </c>
      <c r="L11919" s="30" t="s">
        <v>815</v>
      </c>
      <c r="N11919" s="30" t="s">
        <v>464</v>
      </c>
      <c r="P11919" s="30" t="s">
        <v>10503</v>
      </c>
      <c r="Q11919" t="s">
        <v>620</v>
      </c>
      <c r="R11919" t="s">
        <v>920</v>
      </c>
      <c r="S11919">
        <v>39</v>
      </c>
      <c r="T11919" s="29" t="str">
        <f t="shared" si="498"/>
        <v>2023.024M.Bunyaviricetes.zip</v>
      </c>
      <c r="U11919" s="29" t="str">
        <f>HYPERLINK("https://ictv.global/taxonomy/taxondetails?taxnode_id=202300105","ictv.global=202300105")</f>
        <v>ictv.global=202300105</v>
      </c>
    </row>
    <row r="11920" spans="1:21">
      <c r="A11920">
        <v>11919</v>
      </c>
      <c r="B11920" s="30" t="s">
        <v>1226</v>
      </c>
      <c r="D11920" s="30" t="s">
        <v>2024</v>
      </c>
      <c r="F11920" s="30" t="s">
        <v>1040</v>
      </c>
      <c r="G11920" s="30" t="s">
        <v>1061</v>
      </c>
      <c r="H11920" s="30" t="s">
        <v>17535</v>
      </c>
      <c r="J11920" s="30" t="s">
        <v>17536</v>
      </c>
      <c r="L11920" s="30" t="s">
        <v>815</v>
      </c>
      <c r="N11920" s="30" t="s">
        <v>464</v>
      </c>
      <c r="P11920" s="30" t="s">
        <v>10504</v>
      </c>
      <c r="Q11920" t="s">
        <v>620</v>
      </c>
      <c r="R11920" t="s">
        <v>920</v>
      </c>
      <c r="S11920">
        <v>39</v>
      </c>
      <c r="T11920" s="29" t="str">
        <f t="shared" si="498"/>
        <v>2023.024M.Bunyaviricetes.zip</v>
      </c>
      <c r="U11920" s="29" t="str">
        <f>HYPERLINK("https://ictv.global/taxonomy/taxondetails?taxnode_id=202306375","ictv.global=202306375")</f>
        <v>ictv.global=202306375</v>
      </c>
    </row>
    <row r="11921" spans="1:21">
      <c r="A11921">
        <v>11920</v>
      </c>
      <c r="B11921" s="30" t="s">
        <v>1226</v>
      </c>
      <c r="D11921" s="30" t="s">
        <v>2024</v>
      </c>
      <c r="F11921" s="30" t="s">
        <v>1040</v>
      </c>
      <c r="G11921" s="30" t="s">
        <v>1061</v>
      </c>
      <c r="H11921" s="30" t="s">
        <v>17535</v>
      </c>
      <c r="J11921" s="30" t="s">
        <v>17536</v>
      </c>
      <c r="L11921" s="30" t="s">
        <v>815</v>
      </c>
      <c r="N11921" s="30" t="s">
        <v>464</v>
      </c>
      <c r="P11921" s="30" t="s">
        <v>10505</v>
      </c>
      <c r="Q11921" t="s">
        <v>620</v>
      </c>
      <c r="R11921" t="s">
        <v>920</v>
      </c>
      <c r="S11921">
        <v>39</v>
      </c>
      <c r="T11921" s="29" t="str">
        <f t="shared" si="498"/>
        <v>2023.024M.Bunyaviricetes.zip</v>
      </c>
      <c r="U11921" s="29" t="str">
        <f>HYPERLINK("https://ictv.global/taxonomy/taxondetails?taxnode_id=202300106","ictv.global=202300106")</f>
        <v>ictv.global=202300106</v>
      </c>
    </row>
    <row r="11922" spans="1:21">
      <c r="A11922">
        <v>11921</v>
      </c>
      <c r="B11922" s="30" t="s">
        <v>1226</v>
      </c>
      <c r="D11922" s="30" t="s">
        <v>2024</v>
      </c>
      <c r="F11922" s="30" t="s">
        <v>1040</v>
      </c>
      <c r="G11922" s="30" t="s">
        <v>1061</v>
      </c>
      <c r="H11922" s="30" t="s">
        <v>17535</v>
      </c>
      <c r="J11922" s="30" t="s">
        <v>17536</v>
      </c>
      <c r="L11922" s="30" t="s">
        <v>815</v>
      </c>
      <c r="N11922" s="30" t="s">
        <v>464</v>
      </c>
      <c r="P11922" s="30" t="s">
        <v>10506</v>
      </c>
      <c r="Q11922" t="s">
        <v>620</v>
      </c>
      <c r="R11922" t="s">
        <v>920</v>
      </c>
      <c r="S11922">
        <v>39</v>
      </c>
      <c r="T11922" s="29" t="str">
        <f t="shared" si="498"/>
        <v>2023.024M.Bunyaviricetes.zip</v>
      </c>
      <c r="U11922" s="29" t="str">
        <f>HYPERLINK("https://ictv.global/taxonomy/taxondetails?taxnode_id=202300093","ictv.global=202300093")</f>
        <v>ictv.global=202300093</v>
      </c>
    </row>
    <row r="11923" spans="1:21">
      <c r="A11923">
        <v>11922</v>
      </c>
      <c r="B11923" s="30" t="s">
        <v>1226</v>
      </c>
      <c r="D11923" s="30" t="s">
        <v>2024</v>
      </c>
      <c r="F11923" s="30" t="s">
        <v>1040</v>
      </c>
      <c r="G11923" s="30" t="s">
        <v>1061</v>
      </c>
      <c r="H11923" s="30" t="s">
        <v>17535</v>
      </c>
      <c r="J11923" s="30" t="s">
        <v>17536</v>
      </c>
      <c r="L11923" s="30" t="s">
        <v>815</v>
      </c>
      <c r="N11923" s="30" t="s">
        <v>464</v>
      </c>
      <c r="P11923" s="30" t="s">
        <v>10507</v>
      </c>
      <c r="Q11923" t="s">
        <v>620</v>
      </c>
      <c r="R11923" t="s">
        <v>920</v>
      </c>
      <c r="S11923">
        <v>39</v>
      </c>
      <c r="T11923" s="29" t="str">
        <f t="shared" si="498"/>
        <v>2023.024M.Bunyaviricetes.zip</v>
      </c>
      <c r="U11923" s="29" t="str">
        <f>HYPERLINK("https://ictv.global/taxonomy/taxondetails?taxnode_id=202314221","ictv.global=202314221")</f>
        <v>ictv.global=202314221</v>
      </c>
    </row>
    <row r="11924" spans="1:21">
      <c r="A11924">
        <v>11923</v>
      </c>
      <c r="B11924" s="30" t="s">
        <v>1226</v>
      </c>
      <c r="D11924" s="30" t="s">
        <v>2024</v>
      </c>
      <c r="F11924" s="30" t="s">
        <v>1040</v>
      </c>
      <c r="G11924" s="30" t="s">
        <v>1061</v>
      </c>
      <c r="H11924" s="30" t="s">
        <v>17535</v>
      </c>
      <c r="J11924" s="30" t="s">
        <v>17536</v>
      </c>
      <c r="L11924" s="30" t="s">
        <v>815</v>
      </c>
      <c r="N11924" s="30" t="s">
        <v>464</v>
      </c>
      <c r="P11924" s="30" t="s">
        <v>10508</v>
      </c>
      <c r="Q11924" t="s">
        <v>620</v>
      </c>
      <c r="R11924" t="s">
        <v>920</v>
      </c>
      <c r="S11924">
        <v>39</v>
      </c>
      <c r="T11924" s="29" t="str">
        <f t="shared" si="498"/>
        <v>2023.024M.Bunyaviricetes.zip</v>
      </c>
      <c r="U11924" s="29" t="str">
        <f>HYPERLINK("https://ictv.global/taxonomy/taxondetails?taxnode_id=202300103","ictv.global=202300103")</f>
        <v>ictv.global=202300103</v>
      </c>
    </row>
    <row r="11925" spans="1:21">
      <c r="A11925">
        <v>11924</v>
      </c>
      <c r="B11925" s="30" t="s">
        <v>1226</v>
      </c>
      <c r="D11925" s="30" t="s">
        <v>2024</v>
      </c>
      <c r="F11925" s="30" t="s">
        <v>1040</v>
      </c>
      <c r="G11925" s="30" t="s">
        <v>1061</v>
      </c>
      <c r="H11925" s="30" t="s">
        <v>17535</v>
      </c>
      <c r="J11925" s="30" t="s">
        <v>17536</v>
      </c>
      <c r="L11925" s="30" t="s">
        <v>815</v>
      </c>
      <c r="N11925" s="30" t="s">
        <v>464</v>
      </c>
      <c r="P11925" s="30" t="s">
        <v>10509</v>
      </c>
      <c r="Q11925" t="s">
        <v>620</v>
      </c>
      <c r="R11925" t="s">
        <v>920</v>
      </c>
      <c r="S11925">
        <v>39</v>
      </c>
      <c r="T11925" s="29" t="str">
        <f t="shared" si="498"/>
        <v>2023.024M.Bunyaviricetes.zip</v>
      </c>
      <c r="U11925" s="29" t="str">
        <f>HYPERLINK("https://ictv.global/taxonomy/taxondetails?taxnode_id=202306597","ictv.global=202306597")</f>
        <v>ictv.global=202306597</v>
      </c>
    </row>
    <row r="11926" spans="1:21">
      <c r="A11926">
        <v>11925</v>
      </c>
      <c r="B11926" s="30" t="s">
        <v>1226</v>
      </c>
      <c r="D11926" s="30" t="s">
        <v>2024</v>
      </c>
      <c r="F11926" s="30" t="s">
        <v>1040</v>
      </c>
      <c r="G11926" s="30" t="s">
        <v>1061</v>
      </c>
      <c r="H11926" s="30" t="s">
        <v>17535</v>
      </c>
      <c r="J11926" s="30" t="s">
        <v>17536</v>
      </c>
      <c r="L11926" s="30" t="s">
        <v>815</v>
      </c>
      <c r="N11926" s="30" t="s">
        <v>464</v>
      </c>
      <c r="P11926" s="30" t="s">
        <v>10510</v>
      </c>
      <c r="Q11926" t="s">
        <v>620</v>
      </c>
      <c r="R11926" t="s">
        <v>920</v>
      </c>
      <c r="S11926">
        <v>39</v>
      </c>
      <c r="T11926" s="29" t="str">
        <f t="shared" si="498"/>
        <v>2023.024M.Bunyaviricetes.zip</v>
      </c>
      <c r="U11926" s="29" t="str">
        <f>HYPERLINK("https://ictv.global/taxonomy/taxondetails?taxnode_id=202306378","ictv.global=202306378")</f>
        <v>ictv.global=202306378</v>
      </c>
    </row>
    <row r="11927" spans="1:21">
      <c r="A11927">
        <v>11926</v>
      </c>
      <c r="B11927" s="30" t="s">
        <v>1226</v>
      </c>
      <c r="D11927" s="30" t="s">
        <v>2024</v>
      </c>
      <c r="F11927" s="30" t="s">
        <v>1040</v>
      </c>
      <c r="G11927" s="30" t="s">
        <v>1061</v>
      </c>
      <c r="H11927" s="30" t="s">
        <v>17535</v>
      </c>
      <c r="J11927" s="30" t="s">
        <v>17536</v>
      </c>
      <c r="L11927" s="30" t="s">
        <v>815</v>
      </c>
      <c r="N11927" s="30" t="s">
        <v>464</v>
      </c>
      <c r="P11927" s="30" t="s">
        <v>10511</v>
      </c>
      <c r="Q11927" t="s">
        <v>620</v>
      </c>
      <c r="R11927" t="s">
        <v>920</v>
      </c>
      <c r="S11927">
        <v>39</v>
      </c>
      <c r="T11927" s="29" t="str">
        <f t="shared" si="498"/>
        <v>2023.024M.Bunyaviricetes.zip</v>
      </c>
      <c r="U11927" s="29" t="str">
        <f>HYPERLINK("https://ictv.global/taxonomy/taxondetails?taxnode_id=202300108","ictv.global=202300108")</f>
        <v>ictv.global=202300108</v>
      </c>
    </row>
    <row r="11928" spans="1:21">
      <c r="A11928">
        <v>11927</v>
      </c>
      <c r="B11928" s="30" t="s">
        <v>1226</v>
      </c>
      <c r="D11928" s="30" t="s">
        <v>2024</v>
      </c>
      <c r="F11928" s="30" t="s">
        <v>1040</v>
      </c>
      <c r="G11928" s="30" t="s">
        <v>1061</v>
      </c>
      <c r="H11928" s="30" t="s">
        <v>17535</v>
      </c>
      <c r="J11928" s="30" t="s">
        <v>17536</v>
      </c>
      <c r="L11928" s="30" t="s">
        <v>815</v>
      </c>
      <c r="N11928" s="30" t="s">
        <v>464</v>
      </c>
      <c r="P11928" s="30" t="s">
        <v>10512</v>
      </c>
      <c r="Q11928" t="s">
        <v>620</v>
      </c>
      <c r="R11928" t="s">
        <v>920</v>
      </c>
      <c r="S11928">
        <v>39</v>
      </c>
      <c r="T11928" s="29" t="str">
        <f t="shared" si="498"/>
        <v>2023.024M.Bunyaviricetes.zip</v>
      </c>
      <c r="U11928" s="29" t="str">
        <f>HYPERLINK("https://ictv.global/taxonomy/taxondetails?taxnode_id=202309321","ictv.global=202309321")</f>
        <v>ictv.global=202309321</v>
      </c>
    </row>
    <row r="11929" spans="1:21">
      <c r="A11929">
        <v>11928</v>
      </c>
      <c r="B11929" s="30" t="s">
        <v>1226</v>
      </c>
      <c r="D11929" s="30" t="s">
        <v>2024</v>
      </c>
      <c r="F11929" s="30" t="s">
        <v>1040</v>
      </c>
      <c r="G11929" s="30" t="s">
        <v>1061</v>
      </c>
      <c r="H11929" s="30" t="s">
        <v>17535</v>
      </c>
      <c r="J11929" s="30" t="s">
        <v>17536</v>
      </c>
      <c r="L11929" s="30" t="s">
        <v>815</v>
      </c>
      <c r="N11929" s="30" t="s">
        <v>464</v>
      </c>
      <c r="P11929" s="30" t="s">
        <v>10513</v>
      </c>
      <c r="Q11929" t="s">
        <v>620</v>
      </c>
      <c r="R11929" t="s">
        <v>920</v>
      </c>
      <c r="S11929">
        <v>39</v>
      </c>
      <c r="T11929" s="29" t="str">
        <f t="shared" si="498"/>
        <v>2023.024M.Bunyaviricetes.zip</v>
      </c>
      <c r="U11929" s="29" t="str">
        <f>HYPERLINK("https://ictv.global/taxonomy/taxondetails?taxnode_id=202300109","ictv.global=202300109")</f>
        <v>ictv.global=202300109</v>
      </c>
    </row>
    <row r="11930" spans="1:21">
      <c r="A11930">
        <v>11929</v>
      </c>
      <c r="B11930" s="30" t="s">
        <v>1226</v>
      </c>
      <c r="D11930" s="30" t="s">
        <v>2024</v>
      </c>
      <c r="F11930" s="30" t="s">
        <v>1040</v>
      </c>
      <c r="G11930" s="30" t="s">
        <v>1061</v>
      </c>
      <c r="H11930" s="30" t="s">
        <v>17535</v>
      </c>
      <c r="J11930" s="30" t="s">
        <v>17536</v>
      </c>
      <c r="L11930" s="30" t="s">
        <v>815</v>
      </c>
      <c r="N11930" s="30" t="s">
        <v>464</v>
      </c>
      <c r="P11930" s="30" t="s">
        <v>10514</v>
      </c>
      <c r="Q11930" t="s">
        <v>620</v>
      </c>
      <c r="R11930" t="s">
        <v>920</v>
      </c>
      <c r="S11930">
        <v>39</v>
      </c>
      <c r="T11930" s="29" t="str">
        <f t="shared" si="498"/>
        <v>2023.024M.Bunyaviricetes.zip</v>
      </c>
      <c r="U11930" s="29" t="str">
        <f>HYPERLINK("https://ictv.global/taxonomy/taxondetails?taxnode_id=202300110","ictv.global=202300110")</f>
        <v>ictv.global=202300110</v>
      </c>
    </row>
    <row r="11931" spans="1:21">
      <c r="A11931">
        <v>11930</v>
      </c>
      <c r="B11931" s="30" t="s">
        <v>1226</v>
      </c>
      <c r="D11931" s="30" t="s">
        <v>2024</v>
      </c>
      <c r="F11931" s="30" t="s">
        <v>1040</v>
      </c>
      <c r="G11931" s="30" t="s">
        <v>1061</v>
      </c>
      <c r="H11931" s="30" t="s">
        <v>17535</v>
      </c>
      <c r="J11931" s="30" t="s">
        <v>17536</v>
      </c>
      <c r="L11931" s="30" t="s">
        <v>815</v>
      </c>
      <c r="N11931" s="30" t="s">
        <v>464</v>
      </c>
      <c r="P11931" s="30" t="s">
        <v>10515</v>
      </c>
      <c r="Q11931" t="s">
        <v>620</v>
      </c>
      <c r="R11931" t="s">
        <v>920</v>
      </c>
      <c r="S11931">
        <v>39</v>
      </c>
      <c r="T11931" s="29" t="str">
        <f t="shared" si="498"/>
        <v>2023.024M.Bunyaviricetes.zip</v>
      </c>
      <c r="U11931" s="29" t="str">
        <f>HYPERLINK("https://ictv.global/taxonomy/taxondetails?taxnode_id=202314225","ictv.global=202314225")</f>
        <v>ictv.global=202314225</v>
      </c>
    </row>
    <row r="11932" spans="1:21">
      <c r="A11932">
        <v>11931</v>
      </c>
      <c r="B11932" s="30" t="s">
        <v>1226</v>
      </c>
      <c r="D11932" s="30" t="s">
        <v>2024</v>
      </c>
      <c r="F11932" s="30" t="s">
        <v>1040</v>
      </c>
      <c r="G11932" s="30" t="s">
        <v>1061</v>
      </c>
      <c r="H11932" s="30" t="s">
        <v>17535</v>
      </c>
      <c r="J11932" s="30" t="s">
        <v>17536</v>
      </c>
      <c r="L11932" s="30" t="s">
        <v>815</v>
      </c>
      <c r="N11932" s="30" t="s">
        <v>464</v>
      </c>
      <c r="P11932" s="30" t="s">
        <v>10516</v>
      </c>
      <c r="Q11932" t="s">
        <v>620</v>
      </c>
      <c r="R11932" t="s">
        <v>920</v>
      </c>
      <c r="S11932">
        <v>39</v>
      </c>
      <c r="T11932" s="29" t="str">
        <f t="shared" si="498"/>
        <v>2023.024M.Bunyaviricetes.zip</v>
      </c>
      <c r="U11932" s="29" t="str">
        <f>HYPERLINK("https://ictv.global/taxonomy/taxondetails?taxnode_id=202300111","ictv.global=202300111")</f>
        <v>ictv.global=202300111</v>
      </c>
    </row>
    <row r="11933" spans="1:21">
      <c r="A11933">
        <v>11932</v>
      </c>
      <c r="B11933" s="30" t="s">
        <v>1226</v>
      </c>
      <c r="D11933" s="30" t="s">
        <v>2024</v>
      </c>
      <c r="F11933" s="30" t="s">
        <v>1040</v>
      </c>
      <c r="G11933" s="30" t="s">
        <v>1061</v>
      </c>
      <c r="H11933" s="30" t="s">
        <v>17535</v>
      </c>
      <c r="J11933" s="30" t="s">
        <v>17536</v>
      </c>
      <c r="L11933" s="30" t="s">
        <v>815</v>
      </c>
      <c r="N11933" s="30" t="s">
        <v>464</v>
      </c>
      <c r="P11933" s="30" t="s">
        <v>10517</v>
      </c>
      <c r="Q11933" t="s">
        <v>620</v>
      </c>
      <c r="R11933" t="s">
        <v>920</v>
      </c>
      <c r="S11933">
        <v>39</v>
      </c>
      <c r="T11933" s="29" t="str">
        <f t="shared" si="498"/>
        <v>2023.024M.Bunyaviricetes.zip</v>
      </c>
      <c r="U11933" s="29" t="str">
        <f>HYPERLINK("https://ictv.global/taxonomy/taxondetails?taxnode_id=202314231","ictv.global=202314231")</f>
        <v>ictv.global=202314231</v>
      </c>
    </row>
    <row r="11934" spans="1:21">
      <c r="A11934">
        <v>11933</v>
      </c>
      <c r="B11934" s="30" t="s">
        <v>1226</v>
      </c>
      <c r="D11934" s="30" t="s">
        <v>2024</v>
      </c>
      <c r="F11934" s="30" t="s">
        <v>1040</v>
      </c>
      <c r="G11934" s="30" t="s">
        <v>1061</v>
      </c>
      <c r="H11934" s="30" t="s">
        <v>17535</v>
      </c>
      <c r="J11934" s="30" t="s">
        <v>17536</v>
      </c>
      <c r="L11934" s="30" t="s">
        <v>815</v>
      </c>
      <c r="N11934" s="30" t="s">
        <v>464</v>
      </c>
      <c r="P11934" s="30" t="s">
        <v>10518</v>
      </c>
      <c r="Q11934" t="s">
        <v>620</v>
      </c>
      <c r="R11934" t="s">
        <v>920</v>
      </c>
      <c r="S11934">
        <v>39</v>
      </c>
      <c r="T11934" s="29" t="str">
        <f t="shared" si="498"/>
        <v>2023.024M.Bunyaviricetes.zip</v>
      </c>
      <c r="U11934" s="29" t="str">
        <f>HYPERLINK("https://ictv.global/taxonomy/taxondetails?taxnode_id=202314246","ictv.global=202314246")</f>
        <v>ictv.global=202314246</v>
      </c>
    </row>
    <row r="11935" spans="1:21">
      <c r="A11935">
        <v>11934</v>
      </c>
      <c r="B11935" s="30" t="s">
        <v>1226</v>
      </c>
      <c r="D11935" s="30" t="s">
        <v>2024</v>
      </c>
      <c r="F11935" s="30" t="s">
        <v>1040</v>
      </c>
      <c r="G11935" s="30" t="s">
        <v>1061</v>
      </c>
      <c r="H11935" s="30" t="s">
        <v>17535</v>
      </c>
      <c r="J11935" s="30" t="s">
        <v>17536</v>
      </c>
      <c r="L11935" s="30" t="s">
        <v>815</v>
      </c>
      <c r="N11935" s="30" t="s">
        <v>464</v>
      </c>
      <c r="P11935" s="30" t="s">
        <v>10519</v>
      </c>
      <c r="Q11935" t="s">
        <v>620</v>
      </c>
      <c r="R11935" t="s">
        <v>920</v>
      </c>
      <c r="S11935">
        <v>39</v>
      </c>
      <c r="T11935" s="29" t="str">
        <f t="shared" ref="T11935:T11966" si="499">HYPERLINK("https://ictv.global/ictv/proposals/2023.024M.Bunyaviricetes.zip","2023.024M.Bunyaviricetes.zip")</f>
        <v>2023.024M.Bunyaviricetes.zip</v>
      </c>
      <c r="U11935" s="29" t="str">
        <f>HYPERLINK("https://ictv.global/taxonomy/taxondetails?taxnode_id=202300092","ictv.global=202300092")</f>
        <v>ictv.global=202300092</v>
      </c>
    </row>
    <row r="11936" spans="1:21">
      <c r="A11936">
        <v>11935</v>
      </c>
      <c r="B11936" s="30" t="s">
        <v>1226</v>
      </c>
      <c r="D11936" s="30" t="s">
        <v>2024</v>
      </c>
      <c r="F11936" s="30" t="s">
        <v>1040</v>
      </c>
      <c r="G11936" s="30" t="s">
        <v>1061</v>
      </c>
      <c r="H11936" s="30" t="s">
        <v>17535</v>
      </c>
      <c r="J11936" s="30" t="s">
        <v>17536</v>
      </c>
      <c r="L11936" s="30" t="s">
        <v>815</v>
      </c>
      <c r="N11936" s="30" t="s">
        <v>464</v>
      </c>
      <c r="P11936" s="30" t="s">
        <v>10520</v>
      </c>
      <c r="Q11936" t="s">
        <v>620</v>
      </c>
      <c r="R11936" t="s">
        <v>920</v>
      </c>
      <c r="S11936">
        <v>39</v>
      </c>
      <c r="T11936" s="29" t="str">
        <f t="shared" si="499"/>
        <v>2023.024M.Bunyaviricetes.zip</v>
      </c>
      <c r="U11936" s="29" t="str">
        <f>HYPERLINK("https://ictv.global/taxonomy/taxondetails?taxnode_id=202306385","ictv.global=202306385")</f>
        <v>ictv.global=202306385</v>
      </c>
    </row>
    <row r="11937" spans="1:21">
      <c r="A11937">
        <v>11936</v>
      </c>
      <c r="B11937" s="30" t="s">
        <v>1226</v>
      </c>
      <c r="D11937" s="30" t="s">
        <v>2024</v>
      </c>
      <c r="F11937" s="30" t="s">
        <v>1040</v>
      </c>
      <c r="G11937" s="30" t="s">
        <v>1061</v>
      </c>
      <c r="H11937" s="30" t="s">
        <v>17535</v>
      </c>
      <c r="J11937" s="30" t="s">
        <v>17536</v>
      </c>
      <c r="L11937" s="30" t="s">
        <v>815</v>
      </c>
      <c r="N11937" s="30" t="s">
        <v>464</v>
      </c>
      <c r="P11937" s="30" t="s">
        <v>10521</v>
      </c>
      <c r="Q11937" t="s">
        <v>620</v>
      </c>
      <c r="R11937" t="s">
        <v>920</v>
      </c>
      <c r="S11937">
        <v>39</v>
      </c>
      <c r="T11937" s="29" t="str">
        <f t="shared" si="499"/>
        <v>2023.024M.Bunyaviricetes.zip</v>
      </c>
      <c r="U11937" s="29" t="str">
        <f>HYPERLINK("https://ictv.global/taxonomy/taxondetails?taxnode_id=202306360","ictv.global=202306360")</f>
        <v>ictv.global=202306360</v>
      </c>
    </row>
    <row r="11938" spans="1:21">
      <c r="A11938">
        <v>11937</v>
      </c>
      <c r="B11938" s="30" t="s">
        <v>1226</v>
      </c>
      <c r="D11938" s="30" t="s">
        <v>2024</v>
      </c>
      <c r="F11938" s="30" t="s">
        <v>1040</v>
      </c>
      <c r="G11938" s="30" t="s">
        <v>1061</v>
      </c>
      <c r="H11938" s="30" t="s">
        <v>17535</v>
      </c>
      <c r="J11938" s="30" t="s">
        <v>17536</v>
      </c>
      <c r="L11938" s="30" t="s">
        <v>815</v>
      </c>
      <c r="N11938" s="30" t="s">
        <v>464</v>
      </c>
      <c r="P11938" s="30" t="s">
        <v>10522</v>
      </c>
      <c r="Q11938" t="s">
        <v>620</v>
      </c>
      <c r="R11938" t="s">
        <v>920</v>
      </c>
      <c r="S11938">
        <v>39</v>
      </c>
      <c r="T11938" s="29" t="str">
        <f t="shared" si="499"/>
        <v>2023.024M.Bunyaviricetes.zip</v>
      </c>
      <c r="U11938" s="29" t="str">
        <f>HYPERLINK("https://ictv.global/taxonomy/taxondetails?taxnode_id=202314245","ictv.global=202314245")</f>
        <v>ictv.global=202314245</v>
      </c>
    </row>
    <row r="11939" spans="1:21">
      <c r="A11939">
        <v>11938</v>
      </c>
      <c r="B11939" s="30" t="s">
        <v>1226</v>
      </c>
      <c r="D11939" s="30" t="s">
        <v>2024</v>
      </c>
      <c r="F11939" s="30" t="s">
        <v>1040</v>
      </c>
      <c r="G11939" s="30" t="s">
        <v>1061</v>
      </c>
      <c r="H11939" s="30" t="s">
        <v>17535</v>
      </c>
      <c r="J11939" s="30" t="s">
        <v>17536</v>
      </c>
      <c r="L11939" s="30" t="s">
        <v>815</v>
      </c>
      <c r="N11939" s="30" t="s">
        <v>464</v>
      </c>
      <c r="P11939" s="30" t="s">
        <v>10523</v>
      </c>
      <c r="Q11939" t="s">
        <v>620</v>
      </c>
      <c r="R11939" t="s">
        <v>920</v>
      </c>
      <c r="S11939">
        <v>39</v>
      </c>
      <c r="T11939" s="29" t="str">
        <f t="shared" si="499"/>
        <v>2023.024M.Bunyaviricetes.zip</v>
      </c>
      <c r="U11939" s="29" t="str">
        <f>HYPERLINK("https://ictv.global/taxonomy/taxondetails?taxnode_id=202306376","ictv.global=202306376")</f>
        <v>ictv.global=202306376</v>
      </c>
    </row>
    <row r="11940" spans="1:21">
      <c r="A11940">
        <v>11939</v>
      </c>
      <c r="B11940" s="30" t="s">
        <v>1226</v>
      </c>
      <c r="D11940" s="30" t="s">
        <v>2024</v>
      </c>
      <c r="F11940" s="30" t="s">
        <v>1040</v>
      </c>
      <c r="G11940" s="30" t="s">
        <v>1061</v>
      </c>
      <c r="H11940" s="30" t="s">
        <v>17535</v>
      </c>
      <c r="J11940" s="30" t="s">
        <v>17536</v>
      </c>
      <c r="L11940" s="30" t="s">
        <v>815</v>
      </c>
      <c r="N11940" s="30" t="s">
        <v>464</v>
      </c>
      <c r="P11940" s="30" t="s">
        <v>10524</v>
      </c>
      <c r="Q11940" t="s">
        <v>620</v>
      </c>
      <c r="R11940" t="s">
        <v>920</v>
      </c>
      <c r="S11940">
        <v>39</v>
      </c>
      <c r="T11940" s="29" t="str">
        <f t="shared" si="499"/>
        <v>2023.024M.Bunyaviricetes.zip</v>
      </c>
      <c r="U11940" s="29" t="str">
        <f>HYPERLINK("https://ictv.global/taxonomy/taxondetails?taxnode_id=202300113","ictv.global=202300113")</f>
        <v>ictv.global=202300113</v>
      </c>
    </row>
    <row r="11941" spans="1:21">
      <c r="A11941">
        <v>11940</v>
      </c>
      <c r="B11941" s="30" t="s">
        <v>1226</v>
      </c>
      <c r="D11941" s="30" t="s">
        <v>2024</v>
      </c>
      <c r="F11941" s="30" t="s">
        <v>1040</v>
      </c>
      <c r="G11941" s="30" t="s">
        <v>1061</v>
      </c>
      <c r="H11941" s="30" t="s">
        <v>17535</v>
      </c>
      <c r="J11941" s="30" t="s">
        <v>17536</v>
      </c>
      <c r="L11941" s="30" t="s">
        <v>815</v>
      </c>
      <c r="N11941" s="30" t="s">
        <v>464</v>
      </c>
      <c r="P11941" s="30" t="s">
        <v>10525</v>
      </c>
      <c r="Q11941" t="s">
        <v>620</v>
      </c>
      <c r="R11941" t="s">
        <v>920</v>
      </c>
      <c r="S11941">
        <v>39</v>
      </c>
      <c r="T11941" s="29" t="str">
        <f t="shared" si="499"/>
        <v>2023.024M.Bunyaviricetes.zip</v>
      </c>
      <c r="U11941" s="29" t="str">
        <f>HYPERLINK("https://ictv.global/taxonomy/taxondetails?taxnode_id=202306364","ictv.global=202306364")</f>
        <v>ictv.global=202306364</v>
      </c>
    </row>
    <row r="11942" spans="1:21">
      <c r="A11942">
        <v>11941</v>
      </c>
      <c r="B11942" s="30" t="s">
        <v>1226</v>
      </c>
      <c r="D11942" s="30" t="s">
        <v>2024</v>
      </c>
      <c r="F11942" s="30" t="s">
        <v>1040</v>
      </c>
      <c r="G11942" s="30" t="s">
        <v>1061</v>
      </c>
      <c r="H11942" s="30" t="s">
        <v>17535</v>
      </c>
      <c r="J11942" s="30" t="s">
        <v>17536</v>
      </c>
      <c r="L11942" s="30" t="s">
        <v>815</v>
      </c>
      <c r="N11942" s="30" t="s">
        <v>464</v>
      </c>
      <c r="P11942" s="30" t="s">
        <v>10526</v>
      </c>
      <c r="Q11942" t="s">
        <v>620</v>
      </c>
      <c r="R11942" t="s">
        <v>920</v>
      </c>
      <c r="S11942">
        <v>39</v>
      </c>
      <c r="T11942" s="29" t="str">
        <f t="shared" si="499"/>
        <v>2023.024M.Bunyaviricetes.zip</v>
      </c>
      <c r="U11942" s="29" t="str">
        <f>HYPERLINK("https://ictv.global/taxonomy/taxondetails?taxnode_id=202306388","ictv.global=202306388")</f>
        <v>ictv.global=202306388</v>
      </c>
    </row>
    <row r="11943" spans="1:21">
      <c r="A11943">
        <v>11942</v>
      </c>
      <c r="B11943" s="30" t="s">
        <v>1226</v>
      </c>
      <c r="D11943" s="30" t="s">
        <v>2024</v>
      </c>
      <c r="F11943" s="30" t="s">
        <v>1040</v>
      </c>
      <c r="G11943" s="30" t="s">
        <v>1061</v>
      </c>
      <c r="H11943" s="30" t="s">
        <v>17535</v>
      </c>
      <c r="J11943" s="30" t="s">
        <v>17536</v>
      </c>
      <c r="L11943" s="30" t="s">
        <v>815</v>
      </c>
      <c r="N11943" s="30" t="s">
        <v>464</v>
      </c>
      <c r="P11943" s="30" t="s">
        <v>10527</v>
      </c>
      <c r="Q11943" t="s">
        <v>620</v>
      </c>
      <c r="R11943" t="s">
        <v>920</v>
      </c>
      <c r="S11943">
        <v>39</v>
      </c>
      <c r="T11943" s="29" t="str">
        <f t="shared" si="499"/>
        <v>2023.024M.Bunyaviricetes.zip</v>
      </c>
      <c r="U11943" s="29" t="str">
        <f>HYPERLINK("https://ictv.global/taxonomy/taxondetails?taxnode_id=202314230","ictv.global=202314230")</f>
        <v>ictv.global=202314230</v>
      </c>
    </row>
    <row r="11944" spans="1:21">
      <c r="A11944">
        <v>11943</v>
      </c>
      <c r="B11944" s="30" t="s">
        <v>1226</v>
      </c>
      <c r="D11944" s="30" t="s">
        <v>2024</v>
      </c>
      <c r="F11944" s="30" t="s">
        <v>1040</v>
      </c>
      <c r="G11944" s="30" t="s">
        <v>1061</v>
      </c>
      <c r="H11944" s="30" t="s">
        <v>17535</v>
      </c>
      <c r="J11944" s="30" t="s">
        <v>17536</v>
      </c>
      <c r="L11944" s="30" t="s">
        <v>815</v>
      </c>
      <c r="N11944" s="30" t="s">
        <v>464</v>
      </c>
      <c r="P11944" s="30" t="s">
        <v>10528</v>
      </c>
      <c r="Q11944" t="s">
        <v>620</v>
      </c>
      <c r="R11944" t="s">
        <v>920</v>
      </c>
      <c r="S11944">
        <v>39</v>
      </c>
      <c r="T11944" s="29" t="str">
        <f t="shared" si="499"/>
        <v>2023.024M.Bunyaviricetes.zip</v>
      </c>
      <c r="U11944" s="29" t="str">
        <f>HYPERLINK("https://ictv.global/taxonomy/taxondetails?taxnode_id=202300112","ictv.global=202300112")</f>
        <v>ictv.global=202300112</v>
      </c>
    </row>
    <row r="11945" spans="1:21">
      <c r="A11945">
        <v>11944</v>
      </c>
      <c r="B11945" s="30" t="s">
        <v>1226</v>
      </c>
      <c r="D11945" s="30" t="s">
        <v>2024</v>
      </c>
      <c r="F11945" s="30" t="s">
        <v>1040</v>
      </c>
      <c r="G11945" s="30" t="s">
        <v>1061</v>
      </c>
      <c r="H11945" s="30" t="s">
        <v>17535</v>
      </c>
      <c r="J11945" s="30" t="s">
        <v>17536</v>
      </c>
      <c r="L11945" s="30" t="s">
        <v>815</v>
      </c>
      <c r="N11945" s="30" t="s">
        <v>464</v>
      </c>
      <c r="P11945" s="30" t="s">
        <v>10529</v>
      </c>
      <c r="Q11945" t="s">
        <v>620</v>
      </c>
      <c r="R11945" t="s">
        <v>920</v>
      </c>
      <c r="S11945">
        <v>39</v>
      </c>
      <c r="T11945" s="29" t="str">
        <f t="shared" si="499"/>
        <v>2023.024M.Bunyaviricetes.zip</v>
      </c>
      <c r="U11945" s="29" t="str">
        <f>HYPERLINK("https://ictv.global/taxonomy/taxondetails?taxnode_id=202300116","ictv.global=202300116")</f>
        <v>ictv.global=202300116</v>
      </c>
    </row>
    <row r="11946" spans="1:21">
      <c r="A11946">
        <v>11945</v>
      </c>
      <c r="B11946" s="30" t="s">
        <v>1226</v>
      </c>
      <c r="D11946" s="30" t="s">
        <v>2024</v>
      </c>
      <c r="F11946" s="30" t="s">
        <v>1040</v>
      </c>
      <c r="G11946" s="30" t="s">
        <v>1061</v>
      </c>
      <c r="H11946" s="30" t="s">
        <v>17535</v>
      </c>
      <c r="J11946" s="30" t="s">
        <v>17536</v>
      </c>
      <c r="L11946" s="30" t="s">
        <v>815</v>
      </c>
      <c r="N11946" s="30" t="s">
        <v>464</v>
      </c>
      <c r="P11946" s="30" t="s">
        <v>10530</v>
      </c>
      <c r="Q11946" t="s">
        <v>620</v>
      </c>
      <c r="R11946" t="s">
        <v>920</v>
      </c>
      <c r="S11946">
        <v>39</v>
      </c>
      <c r="T11946" s="29" t="str">
        <f t="shared" si="499"/>
        <v>2023.024M.Bunyaviricetes.zip</v>
      </c>
      <c r="U11946" s="29" t="str">
        <f>HYPERLINK("https://ictv.global/taxonomy/taxondetails?taxnode_id=202314222","ictv.global=202314222")</f>
        <v>ictv.global=202314222</v>
      </c>
    </row>
    <row r="11947" spans="1:21">
      <c r="A11947">
        <v>11946</v>
      </c>
      <c r="B11947" s="30" t="s">
        <v>1226</v>
      </c>
      <c r="D11947" s="30" t="s">
        <v>2024</v>
      </c>
      <c r="F11947" s="30" t="s">
        <v>1040</v>
      </c>
      <c r="G11947" s="30" t="s">
        <v>1061</v>
      </c>
      <c r="H11947" s="30" t="s">
        <v>17535</v>
      </c>
      <c r="J11947" s="30" t="s">
        <v>17536</v>
      </c>
      <c r="L11947" s="30" t="s">
        <v>815</v>
      </c>
      <c r="N11947" s="30" t="s">
        <v>464</v>
      </c>
      <c r="P11947" s="30" t="s">
        <v>10531</v>
      </c>
      <c r="Q11947" t="s">
        <v>620</v>
      </c>
      <c r="R11947" t="s">
        <v>920</v>
      </c>
      <c r="S11947">
        <v>39</v>
      </c>
      <c r="T11947" s="29" t="str">
        <f t="shared" si="499"/>
        <v>2023.024M.Bunyaviricetes.zip</v>
      </c>
      <c r="U11947" s="29" t="str">
        <f>HYPERLINK("https://ictv.global/taxonomy/taxondetails?taxnode_id=202306365","ictv.global=202306365")</f>
        <v>ictv.global=202306365</v>
      </c>
    </row>
    <row r="11948" spans="1:21">
      <c r="A11948">
        <v>11947</v>
      </c>
      <c r="B11948" s="30" t="s">
        <v>1226</v>
      </c>
      <c r="D11948" s="30" t="s">
        <v>2024</v>
      </c>
      <c r="F11948" s="30" t="s">
        <v>1040</v>
      </c>
      <c r="G11948" s="30" t="s">
        <v>1061</v>
      </c>
      <c r="H11948" s="30" t="s">
        <v>17535</v>
      </c>
      <c r="J11948" s="30" t="s">
        <v>17536</v>
      </c>
      <c r="L11948" s="30" t="s">
        <v>815</v>
      </c>
      <c r="N11948" s="30" t="s">
        <v>464</v>
      </c>
      <c r="P11948" s="30" t="s">
        <v>10532</v>
      </c>
      <c r="Q11948" t="s">
        <v>620</v>
      </c>
      <c r="R11948" t="s">
        <v>920</v>
      </c>
      <c r="S11948">
        <v>39</v>
      </c>
      <c r="T11948" s="29" t="str">
        <f t="shared" si="499"/>
        <v>2023.024M.Bunyaviricetes.zip</v>
      </c>
      <c r="U11948" s="29" t="str">
        <f>HYPERLINK("https://ictv.global/taxonomy/taxondetails?taxnode_id=202306371","ictv.global=202306371")</f>
        <v>ictv.global=202306371</v>
      </c>
    </row>
    <row r="11949" spans="1:21">
      <c r="A11949">
        <v>11948</v>
      </c>
      <c r="B11949" s="30" t="s">
        <v>1226</v>
      </c>
      <c r="D11949" s="30" t="s">
        <v>2024</v>
      </c>
      <c r="F11949" s="30" t="s">
        <v>1040</v>
      </c>
      <c r="G11949" s="30" t="s">
        <v>1061</v>
      </c>
      <c r="H11949" s="30" t="s">
        <v>17535</v>
      </c>
      <c r="J11949" s="30" t="s">
        <v>17536</v>
      </c>
      <c r="L11949" s="30" t="s">
        <v>815</v>
      </c>
      <c r="N11949" s="30" t="s">
        <v>464</v>
      </c>
      <c r="P11949" s="30" t="s">
        <v>10533</v>
      </c>
      <c r="Q11949" t="s">
        <v>620</v>
      </c>
      <c r="R11949" t="s">
        <v>920</v>
      </c>
      <c r="S11949">
        <v>39</v>
      </c>
      <c r="T11949" s="29" t="str">
        <f t="shared" si="499"/>
        <v>2023.024M.Bunyaviricetes.zip</v>
      </c>
      <c r="U11949" s="29" t="str">
        <f>HYPERLINK("https://ictv.global/taxonomy/taxondetails?taxnode_id=202300114","ictv.global=202300114")</f>
        <v>ictv.global=202300114</v>
      </c>
    </row>
    <row r="11950" spans="1:21">
      <c r="A11950">
        <v>11949</v>
      </c>
      <c r="B11950" s="30" t="s">
        <v>1226</v>
      </c>
      <c r="D11950" s="30" t="s">
        <v>2024</v>
      </c>
      <c r="F11950" s="30" t="s">
        <v>1040</v>
      </c>
      <c r="G11950" s="30" t="s">
        <v>1061</v>
      </c>
      <c r="H11950" s="30" t="s">
        <v>17535</v>
      </c>
      <c r="J11950" s="30" t="s">
        <v>17536</v>
      </c>
      <c r="L11950" s="30" t="s">
        <v>815</v>
      </c>
      <c r="N11950" s="30" t="s">
        <v>464</v>
      </c>
      <c r="P11950" s="30" t="s">
        <v>10534</v>
      </c>
      <c r="Q11950" t="s">
        <v>620</v>
      </c>
      <c r="R11950" t="s">
        <v>920</v>
      </c>
      <c r="S11950">
        <v>39</v>
      </c>
      <c r="T11950" s="29" t="str">
        <f t="shared" si="499"/>
        <v>2023.024M.Bunyaviricetes.zip</v>
      </c>
      <c r="U11950" s="29" t="str">
        <f>HYPERLINK("https://ictv.global/taxonomy/taxondetails?taxnode_id=202314239","ictv.global=202314239")</f>
        <v>ictv.global=202314239</v>
      </c>
    </row>
    <row r="11951" spans="1:21">
      <c r="A11951">
        <v>11950</v>
      </c>
      <c r="B11951" s="30" t="s">
        <v>1226</v>
      </c>
      <c r="D11951" s="30" t="s">
        <v>2024</v>
      </c>
      <c r="F11951" s="30" t="s">
        <v>1040</v>
      </c>
      <c r="G11951" s="30" t="s">
        <v>1061</v>
      </c>
      <c r="H11951" s="30" t="s">
        <v>17535</v>
      </c>
      <c r="J11951" s="30" t="s">
        <v>17536</v>
      </c>
      <c r="L11951" s="30" t="s">
        <v>815</v>
      </c>
      <c r="N11951" s="30" t="s">
        <v>464</v>
      </c>
      <c r="P11951" s="30" t="s">
        <v>10535</v>
      </c>
      <c r="Q11951" t="s">
        <v>620</v>
      </c>
      <c r="R11951" t="s">
        <v>920</v>
      </c>
      <c r="S11951">
        <v>39</v>
      </c>
      <c r="T11951" s="29" t="str">
        <f t="shared" si="499"/>
        <v>2023.024M.Bunyaviricetes.zip</v>
      </c>
      <c r="U11951" s="29" t="str">
        <f>HYPERLINK("https://ictv.global/taxonomy/taxondetails?taxnode_id=202306366","ictv.global=202306366")</f>
        <v>ictv.global=202306366</v>
      </c>
    </row>
    <row r="11952" spans="1:21">
      <c r="A11952">
        <v>11951</v>
      </c>
      <c r="B11952" s="30" t="s">
        <v>1226</v>
      </c>
      <c r="D11952" s="30" t="s">
        <v>2024</v>
      </c>
      <c r="F11952" s="30" t="s">
        <v>1040</v>
      </c>
      <c r="G11952" s="30" t="s">
        <v>1061</v>
      </c>
      <c r="H11952" s="30" t="s">
        <v>17535</v>
      </c>
      <c r="J11952" s="30" t="s">
        <v>17536</v>
      </c>
      <c r="L11952" s="30" t="s">
        <v>815</v>
      </c>
      <c r="N11952" s="30" t="s">
        <v>464</v>
      </c>
      <c r="P11952" s="30" t="s">
        <v>10536</v>
      </c>
      <c r="Q11952" t="s">
        <v>620</v>
      </c>
      <c r="R11952" t="s">
        <v>920</v>
      </c>
      <c r="S11952">
        <v>39</v>
      </c>
      <c r="T11952" s="29" t="str">
        <f t="shared" si="499"/>
        <v>2023.024M.Bunyaviricetes.zip</v>
      </c>
      <c r="U11952" s="29" t="str">
        <f>HYPERLINK("https://ictv.global/taxonomy/taxondetails?taxnode_id=202314248","ictv.global=202314248")</f>
        <v>ictv.global=202314248</v>
      </c>
    </row>
    <row r="11953" spans="1:21">
      <c r="A11953">
        <v>11952</v>
      </c>
      <c r="B11953" s="30" t="s">
        <v>1226</v>
      </c>
      <c r="D11953" s="30" t="s">
        <v>2024</v>
      </c>
      <c r="F11953" s="30" t="s">
        <v>1040</v>
      </c>
      <c r="G11953" s="30" t="s">
        <v>1061</v>
      </c>
      <c r="H11953" s="30" t="s">
        <v>17535</v>
      </c>
      <c r="J11953" s="30" t="s">
        <v>17536</v>
      </c>
      <c r="L11953" s="30" t="s">
        <v>815</v>
      </c>
      <c r="N11953" s="30" t="s">
        <v>464</v>
      </c>
      <c r="P11953" s="30" t="s">
        <v>10537</v>
      </c>
      <c r="Q11953" t="s">
        <v>620</v>
      </c>
      <c r="R11953" t="s">
        <v>920</v>
      </c>
      <c r="S11953">
        <v>39</v>
      </c>
      <c r="T11953" s="29" t="str">
        <f t="shared" si="499"/>
        <v>2023.024M.Bunyaviricetes.zip</v>
      </c>
      <c r="U11953" s="29" t="str">
        <f>HYPERLINK("https://ictv.global/taxonomy/taxondetails?taxnode_id=202306389","ictv.global=202306389")</f>
        <v>ictv.global=202306389</v>
      </c>
    </row>
    <row r="11954" spans="1:21">
      <c r="A11954">
        <v>11953</v>
      </c>
      <c r="B11954" s="30" t="s">
        <v>1226</v>
      </c>
      <c r="D11954" s="30" t="s">
        <v>2024</v>
      </c>
      <c r="F11954" s="30" t="s">
        <v>1040</v>
      </c>
      <c r="G11954" s="30" t="s">
        <v>1061</v>
      </c>
      <c r="H11954" s="30" t="s">
        <v>17535</v>
      </c>
      <c r="J11954" s="30" t="s">
        <v>17536</v>
      </c>
      <c r="L11954" s="30" t="s">
        <v>815</v>
      </c>
      <c r="N11954" s="30" t="s">
        <v>464</v>
      </c>
      <c r="P11954" s="30" t="s">
        <v>10538</v>
      </c>
      <c r="Q11954" t="s">
        <v>620</v>
      </c>
      <c r="R11954" t="s">
        <v>920</v>
      </c>
      <c r="S11954">
        <v>39</v>
      </c>
      <c r="T11954" s="29" t="str">
        <f t="shared" si="499"/>
        <v>2023.024M.Bunyaviricetes.zip</v>
      </c>
      <c r="U11954" s="29" t="str">
        <f>HYPERLINK("https://ictv.global/taxonomy/taxondetails?taxnode_id=202314233","ictv.global=202314233")</f>
        <v>ictv.global=202314233</v>
      </c>
    </row>
    <row r="11955" spans="1:21">
      <c r="A11955">
        <v>11954</v>
      </c>
      <c r="B11955" s="30" t="s">
        <v>1226</v>
      </c>
      <c r="D11955" s="30" t="s">
        <v>2024</v>
      </c>
      <c r="F11955" s="30" t="s">
        <v>1040</v>
      </c>
      <c r="G11955" s="30" t="s">
        <v>1061</v>
      </c>
      <c r="H11955" s="30" t="s">
        <v>17535</v>
      </c>
      <c r="J11955" s="30" t="s">
        <v>17536</v>
      </c>
      <c r="L11955" s="30" t="s">
        <v>815</v>
      </c>
      <c r="N11955" s="30" t="s">
        <v>464</v>
      </c>
      <c r="P11955" s="30" t="s">
        <v>10539</v>
      </c>
      <c r="Q11955" t="s">
        <v>620</v>
      </c>
      <c r="R11955" t="s">
        <v>920</v>
      </c>
      <c r="S11955">
        <v>39</v>
      </c>
      <c r="T11955" s="29" t="str">
        <f t="shared" si="499"/>
        <v>2023.024M.Bunyaviricetes.zip</v>
      </c>
      <c r="U11955" s="29" t="str">
        <f>HYPERLINK("https://ictv.global/taxonomy/taxondetails?taxnode_id=202314249","ictv.global=202314249")</f>
        <v>ictv.global=202314249</v>
      </c>
    </row>
    <row r="11956" spans="1:21">
      <c r="A11956">
        <v>11955</v>
      </c>
      <c r="B11956" s="30" t="s">
        <v>1226</v>
      </c>
      <c r="D11956" s="30" t="s">
        <v>2024</v>
      </c>
      <c r="F11956" s="30" t="s">
        <v>1040</v>
      </c>
      <c r="G11956" s="30" t="s">
        <v>1061</v>
      </c>
      <c r="H11956" s="30" t="s">
        <v>17535</v>
      </c>
      <c r="J11956" s="30" t="s">
        <v>17536</v>
      </c>
      <c r="L11956" s="30" t="s">
        <v>815</v>
      </c>
      <c r="N11956" s="30" t="s">
        <v>464</v>
      </c>
      <c r="P11956" s="30" t="s">
        <v>10540</v>
      </c>
      <c r="Q11956" t="s">
        <v>620</v>
      </c>
      <c r="R11956" t="s">
        <v>920</v>
      </c>
      <c r="S11956">
        <v>39</v>
      </c>
      <c r="T11956" s="29" t="str">
        <f t="shared" si="499"/>
        <v>2023.024M.Bunyaviricetes.zip</v>
      </c>
      <c r="U11956" s="29" t="str">
        <f>HYPERLINK("https://ictv.global/taxonomy/taxondetails?taxnode_id=202306367","ictv.global=202306367")</f>
        <v>ictv.global=202306367</v>
      </c>
    </row>
    <row r="11957" spans="1:21">
      <c r="A11957">
        <v>11956</v>
      </c>
      <c r="B11957" s="30" t="s">
        <v>1226</v>
      </c>
      <c r="D11957" s="30" t="s">
        <v>2024</v>
      </c>
      <c r="F11957" s="30" t="s">
        <v>1040</v>
      </c>
      <c r="G11957" s="30" t="s">
        <v>1061</v>
      </c>
      <c r="H11957" s="30" t="s">
        <v>17535</v>
      </c>
      <c r="J11957" s="30" t="s">
        <v>17536</v>
      </c>
      <c r="L11957" s="30" t="s">
        <v>815</v>
      </c>
      <c r="N11957" s="30" t="s">
        <v>464</v>
      </c>
      <c r="P11957" s="30" t="s">
        <v>10541</v>
      </c>
      <c r="Q11957" t="s">
        <v>620</v>
      </c>
      <c r="R11957" t="s">
        <v>920</v>
      </c>
      <c r="S11957">
        <v>39</v>
      </c>
      <c r="T11957" s="29" t="str">
        <f t="shared" si="499"/>
        <v>2023.024M.Bunyaviricetes.zip</v>
      </c>
      <c r="U11957" s="29" t="str">
        <f>HYPERLINK("https://ictv.global/taxonomy/taxondetails?taxnode_id=202306386","ictv.global=202306386")</f>
        <v>ictv.global=202306386</v>
      </c>
    </row>
    <row r="11958" spans="1:21">
      <c r="A11958">
        <v>11957</v>
      </c>
      <c r="B11958" s="30" t="s">
        <v>1226</v>
      </c>
      <c r="D11958" s="30" t="s">
        <v>2024</v>
      </c>
      <c r="F11958" s="30" t="s">
        <v>1040</v>
      </c>
      <c r="G11958" s="30" t="s">
        <v>1061</v>
      </c>
      <c r="H11958" s="30" t="s">
        <v>17535</v>
      </c>
      <c r="J11958" s="30" t="s">
        <v>17536</v>
      </c>
      <c r="L11958" s="30" t="s">
        <v>815</v>
      </c>
      <c r="N11958" s="30" t="s">
        <v>464</v>
      </c>
      <c r="P11958" s="30" t="s">
        <v>10542</v>
      </c>
      <c r="Q11958" t="s">
        <v>620</v>
      </c>
      <c r="R11958" t="s">
        <v>920</v>
      </c>
      <c r="S11958">
        <v>39</v>
      </c>
      <c r="T11958" s="29" t="str">
        <f t="shared" si="499"/>
        <v>2023.024M.Bunyaviricetes.zip</v>
      </c>
      <c r="U11958" s="29" t="str">
        <f>HYPERLINK("https://ictv.global/taxonomy/taxondetails?taxnode_id=202300115","ictv.global=202300115")</f>
        <v>ictv.global=202300115</v>
      </c>
    </row>
    <row r="11959" spans="1:21">
      <c r="A11959">
        <v>11958</v>
      </c>
      <c r="B11959" s="30" t="s">
        <v>1226</v>
      </c>
      <c r="D11959" s="30" t="s">
        <v>2024</v>
      </c>
      <c r="F11959" s="30" t="s">
        <v>1040</v>
      </c>
      <c r="G11959" s="30" t="s">
        <v>1061</v>
      </c>
      <c r="H11959" s="30" t="s">
        <v>17535</v>
      </c>
      <c r="J11959" s="30" t="s">
        <v>17536</v>
      </c>
      <c r="L11959" s="30" t="s">
        <v>815</v>
      </c>
      <c r="N11959" s="30" t="s">
        <v>464</v>
      </c>
      <c r="P11959" s="30" t="s">
        <v>10543</v>
      </c>
      <c r="Q11959" t="s">
        <v>620</v>
      </c>
      <c r="R11959" t="s">
        <v>920</v>
      </c>
      <c r="S11959">
        <v>39</v>
      </c>
      <c r="T11959" s="29" t="str">
        <f t="shared" si="499"/>
        <v>2023.024M.Bunyaviricetes.zip</v>
      </c>
      <c r="U11959" s="29" t="str">
        <f>HYPERLINK("https://ictv.global/taxonomy/taxondetails?taxnode_id=202306361","ictv.global=202306361")</f>
        <v>ictv.global=202306361</v>
      </c>
    </row>
    <row r="11960" spans="1:21">
      <c r="A11960">
        <v>11959</v>
      </c>
      <c r="B11960" s="30" t="s">
        <v>1226</v>
      </c>
      <c r="D11960" s="30" t="s">
        <v>2024</v>
      </c>
      <c r="F11960" s="30" t="s">
        <v>1040</v>
      </c>
      <c r="G11960" s="30" t="s">
        <v>1061</v>
      </c>
      <c r="H11960" s="30" t="s">
        <v>17535</v>
      </c>
      <c r="J11960" s="30" t="s">
        <v>17536</v>
      </c>
      <c r="L11960" s="30" t="s">
        <v>815</v>
      </c>
      <c r="N11960" s="30" t="s">
        <v>464</v>
      </c>
      <c r="P11960" s="30" t="s">
        <v>10544</v>
      </c>
      <c r="Q11960" t="s">
        <v>620</v>
      </c>
      <c r="R11960" t="s">
        <v>920</v>
      </c>
      <c r="S11960">
        <v>39</v>
      </c>
      <c r="T11960" s="29" t="str">
        <f t="shared" si="499"/>
        <v>2023.024M.Bunyaviricetes.zip</v>
      </c>
      <c r="U11960" s="29" t="str">
        <f>HYPERLINK("https://ictv.global/taxonomy/taxondetails?taxnode_id=202309322","ictv.global=202309322")</f>
        <v>ictv.global=202309322</v>
      </c>
    </row>
    <row r="11961" spans="1:21">
      <c r="A11961">
        <v>11960</v>
      </c>
      <c r="B11961" s="30" t="s">
        <v>1226</v>
      </c>
      <c r="D11961" s="30" t="s">
        <v>2024</v>
      </c>
      <c r="F11961" s="30" t="s">
        <v>1040</v>
      </c>
      <c r="G11961" s="30" t="s">
        <v>1061</v>
      </c>
      <c r="H11961" s="30" t="s">
        <v>17535</v>
      </c>
      <c r="J11961" s="30" t="s">
        <v>17536</v>
      </c>
      <c r="L11961" s="30" t="s">
        <v>815</v>
      </c>
      <c r="N11961" s="30" t="s">
        <v>464</v>
      </c>
      <c r="P11961" s="30" t="s">
        <v>10545</v>
      </c>
      <c r="Q11961" t="s">
        <v>620</v>
      </c>
      <c r="R11961" t="s">
        <v>920</v>
      </c>
      <c r="S11961">
        <v>39</v>
      </c>
      <c r="T11961" s="29" t="str">
        <f t="shared" si="499"/>
        <v>2023.024M.Bunyaviricetes.zip</v>
      </c>
      <c r="U11961" s="29" t="str">
        <f>HYPERLINK("https://ictv.global/taxonomy/taxondetails?taxnode_id=202300117","ictv.global=202300117")</f>
        <v>ictv.global=202300117</v>
      </c>
    </row>
    <row r="11962" spans="1:21">
      <c r="A11962">
        <v>11961</v>
      </c>
      <c r="B11962" s="30" t="s">
        <v>1226</v>
      </c>
      <c r="D11962" s="30" t="s">
        <v>2024</v>
      </c>
      <c r="F11962" s="30" t="s">
        <v>1040</v>
      </c>
      <c r="G11962" s="30" t="s">
        <v>1061</v>
      </c>
      <c r="H11962" s="30" t="s">
        <v>17535</v>
      </c>
      <c r="J11962" s="30" t="s">
        <v>17536</v>
      </c>
      <c r="L11962" s="30" t="s">
        <v>815</v>
      </c>
      <c r="N11962" s="30" t="s">
        <v>464</v>
      </c>
      <c r="P11962" s="30" t="s">
        <v>10546</v>
      </c>
      <c r="Q11962" t="s">
        <v>620</v>
      </c>
      <c r="R11962" t="s">
        <v>920</v>
      </c>
      <c r="S11962">
        <v>39</v>
      </c>
      <c r="T11962" s="29" t="str">
        <f t="shared" si="499"/>
        <v>2023.024M.Bunyaviricetes.zip</v>
      </c>
      <c r="U11962" s="29" t="str">
        <f>HYPERLINK("https://ictv.global/taxonomy/taxondetails?taxnode_id=202309324","ictv.global=202309324")</f>
        <v>ictv.global=202309324</v>
      </c>
    </row>
    <row r="11963" spans="1:21">
      <c r="A11963">
        <v>11962</v>
      </c>
      <c r="B11963" s="30" t="s">
        <v>1226</v>
      </c>
      <c r="D11963" s="30" t="s">
        <v>2024</v>
      </c>
      <c r="F11963" s="30" t="s">
        <v>1040</v>
      </c>
      <c r="G11963" s="30" t="s">
        <v>1061</v>
      </c>
      <c r="H11963" s="30" t="s">
        <v>17535</v>
      </c>
      <c r="J11963" s="30" t="s">
        <v>17536</v>
      </c>
      <c r="L11963" s="30" t="s">
        <v>815</v>
      </c>
      <c r="N11963" s="30" t="s">
        <v>464</v>
      </c>
      <c r="P11963" s="30" t="s">
        <v>10547</v>
      </c>
      <c r="Q11963" t="s">
        <v>620</v>
      </c>
      <c r="R11963" t="s">
        <v>920</v>
      </c>
      <c r="S11963">
        <v>39</v>
      </c>
      <c r="T11963" s="29" t="str">
        <f t="shared" si="499"/>
        <v>2023.024M.Bunyaviricetes.zip</v>
      </c>
      <c r="U11963" s="29" t="str">
        <f>HYPERLINK("https://ictv.global/taxonomy/taxondetails?taxnode_id=202300118","ictv.global=202300118")</f>
        <v>ictv.global=202300118</v>
      </c>
    </row>
    <row r="11964" spans="1:21">
      <c r="A11964">
        <v>11963</v>
      </c>
      <c r="B11964" s="30" t="s">
        <v>1226</v>
      </c>
      <c r="D11964" s="30" t="s">
        <v>2024</v>
      </c>
      <c r="F11964" s="30" t="s">
        <v>1040</v>
      </c>
      <c r="G11964" s="30" t="s">
        <v>1061</v>
      </c>
      <c r="H11964" s="30" t="s">
        <v>17535</v>
      </c>
      <c r="J11964" s="30" t="s">
        <v>17536</v>
      </c>
      <c r="L11964" s="30" t="s">
        <v>815</v>
      </c>
      <c r="N11964" s="30" t="s">
        <v>464</v>
      </c>
      <c r="P11964" s="30" t="s">
        <v>10548</v>
      </c>
      <c r="Q11964" t="s">
        <v>620</v>
      </c>
      <c r="R11964" t="s">
        <v>920</v>
      </c>
      <c r="S11964">
        <v>39</v>
      </c>
      <c r="T11964" s="29" t="str">
        <f t="shared" si="499"/>
        <v>2023.024M.Bunyaviricetes.zip</v>
      </c>
      <c r="U11964" s="29" t="str">
        <f>HYPERLINK("https://ictv.global/taxonomy/taxondetails?taxnode_id=202309325","ictv.global=202309325")</f>
        <v>ictv.global=202309325</v>
      </c>
    </row>
    <row r="11965" spans="1:21">
      <c r="A11965">
        <v>11964</v>
      </c>
      <c r="B11965" s="30" t="s">
        <v>1226</v>
      </c>
      <c r="D11965" s="30" t="s">
        <v>2024</v>
      </c>
      <c r="F11965" s="30" t="s">
        <v>1040</v>
      </c>
      <c r="G11965" s="30" t="s">
        <v>1061</v>
      </c>
      <c r="H11965" s="30" t="s">
        <v>17535</v>
      </c>
      <c r="J11965" s="30" t="s">
        <v>17536</v>
      </c>
      <c r="L11965" s="30" t="s">
        <v>815</v>
      </c>
      <c r="N11965" s="30" t="s">
        <v>464</v>
      </c>
      <c r="P11965" s="30" t="s">
        <v>10549</v>
      </c>
      <c r="Q11965" t="s">
        <v>620</v>
      </c>
      <c r="R11965" t="s">
        <v>920</v>
      </c>
      <c r="S11965">
        <v>39</v>
      </c>
      <c r="T11965" s="29" t="str">
        <f t="shared" si="499"/>
        <v>2023.024M.Bunyaviricetes.zip</v>
      </c>
      <c r="U11965" s="29" t="str">
        <f>HYPERLINK("https://ictv.global/taxonomy/taxondetails?taxnode_id=202306368","ictv.global=202306368")</f>
        <v>ictv.global=202306368</v>
      </c>
    </row>
    <row r="11966" spans="1:21">
      <c r="A11966">
        <v>11965</v>
      </c>
      <c r="B11966" s="30" t="s">
        <v>1226</v>
      </c>
      <c r="D11966" s="30" t="s">
        <v>2024</v>
      </c>
      <c r="F11966" s="30" t="s">
        <v>1040</v>
      </c>
      <c r="G11966" s="30" t="s">
        <v>1061</v>
      </c>
      <c r="H11966" s="30" t="s">
        <v>17535</v>
      </c>
      <c r="J11966" s="30" t="s">
        <v>17536</v>
      </c>
      <c r="L11966" s="30" t="s">
        <v>815</v>
      </c>
      <c r="N11966" s="30" t="s">
        <v>464</v>
      </c>
      <c r="P11966" s="30" t="s">
        <v>10550</v>
      </c>
      <c r="Q11966" t="s">
        <v>620</v>
      </c>
      <c r="R11966" t="s">
        <v>920</v>
      </c>
      <c r="S11966">
        <v>39</v>
      </c>
      <c r="T11966" s="29" t="str">
        <f t="shared" si="499"/>
        <v>2023.024M.Bunyaviricetes.zip</v>
      </c>
      <c r="U11966" s="29" t="str">
        <f>HYPERLINK("https://ictv.global/taxonomy/taxondetails?taxnode_id=202306377","ictv.global=202306377")</f>
        <v>ictv.global=202306377</v>
      </c>
    </row>
    <row r="11967" spans="1:21">
      <c r="A11967">
        <v>11966</v>
      </c>
      <c r="B11967" s="30" t="s">
        <v>1226</v>
      </c>
      <c r="D11967" s="30" t="s">
        <v>2024</v>
      </c>
      <c r="F11967" s="30" t="s">
        <v>1040</v>
      </c>
      <c r="G11967" s="30" t="s">
        <v>1061</v>
      </c>
      <c r="H11967" s="30" t="s">
        <v>17535</v>
      </c>
      <c r="J11967" s="30" t="s">
        <v>17536</v>
      </c>
      <c r="L11967" s="30" t="s">
        <v>815</v>
      </c>
      <c r="N11967" s="30" t="s">
        <v>464</v>
      </c>
      <c r="P11967" s="30" t="s">
        <v>10551</v>
      </c>
      <c r="Q11967" t="s">
        <v>620</v>
      </c>
      <c r="R11967" t="s">
        <v>920</v>
      </c>
      <c r="S11967">
        <v>39</v>
      </c>
      <c r="T11967" s="29" t="str">
        <f t="shared" ref="T11967:T11982" si="500">HYPERLINK("https://ictv.global/ictv/proposals/2023.024M.Bunyaviricetes.zip","2023.024M.Bunyaviricetes.zip")</f>
        <v>2023.024M.Bunyaviricetes.zip</v>
      </c>
      <c r="U11967" s="29" t="str">
        <f>HYPERLINK("https://ictv.global/taxonomy/taxondetails?taxnode_id=202300119","ictv.global=202300119")</f>
        <v>ictv.global=202300119</v>
      </c>
    </row>
    <row r="11968" spans="1:21">
      <c r="A11968">
        <v>11967</v>
      </c>
      <c r="B11968" s="30" t="s">
        <v>1226</v>
      </c>
      <c r="D11968" s="30" t="s">
        <v>2024</v>
      </c>
      <c r="F11968" s="30" t="s">
        <v>1040</v>
      </c>
      <c r="G11968" s="30" t="s">
        <v>1061</v>
      </c>
      <c r="H11968" s="30" t="s">
        <v>17535</v>
      </c>
      <c r="J11968" s="30" t="s">
        <v>17536</v>
      </c>
      <c r="L11968" s="30" t="s">
        <v>815</v>
      </c>
      <c r="N11968" s="30" t="s">
        <v>464</v>
      </c>
      <c r="P11968" s="30" t="s">
        <v>10552</v>
      </c>
      <c r="Q11968" t="s">
        <v>620</v>
      </c>
      <c r="R11968" t="s">
        <v>920</v>
      </c>
      <c r="S11968">
        <v>39</v>
      </c>
      <c r="T11968" s="29" t="str">
        <f t="shared" si="500"/>
        <v>2023.024M.Bunyaviricetes.zip</v>
      </c>
      <c r="U11968" s="29" t="str">
        <f>HYPERLINK("https://ictv.global/taxonomy/taxondetails?taxnode_id=202314226","ictv.global=202314226")</f>
        <v>ictv.global=202314226</v>
      </c>
    </row>
    <row r="11969" spans="1:21">
      <c r="A11969">
        <v>11968</v>
      </c>
      <c r="B11969" s="30" t="s">
        <v>1226</v>
      </c>
      <c r="D11969" s="30" t="s">
        <v>2024</v>
      </c>
      <c r="F11969" s="30" t="s">
        <v>1040</v>
      </c>
      <c r="G11969" s="30" t="s">
        <v>1061</v>
      </c>
      <c r="H11969" s="30" t="s">
        <v>17535</v>
      </c>
      <c r="J11969" s="30" t="s">
        <v>17536</v>
      </c>
      <c r="L11969" s="30" t="s">
        <v>815</v>
      </c>
      <c r="N11969" s="30" t="s">
        <v>464</v>
      </c>
      <c r="P11969" s="30" t="s">
        <v>10553</v>
      </c>
      <c r="Q11969" t="s">
        <v>620</v>
      </c>
      <c r="R11969" t="s">
        <v>920</v>
      </c>
      <c r="S11969">
        <v>39</v>
      </c>
      <c r="T11969" s="29" t="str">
        <f t="shared" si="500"/>
        <v>2023.024M.Bunyaviricetes.zip</v>
      </c>
      <c r="U11969" s="29" t="str">
        <f>HYPERLINK("https://ictv.global/taxonomy/taxondetails?taxnode_id=202309323","ictv.global=202309323")</f>
        <v>ictv.global=202309323</v>
      </c>
    </row>
    <row r="11970" spans="1:21">
      <c r="A11970">
        <v>11969</v>
      </c>
      <c r="B11970" s="30" t="s">
        <v>1226</v>
      </c>
      <c r="D11970" s="30" t="s">
        <v>2024</v>
      </c>
      <c r="F11970" s="30" t="s">
        <v>1040</v>
      </c>
      <c r="G11970" s="30" t="s">
        <v>1061</v>
      </c>
      <c r="H11970" s="30" t="s">
        <v>17535</v>
      </c>
      <c r="J11970" s="30" t="s">
        <v>17536</v>
      </c>
      <c r="L11970" s="30" t="s">
        <v>815</v>
      </c>
      <c r="N11970" s="30" t="s">
        <v>464</v>
      </c>
      <c r="P11970" s="30" t="s">
        <v>10554</v>
      </c>
      <c r="Q11970" t="s">
        <v>620</v>
      </c>
      <c r="R11970" t="s">
        <v>920</v>
      </c>
      <c r="S11970">
        <v>39</v>
      </c>
      <c r="T11970" s="29" t="str">
        <f t="shared" si="500"/>
        <v>2023.024M.Bunyaviricetes.zip</v>
      </c>
      <c r="U11970" s="29" t="str">
        <f>HYPERLINK("https://ictv.global/taxonomy/taxondetails?taxnode_id=202300120","ictv.global=202300120")</f>
        <v>ictv.global=202300120</v>
      </c>
    </row>
    <row r="11971" spans="1:21">
      <c r="A11971">
        <v>11970</v>
      </c>
      <c r="B11971" s="30" t="s">
        <v>1226</v>
      </c>
      <c r="D11971" s="30" t="s">
        <v>2024</v>
      </c>
      <c r="F11971" s="30" t="s">
        <v>1040</v>
      </c>
      <c r="G11971" s="30" t="s">
        <v>1061</v>
      </c>
      <c r="H11971" s="30" t="s">
        <v>17535</v>
      </c>
      <c r="J11971" s="30" t="s">
        <v>17536</v>
      </c>
      <c r="L11971" s="30" t="s">
        <v>815</v>
      </c>
      <c r="N11971" s="30" t="s">
        <v>464</v>
      </c>
      <c r="P11971" s="30" t="s">
        <v>10555</v>
      </c>
      <c r="Q11971" t="s">
        <v>620</v>
      </c>
      <c r="R11971" t="s">
        <v>920</v>
      </c>
      <c r="S11971">
        <v>39</v>
      </c>
      <c r="T11971" s="29" t="str">
        <f t="shared" si="500"/>
        <v>2023.024M.Bunyaviricetes.zip</v>
      </c>
      <c r="U11971" s="29" t="str">
        <f>HYPERLINK("https://ictv.global/taxonomy/taxondetails?taxnode_id=202306370","ictv.global=202306370")</f>
        <v>ictv.global=202306370</v>
      </c>
    </row>
    <row r="11972" spans="1:21">
      <c r="A11972">
        <v>11971</v>
      </c>
      <c r="B11972" s="30" t="s">
        <v>1226</v>
      </c>
      <c r="D11972" s="30" t="s">
        <v>2024</v>
      </c>
      <c r="F11972" s="30" t="s">
        <v>1040</v>
      </c>
      <c r="G11972" s="30" t="s">
        <v>1061</v>
      </c>
      <c r="H11972" s="30" t="s">
        <v>17535</v>
      </c>
      <c r="J11972" s="30" t="s">
        <v>17536</v>
      </c>
      <c r="L11972" s="30" t="s">
        <v>815</v>
      </c>
      <c r="N11972" s="30" t="s">
        <v>464</v>
      </c>
      <c r="P11972" s="30" t="s">
        <v>10556</v>
      </c>
      <c r="Q11972" t="s">
        <v>620</v>
      </c>
      <c r="R11972" t="s">
        <v>920</v>
      </c>
      <c r="S11972">
        <v>39</v>
      </c>
      <c r="T11972" s="29" t="str">
        <f t="shared" si="500"/>
        <v>2023.024M.Bunyaviricetes.zip</v>
      </c>
      <c r="U11972" s="29" t="str">
        <f>HYPERLINK("https://ictv.global/taxonomy/taxondetails?taxnode_id=202314232","ictv.global=202314232")</f>
        <v>ictv.global=202314232</v>
      </c>
    </row>
    <row r="11973" spans="1:21">
      <c r="A11973">
        <v>11972</v>
      </c>
      <c r="B11973" s="30" t="s">
        <v>1226</v>
      </c>
      <c r="D11973" s="30" t="s">
        <v>2024</v>
      </c>
      <c r="F11973" s="30" t="s">
        <v>1040</v>
      </c>
      <c r="G11973" s="30" t="s">
        <v>1061</v>
      </c>
      <c r="H11973" s="30" t="s">
        <v>17535</v>
      </c>
      <c r="J11973" s="30" t="s">
        <v>17536</v>
      </c>
      <c r="L11973" s="30" t="s">
        <v>815</v>
      </c>
      <c r="N11973" s="30" t="s">
        <v>464</v>
      </c>
      <c r="P11973" s="30" t="s">
        <v>10557</v>
      </c>
      <c r="Q11973" t="s">
        <v>620</v>
      </c>
      <c r="R11973" t="s">
        <v>920</v>
      </c>
      <c r="S11973">
        <v>39</v>
      </c>
      <c r="T11973" s="29" t="str">
        <f t="shared" si="500"/>
        <v>2023.024M.Bunyaviricetes.zip</v>
      </c>
      <c r="U11973" s="29" t="str">
        <f>HYPERLINK("https://ictv.global/taxonomy/taxondetails?taxnode_id=202314240","ictv.global=202314240")</f>
        <v>ictv.global=202314240</v>
      </c>
    </row>
    <row r="11974" spans="1:21">
      <c r="A11974">
        <v>11973</v>
      </c>
      <c r="B11974" s="30" t="s">
        <v>1226</v>
      </c>
      <c r="D11974" s="30" t="s">
        <v>2024</v>
      </c>
      <c r="F11974" s="30" t="s">
        <v>1040</v>
      </c>
      <c r="G11974" s="30" t="s">
        <v>1061</v>
      </c>
      <c r="H11974" s="30" t="s">
        <v>17535</v>
      </c>
      <c r="J11974" s="30" t="s">
        <v>17536</v>
      </c>
      <c r="L11974" s="30" t="s">
        <v>815</v>
      </c>
      <c r="N11974" s="30" t="s">
        <v>464</v>
      </c>
      <c r="P11974" s="30" t="s">
        <v>10558</v>
      </c>
      <c r="Q11974" t="s">
        <v>620</v>
      </c>
      <c r="R11974" t="s">
        <v>920</v>
      </c>
      <c r="S11974">
        <v>39</v>
      </c>
      <c r="T11974" s="29" t="str">
        <f t="shared" si="500"/>
        <v>2023.024M.Bunyaviricetes.zip</v>
      </c>
      <c r="U11974" s="29" t="str">
        <f>HYPERLINK("https://ictv.global/taxonomy/taxondetails?taxnode_id=202314223","ictv.global=202314223")</f>
        <v>ictv.global=202314223</v>
      </c>
    </row>
    <row r="11975" spans="1:21">
      <c r="A11975">
        <v>11974</v>
      </c>
      <c r="B11975" s="30" t="s">
        <v>1226</v>
      </c>
      <c r="D11975" s="30" t="s">
        <v>2024</v>
      </c>
      <c r="F11975" s="30" t="s">
        <v>1040</v>
      </c>
      <c r="G11975" s="30" t="s">
        <v>1061</v>
      </c>
      <c r="H11975" s="30" t="s">
        <v>17535</v>
      </c>
      <c r="J11975" s="30" t="s">
        <v>17536</v>
      </c>
      <c r="L11975" s="30" t="s">
        <v>815</v>
      </c>
      <c r="N11975" s="30" t="s">
        <v>464</v>
      </c>
      <c r="P11975" s="30" t="s">
        <v>10559</v>
      </c>
      <c r="Q11975" t="s">
        <v>620</v>
      </c>
      <c r="R11975" t="s">
        <v>920</v>
      </c>
      <c r="S11975">
        <v>39</v>
      </c>
      <c r="T11975" s="29" t="str">
        <f t="shared" si="500"/>
        <v>2023.024M.Bunyaviricetes.zip</v>
      </c>
      <c r="U11975" s="29" t="str">
        <f>HYPERLINK("https://ictv.global/taxonomy/taxondetails?taxnode_id=202314227","ictv.global=202314227")</f>
        <v>ictv.global=202314227</v>
      </c>
    </row>
    <row r="11976" spans="1:21">
      <c r="A11976">
        <v>11975</v>
      </c>
      <c r="B11976" s="30" t="s">
        <v>1226</v>
      </c>
      <c r="D11976" s="30" t="s">
        <v>2024</v>
      </c>
      <c r="F11976" s="30" t="s">
        <v>1040</v>
      </c>
      <c r="G11976" s="30" t="s">
        <v>1061</v>
      </c>
      <c r="H11976" s="30" t="s">
        <v>17535</v>
      </c>
      <c r="J11976" s="30" t="s">
        <v>17536</v>
      </c>
      <c r="L11976" s="30" t="s">
        <v>815</v>
      </c>
      <c r="N11976" s="30" t="s">
        <v>464</v>
      </c>
      <c r="P11976" s="30" t="s">
        <v>10560</v>
      </c>
      <c r="Q11976" t="s">
        <v>620</v>
      </c>
      <c r="R11976" t="s">
        <v>920</v>
      </c>
      <c r="S11976">
        <v>39</v>
      </c>
      <c r="T11976" s="29" t="str">
        <f t="shared" si="500"/>
        <v>2023.024M.Bunyaviricetes.zip</v>
      </c>
      <c r="U11976" s="29" t="str">
        <f>HYPERLINK("https://ictv.global/taxonomy/taxondetails?taxnode_id=202300121","ictv.global=202300121")</f>
        <v>ictv.global=202300121</v>
      </c>
    </row>
    <row r="11977" spans="1:21">
      <c r="A11977">
        <v>11976</v>
      </c>
      <c r="B11977" s="30" t="s">
        <v>1226</v>
      </c>
      <c r="D11977" s="30" t="s">
        <v>2024</v>
      </c>
      <c r="F11977" s="30" t="s">
        <v>1040</v>
      </c>
      <c r="G11977" s="30" t="s">
        <v>1061</v>
      </c>
      <c r="H11977" s="30" t="s">
        <v>17535</v>
      </c>
      <c r="J11977" s="30" t="s">
        <v>17536</v>
      </c>
      <c r="L11977" s="30" t="s">
        <v>815</v>
      </c>
      <c r="N11977" s="30" t="s">
        <v>464</v>
      </c>
      <c r="P11977" s="30" t="s">
        <v>10561</v>
      </c>
      <c r="Q11977" t="s">
        <v>620</v>
      </c>
      <c r="R11977" t="s">
        <v>920</v>
      </c>
      <c r="S11977">
        <v>39</v>
      </c>
      <c r="T11977" s="29" t="str">
        <f t="shared" si="500"/>
        <v>2023.024M.Bunyaviricetes.zip</v>
      </c>
      <c r="U11977" s="29" t="str">
        <f>HYPERLINK("https://ictv.global/taxonomy/taxondetails?taxnode_id=202314241","ictv.global=202314241")</f>
        <v>ictv.global=202314241</v>
      </c>
    </row>
    <row r="11978" spans="1:21">
      <c r="A11978">
        <v>11977</v>
      </c>
      <c r="B11978" s="30" t="s">
        <v>1226</v>
      </c>
      <c r="D11978" s="30" t="s">
        <v>2024</v>
      </c>
      <c r="F11978" s="30" t="s">
        <v>1040</v>
      </c>
      <c r="G11978" s="30" t="s">
        <v>1061</v>
      </c>
      <c r="H11978" s="30" t="s">
        <v>17535</v>
      </c>
      <c r="J11978" s="30" t="s">
        <v>17536</v>
      </c>
      <c r="L11978" s="30" t="s">
        <v>815</v>
      </c>
      <c r="N11978" s="30" t="s">
        <v>464</v>
      </c>
      <c r="P11978" s="30" t="s">
        <v>10562</v>
      </c>
      <c r="Q11978" t="s">
        <v>620</v>
      </c>
      <c r="R11978" t="s">
        <v>920</v>
      </c>
      <c r="S11978">
        <v>39</v>
      </c>
      <c r="T11978" s="29" t="str">
        <f t="shared" si="500"/>
        <v>2023.024M.Bunyaviricetes.zip</v>
      </c>
      <c r="U11978" s="29" t="str">
        <f>HYPERLINK("https://ictv.global/taxonomy/taxondetails?taxnode_id=202300122","ictv.global=202300122")</f>
        <v>ictv.global=202300122</v>
      </c>
    </row>
    <row r="11979" spans="1:21">
      <c r="A11979">
        <v>11978</v>
      </c>
      <c r="B11979" s="30" t="s">
        <v>1226</v>
      </c>
      <c r="D11979" s="30" t="s">
        <v>2024</v>
      </c>
      <c r="F11979" s="30" t="s">
        <v>1040</v>
      </c>
      <c r="G11979" s="30" t="s">
        <v>1061</v>
      </c>
      <c r="H11979" s="30" t="s">
        <v>17535</v>
      </c>
      <c r="J11979" s="30" t="s">
        <v>17536</v>
      </c>
      <c r="L11979" s="30" t="s">
        <v>815</v>
      </c>
      <c r="N11979" s="30" t="s">
        <v>464</v>
      </c>
      <c r="P11979" s="30" t="s">
        <v>10563</v>
      </c>
      <c r="Q11979" t="s">
        <v>620</v>
      </c>
      <c r="R11979" t="s">
        <v>920</v>
      </c>
      <c r="S11979">
        <v>39</v>
      </c>
      <c r="T11979" s="29" t="str">
        <f t="shared" si="500"/>
        <v>2023.024M.Bunyaviricetes.zip</v>
      </c>
      <c r="U11979" s="29" t="str">
        <f>HYPERLINK("https://ictv.global/taxonomy/taxondetails?taxnode_id=202300123","ictv.global=202300123")</f>
        <v>ictv.global=202300123</v>
      </c>
    </row>
    <row r="11980" spans="1:21">
      <c r="A11980">
        <v>11979</v>
      </c>
      <c r="B11980" s="30" t="s">
        <v>1226</v>
      </c>
      <c r="D11980" s="30" t="s">
        <v>2024</v>
      </c>
      <c r="F11980" s="30" t="s">
        <v>1040</v>
      </c>
      <c r="G11980" s="30" t="s">
        <v>1061</v>
      </c>
      <c r="H11980" s="30" t="s">
        <v>17535</v>
      </c>
      <c r="J11980" s="30" t="s">
        <v>17536</v>
      </c>
      <c r="L11980" s="30" t="s">
        <v>815</v>
      </c>
      <c r="N11980" s="30" t="s">
        <v>464</v>
      </c>
      <c r="P11980" s="30" t="s">
        <v>10564</v>
      </c>
      <c r="Q11980" t="s">
        <v>620</v>
      </c>
      <c r="R11980" t="s">
        <v>920</v>
      </c>
      <c r="S11980">
        <v>39</v>
      </c>
      <c r="T11980" s="29" t="str">
        <f t="shared" si="500"/>
        <v>2023.024M.Bunyaviricetes.zip</v>
      </c>
      <c r="U11980" s="29" t="str">
        <f>HYPERLINK("https://ictv.global/taxonomy/taxondetails?taxnode_id=202300124","ictv.global=202300124")</f>
        <v>ictv.global=202300124</v>
      </c>
    </row>
    <row r="11981" spans="1:21">
      <c r="A11981">
        <v>11980</v>
      </c>
      <c r="B11981" s="30" t="s">
        <v>1226</v>
      </c>
      <c r="D11981" s="30" t="s">
        <v>2024</v>
      </c>
      <c r="F11981" s="30" t="s">
        <v>1040</v>
      </c>
      <c r="G11981" s="30" t="s">
        <v>1061</v>
      </c>
      <c r="H11981" s="30" t="s">
        <v>17535</v>
      </c>
      <c r="J11981" s="30" t="s">
        <v>17536</v>
      </c>
      <c r="L11981" s="30" t="s">
        <v>815</v>
      </c>
      <c r="N11981" s="30" t="s">
        <v>464</v>
      </c>
      <c r="P11981" s="30" t="s">
        <v>10565</v>
      </c>
      <c r="Q11981" t="s">
        <v>620</v>
      </c>
      <c r="R11981" t="s">
        <v>920</v>
      </c>
      <c r="S11981">
        <v>39</v>
      </c>
      <c r="T11981" s="29" t="str">
        <f t="shared" si="500"/>
        <v>2023.024M.Bunyaviricetes.zip</v>
      </c>
      <c r="U11981" s="29" t="str">
        <f>HYPERLINK("https://ictv.global/taxonomy/taxondetails?taxnode_id=202309327","ictv.global=202309327")</f>
        <v>ictv.global=202309327</v>
      </c>
    </row>
    <row r="11982" spans="1:21">
      <c r="A11982">
        <v>11981</v>
      </c>
      <c r="B11982" s="30" t="s">
        <v>1226</v>
      </c>
      <c r="D11982" s="30" t="s">
        <v>2024</v>
      </c>
      <c r="F11982" s="30" t="s">
        <v>1040</v>
      </c>
      <c r="G11982" s="30" t="s">
        <v>1061</v>
      </c>
      <c r="H11982" s="30" t="s">
        <v>17535</v>
      </c>
      <c r="J11982" s="30" t="s">
        <v>17536</v>
      </c>
      <c r="L11982" s="30" t="s">
        <v>815</v>
      </c>
      <c r="N11982" s="30" t="s">
        <v>464</v>
      </c>
      <c r="P11982" s="30" t="s">
        <v>10566</v>
      </c>
      <c r="Q11982" t="s">
        <v>620</v>
      </c>
      <c r="R11982" t="s">
        <v>920</v>
      </c>
      <c r="S11982">
        <v>39</v>
      </c>
      <c r="T11982" s="29" t="str">
        <f t="shared" si="500"/>
        <v>2023.024M.Bunyaviricetes.zip</v>
      </c>
      <c r="U11982" s="29" t="str">
        <f>HYPERLINK("https://ictv.global/taxonomy/taxondetails?taxnode_id=202314242","ictv.global=202314242")</f>
        <v>ictv.global=202314242</v>
      </c>
    </row>
    <row r="11983" spans="1:21">
      <c r="A11983">
        <v>11982</v>
      </c>
      <c r="B11983" s="30" t="s">
        <v>1226</v>
      </c>
      <c r="D11983" s="30" t="s">
        <v>2024</v>
      </c>
      <c r="F11983" s="30" t="s">
        <v>1040</v>
      </c>
      <c r="G11983" s="30" t="s">
        <v>1061</v>
      </c>
      <c r="H11983" s="30" t="s">
        <v>17535</v>
      </c>
      <c r="J11983" s="30" t="s">
        <v>17536</v>
      </c>
      <c r="L11983" s="30" t="s">
        <v>815</v>
      </c>
      <c r="N11983" s="30" t="s">
        <v>464</v>
      </c>
      <c r="P11983" s="30" t="s">
        <v>17559</v>
      </c>
      <c r="Q11983" t="s">
        <v>620</v>
      </c>
      <c r="R11983" t="s">
        <v>917</v>
      </c>
      <c r="S11983">
        <v>39</v>
      </c>
      <c r="T11983" s="29" t="str">
        <f>HYPERLINK("https://ictv.global/ictv/proposals/2023.031M.Peribunyaviridae_1ng_7nsp.zip","2023.031M.Peribunyaviridae_1ng_7nsp.zip")</f>
        <v>2023.031M.Peribunyaviridae_1ng_7nsp.zip</v>
      </c>
      <c r="U11983" s="29" t="str">
        <f>HYPERLINK("https://ictv.global/taxonomy/taxondetails?taxnode_id=202319065","ictv.global=202319065")</f>
        <v>ictv.global=202319065</v>
      </c>
    </row>
    <row r="11984" spans="1:21">
      <c r="A11984">
        <v>11983</v>
      </c>
      <c r="B11984" s="30" t="s">
        <v>1226</v>
      </c>
      <c r="D11984" s="30" t="s">
        <v>2024</v>
      </c>
      <c r="F11984" s="30" t="s">
        <v>1040</v>
      </c>
      <c r="G11984" s="30" t="s">
        <v>1061</v>
      </c>
      <c r="H11984" s="30" t="s">
        <v>17535</v>
      </c>
      <c r="J11984" s="30" t="s">
        <v>17536</v>
      </c>
      <c r="L11984" s="30" t="s">
        <v>815</v>
      </c>
      <c r="N11984" s="30" t="s">
        <v>464</v>
      </c>
      <c r="P11984" s="30" t="s">
        <v>10567</v>
      </c>
      <c r="Q11984" t="s">
        <v>620</v>
      </c>
      <c r="R11984" t="s">
        <v>920</v>
      </c>
      <c r="S11984">
        <v>39</v>
      </c>
      <c r="T11984" s="29" t="str">
        <f t="shared" ref="T11984:T11998" si="501">HYPERLINK("https://ictv.global/ictv/proposals/2023.024M.Bunyaviricetes.zip","2023.024M.Bunyaviricetes.zip")</f>
        <v>2023.024M.Bunyaviricetes.zip</v>
      </c>
      <c r="U11984" s="29" t="str">
        <f>HYPERLINK("https://ictv.global/taxonomy/taxondetails?taxnode_id=202300125","ictv.global=202300125")</f>
        <v>ictv.global=202300125</v>
      </c>
    </row>
    <row r="11985" spans="1:21">
      <c r="A11985">
        <v>11984</v>
      </c>
      <c r="B11985" s="30" t="s">
        <v>1226</v>
      </c>
      <c r="D11985" s="30" t="s">
        <v>2024</v>
      </c>
      <c r="F11985" s="30" t="s">
        <v>1040</v>
      </c>
      <c r="G11985" s="30" t="s">
        <v>1061</v>
      </c>
      <c r="H11985" s="30" t="s">
        <v>17535</v>
      </c>
      <c r="J11985" s="30" t="s">
        <v>17536</v>
      </c>
      <c r="L11985" s="30" t="s">
        <v>815</v>
      </c>
      <c r="N11985" s="30" t="s">
        <v>464</v>
      </c>
      <c r="P11985" s="30" t="s">
        <v>10568</v>
      </c>
      <c r="Q11985" t="s">
        <v>620</v>
      </c>
      <c r="R11985" t="s">
        <v>920</v>
      </c>
      <c r="S11985">
        <v>39</v>
      </c>
      <c r="T11985" s="29" t="str">
        <f t="shared" si="501"/>
        <v>2023.024M.Bunyaviricetes.zip</v>
      </c>
      <c r="U11985" s="29" t="str">
        <f>HYPERLINK("https://ictv.global/taxonomy/taxondetails?taxnode_id=202306380","ictv.global=202306380")</f>
        <v>ictv.global=202306380</v>
      </c>
    </row>
    <row r="11986" spans="1:21">
      <c r="A11986">
        <v>11985</v>
      </c>
      <c r="B11986" s="30" t="s">
        <v>1226</v>
      </c>
      <c r="D11986" s="30" t="s">
        <v>2024</v>
      </c>
      <c r="F11986" s="30" t="s">
        <v>1040</v>
      </c>
      <c r="G11986" s="30" t="s">
        <v>1061</v>
      </c>
      <c r="H11986" s="30" t="s">
        <v>17535</v>
      </c>
      <c r="J11986" s="30" t="s">
        <v>17536</v>
      </c>
      <c r="L11986" s="30" t="s">
        <v>815</v>
      </c>
      <c r="N11986" s="30" t="s">
        <v>464</v>
      </c>
      <c r="P11986" s="30" t="s">
        <v>10569</v>
      </c>
      <c r="Q11986" t="s">
        <v>620</v>
      </c>
      <c r="R11986" t="s">
        <v>920</v>
      </c>
      <c r="S11986">
        <v>39</v>
      </c>
      <c r="T11986" s="29" t="str">
        <f t="shared" si="501"/>
        <v>2023.024M.Bunyaviricetes.zip</v>
      </c>
      <c r="U11986" s="29" t="str">
        <f>HYPERLINK("https://ictv.global/taxonomy/taxondetails?taxnode_id=202306384","ictv.global=202306384")</f>
        <v>ictv.global=202306384</v>
      </c>
    </row>
    <row r="11987" spans="1:21">
      <c r="A11987">
        <v>11986</v>
      </c>
      <c r="B11987" s="30" t="s">
        <v>1226</v>
      </c>
      <c r="D11987" s="30" t="s">
        <v>2024</v>
      </c>
      <c r="F11987" s="30" t="s">
        <v>1040</v>
      </c>
      <c r="G11987" s="30" t="s">
        <v>1061</v>
      </c>
      <c r="H11987" s="30" t="s">
        <v>17535</v>
      </c>
      <c r="J11987" s="30" t="s">
        <v>17536</v>
      </c>
      <c r="L11987" s="30" t="s">
        <v>815</v>
      </c>
      <c r="N11987" s="30" t="s">
        <v>464</v>
      </c>
      <c r="P11987" s="30" t="s">
        <v>10570</v>
      </c>
      <c r="Q11987" t="s">
        <v>620</v>
      </c>
      <c r="R11987" t="s">
        <v>920</v>
      </c>
      <c r="S11987">
        <v>39</v>
      </c>
      <c r="T11987" s="29" t="str">
        <f t="shared" si="501"/>
        <v>2023.024M.Bunyaviricetes.zip</v>
      </c>
      <c r="U11987" s="29" t="str">
        <f>HYPERLINK("https://ictv.global/taxonomy/taxondetails?taxnode_id=202306362","ictv.global=202306362")</f>
        <v>ictv.global=202306362</v>
      </c>
    </row>
    <row r="11988" spans="1:21">
      <c r="A11988">
        <v>11987</v>
      </c>
      <c r="B11988" s="30" t="s">
        <v>1226</v>
      </c>
      <c r="D11988" s="30" t="s">
        <v>2024</v>
      </c>
      <c r="F11988" s="30" t="s">
        <v>1040</v>
      </c>
      <c r="G11988" s="30" t="s">
        <v>1061</v>
      </c>
      <c r="H11988" s="30" t="s">
        <v>17535</v>
      </c>
      <c r="J11988" s="30" t="s">
        <v>17536</v>
      </c>
      <c r="L11988" s="30" t="s">
        <v>815</v>
      </c>
      <c r="N11988" s="30" t="s">
        <v>464</v>
      </c>
      <c r="P11988" s="30" t="s">
        <v>10571</v>
      </c>
      <c r="Q11988" t="s">
        <v>620</v>
      </c>
      <c r="R11988" t="s">
        <v>920</v>
      </c>
      <c r="S11988">
        <v>39</v>
      </c>
      <c r="T11988" s="29" t="str">
        <f t="shared" si="501"/>
        <v>2023.024M.Bunyaviricetes.zip</v>
      </c>
      <c r="U11988" s="29" t="str">
        <f>HYPERLINK("https://ictv.global/taxonomy/taxondetails?taxnode_id=202306353","ictv.global=202306353")</f>
        <v>ictv.global=202306353</v>
      </c>
    </row>
    <row r="11989" spans="1:21">
      <c r="A11989">
        <v>11988</v>
      </c>
      <c r="B11989" s="30" t="s">
        <v>1226</v>
      </c>
      <c r="D11989" s="30" t="s">
        <v>2024</v>
      </c>
      <c r="F11989" s="30" t="s">
        <v>1040</v>
      </c>
      <c r="G11989" s="30" t="s">
        <v>1061</v>
      </c>
      <c r="H11989" s="30" t="s">
        <v>17535</v>
      </c>
      <c r="J11989" s="30" t="s">
        <v>17536</v>
      </c>
      <c r="L11989" s="30" t="s">
        <v>815</v>
      </c>
      <c r="N11989" s="30" t="s">
        <v>464</v>
      </c>
      <c r="P11989" s="30" t="s">
        <v>10572</v>
      </c>
      <c r="Q11989" t="s">
        <v>620</v>
      </c>
      <c r="R11989" t="s">
        <v>920</v>
      </c>
      <c r="S11989">
        <v>39</v>
      </c>
      <c r="T11989" s="29" t="str">
        <f t="shared" si="501"/>
        <v>2023.024M.Bunyaviricetes.zip</v>
      </c>
      <c r="U11989" s="29" t="str">
        <f>HYPERLINK("https://ictv.global/taxonomy/taxondetails?taxnode_id=202306381","ictv.global=202306381")</f>
        <v>ictv.global=202306381</v>
      </c>
    </row>
    <row r="11990" spans="1:21">
      <c r="A11990">
        <v>11989</v>
      </c>
      <c r="B11990" s="30" t="s">
        <v>1226</v>
      </c>
      <c r="D11990" s="30" t="s">
        <v>2024</v>
      </c>
      <c r="F11990" s="30" t="s">
        <v>1040</v>
      </c>
      <c r="G11990" s="30" t="s">
        <v>1061</v>
      </c>
      <c r="H11990" s="30" t="s">
        <v>17535</v>
      </c>
      <c r="J11990" s="30" t="s">
        <v>17536</v>
      </c>
      <c r="L11990" s="30" t="s">
        <v>815</v>
      </c>
      <c r="N11990" s="30" t="s">
        <v>464</v>
      </c>
      <c r="P11990" s="30" t="s">
        <v>10573</v>
      </c>
      <c r="Q11990" t="s">
        <v>620</v>
      </c>
      <c r="R11990" t="s">
        <v>920</v>
      </c>
      <c r="S11990">
        <v>39</v>
      </c>
      <c r="T11990" s="29" t="str">
        <f t="shared" si="501"/>
        <v>2023.024M.Bunyaviricetes.zip</v>
      </c>
      <c r="U11990" s="29" t="str">
        <f>HYPERLINK("https://ictv.global/taxonomy/taxondetails?taxnode_id=202314247","ictv.global=202314247")</f>
        <v>ictv.global=202314247</v>
      </c>
    </row>
    <row r="11991" spans="1:21">
      <c r="A11991">
        <v>11990</v>
      </c>
      <c r="B11991" s="30" t="s">
        <v>1226</v>
      </c>
      <c r="D11991" s="30" t="s">
        <v>2024</v>
      </c>
      <c r="F11991" s="30" t="s">
        <v>1040</v>
      </c>
      <c r="G11991" s="30" t="s">
        <v>1061</v>
      </c>
      <c r="H11991" s="30" t="s">
        <v>17535</v>
      </c>
      <c r="J11991" s="30" t="s">
        <v>17536</v>
      </c>
      <c r="L11991" s="30" t="s">
        <v>815</v>
      </c>
      <c r="N11991" s="30" t="s">
        <v>464</v>
      </c>
      <c r="P11991" s="30" t="s">
        <v>10574</v>
      </c>
      <c r="Q11991" t="s">
        <v>620</v>
      </c>
      <c r="R11991" t="s">
        <v>920</v>
      </c>
      <c r="S11991">
        <v>39</v>
      </c>
      <c r="T11991" s="29" t="str">
        <f t="shared" si="501"/>
        <v>2023.024M.Bunyaviricetes.zip</v>
      </c>
      <c r="U11991" s="29" t="str">
        <f>HYPERLINK("https://ictv.global/taxonomy/taxondetails?taxnode_id=202300126","ictv.global=202300126")</f>
        <v>ictv.global=202300126</v>
      </c>
    </row>
    <row r="11992" spans="1:21">
      <c r="A11992">
        <v>11991</v>
      </c>
      <c r="B11992" s="30" t="s">
        <v>1226</v>
      </c>
      <c r="D11992" s="30" t="s">
        <v>2024</v>
      </c>
      <c r="F11992" s="30" t="s">
        <v>1040</v>
      </c>
      <c r="G11992" s="30" t="s">
        <v>1061</v>
      </c>
      <c r="H11992" s="30" t="s">
        <v>17535</v>
      </c>
      <c r="J11992" s="30" t="s">
        <v>17536</v>
      </c>
      <c r="L11992" s="30" t="s">
        <v>815</v>
      </c>
      <c r="N11992" s="30" t="s">
        <v>464</v>
      </c>
      <c r="P11992" s="30" t="s">
        <v>10575</v>
      </c>
      <c r="Q11992" t="s">
        <v>620</v>
      </c>
      <c r="R11992" t="s">
        <v>920</v>
      </c>
      <c r="S11992">
        <v>39</v>
      </c>
      <c r="T11992" s="29" t="str">
        <f t="shared" si="501"/>
        <v>2023.024M.Bunyaviricetes.zip</v>
      </c>
      <c r="U11992" s="29" t="str">
        <f>HYPERLINK("https://ictv.global/taxonomy/taxondetails?taxnode_id=202309328","ictv.global=202309328")</f>
        <v>ictv.global=202309328</v>
      </c>
    </row>
    <row r="11993" spans="1:21">
      <c r="A11993">
        <v>11992</v>
      </c>
      <c r="B11993" s="30" t="s">
        <v>1226</v>
      </c>
      <c r="D11993" s="30" t="s">
        <v>2024</v>
      </c>
      <c r="F11993" s="30" t="s">
        <v>1040</v>
      </c>
      <c r="G11993" s="30" t="s">
        <v>1061</v>
      </c>
      <c r="H11993" s="30" t="s">
        <v>17535</v>
      </c>
      <c r="J11993" s="30" t="s">
        <v>17536</v>
      </c>
      <c r="L11993" s="30" t="s">
        <v>815</v>
      </c>
      <c r="N11993" s="30" t="s">
        <v>464</v>
      </c>
      <c r="P11993" s="30" t="s">
        <v>10576</v>
      </c>
      <c r="Q11993" t="s">
        <v>620</v>
      </c>
      <c r="R11993" t="s">
        <v>920</v>
      </c>
      <c r="S11993">
        <v>39</v>
      </c>
      <c r="T11993" s="29" t="str">
        <f t="shared" si="501"/>
        <v>2023.024M.Bunyaviricetes.zip</v>
      </c>
      <c r="U11993" s="29" t="str">
        <f>HYPERLINK("https://ictv.global/taxonomy/taxondetails?taxnode_id=202306359","ictv.global=202306359")</f>
        <v>ictv.global=202306359</v>
      </c>
    </row>
    <row r="11994" spans="1:21">
      <c r="A11994">
        <v>11993</v>
      </c>
      <c r="B11994" s="30" t="s">
        <v>1226</v>
      </c>
      <c r="D11994" s="30" t="s">
        <v>2024</v>
      </c>
      <c r="F11994" s="30" t="s">
        <v>1040</v>
      </c>
      <c r="G11994" s="30" t="s">
        <v>1061</v>
      </c>
      <c r="H11994" s="30" t="s">
        <v>17535</v>
      </c>
      <c r="J11994" s="30" t="s">
        <v>17536</v>
      </c>
      <c r="L11994" s="30" t="s">
        <v>815</v>
      </c>
      <c r="N11994" s="30" t="s">
        <v>464</v>
      </c>
      <c r="P11994" s="30" t="s">
        <v>10577</v>
      </c>
      <c r="Q11994" t="s">
        <v>620</v>
      </c>
      <c r="R11994" t="s">
        <v>920</v>
      </c>
      <c r="S11994">
        <v>39</v>
      </c>
      <c r="T11994" s="29" t="str">
        <f t="shared" si="501"/>
        <v>2023.024M.Bunyaviricetes.zip</v>
      </c>
      <c r="U11994" s="29" t="str">
        <f>HYPERLINK("https://ictv.global/taxonomy/taxondetails?taxnode_id=202314228","ictv.global=202314228")</f>
        <v>ictv.global=202314228</v>
      </c>
    </row>
    <row r="11995" spans="1:21">
      <c r="A11995">
        <v>11994</v>
      </c>
      <c r="B11995" s="30" t="s">
        <v>1226</v>
      </c>
      <c r="D11995" s="30" t="s">
        <v>2024</v>
      </c>
      <c r="F11995" s="30" t="s">
        <v>1040</v>
      </c>
      <c r="G11995" s="30" t="s">
        <v>1061</v>
      </c>
      <c r="H11995" s="30" t="s">
        <v>17535</v>
      </c>
      <c r="J11995" s="30" t="s">
        <v>17536</v>
      </c>
      <c r="L11995" s="30" t="s">
        <v>815</v>
      </c>
      <c r="N11995" s="30" t="s">
        <v>464</v>
      </c>
      <c r="P11995" s="30" t="s">
        <v>10578</v>
      </c>
      <c r="Q11995" t="s">
        <v>620</v>
      </c>
      <c r="R11995" t="s">
        <v>920</v>
      </c>
      <c r="S11995">
        <v>39</v>
      </c>
      <c r="T11995" s="29" t="str">
        <f t="shared" si="501"/>
        <v>2023.024M.Bunyaviricetes.zip</v>
      </c>
      <c r="U11995" s="29" t="str">
        <f>HYPERLINK("https://ictv.global/taxonomy/taxondetails?taxnode_id=202300128","ictv.global=202300128")</f>
        <v>ictv.global=202300128</v>
      </c>
    </row>
    <row r="11996" spans="1:21">
      <c r="A11996">
        <v>11995</v>
      </c>
      <c r="B11996" s="30" t="s">
        <v>1226</v>
      </c>
      <c r="D11996" s="30" t="s">
        <v>2024</v>
      </c>
      <c r="F11996" s="30" t="s">
        <v>1040</v>
      </c>
      <c r="G11996" s="30" t="s">
        <v>1061</v>
      </c>
      <c r="H11996" s="30" t="s">
        <v>17535</v>
      </c>
      <c r="J11996" s="30" t="s">
        <v>17536</v>
      </c>
      <c r="L11996" s="30" t="s">
        <v>815</v>
      </c>
      <c r="N11996" s="30" t="s">
        <v>464</v>
      </c>
      <c r="P11996" s="30" t="s">
        <v>10579</v>
      </c>
      <c r="Q11996" t="s">
        <v>620</v>
      </c>
      <c r="R11996" t="s">
        <v>920</v>
      </c>
      <c r="S11996">
        <v>39</v>
      </c>
      <c r="T11996" s="29" t="str">
        <f t="shared" si="501"/>
        <v>2023.024M.Bunyaviricetes.zip</v>
      </c>
      <c r="U11996" s="29" t="str">
        <f>HYPERLINK("https://ictv.global/taxonomy/taxondetails?taxnode_id=202300129","ictv.global=202300129")</f>
        <v>ictv.global=202300129</v>
      </c>
    </row>
    <row r="11997" spans="1:21">
      <c r="A11997">
        <v>11996</v>
      </c>
      <c r="B11997" s="30" t="s">
        <v>1226</v>
      </c>
      <c r="D11997" s="30" t="s">
        <v>2024</v>
      </c>
      <c r="F11997" s="30" t="s">
        <v>1040</v>
      </c>
      <c r="G11997" s="30" t="s">
        <v>1061</v>
      </c>
      <c r="H11997" s="30" t="s">
        <v>17535</v>
      </c>
      <c r="J11997" s="30" t="s">
        <v>17536</v>
      </c>
      <c r="L11997" s="30" t="s">
        <v>815</v>
      </c>
      <c r="N11997" s="30" t="s">
        <v>464</v>
      </c>
      <c r="P11997" s="30" t="s">
        <v>10580</v>
      </c>
      <c r="Q11997" t="s">
        <v>620</v>
      </c>
      <c r="R11997" t="s">
        <v>920</v>
      </c>
      <c r="S11997">
        <v>39</v>
      </c>
      <c r="T11997" s="29" t="str">
        <f t="shared" si="501"/>
        <v>2023.024M.Bunyaviricetes.zip</v>
      </c>
      <c r="U11997" s="29" t="str">
        <f>HYPERLINK("https://ictv.global/taxonomy/taxondetails?taxnode_id=202306387","ictv.global=202306387")</f>
        <v>ictv.global=202306387</v>
      </c>
    </row>
    <row r="11998" spans="1:21">
      <c r="A11998">
        <v>11997</v>
      </c>
      <c r="B11998" s="30" t="s">
        <v>1226</v>
      </c>
      <c r="D11998" s="30" t="s">
        <v>2024</v>
      </c>
      <c r="F11998" s="30" t="s">
        <v>1040</v>
      </c>
      <c r="G11998" s="30" t="s">
        <v>1061</v>
      </c>
      <c r="H11998" s="30" t="s">
        <v>17535</v>
      </c>
      <c r="J11998" s="30" t="s">
        <v>17536</v>
      </c>
      <c r="L11998" s="30" t="s">
        <v>815</v>
      </c>
      <c r="N11998" s="30" t="s">
        <v>464</v>
      </c>
      <c r="P11998" s="30" t="s">
        <v>10581</v>
      </c>
      <c r="Q11998" t="s">
        <v>620</v>
      </c>
      <c r="R11998" t="s">
        <v>920</v>
      </c>
      <c r="S11998">
        <v>39</v>
      </c>
      <c r="T11998" s="29" t="str">
        <f t="shared" si="501"/>
        <v>2023.024M.Bunyaviricetes.zip</v>
      </c>
      <c r="U11998" s="29" t="str">
        <f>HYPERLINK("https://ictv.global/taxonomy/taxondetails?taxnode_id=202309329","ictv.global=202309329")</f>
        <v>ictv.global=202309329</v>
      </c>
    </row>
    <row r="11999" spans="1:21">
      <c r="A11999">
        <v>11998</v>
      </c>
      <c r="B11999" s="30" t="s">
        <v>1226</v>
      </c>
      <c r="D11999" s="30" t="s">
        <v>2024</v>
      </c>
      <c r="F11999" s="30" t="s">
        <v>1040</v>
      </c>
      <c r="G11999" s="30" t="s">
        <v>1061</v>
      </c>
      <c r="H11999" s="30" t="s">
        <v>17535</v>
      </c>
      <c r="J11999" s="30" t="s">
        <v>17536</v>
      </c>
      <c r="L11999" s="30" t="s">
        <v>815</v>
      </c>
      <c r="N11999" s="30" t="s">
        <v>464</v>
      </c>
      <c r="P11999" s="30" t="s">
        <v>17560</v>
      </c>
      <c r="Q11999" t="s">
        <v>620</v>
      </c>
      <c r="R11999" t="s">
        <v>917</v>
      </c>
      <c r="S11999">
        <v>39</v>
      </c>
      <c r="T11999" s="29" t="str">
        <f>HYPERLINK("https://ictv.global/ictv/proposals/2023.031M.Peribunyaviridae_1ng_7nsp.zip","2023.031M.Peribunyaviridae_1ng_7nsp.zip")</f>
        <v>2023.031M.Peribunyaviridae_1ng_7nsp.zip</v>
      </c>
      <c r="U11999" s="29" t="str">
        <f>HYPERLINK("https://ictv.global/taxonomy/taxondetails?taxnode_id=202319066","ictv.global=202319066")</f>
        <v>ictv.global=202319066</v>
      </c>
    </row>
    <row r="12000" spans="1:21">
      <c r="A12000">
        <v>11999</v>
      </c>
      <c r="B12000" s="30" t="s">
        <v>1226</v>
      </c>
      <c r="D12000" s="30" t="s">
        <v>2024</v>
      </c>
      <c r="F12000" s="30" t="s">
        <v>1040</v>
      </c>
      <c r="G12000" s="30" t="s">
        <v>1061</v>
      </c>
      <c r="H12000" s="30" t="s">
        <v>17535</v>
      </c>
      <c r="J12000" s="30" t="s">
        <v>17536</v>
      </c>
      <c r="L12000" s="30" t="s">
        <v>815</v>
      </c>
      <c r="N12000" s="30" t="s">
        <v>464</v>
      </c>
      <c r="P12000" s="30" t="s">
        <v>10582</v>
      </c>
      <c r="Q12000" t="s">
        <v>620</v>
      </c>
      <c r="R12000" t="s">
        <v>920</v>
      </c>
      <c r="S12000">
        <v>39</v>
      </c>
      <c r="T12000" s="29" t="str">
        <f t="shared" ref="T12000:T12016" si="502">HYPERLINK("https://ictv.global/ictv/proposals/2023.024M.Bunyaviricetes.zip","2023.024M.Bunyaviricetes.zip")</f>
        <v>2023.024M.Bunyaviricetes.zip</v>
      </c>
      <c r="U12000" s="29" t="str">
        <f>HYPERLINK("https://ictv.global/taxonomy/taxondetails?taxnode_id=202300130","ictv.global=202300130")</f>
        <v>ictv.global=202300130</v>
      </c>
    </row>
    <row r="12001" spans="1:21">
      <c r="A12001">
        <v>12000</v>
      </c>
      <c r="B12001" s="30" t="s">
        <v>1226</v>
      </c>
      <c r="D12001" s="30" t="s">
        <v>2024</v>
      </c>
      <c r="F12001" s="30" t="s">
        <v>1040</v>
      </c>
      <c r="G12001" s="30" t="s">
        <v>1061</v>
      </c>
      <c r="H12001" s="30" t="s">
        <v>17535</v>
      </c>
      <c r="J12001" s="30" t="s">
        <v>17536</v>
      </c>
      <c r="L12001" s="30" t="s">
        <v>815</v>
      </c>
      <c r="N12001" s="30" t="s">
        <v>464</v>
      </c>
      <c r="P12001" s="30" t="s">
        <v>10583</v>
      </c>
      <c r="Q12001" t="s">
        <v>620</v>
      </c>
      <c r="R12001" t="s">
        <v>920</v>
      </c>
      <c r="S12001">
        <v>39</v>
      </c>
      <c r="T12001" s="29" t="str">
        <f t="shared" si="502"/>
        <v>2023.024M.Bunyaviricetes.zip</v>
      </c>
      <c r="U12001" s="29" t="str">
        <f>HYPERLINK("https://ictv.global/taxonomy/taxondetails?taxnode_id=202306372","ictv.global=202306372")</f>
        <v>ictv.global=202306372</v>
      </c>
    </row>
    <row r="12002" spans="1:21">
      <c r="A12002">
        <v>12001</v>
      </c>
      <c r="B12002" s="30" t="s">
        <v>1226</v>
      </c>
      <c r="D12002" s="30" t="s">
        <v>2024</v>
      </c>
      <c r="F12002" s="30" t="s">
        <v>1040</v>
      </c>
      <c r="G12002" s="30" t="s">
        <v>1061</v>
      </c>
      <c r="H12002" s="30" t="s">
        <v>17535</v>
      </c>
      <c r="J12002" s="30" t="s">
        <v>17536</v>
      </c>
      <c r="L12002" s="30" t="s">
        <v>815</v>
      </c>
      <c r="N12002" s="30" t="s">
        <v>464</v>
      </c>
      <c r="P12002" s="30" t="s">
        <v>10584</v>
      </c>
      <c r="Q12002" t="s">
        <v>620</v>
      </c>
      <c r="R12002" t="s">
        <v>920</v>
      </c>
      <c r="S12002">
        <v>39</v>
      </c>
      <c r="T12002" s="29" t="str">
        <f t="shared" si="502"/>
        <v>2023.024M.Bunyaviricetes.zip</v>
      </c>
      <c r="U12002" s="29" t="str">
        <f>HYPERLINK("https://ictv.global/taxonomy/taxondetails?taxnode_id=202314243","ictv.global=202314243")</f>
        <v>ictv.global=202314243</v>
      </c>
    </row>
    <row r="12003" spans="1:21">
      <c r="A12003">
        <v>12002</v>
      </c>
      <c r="B12003" s="30" t="s">
        <v>1226</v>
      </c>
      <c r="D12003" s="30" t="s">
        <v>2024</v>
      </c>
      <c r="F12003" s="30" t="s">
        <v>1040</v>
      </c>
      <c r="G12003" s="30" t="s">
        <v>1061</v>
      </c>
      <c r="H12003" s="30" t="s">
        <v>17535</v>
      </c>
      <c r="J12003" s="30" t="s">
        <v>17536</v>
      </c>
      <c r="L12003" s="30" t="s">
        <v>815</v>
      </c>
      <c r="N12003" s="30" t="s">
        <v>464</v>
      </c>
      <c r="P12003" s="30" t="s">
        <v>10585</v>
      </c>
      <c r="Q12003" t="s">
        <v>620</v>
      </c>
      <c r="R12003" t="s">
        <v>920</v>
      </c>
      <c r="S12003">
        <v>39</v>
      </c>
      <c r="T12003" s="29" t="str">
        <f t="shared" si="502"/>
        <v>2023.024M.Bunyaviricetes.zip</v>
      </c>
      <c r="U12003" s="29" t="str">
        <f>HYPERLINK("https://ictv.global/taxonomy/taxondetails?taxnode_id=202306598","ictv.global=202306598")</f>
        <v>ictv.global=202306598</v>
      </c>
    </row>
    <row r="12004" spans="1:21">
      <c r="A12004">
        <v>12003</v>
      </c>
      <c r="B12004" s="30" t="s">
        <v>1226</v>
      </c>
      <c r="D12004" s="30" t="s">
        <v>2024</v>
      </c>
      <c r="F12004" s="30" t="s">
        <v>1040</v>
      </c>
      <c r="G12004" s="30" t="s">
        <v>1061</v>
      </c>
      <c r="H12004" s="30" t="s">
        <v>17535</v>
      </c>
      <c r="J12004" s="30" t="s">
        <v>17536</v>
      </c>
      <c r="L12004" s="30" t="s">
        <v>815</v>
      </c>
      <c r="N12004" s="30" t="s">
        <v>464</v>
      </c>
      <c r="P12004" s="30" t="s">
        <v>10586</v>
      </c>
      <c r="Q12004" t="s">
        <v>620</v>
      </c>
      <c r="R12004" t="s">
        <v>920</v>
      </c>
      <c r="S12004">
        <v>39</v>
      </c>
      <c r="T12004" s="29" t="str">
        <f t="shared" si="502"/>
        <v>2023.024M.Bunyaviricetes.zip</v>
      </c>
      <c r="U12004" s="29" t="str">
        <f>HYPERLINK("https://ictv.global/taxonomy/taxondetails?taxnode_id=202314224","ictv.global=202314224")</f>
        <v>ictv.global=202314224</v>
      </c>
    </row>
    <row r="12005" spans="1:21">
      <c r="A12005">
        <v>12004</v>
      </c>
      <c r="B12005" s="30" t="s">
        <v>1226</v>
      </c>
      <c r="D12005" s="30" t="s">
        <v>2024</v>
      </c>
      <c r="F12005" s="30" t="s">
        <v>1040</v>
      </c>
      <c r="G12005" s="30" t="s">
        <v>1061</v>
      </c>
      <c r="H12005" s="30" t="s">
        <v>17535</v>
      </c>
      <c r="J12005" s="30" t="s">
        <v>17536</v>
      </c>
      <c r="L12005" s="30" t="s">
        <v>815</v>
      </c>
      <c r="N12005" s="30" t="s">
        <v>464</v>
      </c>
      <c r="P12005" s="30" t="s">
        <v>10587</v>
      </c>
      <c r="Q12005" t="s">
        <v>620</v>
      </c>
      <c r="R12005" t="s">
        <v>920</v>
      </c>
      <c r="S12005">
        <v>39</v>
      </c>
      <c r="T12005" s="29" t="str">
        <f t="shared" si="502"/>
        <v>2023.024M.Bunyaviricetes.zip</v>
      </c>
      <c r="U12005" s="29" t="str">
        <f>HYPERLINK("https://ictv.global/taxonomy/taxondetails?taxnode_id=202306363","ictv.global=202306363")</f>
        <v>ictv.global=202306363</v>
      </c>
    </row>
    <row r="12006" spans="1:21">
      <c r="A12006">
        <v>12005</v>
      </c>
      <c r="B12006" s="30" t="s">
        <v>1226</v>
      </c>
      <c r="D12006" s="30" t="s">
        <v>2024</v>
      </c>
      <c r="F12006" s="30" t="s">
        <v>1040</v>
      </c>
      <c r="G12006" s="30" t="s">
        <v>1061</v>
      </c>
      <c r="H12006" s="30" t="s">
        <v>17535</v>
      </c>
      <c r="J12006" s="30" t="s">
        <v>17536</v>
      </c>
      <c r="L12006" s="30" t="s">
        <v>815</v>
      </c>
      <c r="N12006" s="30" t="s">
        <v>464</v>
      </c>
      <c r="P12006" s="30" t="s">
        <v>10588</v>
      </c>
      <c r="Q12006" t="s">
        <v>620</v>
      </c>
      <c r="R12006" t="s">
        <v>920</v>
      </c>
      <c r="S12006">
        <v>39</v>
      </c>
      <c r="T12006" s="29" t="str">
        <f t="shared" si="502"/>
        <v>2023.024M.Bunyaviricetes.zip</v>
      </c>
      <c r="U12006" s="29" t="str">
        <f>HYPERLINK("https://ictv.global/taxonomy/taxondetails?taxnode_id=202314244","ictv.global=202314244")</f>
        <v>ictv.global=202314244</v>
      </c>
    </row>
    <row r="12007" spans="1:21">
      <c r="A12007">
        <v>12006</v>
      </c>
      <c r="B12007" s="30" t="s">
        <v>1226</v>
      </c>
      <c r="D12007" s="30" t="s">
        <v>2024</v>
      </c>
      <c r="F12007" s="30" t="s">
        <v>1040</v>
      </c>
      <c r="G12007" s="30" t="s">
        <v>1061</v>
      </c>
      <c r="H12007" s="30" t="s">
        <v>17535</v>
      </c>
      <c r="J12007" s="30" t="s">
        <v>17536</v>
      </c>
      <c r="L12007" s="30" t="s">
        <v>815</v>
      </c>
      <c r="N12007" s="30" t="s">
        <v>464</v>
      </c>
      <c r="P12007" s="30" t="s">
        <v>10589</v>
      </c>
      <c r="Q12007" t="s">
        <v>620</v>
      </c>
      <c r="R12007" t="s">
        <v>920</v>
      </c>
      <c r="S12007">
        <v>39</v>
      </c>
      <c r="T12007" s="29" t="str">
        <f t="shared" si="502"/>
        <v>2023.024M.Bunyaviricetes.zip</v>
      </c>
      <c r="U12007" s="29" t="str">
        <f>HYPERLINK("https://ictv.global/taxonomy/taxondetails?taxnode_id=202300131","ictv.global=202300131")</f>
        <v>ictv.global=202300131</v>
      </c>
    </row>
    <row r="12008" spans="1:21">
      <c r="A12008">
        <v>12007</v>
      </c>
      <c r="B12008" s="30" t="s">
        <v>1226</v>
      </c>
      <c r="D12008" s="30" t="s">
        <v>2024</v>
      </c>
      <c r="F12008" s="30" t="s">
        <v>1040</v>
      </c>
      <c r="G12008" s="30" t="s">
        <v>1061</v>
      </c>
      <c r="H12008" s="30" t="s">
        <v>17535</v>
      </c>
      <c r="J12008" s="30" t="s">
        <v>17536</v>
      </c>
      <c r="L12008" s="30" t="s">
        <v>815</v>
      </c>
      <c r="N12008" s="30" t="s">
        <v>464</v>
      </c>
      <c r="P12008" s="30" t="s">
        <v>10590</v>
      </c>
      <c r="Q12008" t="s">
        <v>620</v>
      </c>
      <c r="R12008" t="s">
        <v>920</v>
      </c>
      <c r="S12008">
        <v>39</v>
      </c>
      <c r="T12008" s="29" t="str">
        <f t="shared" si="502"/>
        <v>2023.024M.Bunyaviricetes.zip</v>
      </c>
      <c r="U12008" s="29" t="str">
        <f>HYPERLINK("https://ictv.global/taxonomy/taxondetails?taxnode_id=202300132","ictv.global=202300132")</f>
        <v>ictv.global=202300132</v>
      </c>
    </row>
    <row r="12009" spans="1:21">
      <c r="A12009">
        <v>12008</v>
      </c>
      <c r="B12009" s="30" t="s">
        <v>1226</v>
      </c>
      <c r="D12009" s="30" t="s">
        <v>2024</v>
      </c>
      <c r="F12009" s="30" t="s">
        <v>1040</v>
      </c>
      <c r="G12009" s="30" t="s">
        <v>1061</v>
      </c>
      <c r="H12009" s="30" t="s">
        <v>17535</v>
      </c>
      <c r="J12009" s="30" t="s">
        <v>17536</v>
      </c>
      <c r="L12009" s="30" t="s">
        <v>815</v>
      </c>
      <c r="N12009" s="30" t="s">
        <v>464</v>
      </c>
      <c r="P12009" s="30" t="s">
        <v>10591</v>
      </c>
      <c r="Q12009" t="s">
        <v>620</v>
      </c>
      <c r="R12009" t="s">
        <v>920</v>
      </c>
      <c r="S12009">
        <v>39</v>
      </c>
      <c r="T12009" s="29" t="str">
        <f t="shared" si="502"/>
        <v>2023.024M.Bunyaviricetes.zip</v>
      </c>
      <c r="U12009" s="29" t="str">
        <f>HYPERLINK("https://ictv.global/taxonomy/taxondetails?taxnode_id=202300133","ictv.global=202300133")</f>
        <v>ictv.global=202300133</v>
      </c>
    </row>
    <row r="12010" spans="1:21">
      <c r="A12010">
        <v>12009</v>
      </c>
      <c r="B12010" s="30" t="s">
        <v>1226</v>
      </c>
      <c r="D12010" s="30" t="s">
        <v>2024</v>
      </c>
      <c r="F12010" s="30" t="s">
        <v>1040</v>
      </c>
      <c r="G12010" s="30" t="s">
        <v>1061</v>
      </c>
      <c r="H12010" s="30" t="s">
        <v>17535</v>
      </c>
      <c r="J12010" s="30" t="s">
        <v>17536</v>
      </c>
      <c r="L12010" s="30" t="s">
        <v>815</v>
      </c>
      <c r="N12010" s="30" t="s">
        <v>464</v>
      </c>
      <c r="P12010" s="30" t="s">
        <v>10592</v>
      </c>
      <c r="Q12010" t="s">
        <v>620</v>
      </c>
      <c r="R12010" t="s">
        <v>920</v>
      </c>
      <c r="S12010">
        <v>39</v>
      </c>
      <c r="T12010" s="29" t="str">
        <f t="shared" si="502"/>
        <v>2023.024M.Bunyaviricetes.zip</v>
      </c>
      <c r="U12010" s="29" t="str">
        <f>HYPERLINK("https://ictv.global/taxonomy/taxondetails?taxnode_id=202309330","ictv.global=202309330")</f>
        <v>ictv.global=202309330</v>
      </c>
    </row>
    <row r="12011" spans="1:21">
      <c r="A12011">
        <v>12010</v>
      </c>
      <c r="B12011" s="30" t="s">
        <v>1226</v>
      </c>
      <c r="D12011" s="30" t="s">
        <v>2024</v>
      </c>
      <c r="F12011" s="30" t="s">
        <v>1040</v>
      </c>
      <c r="G12011" s="30" t="s">
        <v>1061</v>
      </c>
      <c r="H12011" s="30" t="s">
        <v>17535</v>
      </c>
      <c r="J12011" s="30" t="s">
        <v>17536</v>
      </c>
      <c r="L12011" s="30" t="s">
        <v>815</v>
      </c>
      <c r="N12011" s="30" t="s">
        <v>464</v>
      </c>
      <c r="P12011" s="30" t="s">
        <v>10593</v>
      </c>
      <c r="Q12011" t="s">
        <v>620</v>
      </c>
      <c r="R12011" t="s">
        <v>920</v>
      </c>
      <c r="S12011">
        <v>39</v>
      </c>
      <c r="T12011" s="29" t="str">
        <f t="shared" si="502"/>
        <v>2023.024M.Bunyaviricetes.zip</v>
      </c>
      <c r="U12011" s="29" t="str">
        <f>HYPERLINK("https://ictv.global/taxonomy/taxondetails?taxnode_id=202300134","ictv.global=202300134")</f>
        <v>ictv.global=202300134</v>
      </c>
    </row>
    <row r="12012" spans="1:21">
      <c r="A12012">
        <v>12011</v>
      </c>
      <c r="B12012" s="30" t="s">
        <v>1226</v>
      </c>
      <c r="D12012" s="30" t="s">
        <v>2024</v>
      </c>
      <c r="F12012" s="30" t="s">
        <v>1040</v>
      </c>
      <c r="G12012" s="30" t="s">
        <v>1061</v>
      </c>
      <c r="H12012" s="30" t="s">
        <v>17535</v>
      </c>
      <c r="J12012" s="30" t="s">
        <v>17536</v>
      </c>
      <c r="L12012" s="30" t="s">
        <v>815</v>
      </c>
      <c r="N12012" s="30" t="s">
        <v>464</v>
      </c>
      <c r="P12012" s="30" t="s">
        <v>10594</v>
      </c>
      <c r="Q12012" t="s">
        <v>620</v>
      </c>
      <c r="R12012" t="s">
        <v>920</v>
      </c>
      <c r="S12012">
        <v>39</v>
      </c>
      <c r="T12012" s="29" t="str">
        <f t="shared" si="502"/>
        <v>2023.024M.Bunyaviricetes.zip</v>
      </c>
      <c r="U12012" s="29" t="str">
        <f>HYPERLINK("https://ictv.global/taxonomy/taxondetails?taxnode_id=202314234","ictv.global=202314234")</f>
        <v>ictv.global=202314234</v>
      </c>
    </row>
    <row r="12013" spans="1:21">
      <c r="A12013">
        <v>12012</v>
      </c>
      <c r="B12013" s="30" t="s">
        <v>1226</v>
      </c>
      <c r="D12013" s="30" t="s">
        <v>2024</v>
      </c>
      <c r="F12013" s="30" t="s">
        <v>1040</v>
      </c>
      <c r="G12013" s="30" t="s">
        <v>1061</v>
      </c>
      <c r="H12013" s="30" t="s">
        <v>17535</v>
      </c>
      <c r="J12013" s="30" t="s">
        <v>17536</v>
      </c>
      <c r="L12013" s="30" t="s">
        <v>815</v>
      </c>
      <c r="N12013" s="30" t="s">
        <v>464</v>
      </c>
      <c r="P12013" s="30" t="s">
        <v>10595</v>
      </c>
      <c r="Q12013" t="s">
        <v>620</v>
      </c>
      <c r="R12013" t="s">
        <v>920</v>
      </c>
      <c r="S12013">
        <v>39</v>
      </c>
      <c r="T12013" s="29" t="str">
        <f t="shared" si="502"/>
        <v>2023.024M.Bunyaviricetes.zip</v>
      </c>
      <c r="U12013" s="29" t="str">
        <f>HYPERLINK("https://ictv.global/taxonomy/taxondetails?taxnode_id=202306379","ictv.global=202306379")</f>
        <v>ictv.global=202306379</v>
      </c>
    </row>
    <row r="12014" spans="1:21">
      <c r="A12014">
        <v>12013</v>
      </c>
      <c r="B12014" s="30" t="s">
        <v>1226</v>
      </c>
      <c r="D12014" s="30" t="s">
        <v>2024</v>
      </c>
      <c r="F12014" s="30" t="s">
        <v>1040</v>
      </c>
      <c r="G12014" s="30" t="s">
        <v>1061</v>
      </c>
      <c r="H12014" s="30" t="s">
        <v>17535</v>
      </c>
      <c r="J12014" s="30" t="s">
        <v>17536</v>
      </c>
      <c r="L12014" s="30" t="s">
        <v>815</v>
      </c>
      <c r="N12014" s="30" t="s">
        <v>464</v>
      </c>
      <c r="P12014" s="30" t="s">
        <v>10596</v>
      </c>
      <c r="Q12014" t="s">
        <v>620</v>
      </c>
      <c r="R12014" t="s">
        <v>920</v>
      </c>
      <c r="S12014">
        <v>39</v>
      </c>
      <c r="T12014" s="29" t="str">
        <f t="shared" si="502"/>
        <v>2023.024M.Bunyaviricetes.zip</v>
      </c>
      <c r="U12014" s="29" t="str">
        <f>HYPERLINK("https://ictv.global/taxonomy/taxondetails?taxnode_id=202306599","ictv.global=202306599")</f>
        <v>ictv.global=202306599</v>
      </c>
    </row>
    <row r="12015" spans="1:21">
      <c r="A12015">
        <v>12014</v>
      </c>
      <c r="B12015" s="30" t="s">
        <v>1226</v>
      </c>
      <c r="D12015" s="30" t="s">
        <v>2024</v>
      </c>
      <c r="F12015" s="30" t="s">
        <v>1040</v>
      </c>
      <c r="G12015" s="30" t="s">
        <v>1061</v>
      </c>
      <c r="H12015" s="30" t="s">
        <v>17535</v>
      </c>
      <c r="J12015" s="30" t="s">
        <v>17536</v>
      </c>
      <c r="L12015" s="30" t="s">
        <v>815</v>
      </c>
      <c r="N12015" s="30" t="s">
        <v>464</v>
      </c>
      <c r="P12015" s="30" t="s">
        <v>10597</v>
      </c>
      <c r="Q12015" t="s">
        <v>620</v>
      </c>
      <c r="R12015" t="s">
        <v>920</v>
      </c>
      <c r="S12015">
        <v>39</v>
      </c>
      <c r="T12015" s="29" t="str">
        <f t="shared" si="502"/>
        <v>2023.024M.Bunyaviricetes.zip</v>
      </c>
      <c r="U12015" s="29" t="str">
        <f>HYPERLINK("https://ictv.global/taxonomy/taxondetails?taxnode_id=202305464","ictv.global=202305464")</f>
        <v>ictv.global=202305464</v>
      </c>
    </row>
    <row r="12016" spans="1:21">
      <c r="A12016">
        <v>12015</v>
      </c>
      <c r="B12016" s="30" t="s">
        <v>1226</v>
      </c>
      <c r="D12016" s="30" t="s">
        <v>2024</v>
      </c>
      <c r="F12016" s="30" t="s">
        <v>1040</v>
      </c>
      <c r="G12016" s="30" t="s">
        <v>1061</v>
      </c>
      <c r="H12016" s="30" t="s">
        <v>17535</v>
      </c>
      <c r="J12016" s="30" t="s">
        <v>17536</v>
      </c>
      <c r="L12016" s="30" t="s">
        <v>815</v>
      </c>
      <c r="N12016" s="30" t="s">
        <v>464</v>
      </c>
      <c r="P12016" s="30" t="s">
        <v>10598</v>
      </c>
      <c r="Q12016" t="s">
        <v>620</v>
      </c>
      <c r="R12016" t="s">
        <v>920</v>
      </c>
      <c r="S12016">
        <v>39</v>
      </c>
      <c r="T12016" s="29" t="str">
        <f t="shared" si="502"/>
        <v>2023.024M.Bunyaviricetes.zip</v>
      </c>
      <c r="U12016" s="29" t="str">
        <f>HYPERLINK("https://ictv.global/taxonomy/taxondetails?taxnode_id=202300135","ictv.global=202300135")</f>
        <v>ictv.global=202300135</v>
      </c>
    </row>
    <row r="12017" spans="1:21">
      <c r="A12017">
        <v>12016</v>
      </c>
      <c r="B12017" s="30" t="s">
        <v>1226</v>
      </c>
      <c r="D12017" s="30" t="s">
        <v>2024</v>
      </c>
      <c r="F12017" s="30" t="s">
        <v>1040</v>
      </c>
      <c r="G12017" s="30" t="s">
        <v>1061</v>
      </c>
      <c r="H12017" s="30" t="s">
        <v>17535</v>
      </c>
      <c r="J12017" s="30" t="s">
        <v>17536</v>
      </c>
      <c r="L12017" s="30" t="s">
        <v>815</v>
      </c>
      <c r="N12017" s="30" t="s">
        <v>464</v>
      </c>
      <c r="P12017" s="30" t="s">
        <v>17561</v>
      </c>
      <c r="Q12017" t="s">
        <v>620</v>
      </c>
      <c r="R12017" t="s">
        <v>917</v>
      </c>
      <c r="S12017">
        <v>39</v>
      </c>
      <c r="T12017" s="29" t="str">
        <f>HYPERLINK("https://ictv.global/ictv/proposals/2023.031M.Peribunyaviridae_1ng_7nsp.zip","2023.031M.Peribunyaviridae_1ng_7nsp.zip")</f>
        <v>2023.031M.Peribunyaviridae_1ng_7nsp.zip</v>
      </c>
      <c r="U12017" s="29" t="str">
        <f>HYPERLINK("https://ictv.global/taxonomy/taxondetails?taxnode_id=202319067","ictv.global=202319067")</f>
        <v>ictv.global=202319067</v>
      </c>
    </row>
    <row r="12018" spans="1:21">
      <c r="A12018">
        <v>12017</v>
      </c>
      <c r="B12018" s="30" t="s">
        <v>1226</v>
      </c>
      <c r="D12018" s="30" t="s">
        <v>2024</v>
      </c>
      <c r="F12018" s="30" t="s">
        <v>1040</v>
      </c>
      <c r="G12018" s="30" t="s">
        <v>1061</v>
      </c>
      <c r="H12018" s="30" t="s">
        <v>17535</v>
      </c>
      <c r="J12018" s="30" t="s">
        <v>17536</v>
      </c>
      <c r="L12018" s="30" t="s">
        <v>815</v>
      </c>
      <c r="N12018" s="30" t="s">
        <v>1255</v>
      </c>
      <c r="P12018" s="30" t="s">
        <v>10599</v>
      </c>
      <c r="Q12018" t="s">
        <v>620</v>
      </c>
      <c r="R12018" t="s">
        <v>920</v>
      </c>
      <c r="S12018">
        <v>39</v>
      </c>
      <c r="T12018" s="29" t="str">
        <f t="shared" ref="T12018:T12049" si="503">HYPERLINK("https://ictv.global/ictv/proposals/2023.024M.Bunyaviricetes.zip","2023.024M.Bunyaviricetes.zip")</f>
        <v>2023.024M.Bunyaviricetes.zip</v>
      </c>
      <c r="U12018" s="29" t="str">
        <f>HYPERLINK("https://ictv.global/taxonomy/taxondetails?taxnode_id=202307517","ictv.global=202307517")</f>
        <v>ictv.global=202307517</v>
      </c>
    </row>
    <row r="12019" spans="1:21">
      <c r="A12019">
        <v>12018</v>
      </c>
      <c r="B12019" s="30" t="s">
        <v>1226</v>
      </c>
      <c r="D12019" s="30" t="s">
        <v>2024</v>
      </c>
      <c r="F12019" s="30" t="s">
        <v>1040</v>
      </c>
      <c r="G12019" s="30" t="s">
        <v>1061</v>
      </c>
      <c r="H12019" s="30" t="s">
        <v>17535</v>
      </c>
      <c r="J12019" s="30" t="s">
        <v>17536</v>
      </c>
      <c r="L12019" s="30" t="s">
        <v>815</v>
      </c>
      <c r="N12019" s="30" t="s">
        <v>1255</v>
      </c>
      <c r="P12019" s="30" t="s">
        <v>10600</v>
      </c>
      <c r="Q12019" t="s">
        <v>620</v>
      </c>
      <c r="R12019" t="s">
        <v>920</v>
      </c>
      <c r="S12019">
        <v>39</v>
      </c>
      <c r="T12019" s="29" t="str">
        <f t="shared" si="503"/>
        <v>2023.024M.Bunyaviricetes.zip</v>
      </c>
      <c r="U12019" s="29" t="str">
        <f>HYPERLINK("https://ictv.global/taxonomy/taxondetails?taxnode_id=202300160","ictv.global=202300160")</f>
        <v>ictv.global=202300160</v>
      </c>
    </row>
    <row r="12020" spans="1:21">
      <c r="A12020">
        <v>12019</v>
      </c>
      <c r="B12020" s="30" t="s">
        <v>1226</v>
      </c>
      <c r="D12020" s="30" t="s">
        <v>2024</v>
      </c>
      <c r="F12020" s="30" t="s">
        <v>1040</v>
      </c>
      <c r="G12020" s="30" t="s">
        <v>1061</v>
      </c>
      <c r="H12020" s="30" t="s">
        <v>17535</v>
      </c>
      <c r="J12020" s="30" t="s">
        <v>17536</v>
      </c>
      <c r="L12020" s="30" t="s">
        <v>815</v>
      </c>
      <c r="N12020" s="30" t="s">
        <v>1255</v>
      </c>
      <c r="P12020" s="30" t="s">
        <v>10601</v>
      </c>
      <c r="Q12020" t="s">
        <v>620</v>
      </c>
      <c r="R12020" t="s">
        <v>920</v>
      </c>
      <c r="S12020">
        <v>39</v>
      </c>
      <c r="T12020" s="29" t="str">
        <f t="shared" si="503"/>
        <v>2023.024M.Bunyaviricetes.zip</v>
      </c>
      <c r="U12020" s="29" t="str">
        <f>HYPERLINK("https://ictv.global/taxonomy/taxondetails?taxnode_id=202306602","ictv.global=202306602")</f>
        <v>ictv.global=202306602</v>
      </c>
    </row>
    <row r="12021" spans="1:21">
      <c r="A12021">
        <v>12020</v>
      </c>
      <c r="B12021" s="30" t="s">
        <v>1226</v>
      </c>
      <c r="D12021" s="30" t="s">
        <v>2024</v>
      </c>
      <c r="F12021" s="30" t="s">
        <v>1040</v>
      </c>
      <c r="G12021" s="30" t="s">
        <v>1061</v>
      </c>
      <c r="H12021" s="30" t="s">
        <v>17535</v>
      </c>
      <c r="J12021" s="30" t="s">
        <v>17536</v>
      </c>
      <c r="L12021" s="30" t="s">
        <v>815</v>
      </c>
      <c r="N12021" s="30" t="s">
        <v>1255</v>
      </c>
      <c r="P12021" s="30" t="s">
        <v>10602</v>
      </c>
      <c r="Q12021" t="s">
        <v>620</v>
      </c>
      <c r="R12021" t="s">
        <v>920</v>
      </c>
      <c r="S12021">
        <v>39</v>
      </c>
      <c r="T12021" s="29" t="str">
        <f t="shared" si="503"/>
        <v>2023.024M.Bunyaviricetes.zip</v>
      </c>
      <c r="U12021" s="29" t="str">
        <f>HYPERLINK("https://ictv.global/taxonomy/taxondetails?taxnode_id=202306601","ictv.global=202306601")</f>
        <v>ictv.global=202306601</v>
      </c>
    </row>
    <row r="12022" spans="1:21">
      <c r="A12022">
        <v>12021</v>
      </c>
      <c r="B12022" s="30" t="s">
        <v>1226</v>
      </c>
      <c r="D12022" s="30" t="s">
        <v>2024</v>
      </c>
      <c r="F12022" s="30" t="s">
        <v>1040</v>
      </c>
      <c r="G12022" s="30" t="s">
        <v>1061</v>
      </c>
      <c r="H12022" s="30" t="s">
        <v>17535</v>
      </c>
      <c r="J12022" s="30" t="s">
        <v>17536</v>
      </c>
      <c r="L12022" s="30" t="s">
        <v>815</v>
      </c>
      <c r="N12022" s="30" t="s">
        <v>1255</v>
      </c>
      <c r="P12022" s="30" t="s">
        <v>10603</v>
      </c>
      <c r="Q12022" t="s">
        <v>620</v>
      </c>
      <c r="R12022" t="s">
        <v>920</v>
      </c>
      <c r="S12022">
        <v>39</v>
      </c>
      <c r="T12022" s="29" t="str">
        <f t="shared" si="503"/>
        <v>2023.024M.Bunyaviricetes.zip</v>
      </c>
      <c r="U12022" s="29" t="str">
        <f>HYPERLINK("https://ictv.global/taxonomy/taxondetails?taxnode_id=202306603","ictv.global=202306603")</f>
        <v>ictv.global=202306603</v>
      </c>
    </row>
    <row r="12023" spans="1:21">
      <c r="A12023">
        <v>12022</v>
      </c>
      <c r="B12023" s="30" t="s">
        <v>1226</v>
      </c>
      <c r="D12023" s="30" t="s">
        <v>2024</v>
      </c>
      <c r="F12023" s="30" t="s">
        <v>1040</v>
      </c>
      <c r="G12023" s="30" t="s">
        <v>1061</v>
      </c>
      <c r="H12023" s="30" t="s">
        <v>17535</v>
      </c>
      <c r="J12023" s="30" t="s">
        <v>17536</v>
      </c>
      <c r="L12023" s="30" t="s">
        <v>815</v>
      </c>
      <c r="N12023" s="30" t="s">
        <v>1071</v>
      </c>
      <c r="P12023" s="30" t="s">
        <v>10604</v>
      </c>
      <c r="Q12023" t="s">
        <v>620</v>
      </c>
      <c r="R12023" t="s">
        <v>920</v>
      </c>
      <c r="S12023">
        <v>39</v>
      </c>
      <c r="T12023" s="29" t="str">
        <f t="shared" si="503"/>
        <v>2023.024M.Bunyaviricetes.zip</v>
      </c>
      <c r="U12023" s="29" t="str">
        <f>HYPERLINK("https://ictv.global/taxonomy/taxondetails?taxnode_id=202300085","ictv.global=202300085")</f>
        <v>ictv.global=202300085</v>
      </c>
    </row>
    <row r="12024" spans="1:21">
      <c r="A12024">
        <v>12023</v>
      </c>
      <c r="B12024" s="30" t="s">
        <v>1226</v>
      </c>
      <c r="D12024" s="30" t="s">
        <v>2024</v>
      </c>
      <c r="F12024" s="30" t="s">
        <v>1040</v>
      </c>
      <c r="G12024" s="30" t="s">
        <v>1061</v>
      </c>
      <c r="H12024" s="30" t="s">
        <v>17535</v>
      </c>
      <c r="J12024" s="30" t="s">
        <v>17536</v>
      </c>
      <c r="L12024" s="30" t="s">
        <v>840</v>
      </c>
      <c r="N12024" s="30" t="s">
        <v>10605</v>
      </c>
      <c r="P12024" s="30" t="s">
        <v>10606</v>
      </c>
      <c r="Q12024" t="s">
        <v>620</v>
      </c>
      <c r="R12024" t="s">
        <v>920</v>
      </c>
      <c r="S12024">
        <v>39</v>
      </c>
      <c r="T12024" s="29" t="str">
        <f t="shared" si="503"/>
        <v>2023.024M.Bunyaviricetes.zip</v>
      </c>
      <c r="U12024" s="29" t="str">
        <f>HYPERLINK("https://ictv.global/taxonomy/taxondetails?taxnode_id=202312243","ictv.global=202312243")</f>
        <v>ictv.global=202312243</v>
      </c>
    </row>
    <row r="12025" spans="1:21">
      <c r="A12025">
        <v>12024</v>
      </c>
      <c r="B12025" s="30" t="s">
        <v>1226</v>
      </c>
      <c r="D12025" s="30" t="s">
        <v>2024</v>
      </c>
      <c r="F12025" s="30" t="s">
        <v>1040</v>
      </c>
      <c r="G12025" s="30" t="s">
        <v>1061</v>
      </c>
      <c r="H12025" s="30" t="s">
        <v>17535</v>
      </c>
      <c r="J12025" s="30" t="s">
        <v>17536</v>
      </c>
      <c r="L12025" s="30" t="s">
        <v>840</v>
      </c>
      <c r="N12025" s="30" t="s">
        <v>1072</v>
      </c>
      <c r="P12025" s="30" t="s">
        <v>10607</v>
      </c>
      <c r="Q12025" t="s">
        <v>620</v>
      </c>
      <c r="R12025" t="s">
        <v>920</v>
      </c>
      <c r="S12025">
        <v>39</v>
      </c>
      <c r="T12025" s="29" t="str">
        <f t="shared" si="503"/>
        <v>2023.024M.Bunyaviricetes.zip</v>
      </c>
      <c r="U12025" s="29" t="str">
        <f>HYPERLINK("https://ictv.global/taxonomy/taxondetails?taxnode_id=202300005","ictv.global=202300005")</f>
        <v>ictv.global=202300005</v>
      </c>
    </row>
    <row r="12026" spans="1:21">
      <c r="A12026">
        <v>12025</v>
      </c>
      <c r="B12026" s="30" t="s">
        <v>1226</v>
      </c>
      <c r="D12026" s="30" t="s">
        <v>2024</v>
      </c>
      <c r="F12026" s="30" t="s">
        <v>1040</v>
      </c>
      <c r="G12026" s="30" t="s">
        <v>1061</v>
      </c>
      <c r="H12026" s="30" t="s">
        <v>17535</v>
      </c>
      <c r="J12026" s="30" t="s">
        <v>17536</v>
      </c>
      <c r="L12026" s="30" t="s">
        <v>840</v>
      </c>
      <c r="N12026" s="30" t="s">
        <v>1072</v>
      </c>
      <c r="P12026" s="30" t="s">
        <v>10608</v>
      </c>
      <c r="Q12026" t="s">
        <v>620</v>
      </c>
      <c r="R12026" t="s">
        <v>920</v>
      </c>
      <c r="S12026">
        <v>39</v>
      </c>
      <c r="T12026" s="29" t="str">
        <f t="shared" si="503"/>
        <v>2023.024M.Bunyaviricetes.zip</v>
      </c>
      <c r="U12026" s="29" t="str">
        <f>HYPERLINK("https://ictv.global/taxonomy/taxondetails?taxnode_id=202314253","ictv.global=202314253")</f>
        <v>ictv.global=202314253</v>
      </c>
    </row>
    <row r="12027" spans="1:21">
      <c r="A12027">
        <v>12026</v>
      </c>
      <c r="B12027" s="30" t="s">
        <v>1226</v>
      </c>
      <c r="D12027" s="30" t="s">
        <v>2024</v>
      </c>
      <c r="F12027" s="30" t="s">
        <v>1040</v>
      </c>
      <c r="G12027" s="30" t="s">
        <v>1061</v>
      </c>
      <c r="H12027" s="30" t="s">
        <v>17535</v>
      </c>
      <c r="J12027" s="30" t="s">
        <v>17536</v>
      </c>
      <c r="L12027" s="30" t="s">
        <v>840</v>
      </c>
      <c r="N12027" s="30" t="s">
        <v>1072</v>
      </c>
      <c r="P12027" s="30" t="s">
        <v>10609</v>
      </c>
      <c r="Q12027" t="s">
        <v>620</v>
      </c>
      <c r="R12027" t="s">
        <v>920</v>
      </c>
      <c r="S12027">
        <v>39</v>
      </c>
      <c r="T12027" s="29" t="str">
        <f t="shared" si="503"/>
        <v>2023.024M.Bunyaviricetes.zip</v>
      </c>
      <c r="U12027" s="29" t="str">
        <f>HYPERLINK("https://ictv.global/taxonomy/taxondetails?taxnode_id=202309613","ictv.global=202309613")</f>
        <v>ictv.global=202309613</v>
      </c>
    </row>
    <row r="12028" spans="1:21">
      <c r="A12028">
        <v>12027</v>
      </c>
      <c r="B12028" s="30" t="s">
        <v>1226</v>
      </c>
      <c r="D12028" s="30" t="s">
        <v>2024</v>
      </c>
      <c r="F12028" s="30" t="s">
        <v>1040</v>
      </c>
      <c r="G12028" s="30" t="s">
        <v>1061</v>
      </c>
      <c r="H12028" s="30" t="s">
        <v>17535</v>
      </c>
      <c r="J12028" s="30" t="s">
        <v>17536</v>
      </c>
      <c r="L12028" s="30" t="s">
        <v>840</v>
      </c>
      <c r="N12028" s="30" t="s">
        <v>1072</v>
      </c>
      <c r="P12028" s="30" t="s">
        <v>10610</v>
      </c>
      <c r="Q12028" t="s">
        <v>620</v>
      </c>
      <c r="R12028" t="s">
        <v>920</v>
      </c>
      <c r="S12028">
        <v>39</v>
      </c>
      <c r="T12028" s="29" t="str">
        <f t="shared" si="503"/>
        <v>2023.024M.Bunyaviricetes.zip</v>
      </c>
      <c r="U12028" s="29" t="str">
        <f>HYPERLINK("https://ictv.global/taxonomy/taxondetails?taxnode_id=202309612","ictv.global=202309612")</f>
        <v>ictv.global=202309612</v>
      </c>
    </row>
    <row r="12029" spans="1:21">
      <c r="A12029">
        <v>12028</v>
      </c>
      <c r="B12029" s="30" t="s">
        <v>1226</v>
      </c>
      <c r="D12029" s="30" t="s">
        <v>2024</v>
      </c>
      <c r="F12029" s="30" t="s">
        <v>1040</v>
      </c>
      <c r="G12029" s="30" t="s">
        <v>1061</v>
      </c>
      <c r="H12029" s="30" t="s">
        <v>17535</v>
      </c>
      <c r="J12029" s="30" t="s">
        <v>17536</v>
      </c>
      <c r="L12029" s="30" t="s">
        <v>840</v>
      </c>
      <c r="N12029" s="30" t="s">
        <v>3794</v>
      </c>
      <c r="P12029" s="30" t="s">
        <v>10611</v>
      </c>
      <c r="Q12029" t="s">
        <v>620</v>
      </c>
      <c r="R12029" t="s">
        <v>920</v>
      </c>
      <c r="S12029">
        <v>39</v>
      </c>
      <c r="T12029" s="29" t="str">
        <f t="shared" si="503"/>
        <v>2023.024M.Bunyaviricetes.zip</v>
      </c>
      <c r="U12029" s="29" t="str">
        <f>HYPERLINK("https://ictv.global/taxonomy/taxondetails?taxnode_id=202309611","ictv.global=202309611")</f>
        <v>ictv.global=202309611</v>
      </c>
    </row>
    <row r="12030" spans="1:21">
      <c r="A12030">
        <v>12029</v>
      </c>
      <c r="B12030" s="30" t="s">
        <v>1226</v>
      </c>
      <c r="D12030" s="30" t="s">
        <v>2024</v>
      </c>
      <c r="F12030" s="30" t="s">
        <v>1040</v>
      </c>
      <c r="G12030" s="30" t="s">
        <v>1061</v>
      </c>
      <c r="H12030" s="30" t="s">
        <v>17535</v>
      </c>
      <c r="J12030" s="30" t="s">
        <v>17536</v>
      </c>
      <c r="L12030" s="30" t="s">
        <v>840</v>
      </c>
      <c r="N12030" s="30" t="s">
        <v>3794</v>
      </c>
      <c r="P12030" s="30" t="s">
        <v>10612</v>
      </c>
      <c r="Q12030" t="s">
        <v>620</v>
      </c>
      <c r="R12030" t="s">
        <v>920</v>
      </c>
      <c r="S12030">
        <v>39</v>
      </c>
      <c r="T12030" s="29" t="str">
        <f t="shared" si="503"/>
        <v>2023.024M.Bunyaviricetes.zip</v>
      </c>
      <c r="U12030" s="29" t="str">
        <f>HYPERLINK("https://ictv.global/taxonomy/taxondetails?taxnode_id=202309610","ictv.global=202309610")</f>
        <v>ictv.global=202309610</v>
      </c>
    </row>
    <row r="12031" spans="1:21">
      <c r="A12031">
        <v>12030</v>
      </c>
      <c r="B12031" s="30" t="s">
        <v>1226</v>
      </c>
      <c r="D12031" s="30" t="s">
        <v>2024</v>
      </c>
      <c r="F12031" s="30" t="s">
        <v>1040</v>
      </c>
      <c r="G12031" s="30" t="s">
        <v>1061</v>
      </c>
      <c r="H12031" s="30" t="s">
        <v>17535</v>
      </c>
      <c r="J12031" s="30" t="s">
        <v>17536</v>
      </c>
      <c r="L12031" s="30" t="s">
        <v>840</v>
      </c>
      <c r="N12031" s="30" t="s">
        <v>1073</v>
      </c>
      <c r="P12031" s="30" t="s">
        <v>10613</v>
      </c>
      <c r="Q12031" t="s">
        <v>620</v>
      </c>
      <c r="R12031" t="s">
        <v>920</v>
      </c>
      <c r="S12031">
        <v>39</v>
      </c>
      <c r="T12031" s="29" t="str">
        <f t="shared" si="503"/>
        <v>2023.024M.Bunyaviricetes.zip</v>
      </c>
      <c r="U12031" s="29" t="str">
        <f>HYPERLINK("https://ictv.global/taxonomy/taxondetails?taxnode_id=202300065","ictv.global=202300065")</f>
        <v>ictv.global=202300065</v>
      </c>
    </row>
    <row r="12032" spans="1:21">
      <c r="A12032">
        <v>12031</v>
      </c>
      <c r="B12032" s="30" t="s">
        <v>1226</v>
      </c>
      <c r="D12032" s="30" t="s">
        <v>2024</v>
      </c>
      <c r="F12032" s="30" t="s">
        <v>1040</v>
      </c>
      <c r="G12032" s="30" t="s">
        <v>1061</v>
      </c>
      <c r="H12032" s="30" t="s">
        <v>17535</v>
      </c>
      <c r="J12032" s="30" t="s">
        <v>17536</v>
      </c>
      <c r="L12032" s="30" t="s">
        <v>840</v>
      </c>
      <c r="N12032" s="30" t="s">
        <v>841</v>
      </c>
      <c r="P12032" s="30" t="s">
        <v>10614</v>
      </c>
      <c r="Q12032" t="s">
        <v>620</v>
      </c>
      <c r="R12032" t="s">
        <v>920</v>
      </c>
      <c r="S12032">
        <v>39</v>
      </c>
      <c r="T12032" s="29" t="str">
        <f t="shared" si="503"/>
        <v>2023.024M.Bunyaviricetes.zip</v>
      </c>
      <c r="U12032" s="29" t="str">
        <f>HYPERLINK("https://ictv.global/taxonomy/taxondetails?taxnode_id=202300145","ictv.global=202300145")</f>
        <v>ictv.global=202300145</v>
      </c>
    </row>
    <row r="12033" spans="1:21">
      <c r="A12033">
        <v>12032</v>
      </c>
      <c r="B12033" s="30" t="s">
        <v>1226</v>
      </c>
      <c r="D12033" s="30" t="s">
        <v>2024</v>
      </c>
      <c r="F12033" s="30" t="s">
        <v>1040</v>
      </c>
      <c r="G12033" s="30" t="s">
        <v>1061</v>
      </c>
      <c r="H12033" s="30" t="s">
        <v>17535</v>
      </c>
      <c r="J12033" s="30" t="s">
        <v>17536</v>
      </c>
      <c r="L12033" s="30" t="s">
        <v>840</v>
      </c>
      <c r="N12033" s="30" t="s">
        <v>841</v>
      </c>
      <c r="P12033" s="30" t="s">
        <v>10615</v>
      </c>
      <c r="Q12033" t="s">
        <v>620</v>
      </c>
      <c r="R12033" t="s">
        <v>920</v>
      </c>
      <c r="S12033">
        <v>39</v>
      </c>
      <c r="T12033" s="29" t="str">
        <f t="shared" si="503"/>
        <v>2023.024M.Bunyaviricetes.zip</v>
      </c>
      <c r="U12033" s="29" t="str">
        <f>HYPERLINK("https://ictv.global/taxonomy/taxondetails?taxnode_id=202307659","ictv.global=202307659")</f>
        <v>ictv.global=202307659</v>
      </c>
    </row>
    <row r="12034" spans="1:21">
      <c r="A12034">
        <v>12033</v>
      </c>
      <c r="B12034" s="30" t="s">
        <v>1226</v>
      </c>
      <c r="D12034" s="30" t="s">
        <v>2024</v>
      </c>
      <c r="F12034" s="30" t="s">
        <v>1040</v>
      </c>
      <c r="G12034" s="30" t="s">
        <v>1061</v>
      </c>
      <c r="H12034" s="30" t="s">
        <v>17535</v>
      </c>
      <c r="J12034" s="30" t="s">
        <v>17536</v>
      </c>
      <c r="L12034" s="30" t="s">
        <v>840</v>
      </c>
      <c r="N12034" s="30" t="s">
        <v>841</v>
      </c>
      <c r="P12034" s="30" t="s">
        <v>10616</v>
      </c>
      <c r="Q12034" t="s">
        <v>620</v>
      </c>
      <c r="R12034" t="s">
        <v>920</v>
      </c>
      <c r="S12034">
        <v>39</v>
      </c>
      <c r="T12034" s="29" t="str">
        <f t="shared" si="503"/>
        <v>2023.024M.Bunyaviricetes.zip</v>
      </c>
      <c r="U12034" s="29" t="str">
        <f>HYPERLINK("https://ictv.global/taxonomy/taxondetails?taxnode_id=202312239","ictv.global=202312239")</f>
        <v>ictv.global=202312239</v>
      </c>
    </row>
    <row r="12035" spans="1:21">
      <c r="A12035">
        <v>12034</v>
      </c>
      <c r="B12035" s="30" t="s">
        <v>1226</v>
      </c>
      <c r="D12035" s="30" t="s">
        <v>2024</v>
      </c>
      <c r="F12035" s="30" t="s">
        <v>1040</v>
      </c>
      <c r="G12035" s="30" t="s">
        <v>1061</v>
      </c>
      <c r="H12035" s="30" t="s">
        <v>17535</v>
      </c>
      <c r="J12035" s="30" t="s">
        <v>17536</v>
      </c>
      <c r="L12035" s="30" t="s">
        <v>840</v>
      </c>
      <c r="N12035" s="30" t="s">
        <v>841</v>
      </c>
      <c r="P12035" s="30" t="s">
        <v>10617</v>
      </c>
      <c r="Q12035" t="s">
        <v>620</v>
      </c>
      <c r="R12035" t="s">
        <v>920</v>
      </c>
      <c r="S12035">
        <v>39</v>
      </c>
      <c r="T12035" s="29" t="str">
        <f t="shared" si="503"/>
        <v>2023.024M.Bunyaviricetes.zip</v>
      </c>
      <c r="U12035" s="29" t="str">
        <f>HYPERLINK("https://ictv.global/taxonomy/taxondetails?taxnode_id=202309607","ictv.global=202309607")</f>
        <v>ictv.global=202309607</v>
      </c>
    </row>
    <row r="12036" spans="1:21">
      <c r="A12036">
        <v>12035</v>
      </c>
      <c r="B12036" s="30" t="s">
        <v>1226</v>
      </c>
      <c r="D12036" s="30" t="s">
        <v>2024</v>
      </c>
      <c r="F12036" s="30" t="s">
        <v>1040</v>
      </c>
      <c r="G12036" s="30" t="s">
        <v>1061</v>
      </c>
      <c r="H12036" s="30" t="s">
        <v>17535</v>
      </c>
      <c r="J12036" s="30" t="s">
        <v>17536</v>
      </c>
      <c r="L12036" s="30" t="s">
        <v>840</v>
      </c>
      <c r="N12036" s="30" t="s">
        <v>841</v>
      </c>
      <c r="P12036" s="30" t="s">
        <v>10618</v>
      </c>
      <c r="Q12036" t="s">
        <v>620</v>
      </c>
      <c r="R12036" t="s">
        <v>920</v>
      </c>
      <c r="S12036">
        <v>39</v>
      </c>
      <c r="T12036" s="29" t="str">
        <f t="shared" si="503"/>
        <v>2023.024M.Bunyaviricetes.zip</v>
      </c>
      <c r="U12036" s="29" t="str">
        <f>HYPERLINK("https://ictv.global/taxonomy/taxondetails?taxnode_id=202309605","ictv.global=202309605")</f>
        <v>ictv.global=202309605</v>
      </c>
    </row>
    <row r="12037" spans="1:21">
      <c r="A12037">
        <v>12036</v>
      </c>
      <c r="B12037" s="30" t="s">
        <v>1226</v>
      </c>
      <c r="D12037" s="30" t="s">
        <v>2024</v>
      </c>
      <c r="F12037" s="30" t="s">
        <v>1040</v>
      </c>
      <c r="G12037" s="30" t="s">
        <v>1061</v>
      </c>
      <c r="H12037" s="30" t="s">
        <v>17535</v>
      </c>
      <c r="J12037" s="30" t="s">
        <v>17536</v>
      </c>
      <c r="L12037" s="30" t="s">
        <v>840</v>
      </c>
      <c r="N12037" s="30" t="s">
        <v>841</v>
      </c>
      <c r="P12037" s="30" t="s">
        <v>10619</v>
      </c>
      <c r="Q12037" t="s">
        <v>620</v>
      </c>
      <c r="R12037" t="s">
        <v>920</v>
      </c>
      <c r="S12037">
        <v>39</v>
      </c>
      <c r="T12037" s="29" t="str">
        <f t="shared" si="503"/>
        <v>2023.024M.Bunyaviricetes.zip</v>
      </c>
      <c r="U12037" s="29" t="str">
        <f>HYPERLINK("https://ictv.global/taxonomy/taxondetails?taxnode_id=202312238","ictv.global=202312238")</f>
        <v>ictv.global=202312238</v>
      </c>
    </row>
    <row r="12038" spans="1:21">
      <c r="A12038">
        <v>12037</v>
      </c>
      <c r="B12038" s="30" t="s">
        <v>1226</v>
      </c>
      <c r="D12038" s="30" t="s">
        <v>2024</v>
      </c>
      <c r="F12038" s="30" t="s">
        <v>1040</v>
      </c>
      <c r="G12038" s="30" t="s">
        <v>1061</v>
      </c>
      <c r="H12038" s="30" t="s">
        <v>17535</v>
      </c>
      <c r="J12038" s="30" t="s">
        <v>17536</v>
      </c>
      <c r="L12038" s="30" t="s">
        <v>840</v>
      </c>
      <c r="N12038" s="30" t="s">
        <v>841</v>
      </c>
      <c r="P12038" s="30" t="s">
        <v>10620</v>
      </c>
      <c r="Q12038" t="s">
        <v>620</v>
      </c>
      <c r="R12038" t="s">
        <v>920</v>
      </c>
      <c r="S12038">
        <v>39</v>
      </c>
      <c r="T12038" s="29" t="str">
        <f t="shared" si="503"/>
        <v>2023.024M.Bunyaviricetes.zip</v>
      </c>
      <c r="U12038" s="29" t="str">
        <f>HYPERLINK("https://ictv.global/taxonomy/taxondetails?taxnode_id=202306413","ictv.global=202306413")</f>
        <v>ictv.global=202306413</v>
      </c>
    </row>
    <row r="12039" spans="1:21">
      <c r="A12039">
        <v>12038</v>
      </c>
      <c r="B12039" s="30" t="s">
        <v>1226</v>
      </c>
      <c r="D12039" s="30" t="s">
        <v>2024</v>
      </c>
      <c r="F12039" s="30" t="s">
        <v>1040</v>
      </c>
      <c r="G12039" s="30" t="s">
        <v>1061</v>
      </c>
      <c r="H12039" s="30" t="s">
        <v>17535</v>
      </c>
      <c r="J12039" s="30" t="s">
        <v>17536</v>
      </c>
      <c r="L12039" s="30" t="s">
        <v>840</v>
      </c>
      <c r="N12039" s="30" t="s">
        <v>841</v>
      </c>
      <c r="P12039" s="30" t="s">
        <v>10621</v>
      </c>
      <c r="Q12039" t="s">
        <v>620</v>
      </c>
      <c r="R12039" t="s">
        <v>920</v>
      </c>
      <c r="S12039">
        <v>39</v>
      </c>
      <c r="T12039" s="29" t="str">
        <f t="shared" si="503"/>
        <v>2023.024M.Bunyaviricetes.zip</v>
      </c>
      <c r="U12039" s="29" t="str">
        <f>HYPERLINK("https://ictv.global/taxonomy/taxondetails?taxnode_id=202312241","ictv.global=202312241")</f>
        <v>ictv.global=202312241</v>
      </c>
    </row>
    <row r="12040" spans="1:21">
      <c r="A12040">
        <v>12039</v>
      </c>
      <c r="B12040" s="30" t="s">
        <v>1226</v>
      </c>
      <c r="D12040" s="30" t="s">
        <v>2024</v>
      </c>
      <c r="F12040" s="30" t="s">
        <v>1040</v>
      </c>
      <c r="G12040" s="30" t="s">
        <v>1061</v>
      </c>
      <c r="H12040" s="30" t="s">
        <v>17535</v>
      </c>
      <c r="J12040" s="30" t="s">
        <v>17536</v>
      </c>
      <c r="L12040" s="30" t="s">
        <v>840</v>
      </c>
      <c r="N12040" s="30" t="s">
        <v>841</v>
      </c>
      <c r="P12040" s="30" t="s">
        <v>10622</v>
      </c>
      <c r="Q12040" t="s">
        <v>620</v>
      </c>
      <c r="R12040" t="s">
        <v>920</v>
      </c>
      <c r="S12040">
        <v>39</v>
      </c>
      <c r="T12040" s="29" t="str">
        <f t="shared" si="503"/>
        <v>2023.024M.Bunyaviricetes.zip</v>
      </c>
      <c r="U12040" s="29" t="str">
        <f>HYPERLINK("https://ictv.global/taxonomy/taxondetails?taxnode_id=202314251","ictv.global=202314251")</f>
        <v>ictv.global=202314251</v>
      </c>
    </row>
    <row r="12041" spans="1:21">
      <c r="A12041">
        <v>12040</v>
      </c>
      <c r="B12041" s="30" t="s">
        <v>1226</v>
      </c>
      <c r="D12041" s="30" t="s">
        <v>2024</v>
      </c>
      <c r="F12041" s="30" t="s">
        <v>1040</v>
      </c>
      <c r="G12041" s="30" t="s">
        <v>1061</v>
      </c>
      <c r="H12041" s="30" t="s">
        <v>17535</v>
      </c>
      <c r="J12041" s="30" t="s">
        <v>17536</v>
      </c>
      <c r="L12041" s="30" t="s">
        <v>840</v>
      </c>
      <c r="N12041" s="30" t="s">
        <v>841</v>
      </c>
      <c r="P12041" s="30" t="s">
        <v>10623</v>
      </c>
      <c r="Q12041" t="s">
        <v>620</v>
      </c>
      <c r="R12041" t="s">
        <v>920</v>
      </c>
      <c r="S12041">
        <v>39</v>
      </c>
      <c r="T12041" s="29" t="str">
        <f t="shared" si="503"/>
        <v>2023.024M.Bunyaviricetes.zip</v>
      </c>
      <c r="U12041" s="29" t="str">
        <f>HYPERLINK("https://ictv.global/taxonomy/taxondetails?taxnode_id=202306416","ictv.global=202306416")</f>
        <v>ictv.global=202306416</v>
      </c>
    </row>
    <row r="12042" spans="1:21">
      <c r="A12042">
        <v>12041</v>
      </c>
      <c r="B12042" s="30" t="s">
        <v>1226</v>
      </c>
      <c r="D12042" s="30" t="s">
        <v>2024</v>
      </c>
      <c r="F12042" s="30" t="s">
        <v>1040</v>
      </c>
      <c r="G12042" s="30" t="s">
        <v>1061</v>
      </c>
      <c r="H12042" s="30" t="s">
        <v>17535</v>
      </c>
      <c r="J12042" s="30" t="s">
        <v>17536</v>
      </c>
      <c r="L12042" s="30" t="s">
        <v>840</v>
      </c>
      <c r="N12042" s="30" t="s">
        <v>841</v>
      </c>
      <c r="P12042" s="30" t="s">
        <v>10624</v>
      </c>
      <c r="Q12042" t="s">
        <v>620</v>
      </c>
      <c r="R12042" t="s">
        <v>920</v>
      </c>
      <c r="S12042">
        <v>39</v>
      </c>
      <c r="T12042" s="29" t="str">
        <f t="shared" si="503"/>
        <v>2023.024M.Bunyaviricetes.zip</v>
      </c>
      <c r="U12042" s="29" t="str">
        <f>HYPERLINK("https://ictv.global/taxonomy/taxondetails?taxnode_id=202306415","ictv.global=202306415")</f>
        <v>ictv.global=202306415</v>
      </c>
    </row>
    <row r="12043" spans="1:21">
      <c r="A12043">
        <v>12042</v>
      </c>
      <c r="B12043" s="30" t="s">
        <v>1226</v>
      </c>
      <c r="D12043" s="30" t="s">
        <v>2024</v>
      </c>
      <c r="F12043" s="30" t="s">
        <v>1040</v>
      </c>
      <c r="G12043" s="30" t="s">
        <v>1061</v>
      </c>
      <c r="H12043" s="30" t="s">
        <v>17535</v>
      </c>
      <c r="J12043" s="30" t="s">
        <v>17536</v>
      </c>
      <c r="L12043" s="30" t="s">
        <v>840</v>
      </c>
      <c r="N12043" s="30" t="s">
        <v>841</v>
      </c>
      <c r="P12043" s="30" t="s">
        <v>10625</v>
      </c>
      <c r="Q12043" t="s">
        <v>620</v>
      </c>
      <c r="R12043" t="s">
        <v>920</v>
      </c>
      <c r="S12043">
        <v>39</v>
      </c>
      <c r="T12043" s="29" t="str">
        <f t="shared" si="503"/>
        <v>2023.024M.Bunyaviricetes.zip</v>
      </c>
      <c r="U12043" s="29" t="str">
        <f>HYPERLINK("https://ictv.global/taxonomy/taxondetails?taxnode_id=202300140","ictv.global=202300140")</f>
        <v>ictv.global=202300140</v>
      </c>
    </row>
    <row r="12044" spans="1:21">
      <c r="A12044">
        <v>12043</v>
      </c>
      <c r="B12044" s="30" t="s">
        <v>1226</v>
      </c>
      <c r="D12044" s="30" t="s">
        <v>2024</v>
      </c>
      <c r="F12044" s="30" t="s">
        <v>1040</v>
      </c>
      <c r="G12044" s="30" t="s">
        <v>1061</v>
      </c>
      <c r="H12044" s="30" t="s">
        <v>17535</v>
      </c>
      <c r="J12044" s="30" t="s">
        <v>17536</v>
      </c>
      <c r="L12044" s="30" t="s">
        <v>840</v>
      </c>
      <c r="N12044" s="30" t="s">
        <v>841</v>
      </c>
      <c r="P12044" s="30" t="s">
        <v>10626</v>
      </c>
      <c r="Q12044" t="s">
        <v>620</v>
      </c>
      <c r="R12044" t="s">
        <v>920</v>
      </c>
      <c r="S12044">
        <v>39</v>
      </c>
      <c r="T12044" s="29" t="str">
        <f t="shared" si="503"/>
        <v>2023.024M.Bunyaviricetes.zip</v>
      </c>
      <c r="U12044" s="29" t="str">
        <f>HYPERLINK("https://ictv.global/taxonomy/taxondetails?taxnode_id=202312240","ictv.global=202312240")</f>
        <v>ictv.global=202312240</v>
      </c>
    </row>
    <row r="12045" spans="1:21">
      <c r="A12045">
        <v>12044</v>
      </c>
      <c r="B12045" s="30" t="s">
        <v>1226</v>
      </c>
      <c r="D12045" s="30" t="s">
        <v>2024</v>
      </c>
      <c r="F12045" s="30" t="s">
        <v>1040</v>
      </c>
      <c r="G12045" s="30" t="s">
        <v>1061</v>
      </c>
      <c r="H12045" s="30" t="s">
        <v>17535</v>
      </c>
      <c r="J12045" s="30" t="s">
        <v>17536</v>
      </c>
      <c r="L12045" s="30" t="s">
        <v>840</v>
      </c>
      <c r="N12045" s="30" t="s">
        <v>841</v>
      </c>
      <c r="P12045" s="30" t="s">
        <v>10627</v>
      </c>
      <c r="Q12045" t="s">
        <v>620</v>
      </c>
      <c r="R12045" t="s">
        <v>920</v>
      </c>
      <c r="S12045">
        <v>39</v>
      </c>
      <c r="T12045" s="29" t="str">
        <f t="shared" si="503"/>
        <v>2023.024M.Bunyaviricetes.zip</v>
      </c>
      <c r="U12045" s="29" t="str">
        <f>HYPERLINK("https://ictv.global/taxonomy/taxondetails?taxnode_id=202309608","ictv.global=202309608")</f>
        <v>ictv.global=202309608</v>
      </c>
    </row>
    <row r="12046" spans="1:21">
      <c r="A12046">
        <v>12045</v>
      </c>
      <c r="B12046" s="30" t="s">
        <v>1226</v>
      </c>
      <c r="D12046" s="30" t="s">
        <v>2024</v>
      </c>
      <c r="F12046" s="30" t="s">
        <v>1040</v>
      </c>
      <c r="G12046" s="30" t="s">
        <v>1061</v>
      </c>
      <c r="H12046" s="30" t="s">
        <v>17535</v>
      </c>
      <c r="J12046" s="30" t="s">
        <v>17536</v>
      </c>
      <c r="L12046" s="30" t="s">
        <v>840</v>
      </c>
      <c r="N12046" s="30" t="s">
        <v>841</v>
      </c>
      <c r="P12046" s="30" t="s">
        <v>10628</v>
      </c>
      <c r="Q12046" t="s">
        <v>620</v>
      </c>
      <c r="R12046" t="s">
        <v>920</v>
      </c>
      <c r="S12046">
        <v>39</v>
      </c>
      <c r="T12046" s="29" t="str">
        <f t="shared" si="503"/>
        <v>2023.024M.Bunyaviricetes.zip</v>
      </c>
      <c r="U12046" s="29" t="str">
        <f>HYPERLINK("https://ictv.global/taxonomy/taxondetails?taxnode_id=202306414","ictv.global=202306414")</f>
        <v>ictv.global=202306414</v>
      </c>
    </row>
    <row r="12047" spans="1:21">
      <c r="A12047">
        <v>12046</v>
      </c>
      <c r="B12047" s="30" t="s">
        <v>1226</v>
      </c>
      <c r="D12047" s="30" t="s">
        <v>2024</v>
      </c>
      <c r="F12047" s="30" t="s">
        <v>1040</v>
      </c>
      <c r="G12047" s="30" t="s">
        <v>1061</v>
      </c>
      <c r="H12047" s="30" t="s">
        <v>17535</v>
      </c>
      <c r="J12047" s="30" t="s">
        <v>17536</v>
      </c>
      <c r="L12047" s="30" t="s">
        <v>840</v>
      </c>
      <c r="N12047" s="30" t="s">
        <v>841</v>
      </c>
      <c r="P12047" s="30" t="s">
        <v>10629</v>
      </c>
      <c r="Q12047" t="s">
        <v>620</v>
      </c>
      <c r="R12047" t="s">
        <v>920</v>
      </c>
      <c r="S12047">
        <v>39</v>
      </c>
      <c r="T12047" s="29" t="str">
        <f t="shared" si="503"/>
        <v>2023.024M.Bunyaviricetes.zip</v>
      </c>
      <c r="U12047" s="29" t="str">
        <f>HYPERLINK("https://ictv.global/taxonomy/taxondetails?taxnode_id=202309606","ictv.global=202309606")</f>
        <v>ictv.global=202309606</v>
      </c>
    </row>
    <row r="12048" spans="1:21">
      <c r="A12048">
        <v>12047</v>
      </c>
      <c r="B12048" s="30" t="s">
        <v>1226</v>
      </c>
      <c r="D12048" s="30" t="s">
        <v>2024</v>
      </c>
      <c r="F12048" s="30" t="s">
        <v>1040</v>
      </c>
      <c r="G12048" s="30" t="s">
        <v>1061</v>
      </c>
      <c r="H12048" s="30" t="s">
        <v>17535</v>
      </c>
      <c r="J12048" s="30" t="s">
        <v>17536</v>
      </c>
      <c r="L12048" s="30" t="s">
        <v>840</v>
      </c>
      <c r="N12048" s="30" t="s">
        <v>841</v>
      </c>
      <c r="P12048" s="30" t="s">
        <v>10630</v>
      </c>
      <c r="Q12048" t="s">
        <v>620</v>
      </c>
      <c r="R12048" t="s">
        <v>920</v>
      </c>
      <c r="S12048">
        <v>39</v>
      </c>
      <c r="T12048" s="29" t="str">
        <f t="shared" si="503"/>
        <v>2023.024M.Bunyaviricetes.zip</v>
      </c>
      <c r="U12048" s="29" t="str">
        <f>HYPERLINK("https://ictv.global/taxonomy/taxondetails?taxnode_id=202314252","ictv.global=202314252")</f>
        <v>ictv.global=202314252</v>
      </c>
    </row>
    <row r="12049" spans="1:21">
      <c r="A12049">
        <v>12048</v>
      </c>
      <c r="B12049" s="30" t="s">
        <v>1226</v>
      </c>
      <c r="D12049" s="30" t="s">
        <v>2024</v>
      </c>
      <c r="F12049" s="30" t="s">
        <v>1040</v>
      </c>
      <c r="G12049" s="30" t="s">
        <v>1061</v>
      </c>
      <c r="H12049" s="30" t="s">
        <v>17535</v>
      </c>
      <c r="J12049" s="30" t="s">
        <v>17536</v>
      </c>
      <c r="L12049" s="30" t="s">
        <v>840</v>
      </c>
      <c r="N12049" s="30" t="s">
        <v>841</v>
      </c>
      <c r="P12049" s="30" t="s">
        <v>10631</v>
      </c>
      <c r="Q12049" t="s">
        <v>620</v>
      </c>
      <c r="R12049" t="s">
        <v>920</v>
      </c>
      <c r="S12049">
        <v>39</v>
      </c>
      <c r="T12049" s="29" t="str">
        <f t="shared" si="503"/>
        <v>2023.024M.Bunyaviricetes.zip</v>
      </c>
      <c r="U12049" s="29" t="str">
        <f>HYPERLINK("https://ictv.global/taxonomy/taxondetails?taxnode_id=202300143","ictv.global=202300143")</f>
        <v>ictv.global=202300143</v>
      </c>
    </row>
    <row r="12050" spans="1:21">
      <c r="A12050">
        <v>12049</v>
      </c>
      <c r="B12050" s="30" t="s">
        <v>1226</v>
      </c>
      <c r="D12050" s="30" t="s">
        <v>2024</v>
      </c>
      <c r="F12050" s="30" t="s">
        <v>1040</v>
      </c>
      <c r="G12050" s="30" t="s">
        <v>1061</v>
      </c>
      <c r="H12050" s="30" t="s">
        <v>17535</v>
      </c>
      <c r="J12050" s="30" t="s">
        <v>17536</v>
      </c>
      <c r="L12050" s="30" t="s">
        <v>840</v>
      </c>
      <c r="N12050" s="30" t="s">
        <v>841</v>
      </c>
      <c r="P12050" s="30" t="s">
        <v>10632</v>
      </c>
      <c r="Q12050" t="s">
        <v>620</v>
      </c>
      <c r="R12050" t="s">
        <v>920</v>
      </c>
      <c r="S12050">
        <v>39</v>
      </c>
      <c r="T12050" s="29" t="str">
        <f t="shared" ref="T12050:T12081" si="504">HYPERLINK("https://ictv.global/ictv/proposals/2023.024M.Bunyaviricetes.zip","2023.024M.Bunyaviricetes.zip")</f>
        <v>2023.024M.Bunyaviricetes.zip</v>
      </c>
      <c r="U12050" s="29" t="str">
        <f>HYPERLINK("https://ictv.global/taxonomy/taxondetails?taxnode_id=202300144","ictv.global=202300144")</f>
        <v>ictv.global=202300144</v>
      </c>
    </row>
    <row r="12051" spans="1:21">
      <c r="A12051">
        <v>12050</v>
      </c>
      <c r="B12051" s="30" t="s">
        <v>1226</v>
      </c>
      <c r="D12051" s="30" t="s">
        <v>2024</v>
      </c>
      <c r="F12051" s="30" t="s">
        <v>1040</v>
      </c>
      <c r="G12051" s="30" t="s">
        <v>1061</v>
      </c>
      <c r="H12051" s="30" t="s">
        <v>17535</v>
      </c>
      <c r="J12051" s="30" t="s">
        <v>17536</v>
      </c>
      <c r="L12051" s="30" t="s">
        <v>840</v>
      </c>
      <c r="N12051" s="30" t="s">
        <v>1256</v>
      </c>
      <c r="P12051" s="30" t="s">
        <v>10633</v>
      </c>
      <c r="Q12051" t="s">
        <v>620</v>
      </c>
      <c r="R12051" t="s">
        <v>920</v>
      </c>
      <c r="S12051">
        <v>39</v>
      </c>
      <c r="T12051" s="29" t="str">
        <f t="shared" si="504"/>
        <v>2023.024M.Bunyaviricetes.zip</v>
      </c>
      <c r="U12051" s="29" t="str">
        <f>HYPERLINK("https://ictv.global/taxonomy/taxondetails?taxnode_id=202306606","ictv.global=202306606")</f>
        <v>ictv.global=202306606</v>
      </c>
    </row>
    <row r="12052" spans="1:21">
      <c r="A12052">
        <v>12051</v>
      </c>
      <c r="B12052" s="30" t="s">
        <v>1226</v>
      </c>
      <c r="D12052" s="30" t="s">
        <v>2024</v>
      </c>
      <c r="F12052" s="30" t="s">
        <v>1040</v>
      </c>
      <c r="G12052" s="30" t="s">
        <v>1061</v>
      </c>
      <c r="H12052" s="30" t="s">
        <v>17535</v>
      </c>
      <c r="J12052" s="30" t="s">
        <v>17536</v>
      </c>
      <c r="L12052" s="30" t="s">
        <v>840</v>
      </c>
      <c r="N12052" s="30" t="s">
        <v>1074</v>
      </c>
      <c r="P12052" s="30" t="s">
        <v>10634</v>
      </c>
      <c r="Q12052" t="s">
        <v>620</v>
      </c>
      <c r="R12052" t="s">
        <v>920</v>
      </c>
      <c r="S12052">
        <v>39</v>
      </c>
      <c r="T12052" s="29" t="str">
        <f t="shared" si="504"/>
        <v>2023.024M.Bunyaviricetes.zip</v>
      </c>
      <c r="U12052" s="29" t="str">
        <f>HYPERLINK("https://ictv.global/taxonomy/taxondetails?taxnode_id=202306223","ictv.global=202306223")</f>
        <v>ictv.global=202306223</v>
      </c>
    </row>
    <row r="12053" spans="1:21">
      <c r="A12053">
        <v>12052</v>
      </c>
      <c r="B12053" s="30" t="s">
        <v>1226</v>
      </c>
      <c r="D12053" s="30" t="s">
        <v>2024</v>
      </c>
      <c r="F12053" s="30" t="s">
        <v>1040</v>
      </c>
      <c r="G12053" s="30" t="s">
        <v>1061</v>
      </c>
      <c r="H12053" s="30" t="s">
        <v>17535</v>
      </c>
      <c r="J12053" s="30" t="s">
        <v>17536</v>
      </c>
      <c r="L12053" s="30" t="s">
        <v>1259</v>
      </c>
      <c r="N12053" s="30" t="s">
        <v>1260</v>
      </c>
      <c r="P12053" s="30" t="s">
        <v>10783</v>
      </c>
      <c r="Q12053" t="s">
        <v>732</v>
      </c>
      <c r="R12053" t="s">
        <v>920</v>
      </c>
      <c r="S12053">
        <v>39</v>
      </c>
      <c r="T12053" s="29" t="str">
        <f t="shared" si="504"/>
        <v>2023.024M.Bunyaviricetes.zip</v>
      </c>
      <c r="U12053" s="29" t="str">
        <f>HYPERLINK("https://ictv.global/taxonomy/taxondetails?taxnode_id=202307246","ictv.global=202307246")</f>
        <v>ictv.global=202307246</v>
      </c>
    </row>
    <row r="12054" spans="1:21">
      <c r="A12054">
        <v>12053</v>
      </c>
      <c r="B12054" s="30" t="s">
        <v>1226</v>
      </c>
      <c r="D12054" s="30" t="s">
        <v>2024</v>
      </c>
      <c r="F12054" s="30" t="s">
        <v>1040</v>
      </c>
      <c r="G12054" s="30" t="s">
        <v>1061</v>
      </c>
      <c r="H12054" s="30" t="s">
        <v>17535</v>
      </c>
      <c r="J12054" s="30" t="s">
        <v>17536</v>
      </c>
      <c r="L12054" s="30" t="s">
        <v>1259</v>
      </c>
      <c r="N12054" s="30" t="s">
        <v>1260</v>
      </c>
      <c r="P12054" s="30" t="s">
        <v>10784</v>
      </c>
      <c r="Q12054" t="s">
        <v>732</v>
      </c>
      <c r="R12054" t="s">
        <v>920</v>
      </c>
      <c r="S12054">
        <v>39</v>
      </c>
      <c r="T12054" s="29" t="str">
        <f t="shared" si="504"/>
        <v>2023.024M.Bunyaviricetes.zip</v>
      </c>
      <c r="U12054" s="29" t="str">
        <f>HYPERLINK("https://ictv.global/taxonomy/taxondetails?taxnode_id=202307245","ictv.global=202307245")</f>
        <v>ictv.global=202307245</v>
      </c>
    </row>
    <row r="12055" spans="1:21">
      <c r="A12055">
        <v>12054</v>
      </c>
      <c r="B12055" s="30" t="s">
        <v>1226</v>
      </c>
      <c r="D12055" s="30" t="s">
        <v>2024</v>
      </c>
      <c r="F12055" s="30" t="s">
        <v>1040</v>
      </c>
      <c r="G12055" s="30" t="s">
        <v>1061</v>
      </c>
      <c r="H12055" s="30" t="s">
        <v>17535</v>
      </c>
      <c r="J12055" s="30" t="s">
        <v>17536</v>
      </c>
      <c r="L12055" s="30" t="s">
        <v>1259</v>
      </c>
      <c r="N12055" s="30" t="s">
        <v>1260</v>
      </c>
      <c r="P12055" s="30" t="s">
        <v>10785</v>
      </c>
      <c r="Q12055" t="s">
        <v>732</v>
      </c>
      <c r="R12055" t="s">
        <v>920</v>
      </c>
      <c r="S12055">
        <v>39</v>
      </c>
      <c r="T12055" s="29" t="str">
        <f t="shared" si="504"/>
        <v>2023.024M.Bunyaviricetes.zip</v>
      </c>
      <c r="U12055" s="29" t="str">
        <f>HYPERLINK("https://ictv.global/taxonomy/taxondetails?taxnode_id=202300180","ictv.global=202300180")</f>
        <v>ictv.global=202300180</v>
      </c>
    </row>
    <row r="12056" spans="1:21">
      <c r="A12056">
        <v>12055</v>
      </c>
      <c r="B12056" s="30" t="s">
        <v>1226</v>
      </c>
      <c r="D12056" s="30" t="s">
        <v>2024</v>
      </c>
      <c r="F12056" s="30" t="s">
        <v>1040</v>
      </c>
      <c r="G12056" s="30" t="s">
        <v>1061</v>
      </c>
      <c r="H12056" s="30" t="s">
        <v>17535</v>
      </c>
      <c r="J12056" s="30" t="s">
        <v>17536</v>
      </c>
      <c r="L12056" s="30" t="s">
        <v>1259</v>
      </c>
      <c r="N12056" s="30" t="s">
        <v>1260</v>
      </c>
      <c r="P12056" s="30" t="s">
        <v>10786</v>
      </c>
      <c r="Q12056" t="s">
        <v>732</v>
      </c>
      <c r="R12056" t="s">
        <v>920</v>
      </c>
      <c r="S12056">
        <v>39</v>
      </c>
      <c r="T12056" s="29" t="str">
        <f t="shared" si="504"/>
        <v>2023.024M.Bunyaviricetes.zip</v>
      </c>
      <c r="U12056" s="29" t="str">
        <f>HYPERLINK("https://ictv.global/taxonomy/taxondetails?taxnode_id=202300181","ictv.global=202300181")</f>
        <v>ictv.global=202300181</v>
      </c>
    </row>
    <row r="12057" spans="1:21">
      <c r="A12057">
        <v>12056</v>
      </c>
      <c r="B12057" s="30" t="s">
        <v>1226</v>
      </c>
      <c r="D12057" s="30" t="s">
        <v>2024</v>
      </c>
      <c r="F12057" s="30" t="s">
        <v>1040</v>
      </c>
      <c r="G12057" s="30" t="s">
        <v>1061</v>
      </c>
      <c r="H12057" s="30" t="s">
        <v>17535</v>
      </c>
      <c r="J12057" s="30" t="s">
        <v>17536</v>
      </c>
      <c r="L12057" s="30" t="s">
        <v>1259</v>
      </c>
      <c r="N12057" s="30" t="s">
        <v>1260</v>
      </c>
      <c r="P12057" s="30" t="s">
        <v>10787</v>
      </c>
      <c r="Q12057" t="s">
        <v>732</v>
      </c>
      <c r="R12057" t="s">
        <v>920</v>
      </c>
      <c r="S12057">
        <v>39</v>
      </c>
      <c r="T12057" s="29" t="str">
        <f t="shared" si="504"/>
        <v>2023.024M.Bunyaviricetes.zip</v>
      </c>
      <c r="U12057" s="29" t="str">
        <f>HYPERLINK("https://ictv.global/taxonomy/taxondetails?taxnode_id=202307247","ictv.global=202307247")</f>
        <v>ictv.global=202307247</v>
      </c>
    </row>
    <row r="12058" spans="1:21">
      <c r="A12058">
        <v>12057</v>
      </c>
      <c r="B12058" s="30" t="s">
        <v>1226</v>
      </c>
      <c r="D12058" s="30" t="s">
        <v>2024</v>
      </c>
      <c r="F12058" s="30" t="s">
        <v>1040</v>
      </c>
      <c r="G12058" s="30" t="s">
        <v>1061</v>
      </c>
      <c r="H12058" s="30" t="s">
        <v>17535</v>
      </c>
      <c r="J12058" s="30" t="s">
        <v>17536</v>
      </c>
      <c r="L12058" s="30" t="s">
        <v>1259</v>
      </c>
      <c r="N12058" s="30" t="s">
        <v>1260</v>
      </c>
      <c r="P12058" s="30" t="s">
        <v>10788</v>
      </c>
      <c r="Q12058" t="s">
        <v>732</v>
      </c>
      <c r="R12058" t="s">
        <v>920</v>
      </c>
      <c r="S12058">
        <v>39</v>
      </c>
      <c r="T12058" s="29" t="str">
        <f t="shared" si="504"/>
        <v>2023.024M.Bunyaviricetes.zip</v>
      </c>
      <c r="U12058" s="29" t="str">
        <f>HYPERLINK("https://ictv.global/taxonomy/taxondetails?taxnode_id=202300179","ictv.global=202300179")</f>
        <v>ictv.global=202300179</v>
      </c>
    </row>
    <row r="12059" spans="1:21">
      <c r="A12059">
        <v>12058</v>
      </c>
      <c r="B12059" s="30" t="s">
        <v>1226</v>
      </c>
      <c r="D12059" s="30" t="s">
        <v>2024</v>
      </c>
      <c r="F12059" s="30" t="s">
        <v>1040</v>
      </c>
      <c r="G12059" s="30" t="s">
        <v>1061</v>
      </c>
      <c r="H12059" s="30" t="s">
        <v>17535</v>
      </c>
      <c r="J12059" s="30" t="s">
        <v>17536</v>
      </c>
      <c r="L12059" s="30" t="s">
        <v>1259</v>
      </c>
      <c r="N12059" s="30" t="s">
        <v>1260</v>
      </c>
      <c r="P12059" s="30" t="s">
        <v>10789</v>
      </c>
      <c r="Q12059" t="s">
        <v>732</v>
      </c>
      <c r="R12059" t="s">
        <v>920</v>
      </c>
      <c r="S12059">
        <v>39</v>
      </c>
      <c r="T12059" s="29" t="str">
        <f t="shared" si="504"/>
        <v>2023.024M.Bunyaviricetes.zip</v>
      </c>
      <c r="U12059" s="29" t="str">
        <f>HYPERLINK("https://ictv.global/taxonomy/taxondetails?taxnode_id=202306662","ictv.global=202306662")</f>
        <v>ictv.global=202306662</v>
      </c>
    </row>
    <row r="12060" spans="1:21">
      <c r="A12060">
        <v>12059</v>
      </c>
      <c r="B12060" s="30" t="s">
        <v>1226</v>
      </c>
      <c r="D12060" s="30" t="s">
        <v>2024</v>
      </c>
      <c r="F12060" s="30" t="s">
        <v>1040</v>
      </c>
      <c r="G12060" s="30" t="s">
        <v>1061</v>
      </c>
      <c r="H12060" s="30" t="s">
        <v>17535</v>
      </c>
      <c r="J12060" s="30" t="s">
        <v>17536</v>
      </c>
      <c r="L12060" s="30" t="s">
        <v>1259</v>
      </c>
      <c r="N12060" s="30" t="s">
        <v>1260</v>
      </c>
      <c r="P12060" s="30" t="s">
        <v>10790</v>
      </c>
      <c r="Q12060" t="s">
        <v>732</v>
      </c>
      <c r="R12060" t="s">
        <v>920</v>
      </c>
      <c r="S12060">
        <v>39</v>
      </c>
      <c r="T12060" s="29" t="str">
        <f t="shared" si="504"/>
        <v>2023.024M.Bunyaviricetes.zip</v>
      </c>
      <c r="U12060" s="29" t="str">
        <f>HYPERLINK("https://ictv.global/taxonomy/taxondetails?taxnode_id=202306663","ictv.global=202306663")</f>
        <v>ictv.global=202306663</v>
      </c>
    </row>
    <row r="12061" spans="1:21">
      <c r="A12061">
        <v>12060</v>
      </c>
      <c r="B12061" s="30" t="s">
        <v>1226</v>
      </c>
      <c r="D12061" s="30" t="s">
        <v>2024</v>
      </c>
      <c r="F12061" s="30" t="s">
        <v>1040</v>
      </c>
      <c r="G12061" s="30" t="s">
        <v>1061</v>
      </c>
      <c r="H12061" s="30" t="s">
        <v>17535</v>
      </c>
      <c r="J12061" s="30" t="s">
        <v>17536</v>
      </c>
      <c r="L12061" s="30" t="s">
        <v>1259</v>
      </c>
      <c r="N12061" s="30" t="s">
        <v>1260</v>
      </c>
      <c r="P12061" s="30" t="s">
        <v>10791</v>
      </c>
      <c r="Q12061" t="s">
        <v>732</v>
      </c>
      <c r="R12061" t="s">
        <v>920</v>
      </c>
      <c r="S12061">
        <v>39</v>
      </c>
      <c r="T12061" s="29" t="str">
        <f t="shared" si="504"/>
        <v>2023.024M.Bunyaviricetes.zip</v>
      </c>
      <c r="U12061" s="29" t="str">
        <f>HYPERLINK("https://ictv.global/taxonomy/taxondetails?taxnode_id=202307250","ictv.global=202307250")</f>
        <v>ictv.global=202307250</v>
      </c>
    </row>
    <row r="12062" spans="1:21">
      <c r="A12062">
        <v>12061</v>
      </c>
      <c r="B12062" s="30" t="s">
        <v>1226</v>
      </c>
      <c r="D12062" s="30" t="s">
        <v>2024</v>
      </c>
      <c r="F12062" s="30" t="s">
        <v>1040</v>
      </c>
      <c r="G12062" s="30" t="s">
        <v>1061</v>
      </c>
      <c r="H12062" s="30" t="s">
        <v>17535</v>
      </c>
      <c r="J12062" s="30" t="s">
        <v>17536</v>
      </c>
      <c r="L12062" s="30" t="s">
        <v>1259</v>
      </c>
      <c r="N12062" s="30" t="s">
        <v>1260</v>
      </c>
      <c r="P12062" s="30" t="s">
        <v>10792</v>
      </c>
      <c r="Q12062" t="s">
        <v>732</v>
      </c>
      <c r="R12062" t="s">
        <v>920</v>
      </c>
      <c r="S12062">
        <v>39</v>
      </c>
      <c r="T12062" s="29" t="str">
        <f t="shared" si="504"/>
        <v>2023.024M.Bunyaviricetes.zip</v>
      </c>
      <c r="U12062" s="29" t="str">
        <f>HYPERLINK("https://ictv.global/taxonomy/taxondetails?taxnode_id=202306664","ictv.global=202306664")</f>
        <v>ictv.global=202306664</v>
      </c>
    </row>
    <row r="12063" spans="1:21">
      <c r="A12063">
        <v>12062</v>
      </c>
      <c r="B12063" s="30" t="s">
        <v>1226</v>
      </c>
      <c r="D12063" s="30" t="s">
        <v>2024</v>
      </c>
      <c r="F12063" s="30" t="s">
        <v>1040</v>
      </c>
      <c r="G12063" s="30" t="s">
        <v>1061</v>
      </c>
      <c r="H12063" s="30" t="s">
        <v>17535</v>
      </c>
      <c r="J12063" s="30" t="s">
        <v>17536</v>
      </c>
      <c r="L12063" s="30" t="s">
        <v>1259</v>
      </c>
      <c r="N12063" s="30" t="s">
        <v>1260</v>
      </c>
      <c r="P12063" s="30" t="s">
        <v>10793</v>
      </c>
      <c r="Q12063" t="s">
        <v>732</v>
      </c>
      <c r="R12063" t="s">
        <v>920</v>
      </c>
      <c r="S12063">
        <v>39</v>
      </c>
      <c r="T12063" s="29" t="str">
        <f t="shared" si="504"/>
        <v>2023.024M.Bunyaviricetes.zip</v>
      </c>
      <c r="U12063" s="29" t="str">
        <f>HYPERLINK("https://ictv.global/taxonomy/taxondetails?taxnode_id=202300188","ictv.global=202300188")</f>
        <v>ictv.global=202300188</v>
      </c>
    </row>
    <row r="12064" spans="1:21">
      <c r="A12064">
        <v>12063</v>
      </c>
      <c r="B12064" s="30" t="s">
        <v>1226</v>
      </c>
      <c r="D12064" s="30" t="s">
        <v>2024</v>
      </c>
      <c r="F12064" s="30" t="s">
        <v>1040</v>
      </c>
      <c r="G12064" s="30" t="s">
        <v>1061</v>
      </c>
      <c r="H12064" s="30" t="s">
        <v>17535</v>
      </c>
      <c r="J12064" s="30" t="s">
        <v>17536</v>
      </c>
      <c r="L12064" s="30" t="s">
        <v>1259</v>
      </c>
      <c r="N12064" s="30" t="s">
        <v>1260</v>
      </c>
      <c r="P12064" s="30" t="s">
        <v>10794</v>
      </c>
      <c r="Q12064" t="s">
        <v>732</v>
      </c>
      <c r="R12064" t="s">
        <v>920</v>
      </c>
      <c r="S12064">
        <v>39</v>
      </c>
      <c r="T12064" s="29" t="str">
        <f t="shared" si="504"/>
        <v>2023.024M.Bunyaviricetes.zip</v>
      </c>
      <c r="U12064" s="29" t="str">
        <f>HYPERLINK("https://ictv.global/taxonomy/taxondetails?taxnode_id=202300187","ictv.global=202300187")</f>
        <v>ictv.global=202300187</v>
      </c>
    </row>
    <row r="12065" spans="1:21">
      <c r="A12065">
        <v>12064</v>
      </c>
      <c r="B12065" s="30" t="s">
        <v>1226</v>
      </c>
      <c r="D12065" s="30" t="s">
        <v>2024</v>
      </c>
      <c r="F12065" s="30" t="s">
        <v>1040</v>
      </c>
      <c r="G12065" s="30" t="s">
        <v>1061</v>
      </c>
      <c r="H12065" s="30" t="s">
        <v>17535</v>
      </c>
      <c r="J12065" s="30" t="s">
        <v>17536</v>
      </c>
      <c r="L12065" s="30" t="s">
        <v>1259</v>
      </c>
      <c r="N12065" s="30" t="s">
        <v>1260</v>
      </c>
      <c r="P12065" s="30" t="s">
        <v>10795</v>
      </c>
      <c r="Q12065" t="s">
        <v>732</v>
      </c>
      <c r="R12065" t="s">
        <v>920</v>
      </c>
      <c r="S12065">
        <v>39</v>
      </c>
      <c r="T12065" s="29" t="str">
        <f t="shared" si="504"/>
        <v>2023.024M.Bunyaviricetes.zip</v>
      </c>
      <c r="U12065" s="29" t="str">
        <f>HYPERLINK("https://ictv.global/taxonomy/taxondetails?taxnode_id=202300189","ictv.global=202300189")</f>
        <v>ictv.global=202300189</v>
      </c>
    </row>
    <row r="12066" spans="1:21">
      <c r="A12066">
        <v>12065</v>
      </c>
      <c r="B12066" s="30" t="s">
        <v>1226</v>
      </c>
      <c r="D12066" s="30" t="s">
        <v>2024</v>
      </c>
      <c r="F12066" s="30" t="s">
        <v>1040</v>
      </c>
      <c r="G12066" s="30" t="s">
        <v>1061</v>
      </c>
      <c r="H12066" s="30" t="s">
        <v>17535</v>
      </c>
      <c r="J12066" s="30" t="s">
        <v>17536</v>
      </c>
      <c r="L12066" s="30" t="s">
        <v>1259</v>
      </c>
      <c r="N12066" s="30" t="s">
        <v>1260</v>
      </c>
      <c r="P12066" s="30" t="s">
        <v>10796</v>
      </c>
      <c r="Q12066" t="s">
        <v>732</v>
      </c>
      <c r="R12066" t="s">
        <v>920</v>
      </c>
      <c r="S12066">
        <v>39</v>
      </c>
      <c r="T12066" s="29" t="str">
        <f t="shared" si="504"/>
        <v>2023.024M.Bunyaviricetes.zip</v>
      </c>
      <c r="U12066" s="29" t="str">
        <f>HYPERLINK("https://ictv.global/taxonomy/taxondetails?taxnode_id=202306667","ictv.global=202306667")</f>
        <v>ictv.global=202306667</v>
      </c>
    </row>
    <row r="12067" spans="1:21">
      <c r="A12067">
        <v>12066</v>
      </c>
      <c r="B12067" s="30" t="s">
        <v>1226</v>
      </c>
      <c r="D12067" s="30" t="s">
        <v>2024</v>
      </c>
      <c r="F12067" s="30" t="s">
        <v>1040</v>
      </c>
      <c r="G12067" s="30" t="s">
        <v>1061</v>
      </c>
      <c r="H12067" s="30" t="s">
        <v>17535</v>
      </c>
      <c r="J12067" s="30" t="s">
        <v>17536</v>
      </c>
      <c r="L12067" s="30" t="s">
        <v>1259</v>
      </c>
      <c r="N12067" s="30" t="s">
        <v>1260</v>
      </c>
      <c r="P12067" s="30" t="s">
        <v>10797</v>
      </c>
      <c r="Q12067" t="s">
        <v>732</v>
      </c>
      <c r="R12067" t="s">
        <v>920</v>
      </c>
      <c r="S12067">
        <v>39</v>
      </c>
      <c r="T12067" s="29" t="str">
        <f t="shared" si="504"/>
        <v>2023.024M.Bunyaviricetes.zip</v>
      </c>
      <c r="U12067" s="29" t="str">
        <f>HYPERLINK("https://ictv.global/taxonomy/taxondetails?taxnode_id=202307248","ictv.global=202307248")</f>
        <v>ictv.global=202307248</v>
      </c>
    </row>
    <row r="12068" spans="1:21">
      <c r="A12068">
        <v>12067</v>
      </c>
      <c r="B12068" s="30" t="s">
        <v>1226</v>
      </c>
      <c r="D12068" s="30" t="s">
        <v>2024</v>
      </c>
      <c r="F12068" s="30" t="s">
        <v>1040</v>
      </c>
      <c r="G12068" s="30" t="s">
        <v>1061</v>
      </c>
      <c r="H12068" s="30" t="s">
        <v>17535</v>
      </c>
      <c r="J12068" s="30" t="s">
        <v>17536</v>
      </c>
      <c r="L12068" s="30" t="s">
        <v>1259</v>
      </c>
      <c r="N12068" s="30" t="s">
        <v>1260</v>
      </c>
      <c r="P12068" s="30" t="s">
        <v>10798</v>
      </c>
      <c r="Q12068" t="s">
        <v>732</v>
      </c>
      <c r="R12068" t="s">
        <v>920</v>
      </c>
      <c r="S12068">
        <v>39</v>
      </c>
      <c r="T12068" s="29" t="str">
        <f t="shared" si="504"/>
        <v>2023.024M.Bunyaviricetes.zip</v>
      </c>
      <c r="U12068" s="29" t="str">
        <f>HYPERLINK("https://ictv.global/taxonomy/taxondetails?taxnode_id=202300182","ictv.global=202300182")</f>
        <v>ictv.global=202300182</v>
      </c>
    </row>
    <row r="12069" spans="1:21">
      <c r="A12069">
        <v>12068</v>
      </c>
      <c r="B12069" s="30" t="s">
        <v>1226</v>
      </c>
      <c r="D12069" s="30" t="s">
        <v>2024</v>
      </c>
      <c r="F12069" s="30" t="s">
        <v>1040</v>
      </c>
      <c r="G12069" s="30" t="s">
        <v>1061</v>
      </c>
      <c r="H12069" s="30" t="s">
        <v>17535</v>
      </c>
      <c r="J12069" s="30" t="s">
        <v>17536</v>
      </c>
      <c r="L12069" s="30" t="s">
        <v>1259</v>
      </c>
      <c r="N12069" s="30" t="s">
        <v>1260</v>
      </c>
      <c r="P12069" s="30" t="s">
        <v>10799</v>
      </c>
      <c r="Q12069" t="s">
        <v>732</v>
      </c>
      <c r="R12069" t="s">
        <v>920</v>
      </c>
      <c r="S12069">
        <v>39</v>
      </c>
      <c r="T12069" s="29" t="str">
        <f t="shared" si="504"/>
        <v>2023.024M.Bunyaviricetes.zip</v>
      </c>
      <c r="U12069" s="29" t="str">
        <f>HYPERLINK("https://ictv.global/taxonomy/taxondetails?taxnode_id=202300183","ictv.global=202300183")</f>
        <v>ictv.global=202300183</v>
      </c>
    </row>
    <row r="12070" spans="1:21">
      <c r="A12070">
        <v>12069</v>
      </c>
      <c r="B12070" s="30" t="s">
        <v>1226</v>
      </c>
      <c r="D12070" s="30" t="s">
        <v>2024</v>
      </c>
      <c r="F12070" s="30" t="s">
        <v>1040</v>
      </c>
      <c r="G12070" s="30" t="s">
        <v>1061</v>
      </c>
      <c r="H12070" s="30" t="s">
        <v>17535</v>
      </c>
      <c r="J12070" s="30" t="s">
        <v>17536</v>
      </c>
      <c r="L12070" s="30" t="s">
        <v>1259</v>
      </c>
      <c r="N12070" s="30" t="s">
        <v>1260</v>
      </c>
      <c r="P12070" s="30" t="s">
        <v>10800</v>
      </c>
      <c r="Q12070" t="s">
        <v>732</v>
      </c>
      <c r="R12070" t="s">
        <v>920</v>
      </c>
      <c r="S12070">
        <v>39</v>
      </c>
      <c r="T12070" s="29" t="str">
        <f t="shared" si="504"/>
        <v>2023.024M.Bunyaviricetes.zip</v>
      </c>
      <c r="U12070" s="29" t="str">
        <f>HYPERLINK("https://ictv.global/taxonomy/taxondetails?taxnode_id=202306666","ictv.global=202306666")</f>
        <v>ictv.global=202306666</v>
      </c>
    </row>
    <row r="12071" spans="1:21">
      <c r="A12071">
        <v>12070</v>
      </c>
      <c r="B12071" s="30" t="s">
        <v>1226</v>
      </c>
      <c r="D12071" s="30" t="s">
        <v>2024</v>
      </c>
      <c r="F12071" s="30" t="s">
        <v>1040</v>
      </c>
      <c r="G12071" s="30" t="s">
        <v>1061</v>
      </c>
      <c r="H12071" s="30" t="s">
        <v>17535</v>
      </c>
      <c r="J12071" s="30" t="s">
        <v>17536</v>
      </c>
      <c r="L12071" s="30" t="s">
        <v>1259</v>
      </c>
      <c r="N12071" s="30" t="s">
        <v>1260</v>
      </c>
      <c r="P12071" s="30" t="s">
        <v>10801</v>
      </c>
      <c r="Q12071" t="s">
        <v>732</v>
      </c>
      <c r="R12071" t="s">
        <v>920</v>
      </c>
      <c r="S12071">
        <v>39</v>
      </c>
      <c r="T12071" s="29" t="str">
        <f t="shared" si="504"/>
        <v>2023.024M.Bunyaviricetes.zip</v>
      </c>
      <c r="U12071" s="29" t="str">
        <f>HYPERLINK("https://ictv.global/taxonomy/taxondetails?taxnode_id=202306665","ictv.global=202306665")</f>
        <v>ictv.global=202306665</v>
      </c>
    </row>
    <row r="12072" spans="1:21">
      <c r="A12072">
        <v>12071</v>
      </c>
      <c r="B12072" s="30" t="s">
        <v>1226</v>
      </c>
      <c r="D12072" s="30" t="s">
        <v>2024</v>
      </c>
      <c r="F12072" s="30" t="s">
        <v>1040</v>
      </c>
      <c r="G12072" s="30" t="s">
        <v>1061</v>
      </c>
      <c r="H12072" s="30" t="s">
        <v>17535</v>
      </c>
      <c r="J12072" s="30" t="s">
        <v>17536</v>
      </c>
      <c r="L12072" s="30" t="s">
        <v>1259</v>
      </c>
      <c r="N12072" s="30" t="s">
        <v>1260</v>
      </c>
      <c r="P12072" s="30" t="s">
        <v>10802</v>
      </c>
      <c r="Q12072" t="s">
        <v>732</v>
      </c>
      <c r="R12072" t="s">
        <v>920</v>
      </c>
      <c r="S12072">
        <v>39</v>
      </c>
      <c r="T12072" s="29" t="str">
        <f t="shared" si="504"/>
        <v>2023.024M.Bunyaviricetes.zip</v>
      </c>
      <c r="U12072" s="29" t="str">
        <f>HYPERLINK("https://ictv.global/taxonomy/taxondetails?taxnode_id=202307249","ictv.global=202307249")</f>
        <v>ictv.global=202307249</v>
      </c>
    </row>
    <row r="12073" spans="1:21">
      <c r="A12073">
        <v>12072</v>
      </c>
      <c r="B12073" s="30" t="s">
        <v>1226</v>
      </c>
      <c r="D12073" s="30" t="s">
        <v>2024</v>
      </c>
      <c r="F12073" s="30" t="s">
        <v>1040</v>
      </c>
      <c r="G12073" s="30" t="s">
        <v>1061</v>
      </c>
      <c r="H12073" s="30" t="s">
        <v>17535</v>
      </c>
      <c r="J12073" s="30" t="s">
        <v>17536</v>
      </c>
      <c r="L12073" s="30" t="s">
        <v>1259</v>
      </c>
      <c r="N12073" s="30" t="s">
        <v>1260</v>
      </c>
      <c r="P12073" s="30" t="s">
        <v>10803</v>
      </c>
      <c r="Q12073" t="s">
        <v>732</v>
      </c>
      <c r="R12073" t="s">
        <v>920</v>
      </c>
      <c r="S12073">
        <v>39</v>
      </c>
      <c r="T12073" s="29" t="str">
        <f t="shared" si="504"/>
        <v>2023.024M.Bunyaviricetes.zip</v>
      </c>
      <c r="U12073" s="29" t="str">
        <f>HYPERLINK("https://ictv.global/taxonomy/taxondetails?taxnode_id=202306661","ictv.global=202306661")</f>
        <v>ictv.global=202306661</v>
      </c>
    </row>
    <row r="12074" spans="1:21">
      <c r="A12074">
        <v>12073</v>
      </c>
      <c r="B12074" s="30" t="s">
        <v>1226</v>
      </c>
      <c r="D12074" s="30" t="s">
        <v>2024</v>
      </c>
      <c r="F12074" s="30" t="s">
        <v>1040</v>
      </c>
      <c r="G12074" s="30" t="s">
        <v>1061</v>
      </c>
      <c r="H12074" s="30" t="s">
        <v>17535</v>
      </c>
      <c r="J12074" s="30" t="s">
        <v>17536</v>
      </c>
      <c r="L12074" s="30" t="s">
        <v>1259</v>
      </c>
      <c r="N12074" s="30" t="s">
        <v>1260</v>
      </c>
      <c r="P12074" s="30" t="s">
        <v>10804</v>
      </c>
      <c r="Q12074" t="s">
        <v>732</v>
      </c>
      <c r="R12074" t="s">
        <v>920</v>
      </c>
      <c r="S12074">
        <v>39</v>
      </c>
      <c r="T12074" s="29" t="str">
        <f t="shared" si="504"/>
        <v>2023.024M.Bunyaviricetes.zip</v>
      </c>
      <c r="U12074" s="29" t="str">
        <f>HYPERLINK("https://ictv.global/taxonomy/taxondetails?taxnode_id=202300184","ictv.global=202300184")</f>
        <v>ictv.global=202300184</v>
      </c>
    </row>
    <row r="12075" spans="1:21">
      <c r="A12075">
        <v>12074</v>
      </c>
      <c r="B12075" s="30" t="s">
        <v>1226</v>
      </c>
      <c r="D12075" s="30" t="s">
        <v>2024</v>
      </c>
      <c r="F12075" s="30" t="s">
        <v>1040</v>
      </c>
      <c r="G12075" s="30" t="s">
        <v>1061</v>
      </c>
      <c r="H12075" s="30" t="s">
        <v>17535</v>
      </c>
      <c r="J12075" s="30" t="s">
        <v>17536</v>
      </c>
      <c r="L12075" s="30" t="s">
        <v>1259</v>
      </c>
      <c r="N12075" s="30" t="s">
        <v>1260</v>
      </c>
      <c r="P12075" s="30" t="s">
        <v>10805</v>
      </c>
      <c r="Q12075" t="s">
        <v>732</v>
      </c>
      <c r="R12075" t="s">
        <v>920</v>
      </c>
      <c r="S12075">
        <v>39</v>
      </c>
      <c r="T12075" s="29" t="str">
        <f t="shared" si="504"/>
        <v>2023.024M.Bunyaviricetes.zip</v>
      </c>
      <c r="U12075" s="29" t="str">
        <f>HYPERLINK("https://ictv.global/taxonomy/taxondetails?taxnode_id=202307251","ictv.global=202307251")</f>
        <v>ictv.global=202307251</v>
      </c>
    </row>
    <row r="12076" spans="1:21">
      <c r="A12076">
        <v>12075</v>
      </c>
      <c r="B12076" s="30" t="s">
        <v>1226</v>
      </c>
      <c r="D12076" s="30" t="s">
        <v>2024</v>
      </c>
      <c r="F12076" s="30" t="s">
        <v>1040</v>
      </c>
      <c r="G12076" s="30" t="s">
        <v>1061</v>
      </c>
      <c r="H12076" s="30" t="s">
        <v>17535</v>
      </c>
      <c r="J12076" s="30" t="s">
        <v>17536</v>
      </c>
      <c r="L12076" s="30" t="s">
        <v>1259</v>
      </c>
      <c r="N12076" s="30" t="s">
        <v>1260</v>
      </c>
      <c r="P12076" s="30" t="s">
        <v>10806</v>
      </c>
      <c r="Q12076" t="s">
        <v>732</v>
      </c>
      <c r="R12076" t="s">
        <v>920</v>
      </c>
      <c r="S12076">
        <v>39</v>
      </c>
      <c r="T12076" s="29" t="str">
        <f t="shared" si="504"/>
        <v>2023.024M.Bunyaviricetes.zip</v>
      </c>
      <c r="U12076" s="29" t="str">
        <f>HYPERLINK("https://ictv.global/taxonomy/taxondetails?taxnode_id=202300185","ictv.global=202300185")</f>
        <v>ictv.global=202300185</v>
      </c>
    </row>
    <row r="12077" spans="1:21">
      <c r="A12077">
        <v>12076</v>
      </c>
      <c r="B12077" s="30" t="s">
        <v>1226</v>
      </c>
      <c r="D12077" s="30" t="s">
        <v>2024</v>
      </c>
      <c r="F12077" s="30" t="s">
        <v>1040</v>
      </c>
      <c r="G12077" s="30" t="s">
        <v>1061</v>
      </c>
      <c r="H12077" s="30" t="s">
        <v>17535</v>
      </c>
      <c r="J12077" s="30" t="s">
        <v>17536</v>
      </c>
      <c r="L12077" s="30" t="s">
        <v>1259</v>
      </c>
      <c r="N12077" s="30" t="s">
        <v>1260</v>
      </c>
      <c r="P12077" s="30" t="s">
        <v>10807</v>
      </c>
      <c r="Q12077" t="s">
        <v>732</v>
      </c>
      <c r="R12077" t="s">
        <v>920</v>
      </c>
      <c r="S12077">
        <v>39</v>
      </c>
      <c r="T12077" s="29" t="str">
        <f t="shared" si="504"/>
        <v>2023.024M.Bunyaviricetes.zip</v>
      </c>
      <c r="U12077" s="29" t="str">
        <f>HYPERLINK("https://ictv.global/taxonomy/taxondetails?taxnode_id=202300186","ictv.global=202300186")</f>
        <v>ictv.global=202300186</v>
      </c>
    </row>
    <row r="12078" spans="1:21">
      <c r="A12078">
        <v>12077</v>
      </c>
      <c r="B12078" s="30" t="s">
        <v>1226</v>
      </c>
      <c r="D12078" s="30" t="s">
        <v>2024</v>
      </c>
      <c r="F12078" s="30" t="s">
        <v>1040</v>
      </c>
      <c r="G12078" s="30" t="s">
        <v>1061</v>
      </c>
      <c r="H12078" s="30" t="s">
        <v>17535</v>
      </c>
      <c r="J12078" s="30" t="s">
        <v>17536</v>
      </c>
      <c r="L12078" s="30" t="s">
        <v>1259</v>
      </c>
      <c r="N12078" s="30" t="s">
        <v>1260</v>
      </c>
      <c r="P12078" s="30" t="s">
        <v>10808</v>
      </c>
      <c r="Q12078" t="s">
        <v>732</v>
      </c>
      <c r="R12078" t="s">
        <v>920</v>
      </c>
      <c r="S12078">
        <v>39</v>
      </c>
      <c r="T12078" s="29" t="str">
        <f t="shared" si="504"/>
        <v>2023.024M.Bunyaviricetes.zip</v>
      </c>
      <c r="U12078" s="29" t="str">
        <f>HYPERLINK("https://ictv.global/taxonomy/taxondetails?taxnode_id=202307252","ictv.global=202307252")</f>
        <v>ictv.global=202307252</v>
      </c>
    </row>
    <row r="12079" spans="1:21">
      <c r="A12079">
        <v>12078</v>
      </c>
      <c r="B12079" s="30" t="s">
        <v>1226</v>
      </c>
      <c r="D12079" s="30" t="s">
        <v>2024</v>
      </c>
      <c r="F12079" s="30" t="s">
        <v>1040</v>
      </c>
      <c r="G12079" s="30" t="s">
        <v>1061</v>
      </c>
      <c r="H12079" s="30" t="s">
        <v>17535</v>
      </c>
      <c r="J12079" s="30" t="s">
        <v>17536</v>
      </c>
      <c r="L12079" s="30" t="s">
        <v>10809</v>
      </c>
      <c r="N12079" s="30" t="s">
        <v>10810</v>
      </c>
      <c r="P12079" s="30" t="s">
        <v>10811</v>
      </c>
      <c r="Q12079" t="s">
        <v>620</v>
      </c>
      <c r="R12079" t="s">
        <v>920</v>
      </c>
      <c r="S12079">
        <v>39</v>
      </c>
      <c r="T12079" s="29" t="str">
        <f t="shared" si="504"/>
        <v>2023.024M.Bunyaviricetes.zip</v>
      </c>
      <c r="U12079" s="29" t="str">
        <f>HYPERLINK("https://ictv.global/taxonomy/taxondetails?taxnode_id=202312961","ictv.global=202312961")</f>
        <v>ictv.global=202312961</v>
      </c>
    </row>
    <row r="12080" spans="1:21">
      <c r="A12080">
        <v>12079</v>
      </c>
      <c r="B12080" s="30" t="s">
        <v>1226</v>
      </c>
      <c r="D12080" s="30" t="s">
        <v>2024</v>
      </c>
      <c r="F12080" s="30" t="s">
        <v>1040</v>
      </c>
      <c r="G12080" s="30" t="s">
        <v>1061</v>
      </c>
      <c r="H12080" s="30" t="s">
        <v>17535</v>
      </c>
      <c r="J12080" s="30" t="s">
        <v>17536</v>
      </c>
      <c r="L12080" s="30" t="s">
        <v>10809</v>
      </c>
      <c r="N12080" s="30" t="s">
        <v>17562</v>
      </c>
      <c r="P12080" s="30" t="s">
        <v>17563</v>
      </c>
      <c r="Q12080" t="s">
        <v>620</v>
      </c>
      <c r="R12080" t="s">
        <v>917</v>
      </c>
      <c r="S12080">
        <v>39</v>
      </c>
      <c r="T12080" s="29" t="str">
        <f t="shared" si="504"/>
        <v>2023.024M.Bunyaviricetes.zip</v>
      </c>
      <c r="U12080" s="29" t="str">
        <f>HYPERLINK("https://ictv.global/taxonomy/taxondetails?taxnode_id=202318851","ictv.global=202318851")</f>
        <v>ictv.global=202318851</v>
      </c>
    </row>
    <row r="12081" spans="1:21">
      <c r="A12081">
        <v>12080</v>
      </c>
      <c r="B12081" s="30" t="s">
        <v>1226</v>
      </c>
      <c r="D12081" s="30" t="s">
        <v>2024</v>
      </c>
      <c r="F12081" s="30" t="s">
        <v>1040</v>
      </c>
      <c r="G12081" s="30" t="s">
        <v>1061</v>
      </c>
      <c r="H12081" s="30" t="s">
        <v>17535</v>
      </c>
      <c r="J12081" s="30" t="s">
        <v>17564</v>
      </c>
      <c r="L12081" s="30" t="s">
        <v>274</v>
      </c>
      <c r="N12081" s="30" t="s">
        <v>1245</v>
      </c>
      <c r="P12081" s="30" t="s">
        <v>10267</v>
      </c>
      <c r="Q12081" t="s">
        <v>732</v>
      </c>
      <c r="R12081" t="s">
        <v>919</v>
      </c>
      <c r="S12081">
        <v>39</v>
      </c>
      <c r="T12081" s="29" t="str">
        <f t="shared" si="504"/>
        <v>2023.024M.Bunyaviricetes.zip</v>
      </c>
      <c r="U12081" s="29" t="str">
        <f>HYPERLINK("https://ictv.global/taxonomy/taxondetails?taxnode_id=202306321","ictv.global=202306321")</f>
        <v>ictv.global=202306321</v>
      </c>
    </row>
    <row r="12082" spans="1:21">
      <c r="A12082">
        <v>12081</v>
      </c>
      <c r="B12082" s="30" t="s">
        <v>1226</v>
      </c>
      <c r="D12082" s="30" t="s">
        <v>2024</v>
      </c>
      <c r="F12082" s="30" t="s">
        <v>1040</v>
      </c>
      <c r="G12082" s="30" t="s">
        <v>1061</v>
      </c>
      <c r="H12082" s="30" t="s">
        <v>17535</v>
      </c>
      <c r="J12082" s="30" t="s">
        <v>17564</v>
      </c>
      <c r="L12082" s="30" t="s">
        <v>274</v>
      </c>
      <c r="N12082" s="30" t="s">
        <v>1245</v>
      </c>
      <c r="P12082" s="30" t="s">
        <v>10268</v>
      </c>
      <c r="Q12082" t="s">
        <v>620</v>
      </c>
      <c r="R12082" t="s">
        <v>919</v>
      </c>
      <c r="S12082">
        <v>39</v>
      </c>
      <c r="T12082" s="29" t="str">
        <f t="shared" ref="T12082:T12092" si="505">HYPERLINK("https://ictv.global/ictv/proposals/2023.024M.Bunyaviricetes.zip","2023.024M.Bunyaviricetes.zip")</f>
        <v>2023.024M.Bunyaviricetes.zip</v>
      </c>
      <c r="U12082" s="29" t="str">
        <f>HYPERLINK("https://ictv.global/taxonomy/taxondetails?taxnode_id=202309577","ictv.global=202309577")</f>
        <v>ictv.global=202309577</v>
      </c>
    </row>
    <row r="12083" spans="1:21">
      <c r="A12083">
        <v>12082</v>
      </c>
      <c r="B12083" s="30" t="s">
        <v>1226</v>
      </c>
      <c r="D12083" s="30" t="s">
        <v>2024</v>
      </c>
      <c r="F12083" s="30" t="s">
        <v>1040</v>
      </c>
      <c r="G12083" s="30" t="s">
        <v>1061</v>
      </c>
      <c r="H12083" s="30" t="s">
        <v>17535</v>
      </c>
      <c r="J12083" s="30" t="s">
        <v>17564</v>
      </c>
      <c r="L12083" s="30" t="s">
        <v>274</v>
      </c>
      <c r="N12083" s="30" t="s">
        <v>1245</v>
      </c>
      <c r="P12083" s="30" t="s">
        <v>10269</v>
      </c>
      <c r="Q12083" t="s">
        <v>732</v>
      </c>
      <c r="R12083" t="s">
        <v>919</v>
      </c>
      <c r="S12083">
        <v>39</v>
      </c>
      <c r="T12083" s="29" t="str">
        <f t="shared" si="505"/>
        <v>2023.024M.Bunyaviricetes.zip</v>
      </c>
      <c r="U12083" s="29" t="str">
        <f>HYPERLINK("https://ictv.global/taxonomy/taxondetails?taxnode_id=202306320","ictv.global=202306320")</f>
        <v>ictv.global=202306320</v>
      </c>
    </row>
    <row r="12084" spans="1:21">
      <c r="A12084">
        <v>12083</v>
      </c>
      <c r="B12084" s="30" t="s">
        <v>1226</v>
      </c>
      <c r="D12084" s="30" t="s">
        <v>2024</v>
      </c>
      <c r="F12084" s="30" t="s">
        <v>1040</v>
      </c>
      <c r="G12084" s="30" t="s">
        <v>1061</v>
      </c>
      <c r="H12084" s="30" t="s">
        <v>17535</v>
      </c>
      <c r="J12084" s="30" t="s">
        <v>17564</v>
      </c>
      <c r="L12084" s="30" t="s">
        <v>274</v>
      </c>
      <c r="N12084" s="30" t="s">
        <v>983</v>
      </c>
      <c r="P12084" s="30" t="s">
        <v>10270</v>
      </c>
      <c r="Q12084" t="s">
        <v>620</v>
      </c>
      <c r="R12084" t="s">
        <v>919</v>
      </c>
      <c r="S12084">
        <v>39</v>
      </c>
      <c r="T12084" s="29" t="str">
        <f t="shared" si="505"/>
        <v>2023.024M.Bunyaviricetes.zip</v>
      </c>
      <c r="U12084" s="29" t="str">
        <f>HYPERLINK("https://ictv.global/taxonomy/taxondetails?taxnode_id=202309599","ictv.global=202309599")</f>
        <v>ictv.global=202309599</v>
      </c>
    </row>
    <row r="12085" spans="1:21">
      <c r="A12085">
        <v>12084</v>
      </c>
      <c r="B12085" s="30" t="s">
        <v>1226</v>
      </c>
      <c r="D12085" s="30" t="s">
        <v>2024</v>
      </c>
      <c r="F12085" s="30" t="s">
        <v>1040</v>
      </c>
      <c r="G12085" s="30" t="s">
        <v>1061</v>
      </c>
      <c r="H12085" s="30" t="s">
        <v>17535</v>
      </c>
      <c r="J12085" s="30" t="s">
        <v>17564</v>
      </c>
      <c r="L12085" s="30" t="s">
        <v>274</v>
      </c>
      <c r="N12085" s="30" t="s">
        <v>983</v>
      </c>
      <c r="P12085" s="30" t="s">
        <v>10271</v>
      </c>
      <c r="Q12085" t="s">
        <v>732</v>
      </c>
      <c r="R12085" t="s">
        <v>919</v>
      </c>
      <c r="S12085">
        <v>39</v>
      </c>
      <c r="T12085" s="29" t="str">
        <f t="shared" si="505"/>
        <v>2023.024M.Bunyaviricetes.zip</v>
      </c>
      <c r="U12085" s="29" t="str">
        <f>HYPERLINK("https://ictv.global/taxonomy/taxondetails?taxnode_id=202305740","ictv.global=202305740")</f>
        <v>ictv.global=202305740</v>
      </c>
    </row>
    <row r="12086" spans="1:21">
      <c r="A12086">
        <v>12085</v>
      </c>
      <c r="B12086" s="30" t="s">
        <v>1226</v>
      </c>
      <c r="D12086" s="30" t="s">
        <v>2024</v>
      </c>
      <c r="F12086" s="30" t="s">
        <v>1040</v>
      </c>
      <c r="G12086" s="30" t="s">
        <v>1061</v>
      </c>
      <c r="H12086" s="30" t="s">
        <v>17535</v>
      </c>
      <c r="J12086" s="30" t="s">
        <v>17564</v>
      </c>
      <c r="L12086" s="30" t="s">
        <v>274</v>
      </c>
      <c r="N12086" s="30" t="s">
        <v>983</v>
      </c>
      <c r="P12086" s="30" t="s">
        <v>10272</v>
      </c>
      <c r="Q12086" t="s">
        <v>732</v>
      </c>
      <c r="R12086" t="s">
        <v>919</v>
      </c>
      <c r="S12086">
        <v>39</v>
      </c>
      <c r="T12086" s="29" t="str">
        <f t="shared" si="505"/>
        <v>2023.024M.Bunyaviricetes.zip</v>
      </c>
      <c r="U12086" s="29" t="str">
        <f>HYPERLINK("https://ictv.global/taxonomy/taxondetails?taxnode_id=202307277","ictv.global=202307277")</f>
        <v>ictv.global=202307277</v>
      </c>
    </row>
    <row r="12087" spans="1:21">
      <c r="A12087">
        <v>12086</v>
      </c>
      <c r="B12087" s="30" t="s">
        <v>1226</v>
      </c>
      <c r="D12087" s="30" t="s">
        <v>2024</v>
      </c>
      <c r="F12087" s="30" t="s">
        <v>1040</v>
      </c>
      <c r="G12087" s="30" t="s">
        <v>1061</v>
      </c>
      <c r="H12087" s="30" t="s">
        <v>17535</v>
      </c>
      <c r="J12087" s="30" t="s">
        <v>17564</v>
      </c>
      <c r="L12087" s="30" t="s">
        <v>274</v>
      </c>
      <c r="N12087" s="30" t="s">
        <v>983</v>
      </c>
      <c r="P12087" s="30" t="s">
        <v>10273</v>
      </c>
      <c r="Q12087" t="s">
        <v>620</v>
      </c>
      <c r="R12087" t="s">
        <v>919</v>
      </c>
      <c r="S12087">
        <v>39</v>
      </c>
      <c r="T12087" s="29" t="str">
        <f t="shared" si="505"/>
        <v>2023.024M.Bunyaviricetes.zip</v>
      </c>
      <c r="U12087" s="29" t="str">
        <f>HYPERLINK("https://ictv.global/taxonomy/taxondetails?taxnode_id=202309600","ictv.global=202309600")</f>
        <v>ictv.global=202309600</v>
      </c>
    </row>
    <row r="12088" spans="1:21">
      <c r="A12088">
        <v>12087</v>
      </c>
      <c r="B12088" s="30" t="s">
        <v>1226</v>
      </c>
      <c r="D12088" s="30" t="s">
        <v>2024</v>
      </c>
      <c r="F12088" s="30" t="s">
        <v>1040</v>
      </c>
      <c r="G12088" s="30" t="s">
        <v>1061</v>
      </c>
      <c r="H12088" s="30" t="s">
        <v>17535</v>
      </c>
      <c r="J12088" s="30" t="s">
        <v>17564</v>
      </c>
      <c r="L12088" s="30" t="s">
        <v>274</v>
      </c>
      <c r="N12088" s="30" t="s">
        <v>983</v>
      </c>
      <c r="P12088" s="30" t="s">
        <v>10274</v>
      </c>
      <c r="Q12088" t="s">
        <v>732</v>
      </c>
      <c r="R12088" t="s">
        <v>919</v>
      </c>
      <c r="S12088">
        <v>39</v>
      </c>
      <c r="T12088" s="29" t="str">
        <f t="shared" si="505"/>
        <v>2023.024M.Bunyaviricetes.zip</v>
      </c>
      <c r="U12088" s="29" t="str">
        <f>HYPERLINK("https://ictv.global/taxonomy/taxondetails?taxnode_id=202314182","ictv.global=202314182")</f>
        <v>ictv.global=202314182</v>
      </c>
    </row>
    <row r="12089" spans="1:21">
      <c r="A12089">
        <v>12088</v>
      </c>
      <c r="B12089" s="30" t="s">
        <v>1226</v>
      </c>
      <c r="D12089" s="30" t="s">
        <v>2024</v>
      </c>
      <c r="F12089" s="30" t="s">
        <v>1040</v>
      </c>
      <c r="G12089" s="30" t="s">
        <v>1061</v>
      </c>
      <c r="H12089" s="30" t="s">
        <v>17535</v>
      </c>
      <c r="J12089" s="30" t="s">
        <v>17564</v>
      </c>
      <c r="L12089" s="30" t="s">
        <v>274</v>
      </c>
      <c r="N12089" s="30" t="s">
        <v>983</v>
      </c>
      <c r="P12089" s="30" t="s">
        <v>10275</v>
      </c>
      <c r="Q12089" t="s">
        <v>732</v>
      </c>
      <c r="R12089" t="s">
        <v>919</v>
      </c>
      <c r="S12089">
        <v>39</v>
      </c>
      <c r="T12089" s="29" t="str">
        <f t="shared" si="505"/>
        <v>2023.024M.Bunyaviricetes.zip</v>
      </c>
      <c r="U12089" s="29" t="str">
        <f>HYPERLINK("https://ictv.global/taxonomy/taxondetails?taxnode_id=202307278","ictv.global=202307278")</f>
        <v>ictv.global=202307278</v>
      </c>
    </row>
    <row r="12090" spans="1:21">
      <c r="A12090">
        <v>12089</v>
      </c>
      <c r="B12090" s="30" t="s">
        <v>1226</v>
      </c>
      <c r="D12090" s="30" t="s">
        <v>2024</v>
      </c>
      <c r="F12090" s="30" t="s">
        <v>1040</v>
      </c>
      <c r="G12090" s="30" t="s">
        <v>1061</v>
      </c>
      <c r="H12090" s="30" t="s">
        <v>17535</v>
      </c>
      <c r="J12090" s="30" t="s">
        <v>17564</v>
      </c>
      <c r="L12090" s="30" t="s">
        <v>274</v>
      </c>
      <c r="N12090" s="30" t="s">
        <v>983</v>
      </c>
      <c r="P12090" s="30" t="s">
        <v>10276</v>
      </c>
      <c r="Q12090" t="s">
        <v>732</v>
      </c>
      <c r="R12090" t="s">
        <v>919</v>
      </c>
      <c r="S12090">
        <v>39</v>
      </c>
      <c r="T12090" s="29" t="str">
        <f t="shared" si="505"/>
        <v>2023.024M.Bunyaviricetes.zip</v>
      </c>
      <c r="U12090" s="29" t="str">
        <f>HYPERLINK("https://ictv.global/taxonomy/taxondetails?taxnode_id=202307279","ictv.global=202307279")</f>
        <v>ictv.global=202307279</v>
      </c>
    </row>
    <row r="12091" spans="1:21">
      <c r="A12091">
        <v>12090</v>
      </c>
      <c r="B12091" s="30" t="s">
        <v>1226</v>
      </c>
      <c r="D12091" s="30" t="s">
        <v>2024</v>
      </c>
      <c r="F12091" s="30" t="s">
        <v>1040</v>
      </c>
      <c r="G12091" s="30" t="s">
        <v>1061</v>
      </c>
      <c r="H12091" s="30" t="s">
        <v>17535</v>
      </c>
      <c r="J12091" s="30" t="s">
        <v>17564</v>
      </c>
      <c r="L12091" s="30" t="s">
        <v>274</v>
      </c>
      <c r="N12091" s="30" t="s">
        <v>983</v>
      </c>
      <c r="P12091" s="30" t="s">
        <v>10277</v>
      </c>
      <c r="Q12091" t="s">
        <v>732</v>
      </c>
      <c r="R12091" t="s">
        <v>919</v>
      </c>
      <c r="S12091">
        <v>39</v>
      </c>
      <c r="T12091" s="29" t="str">
        <f t="shared" si="505"/>
        <v>2023.024M.Bunyaviricetes.zip</v>
      </c>
      <c r="U12091" s="29" t="str">
        <f>HYPERLINK("https://ictv.global/taxonomy/taxondetails?taxnode_id=202314181","ictv.global=202314181")</f>
        <v>ictv.global=202314181</v>
      </c>
    </row>
    <row r="12092" spans="1:21">
      <c r="A12092">
        <v>12091</v>
      </c>
      <c r="B12092" s="30" t="s">
        <v>1226</v>
      </c>
      <c r="D12092" s="30" t="s">
        <v>2024</v>
      </c>
      <c r="F12092" s="30" t="s">
        <v>1040</v>
      </c>
      <c r="G12092" s="30" t="s">
        <v>1061</v>
      </c>
      <c r="H12092" s="30" t="s">
        <v>17535</v>
      </c>
      <c r="J12092" s="30" t="s">
        <v>17564</v>
      </c>
      <c r="L12092" s="30" t="s">
        <v>274</v>
      </c>
      <c r="N12092" s="30" t="s">
        <v>10278</v>
      </c>
      <c r="P12092" s="30" t="s">
        <v>10279</v>
      </c>
      <c r="Q12092" t="s">
        <v>732</v>
      </c>
      <c r="R12092" t="s">
        <v>919</v>
      </c>
      <c r="S12092">
        <v>39</v>
      </c>
      <c r="T12092" s="29" t="str">
        <f t="shared" si="505"/>
        <v>2023.024M.Bunyaviricetes.zip</v>
      </c>
      <c r="U12092" s="29" t="str">
        <f>HYPERLINK("https://ictv.global/taxonomy/taxondetails?taxnode_id=202314161","ictv.global=202314161")</f>
        <v>ictv.global=202314161</v>
      </c>
    </row>
    <row r="12093" spans="1:21">
      <c r="A12093">
        <v>12092</v>
      </c>
      <c r="B12093" s="30" t="s">
        <v>1226</v>
      </c>
      <c r="D12093" s="30" t="s">
        <v>2024</v>
      </c>
      <c r="F12093" s="30" t="s">
        <v>1040</v>
      </c>
      <c r="G12093" s="30" t="s">
        <v>1061</v>
      </c>
      <c r="H12093" s="30" t="s">
        <v>17535</v>
      </c>
      <c r="J12093" s="30" t="s">
        <v>17564</v>
      </c>
      <c r="L12093" s="30" t="s">
        <v>274</v>
      </c>
      <c r="N12093" s="30" t="s">
        <v>613</v>
      </c>
      <c r="P12093" s="30" t="s">
        <v>17565</v>
      </c>
      <c r="Q12093" t="s">
        <v>732</v>
      </c>
      <c r="R12093" t="s">
        <v>917</v>
      </c>
      <c r="S12093">
        <v>39</v>
      </c>
      <c r="T12093" s="29" t="str">
        <f>HYPERLINK("https://ictv.global/ictv/proposals/2023.027M.Mammarenavirus_6nsp.zip","2023.027M.Mammarenavirus_6nsp.zip")</f>
        <v>2023.027M.Mammarenavirus_6nsp.zip</v>
      </c>
      <c r="U12093" s="29" t="str">
        <f>HYPERLINK("https://ictv.global/taxonomy/taxondetails?taxnode_id=202319014","ictv.global=202319014")</f>
        <v>ictv.global=202319014</v>
      </c>
    </row>
    <row r="12094" spans="1:21">
      <c r="A12094">
        <v>12093</v>
      </c>
      <c r="B12094" s="30" t="s">
        <v>1226</v>
      </c>
      <c r="D12094" s="30" t="s">
        <v>2024</v>
      </c>
      <c r="F12094" s="30" t="s">
        <v>1040</v>
      </c>
      <c r="G12094" s="30" t="s">
        <v>1061</v>
      </c>
      <c r="H12094" s="30" t="s">
        <v>17535</v>
      </c>
      <c r="J12094" s="30" t="s">
        <v>17564</v>
      </c>
      <c r="L12094" s="30" t="s">
        <v>274</v>
      </c>
      <c r="N12094" s="30" t="s">
        <v>613</v>
      </c>
      <c r="P12094" s="30" t="s">
        <v>10280</v>
      </c>
      <c r="Q12094" t="s">
        <v>732</v>
      </c>
      <c r="R12094" t="s">
        <v>919</v>
      </c>
      <c r="S12094">
        <v>39</v>
      </c>
      <c r="T12094" s="29" t="str">
        <f>HYPERLINK("https://ictv.global/ictv/proposals/2023.024M.Bunyaviricetes.zip","2023.024M.Bunyaviricetes.zip")</f>
        <v>2023.024M.Bunyaviricetes.zip</v>
      </c>
      <c r="U12094" s="29" t="str">
        <f>HYPERLINK("https://ictv.global/taxonomy/taxondetails?taxnode_id=202307461","ictv.global=202307461")</f>
        <v>ictv.global=202307461</v>
      </c>
    </row>
    <row r="12095" spans="1:21">
      <c r="A12095">
        <v>12094</v>
      </c>
      <c r="B12095" s="30" t="s">
        <v>1226</v>
      </c>
      <c r="D12095" s="30" t="s">
        <v>2024</v>
      </c>
      <c r="F12095" s="30" t="s">
        <v>1040</v>
      </c>
      <c r="G12095" s="30" t="s">
        <v>1061</v>
      </c>
      <c r="H12095" s="30" t="s">
        <v>17535</v>
      </c>
      <c r="J12095" s="30" t="s">
        <v>17564</v>
      </c>
      <c r="L12095" s="30" t="s">
        <v>274</v>
      </c>
      <c r="N12095" s="30" t="s">
        <v>613</v>
      </c>
      <c r="P12095" s="30" t="s">
        <v>10281</v>
      </c>
      <c r="Q12095" t="s">
        <v>732</v>
      </c>
      <c r="R12095" t="s">
        <v>919</v>
      </c>
      <c r="S12095">
        <v>39</v>
      </c>
      <c r="T12095" s="29" t="str">
        <f>HYPERLINK("https://ictv.global/ictv/proposals/2023.024M.Bunyaviricetes.zip","2023.024M.Bunyaviricetes.zip")</f>
        <v>2023.024M.Bunyaviricetes.zip</v>
      </c>
      <c r="U12095" s="29" t="str">
        <f>HYPERLINK("https://ictv.global/taxonomy/taxondetails?taxnode_id=202302570","ictv.global=202302570")</f>
        <v>ictv.global=202302570</v>
      </c>
    </row>
    <row r="12096" spans="1:21">
      <c r="A12096">
        <v>12095</v>
      </c>
      <c r="B12096" s="30" t="s">
        <v>1226</v>
      </c>
      <c r="D12096" s="30" t="s">
        <v>2024</v>
      </c>
      <c r="F12096" s="30" t="s">
        <v>1040</v>
      </c>
      <c r="G12096" s="30" t="s">
        <v>1061</v>
      </c>
      <c r="H12096" s="30" t="s">
        <v>17535</v>
      </c>
      <c r="J12096" s="30" t="s">
        <v>17564</v>
      </c>
      <c r="L12096" s="30" t="s">
        <v>274</v>
      </c>
      <c r="N12096" s="30" t="s">
        <v>613</v>
      </c>
      <c r="P12096" s="30" t="s">
        <v>10282</v>
      </c>
      <c r="Q12096" t="s">
        <v>732</v>
      </c>
      <c r="R12096" t="s">
        <v>919</v>
      </c>
      <c r="S12096">
        <v>39</v>
      </c>
      <c r="T12096" s="29" t="str">
        <f>HYPERLINK("https://ictv.global/ictv/proposals/2023.024M.Bunyaviricetes.zip","2023.024M.Bunyaviricetes.zip")</f>
        <v>2023.024M.Bunyaviricetes.zip</v>
      </c>
      <c r="U12096" s="29" t="str">
        <f>HYPERLINK("https://ictv.global/taxonomy/taxondetails?taxnode_id=202302571","ictv.global=202302571")</f>
        <v>ictv.global=202302571</v>
      </c>
    </row>
    <row r="12097" spans="1:21">
      <c r="A12097">
        <v>12096</v>
      </c>
      <c r="B12097" s="30" t="s">
        <v>1226</v>
      </c>
      <c r="D12097" s="30" t="s">
        <v>2024</v>
      </c>
      <c r="F12097" s="30" t="s">
        <v>1040</v>
      </c>
      <c r="G12097" s="30" t="s">
        <v>1061</v>
      </c>
      <c r="H12097" s="30" t="s">
        <v>17535</v>
      </c>
      <c r="J12097" s="30" t="s">
        <v>17564</v>
      </c>
      <c r="L12097" s="30" t="s">
        <v>274</v>
      </c>
      <c r="N12097" s="30" t="s">
        <v>613</v>
      </c>
      <c r="P12097" s="30" t="s">
        <v>10283</v>
      </c>
      <c r="Q12097" t="s">
        <v>732</v>
      </c>
      <c r="R12097" t="s">
        <v>919</v>
      </c>
      <c r="S12097">
        <v>39</v>
      </c>
      <c r="T12097" s="29" t="str">
        <f>HYPERLINK("https://ictv.global/ictv/proposals/2023.024M.Bunyaviricetes.zip","2023.024M.Bunyaviricetes.zip")</f>
        <v>2023.024M.Bunyaviricetes.zip</v>
      </c>
      <c r="U12097" s="29" t="str">
        <f>HYPERLINK("https://ictv.global/taxonomy/taxondetails?taxnode_id=202307356","ictv.global=202307356")</f>
        <v>ictv.global=202307356</v>
      </c>
    </row>
    <row r="12098" spans="1:21">
      <c r="A12098">
        <v>12097</v>
      </c>
      <c r="B12098" s="30" t="s">
        <v>1226</v>
      </c>
      <c r="D12098" s="30" t="s">
        <v>2024</v>
      </c>
      <c r="F12098" s="30" t="s">
        <v>1040</v>
      </c>
      <c r="G12098" s="30" t="s">
        <v>1061</v>
      </c>
      <c r="H12098" s="30" t="s">
        <v>17535</v>
      </c>
      <c r="J12098" s="30" t="s">
        <v>17564</v>
      </c>
      <c r="L12098" s="30" t="s">
        <v>274</v>
      </c>
      <c r="N12098" s="30" t="s">
        <v>613</v>
      </c>
      <c r="P12098" s="30" t="s">
        <v>17566</v>
      </c>
      <c r="Q12098" t="s">
        <v>732</v>
      </c>
      <c r="R12098" t="s">
        <v>917</v>
      </c>
      <c r="S12098">
        <v>39</v>
      </c>
      <c r="T12098" s="29" t="str">
        <f>HYPERLINK("https://ictv.global/ictv/proposals/2023.027M.Mammarenavirus_6nsp.zip","2023.027M.Mammarenavirus_6nsp.zip")</f>
        <v>2023.027M.Mammarenavirus_6nsp.zip</v>
      </c>
      <c r="U12098" s="29" t="str">
        <f>HYPERLINK("https://ictv.global/taxonomy/taxondetails?taxnode_id=202319010","ictv.global=202319010")</f>
        <v>ictv.global=202319010</v>
      </c>
    </row>
    <row r="12099" spans="1:21">
      <c r="A12099">
        <v>12098</v>
      </c>
      <c r="B12099" s="30" t="s">
        <v>1226</v>
      </c>
      <c r="D12099" s="30" t="s">
        <v>2024</v>
      </c>
      <c r="F12099" s="30" t="s">
        <v>1040</v>
      </c>
      <c r="G12099" s="30" t="s">
        <v>1061</v>
      </c>
      <c r="H12099" s="30" t="s">
        <v>17535</v>
      </c>
      <c r="J12099" s="30" t="s">
        <v>17564</v>
      </c>
      <c r="L12099" s="30" t="s">
        <v>274</v>
      </c>
      <c r="N12099" s="30" t="s">
        <v>613</v>
      </c>
      <c r="P12099" s="30" t="s">
        <v>10284</v>
      </c>
      <c r="Q12099" t="s">
        <v>732</v>
      </c>
      <c r="R12099" t="s">
        <v>919</v>
      </c>
      <c r="S12099">
        <v>39</v>
      </c>
      <c r="T12099" s="29" t="str">
        <f>HYPERLINK("https://ictv.global/ictv/proposals/2023.024M.Bunyaviricetes.zip","2023.024M.Bunyaviricetes.zip")</f>
        <v>2023.024M.Bunyaviricetes.zip</v>
      </c>
      <c r="U12099" s="29" t="str">
        <f>HYPERLINK("https://ictv.global/taxonomy/taxondetails?taxnode_id=202302572","ictv.global=202302572")</f>
        <v>ictv.global=202302572</v>
      </c>
    </row>
    <row r="12100" spans="1:21">
      <c r="A12100">
        <v>12099</v>
      </c>
      <c r="B12100" s="30" t="s">
        <v>1226</v>
      </c>
      <c r="D12100" s="30" t="s">
        <v>2024</v>
      </c>
      <c r="F12100" s="30" t="s">
        <v>1040</v>
      </c>
      <c r="G12100" s="30" t="s">
        <v>1061</v>
      </c>
      <c r="H12100" s="30" t="s">
        <v>17535</v>
      </c>
      <c r="J12100" s="30" t="s">
        <v>17564</v>
      </c>
      <c r="L12100" s="30" t="s">
        <v>274</v>
      </c>
      <c r="N12100" s="30" t="s">
        <v>613</v>
      </c>
      <c r="P12100" s="30" t="s">
        <v>17567</v>
      </c>
      <c r="Q12100" t="s">
        <v>732</v>
      </c>
      <c r="R12100" t="s">
        <v>917</v>
      </c>
      <c r="S12100">
        <v>39</v>
      </c>
      <c r="T12100" s="29" t="str">
        <f>HYPERLINK("https://ictv.global/ictv/proposals/2023.014M.Mammarenavirus_2nsp.zip","2023.014M.Mammarenavirus_2nsp.zip")</f>
        <v>2023.014M.Mammarenavirus_2nsp.zip</v>
      </c>
      <c r="U12100" s="29" t="str">
        <f>HYPERLINK("https://ictv.global/taxonomy/taxondetails?taxnode_id=202318093","ictv.global=202318093")</f>
        <v>ictv.global=202318093</v>
      </c>
    </row>
    <row r="12101" spans="1:21">
      <c r="A12101">
        <v>12100</v>
      </c>
      <c r="B12101" s="30" t="s">
        <v>1226</v>
      </c>
      <c r="D12101" s="30" t="s">
        <v>2024</v>
      </c>
      <c r="F12101" s="30" t="s">
        <v>1040</v>
      </c>
      <c r="G12101" s="30" t="s">
        <v>1061</v>
      </c>
      <c r="H12101" s="30" t="s">
        <v>17535</v>
      </c>
      <c r="J12101" s="30" t="s">
        <v>17564</v>
      </c>
      <c r="L12101" s="30" t="s">
        <v>274</v>
      </c>
      <c r="N12101" s="30" t="s">
        <v>613</v>
      </c>
      <c r="P12101" s="30" t="s">
        <v>10285</v>
      </c>
      <c r="Q12101" t="s">
        <v>732</v>
      </c>
      <c r="R12101" t="s">
        <v>919</v>
      </c>
      <c r="S12101">
        <v>39</v>
      </c>
      <c r="T12101" s="29" t="str">
        <f t="shared" ref="T12101:T12110" si="506">HYPERLINK("https://ictv.global/ictv/proposals/2023.024M.Bunyaviricetes.zip","2023.024M.Bunyaviricetes.zip")</f>
        <v>2023.024M.Bunyaviricetes.zip</v>
      </c>
      <c r="U12101" s="29" t="str">
        <f>HYPERLINK("https://ictv.global/taxonomy/taxondetails?taxnode_id=202313338","ictv.global=202313338")</f>
        <v>ictv.global=202313338</v>
      </c>
    </row>
    <row r="12102" spans="1:21">
      <c r="A12102">
        <v>12101</v>
      </c>
      <c r="B12102" s="30" t="s">
        <v>1226</v>
      </c>
      <c r="D12102" s="30" t="s">
        <v>2024</v>
      </c>
      <c r="F12102" s="30" t="s">
        <v>1040</v>
      </c>
      <c r="G12102" s="30" t="s">
        <v>1061</v>
      </c>
      <c r="H12102" s="30" t="s">
        <v>17535</v>
      </c>
      <c r="J12102" s="30" t="s">
        <v>17564</v>
      </c>
      <c r="L12102" s="30" t="s">
        <v>274</v>
      </c>
      <c r="N12102" s="30" t="s">
        <v>613</v>
      </c>
      <c r="P12102" s="30" t="s">
        <v>10286</v>
      </c>
      <c r="Q12102" t="s">
        <v>732</v>
      </c>
      <c r="R12102" t="s">
        <v>919</v>
      </c>
      <c r="S12102">
        <v>39</v>
      </c>
      <c r="T12102" s="29" t="str">
        <f t="shared" si="506"/>
        <v>2023.024M.Bunyaviricetes.zip</v>
      </c>
      <c r="U12102" s="29" t="str">
        <f>HYPERLINK("https://ictv.global/taxonomy/taxondetails?taxnode_id=202302597","ictv.global=202302597")</f>
        <v>ictv.global=202302597</v>
      </c>
    </row>
    <row r="12103" spans="1:21">
      <c r="A12103">
        <v>12102</v>
      </c>
      <c r="B12103" s="30" t="s">
        <v>1226</v>
      </c>
      <c r="D12103" s="30" t="s">
        <v>2024</v>
      </c>
      <c r="F12103" s="30" t="s">
        <v>1040</v>
      </c>
      <c r="G12103" s="30" t="s">
        <v>1061</v>
      </c>
      <c r="H12103" s="30" t="s">
        <v>17535</v>
      </c>
      <c r="J12103" s="30" t="s">
        <v>17564</v>
      </c>
      <c r="L12103" s="30" t="s">
        <v>274</v>
      </c>
      <c r="N12103" s="30" t="s">
        <v>613</v>
      </c>
      <c r="P12103" s="30" t="s">
        <v>10287</v>
      </c>
      <c r="Q12103" t="s">
        <v>732</v>
      </c>
      <c r="R12103" t="s">
        <v>919</v>
      </c>
      <c r="S12103">
        <v>39</v>
      </c>
      <c r="T12103" s="29" t="str">
        <f t="shared" si="506"/>
        <v>2023.024M.Bunyaviricetes.zip</v>
      </c>
      <c r="U12103" s="29" t="str">
        <f>HYPERLINK("https://ictv.global/taxonomy/taxondetails?taxnode_id=202302595","ictv.global=202302595")</f>
        <v>ictv.global=202302595</v>
      </c>
    </row>
    <row r="12104" spans="1:21">
      <c r="A12104">
        <v>12103</v>
      </c>
      <c r="B12104" s="30" t="s">
        <v>1226</v>
      </c>
      <c r="D12104" s="30" t="s">
        <v>2024</v>
      </c>
      <c r="F12104" s="30" t="s">
        <v>1040</v>
      </c>
      <c r="G12104" s="30" t="s">
        <v>1061</v>
      </c>
      <c r="H12104" s="30" t="s">
        <v>17535</v>
      </c>
      <c r="J12104" s="30" t="s">
        <v>17564</v>
      </c>
      <c r="L12104" s="30" t="s">
        <v>274</v>
      </c>
      <c r="N12104" s="30" t="s">
        <v>613</v>
      </c>
      <c r="P12104" s="30" t="s">
        <v>10288</v>
      </c>
      <c r="Q12104" t="s">
        <v>732</v>
      </c>
      <c r="R12104" t="s">
        <v>919</v>
      </c>
      <c r="S12104">
        <v>39</v>
      </c>
      <c r="T12104" s="29" t="str">
        <f t="shared" si="506"/>
        <v>2023.024M.Bunyaviricetes.zip</v>
      </c>
      <c r="U12104" s="29" t="str">
        <f>HYPERLINK("https://ictv.global/taxonomy/taxondetails?taxnode_id=202305743","ictv.global=202305743")</f>
        <v>ictv.global=202305743</v>
      </c>
    </row>
    <row r="12105" spans="1:21">
      <c r="A12105">
        <v>12104</v>
      </c>
      <c r="B12105" s="30" t="s">
        <v>1226</v>
      </c>
      <c r="D12105" s="30" t="s">
        <v>2024</v>
      </c>
      <c r="F12105" s="30" t="s">
        <v>1040</v>
      </c>
      <c r="G12105" s="30" t="s">
        <v>1061</v>
      </c>
      <c r="H12105" s="30" t="s">
        <v>17535</v>
      </c>
      <c r="J12105" s="30" t="s">
        <v>17564</v>
      </c>
      <c r="L12105" s="30" t="s">
        <v>274</v>
      </c>
      <c r="N12105" s="30" t="s">
        <v>613</v>
      </c>
      <c r="P12105" s="30" t="s">
        <v>10289</v>
      </c>
      <c r="Q12105" t="s">
        <v>732</v>
      </c>
      <c r="R12105" t="s">
        <v>919</v>
      </c>
      <c r="S12105">
        <v>39</v>
      </c>
      <c r="T12105" s="29" t="str">
        <f t="shared" si="506"/>
        <v>2023.024M.Bunyaviricetes.zip</v>
      </c>
      <c r="U12105" s="29" t="str">
        <f>HYPERLINK("https://ictv.global/taxonomy/taxondetails?taxnode_id=202302573","ictv.global=202302573")</f>
        <v>ictv.global=202302573</v>
      </c>
    </row>
    <row r="12106" spans="1:21">
      <c r="A12106">
        <v>12105</v>
      </c>
      <c r="B12106" s="30" t="s">
        <v>1226</v>
      </c>
      <c r="D12106" s="30" t="s">
        <v>2024</v>
      </c>
      <c r="F12106" s="30" t="s">
        <v>1040</v>
      </c>
      <c r="G12106" s="30" t="s">
        <v>1061</v>
      </c>
      <c r="H12106" s="30" t="s">
        <v>17535</v>
      </c>
      <c r="J12106" s="30" t="s">
        <v>17564</v>
      </c>
      <c r="L12106" s="30" t="s">
        <v>274</v>
      </c>
      <c r="N12106" s="30" t="s">
        <v>613</v>
      </c>
      <c r="P12106" s="30" t="s">
        <v>10290</v>
      </c>
      <c r="Q12106" t="s">
        <v>732</v>
      </c>
      <c r="R12106" t="s">
        <v>919</v>
      </c>
      <c r="S12106">
        <v>39</v>
      </c>
      <c r="T12106" s="29" t="str">
        <f t="shared" si="506"/>
        <v>2023.024M.Bunyaviricetes.zip</v>
      </c>
      <c r="U12106" s="29" t="str">
        <f>HYPERLINK("https://ictv.global/taxonomy/taxondetails?taxnode_id=202302586","ictv.global=202302586")</f>
        <v>ictv.global=202302586</v>
      </c>
    </row>
    <row r="12107" spans="1:21">
      <c r="A12107">
        <v>12106</v>
      </c>
      <c r="B12107" s="30" t="s">
        <v>1226</v>
      </c>
      <c r="D12107" s="30" t="s">
        <v>2024</v>
      </c>
      <c r="F12107" s="30" t="s">
        <v>1040</v>
      </c>
      <c r="G12107" s="30" t="s">
        <v>1061</v>
      </c>
      <c r="H12107" s="30" t="s">
        <v>17535</v>
      </c>
      <c r="J12107" s="30" t="s">
        <v>17564</v>
      </c>
      <c r="L12107" s="30" t="s">
        <v>274</v>
      </c>
      <c r="N12107" s="30" t="s">
        <v>613</v>
      </c>
      <c r="P12107" s="30" t="s">
        <v>10291</v>
      </c>
      <c r="Q12107" t="s">
        <v>732</v>
      </c>
      <c r="R12107" t="s">
        <v>919</v>
      </c>
      <c r="S12107">
        <v>39</v>
      </c>
      <c r="T12107" s="29" t="str">
        <f t="shared" si="506"/>
        <v>2023.024M.Bunyaviricetes.zip</v>
      </c>
      <c r="U12107" s="29" t="str">
        <f>HYPERLINK("https://ictv.global/taxonomy/taxondetails?taxnode_id=202302574","ictv.global=202302574")</f>
        <v>ictv.global=202302574</v>
      </c>
    </row>
    <row r="12108" spans="1:21">
      <c r="A12108">
        <v>12107</v>
      </c>
      <c r="B12108" s="30" t="s">
        <v>1226</v>
      </c>
      <c r="D12108" s="30" t="s">
        <v>2024</v>
      </c>
      <c r="F12108" s="30" t="s">
        <v>1040</v>
      </c>
      <c r="G12108" s="30" t="s">
        <v>1061</v>
      </c>
      <c r="H12108" s="30" t="s">
        <v>17535</v>
      </c>
      <c r="J12108" s="30" t="s">
        <v>17564</v>
      </c>
      <c r="L12108" s="30" t="s">
        <v>274</v>
      </c>
      <c r="N12108" s="30" t="s">
        <v>613</v>
      </c>
      <c r="P12108" s="30" t="s">
        <v>10292</v>
      </c>
      <c r="Q12108" t="s">
        <v>732</v>
      </c>
      <c r="R12108" t="s">
        <v>919</v>
      </c>
      <c r="S12108">
        <v>39</v>
      </c>
      <c r="T12108" s="29" t="str">
        <f t="shared" si="506"/>
        <v>2023.024M.Bunyaviricetes.zip</v>
      </c>
      <c r="U12108" s="29" t="str">
        <f>HYPERLINK("https://ictv.global/taxonomy/taxondetails?taxnode_id=202314201","ictv.global=202314201")</f>
        <v>ictv.global=202314201</v>
      </c>
    </row>
    <row r="12109" spans="1:21">
      <c r="A12109">
        <v>12108</v>
      </c>
      <c r="B12109" s="30" t="s">
        <v>1226</v>
      </c>
      <c r="D12109" s="30" t="s">
        <v>2024</v>
      </c>
      <c r="F12109" s="30" t="s">
        <v>1040</v>
      </c>
      <c r="G12109" s="30" t="s">
        <v>1061</v>
      </c>
      <c r="H12109" s="30" t="s">
        <v>17535</v>
      </c>
      <c r="J12109" s="30" t="s">
        <v>17564</v>
      </c>
      <c r="L12109" s="30" t="s">
        <v>274</v>
      </c>
      <c r="N12109" s="30" t="s">
        <v>613</v>
      </c>
      <c r="P12109" s="30" t="s">
        <v>10293</v>
      </c>
      <c r="Q12109" t="s">
        <v>732</v>
      </c>
      <c r="R12109" t="s">
        <v>919</v>
      </c>
      <c r="S12109">
        <v>39</v>
      </c>
      <c r="T12109" s="29" t="str">
        <f t="shared" si="506"/>
        <v>2023.024M.Bunyaviricetes.zip</v>
      </c>
      <c r="U12109" s="29" t="str">
        <f>HYPERLINK("https://ictv.global/taxonomy/taxondetails?taxnode_id=202302575","ictv.global=202302575")</f>
        <v>ictv.global=202302575</v>
      </c>
    </row>
    <row r="12110" spans="1:21">
      <c r="A12110">
        <v>12109</v>
      </c>
      <c r="B12110" s="30" t="s">
        <v>1226</v>
      </c>
      <c r="D12110" s="30" t="s">
        <v>2024</v>
      </c>
      <c r="F12110" s="30" t="s">
        <v>1040</v>
      </c>
      <c r="G12110" s="30" t="s">
        <v>1061</v>
      </c>
      <c r="H12110" s="30" t="s">
        <v>17535</v>
      </c>
      <c r="J12110" s="30" t="s">
        <v>17564</v>
      </c>
      <c r="L12110" s="30" t="s">
        <v>274</v>
      </c>
      <c r="N12110" s="30" t="s">
        <v>613</v>
      </c>
      <c r="P12110" s="30" t="s">
        <v>10294</v>
      </c>
      <c r="Q12110" t="s">
        <v>732</v>
      </c>
      <c r="R12110" t="s">
        <v>919</v>
      </c>
      <c r="S12110">
        <v>39</v>
      </c>
      <c r="T12110" s="29" t="str">
        <f t="shared" si="506"/>
        <v>2023.024M.Bunyaviricetes.zip</v>
      </c>
      <c r="U12110" s="29" t="str">
        <f>HYPERLINK("https://ictv.global/taxonomy/taxondetails?taxnode_id=202302576","ictv.global=202302576")</f>
        <v>ictv.global=202302576</v>
      </c>
    </row>
    <row r="12111" spans="1:21">
      <c r="A12111">
        <v>12110</v>
      </c>
      <c r="B12111" s="30" t="s">
        <v>1226</v>
      </c>
      <c r="D12111" s="30" t="s">
        <v>2024</v>
      </c>
      <c r="F12111" s="30" t="s">
        <v>1040</v>
      </c>
      <c r="G12111" s="30" t="s">
        <v>1061</v>
      </c>
      <c r="H12111" s="30" t="s">
        <v>17535</v>
      </c>
      <c r="J12111" s="30" t="s">
        <v>17564</v>
      </c>
      <c r="L12111" s="30" t="s">
        <v>274</v>
      </c>
      <c r="N12111" s="30" t="s">
        <v>613</v>
      </c>
      <c r="P12111" s="30" t="s">
        <v>17568</v>
      </c>
      <c r="Q12111" t="s">
        <v>732</v>
      </c>
      <c r="R12111" t="s">
        <v>917</v>
      </c>
      <c r="S12111">
        <v>39</v>
      </c>
      <c r="T12111" s="29" t="str">
        <f>HYPERLINK("https://ictv.global/ictv/proposals/2023.027M.Mammarenavirus_6nsp.zip","2023.027M.Mammarenavirus_6nsp.zip")</f>
        <v>2023.027M.Mammarenavirus_6nsp.zip</v>
      </c>
      <c r="U12111" s="29" t="str">
        <f>HYPERLINK("https://ictv.global/taxonomy/taxondetails?taxnode_id=202319013","ictv.global=202319013")</f>
        <v>ictv.global=202319013</v>
      </c>
    </row>
    <row r="12112" spans="1:21">
      <c r="A12112">
        <v>12111</v>
      </c>
      <c r="B12112" s="30" t="s">
        <v>1226</v>
      </c>
      <c r="D12112" s="30" t="s">
        <v>2024</v>
      </c>
      <c r="F12112" s="30" t="s">
        <v>1040</v>
      </c>
      <c r="G12112" s="30" t="s">
        <v>1061</v>
      </c>
      <c r="H12112" s="30" t="s">
        <v>17535</v>
      </c>
      <c r="J12112" s="30" t="s">
        <v>17564</v>
      </c>
      <c r="L12112" s="30" t="s">
        <v>274</v>
      </c>
      <c r="N12112" s="30" t="s">
        <v>613</v>
      </c>
      <c r="P12112" s="30" t="s">
        <v>10295</v>
      </c>
      <c r="Q12112" t="s">
        <v>732</v>
      </c>
      <c r="R12112" t="s">
        <v>919</v>
      </c>
      <c r="S12112">
        <v>39</v>
      </c>
      <c r="T12112" s="29" t="str">
        <f t="shared" ref="T12112:T12124" si="507">HYPERLINK("https://ictv.global/ictv/proposals/2023.024M.Bunyaviricetes.zip","2023.024M.Bunyaviricetes.zip")</f>
        <v>2023.024M.Bunyaviricetes.zip</v>
      </c>
      <c r="U12112" s="29" t="str">
        <f>HYPERLINK("https://ictv.global/taxonomy/taxondetails?taxnode_id=202302577","ictv.global=202302577")</f>
        <v>ictv.global=202302577</v>
      </c>
    </row>
    <row r="12113" spans="1:21">
      <c r="A12113">
        <v>12112</v>
      </c>
      <c r="B12113" s="30" t="s">
        <v>1226</v>
      </c>
      <c r="D12113" s="30" t="s">
        <v>2024</v>
      </c>
      <c r="F12113" s="30" t="s">
        <v>1040</v>
      </c>
      <c r="G12113" s="30" t="s">
        <v>1061</v>
      </c>
      <c r="H12113" s="30" t="s">
        <v>17535</v>
      </c>
      <c r="J12113" s="30" t="s">
        <v>17564</v>
      </c>
      <c r="L12113" s="30" t="s">
        <v>274</v>
      </c>
      <c r="N12113" s="30" t="s">
        <v>613</v>
      </c>
      <c r="P12113" s="30" t="s">
        <v>10296</v>
      </c>
      <c r="Q12113" t="s">
        <v>732</v>
      </c>
      <c r="R12113" t="s">
        <v>919</v>
      </c>
      <c r="S12113">
        <v>39</v>
      </c>
      <c r="T12113" s="29" t="str">
        <f t="shared" si="507"/>
        <v>2023.024M.Bunyaviricetes.zip</v>
      </c>
      <c r="U12113" s="29" t="str">
        <f>HYPERLINK("https://ictv.global/taxonomy/taxondetails?taxnode_id=202302578","ictv.global=202302578")</f>
        <v>ictv.global=202302578</v>
      </c>
    </row>
    <row r="12114" spans="1:21">
      <c r="A12114">
        <v>12113</v>
      </c>
      <c r="B12114" s="30" t="s">
        <v>1226</v>
      </c>
      <c r="D12114" s="30" t="s">
        <v>2024</v>
      </c>
      <c r="F12114" s="30" t="s">
        <v>1040</v>
      </c>
      <c r="G12114" s="30" t="s">
        <v>1061</v>
      </c>
      <c r="H12114" s="30" t="s">
        <v>17535</v>
      </c>
      <c r="J12114" s="30" t="s">
        <v>17564</v>
      </c>
      <c r="L12114" s="30" t="s">
        <v>274</v>
      </c>
      <c r="N12114" s="30" t="s">
        <v>613</v>
      </c>
      <c r="P12114" s="30" t="s">
        <v>10297</v>
      </c>
      <c r="Q12114" t="s">
        <v>732</v>
      </c>
      <c r="R12114" t="s">
        <v>919</v>
      </c>
      <c r="S12114">
        <v>39</v>
      </c>
      <c r="T12114" s="29" t="str">
        <f t="shared" si="507"/>
        <v>2023.024M.Bunyaviricetes.zip</v>
      </c>
      <c r="U12114" s="29" t="str">
        <f>HYPERLINK("https://ictv.global/taxonomy/taxondetails?taxnode_id=202302579","ictv.global=202302579")</f>
        <v>ictv.global=202302579</v>
      </c>
    </row>
    <row r="12115" spans="1:21">
      <c r="A12115">
        <v>12114</v>
      </c>
      <c r="B12115" s="30" t="s">
        <v>1226</v>
      </c>
      <c r="D12115" s="30" t="s">
        <v>2024</v>
      </c>
      <c r="F12115" s="30" t="s">
        <v>1040</v>
      </c>
      <c r="G12115" s="30" t="s">
        <v>1061</v>
      </c>
      <c r="H12115" s="30" t="s">
        <v>17535</v>
      </c>
      <c r="J12115" s="30" t="s">
        <v>17564</v>
      </c>
      <c r="L12115" s="30" t="s">
        <v>274</v>
      </c>
      <c r="N12115" s="30" t="s">
        <v>613</v>
      </c>
      <c r="P12115" s="30" t="s">
        <v>10298</v>
      </c>
      <c r="Q12115" t="s">
        <v>620</v>
      </c>
      <c r="R12115" t="s">
        <v>919</v>
      </c>
      <c r="S12115">
        <v>39</v>
      </c>
      <c r="T12115" s="29" t="str">
        <f t="shared" si="507"/>
        <v>2023.024M.Bunyaviricetes.zip</v>
      </c>
      <c r="U12115" s="29" t="str">
        <f>HYPERLINK("https://ictv.global/taxonomy/taxondetails?taxnode_id=202309550","ictv.global=202309550")</f>
        <v>ictv.global=202309550</v>
      </c>
    </row>
    <row r="12116" spans="1:21">
      <c r="A12116">
        <v>12115</v>
      </c>
      <c r="B12116" s="30" t="s">
        <v>1226</v>
      </c>
      <c r="D12116" s="30" t="s">
        <v>2024</v>
      </c>
      <c r="F12116" s="30" t="s">
        <v>1040</v>
      </c>
      <c r="G12116" s="30" t="s">
        <v>1061</v>
      </c>
      <c r="H12116" s="30" t="s">
        <v>17535</v>
      </c>
      <c r="J12116" s="30" t="s">
        <v>17564</v>
      </c>
      <c r="L12116" s="30" t="s">
        <v>274</v>
      </c>
      <c r="N12116" s="30" t="s">
        <v>613</v>
      </c>
      <c r="P12116" s="30" t="s">
        <v>10299</v>
      </c>
      <c r="Q12116" t="s">
        <v>732</v>
      </c>
      <c r="R12116" t="s">
        <v>919</v>
      </c>
      <c r="S12116">
        <v>39</v>
      </c>
      <c r="T12116" s="29" t="str">
        <f t="shared" si="507"/>
        <v>2023.024M.Bunyaviricetes.zip</v>
      </c>
      <c r="U12116" s="29" t="str">
        <f>HYPERLINK("https://ictv.global/taxonomy/taxondetails?taxnode_id=202313339","ictv.global=202313339")</f>
        <v>ictv.global=202313339</v>
      </c>
    </row>
    <row r="12117" spans="1:21">
      <c r="A12117">
        <v>12116</v>
      </c>
      <c r="B12117" s="30" t="s">
        <v>1226</v>
      </c>
      <c r="D12117" s="30" t="s">
        <v>2024</v>
      </c>
      <c r="F12117" s="30" t="s">
        <v>1040</v>
      </c>
      <c r="G12117" s="30" t="s">
        <v>1061</v>
      </c>
      <c r="H12117" s="30" t="s">
        <v>17535</v>
      </c>
      <c r="J12117" s="30" t="s">
        <v>17564</v>
      </c>
      <c r="L12117" s="30" t="s">
        <v>274</v>
      </c>
      <c r="N12117" s="30" t="s">
        <v>613</v>
      </c>
      <c r="P12117" s="30" t="s">
        <v>10300</v>
      </c>
      <c r="Q12117" t="s">
        <v>732</v>
      </c>
      <c r="R12117" t="s">
        <v>919</v>
      </c>
      <c r="S12117">
        <v>39</v>
      </c>
      <c r="T12117" s="29" t="str">
        <f t="shared" si="507"/>
        <v>2023.024M.Bunyaviricetes.zip</v>
      </c>
      <c r="U12117" s="29" t="str">
        <f>HYPERLINK("https://ictv.global/taxonomy/taxondetails?taxnode_id=202302580","ictv.global=202302580")</f>
        <v>ictv.global=202302580</v>
      </c>
    </row>
    <row r="12118" spans="1:21">
      <c r="A12118">
        <v>12117</v>
      </c>
      <c r="B12118" s="30" t="s">
        <v>1226</v>
      </c>
      <c r="D12118" s="30" t="s">
        <v>2024</v>
      </c>
      <c r="F12118" s="30" t="s">
        <v>1040</v>
      </c>
      <c r="G12118" s="30" t="s">
        <v>1061</v>
      </c>
      <c r="H12118" s="30" t="s">
        <v>17535</v>
      </c>
      <c r="J12118" s="30" t="s">
        <v>17564</v>
      </c>
      <c r="L12118" s="30" t="s">
        <v>274</v>
      </c>
      <c r="N12118" s="30" t="s">
        <v>613</v>
      </c>
      <c r="P12118" s="30" t="s">
        <v>10301</v>
      </c>
      <c r="Q12118" t="s">
        <v>732</v>
      </c>
      <c r="R12118" t="s">
        <v>919</v>
      </c>
      <c r="S12118">
        <v>39</v>
      </c>
      <c r="T12118" s="29" t="str">
        <f t="shared" si="507"/>
        <v>2023.024M.Bunyaviricetes.zip</v>
      </c>
      <c r="U12118" s="29" t="str">
        <f>HYPERLINK("https://ictv.global/taxonomy/taxondetails?taxnode_id=202302581","ictv.global=202302581")</f>
        <v>ictv.global=202302581</v>
      </c>
    </row>
    <row r="12119" spans="1:21">
      <c r="A12119">
        <v>12118</v>
      </c>
      <c r="B12119" s="30" t="s">
        <v>1226</v>
      </c>
      <c r="D12119" s="30" t="s">
        <v>2024</v>
      </c>
      <c r="F12119" s="30" t="s">
        <v>1040</v>
      </c>
      <c r="G12119" s="30" t="s">
        <v>1061</v>
      </c>
      <c r="H12119" s="30" t="s">
        <v>17535</v>
      </c>
      <c r="J12119" s="30" t="s">
        <v>17564</v>
      </c>
      <c r="L12119" s="30" t="s">
        <v>274</v>
      </c>
      <c r="N12119" s="30" t="s">
        <v>613</v>
      </c>
      <c r="P12119" s="30" t="s">
        <v>10302</v>
      </c>
      <c r="Q12119" t="s">
        <v>732</v>
      </c>
      <c r="R12119" t="s">
        <v>919</v>
      </c>
      <c r="S12119">
        <v>39</v>
      </c>
      <c r="T12119" s="29" t="str">
        <f t="shared" si="507"/>
        <v>2023.024M.Bunyaviricetes.zip</v>
      </c>
      <c r="U12119" s="29" t="str">
        <f>HYPERLINK("https://ictv.global/taxonomy/taxondetails?taxnode_id=202307288","ictv.global=202307288")</f>
        <v>ictv.global=202307288</v>
      </c>
    </row>
    <row r="12120" spans="1:21">
      <c r="A12120">
        <v>12119</v>
      </c>
      <c r="B12120" s="30" t="s">
        <v>1226</v>
      </c>
      <c r="D12120" s="30" t="s">
        <v>2024</v>
      </c>
      <c r="F12120" s="30" t="s">
        <v>1040</v>
      </c>
      <c r="G12120" s="30" t="s">
        <v>1061</v>
      </c>
      <c r="H12120" s="30" t="s">
        <v>17535</v>
      </c>
      <c r="J12120" s="30" t="s">
        <v>17564</v>
      </c>
      <c r="L12120" s="30" t="s">
        <v>274</v>
      </c>
      <c r="N12120" s="30" t="s">
        <v>613</v>
      </c>
      <c r="P12120" s="30" t="s">
        <v>10303</v>
      </c>
      <c r="Q12120" t="s">
        <v>732</v>
      </c>
      <c r="R12120" t="s">
        <v>919</v>
      </c>
      <c r="S12120">
        <v>39</v>
      </c>
      <c r="T12120" s="29" t="str">
        <f t="shared" si="507"/>
        <v>2023.024M.Bunyaviricetes.zip</v>
      </c>
      <c r="U12120" s="29" t="str">
        <f>HYPERLINK("https://ictv.global/taxonomy/taxondetails?taxnode_id=202302582","ictv.global=202302582")</f>
        <v>ictv.global=202302582</v>
      </c>
    </row>
    <row r="12121" spans="1:21">
      <c r="A12121">
        <v>12120</v>
      </c>
      <c r="B12121" s="30" t="s">
        <v>1226</v>
      </c>
      <c r="D12121" s="30" t="s">
        <v>2024</v>
      </c>
      <c r="F12121" s="30" t="s">
        <v>1040</v>
      </c>
      <c r="G12121" s="30" t="s">
        <v>1061</v>
      </c>
      <c r="H12121" s="30" t="s">
        <v>17535</v>
      </c>
      <c r="J12121" s="30" t="s">
        <v>17564</v>
      </c>
      <c r="L12121" s="30" t="s">
        <v>274</v>
      </c>
      <c r="N12121" s="30" t="s">
        <v>613</v>
      </c>
      <c r="P12121" s="30" t="s">
        <v>10304</v>
      </c>
      <c r="Q12121" t="s">
        <v>732</v>
      </c>
      <c r="R12121" t="s">
        <v>919</v>
      </c>
      <c r="S12121">
        <v>39</v>
      </c>
      <c r="T12121" s="29" t="str">
        <f t="shared" si="507"/>
        <v>2023.024M.Bunyaviricetes.zip</v>
      </c>
      <c r="U12121" s="29" t="str">
        <f>HYPERLINK("https://ictv.global/taxonomy/taxondetails?taxnode_id=202302583","ictv.global=202302583")</f>
        <v>ictv.global=202302583</v>
      </c>
    </row>
    <row r="12122" spans="1:21">
      <c r="A12122">
        <v>12121</v>
      </c>
      <c r="B12122" s="30" t="s">
        <v>1226</v>
      </c>
      <c r="D12122" s="30" t="s">
        <v>2024</v>
      </c>
      <c r="F12122" s="30" t="s">
        <v>1040</v>
      </c>
      <c r="G12122" s="30" t="s">
        <v>1061</v>
      </c>
      <c r="H12122" s="30" t="s">
        <v>17535</v>
      </c>
      <c r="J12122" s="30" t="s">
        <v>17564</v>
      </c>
      <c r="L12122" s="30" t="s">
        <v>274</v>
      </c>
      <c r="N12122" s="30" t="s">
        <v>613</v>
      </c>
      <c r="P12122" s="30" t="s">
        <v>10305</v>
      </c>
      <c r="Q12122" t="s">
        <v>732</v>
      </c>
      <c r="R12122" t="s">
        <v>919</v>
      </c>
      <c r="S12122">
        <v>39</v>
      </c>
      <c r="T12122" s="29" t="str">
        <f t="shared" si="507"/>
        <v>2023.024M.Bunyaviricetes.zip</v>
      </c>
      <c r="U12122" s="29" t="str">
        <f>HYPERLINK("https://ictv.global/taxonomy/taxondetails?taxnode_id=202302584","ictv.global=202302584")</f>
        <v>ictv.global=202302584</v>
      </c>
    </row>
    <row r="12123" spans="1:21">
      <c r="A12123">
        <v>12122</v>
      </c>
      <c r="B12123" s="30" t="s">
        <v>1226</v>
      </c>
      <c r="D12123" s="30" t="s">
        <v>2024</v>
      </c>
      <c r="F12123" s="30" t="s">
        <v>1040</v>
      </c>
      <c r="G12123" s="30" t="s">
        <v>1061</v>
      </c>
      <c r="H12123" s="30" t="s">
        <v>17535</v>
      </c>
      <c r="J12123" s="30" t="s">
        <v>17564</v>
      </c>
      <c r="L12123" s="30" t="s">
        <v>274</v>
      </c>
      <c r="N12123" s="30" t="s">
        <v>613</v>
      </c>
      <c r="P12123" s="30" t="s">
        <v>10306</v>
      </c>
      <c r="Q12123" t="s">
        <v>732</v>
      </c>
      <c r="R12123" t="s">
        <v>919</v>
      </c>
      <c r="S12123">
        <v>39</v>
      </c>
      <c r="T12123" s="29" t="str">
        <f t="shared" si="507"/>
        <v>2023.024M.Bunyaviricetes.zip</v>
      </c>
      <c r="U12123" s="29" t="str">
        <f>HYPERLINK("https://ictv.global/taxonomy/taxondetails?taxnode_id=202302585","ictv.global=202302585")</f>
        <v>ictv.global=202302585</v>
      </c>
    </row>
    <row r="12124" spans="1:21">
      <c r="A12124">
        <v>12123</v>
      </c>
      <c r="B12124" s="30" t="s">
        <v>1226</v>
      </c>
      <c r="D12124" s="30" t="s">
        <v>2024</v>
      </c>
      <c r="F12124" s="30" t="s">
        <v>1040</v>
      </c>
      <c r="G12124" s="30" t="s">
        <v>1061</v>
      </c>
      <c r="H12124" s="30" t="s">
        <v>17535</v>
      </c>
      <c r="J12124" s="30" t="s">
        <v>17564</v>
      </c>
      <c r="L12124" s="30" t="s">
        <v>274</v>
      </c>
      <c r="N12124" s="30" t="s">
        <v>613</v>
      </c>
      <c r="P12124" s="30" t="s">
        <v>10307</v>
      </c>
      <c r="Q12124" t="s">
        <v>732</v>
      </c>
      <c r="R12124" t="s">
        <v>919</v>
      </c>
      <c r="S12124">
        <v>39</v>
      </c>
      <c r="T12124" s="29" t="str">
        <f t="shared" si="507"/>
        <v>2023.024M.Bunyaviricetes.zip</v>
      </c>
      <c r="U12124" s="29" t="str">
        <f>HYPERLINK("https://ictv.global/taxonomy/taxondetails?taxnode_id=202302587","ictv.global=202302587")</f>
        <v>ictv.global=202302587</v>
      </c>
    </row>
    <row r="12125" spans="1:21">
      <c r="A12125">
        <v>12124</v>
      </c>
      <c r="B12125" s="30" t="s">
        <v>1226</v>
      </c>
      <c r="D12125" s="30" t="s">
        <v>2024</v>
      </c>
      <c r="F12125" s="30" t="s">
        <v>1040</v>
      </c>
      <c r="G12125" s="30" t="s">
        <v>1061</v>
      </c>
      <c r="H12125" s="30" t="s">
        <v>17535</v>
      </c>
      <c r="J12125" s="30" t="s">
        <v>17564</v>
      </c>
      <c r="L12125" s="30" t="s">
        <v>274</v>
      </c>
      <c r="N12125" s="30" t="s">
        <v>613</v>
      </c>
      <c r="P12125" s="30" t="s">
        <v>17569</v>
      </c>
      <c r="Q12125" t="s">
        <v>732</v>
      </c>
      <c r="R12125" t="s">
        <v>917</v>
      </c>
      <c r="S12125">
        <v>39</v>
      </c>
      <c r="T12125" s="29" t="str">
        <f>HYPERLINK("https://ictv.global/ictv/proposals/2023.013M.Mammarenavirus_1nsp.zip","2023.013M.Mammarenavirus_1nsp.zip")</f>
        <v>2023.013M.Mammarenavirus_1nsp.zip</v>
      </c>
      <c r="U12125" s="29" t="str">
        <f>HYPERLINK("https://ictv.global/taxonomy/taxondetails?taxnode_id=202318068","ictv.global=202318068")</f>
        <v>ictv.global=202318068</v>
      </c>
    </row>
    <row r="12126" spans="1:21">
      <c r="A12126">
        <v>12125</v>
      </c>
      <c r="B12126" s="30" t="s">
        <v>1226</v>
      </c>
      <c r="D12126" s="30" t="s">
        <v>2024</v>
      </c>
      <c r="F12126" s="30" t="s">
        <v>1040</v>
      </c>
      <c r="G12126" s="30" t="s">
        <v>1061</v>
      </c>
      <c r="H12126" s="30" t="s">
        <v>17535</v>
      </c>
      <c r="J12126" s="30" t="s">
        <v>17564</v>
      </c>
      <c r="L12126" s="30" t="s">
        <v>274</v>
      </c>
      <c r="N12126" s="30" t="s">
        <v>613</v>
      </c>
      <c r="P12126" s="30" t="s">
        <v>10308</v>
      </c>
      <c r="Q12126" t="s">
        <v>732</v>
      </c>
      <c r="R12126" t="s">
        <v>919</v>
      </c>
      <c r="S12126">
        <v>39</v>
      </c>
      <c r="T12126" s="29" t="str">
        <f>HYPERLINK("https://ictv.global/ictv/proposals/2023.024M.Bunyaviricetes.zip","2023.024M.Bunyaviricetes.zip")</f>
        <v>2023.024M.Bunyaviricetes.zip</v>
      </c>
      <c r="U12126" s="29" t="str">
        <f>HYPERLINK("https://ictv.global/taxonomy/taxondetails?taxnode_id=202302588","ictv.global=202302588")</f>
        <v>ictv.global=202302588</v>
      </c>
    </row>
    <row r="12127" spans="1:21">
      <c r="A12127">
        <v>12126</v>
      </c>
      <c r="B12127" s="30" t="s">
        <v>1226</v>
      </c>
      <c r="D12127" s="30" t="s">
        <v>2024</v>
      </c>
      <c r="F12127" s="30" t="s">
        <v>1040</v>
      </c>
      <c r="G12127" s="30" t="s">
        <v>1061</v>
      </c>
      <c r="H12127" s="30" t="s">
        <v>17535</v>
      </c>
      <c r="J12127" s="30" t="s">
        <v>17564</v>
      </c>
      <c r="L12127" s="30" t="s">
        <v>274</v>
      </c>
      <c r="N12127" s="30" t="s">
        <v>613</v>
      </c>
      <c r="P12127" s="30" t="s">
        <v>17570</v>
      </c>
      <c r="Q12127" t="s">
        <v>732</v>
      </c>
      <c r="R12127" t="s">
        <v>917</v>
      </c>
      <c r="S12127">
        <v>39</v>
      </c>
      <c r="T12127" s="29" t="str">
        <f>HYPERLINK("https://ictv.global/ictv/proposals/2023.027M.Mammarenavirus_6nsp.zip","2023.027M.Mammarenavirus_6nsp.zip")</f>
        <v>2023.027M.Mammarenavirus_6nsp.zip</v>
      </c>
      <c r="U12127" s="29" t="str">
        <f>HYPERLINK("https://ictv.global/taxonomy/taxondetails?taxnode_id=202319011","ictv.global=202319011")</f>
        <v>ictv.global=202319011</v>
      </c>
    </row>
    <row r="12128" spans="1:21">
      <c r="A12128">
        <v>12127</v>
      </c>
      <c r="B12128" s="30" t="s">
        <v>1226</v>
      </c>
      <c r="D12128" s="30" t="s">
        <v>2024</v>
      </c>
      <c r="F12128" s="30" t="s">
        <v>1040</v>
      </c>
      <c r="G12128" s="30" t="s">
        <v>1061</v>
      </c>
      <c r="H12128" s="30" t="s">
        <v>17535</v>
      </c>
      <c r="J12128" s="30" t="s">
        <v>17564</v>
      </c>
      <c r="L12128" s="30" t="s">
        <v>274</v>
      </c>
      <c r="N12128" s="30" t="s">
        <v>613</v>
      </c>
      <c r="P12128" s="30" t="s">
        <v>10309</v>
      </c>
      <c r="Q12128" t="s">
        <v>732</v>
      </c>
      <c r="R12128" t="s">
        <v>919</v>
      </c>
      <c r="S12128">
        <v>39</v>
      </c>
      <c r="T12128" s="29" t="str">
        <f>HYPERLINK("https://ictv.global/ictv/proposals/2023.024M.Bunyaviricetes.zip","2023.024M.Bunyaviricetes.zip")</f>
        <v>2023.024M.Bunyaviricetes.zip</v>
      </c>
      <c r="U12128" s="29" t="str">
        <f>HYPERLINK("https://ictv.global/taxonomy/taxondetails?taxnode_id=202302589","ictv.global=202302589")</f>
        <v>ictv.global=202302589</v>
      </c>
    </row>
    <row r="12129" spans="1:21">
      <c r="A12129">
        <v>12128</v>
      </c>
      <c r="B12129" s="30" t="s">
        <v>1226</v>
      </c>
      <c r="D12129" s="30" t="s">
        <v>2024</v>
      </c>
      <c r="F12129" s="30" t="s">
        <v>1040</v>
      </c>
      <c r="G12129" s="30" t="s">
        <v>1061</v>
      </c>
      <c r="H12129" s="30" t="s">
        <v>17535</v>
      </c>
      <c r="J12129" s="30" t="s">
        <v>17564</v>
      </c>
      <c r="L12129" s="30" t="s">
        <v>274</v>
      </c>
      <c r="N12129" s="30" t="s">
        <v>613</v>
      </c>
      <c r="P12129" s="30" t="s">
        <v>10310</v>
      </c>
      <c r="Q12129" t="s">
        <v>732</v>
      </c>
      <c r="R12129" t="s">
        <v>919</v>
      </c>
      <c r="S12129">
        <v>39</v>
      </c>
      <c r="T12129" s="29" t="str">
        <f>HYPERLINK("https://ictv.global/ictv/proposals/2023.024M.Bunyaviricetes.zip","2023.024M.Bunyaviricetes.zip")</f>
        <v>2023.024M.Bunyaviricetes.zip</v>
      </c>
      <c r="U12129" s="29" t="str">
        <f>HYPERLINK("https://ictv.global/taxonomy/taxondetails?taxnode_id=202302591","ictv.global=202302591")</f>
        <v>ictv.global=202302591</v>
      </c>
    </row>
    <row r="12130" spans="1:21">
      <c r="A12130">
        <v>12129</v>
      </c>
      <c r="B12130" s="30" t="s">
        <v>1226</v>
      </c>
      <c r="D12130" s="30" t="s">
        <v>2024</v>
      </c>
      <c r="F12130" s="30" t="s">
        <v>1040</v>
      </c>
      <c r="G12130" s="30" t="s">
        <v>1061</v>
      </c>
      <c r="H12130" s="30" t="s">
        <v>17535</v>
      </c>
      <c r="J12130" s="30" t="s">
        <v>17564</v>
      </c>
      <c r="L12130" s="30" t="s">
        <v>274</v>
      </c>
      <c r="N12130" s="30" t="s">
        <v>613</v>
      </c>
      <c r="P12130" s="30" t="s">
        <v>17571</v>
      </c>
      <c r="Q12130" t="s">
        <v>732</v>
      </c>
      <c r="R12130" t="s">
        <v>917</v>
      </c>
      <c r="S12130">
        <v>39</v>
      </c>
      <c r="T12130" s="29" t="str">
        <f>HYPERLINK("https://ictv.global/ictv/proposals/2023.027M.Mammarenavirus_6nsp.zip","2023.027M.Mammarenavirus_6nsp.zip")</f>
        <v>2023.027M.Mammarenavirus_6nsp.zip</v>
      </c>
      <c r="U12130" s="29" t="str">
        <f>HYPERLINK("https://ictv.global/taxonomy/taxondetails?taxnode_id=202319012","ictv.global=202319012")</f>
        <v>ictv.global=202319012</v>
      </c>
    </row>
    <row r="12131" spans="1:21">
      <c r="A12131">
        <v>12130</v>
      </c>
      <c r="B12131" s="30" t="s">
        <v>1226</v>
      </c>
      <c r="D12131" s="30" t="s">
        <v>2024</v>
      </c>
      <c r="F12131" s="30" t="s">
        <v>1040</v>
      </c>
      <c r="G12131" s="30" t="s">
        <v>1061</v>
      </c>
      <c r="H12131" s="30" t="s">
        <v>17535</v>
      </c>
      <c r="J12131" s="30" t="s">
        <v>17564</v>
      </c>
      <c r="L12131" s="30" t="s">
        <v>274</v>
      </c>
      <c r="N12131" s="30" t="s">
        <v>613</v>
      </c>
      <c r="P12131" s="30" t="s">
        <v>10311</v>
      </c>
      <c r="Q12131" t="s">
        <v>732</v>
      </c>
      <c r="R12131" t="s">
        <v>919</v>
      </c>
      <c r="S12131">
        <v>39</v>
      </c>
      <c r="T12131" s="29" t="str">
        <f t="shared" ref="T12131:T12137" si="508">HYPERLINK("https://ictv.global/ictv/proposals/2023.024M.Bunyaviricetes.zip","2023.024M.Bunyaviricetes.zip")</f>
        <v>2023.024M.Bunyaviricetes.zip</v>
      </c>
      <c r="U12131" s="29" t="str">
        <f>HYPERLINK("https://ictv.global/taxonomy/taxondetails?taxnode_id=202302592","ictv.global=202302592")</f>
        <v>ictv.global=202302592</v>
      </c>
    </row>
    <row r="12132" spans="1:21">
      <c r="A12132">
        <v>12131</v>
      </c>
      <c r="B12132" s="30" t="s">
        <v>1226</v>
      </c>
      <c r="D12132" s="30" t="s">
        <v>2024</v>
      </c>
      <c r="F12132" s="30" t="s">
        <v>1040</v>
      </c>
      <c r="G12132" s="30" t="s">
        <v>1061</v>
      </c>
      <c r="H12132" s="30" t="s">
        <v>17535</v>
      </c>
      <c r="J12132" s="30" t="s">
        <v>17564</v>
      </c>
      <c r="L12132" s="30" t="s">
        <v>274</v>
      </c>
      <c r="N12132" s="30" t="s">
        <v>613</v>
      </c>
      <c r="P12132" s="30" t="s">
        <v>10312</v>
      </c>
      <c r="Q12132" t="s">
        <v>732</v>
      </c>
      <c r="R12132" t="s">
        <v>919</v>
      </c>
      <c r="S12132">
        <v>39</v>
      </c>
      <c r="T12132" s="29" t="str">
        <f t="shared" si="508"/>
        <v>2023.024M.Bunyaviricetes.zip</v>
      </c>
      <c r="U12132" s="29" t="str">
        <f>HYPERLINK("https://ictv.global/taxonomy/taxondetails?taxnode_id=202302593","ictv.global=202302593")</f>
        <v>ictv.global=202302593</v>
      </c>
    </row>
    <row r="12133" spans="1:21">
      <c r="A12133">
        <v>12132</v>
      </c>
      <c r="B12133" s="30" t="s">
        <v>1226</v>
      </c>
      <c r="D12133" s="30" t="s">
        <v>2024</v>
      </c>
      <c r="F12133" s="30" t="s">
        <v>1040</v>
      </c>
      <c r="G12133" s="30" t="s">
        <v>1061</v>
      </c>
      <c r="H12133" s="30" t="s">
        <v>17535</v>
      </c>
      <c r="J12133" s="30" t="s">
        <v>17564</v>
      </c>
      <c r="L12133" s="30" t="s">
        <v>274</v>
      </c>
      <c r="N12133" s="30" t="s">
        <v>613</v>
      </c>
      <c r="P12133" s="30" t="s">
        <v>10313</v>
      </c>
      <c r="Q12133" t="s">
        <v>732</v>
      </c>
      <c r="R12133" t="s">
        <v>919</v>
      </c>
      <c r="S12133">
        <v>39</v>
      </c>
      <c r="T12133" s="29" t="str">
        <f t="shared" si="508"/>
        <v>2023.024M.Bunyaviricetes.zip</v>
      </c>
      <c r="U12133" s="29" t="str">
        <f>HYPERLINK("https://ictv.global/taxonomy/taxondetails?taxnode_id=202302594","ictv.global=202302594")</f>
        <v>ictv.global=202302594</v>
      </c>
    </row>
    <row r="12134" spans="1:21">
      <c r="A12134">
        <v>12133</v>
      </c>
      <c r="B12134" s="30" t="s">
        <v>1226</v>
      </c>
      <c r="D12134" s="30" t="s">
        <v>2024</v>
      </c>
      <c r="F12134" s="30" t="s">
        <v>1040</v>
      </c>
      <c r="G12134" s="30" t="s">
        <v>1061</v>
      </c>
      <c r="H12134" s="30" t="s">
        <v>17535</v>
      </c>
      <c r="J12134" s="30" t="s">
        <v>17564</v>
      </c>
      <c r="L12134" s="30" t="s">
        <v>274</v>
      </c>
      <c r="N12134" s="30" t="s">
        <v>613</v>
      </c>
      <c r="P12134" s="30" t="s">
        <v>10314</v>
      </c>
      <c r="Q12134" t="s">
        <v>732</v>
      </c>
      <c r="R12134" t="s">
        <v>919</v>
      </c>
      <c r="S12134">
        <v>39</v>
      </c>
      <c r="T12134" s="29" t="str">
        <f t="shared" si="508"/>
        <v>2023.024M.Bunyaviricetes.zip</v>
      </c>
      <c r="U12134" s="29" t="str">
        <f>HYPERLINK("https://ictv.global/taxonomy/taxondetails?taxnode_id=202302596","ictv.global=202302596")</f>
        <v>ictv.global=202302596</v>
      </c>
    </row>
    <row r="12135" spans="1:21">
      <c r="A12135">
        <v>12134</v>
      </c>
      <c r="B12135" s="30" t="s">
        <v>1226</v>
      </c>
      <c r="D12135" s="30" t="s">
        <v>2024</v>
      </c>
      <c r="F12135" s="30" t="s">
        <v>1040</v>
      </c>
      <c r="G12135" s="30" t="s">
        <v>1061</v>
      </c>
      <c r="H12135" s="30" t="s">
        <v>17535</v>
      </c>
      <c r="J12135" s="30" t="s">
        <v>17564</v>
      </c>
      <c r="L12135" s="30" t="s">
        <v>274</v>
      </c>
      <c r="N12135" s="30" t="s">
        <v>613</v>
      </c>
      <c r="P12135" s="30" t="s">
        <v>10315</v>
      </c>
      <c r="Q12135" t="s">
        <v>732</v>
      </c>
      <c r="R12135" t="s">
        <v>919</v>
      </c>
      <c r="S12135">
        <v>39</v>
      </c>
      <c r="T12135" s="29" t="str">
        <f t="shared" si="508"/>
        <v>2023.024M.Bunyaviricetes.zip</v>
      </c>
      <c r="U12135" s="29" t="str">
        <f>HYPERLINK("https://ictv.global/taxonomy/taxondetails?taxnode_id=202302590","ictv.global=202302590")</f>
        <v>ictv.global=202302590</v>
      </c>
    </row>
    <row r="12136" spans="1:21">
      <c r="A12136">
        <v>12135</v>
      </c>
      <c r="B12136" s="30" t="s">
        <v>1226</v>
      </c>
      <c r="D12136" s="30" t="s">
        <v>2024</v>
      </c>
      <c r="F12136" s="30" t="s">
        <v>1040</v>
      </c>
      <c r="G12136" s="30" t="s">
        <v>1061</v>
      </c>
      <c r="H12136" s="30" t="s">
        <v>17535</v>
      </c>
      <c r="J12136" s="30" t="s">
        <v>17564</v>
      </c>
      <c r="L12136" s="30" t="s">
        <v>274</v>
      </c>
      <c r="N12136" s="30" t="s">
        <v>613</v>
      </c>
      <c r="P12136" s="30" t="s">
        <v>10316</v>
      </c>
      <c r="Q12136" t="s">
        <v>732</v>
      </c>
      <c r="R12136" t="s">
        <v>919</v>
      </c>
      <c r="S12136">
        <v>39</v>
      </c>
      <c r="T12136" s="29" t="str">
        <f t="shared" si="508"/>
        <v>2023.024M.Bunyaviricetes.zip</v>
      </c>
      <c r="U12136" s="29" t="str">
        <f>HYPERLINK("https://ictv.global/taxonomy/taxondetails?taxnode_id=202305742","ictv.global=202305742")</f>
        <v>ictv.global=202305742</v>
      </c>
    </row>
    <row r="12137" spans="1:21">
      <c r="A12137">
        <v>12136</v>
      </c>
      <c r="B12137" s="30" t="s">
        <v>1226</v>
      </c>
      <c r="D12137" s="30" t="s">
        <v>2024</v>
      </c>
      <c r="F12137" s="30" t="s">
        <v>1040</v>
      </c>
      <c r="G12137" s="30" t="s">
        <v>1061</v>
      </c>
      <c r="H12137" s="30" t="s">
        <v>17535</v>
      </c>
      <c r="J12137" s="30" t="s">
        <v>17564</v>
      </c>
      <c r="L12137" s="30" t="s">
        <v>274</v>
      </c>
      <c r="N12137" s="30" t="s">
        <v>613</v>
      </c>
      <c r="P12137" s="30" t="s">
        <v>10317</v>
      </c>
      <c r="Q12137" t="s">
        <v>732</v>
      </c>
      <c r="R12137" t="s">
        <v>919</v>
      </c>
      <c r="S12137">
        <v>39</v>
      </c>
      <c r="T12137" s="29" t="str">
        <f t="shared" si="508"/>
        <v>2023.024M.Bunyaviricetes.zip</v>
      </c>
      <c r="U12137" s="29" t="str">
        <f>HYPERLINK("https://ictv.global/taxonomy/taxondetails?taxnode_id=202302598","ictv.global=202302598")</f>
        <v>ictv.global=202302598</v>
      </c>
    </row>
    <row r="12138" spans="1:21">
      <c r="A12138">
        <v>12137</v>
      </c>
      <c r="B12138" s="30" t="s">
        <v>1226</v>
      </c>
      <c r="D12138" s="30" t="s">
        <v>2024</v>
      </c>
      <c r="F12138" s="30" t="s">
        <v>1040</v>
      </c>
      <c r="G12138" s="30" t="s">
        <v>1061</v>
      </c>
      <c r="H12138" s="30" t="s">
        <v>17535</v>
      </c>
      <c r="J12138" s="30" t="s">
        <v>17564</v>
      </c>
      <c r="L12138" s="30" t="s">
        <v>274</v>
      </c>
      <c r="N12138" s="30" t="s">
        <v>613</v>
      </c>
      <c r="P12138" s="30" t="s">
        <v>17572</v>
      </c>
      <c r="Q12138" t="s">
        <v>732</v>
      </c>
      <c r="R12138" t="s">
        <v>917</v>
      </c>
      <c r="S12138">
        <v>39</v>
      </c>
      <c r="T12138" s="29" t="str">
        <f>HYPERLINK("https://ictv.global/ictv/proposals/2023.014M.Mammarenavirus_2nsp.zip","2023.014M.Mammarenavirus_2nsp.zip")</f>
        <v>2023.014M.Mammarenavirus_2nsp.zip</v>
      </c>
      <c r="U12138" s="29" t="str">
        <f>HYPERLINK("https://ictv.global/taxonomy/taxondetails?taxnode_id=202318094","ictv.global=202318094")</f>
        <v>ictv.global=202318094</v>
      </c>
    </row>
    <row r="12139" spans="1:21">
      <c r="A12139">
        <v>12138</v>
      </c>
      <c r="B12139" s="30" t="s">
        <v>1226</v>
      </c>
      <c r="D12139" s="30" t="s">
        <v>2024</v>
      </c>
      <c r="F12139" s="30" t="s">
        <v>1040</v>
      </c>
      <c r="G12139" s="30" t="s">
        <v>1061</v>
      </c>
      <c r="H12139" s="30" t="s">
        <v>17535</v>
      </c>
      <c r="J12139" s="30" t="s">
        <v>17564</v>
      </c>
      <c r="L12139" s="30" t="s">
        <v>274</v>
      </c>
      <c r="N12139" s="30" t="s">
        <v>613</v>
      </c>
      <c r="P12139" s="30" t="s">
        <v>10318</v>
      </c>
      <c r="Q12139" t="s">
        <v>732</v>
      </c>
      <c r="R12139" t="s">
        <v>919</v>
      </c>
      <c r="S12139">
        <v>39</v>
      </c>
      <c r="T12139" s="29" t="str">
        <f>HYPERLINK("https://ictv.global/ictv/proposals/2023.024M.Bunyaviricetes.zip","2023.024M.Bunyaviricetes.zip")</f>
        <v>2023.024M.Bunyaviricetes.zip</v>
      </c>
      <c r="U12139" s="29" t="str">
        <f>HYPERLINK("https://ictv.global/taxonomy/taxondetails?taxnode_id=202302599","ictv.global=202302599")</f>
        <v>ictv.global=202302599</v>
      </c>
    </row>
    <row r="12140" spans="1:21">
      <c r="A12140">
        <v>12139</v>
      </c>
      <c r="B12140" s="30" t="s">
        <v>1226</v>
      </c>
      <c r="D12140" s="30" t="s">
        <v>2024</v>
      </c>
      <c r="F12140" s="30" t="s">
        <v>1040</v>
      </c>
      <c r="G12140" s="30" t="s">
        <v>1061</v>
      </c>
      <c r="H12140" s="30" t="s">
        <v>17535</v>
      </c>
      <c r="J12140" s="30" t="s">
        <v>17564</v>
      </c>
      <c r="L12140" s="30" t="s">
        <v>274</v>
      </c>
      <c r="N12140" s="30" t="s">
        <v>613</v>
      </c>
      <c r="P12140" s="30" t="s">
        <v>10319</v>
      </c>
      <c r="Q12140" t="s">
        <v>732</v>
      </c>
      <c r="R12140" t="s">
        <v>919</v>
      </c>
      <c r="S12140">
        <v>39</v>
      </c>
      <c r="T12140" s="29" t="str">
        <f>HYPERLINK("https://ictv.global/ictv/proposals/2023.024M.Bunyaviricetes.zip","2023.024M.Bunyaviricetes.zip")</f>
        <v>2023.024M.Bunyaviricetes.zip</v>
      </c>
      <c r="U12140" s="29" t="str">
        <f>HYPERLINK("https://ictv.global/taxonomy/taxondetails?taxnode_id=202302600","ictv.global=202302600")</f>
        <v>ictv.global=202302600</v>
      </c>
    </row>
    <row r="12141" spans="1:21">
      <c r="A12141">
        <v>12140</v>
      </c>
      <c r="B12141" s="30" t="s">
        <v>1226</v>
      </c>
      <c r="D12141" s="30" t="s">
        <v>2024</v>
      </c>
      <c r="F12141" s="30" t="s">
        <v>1040</v>
      </c>
      <c r="G12141" s="30" t="s">
        <v>1061</v>
      </c>
      <c r="H12141" s="30" t="s">
        <v>17535</v>
      </c>
      <c r="J12141" s="30" t="s">
        <v>17564</v>
      </c>
      <c r="L12141" s="30" t="s">
        <v>274</v>
      </c>
      <c r="N12141" s="30" t="s">
        <v>613</v>
      </c>
      <c r="P12141" s="30" t="s">
        <v>17573</v>
      </c>
      <c r="Q12141" t="s">
        <v>732</v>
      </c>
      <c r="R12141" t="s">
        <v>917</v>
      </c>
      <c r="S12141">
        <v>39</v>
      </c>
      <c r="T12141" s="29" t="str">
        <f>HYPERLINK("https://ictv.global/ictv/proposals/2023.027M.Mammarenavirus_6nsp.zip","2023.027M.Mammarenavirus_6nsp.zip")</f>
        <v>2023.027M.Mammarenavirus_6nsp.zip</v>
      </c>
      <c r="U12141" s="29" t="str">
        <f>HYPERLINK("https://ictv.global/taxonomy/taxondetails?taxnode_id=202319015","ictv.global=202319015")</f>
        <v>ictv.global=202319015</v>
      </c>
    </row>
    <row r="12142" spans="1:21">
      <c r="A12142">
        <v>12141</v>
      </c>
      <c r="B12142" s="30" t="s">
        <v>1226</v>
      </c>
      <c r="D12142" s="30" t="s">
        <v>2024</v>
      </c>
      <c r="F12142" s="30" t="s">
        <v>1040</v>
      </c>
      <c r="G12142" s="30" t="s">
        <v>1061</v>
      </c>
      <c r="H12142" s="30" t="s">
        <v>17535</v>
      </c>
      <c r="J12142" s="30" t="s">
        <v>17564</v>
      </c>
      <c r="L12142" s="30" t="s">
        <v>274</v>
      </c>
      <c r="N12142" s="30" t="s">
        <v>613</v>
      </c>
      <c r="P12142" s="30" t="s">
        <v>10320</v>
      </c>
      <c r="Q12142" t="s">
        <v>732</v>
      </c>
      <c r="R12142" t="s">
        <v>919</v>
      </c>
      <c r="S12142">
        <v>39</v>
      </c>
      <c r="T12142" s="29" t="str">
        <f t="shared" ref="T12142:T12163" si="509">HYPERLINK("https://ictv.global/ictv/proposals/2023.024M.Bunyaviricetes.zip","2023.024M.Bunyaviricetes.zip")</f>
        <v>2023.024M.Bunyaviricetes.zip</v>
      </c>
      <c r="U12142" s="29" t="str">
        <f>HYPERLINK("https://ictv.global/taxonomy/taxondetails?taxnode_id=202302601","ictv.global=202302601")</f>
        <v>ictv.global=202302601</v>
      </c>
    </row>
    <row r="12143" spans="1:21">
      <c r="A12143">
        <v>12142</v>
      </c>
      <c r="B12143" s="30" t="s">
        <v>1226</v>
      </c>
      <c r="D12143" s="30" t="s">
        <v>2024</v>
      </c>
      <c r="F12143" s="30" t="s">
        <v>1040</v>
      </c>
      <c r="G12143" s="30" t="s">
        <v>1061</v>
      </c>
      <c r="H12143" s="30" t="s">
        <v>17535</v>
      </c>
      <c r="J12143" s="30" t="s">
        <v>17564</v>
      </c>
      <c r="L12143" s="30" t="s">
        <v>274</v>
      </c>
      <c r="N12143" s="30" t="s">
        <v>613</v>
      </c>
      <c r="P12143" s="30" t="s">
        <v>10321</v>
      </c>
      <c r="Q12143" t="s">
        <v>732</v>
      </c>
      <c r="R12143" t="s">
        <v>919</v>
      </c>
      <c r="S12143">
        <v>39</v>
      </c>
      <c r="T12143" s="29" t="str">
        <f t="shared" si="509"/>
        <v>2023.024M.Bunyaviricetes.zip</v>
      </c>
      <c r="U12143" s="29" t="str">
        <f>HYPERLINK("https://ictv.global/taxonomy/taxondetails?taxnode_id=202302602","ictv.global=202302602")</f>
        <v>ictv.global=202302602</v>
      </c>
    </row>
    <row r="12144" spans="1:21">
      <c r="A12144">
        <v>12143</v>
      </c>
      <c r="B12144" s="30" t="s">
        <v>1226</v>
      </c>
      <c r="D12144" s="30" t="s">
        <v>2024</v>
      </c>
      <c r="F12144" s="30" t="s">
        <v>1040</v>
      </c>
      <c r="G12144" s="30" t="s">
        <v>1061</v>
      </c>
      <c r="H12144" s="30" t="s">
        <v>17535</v>
      </c>
      <c r="J12144" s="30" t="s">
        <v>17564</v>
      </c>
      <c r="L12144" s="30" t="s">
        <v>274</v>
      </c>
      <c r="N12144" s="30" t="s">
        <v>613</v>
      </c>
      <c r="P12144" s="30" t="s">
        <v>10322</v>
      </c>
      <c r="Q12144" t="s">
        <v>732</v>
      </c>
      <c r="R12144" t="s">
        <v>919</v>
      </c>
      <c r="S12144">
        <v>39</v>
      </c>
      <c r="T12144" s="29" t="str">
        <f t="shared" si="509"/>
        <v>2023.024M.Bunyaviricetes.zip</v>
      </c>
      <c r="U12144" s="29" t="str">
        <f>HYPERLINK("https://ictv.global/taxonomy/taxondetails?taxnode_id=202307185","ictv.global=202307185")</f>
        <v>ictv.global=202307185</v>
      </c>
    </row>
    <row r="12145" spans="1:21">
      <c r="A12145">
        <v>12144</v>
      </c>
      <c r="B12145" s="30" t="s">
        <v>1226</v>
      </c>
      <c r="D12145" s="30" t="s">
        <v>2024</v>
      </c>
      <c r="F12145" s="30" t="s">
        <v>1040</v>
      </c>
      <c r="G12145" s="30" t="s">
        <v>1061</v>
      </c>
      <c r="H12145" s="30" t="s">
        <v>17535</v>
      </c>
      <c r="J12145" s="30" t="s">
        <v>17564</v>
      </c>
      <c r="L12145" s="30" t="s">
        <v>274</v>
      </c>
      <c r="N12145" s="30" t="s">
        <v>614</v>
      </c>
      <c r="P12145" s="30" t="s">
        <v>10323</v>
      </c>
      <c r="Q12145" t="s">
        <v>732</v>
      </c>
      <c r="R12145" t="s">
        <v>919</v>
      </c>
      <c r="S12145">
        <v>39</v>
      </c>
      <c r="T12145" s="29" t="str">
        <f t="shared" si="509"/>
        <v>2023.024M.Bunyaviricetes.zip</v>
      </c>
      <c r="U12145" s="29" t="str">
        <f>HYPERLINK("https://ictv.global/taxonomy/taxondetails?taxnode_id=202302604","ictv.global=202302604")</f>
        <v>ictv.global=202302604</v>
      </c>
    </row>
    <row r="12146" spans="1:21">
      <c r="A12146">
        <v>12145</v>
      </c>
      <c r="B12146" s="30" t="s">
        <v>1226</v>
      </c>
      <c r="D12146" s="30" t="s">
        <v>2024</v>
      </c>
      <c r="F12146" s="30" t="s">
        <v>1040</v>
      </c>
      <c r="G12146" s="30" t="s">
        <v>1061</v>
      </c>
      <c r="H12146" s="30" t="s">
        <v>17535</v>
      </c>
      <c r="J12146" s="30" t="s">
        <v>17564</v>
      </c>
      <c r="L12146" s="30" t="s">
        <v>274</v>
      </c>
      <c r="N12146" s="30" t="s">
        <v>614</v>
      </c>
      <c r="P12146" s="30" t="s">
        <v>10324</v>
      </c>
      <c r="Q12146" t="s">
        <v>732</v>
      </c>
      <c r="R12146" t="s">
        <v>919</v>
      </c>
      <c r="S12146">
        <v>39</v>
      </c>
      <c r="T12146" s="29" t="str">
        <f t="shared" si="509"/>
        <v>2023.024M.Bunyaviricetes.zip</v>
      </c>
      <c r="U12146" s="29" t="str">
        <f>HYPERLINK("https://ictv.global/taxonomy/taxondetails?taxnode_id=202302605","ictv.global=202302605")</f>
        <v>ictv.global=202302605</v>
      </c>
    </row>
    <row r="12147" spans="1:21">
      <c r="A12147">
        <v>12146</v>
      </c>
      <c r="B12147" s="30" t="s">
        <v>1226</v>
      </c>
      <c r="D12147" s="30" t="s">
        <v>2024</v>
      </c>
      <c r="F12147" s="30" t="s">
        <v>1040</v>
      </c>
      <c r="G12147" s="30" t="s">
        <v>1061</v>
      </c>
      <c r="H12147" s="30" t="s">
        <v>17535</v>
      </c>
      <c r="J12147" s="30" t="s">
        <v>17564</v>
      </c>
      <c r="L12147" s="30" t="s">
        <v>274</v>
      </c>
      <c r="N12147" s="30" t="s">
        <v>614</v>
      </c>
      <c r="P12147" s="30" t="s">
        <v>10325</v>
      </c>
      <c r="Q12147" t="s">
        <v>732</v>
      </c>
      <c r="R12147" t="s">
        <v>919</v>
      </c>
      <c r="S12147">
        <v>39</v>
      </c>
      <c r="T12147" s="29" t="str">
        <f t="shared" si="509"/>
        <v>2023.024M.Bunyaviricetes.zip</v>
      </c>
      <c r="U12147" s="29" t="str">
        <f>HYPERLINK("https://ictv.global/taxonomy/taxondetails?taxnode_id=202305745","ictv.global=202305745")</f>
        <v>ictv.global=202305745</v>
      </c>
    </row>
    <row r="12148" spans="1:21">
      <c r="A12148">
        <v>12147</v>
      </c>
      <c r="B12148" s="30" t="s">
        <v>1226</v>
      </c>
      <c r="D12148" s="30" t="s">
        <v>2024</v>
      </c>
      <c r="F12148" s="30" t="s">
        <v>1040</v>
      </c>
      <c r="G12148" s="30" t="s">
        <v>1061</v>
      </c>
      <c r="H12148" s="30" t="s">
        <v>17535</v>
      </c>
      <c r="J12148" s="30" t="s">
        <v>17564</v>
      </c>
      <c r="L12148" s="30" t="s">
        <v>274</v>
      </c>
      <c r="N12148" s="30" t="s">
        <v>614</v>
      </c>
      <c r="P12148" s="30" t="s">
        <v>10326</v>
      </c>
      <c r="Q12148" t="s">
        <v>732</v>
      </c>
      <c r="R12148" t="s">
        <v>919</v>
      </c>
      <c r="S12148">
        <v>39</v>
      </c>
      <c r="T12148" s="29" t="str">
        <f t="shared" si="509"/>
        <v>2023.024M.Bunyaviricetes.zip</v>
      </c>
      <c r="U12148" s="29" t="str">
        <f>HYPERLINK("https://ictv.global/taxonomy/taxondetails?taxnode_id=202305744","ictv.global=202305744")</f>
        <v>ictv.global=202305744</v>
      </c>
    </row>
    <row r="12149" spans="1:21">
      <c r="A12149">
        <v>12148</v>
      </c>
      <c r="B12149" s="30" t="s">
        <v>1226</v>
      </c>
      <c r="D12149" s="30" t="s">
        <v>2024</v>
      </c>
      <c r="F12149" s="30" t="s">
        <v>1040</v>
      </c>
      <c r="G12149" s="30" t="s">
        <v>1061</v>
      </c>
      <c r="H12149" s="30" t="s">
        <v>17535</v>
      </c>
      <c r="J12149" s="30" t="s">
        <v>17564</v>
      </c>
      <c r="L12149" s="30" t="s">
        <v>274</v>
      </c>
      <c r="N12149" s="30" t="s">
        <v>614</v>
      </c>
      <c r="P12149" s="30" t="s">
        <v>10327</v>
      </c>
      <c r="Q12149" t="s">
        <v>732</v>
      </c>
      <c r="R12149" t="s">
        <v>919</v>
      </c>
      <c r="S12149">
        <v>39</v>
      </c>
      <c r="T12149" s="29" t="str">
        <f t="shared" si="509"/>
        <v>2023.024M.Bunyaviricetes.zip</v>
      </c>
      <c r="U12149" s="29" t="str">
        <f>HYPERLINK("https://ictv.global/taxonomy/taxondetails?taxnode_id=202302606","ictv.global=202302606")</f>
        <v>ictv.global=202302606</v>
      </c>
    </row>
    <row r="12150" spans="1:21">
      <c r="A12150">
        <v>12149</v>
      </c>
      <c r="B12150" s="30" t="s">
        <v>1226</v>
      </c>
      <c r="D12150" s="30" t="s">
        <v>2024</v>
      </c>
      <c r="F12150" s="30" t="s">
        <v>1040</v>
      </c>
      <c r="G12150" s="30" t="s">
        <v>1061</v>
      </c>
      <c r="H12150" s="30" t="s">
        <v>17535</v>
      </c>
      <c r="J12150" s="30" t="s">
        <v>17564</v>
      </c>
      <c r="L12150" s="30" t="s">
        <v>10328</v>
      </c>
      <c r="N12150" s="30" t="s">
        <v>10329</v>
      </c>
      <c r="P12150" s="30" t="s">
        <v>10330</v>
      </c>
      <c r="Q12150" t="s">
        <v>620</v>
      </c>
      <c r="R12150" t="s">
        <v>919</v>
      </c>
      <c r="S12150">
        <v>39</v>
      </c>
      <c r="T12150" s="29" t="str">
        <f t="shared" si="509"/>
        <v>2023.024M.Bunyaviricetes.zip</v>
      </c>
      <c r="U12150" s="29" t="str">
        <f>HYPERLINK("https://ictv.global/taxonomy/taxondetails?taxnode_id=202312956","ictv.global=202312956")</f>
        <v>ictv.global=202312956</v>
      </c>
    </row>
    <row r="12151" spans="1:21">
      <c r="A12151">
        <v>12150</v>
      </c>
      <c r="B12151" s="30" t="s">
        <v>1226</v>
      </c>
      <c r="D12151" s="30" t="s">
        <v>2024</v>
      </c>
      <c r="F12151" s="30" t="s">
        <v>1040</v>
      </c>
      <c r="G12151" s="30" t="s">
        <v>1061</v>
      </c>
      <c r="H12151" s="30" t="s">
        <v>17535</v>
      </c>
      <c r="J12151" s="30" t="s">
        <v>17564</v>
      </c>
      <c r="L12151" s="30" t="s">
        <v>10328</v>
      </c>
      <c r="N12151" s="30" t="s">
        <v>10329</v>
      </c>
      <c r="P12151" s="30" t="s">
        <v>10331</v>
      </c>
      <c r="Q12151" t="s">
        <v>620</v>
      </c>
      <c r="R12151" t="s">
        <v>919</v>
      </c>
      <c r="S12151">
        <v>39</v>
      </c>
      <c r="T12151" s="29" t="str">
        <f t="shared" si="509"/>
        <v>2023.024M.Bunyaviricetes.zip</v>
      </c>
      <c r="U12151" s="29" t="str">
        <f>HYPERLINK("https://ictv.global/taxonomy/taxondetails?taxnode_id=202312957","ictv.global=202312957")</f>
        <v>ictv.global=202312957</v>
      </c>
    </row>
    <row r="12152" spans="1:21">
      <c r="A12152">
        <v>12151</v>
      </c>
      <c r="B12152" s="30" t="s">
        <v>1226</v>
      </c>
      <c r="D12152" s="30" t="s">
        <v>2024</v>
      </c>
      <c r="F12152" s="30" t="s">
        <v>1040</v>
      </c>
      <c r="G12152" s="30" t="s">
        <v>1061</v>
      </c>
      <c r="H12152" s="30" t="s">
        <v>17535</v>
      </c>
      <c r="J12152" s="30" t="s">
        <v>17564</v>
      </c>
      <c r="L12152" s="30" t="s">
        <v>10328</v>
      </c>
      <c r="N12152" s="30" t="s">
        <v>10329</v>
      </c>
      <c r="P12152" s="30" t="s">
        <v>10332</v>
      </c>
      <c r="Q12152" t="s">
        <v>620</v>
      </c>
      <c r="R12152" t="s">
        <v>919</v>
      </c>
      <c r="S12152">
        <v>39</v>
      </c>
      <c r="T12152" s="29" t="str">
        <f t="shared" si="509"/>
        <v>2023.024M.Bunyaviricetes.zip</v>
      </c>
      <c r="U12152" s="29" t="str">
        <f>HYPERLINK("https://ictv.global/taxonomy/taxondetails?taxnode_id=202312958","ictv.global=202312958")</f>
        <v>ictv.global=202312958</v>
      </c>
    </row>
    <row r="12153" spans="1:21">
      <c r="A12153">
        <v>12152</v>
      </c>
      <c r="B12153" s="30" t="s">
        <v>1226</v>
      </c>
      <c r="D12153" s="30" t="s">
        <v>2024</v>
      </c>
      <c r="F12153" s="30" t="s">
        <v>1040</v>
      </c>
      <c r="G12153" s="30" t="s">
        <v>1061</v>
      </c>
      <c r="H12153" s="30" t="s">
        <v>17535</v>
      </c>
      <c r="J12153" s="30" t="s">
        <v>17564</v>
      </c>
      <c r="L12153" s="30" t="s">
        <v>10328</v>
      </c>
      <c r="N12153" s="30" t="s">
        <v>10329</v>
      </c>
      <c r="P12153" s="30" t="s">
        <v>10333</v>
      </c>
      <c r="Q12153" t="s">
        <v>620</v>
      </c>
      <c r="R12153" t="s">
        <v>919</v>
      </c>
      <c r="S12153">
        <v>39</v>
      </c>
      <c r="T12153" s="29" t="str">
        <f t="shared" si="509"/>
        <v>2023.024M.Bunyaviricetes.zip</v>
      </c>
      <c r="U12153" s="29" t="str">
        <f>HYPERLINK("https://ictv.global/taxonomy/taxondetails?taxnode_id=202312955","ictv.global=202312955")</f>
        <v>ictv.global=202312955</v>
      </c>
    </row>
    <row r="12154" spans="1:21">
      <c r="A12154">
        <v>12153</v>
      </c>
      <c r="B12154" s="30" t="s">
        <v>1226</v>
      </c>
      <c r="D12154" s="30" t="s">
        <v>2024</v>
      </c>
      <c r="F12154" s="30" t="s">
        <v>1040</v>
      </c>
      <c r="G12154" s="30" t="s">
        <v>1061</v>
      </c>
      <c r="H12154" s="30" t="s">
        <v>17535</v>
      </c>
      <c r="J12154" s="30" t="s">
        <v>17564</v>
      </c>
      <c r="L12154" s="30" t="s">
        <v>10328</v>
      </c>
      <c r="N12154" s="30" t="s">
        <v>10329</v>
      </c>
      <c r="P12154" s="30" t="s">
        <v>17574</v>
      </c>
      <c r="Q12154" t="s">
        <v>620</v>
      </c>
      <c r="R12154" t="s">
        <v>917</v>
      </c>
      <c r="S12154">
        <v>39</v>
      </c>
      <c r="T12154" s="29" t="str">
        <f t="shared" si="509"/>
        <v>2023.024M.Bunyaviricetes.zip</v>
      </c>
      <c r="U12154" s="29" t="str">
        <f>HYPERLINK("https://ictv.global/taxonomy/taxondetails?taxnode_id=202318847","ictv.global=202318847")</f>
        <v>ictv.global=202318847</v>
      </c>
    </row>
    <row r="12155" spans="1:21">
      <c r="A12155">
        <v>12154</v>
      </c>
      <c r="B12155" s="30" t="s">
        <v>1226</v>
      </c>
      <c r="D12155" s="30" t="s">
        <v>2024</v>
      </c>
      <c r="F12155" s="30" t="s">
        <v>1040</v>
      </c>
      <c r="G12155" s="30" t="s">
        <v>1061</v>
      </c>
      <c r="H12155" s="30" t="s">
        <v>17535</v>
      </c>
      <c r="J12155" s="30" t="s">
        <v>17564</v>
      </c>
      <c r="L12155" s="30" t="s">
        <v>10328</v>
      </c>
      <c r="N12155" s="30" t="s">
        <v>10329</v>
      </c>
      <c r="P12155" s="30" t="s">
        <v>10334</v>
      </c>
      <c r="Q12155" t="s">
        <v>620</v>
      </c>
      <c r="R12155" t="s">
        <v>919</v>
      </c>
      <c r="S12155">
        <v>39</v>
      </c>
      <c r="T12155" s="29" t="str">
        <f t="shared" si="509"/>
        <v>2023.024M.Bunyaviricetes.zip</v>
      </c>
      <c r="U12155" s="29" t="str">
        <f>HYPERLINK("https://ictv.global/taxonomy/taxondetails?taxnode_id=202312954","ictv.global=202312954")</f>
        <v>ictv.global=202312954</v>
      </c>
    </row>
    <row r="12156" spans="1:21">
      <c r="A12156">
        <v>12155</v>
      </c>
      <c r="B12156" s="30" t="s">
        <v>1226</v>
      </c>
      <c r="D12156" s="30" t="s">
        <v>2024</v>
      </c>
      <c r="F12156" s="30" t="s">
        <v>1040</v>
      </c>
      <c r="G12156" s="30" t="s">
        <v>1061</v>
      </c>
      <c r="H12156" s="30" t="s">
        <v>17535</v>
      </c>
      <c r="J12156" s="30" t="s">
        <v>17564</v>
      </c>
      <c r="L12156" s="30" t="s">
        <v>1253</v>
      </c>
      <c r="N12156" s="30" t="s">
        <v>1254</v>
      </c>
      <c r="P12156" s="30" t="s">
        <v>10408</v>
      </c>
      <c r="Q12156" t="s">
        <v>620</v>
      </c>
      <c r="R12156" t="s">
        <v>919</v>
      </c>
      <c r="S12156">
        <v>39</v>
      </c>
      <c r="T12156" s="29" t="str">
        <f t="shared" si="509"/>
        <v>2023.024M.Bunyaviricetes.zip</v>
      </c>
      <c r="U12156" s="29" t="str">
        <f>HYPERLINK("https://ictv.global/taxonomy/taxondetails?taxnode_id=202306595","ictv.global=202306595")</f>
        <v>ictv.global=202306595</v>
      </c>
    </row>
    <row r="12157" spans="1:21">
      <c r="A12157">
        <v>12156</v>
      </c>
      <c r="B12157" s="30" t="s">
        <v>1226</v>
      </c>
      <c r="D12157" s="30" t="s">
        <v>2024</v>
      </c>
      <c r="F12157" s="30" t="s">
        <v>1040</v>
      </c>
      <c r="G12157" s="30" t="s">
        <v>1061</v>
      </c>
      <c r="H12157" s="30" t="s">
        <v>17535</v>
      </c>
      <c r="J12157" s="30" t="s">
        <v>17564</v>
      </c>
      <c r="L12157" s="30" t="s">
        <v>1067</v>
      </c>
      <c r="N12157" s="30" t="s">
        <v>1068</v>
      </c>
      <c r="P12157" s="30" t="s">
        <v>10409</v>
      </c>
      <c r="Q12157" t="s">
        <v>620</v>
      </c>
      <c r="R12157" t="s">
        <v>919</v>
      </c>
      <c r="S12157">
        <v>39</v>
      </c>
      <c r="T12157" s="29" t="str">
        <f t="shared" si="509"/>
        <v>2023.024M.Bunyaviricetes.zip</v>
      </c>
      <c r="U12157" s="29" t="str">
        <f>HYPERLINK("https://ictv.global/taxonomy/taxondetails?taxnode_id=202306215","ictv.global=202306215")</f>
        <v>ictv.global=202306215</v>
      </c>
    </row>
    <row r="12158" spans="1:21">
      <c r="A12158">
        <v>12157</v>
      </c>
      <c r="B12158" s="30" t="s">
        <v>1226</v>
      </c>
      <c r="D12158" s="30" t="s">
        <v>2024</v>
      </c>
      <c r="F12158" s="30" t="s">
        <v>1040</v>
      </c>
      <c r="G12158" s="30" t="s">
        <v>1061</v>
      </c>
      <c r="H12158" s="30" t="s">
        <v>17535</v>
      </c>
      <c r="J12158" s="30" t="s">
        <v>17564</v>
      </c>
      <c r="L12158" s="30" t="s">
        <v>813</v>
      </c>
      <c r="N12158" s="30" t="s">
        <v>3790</v>
      </c>
      <c r="P12158" s="30" t="s">
        <v>10410</v>
      </c>
      <c r="Q12158" t="s">
        <v>620</v>
      </c>
      <c r="R12158" t="s">
        <v>919</v>
      </c>
      <c r="S12158">
        <v>39</v>
      </c>
      <c r="T12158" s="29" t="str">
        <f t="shared" si="509"/>
        <v>2023.024M.Bunyaviricetes.zip</v>
      </c>
      <c r="U12158" s="29" t="str">
        <f>HYPERLINK("https://ictv.global/taxonomy/taxondetails?taxnode_id=202314218","ictv.global=202314218")</f>
        <v>ictv.global=202314218</v>
      </c>
    </row>
    <row r="12159" spans="1:21">
      <c r="A12159">
        <v>12158</v>
      </c>
      <c r="B12159" s="30" t="s">
        <v>1226</v>
      </c>
      <c r="D12159" s="30" t="s">
        <v>2024</v>
      </c>
      <c r="F12159" s="30" t="s">
        <v>1040</v>
      </c>
      <c r="G12159" s="30" t="s">
        <v>1061</v>
      </c>
      <c r="H12159" s="30" t="s">
        <v>17535</v>
      </c>
      <c r="J12159" s="30" t="s">
        <v>17564</v>
      </c>
      <c r="L12159" s="30" t="s">
        <v>813</v>
      </c>
      <c r="N12159" s="30" t="s">
        <v>3790</v>
      </c>
      <c r="P12159" s="30" t="s">
        <v>10411</v>
      </c>
      <c r="Q12159" t="s">
        <v>620</v>
      </c>
      <c r="R12159" t="s">
        <v>919</v>
      </c>
      <c r="S12159">
        <v>39</v>
      </c>
      <c r="T12159" s="29" t="str">
        <f t="shared" si="509"/>
        <v>2023.024M.Bunyaviricetes.zip</v>
      </c>
      <c r="U12159" s="29" t="str">
        <f>HYPERLINK("https://ictv.global/taxonomy/taxondetails?taxnode_id=202309788","ictv.global=202309788")</f>
        <v>ictv.global=202309788</v>
      </c>
    </row>
    <row r="12160" spans="1:21">
      <c r="A12160">
        <v>12159</v>
      </c>
      <c r="B12160" s="30" t="s">
        <v>1226</v>
      </c>
      <c r="D12160" s="30" t="s">
        <v>2024</v>
      </c>
      <c r="F12160" s="30" t="s">
        <v>1040</v>
      </c>
      <c r="G12160" s="30" t="s">
        <v>1061</v>
      </c>
      <c r="H12160" s="30" t="s">
        <v>17535</v>
      </c>
      <c r="J12160" s="30" t="s">
        <v>17564</v>
      </c>
      <c r="L12160" s="30" t="s">
        <v>813</v>
      </c>
      <c r="N12160" s="30" t="s">
        <v>3791</v>
      </c>
      <c r="P12160" s="30" t="s">
        <v>10412</v>
      </c>
      <c r="Q12160" t="s">
        <v>620</v>
      </c>
      <c r="R12160" t="s">
        <v>919</v>
      </c>
      <c r="S12160">
        <v>39</v>
      </c>
      <c r="T12160" s="29" t="str">
        <f t="shared" si="509"/>
        <v>2023.024M.Bunyaviricetes.zip</v>
      </c>
      <c r="U12160" s="29" t="str">
        <f>HYPERLINK("https://ictv.global/taxonomy/taxondetails?taxnode_id=202309790","ictv.global=202309790")</f>
        <v>ictv.global=202309790</v>
      </c>
    </row>
    <row r="12161" spans="1:21">
      <c r="A12161">
        <v>12160</v>
      </c>
      <c r="B12161" s="30" t="s">
        <v>1226</v>
      </c>
      <c r="D12161" s="30" t="s">
        <v>2024</v>
      </c>
      <c r="F12161" s="30" t="s">
        <v>1040</v>
      </c>
      <c r="G12161" s="30" t="s">
        <v>1061</v>
      </c>
      <c r="H12161" s="30" t="s">
        <v>17535</v>
      </c>
      <c r="J12161" s="30" t="s">
        <v>17564</v>
      </c>
      <c r="L12161" s="30" t="s">
        <v>813</v>
      </c>
      <c r="N12161" s="30" t="s">
        <v>814</v>
      </c>
      <c r="P12161" s="30" t="s">
        <v>10413</v>
      </c>
      <c r="Q12161" t="s">
        <v>620</v>
      </c>
      <c r="R12161" t="s">
        <v>919</v>
      </c>
      <c r="S12161">
        <v>39</v>
      </c>
      <c r="T12161" s="29" t="str">
        <f t="shared" si="509"/>
        <v>2023.024M.Bunyaviricetes.zip</v>
      </c>
      <c r="U12161" s="29" t="str">
        <f>HYPERLINK("https://ictv.global/taxonomy/taxondetails?taxnode_id=202309757","ictv.global=202309757")</f>
        <v>ictv.global=202309757</v>
      </c>
    </row>
    <row r="12162" spans="1:21">
      <c r="A12162">
        <v>12161</v>
      </c>
      <c r="B12162" s="30" t="s">
        <v>1226</v>
      </c>
      <c r="D12162" s="30" t="s">
        <v>2024</v>
      </c>
      <c r="F12162" s="30" t="s">
        <v>1040</v>
      </c>
      <c r="G12162" s="30" t="s">
        <v>1061</v>
      </c>
      <c r="H12162" s="30" t="s">
        <v>17535</v>
      </c>
      <c r="J12162" s="30" t="s">
        <v>17564</v>
      </c>
      <c r="L12162" s="30" t="s">
        <v>813</v>
      </c>
      <c r="N12162" s="30" t="s">
        <v>814</v>
      </c>
      <c r="P12162" s="30" t="s">
        <v>10414</v>
      </c>
      <c r="Q12162" t="s">
        <v>620</v>
      </c>
      <c r="R12162" t="s">
        <v>919</v>
      </c>
      <c r="S12162">
        <v>39</v>
      </c>
      <c r="T12162" s="29" t="str">
        <f t="shared" si="509"/>
        <v>2023.024M.Bunyaviricetes.zip</v>
      </c>
      <c r="U12162" s="29" t="str">
        <f>HYPERLINK("https://ictv.global/taxonomy/taxondetails?taxnode_id=202309758","ictv.global=202309758")</f>
        <v>ictv.global=202309758</v>
      </c>
    </row>
    <row r="12163" spans="1:21">
      <c r="A12163">
        <v>12162</v>
      </c>
      <c r="B12163" s="30" t="s">
        <v>1226</v>
      </c>
      <c r="D12163" s="30" t="s">
        <v>2024</v>
      </c>
      <c r="F12163" s="30" t="s">
        <v>1040</v>
      </c>
      <c r="G12163" s="30" t="s">
        <v>1061</v>
      </c>
      <c r="H12163" s="30" t="s">
        <v>17535</v>
      </c>
      <c r="J12163" s="30" t="s">
        <v>17564</v>
      </c>
      <c r="L12163" s="30" t="s">
        <v>813</v>
      </c>
      <c r="N12163" s="30" t="s">
        <v>814</v>
      </c>
      <c r="P12163" s="30" t="s">
        <v>10415</v>
      </c>
      <c r="Q12163" t="s">
        <v>620</v>
      </c>
      <c r="R12163" t="s">
        <v>919</v>
      </c>
      <c r="S12163">
        <v>39</v>
      </c>
      <c r="T12163" s="29" t="str">
        <f t="shared" si="509"/>
        <v>2023.024M.Bunyaviricetes.zip</v>
      </c>
      <c r="U12163" s="29" t="str">
        <f>HYPERLINK("https://ictv.global/taxonomy/taxondetails?taxnode_id=202309767","ictv.global=202309767")</f>
        <v>ictv.global=202309767</v>
      </c>
    </row>
    <row r="12164" spans="1:21">
      <c r="A12164">
        <v>12163</v>
      </c>
      <c r="B12164" s="30" t="s">
        <v>1226</v>
      </c>
      <c r="D12164" s="30" t="s">
        <v>2024</v>
      </c>
      <c r="F12164" s="30" t="s">
        <v>1040</v>
      </c>
      <c r="G12164" s="30" t="s">
        <v>1061</v>
      </c>
      <c r="H12164" s="30" t="s">
        <v>17535</v>
      </c>
      <c r="J12164" s="30" t="s">
        <v>17564</v>
      </c>
      <c r="L12164" s="30" t="s">
        <v>813</v>
      </c>
      <c r="N12164" s="30" t="s">
        <v>814</v>
      </c>
      <c r="P12164" s="30" t="s">
        <v>17575</v>
      </c>
      <c r="Q12164" t="s">
        <v>620</v>
      </c>
      <c r="R12164" t="s">
        <v>917</v>
      </c>
      <c r="S12164">
        <v>39</v>
      </c>
      <c r="T12164" s="29" t="str">
        <f>HYPERLINK("https://ictv.global/ictv/proposals/2023.028M.Nairoviridae_1ng_9nsp.zip","2023.028M.Nairoviridae_1ng_9nsp.zip")</f>
        <v>2023.028M.Nairoviridae_1ng_9nsp.zip</v>
      </c>
      <c r="U12164" s="29" t="str">
        <f>HYPERLINK("https://ictv.global/taxonomy/taxondetails?taxnode_id=202319017","ictv.global=202319017")</f>
        <v>ictv.global=202319017</v>
      </c>
    </row>
    <row r="12165" spans="1:21">
      <c r="A12165">
        <v>12164</v>
      </c>
      <c r="B12165" s="30" t="s">
        <v>1226</v>
      </c>
      <c r="D12165" s="30" t="s">
        <v>2024</v>
      </c>
      <c r="F12165" s="30" t="s">
        <v>1040</v>
      </c>
      <c r="G12165" s="30" t="s">
        <v>1061</v>
      </c>
      <c r="H12165" s="30" t="s">
        <v>17535</v>
      </c>
      <c r="J12165" s="30" t="s">
        <v>17564</v>
      </c>
      <c r="L12165" s="30" t="s">
        <v>813</v>
      </c>
      <c r="N12165" s="30" t="s">
        <v>814</v>
      </c>
      <c r="P12165" s="30" t="s">
        <v>10416</v>
      </c>
      <c r="Q12165" t="s">
        <v>620</v>
      </c>
      <c r="R12165" t="s">
        <v>919</v>
      </c>
      <c r="S12165">
        <v>39</v>
      </c>
      <c r="T12165" s="29" t="str">
        <f t="shared" ref="T12165:T12172" si="510">HYPERLINK("https://ictv.global/ictv/proposals/2023.024M.Bunyaviricetes.zip","2023.024M.Bunyaviricetes.zip")</f>
        <v>2023.024M.Bunyaviricetes.zip</v>
      </c>
      <c r="U12165" s="29" t="str">
        <f>HYPERLINK("https://ictv.global/taxonomy/taxondetails?taxnode_id=202305462","ictv.global=202305462")</f>
        <v>ictv.global=202305462</v>
      </c>
    </row>
    <row r="12166" spans="1:21">
      <c r="A12166">
        <v>12165</v>
      </c>
      <c r="B12166" s="30" t="s">
        <v>1226</v>
      </c>
      <c r="D12166" s="30" t="s">
        <v>2024</v>
      </c>
      <c r="F12166" s="30" t="s">
        <v>1040</v>
      </c>
      <c r="G12166" s="30" t="s">
        <v>1061</v>
      </c>
      <c r="H12166" s="30" t="s">
        <v>17535</v>
      </c>
      <c r="J12166" s="30" t="s">
        <v>17564</v>
      </c>
      <c r="L12166" s="30" t="s">
        <v>813</v>
      </c>
      <c r="N12166" s="30" t="s">
        <v>814</v>
      </c>
      <c r="P12166" s="30" t="s">
        <v>10417</v>
      </c>
      <c r="Q12166" t="s">
        <v>620</v>
      </c>
      <c r="R12166" t="s">
        <v>919</v>
      </c>
      <c r="S12166">
        <v>39</v>
      </c>
      <c r="T12166" s="29" t="str">
        <f t="shared" si="510"/>
        <v>2023.024M.Bunyaviricetes.zip</v>
      </c>
      <c r="U12166" s="29" t="str">
        <f>HYPERLINK("https://ictv.global/taxonomy/taxondetails?taxnode_id=202309779","ictv.global=202309779")</f>
        <v>ictv.global=202309779</v>
      </c>
    </row>
    <row r="12167" spans="1:21">
      <c r="A12167">
        <v>12166</v>
      </c>
      <c r="B12167" s="30" t="s">
        <v>1226</v>
      </c>
      <c r="D12167" s="30" t="s">
        <v>2024</v>
      </c>
      <c r="F12167" s="30" t="s">
        <v>1040</v>
      </c>
      <c r="G12167" s="30" t="s">
        <v>1061</v>
      </c>
      <c r="H12167" s="30" t="s">
        <v>17535</v>
      </c>
      <c r="J12167" s="30" t="s">
        <v>17564</v>
      </c>
      <c r="L12167" s="30" t="s">
        <v>813</v>
      </c>
      <c r="N12167" s="30" t="s">
        <v>814</v>
      </c>
      <c r="P12167" s="30" t="s">
        <v>10418</v>
      </c>
      <c r="Q12167" t="s">
        <v>620</v>
      </c>
      <c r="R12167" t="s">
        <v>919</v>
      </c>
      <c r="S12167">
        <v>39</v>
      </c>
      <c r="T12167" s="29" t="str">
        <f t="shared" si="510"/>
        <v>2023.024M.Bunyaviricetes.zip</v>
      </c>
      <c r="U12167" s="29" t="str">
        <f>HYPERLINK("https://ictv.global/taxonomy/taxondetails?taxnode_id=202309759","ictv.global=202309759")</f>
        <v>ictv.global=202309759</v>
      </c>
    </row>
    <row r="12168" spans="1:21">
      <c r="A12168">
        <v>12167</v>
      </c>
      <c r="B12168" s="30" t="s">
        <v>1226</v>
      </c>
      <c r="D12168" s="30" t="s">
        <v>2024</v>
      </c>
      <c r="F12168" s="30" t="s">
        <v>1040</v>
      </c>
      <c r="G12168" s="30" t="s">
        <v>1061</v>
      </c>
      <c r="H12168" s="30" t="s">
        <v>17535</v>
      </c>
      <c r="J12168" s="30" t="s">
        <v>17564</v>
      </c>
      <c r="L12168" s="30" t="s">
        <v>813</v>
      </c>
      <c r="N12168" s="30" t="s">
        <v>814</v>
      </c>
      <c r="P12168" s="30" t="s">
        <v>10419</v>
      </c>
      <c r="Q12168" t="s">
        <v>620</v>
      </c>
      <c r="R12168" t="s">
        <v>919</v>
      </c>
      <c r="S12168">
        <v>39</v>
      </c>
      <c r="T12168" s="29" t="str">
        <f t="shared" si="510"/>
        <v>2023.024M.Bunyaviricetes.zip</v>
      </c>
      <c r="U12168" s="29" t="str">
        <f>HYPERLINK("https://ictv.global/taxonomy/taxondetails?taxnode_id=202309760","ictv.global=202309760")</f>
        <v>ictv.global=202309760</v>
      </c>
    </row>
    <row r="12169" spans="1:21">
      <c r="A12169">
        <v>12168</v>
      </c>
      <c r="B12169" s="30" t="s">
        <v>1226</v>
      </c>
      <c r="D12169" s="30" t="s">
        <v>2024</v>
      </c>
      <c r="F12169" s="30" t="s">
        <v>1040</v>
      </c>
      <c r="G12169" s="30" t="s">
        <v>1061</v>
      </c>
      <c r="H12169" s="30" t="s">
        <v>17535</v>
      </c>
      <c r="J12169" s="30" t="s">
        <v>17564</v>
      </c>
      <c r="L12169" s="30" t="s">
        <v>813</v>
      </c>
      <c r="N12169" s="30" t="s">
        <v>814</v>
      </c>
      <c r="P12169" s="30" t="s">
        <v>10420</v>
      </c>
      <c r="Q12169" t="s">
        <v>620</v>
      </c>
      <c r="R12169" t="s">
        <v>919</v>
      </c>
      <c r="S12169">
        <v>39</v>
      </c>
      <c r="T12169" s="29" t="str">
        <f t="shared" si="510"/>
        <v>2023.024M.Bunyaviricetes.zip</v>
      </c>
      <c r="U12169" s="29" t="str">
        <f>HYPERLINK("https://ictv.global/taxonomy/taxondetails?taxnode_id=202309761","ictv.global=202309761")</f>
        <v>ictv.global=202309761</v>
      </c>
    </row>
    <row r="12170" spans="1:21">
      <c r="A12170">
        <v>12169</v>
      </c>
      <c r="B12170" s="30" t="s">
        <v>1226</v>
      </c>
      <c r="D12170" s="30" t="s">
        <v>2024</v>
      </c>
      <c r="F12170" s="30" t="s">
        <v>1040</v>
      </c>
      <c r="G12170" s="30" t="s">
        <v>1061</v>
      </c>
      <c r="H12170" s="30" t="s">
        <v>17535</v>
      </c>
      <c r="J12170" s="30" t="s">
        <v>17564</v>
      </c>
      <c r="L12170" s="30" t="s">
        <v>813</v>
      </c>
      <c r="N12170" s="30" t="s">
        <v>814</v>
      </c>
      <c r="P12170" s="30" t="s">
        <v>10421</v>
      </c>
      <c r="Q12170" t="s">
        <v>620</v>
      </c>
      <c r="R12170" t="s">
        <v>919</v>
      </c>
      <c r="S12170">
        <v>39</v>
      </c>
      <c r="T12170" s="29" t="str">
        <f t="shared" si="510"/>
        <v>2023.024M.Bunyaviricetes.zip</v>
      </c>
      <c r="U12170" s="29" t="str">
        <f>HYPERLINK("https://ictv.global/taxonomy/taxondetails?taxnode_id=202300074","ictv.global=202300074")</f>
        <v>ictv.global=202300074</v>
      </c>
    </row>
    <row r="12171" spans="1:21">
      <c r="A12171">
        <v>12170</v>
      </c>
      <c r="B12171" s="30" t="s">
        <v>1226</v>
      </c>
      <c r="D12171" s="30" t="s">
        <v>2024</v>
      </c>
      <c r="F12171" s="30" t="s">
        <v>1040</v>
      </c>
      <c r="G12171" s="30" t="s">
        <v>1061</v>
      </c>
      <c r="H12171" s="30" t="s">
        <v>17535</v>
      </c>
      <c r="J12171" s="30" t="s">
        <v>17564</v>
      </c>
      <c r="L12171" s="30" t="s">
        <v>813</v>
      </c>
      <c r="N12171" s="30" t="s">
        <v>814</v>
      </c>
      <c r="P12171" s="30" t="s">
        <v>10422</v>
      </c>
      <c r="Q12171" t="s">
        <v>620</v>
      </c>
      <c r="R12171" t="s">
        <v>919</v>
      </c>
      <c r="S12171">
        <v>39</v>
      </c>
      <c r="T12171" s="29" t="str">
        <f t="shared" si="510"/>
        <v>2023.024M.Bunyaviricetes.zip</v>
      </c>
      <c r="U12171" s="29" t="str">
        <f>HYPERLINK("https://ictv.global/taxonomy/taxondetails?taxnode_id=202305463","ictv.global=202305463")</f>
        <v>ictv.global=202305463</v>
      </c>
    </row>
    <row r="12172" spans="1:21">
      <c r="A12172">
        <v>12171</v>
      </c>
      <c r="B12172" s="30" t="s">
        <v>1226</v>
      </c>
      <c r="D12172" s="30" t="s">
        <v>2024</v>
      </c>
      <c r="F12172" s="30" t="s">
        <v>1040</v>
      </c>
      <c r="G12172" s="30" t="s">
        <v>1061</v>
      </c>
      <c r="H12172" s="30" t="s">
        <v>17535</v>
      </c>
      <c r="J12172" s="30" t="s">
        <v>17564</v>
      </c>
      <c r="L12172" s="30" t="s">
        <v>813</v>
      </c>
      <c r="N12172" s="30" t="s">
        <v>814</v>
      </c>
      <c r="P12172" s="30" t="s">
        <v>10423</v>
      </c>
      <c r="Q12172" t="s">
        <v>620</v>
      </c>
      <c r="R12172" t="s">
        <v>919</v>
      </c>
      <c r="S12172">
        <v>39</v>
      </c>
      <c r="T12172" s="29" t="str">
        <f t="shared" si="510"/>
        <v>2023.024M.Bunyaviricetes.zip</v>
      </c>
      <c r="U12172" s="29" t="str">
        <f>HYPERLINK("https://ictv.global/taxonomy/taxondetails?taxnode_id=202309773","ictv.global=202309773")</f>
        <v>ictv.global=202309773</v>
      </c>
    </row>
    <row r="12173" spans="1:21">
      <c r="A12173">
        <v>12172</v>
      </c>
      <c r="B12173" s="30" t="s">
        <v>1226</v>
      </c>
      <c r="D12173" s="30" t="s">
        <v>2024</v>
      </c>
      <c r="F12173" s="30" t="s">
        <v>1040</v>
      </c>
      <c r="G12173" s="30" t="s">
        <v>1061</v>
      </c>
      <c r="H12173" s="30" t="s">
        <v>17535</v>
      </c>
      <c r="J12173" s="30" t="s">
        <v>17564</v>
      </c>
      <c r="L12173" s="30" t="s">
        <v>813</v>
      </c>
      <c r="N12173" s="30" t="s">
        <v>814</v>
      </c>
      <c r="P12173" s="30" t="s">
        <v>17576</v>
      </c>
      <c r="Q12173" t="s">
        <v>620</v>
      </c>
      <c r="R12173" t="s">
        <v>917</v>
      </c>
      <c r="S12173">
        <v>39</v>
      </c>
      <c r="T12173" s="29" t="str">
        <f>HYPERLINK("https://ictv.global/ictv/proposals/2023.028M.Nairoviridae_1ng_9nsp.zip","2023.028M.Nairoviridae_1ng_9nsp.zip")</f>
        <v>2023.028M.Nairoviridae_1ng_9nsp.zip</v>
      </c>
      <c r="U12173" s="29" t="str">
        <f>HYPERLINK("https://ictv.global/taxonomy/taxondetails?taxnode_id=202319019","ictv.global=202319019")</f>
        <v>ictv.global=202319019</v>
      </c>
    </row>
    <row r="12174" spans="1:21">
      <c r="A12174">
        <v>12173</v>
      </c>
      <c r="B12174" s="30" t="s">
        <v>1226</v>
      </c>
      <c r="D12174" s="30" t="s">
        <v>2024</v>
      </c>
      <c r="F12174" s="30" t="s">
        <v>1040</v>
      </c>
      <c r="G12174" s="30" t="s">
        <v>1061</v>
      </c>
      <c r="H12174" s="30" t="s">
        <v>17535</v>
      </c>
      <c r="J12174" s="30" t="s">
        <v>17564</v>
      </c>
      <c r="L12174" s="30" t="s">
        <v>813</v>
      </c>
      <c r="N12174" s="30" t="s">
        <v>814</v>
      </c>
      <c r="P12174" s="30" t="s">
        <v>10424</v>
      </c>
      <c r="Q12174" t="s">
        <v>620</v>
      </c>
      <c r="R12174" t="s">
        <v>919</v>
      </c>
      <c r="S12174">
        <v>39</v>
      </c>
      <c r="T12174" s="29" t="str">
        <f>HYPERLINK("https://ictv.global/ictv/proposals/2023.024M.Bunyaviricetes.zip","2023.024M.Bunyaviricetes.zip")</f>
        <v>2023.024M.Bunyaviricetes.zip</v>
      </c>
      <c r="U12174" s="29" t="str">
        <f>HYPERLINK("https://ictv.global/taxonomy/taxondetails?taxnode_id=202309770","ictv.global=202309770")</f>
        <v>ictv.global=202309770</v>
      </c>
    </row>
    <row r="12175" spans="1:21">
      <c r="A12175">
        <v>12174</v>
      </c>
      <c r="B12175" s="30" t="s">
        <v>1226</v>
      </c>
      <c r="D12175" s="30" t="s">
        <v>2024</v>
      </c>
      <c r="F12175" s="30" t="s">
        <v>1040</v>
      </c>
      <c r="G12175" s="30" t="s">
        <v>1061</v>
      </c>
      <c r="H12175" s="30" t="s">
        <v>17535</v>
      </c>
      <c r="J12175" s="30" t="s">
        <v>17564</v>
      </c>
      <c r="L12175" s="30" t="s">
        <v>813</v>
      </c>
      <c r="N12175" s="30" t="s">
        <v>814</v>
      </c>
      <c r="P12175" s="30" t="s">
        <v>10425</v>
      </c>
      <c r="Q12175" t="s">
        <v>620</v>
      </c>
      <c r="R12175" t="s">
        <v>919</v>
      </c>
      <c r="S12175">
        <v>39</v>
      </c>
      <c r="T12175" s="29" t="str">
        <f>HYPERLINK("https://ictv.global/ictv/proposals/2023.024M.Bunyaviricetes.zip","2023.024M.Bunyaviricetes.zip")</f>
        <v>2023.024M.Bunyaviricetes.zip</v>
      </c>
      <c r="U12175" s="29" t="str">
        <f>HYPERLINK("https://ictv.global/taxonomy/taxondetails?taxnode_id=202300072","ictv.global=202300072")</f>
        <v>ictv.global=202300072</v>
      </c>
    </row>
    <row r="12176" spans="1:21">
      <c r="A12176">
        <v>12175</v>
      </c>
      <c r="B12176" s="30" t="s">
        <v>1226</v>
      </c>
      <c r="D12176" s="30" t="s">
        <v>2024</v>
      </c>
      <c r="F12176" s="30" t="s">
        <v>1040</v>
      </c>
      <c r="G12176" s="30" t="s">
        <v>1061</v>
      </c>
      <c r="H12176" s="30" t="s">
        <v>17535</v>
      </c>
      <c r="J12176" s="30" t="s">
        <v>17564</v>
      </c>
      <c r="L12176" s="30" t="s">
        <v>813</v>
      </c>
      <c r="N12176" s="30" t="s">
        <v>814</v>
      </c>
      <c r="P12176" s="30" t="s">
        <v>10426</v>
      </c>
      <c r="Q12176" t="s">
        <v>620</v>
      </c>
      <c r="R12176" t="s">
        <v>919</v>
      </c>
      <c r="S12176">
        <v>39</v>
      </c>
      <c r="T12176" s="29" t="str">
        <f>HYPERLINK("https://ictv.global/ictv/proposals/2023.024M.Bunyaviricetes.zip","2023.024M.Bunyaviricetes.zip")</f>
        <v>2023.024M.Bunyaviricetes.zip</v>
      </c>
      <c r="U12176" s="29" t="str">
        <f>HYPERLINK("https://ictv.global/taxonomy/taxondetails?taxnode_id=202309763","ictv.global=202309763")</f>
        <v>ictv.global=202309763</v>
      </c>
    </row>
    <row r="12177" spans="1:21">
      <c r="A12177">
        <v>12176</v>
      </c>
      <c r="B12177" s="30" t="s">
        <v>1226</v>
      </c>
      <c r="D12177" s="30" t="s">
        <v>2024</v>
      </c>
      <c r="F12177" s="30" t="s">
        <v>1040</v>
      </c>
      <c r="G12177" s="30" t="s">
        <v>1061</v>
      </c>
      <c r="H12177" s="30" t="s">
        <v>17535</v>
      </c>
      <c r="J12177" s="30" t="s">
        <v>17564</v>
      </c>
      <c r="L12177" s="30" t="s">
        <v>813</v>
      </c>
      <c r="N12177" s="30" t="s">
        <v>814</v>
      </c>
      <c r="P12177" s="30" t="s">
        <v>10427</v>
      </c>
      <c r="Q12177" t="s">
        <v>620</v>
      </c>
      <c r="R12177" t="s">
        <v>919</v>
      </c>
      <c r="S12177">
        <v>39</v>
      </c>
      <c r="T12177" s="29" t="str">
        <f>HYPERLINK("https://ictv.global/ictv/proposals/2023.024M.Bunyaviricetes.zip","2023.024M.Bunyaviricetes.zip")</f>
        <v>2023.024M.Bunyaviricetes.zip</v>
      </c>
      <c r="U12177" s="29" t="str">
        <f>HYPERLINK("https://ictv.global/taxonomy/taxondetails?taxnode_id=202300107","ictv.global=202300107")</f>
        <v>ictv.global=202300107</v>
      </c>
    </row>
    <row r="12178" spans="1:21">
      <c r="A12178">
        <v>12177</v>
      </c>
      <c r="B12178" s="30" t="s">
        <v>1226</v>
      </c>
      <c r="D12178" s="30" t="s">
        <v>2024</v>
      </c>
      <c r="F12178" s="30" t="s">
        <v>1040</v>
      </c>
      <c r="G12178" s="30" t="s">
        <v>1061</v>
      </c>
      <c r="H12178" s="30" t="s">
        <v>17535</v>
      </c>
      <c r="J12178" s="30" t="s">
        <v>17564</v>
      </c>
      <c r="L12178" s="30" t="s">
        <v>813</v>
      </c>
      <c r="N12178" s="30" t="s">
        <v>814</v>
      </c>
      <c r="P12178" s="30" t="s">
        <v>10428</v>
      </c>
      <c r="Q12178" t="s">
        <v>620</v>
      </c>
      <c r="R12178" t="s">
        <v>919</v>
      </c>
      <c r="S12178">
        <v>39</v>
      </c>
      <c r="T12178" s="29" t="str">
        <f>HYPERLINK("https://ictv.global/ictv/proposals/2023.024M.Bunyaviricetes.zip","2023.024M.Bunyaviricetes.zip")</f>
        <v>2023.024M.Bunyaviricetes.zip</v>
      </c>
      <c r="U12178" s="29" t="str">
        <f>HYPERLINK("https://ictv.global/taxonomy/taxondetails?taxnode_id=202309764","ictv.global=202309764")</f>
        <v>ictv.global=202309764</v>
      </c>
    </row>
    <row r="12179" spans="1:21">
      <c r="A12179">
        <v>12178</v>
      </c>
      <c r="B12179" s="30" t="s">
        <v>1226</v>
      </c>
      <c r="D12179" s="30" t="s">
        <v>2024</v>
      </c>
      <c r="F12179" s="30" t="s">
        <v>1040</v>
      </c>
      <c r="G12179" s="30" t="s">
        <v>1061</v>
      </c>
      <c r="H12179" s="30" t="s">
        <v>17535</v>
      </c>
      <c r="J12179" s="30" t="s">
        <v>17564</v>
      </c>
      <c r="L12179" s="30" t="s">
        <v>813</v>
      </c>
      <c r="N12179" s="30" t="s">
        <v>814</v>
      </c>
      <c r="P12179" s="30" t="s">
        <v>17577</v>
      </c>
      <c r="Q12179" t="s">
        <v>620</v>
      </c>
      <c r="R12179" t="s">
        <v>917</v>
      </c>
      <c r="S12179">
        <v>39</v>
      </c>
      <c r="T12179" s="29" t="str">
        <f>HYPERLINK("https://ictv.global/ictv/proposals/2023.028M.Nairoviridae_1ng_9nsp.zip","2023.028M.Nairoviridae_1ng_9nsp.zip")</f>
        <v>2023.028M.Nairoviridae_1ng_9nsp.zip</v>
      </c>
      <c r="U12179" s="29" t="str">
        <f>HYPERLINK("https://ictv.global/taxonomy/taxondetails?taxnode_id=202319024","ictv.global=202319024")</f>
        <v>ictv.global=202319024</v>
      </c>
    </row>
    <row r="12180" spans="1:21">
      <c r="A12180">
        <v>12179</v>
      </c>
      <c r="B12180" s="30" t="s">
        <v>1226</v>
      </c>
      <c r="D12180" s="30" t="s">
        <v>2024</v>
      </c>
      <c r="F12180" s="30" t="s">
        <v>1040</v>
      </c>
      <c r="G12180" s="30" t="s">
        <v>1061</v>
      </c>
      <c r="H12180" s="30" t="s">
        <v>17535</v>
      </c>
      <c r="J12180" s="30" t="s">
        <v>17564</v>
      </c>
      <c r="L12180" s="30" t="s">
        <v>813</v>
      </c>
      <c r="N12180" s="30" t="s">
        <v>814</v>
      </c>
      <c r="P12180" s="30" t="s">
        <v>10429</v>
      </c>
      <c r="Q12180" t="s">
        <v>620</v>
      </c>
      <c r="R12180" t="s">
        <v>919</v>
      </c>
      <c r="S12180">
        <v>39</v>
      </c>
      <c r="T12180" s="29" t="str">
        <f t="shared" ref="T12180:T12187" si="511">HYPERLINK("https://ictv.global/ictv/proposals/2023.024M.Bunyaviricetes.zip","2023.024M.Bunyaviricetes.zip")</f>
        <v>2023.024M.Bunyaviricetes.zip</v>
      </c>
      <c r="U12180" s="29" t="str">
        <f>HYPERLINK("https://ictv.global/taxonomy/taxondetails?taxnode_id=202300070","ictv.global=202300070")</f>
        <v>ictv.global=202300070</v>
      </c>
    </row>
    <row r="12181" spans="1:21">
      <c r="A12181">
        <v>12180</v>
      </c>
      <c r="B12181" s="30" t="s">
        <v>1226</v>
      </c>
      <c r="D12181" s="30" t="s">
        <v>2024</v>
      </c>
      <c r="F12181" s="30" t="s">
        <v>1040</v>
      </c>
      <c r="G12181" s="30" t="s">
        <v>1061</v>
      </c>
      <c r="H12181" s="30" t="s">
        <v>17535</v>
      </c>
      <c r="J12181" s="30" t="s">
        <v>17564</v>
      </c>
      <c r="L12181" s="30" t="s">
        <v>813</v>
      </c>
      <c r="N12181" s="30" t="s">
        <v>814</v>
      </c>
      <c r="P12181" s="30" t="s">
        <v>10430</v>
      </c>
      <c r="Q12181" t="s">
        <v>620</v>
      </c>
      <c r="R12181" t="s">
        <v>919</v>
      </c>
      <c r="S12181">
        <v>39</v>
      </c>
      <c r="T12181" s="29" t="str">
        <f t="shared" si="511"/>
        <v>2023.024M.Bunyaviricetes.zip</v>
      </c>
      <c r="U12181" s="29" t="str">
        <f>HYPERLINK("https://ictv.global/taxonomy/taxondetails?taxnode_id=202300073","ictv.global=202300073")</f>
        <v>ictv.global=202300073</v>
      </c>
    </row>
    <row r="12182" spans="1:21">
      <c r="A12182">
        <v>12181</v>
      </c>
      <c r="B12182" s="30" t="s">
        <v>1226</v>
      </c>
      <c r="D12182" s="30" t="s">
        <v>2024</v>
      </c>
      <c r="F12182" s="30" t="s">
        <v>1040</v>
      </c>
      <c r="G12182" s="30" t="s">
        <v>1061</v>
      </c>
      <c r="H12182" s="30" t="s">
        <v>17535</v>
      </c>
      <c r="J12182" s="30" t="s">
        <v>17564</v>
      </c>
      <c r="L12182" s="30" t="s">
        <v>813</v>
      </c>
      <c r="N12182" s="30" t="s">
        <v>814</v>
      </c>
      <c r="P12182" s="30" t="s">
        <v>10431</v>
      </c>
      <c r="Q12182" t="s">
        <v>620</v>
      </c>
      <c r="R12182" t="s">
        <v>919</v>
      </c>
      <c r="S12182">
        <v>39</v>
      </c>
      <c r="T12182" s="29" t="str">
        <f t="shared" si="511"/>
        <v>2023.024M.Bunyaviricetes.zip</v>
      </c>
      <c r="U12182" s="29" t="str">
        <f>HYPERLINK("https://ictv.global/taxonomy/taxondetails?taxnode_id=202309765","ictv.global=202309765")</f>
        <v>ictv.global=202309765</v>
      </c>
    </row>
    <row r="12183" spans="1:21">
      <c r="A12183">
        <v>12182</v>
      </c>
      <c r="B12183" s="30" t="s">
        <v>1226</v>
      </c>
      <c r="D12183" s="30" t="s">
        <v>2024</v>
      </c>
      <c r="F12183" s="30" t="s">
        <v>1040</v>
      </c>
      <c r="G12183" s="30" t="s">
        <v>1061</v>
      </c>
      <c r="H12183" s="30" t="s">
        <v>17535</v>
      </c>
      <c r="J12183" s="30" t="s">
        <v>17564</v>
      </c>
      <c r="L12183" s="30" t="s">
        <v>813</v>
      </c>
      <c r="N12183" s="30" t="s">
        <v>814</v>
      </c>
      <c r="P12183" s="30" t="s">
        <v>10432</v>
      </c>
      <c r="Q12183" t="s">
        <v>620</v>
      </c>
      <c r="R12183" t="s">
        <v>919</v>
      </c>
      <c r="S12183">
        <v>39</v>
      </c>
      <c r="T12183" s="29" t="str">
        <f t="shared" si="511"/>
        <v>2023.024M.Bunyaviricetes.zip</v>
      </c>
      <c r="U12183" s="29" t="str">
        <f>HYPERLINK("https://ictv.global/taxonomy/taxondetails?taxnode_id=202309766","ictv.global=202309766")</f>
        <v>ictv.global=202309766</v>
      </c>
    </row>
    <row r="12184" spans="1:21">
      <c r="A12184">
        <v>12183</v>
      </c>
      <c r="B12184" s="30" t="s">
        <v>1226</v>
      </c>
      <c r="D12184" s="30" t="s">
        <v>2024</v>
      </c>
      <c r="F12184" s="30" t="s">
        <v>1040</v>
      </c>
      <c r="G12184" s="30" t="s">
        <v>1061</v>
      </c>
      <c r="H12184" s="30" t="s">
        <v>17535</v>
      </c>
      <c r="J12184" s="30" t="s">
        <v>17564</v>
      </c>
      <c r="L12184" s="30" t="s">
        <v>813</v>
      </c>
      <c r="N12184" s="30" t="s">
        <v>814</v>
      </c>
      <c r="P12184" s="30" t="s">
        <v>10433</v>
      </c>
      <c r="Q12184" t="s">
        <v>620</v>
      </c>
      <c r="R12184" t="s">
        <v>919</v>
      </c>
      <c r="S12184">
        <v>39</v>
      </c>
      <c r="T12184" s="29" t="str">
        <f t="shared" si="511"/>
        <v>2023.024M.Bunyaviricetes.zip</v>
      </c>
      <c r="U12184" s="29" t="str">
        <f>HYPERLINK("https://ictv.global/taxonomy/taxondetails?taxnode_id=202309777","ictv.global=202309777")</f>
        <v>ictv.global=202309777</v>
      </c>
    </row>
    <row r="12185" spans="1:21">
      <c r="A12185">
        <v>12184</v>
      </c>
      <c r="B12185" s="30" t="s">
        <v>1226</v>
      </c>
      <c r="D12185" s="30" t="s">
        <v>2024</v>
      </c>
      <c r="F12185" s="30" t="s">
        <v>1040</v>
      </c>
      <c r="G12185" s="30" t="s">
        <v>1061</v>
      </c>
      <c r="H12185" s="30" t="s">
        <v>17535</v>
      </c>
      <c r="J12185" s="30" t="s">
        <v>17564</v>
      </c>
      <c r="L12185" s="30" t="s">
        <v>813</v>
      </c>
      <c r="N12185" s="30" t="s">
        <v>814</v>
      </c>
      <c r="P12185" s="30" t="s">
        <v>10434</v>
      </c>
      <c r="Q12185" t="s">
        <v>620</v>
      </c>
      <c r="R12185" t="s">
        <v>919</v>
      </c>
      <c r="S12185">
        <v>39</v>
      </c>
      <c r="T12185" s="29" t="str">
        <f t="shared" si="511"/>
        <v>2023.024M.Bunyaviricetes.zip</v>
      </c>
      <c r="U12185" s="29" t="str">
        <f>HYPERLINK("https://ictv.global/taxonomy/taxondetails?taxnode_id=202300075","ictv.global=202300075")</f>
        <v>ictv.global=202300075</v>
      </c>
    </row>
    <row r="12186" spans="1:21">
      <c r="A12186">
        <v>12185</v>
      </c>
      <c r="B12186" s="30" t="s">
        <v>1226</v>
      </c>
      <c r="D12186" s="30" t="s">
        <v>2024</v>
      </c>
      <c r="F12186" s="30" t="s">
        <v>1040</v>
      </c>
      <c r="G12186" s="30" t="s">
        <v>1061</v>
      </c>
      <c r="H12186" s="30" t="s">
        <v>17535</v>
      </c>
      <c r="J12186" s="30" t="s">
        <v>17564</v>
      </c>
      <c r="L12186" s="30" t="s">
        <v>813</v>
      </c>
      <c r="N12186" s="30" t="s">
        <v>814</v>
      </c>
      <c r="P12186" s="30" t="s">
        <v>10435</v>
      </c>
      <c r="Q12186" t="s">
        <v>620</v>
      </c>
      <c r="R12186" t="s">
        <v>919</v>
      </c>
      <c r="S12186">
        <v>39</v>
      </c>
      <c r="T12186" s="29" t="str">
        <f t="shared" si="511"/>
        <v>2023.024M.Bunyaviricetes.zip</v>
      </c>
      <c r="U12186" s="29" t="str">
        <f>HYPERLINK("https://ictv.global/taxonomy/taxondetails?taxnode_id=202300076","ictv.global=202300076")</f>
        <v>ictv.global=202300076</v>
      </c>
    </row>
    <row r="12187" spans="1:21">
      <c r="A12187">
        <v>12186</v>
      </c>
      <c r="B12187" s="30" t="s">
        <v>1226</v>
      </c>
      <c r="D12187" s="30" t="s">
        <v>2024</v>
      </c>
      <c r="F12187" s="30" t="s">
        <v>1040</v>
      </c>
      <c r="G12187" s="30" t="s">
        <v>1061</v>
      </c>
      <c r="H12187" s="30" t="s">
        <v>17535</v>
      </c>
      <c r="J12187" s="30" t="s">
        <v>17564</v>
      </c>
      <c r="L12187" s="30" t="s">
        <v>813</v>
      </c>
      <c r="N12187" s="30" t="s">
        <v>814</v>
      </c>
      <c r="P12187" s="30" t="s">
        <v>10436</v>
      </c>
      <c r="Q12187" t="s">
        <v>620</v>
      </c>
      <c r="R12187" t="s">
        <v>919</v>
      </c>
      <c r="S12187">
        <v>39</v>
      </c>
      <c r="T12187" s="29" t="str">
        <f t="shared" si="511"/>
        <v>2023.024M.Bunyaviricetes.zip</v>
      </c>
      <c r="U12187" s="29" t="str">
        <f>HYPERLINK("https://ictv.global/taxonomy/taxondetails?taxnode_id=202300071","ictv.global=202300071")</f>
        <v>ictv.global=202300071</v>
      </c>
    </row>
    <row r="12188" spans="1:21">
      <c r="A12188">
        <v>12187</v>
      </c>
      <c r="B12188" s="30" t="s">
        <v>1226</v>
      </c>
      <c r="D12188" s="30" t="s">
        <v>2024</v>
      </c>
      <c r="F12188" s="30" t="s">
        <v>1040</v>
      </c>
      <c r="G12188" s="30" t="s">
        <v>1061</v>
      </c>
      <c r="H12188" s="30" t="s">
        <v>17535</v>
      </c>
      <c r="J12188" s="30" t="s">
        <v>17564</v>
      </c>
      <c r="L12188" s="30" t="s">
        <v>813</v>
      </c>
      <c r="N12188" s="30" t="s">
        <v>814</v>
      </c>
      <c r="P12188" s="30" t="s">
        <v>17578</v>
      </c>
      <c r="Q12188" t="s">
        <v>620</v>
      </c>
      <c r="R12188" t="s">
        <v>917</v>
      </c>
      <c r="S12188">
        <v>39</v>
      </c>
      <c r="T12188" s="29" t="str">
        <f>HYPERLINK("https://ictv.global/ictv/proposals/2023.028M.Nairoviridae_1ng_9nsp.zip","2023.028M.Nairoviridae_1ng_9nsp.zip")</f>
        <v>2023.028M.Nairoviridae_1ng_9nsp.zip</v>
      </c>
      <c r="U12188" s="29" t="str">
        <f>HYPERLINK("https://ictv.global/taxonomy/taxondetails?taxnode_id=202319023","ictv.global=202319023")</f>
        <v>ictv.global=202319023</v>
      </c>
    </row>
    <row r="12189" spans="1:21">
      <c r="A12189">
        <v>12188</v>
      </c>
      <c r="B12189" s="30" t="s">
        <v>1226</v>
      </c>
      <c r="D12189" s="30" t="s">
        <v>2024</v>
      </c>
      <c r="F12189" s="30" t="s">
        <v>1040</v>
      </c>
      <c r="G12189" s="30" t="s">
        <v>1061</v>
      </c>
      <c r="H12189" s="30" t="s">
        <v>17535</v>
      </c>
      <c r="J12189" s="30" t="s">
        <v>17564</v>
      </c>
      <c r="L12189" s="30" t="s">
        <v>813</v>
      </c>
      <c r="N12189" s="30" t="s">
        <v>814</v>
      </c>
      <c r="P12189" s="30" t="s">
        <v>10437</v>
      </c>
      <c r="Q12189" t="s">
        <v>620</v>
      </c>
      <c r="R12189" t="s">
        <v>919</v>
      </c>
      <c r="S12189">
        <v>39</v>
      </c>
      <c r="T12189" s="29" t="str">
        <f>HYPERLINK("https://ictv.global/ictv/proposals/2023.024M.Bunyaviricetes.zip","2023.024M.Bunyaviricetes.zip")</f>
        <v>2023.024M.Bunyaviricetes.zip</v>
      </c>
      <c r="U12189" s="29" t="str">
        <f>HYPERLINK("https://ictv.global/taxonomy/taxondetails?taxnode_id=202309768","ictv.global=202309768")</f>
        <v>ictv.global=202309768</v>
      </c>
    </row>
    <row r="12190" spans="1:21">
      <c r="A12190">
        <v>12189</v>
      </c>
      <c r="B12190" s="30" t="s">
        <v>1226</v>
      </c>
      <c r="D12190" s="30" t="s">
        <v>2024</v>
      </c>
      <c r="F12190" s="30" t="s">
        <v>1040</v>
      </c>
      <c r="G12190" s="30" t="s">
        <v>1061</v>
      </c>
      <c r="H12190" s="30" t="s">
        <v>17535</v>
      </c>
      <c r="J12190" s="30" t="s">
        <v>17564</v>
      </c>
      <c r="L12190" s="30" t="s">
        <v>813</v>
      </c>
      <c r="N12190" s="30" t="s">
        <v>814</v>
      </c>
      <c r="P12190" s="30" t="s">
        <v>10438</v>
      </c>
      <c r="Q12190" t="s">
        <v>620</v>
      </c>
      <c r="R12190" t="s">
        <v>919</v>
      </c>
      <c r="S12190">
        <v>39</v>
      </c>
      <c r="T12190" s="29" t="str">
        <f>HYPERLINK("https://ictv.global/ictv/proposals/2023.024M.Bunyaviricetes.zip","2023.024M.Bunyaviricetes.zip")</f>
        <v>2023.024M.Bunyaviricetes.zip</v>
      </c>
      <c r="U12190" s="29" t="str">
        <f>HYPERLINK("https://ictv.global/taxonomy/taxondetails?taxnode_id=202309776","ictv.global=202309776")</f>
        <v>ictv.global=202309776</v>
      </c>
    </row>
    <row r="12191" spans="1:21">
      <c r="A12191">
        <v>12190</v>
      </c>
      <c r="B12191" s="30" t="s">
        <v>1226</v>
      </c>
      <c r="D12191" s="30" t="s">
        <v>2024</v>
      </c>
      <c r="F12191" s="30" t="s">
        <v>1040</v>
      </c>
      <c r="G12191" s="30" t="s">
        <v>1061</v>
      </c>
      <c r="H12191" s="30" t="s">
        <v>17535</v>
      </c>
      <c r="J12191" s="30" t="s">
        <v>17564</v>
      </c>
      <c r="L12191" s="30" t="s">
        <v>813</v>
      </c>
      <c r="N12191" s="30" t="s">
        <v>814</v>
      </c>
      <c r="P12191" s="30" t="s">
        <v>17579</v>
      </c>
      <c r="Q12191" t="s">
        <v>620</v>
      </c>
      <c r="R12191" t="s">
        <v>917</v>
      </c>
      <c r="S12191">
        <v>39</v>
      </c>
      <c r="T12191" s="29" t="str">
        <f>HYPERLINK("https://ictv.global/ictv/proposals/2023.028M.Nairoviridae_1ng_9nsp.zip","2023.028M.Nairoviridae_1ng_9nsp.zip")</f>
        <v>2023.028M.Nairoviridae_1ng_9nsp.zip</v>
      </c>
      <c r="U12191" s="29" t="str">
        <f>HYPERLINK("https://ictv.global/taxonomy/taxondetails?taxnode_id=202319020","ictv.global=202319020")</f>
        <v>ictv.global=202319020</v>
      </c>
    </row>
    <row r="12192" spans="1:21">
      <c r="A12192">
        <v>12191</v>
      </c>
      <c r="B12192" s="30" t="s">
        <v>1226</v>
      </c>
      <c r="D12192" s="30" t="s">
        <v>2024</v>
      </c>
      <c r="F12192" s="30" t="s">
        <v>1040</v>
      </c>
      <c r="G12192" s="30" t="s">
        <v>1061</v>
      </c>
      <c r="H12192" s="30" t="s">
        <v>17535</v>
      </c>
      <c r="J12192" s="30" t="s">
        <v>17564</v>
      </c>
      <c r="L12192" s="30" t="s">
        <v>813</v>
      </c>
      <c r="N12192" s="30" t="s">
        <v>814</v>
      </c>
      <c r="P12192" s="30" t="s">
        <v>17580</v>
      </c>
      <c r="Q12192" t="s">
        <v>620</v>
      </c>
      <c r="R12192" t="s">
        <v>917</v>
      </c>
      <c r="S12192">
        <v>39</v>
      </c>
      <c r="T12192" s="29" t="str">
        <f>HYPERLINK("https://ictv.global/ictv/proposals/2023.028M.Nairoviridae_1ng_9nsp.zip","2023.028M.Nairoviridae_1ng_9nsp.zip")</f>
        <v>2023.028M.Nairoviridae_1ng_9nsp.zip</v>
      </c>
      <c r="U12192" s="29" t="str">
        <f>HYPERLINK("https://ictv.global/taxonomy/taxondetails?taxnode_id=202319022","ictv.global=202319022")</f>
        <v>ictv.global=202319022</v>
      </c>
    </row>
    <row r="12193" spans="1:21">
      <c r="A12193">
        <v>12192</v>
      </c>
      <c r="B12193" s="30" t="s">
        <v>1226</v>
      </c>
      <c r="D12193" s="30" t="s">
        <v>2024</v>
      </c>
      <c r="F12193" s="30" t="s">
        <v>1040</v>
      </c>
      <c r="G12193" s="30" t="s">
        <v>1061</v>
      </c>
      <c r="H12193" s="30" t="s">
        <v>17535</v>
      </c>
      <c r="J12193" s="30" t="s">
        <v>17564</v>
      </c>
      <c r="L12193" s="30" t="s">
        <v>813</v>
      </c>
      <c r="N12193" s="30" t="s">
        <v>814</v>
      </c>
      <c r="P12193" s="30" t="s">
        <v>10439</v>
      </c>
      <c r="Q12193" t="s">
        <v>620</v>
      </c>
      <c r="R12193" t="s">
        <v>919</v>
      </c>
      <c r="S12193">
        <v>39</v>
      </c>
      <c r="T12193" s="29" t="str">
        <f t="shared" ref="T12193:T12199" si="512">HYPERLINK("https://ictv.global/ictv/proposals/2023.024M.Bunyaviricetes.zip","2023.024M.Bunyaviricetes.zip")</f>
        <v>2023.024M.Bunyaviricetes.zip</v>
      </c>
      <c r="U12193" s="29" t="str">
        <f>HYPERLINK("https://ictv.global/taxonomy/taxondetails?taxnode_id=202309769","ictv.global=202309769")</f>
        <v>ictv.global=202309769</v>
      </c>
    </row>
    <row r="12194" spans="1:21">
      <c r="A12194">
        <v>12193</v>
      </c>
      <c r="B12194" s="30" t="s">
        <v>1226</v>
      </c>
      <c r="D12194" s="30" t="s">
        <v>2024</v>
      </c>
      <c r="F12194" s="30" t="s">
        <v>1040</v>
      </c>
      <c r="G12194" s="30" t="s">
        <v>1061</v>
      </c>
      <c r="H12194" s="30" t="s">
        <v>17535</v>
      </c>
      <c r="J12194" s="30" t="s">
        <v>17564</v>
      </c>
      <c r="L12194" s="30" t="s">
        <v>813</v>
      </c>
      <c r="N12194" s="30" t="s">
        <v>814</v>
      </c>
      <c r="P12194" s="30" t="s">
        <v>10440</v>
      </c>
      <c r="Q12194" t="s">
        <v>620</v>
      </c>
      <c r="R12194" t="s">
        <v>919</v>
      </c>
      <c r="S12194">
        <v>39</v>
      </c>
      <c r="T12194" s="29" t="str">
        <f t="shared" si="512"/>
        <v>2023.024M.Bunyaviricetes.zip</v>
      </c>
      <c r="U12194" s="29" t="str">
        <f>HYPERLINK("https://ictv.global/taxonomy/taxondetails?taxnode_id=202300077","ictv.global=202300077")</f>
        <v>ictv.global=202300077</v>
      </c>
    </row>
    <row r="12195" spans="1:21">
      <c r="A12195">
        <v>12194</v>
      </c>
      <c r="B12195" s="30" t="s">
        <v>1226</v>
      </c>
      <c r="D12195" s="30" t="s">
        <v>2024</v>
      </c>
      <c r="F12195" s="30" t="s">
        <v>1040</v>
      </c>
      <c r="G12195" s="30" t="s">
        <v>1061</v>
      </c>
      <c r="H12195" s="30" t="s">
        <v>17535</v>
      </c>
      <c r="J12195" s="30" t="s">
        <v>17564</v>
      </c>
      <c r="L12195" s="30" t="s">
        <v>813</v>
      </c>
      <c r="N12195" s="30" t="s">
        <v>814</v>
      </c>
      <c r="P12195" s="30" t="s">
        <v>10441</v>
      </c>
      <c r="Q12195" t="s">
        <v>620</v>
      </c>
      <c r="R12195" t="s">
        <v>919</v>
      </c>
      <c r="S12195">
        <v>39</v>
      </c>
      <c r="T12195" s="29" t="str">
        <f t="shared" si="512"/>
        <v>2023.024M.Bunyaviricetes.zip</v>
      </c>
      <c r="U12195" s="29" t="str">
        <f>HYPERLINK("https://ictv.global/taxonomy/taxondetails?taxnode_id=202309762","ictv.global=202309762")</f>
        <v>ictv.global=202309762</v>
      </c>
    </row>
    <row r="12196" spans="1:21">
      <c r="A12196">
        <v>12195</v>
      </c>
      <c r="B12196" s="30" t="s">
        <v>1226</v>
      </c>
      <c r="D12196" s="30" t="s">
        <v>2024</v>
      </c>
      <c r="F12196" s="30" t="s">
        <v>1040</v>
      </c>
      <c r="G12196" s="30" t="s">
        <v>1061</v>
      </c>
      <c r="H12196" s="30" t="s">
        <v>17535</v>
      </c>
      <c r="J12196" s="30" t="s">
        <v>17564</v>
      </c>
      <c r="L12196" s="30" t="s">
        <v>813</v>
      </c>
      <c r="N12196" s="30" t="s">
        <v>814</v>
      </c>
      <c r="P12196" s="30" t="s">
        <v>10442</v>
      </c>
      <c r="Q12196" t="s">
        <v>620</v>
      </c>
      <c r="R12196" t="s">
        <v>919</v>
      </c>
      <c r="S12196">
        <v>39</v>
      </c>
      <c r="T12196" s="29" t="str">
        <f t="shared" si="512"/>
        <v>2023.024M.Bunyaviricetes.zip</v>
      </c>
      <c r="U12196" s="29" t="str">
        <f>HYPERLINK("https://ictv.global/taxonomy/taxondetails?taxnode_id=202309771","ictv.global=202309771")</f>
        <v>ictv.global=202309771</v>
      </c>
    </row>
    <row r="12197" spans="1:21">
      <c r="A12197">
        <v>12196</v>
      </c>
      <c r="B12197" s="30" t="s">
        <v>1226</v>
      </c>
      <c r="D12197" s="30" t="s">
        <v>2024</v>
      </c>
      <c r="F12197" s="30" t="s">
        <v>1040</v>
      </c>
      <c r="G12197" s="30" t="s">
        <v>1061</v>
      </c>
      <c r="H12197" s="30" t="s">
        <v>17535</v>
      </c>
      <c r="J12197" s="30" t="s">
        <v>17564</v>
      </c>
      <c r="L12197" s="30" t="s">
        <v>813</v>
      </c>
      <c r="N12197" s="30" t="s">
        <v>814</v>
      </c>
      <c r="P12197" s="30" t="s">
        <v>10443</v>
      </c>
      <c r="Q12197" t="s">
        <v>620</v>
      </c>
      <c r="R12197" t="s">
        <v>919</v>
      </c>
      <c r="S12197">
        <v>39</v>
      </c>
      <c r="T12197" s="29" t="str">
        <f t="shared" si="512"/>
        <v>2023.024M.Bunyaviricetes.zip</v>
      </c>
      <c r="U12197" s="29" t="str">
        <f>HYPERLINK("https://ictv.global/taxonomy/taxondetails?taxnode_id=202300078","ictv.global=202300078")</f>
        <v>ictv.global=202300078</v>
      </c>
    </row>
    <row r="12198" spans="1:21">
      <c r="A12198">
        <v>12197</v>
      </c>
      <c r="B12198" s="30" t="s">
        <v>1226</v>
      </c>
      <c r="D12198" s="30" t="s">
        <v>2024</v>
      </c>
      <c r="F12198" s="30" t="s">
        <v>1040</v>
      </c>
      <c r="G12198" s="30" t="s">
        <v>1061</v>
      </c>
      <c r="H12198" s="30" t="s">
        <v>17535</v>
      </c>
      <c r="J12198" s="30" t="s">
        <v>17564</v>
      </c>
      <c r="L12198" s="30" t="s">
        <v>813</v>
      </c>
      <c r="N12198" s="30" t="s">
        <v>814</v>
      </c>
      <c r="P12198" s="30" t="s">
        <v>10444</v>
      </c>
      <c r="Q12198" t="s">
        <v>620</v>
      </c>
      <c r="R12198" t="s">
        <v>919</v>
      </c>
      <c r="S12198">
        <v>39</v>
      </c>
      <c r="T12198" s="29" t="str">
        <f t="shared" si="512"/>
        <v>2023.024M.Bunyaviricetes.zip</v>
      </c>
      <c r="U12198" s="29" t="str">
        <f>HYPERLINK("https://ictv.global/taxonomy/taxondetails?taxnode_id=202309772","ictv.global=202309772")</f>
        <v>ictv.global=202309772</v>
      </c>
    </row>
    <row r="12199" spans="1:21">
      <c r="A12199">
        <v>12198</v>
      </c>
      <c r="B12199" s="30" t="s">
        <v>1226</v>
      </c>
      <c r="D12199" s="30" t="s">
        <v>2024</v>
      </c>
      <c r="F12199" s="30" t="s">
        <v>1040</v>
      </c>
      <c r="G12199" s="30" t="s">
        <v>1061</v>
      </c>
      <c r="H12199" s="30" t="s">
        <v>17535</v>
      </c>
      <c r="J12199" s="30" t="s">
        <v>17564</v>
      </c>
      <c r="L12199" s="30" t="s">
        <v>813</v>
      </c>
      <c r="N12199" s="30" t="s">
        <v>814</v>
      </c>
      <c r="P12199" s="30" t="s">
        <v>10445</v>
      </c>
      <c r="Q12199" t="s">
        <v>620</v>
      </c>
      <c r="R12199" t="s">
        <v>919</v>
      </c>
      <c r="S12199">
        <v>39</v>
      </c>
      <c r="T12199" s="29" t="str">
        <f t="shared" si="512"/>
        <v>2023.024M.Bunyaviricetes.zip</v>
      </c>
      <c r="U12199" s="29" t="str">
        <f>HYPERLINK("https://ictv.global/taxonomy/taxondetails?taxnode_id=202300079","ictv.global=202300079")</f>
        <v>ictv.global=202300079</v>
      </c>
    </row>
    <row r="12200" spans="1:21">
      <c r="A12200">
        <v>12199</v>
      </c>
      <c r="B12200" s="30" t="s">
        <v>1226</v>
      </c>
      <c r="D12200" s="30" t="s">
        <v>2024</v>
      </c>
      <c r="F12200" s="30" t="s">
        <v>1040</v>
      </c>
      <c r="G12200" s="30" t="s">
        <v>1061</v>
      </c>
      <c r="H12200" s="30" t="s">
        <v>17535</v>
      </c>
      <c r="J12200" s="30" t="s">
        <v>17564</v>
      </c>
      <c r="L12200" s="30" t="s">
        <v>813</v>
      </c>
      <c r="N12200" s="30" t="s">
        <v>814</v>
      </c>
      <c r="P12200" s="30" t="s">
        <v>17581</v>
      </c>
      <c r="Q12200" t="s">
        <v>620</v>
      </c>
      <c r="R12200" t="s">
        <v>917</v>
      </c>
      <c r="S12200">
        <v>39</v>
      </c>
      <c r="T12200" s="29" t="str">
        <f>HYPERLINK("https://ictv.global/ictv/proposals/2023.028M.Nairoviridae_1ng_9nsp.zip","2023.028M.Nairoviridae_1ng_9nsp.zip")</f>
        <v>2023.028M.Nairoviridae_1ng_9nsp.zip</v>
      </c>
      <c r="U12200" s="29" t="str">
        <f>HYPERLINK("https://ictv.global/taxonomy/taxondetails?taxnode_id=202319021","ictv.global=202319021")</f>
        <v>ictv.global=202319021</v>
      </c>
    </row>
    <row r="12201" spans="1:21">
      <c r="A12201">
        <v>12200</v>
      </c>
      <c r="B12201" s="30" t="s">
        <v>1226</v>
      </c>
      <c r="D12201" s="30" t="s">
        <v>2024</v>
      </c>
      <c r="F12201" s="30" t="s">
        <v>1040</v>
      </c>
      <c r="G12201" s="30" t="s">
        <v>1061</v>
      </c>
      <c r="H12201" s="30" t="s">
        <v>17535</v>
      </c>
      <c r="J12201" s="30" t="s">
        <v>17564</v>
      </c>
      <c r="L12201" s="30" t="s">
        <v>813</v>
      </c>
      <c r="N12201" s="30" t="s">
        <v>814</v>
      </c>
      <c r="P12201" s="30" t="s">
        <v>10446</v>
      </c>
      <c r="Q12201" t="s">
        <v>620</v>
      </c>
      <c r="R12201" t="s">
        <v>919</v>
      </c>
      <c r="S12201">
        <v>39</v>
      </c>
      <c r="T12201" s="29" t="str">
        <f>HYPERLINK("https://ictv.global/ictv/proposals/2023.024M.Bunyaviricetes.zip","2023.024M.Bunyaviricetes.zip")</f>
        <v>2023.024M.Bunyaviricetes.zip</v>
      </c>
      <c r="U12201" s="29" t="str">
        <f>HYPERLINK("https://ictv.global/taxonomy/taxondetails?taxnode_id=202309774","ictv.global=202309774")</f>
        <v>ictv.global=202309774</v>
      </c>
    </row>
    <row r="12202" spans="1:21">
      <c r="A12202">
        <v>12201</v>
      </c>
      <c r="B12202" s="30" t="s">
        <v>1226</v>
      </c>
      <c r="D12202" s="30" t="s">
        <v>2024</v>
      </c>
      <c r="F12202" s="30" t="s">
        <v>1040</v>
      </c>
      <c r="G12202" s="30" t="s">
        <v>1061</v>
      </c>
      <c r="H12202" s="30" t="s">
        <v>17535</v>
      </c>
      <c r="J12202" s="30" t="s">
        <v>17564</v>
      </c>
      <c r="L12202" s="30" t="s">
        <v>813</v>
      </c>
      <c r="N12202" s="30" t="s">
        <v>814</v>
      </c>
      <c r="P12202" s="30" t="s">
        <v>10447</v>
      </c>
      <c r="Q12202" t="s">
        <v>620</v>
      </c>
      <c r="R12202" t="s">
        <v>919</v>
      </c>
      <c r="S12202">
        <v>39</v>
      </c>
      <c r="T12202" s="29" t="str">
        <f>HYPERLINK("https://ictv.global/ictv/proposals/2023.024M.Bunyaviricetes.zip","2023.024M.Bunyaviricetes.zip")</f>
        <v>2023.024M.Bunyaviricetes.zip</v>
      </c>
      <c r="U12202" s="29" t="str">
        <f>HYPERLINK("https://ictv.global/taxonomy/taxondetails?taxnode_id=202314217","ictv.global=202314217")</f>
        <v>ictv.global=202314217</v>
      </c>
    </row>
    <row r="12203" spans="1:21">
      <c r="A12203">
        <v>12202</v>
      </c>
      <c r="B12203" s="30" t="s">
        <v>1226</v>
      </c>
      <c r="D12203" s="30" t="s">
        <v>2024</v>
      </c>
      <c r="F12203" s="30" t="s">
        <v>1040</v>
      </c>
      <c r="G12203" s="30" t="s">
        <v>1061</v>
      </c>
      <c r="H12203" s="30" t="s">
        <v>17535</v>
      </c>
      <c r="J12203" s="30" t="s">
        <v>17564</v>
      </c>
      <c r="L12203" s="30" t="s">
        <v>813</v>
      </c>
      <c r="N12203" s="30" t="s">
        <v>814</v>
      </c>
      <c r="P12203" s="30" t="s">
        <v>10448</v>
      </c>
      <c r="Q12203" t="s">
        <v>620</v>
      </c>
      <c r="R12203" t="s">
        <v>919</v>
      </c>
      <c r="S12203">
        <v>39</v>
      </c>
      <c r="T12203" s="29" t="str">
        <f>HYPERLINK("https://ictv.global/ictv/proposals/2023.024M.Bunyaviricetes.zip","2023.024M.Bunyaviricetes.zip")</f>
        <v>2023.024M.Bunyaviricetes.zip</v>
      </c>
      <c r="U12203" s="29" t="str">
        <f>HYPERLINK("https://ictv.global/taxonomy/taxondetails?taxnode_id=202314216","ictv.global=202314216")</f>
        <v>ictv.global=202314216</v>
      </c>
    </row>
    <row r="12204" spans="1:21">
      <c r="A12204">
        <v>12203</v>
      </c>
      <c r="B12204" s="30" t="s">
        <v>1226</v>
      </c>
      <c r="D12204" s="30" t="s">
        <v>2024</v>
      </c>
      <c r="F12204" s="30" t="s">
        <v>1040</v>
      </c>
      <c r="G12204" s="30" t="s">
        <v>1061</v>
      </c>
      <c r="H12204" s="30" t="s">
        <v>17535</v>
      </c>
      <c r="J12204" s="30" t="s">
        <v>17564</v>
      </c>
      <c r="L12204" s="30" t="s">
        <v>813</v>
      </c>
      <c r="N12204" s="30" t="s">
        <v>814</v>
      </c>
      <c r="P12204" s="30" t="s">
        <v>17582</v>
      </c>
      <c r="Q12204" t="s">
        <v>620</v>
      </c>
      <c r="R12204" t="s">
        <v>917</v>
      </c>
      <c r="S12204">
        <v>39</v>
      </c>
      <c r="T12204" s="29" t="str">
        <f>HYPERLINK("https://ictv.global/ictv/proposals/2023.028M.Nairoviridae_1ng_9nsp.zip","2023.028M.Nairoviridae_1ng_9nsp.zip")</f>
        <v>2023.028M.Nairoviridae_1ng_9nsp.zip</v>
      </c>
      <c r="U12204" s="29" t="str">
        <f>HYPERLINK("https://ictv.global/taxonomy/taxondetails?taxnode_id=202319018","ictv.global=202319018")</f>
        <v>ictv.global=202319018</v>
      </c>
    </row>
    <row r="12205" spans="1:21">
      <c r="A12205">
        <v>12204</v>
      </c>
      <c r="B12205" s="30" t="s">
        <v>1226</v>
      </c>
      <c r="D12205" s="30" t="s">
        <v>2024</v>
      </c>
      <c r="F12205" s="30" t="s">
        <v>1040</v>
      </c>
      <c r="G12205" s="30" t="s">
        <v>1061</v>
      </c>
      <c r="H12205" s="30" t="s">
        <v>17535</v>
      </c>
      <c r="J12205" s="30" t="s">
        <v>17564</v>
      </c>
      <c r="L12205" s="30" t="s">
        <v>813</v>
      </c>
      <c r="N12205" s="30" t="s">
        <v>814</v>
      </c>
      <c r="P12205" s="30" t="s">
        <v>10449</v>
      </c>
      <c r="Q12205" t="s">
        <v>620</v>
      </c>
      <c r="R12205" t="s">
        <v>919</v>
      </c>
      <c r="S12205">
        <v>39</v>
      </c>
      <c r="T12205" s="29" t="str">
        <f t="shared" ref="T12205:T12214" si="513">HYPERLINK("https://ictv.global/ictv/proposals/2023.024M.Bunyaviricetes.zip","2023.024M.Bunyaviricetes.zip")</f>
        <v>2023.024M.Bunyaviricetes.zip</v>
      </c>
      <c r="U12205" s="29" t="str">
        <f>HYPERLINK("https://ictv.global/taxonomy/taxondetails?taxnode_id=202309775","ictv.global=202309775")</f>
        <v>ictv.global=202309775</v>
      </c>
    </row>
    <row r="12206" spans="1:21">
      <c r="A12206">
        <v>12205</v>
      </c>
      <c r="B12206" s="30" t="s">
        <v>1226</v>
      </c>
      <c r="D12206" s="30" t="s">
        <v>2024</v>
      </c>
      <c r="F12206" s="30" t="s">
        <v>1040</v>
      </c>
      <c r="G12206" s="30" t="s">
        <v>1061</v>
      </c>
      <c r="H12206" s="30" t="s">
        <v>17535</v>
      </c>
      <c r="J12206" s="30" t="s">
        <v>17564</v>
      </c>
      <c r="L12206" s="30" t="s">
        <v>813</v>
      </c>
      <c r="N12206" s="30" t="s">
        <v>814</v>
      </c>
      <c r="P12206" s="30" t="s">
        <v>10450</v>
      </c>
      <c r="Q12206" t="s">
        <v>620</v>
      </c>
      <c r="R12206" t="s">
        <v>919</v>
      </c>
      <c r="S12206">
        <v>39</v>
      </c>
      <c r="T12206" s="29" t="str">
        <f t="shared" si="513"/>
        <v>2023.024M.Bunyaviricetes.zip</v>
      </c>
      <c r="U12206" s="29" t="str">
        <f>HYPERLINK("https://ictv.global/taxonomy/taxondetails?taxnode_id=202300080","ictv.global=202300080")</f>
        <v>ictv.global=202300080</v>
      </c>
    </row>
    <row r="12207" spans="1:21">
      <c r="A12207">
        <v>12206</v>
      </c>
      <c r="B12207" s="30" t="s">
        <v>1226</v>
      </c>
      <c r="D12207" s="30" t="s">
        <v>2024</v>
      </c>
      <c r="F12207" s="30" t="s">
        <v>1040</v>
      </c>
      <c r="G12207" s="30" t="s">
        <v>1061</v>
      </c>
      <c r="H12207" s="30" t="s">
        <v>17535</v>
      </c>
      <c r="J12207" s="30" t="s">
        <v>17564</v>
      </c>
      <c r="L12207" s="30" t="s">
        <v>813</v>
      </c>
      <c r="N12207" s="30" t="s">
        <v>814</v>
      </c>
      <c r="P12207" s="30" t="s">
        <v>10451</v>
      </c>
      <c r="Q12207" t="s">
        <v>620</v>
      </c>
      <c r="R12207" t="s">
        <v>919</v>
      </c>
      <c r="S12207">
        <v>39</v>
      </c>
      <c r="T12207" s="29" t="str">
        <f t="shared" si="513"/>
        <v>2023.024M.Bunyaviricetes.zip</v>
      </c>
      <c r="U12207" s="29" t="str">
        <f>HYPERLINK("https://ictv.global/taxonomy/taxondetails?taxnode_id=202300069","ictv.global=202300069")</f>
        <v>ictv.global=202300069</v>
      </c>
    </row>
    <row r="12208" spans="1:21">
      <c r="A12208">
        <v>12207</v>
      </c>
      <c r="B12208" s="30" t="s">
        <v>1226</v>
      </c>
      <c r="D12208" s="30" t="s">
        <v>2024</v>
      </c>
      <c r="F12208" s="30" t="s">
        <v>1040</v>
      </c>
      <c r="G12208" s="30" t="s">
        <v>1061</v>
      </c>
      <c r="H12208" s="30" t="s">
        <v>17535</v>
      </c>
      <c r="J12208" s="30" t="s">
        <v>17564</v>
      </c>
      <c r="L12208" s="30" t="s">
        <v>813</v>
      </c>
      <c r="N12208" s="30" t="s">
        <v>814</v>
      </c>
      <c r="P12208" s="30" t="s">
        <v>10452</v>
      </c>
      <c r="Q12208" t="s">
        <v>620</v>
      </c>
      <c r="R12208" t="s">
        <v>919</v>
      </c>
      <c r="S12208">
        <v>39</v>
      </c>
      <c r="T12208" s="29" t="str">
        <f t="shared" si="513"/>
        <v>2023.024M.Bunyaviricetes.zip</v>
      </c>
      <c r="U12208" s="29" t="str">
        <f>HYPERLINK("https://ictv.global/taxonomy/taxondetails?taxnode_id=202309778","ictv.global=202309778")</f>
        <v>ictv.global=202309778</v>
      </c>
    </row>
    <row r="12209" spans="1:21">
      <c r="A12209">
        <v>12208</v>
      </c>
      <c r="B12209" s="30" t="s">
        <v>1226</v>
      </c>
      <c r="D12209" s="30" t="s">
        <v>2024</v>
      </c>
      <c r="F12209" s="30" t="s">
        <v>1040</v>
      </c>
      <c r="G12209" s="30" t="s">
        <v>1061</v>
      </c>
      <c r="H12209" s="30" t="s">
        <v>17535</v>
      </c>
      <c r="J12209" s="30" t="s">
        <v>17564</v>
      </c>
      <c r="L12209" s="30" t="s">
        <v>813</v>
      </c>
      <c r="N12209" s="30" t="s">
        <v>814</v>
      </c>
      <c r="P12209" s="30" t="s">
        <v>10453</v>
      </c>
      <c r="Q12209" t="s">
        <v>620</v>
      </c>
      <c r="R12209" t="s">
        <v>919</v>
      </c>
      <c r="S12209">
        <v>39</v>
      </c>
      <c r="T12209" s="29" t="str">
        <f t="shared" si="513"/>
        <v>2023.024M.Bunyaviricetes.zip</v>
      </c>
      <c r="U12209" s="29" t="str">
        <f>HYPERLINK("https://ictv.global/taxonomy/taxondetails?taxnode_id=202309780","ictv.global=202309780")</f>
        <v>ictv.global=202309780</v>
      </c>
    </row>
    <row r="12210" spans="1:21">
      <c r="A12210">
        <v>12209</v>
      </c>
      <c r="B12210" s="30" t="s">
        <v>1226</v>
      </c>
      <c r="D12210" s="30" t="s">
        <v>2024</v>
      </c>
      <c r="F12210" s="30" t="s">
        <v>1040</v>
      </c>
      <c r="G12210" s="30" t="s">
        <v>1061</v>
      </c>
      <c r="H12210" s="30" t="s">
        <v>17535</v>
      </c>
      <c r="J12210" s="30" t="s">
        <v>17564</v>
      </c>
      <c r="L12210" s="30" t="s">
        <v>813</v>
      </c>
      <c r="N12210" s="30" t="s">
        <v>814</v>
      </c>
      <c r="P12210" s="30" t="s">
        <v>10454</v>
      </c>
      <c r="Q12210" t="s">
        <v>620</v>
      </c>
      <c r="R12210" t="s">
        <v>919</v>
      </c>
      <c r="S12210">
        <v>39</v>
      </c>
      <c r="T12210" s="29" t="str">
        <f t="shared" si="513"/>
        <v>2023.024M.Bunyaviricetes.zip</v>
      </c>
      <c r="U12210" s="29" t="str">
        <f>HYPERLINK("https://ictv.global/taxonomy/taxondetails?taxnode_id=202314215","ictv.global=202314215")</f>
        <v>ictv.global=202314215</v>
      </c>
    </row>
    <row r="12211" spans="1:21">
      <c r="A12211">
        <v>12210</v>
      </c>
      <c r="B12211" s="30" t="s">
        <v>1226</v>
      </c>
      <c r="D12211" s="30" t="s">
        <v>2024</v>
      </c>
      <c r="F12211" s="30" t="s">
        <v>1040</v>
      </c>
      <c r="G12211" s="30" t="s">
        <v>1061</v>
      </c>
      <c r="H12211" s="30" t="s">
        <v>17535</v>
      </c>
      <c r="J12211" s="30" t="s">
        <v>17564</v>
      </c>
      <c r="L12211" s="30" t="s">
        <v>813</v>
      </c>
      <c r="N12211" s="30" t="s">
        <v>814</v>
      </c>
      <c r="P12211" s="30" t="s">
        <v>10455</v>
      </c>
      <c r="Q12211" t="s">
        <v>620</v>
      </c>
      <c r="R12211" t="s">
        <v>919</v>
      </c>
      <c r="S12211">
        <v>39</v>
      </c>
      <c r="T12211" s="29" t="str">
        <f t="shared" si="513"/>
        <v>2023.024M.Bunyaviricetes.zip</v>
      </c>
      <c r="U12211" s="29" t="str">
        <f>HYPERLINK("https://ictv.global/taxonomy/taxondetails?taxnode_id=202309781","ictv.global=202309781")</f>
        <v>ictv.global=202309781</v>
      </c>
    </row>
    <row r="12212" spans="1:21">
      <c r="A12212">
        <v>12211</v>
      </c>
      <c r="B12212" s="30" t="s">
        <v>1226</v>
      </c>
      <c r="D12212" s="30" t="s">
        <v>2024</v>
      </c>
      <c r="F12212" s="30" t="s">
        <v>1040</v>
      </c>
      <c r="G12212" s="30" t="s">
        <v>1061</v>
      </c>
      <c r="H12212" s="30" t="s">
        <v>17535</v>
      </c>
      <c r="J12212" s="30" t="s">
        <v>17564</v>
      </c>
      <c r="L12212" s="30" t="s">
        <v>813</v>
      </c>
      <c r="N12212" s="30" t="s">
        <v>814</v>
      </c>
      <c r="P12212" s="30" t="s">
        <v>10456</v>
      </c>
      <c r="Q12212" t="s">
        <v>620</v>
      </c>
      <c r="R12212" t="s">
        <v>919</v>
      </c>
      <c r="S12212">
        <v>39</v>
      </c>
      <c r="T12212" s="29" t="str">
        <f t="shared" si="513"/>
        <v>2023.024M.Bunyaviricetes.zip</v>
      </c>
      <c r="U12212" s="29" t="str">
        <f>HYPERLINK("https://ictv.global/taxonomy/taxondetails?taxnode_id=202309782","ictv.global=202309782")</f>
        <v>ictv.global=202309782</v>
      </c>
    </row>
    <row r="12213" spans="1:21">
      <c r="A12213">
        <v>12212</v>
      </c>
      <c r="B12213" s="30" t="s">
        <v>1226</v>
      </c>
      <c r="D12213" s="30" t="s">
        <v>2024</v>
      </c>
      <c r="F12213" s="30" t="s">
        <v>1040</v>
      </c>
      <c r="G12213" s="30" t="s">
        <v>1061</v>
      </c>
      <c r="H12213" s="30" t="s">
        <v>17535</v>
      </c>
      <c r="J12213" s="30" t="s">
        <v>17564</v>
      </c>
      <c r="L12213" s="30" t="s">
        <v>813</v>
      </c>
      <c r="N12213" s="30" t="s">
        <v>3792</v>
      </c>
      <c r="P12213" s="30" t="s">
        <v>10457</v>
      </c>
      <c r="Q12213" t="s">
        <v>620</v>
      </c>
      <c r="R12213" t="s">
        <v>919</v>
      </c>
      <c r="S12213">
        <v>39</v>
      </c>
      <c r="T12213" s="29" t="str">
        <f t="shared" si="513"/>
        <v>2023.024M.Bunyaviricetes.zip</v>
      </c>
      <c r="U12213" s="29" t="str">
        <f>HYPERLINK("https://ictv.global/taxonomy/taxondetails?taxnode_id=202309786","ictv.global=202309786")</f>
        <v>ictv.global=202309786</v>
      </c>
    </row>
    <row r="12214" spans="1:21">
      <c r="A12214">
        <v>12213</v>
      </c>
      <c r="B12214" s="30" t="s">
        <v>1226</v>
      </c>
      <c r="D12214" s="30" t="s">
        <v>2024</v>
      </c>
      <c r="F12214" s="30" t="s">
        <v>1040</v>
      </c>
      <c r="G12214" s="30" t="s">
        <v>1061</v>
      </c>
      <c r="H12214" s="30" t="s">
        <v>17535</v>
      </c>
      <c r="J12214" s="30" t="s">
        <v>17564</v>
      </c>
      <c r="L12214" s="30" t="s">
        <v>813</v>
      </c>
      <c r="N12214" s="30" t="s">
        <v>1069</v>
      </c>
      <c r="P12214" s="30" t="s">
        <v>10458</v>
      </c>
      <c r="Q12214" t="s">
        <v>620</v>
      </c>
      <c r="R12214" t="s">
        <v>919</v>
      </c>
      <c r="S12214">
        <v>39</v>
      </c>
      <c r="T12214" s="29" t="str">
        <f t="shared" si="513"/>
        <v>2023.024M.Bunyaviricetes.zip</v>
      </c>
      <c r="U12214" s="29" t="str">
        <f>HYPERLINK("https://ictv.global/taxonomy/taxondetails?taxnode_id=202306217","ictv.global=202306217")</f>
        <v>ictv.global=202306217</v>
      </c>
    </row>
    <row r="12215" spans="1:21">
      <c r="A12215">
        <v>12214</v>
      </c>
      <c r="B12215" s="30" t="s">
        <v>1226</v>
      </c>
      <c r="D12215" s="30" t="s">
        <v>2024</v>
      </c>
      <c r="F12215" s="30" t="s">
        <v>1040</v>
      </c>
      <c r="G12215" s="30" t="s">
        <v>1061</v>
      </c>
      <c r="H12215" s="30" t="s">
        <v>17535</v>
      </c>
      <c r="J12215" s="30" t="s">
        <v>17564</v>
      </c>
      <c r="L12215" s="30" t="s">
        <v>813</v>
      </c>
      <c r="N12215" s="30" t="s">
        <v>17583</v>
      </c>
      <c r="P12215" s="30" t="s">
        <v>17584</v>
      </c>
      <c r="Q12215" t="s">
        <v>620</v>
      </c>
      <c r="R12215" t="s">
        <v>917</v>
      </c>
      <c r="S12215">
        <v>39</v>
      </c>
      <c r="T12215" s="29" t="str">
        <f>HYPERLINK("https://ictv.global/ictv/proposals/2023.028M.Nairoviridae_1ng_9nsp.zip","2023.028M.Nairoviridae_1ng_9nsp.zip")</f>
        <v>2023.028M.Nairoviridae_1ng_9nsp.zip</v>
      </c>
      <c r="U12215" s="29" t="str">
        <f>HYPERLINK("https://ictv.global/taxonomy/taxondetails?taxnode_id=202319016","ictv.global=202319016")</f>
        <v>ictv.global=202319016</v>
      </c>
    </row>
    <row r="12216" spans="1:21">
      <c r="A12216">
        <v>12215</v>
      </c>
      <c r="B12216" s="30" t="s">
        <v>1226</v>
      </c>
      <c r="D12216" s="30" t="s">
        <v>2024</v>
      </c>
      <c r="F12216" s="30" t="s">
        <v>1040</v>
      </c>
      <c r="G12216" s="30" t="s">
        <v>1061</v>
      </c>
      <c r="H12216" s="30" t="s">
        <v>17535</v>
      </c>
      <c r="J12216" s="30" t="s">
        <v>17564</v>
      </c>
      <c r="L12216" s="30" t="s">
        <v>813</v>
      </c>
      <c r="N12216" s="30" t="s">
        <v>1070</v>
      </c>
      <c r="P12216" s="30" t="s">
        <v>10459</v>
      </c>
      <c r="Q12216" t="s">
        <v>620</v>
      </c>
      <c r="R12216" t="s">
        <v>919</v>
      </c>
      <c r="S12216">
        <v>39</v>
      </c>
      <c r="T12216" s="29" t="str">
        <f t="shared" ref="T12216:T12227" si="514">HYPERLINK("https://ictv.global/ictv/proposals/2023.024M.Bunyaviricetes.zip","2023.024M.Bunyaviricetes.zip")</f>
        <v>2023.024M.Bunyaviricetes.zip</v>
      </c>
      <c r="U12216" s="29" t="str">
        <f>HYPERLINK("https://ictv.global/taxonomy/taxondetails?taxnode_id=202306219","ictv.global=202306219")</f>
        <v>ictv.global=202306219</v>
      </c>
    </row>
    <row r="12217" spans="1:21">
      <c r="A12217">
        <v>12216</v>
      </c>
      <c r="B12217" s="30" t="s">
        <v>1226</v>
      </c>
      <c r="D12217" s="30" t="s">
        <v>2024</v>
      </c>
      <c r="F12217" s="30" t="s">
        <v>1040</v>
      </c>
      <c r="G12217" s="30" t="s">
        <v>1061</v>
      </c>
      <c r="H12217" s="30" t="s">
        <v>17535</v>
      </c>
      <c r="J12217" s="30" t="s">
        <v>17564</v>
      </c>
      <c r="L12217" s="30" t="s">
        <v>813</v>
      </c>
      <c r="N12217" s="30" t="s">
        <v>3793</v>
      </c>
      <c r="P12217" s="30" t="s">
        <v>10460</v>
      </c>
      <c r="Q12217" t="s">
        <v>620</v>
      </c>
      <c r="R12217" t="s">
        <v>919</v>
      </c>
      <c r="S12217">
        <v>39</v>
      </c>
      <c r="T12217" s="29" t="str">
        <f t="shared" si="514"/>
        <v>2023.024M.Bunyaviricetes.zip</v>
      </c>
      <c r="U12217" s="29" t="str">
        <f>HYPERLINK("https://ictv.global/taxonomy/taxondetails?taxnode_id=202309784","ictv.global=202309784")</f>
        <v>ictv.global=202309784</v>
      </c>
    </row>
    <row r="12218" spans="1:21">
      <c r="A12218">
        <v>12217</v>
      </c>
      <c r="B12218" s="30" t="s">
        <v>1226</v>
      </c>
      <c r="D12218" s="30" t="s">
        <v>2024</v>
      </c>
      <c r="F12218" s="30" t="s">
        <v>1040</v>
      </c>
      <c r="G12218" s="30" t="s">
        <v>1061</v>
      </c>
      <c r="H12218" s="30" t="s">
        <v>17535</v>
      </c>
      <c r="J12218" s="30" t="s">
        <v>17564</v>
      </c>
      <c r="L12218" s="30" t="s">
        <v>816</v>
      </c>
      <c r="N12218" s="30" t="s">
        <v>2067</v>
      </c>
      <c r="P12218" s="30" t="s">
        <v>10635</v>
      </c>
      <c r="Q12218" t="s">
        <v>732</v>
      </c>
      <c r="R12218" t="s">
        <v>919</v>
      </c>
      <c r="S12218">
        <v>39</v>
      </c>
      <c r="T12218" s="29" t="str">
        <f t="shared" si="514"/>
        <v>2023.024M.Bunyaviricetes.zip</v>
      </c>
      <c r="U12218" s="29" t="str">
        <f>HYPERLINK("https://ictv.global/taxonomy/taxondetails?taxnode_id=202307636","ictv.global=202307636")</f>
        <v>ictv.global=202307636</v>
      </c>
    </row>
    <row r="12219" spans="1:21">
      <c r="A12219">
        <v>12218</v>
      </c>
      <c r="B12219" s="30" t="s">
        <v>1226</v>
      </c>
      <c r="D12219" s="30" t="s">
        <v>2024</v>
      </c>
      <c r="F12219" s="30" t="s">
        <v>1040</v>
      </c>
      <c r="G12219" s="30" t="s">
        <v>1061</v>
      </c>
      <c r="H12219" s="30" t="s">
        <v>17535</v>
      </c>
      <c r="J12219" s="30" t="s">
        <v>17564</v>
      </c>
      <c r="L12219" s="30" t="s">
        <v>816</v>
      </c>
      <c r="N12219" s="30" t="s">
        <v>2067</v>
      </c>
      <c r="P12219" s="30" t="s">
        <v>10636</v>
      </c>
      <c r="Q12219" t="s">
        <v>620</v>
      </c>
      <c r="R12219" t="s">
        <v>919</v>
      </c>
      <c r="S12219">
        <v>39</v>
      </c>
      <c r="T12219" s="29" t="str">
        <f t="shared" si="514"/>
        <v>2023.024M.Bunyaviricetes.zip</v>
      </c>
      <c r="U12219" s="29" t="str">
        <f>HYPERLINK("https://ictv.global/taxonomy/taxondetails?taxnode_id=202307638","ictv.global=202307638")</f>
        <v>ictv.global=202307638</v>
      </c>
    </row>
    <row r="12220" spans="1:21">
      <c r="A12220">
        <v>12219</v>
      </c>
      <c r="B12220" s="30" t="s">
        <v>1226</v>
      </c>
      <c r="D12220" s="30" t="s">
        <v>2024</v>
      </c>
      <c r="F12220" s="30" t="s">
        <v>1040</v>
      </c>
      <c r="G12220" s="30" t="s">
        <v>1061</v>
      </c>
      <c r="H12220" s="30" t="s">
        <v>17535</v>
      </c>
      <c r="J12220" s="30" t="s">
        <v>17564</v>
      </c>
      <c r="L12220" s="30" t="s">
        <v>816</v>
      </c>
      <c r="N12220" s="30" t="s">
        <v>2067</v>
      </c>
      <c r="P12220" s="30" t="s">
        <v>10637</v>
      </c>
      <c r="Q12220" t="s">
        <v>732</v>
      </c>
      <c r="R12220" t="s">
        <v>919</v>
      </c>
      <c r="S12220">
        <v>39</v>
      </c>
      <c r="T12220" s="29" t="str">
        <f t="shared" si="514"/>
        <v>2023.024M.Bunyaviricetes.zip</v>
      </c>
      <c r="U12220" s="29" t="str">
        <f>HYPERLINK("https://ictv.global/taxonomy/taxondetails?taxnode_id=202307635","ictv.global=202307635")</f>
        <v>ictv.global=202307635</v>
      </c>
    </row>
    <row r="12221" spans="1:21">
      <c r="A12221">
        <v>12220</v>
      </c>
      <c r="B12221" s="30" t="s">
        <v>1226</v>
      </c>
      <c r="D12221" s="30" t="s">
        <v>2024</v>
      </c>
      <c r="F12221" s="30" t="s">
        <v>1040</v>
      </c>
      <c r="G12221" s="30" t="s">
        <v>1061</v>
      </c>
      <c r="H12221" s="30" t="s">
        <v>17535</v>
      </c>
      <c r="J12221" s="30" t="s">
        <v>17564</v>
      </c>
      <c r="L12221" s="30" t="s">
        <v>816</v>
      </c>
      <c r="N12221" s="30" t="s">
        <v>2067</v>
      </c>
      <c r="P12221" s="30" t="s">
        <v>10638</v>
      </c>
      <c r="Q12221" t="s">
        <v>620</v>
      </c>
      <c r="R12221" t="s">
        <v>919</v>
      </c>
      <c r="S12221">
        <v>39</v>
      </c>
      <c r="T12221" s="29" t="str">
        <f t="shared" si="514"/>
        <v>2023.024M.Bunyaviricetes.zip</v>
      </c>
      <c r="U12221" s="29" t="str">
        <f>HYPERLINK("https://ictv.global/taxonomy/taxondetails?taxnode_id=202300166","ictv.global=202300166")</f>
        <v>ictv.global=202300166</v>
      </c>
    </row>
    <row r="12222" spans="1:21">
      <c r="A12222">
        <v>12221</v>
      </c>
      <c r="B12222" s="30" t="s">
        <v>1226</v>
      </c>
      <c r="D12222" s="30" t="s">
        <v>2024</v>
      </c>
      <c r="F12222" s="30" t="s">
        <v>1040</v>
      </c>
      <c r="G12222" s="30" t="s">
        <v>1061</v>
      </c>
      <c r="H12222" s="30" t="s">
        <v>17535</v>
      </c>
      <c r="J12222" s="30" t="s">
        <v>17564</v>
      </c>
      <c r="L12222" s="30" t="s">
        <v>816</v>
      </c>
      <c r="N12222" s="30" t="s">
        <v>2067</v>
      </c>
      <c r="P12222" s="30" t="s">
        <v>10639</v>
      </c>
      <c r="Q12222" t="s">
        <v>620</v>
      </c>
      <c r="R12222" t="s">
        <v>919</v>
      </c>
      <c r="S12222">
        <v>39</v>
      </c>
      <c r="T12222" s="29" t="str">
        <f t="shared" si="514"/>
        <v>2023.024M.Bunyaviricetes.zip</v>
      </c>
      <c r="U12222" s="29" t="str">
        <f>HYPERLINK("https://ictv.global/taxonomy/taxondetails?taxnode_id=202306486","ictv.global=202306486")</f>
        <v>ictv.global=202306486</v>
      </c>
    </row>
    <row r="12223" spans="1:21">
      <c r="A12223">
        <v>12222</v>
      </c>
      <c r="B12223" s="30" t="s">
        <v>1226</v>
      </c>
      <c r="D12223" s="30" t="s">
        <v>2024</v>
      </c>
      <c r="F12223" s="30" t="s">
        <v>1040</v>
      </c>
      <c r="G12223" s="30" t="s">
        <v>1061</v>
      </c>
      <c r="H12223" s="30" t="s">
        <v>17535</v>
      </c>
      <c r="J12223" s="30" t="s">
        <v>17564</v>
      </c>
      <c r="L12223" s="30" t="s">
        <v>816</v>
      </c>
      <c r="N12223" s="30" t="s">
        <v>2067</v>
      </c>
      <c r="P12223" s="30" t="s">
        <v>10640</v>
      </c>
      <c r="Q12223" t="s">
        <v>620</v>
      </c>
      <c r="R12223" t="s">
        <v>919</v>
      </c>
      <c r="S12223">
        <v>39</v>
      </c>
      <c r="T12223" s="29" t="str">
        <f t="shared" si="514"/>
        <v>2023.024M.Bunyaviricetes.zip</v>
      </c>
      <c r="U12223" s="29" t="str">
        <f>HYPERLINK("https://ictv.global/taxonomy/taxondetails?taxnode_id=202306607","ictv.global=202306607")</f>
        <v>ictv.global=202306607</v>
      </c>
    </row>
    <row r="12224" spans="1:21">
      <c r="A12224">
        <v>12223</v>
      </c>
      <c r="B12224" s="30" t="s">
        <v>1226</v>
      </c>
      <c r="D12224" s="30" t="s">
        <v>2024</v>
      </c>
      <c r="F12224" s="30" t="s">
        <v>1040</v>
      </c>
      <c r="G12224" s="30" t="s">
        <v>1061</v>
      </c>
      <c r="H12224" s="30" t="s">
        <v>17535</v>
      </c>
      <c r="J12224" s="30" t="s">
        <v>17564</v>
      </c>
      <c r="L12224" s="30" t="s">
        <v>816</v>
      </c>
      <c r="N12224" s="30" t="s">
        <v>2067</v>
      </c>
      <c r="P12224" s="30" t="s">
        <v>10641</v>
      </c>
      <c r="Q12224" t="s">
        <v>732</v>
      </c>
      <c r="R12224" t="s">
        <v>919</v>
      </c>
      <c r="S12224">
        <v>39</v>
      </c>
      <c r="T12224" s="29" t="str">
        <f t="shared" si="514"/>
        <v>2023.024M.Bunyaviricetes.zip</v>
      </c>
      <c r="U12224" s="29" t="str">
        <f>HYPERLINK("https://ictv.global/taxonomy/taxondetails?taxnode_id=202307637","ictv.global=202307637")</f>
        <v>ictv.global=202307637</v>
      </c>
    </row>
    <row r="12225" spans="1:21">
      <c r="A12225">
        <v>12224</v>
      </c>
      <c r="B12225" s="30" t="s">
        <v>1226</v>
      </c>
      <c r="D12225" s="30" t="s">
        <v>2024</v>
      </c>
      <c r="F12225" s="30" t="s">
        <v>1040</v>
      </c>
      <c r="G12225" s="30" t="s">
        <v>1061</v>
      </c>
      <c r="H12225" s="30" t="s">
        <v>17535</v>
      </c>
      <c r="J12225" s="30" t="s">
        <v>17564</v>
      </c>
      <c r="L12225" s="30" t="s">
        <v>816</v>
      </c>
      <c r="N12225" s="30" t="s">
        <v>2067</v>
      </c>
      <c r="P12225" s="30" t="s">
        <v>10642</v>
      </c>
      <c r="Q12225" t="s">
        <v>620</v>
      </c>
      <c r="R12225" t="s">
        <v>919</v>
      </c>
      <c r="S12225">
        <v>39</v>
      </c>
      <c r="T12225" s="29" t="str">
        <f t="shared" si="514"/>
        <v>2023.024M.Bunyaviricetes.zip</v>
      </c>
      <c r="U12225" s="29" t="str">
        <f>HYPERLINK("https://ictv.global/taxonomy/taxondetails?taxnode_id=202309828","ictv.global=202309828")</f>
        <v>ictv.global=202309828</v>
      </c>
    </row>
    <row r="12226" spans="1:21">
      <c r="A12226">
        <v>12225</v>
      </c>
      <c r="B12226" s="30" t="s">
        <v>1226</v>
      </c>
      <c r="D12226" s="30" t="s">
        <v>2024</v>
      </c>
      <c r="F12226" s="30" t="s">
        <v>1040</v>
      </c>
      <c r="G12226" s="30" t="s">
        <v>1061</v>
      </c>
      <c r="H12226" s="30" t="s">
        <v>17535</v>
      </c>
      <c r="J12226" s="30" t="s">
        <v>17564</v>
      </c>
      <c r="L12226" s="30" t="s">
        <v>816</v>
      </c>
      <c r="N12226" s="30" t="s">
        <v>2067</v>
      </c>
      <c r="P12226" s="30" t="s">
        <v>10643</v>
      </c>
      <c r="Q12226" t="s">
        <v>620</v>
      </c>
      <c r="R12226" t="s">
        <v>919</v>
      </c>
      <c r="S12226">
        <v>39</v>
      </c>
      <c r="T12226" s="29" t="str">
        <f t="shared" si="514"/>
        <v>2023.024M.Bunyaviricetes.zip</v>
      </c>
      <c r="U12226" s="29" t="str">
        <f>HYPERLINK("https://ictv.global/taxonomy/taxondetails?taxnode_id=202314258","ictv.global=202314258")</f>
        <v>ictv.global=202314258</v>
      </c>
    </row>
    <row r="12227" spans="1:21">
      <c r="A12227">
        <v>12226</v>
      </c>
      <c r="B12227" s="30" t="s">
        <v>1226</v>
      </c>
      <c r="D12227" s="30" t="s">
        <v>2024</v>
      </c>
      <c r="F12227" s="30" t="s">
        <v>1040</v>
      </c>
      <c r="G12227" s="30" t="s">
        <v>1061</v>
      </c>
      <c r="H12227" s="30" t="s">
        <v>17535</v>
      </c>
      <c r="J12227" s="30" t="s">
        <v>17564</v>
      </c>
      <c r="L12227" s="30" t="s">
        <v>816</v>
      </c>
      <c r="N12227" s="30" t="s">
        <v>1075</v>
      </c>
      <c r="P12227" s="30" t="s">
        <v>10644</v>
      </c>
      <c r="Q12227" t="s">
        <v>620</v>
      </c>
      <c r="R12227" t="s">
        <v>919</v>
      </c>
      <c r="S12227">
        <v>39</v>
      </c>
      <c r="T12227" s="29" t="str">
        <f t="shared" si="514"/>
        <v>2023.024M.Bunyaviricetes.zip</v>
      </c>
      <c r="U12227" s="29" t="str">
        <f>HYPERLINK("https://ictv.global/taxonomy/taxondetails?taxnode_id=202306226","ictv.global=202306226")</f>
        <v>ictv.global=202306226</v>
      </c>
    </row>
    <row r="12228" spans="1:21">
      <c r="A12228">
        <v>12227</v>
      </c>
      <c r="B12228" s="30" t="s">
        <v>1226</v>
      </c>
      <c r="D12228" s="30" t="s">
        <v>2024</v>
      </c>
      <c r="F12228" s="30" t="s">
        <v>1040</v>
      </c>
      <c r="G12228" s="30" t="s">
        <v>1061</v>
      </c>
      <c r="H12228" s="30" t="s">
        <v>17535</v>
      </c>
      <c r="J12228" s="30" t="s">
        <v>17564</v>
      </c>
      <c r="L12228" s="30" t="s">
        <v>816</v>
      </c>
      <c r="N12228" s="30" t="s">
        <v>17585</v>
      </c>
      <c r="P12228" s="30" t="s">
        <v>17586</v>
      </c>
      <c r="Q12228" t="s">
        <v>732</v>
      </c>
      <c r="R12228" t="s">
        <v>917</v>
      </c>
      <c r="S12228">
        <v>39</v>
      </c>
      <c r="T12228" s="29" t="str">
        <f>HYPERLINK("https://ictv.global/ictv/proposals/2023.019M.Phenuiviridae_1ng_1nsp_1spmr.zip","2023.019M.Phenuiviridae_1ng_1nsp_1spmr.zip")</f>
        <v>2023.019M.Phenuiviridae_1ng_1nsp_1spmr.zip</v>
      </c>
      <c r="U12228" s="29" t="str">
        <f>HYPERLINK("https://ictv.global/taxonomy/taxondetails?taxnode_id=202318414","ictv.global=202318414")</f>
        <v>ictv.global=202318414</v>
      </c>
    </row>
    <row r="12229" spans="1:21">
      <c r="A12229">
        <v>12228</v>
      </c>
      <c r="B12229" s="30" t="s">
        <v>1226</v>
      </c>
      <c r="D12229" s="30" t="s">
        <v>2024</v>
      </c>
      <c r="F12229" s="30" t="s">
        <v>1040</v>
      </c>
      <c r="G12229" s="30" t="s">
        <v>1061</v>
      </c>
      <c r="H12229" s="30" t="s">
        <v>17535</v>
      </c>
      <c r="J12229" s="30" t="s">
        <v>17564</v>
      </c>
      <c r="L12229" s="30" t="s">
        <v>816</v>
      </c>
      <c r="N12229" s="30" t="s">
        <v>17585</v>
      </c>
      <c r="P12229" s="30" t="s">
        <v>17587</v>
      </c>
      <c r="Q12229" t="s">
        <v>732</v>
      </c>
      <c r="R12229" t="s">
        <v>917</v>
      </c>
      <c r="S12229">
        <v>39</v>
      </c>
      <c r="T12229" s="29" t="str">
        <f>HYPERLINK("https://ictv.global/ictv/proposals/2023.019M.Phenuiviridae_1ng_1nsp_1spmr.zip","2023.019M.Phenuiviridae_1ng_1nsp_1spmr.zip;2023.024M.Bunyaviricetes.zip")</f>
        <v>2023.019M.Phenuiviridae_1ng_1nsp_1spmr.zip;2023.024M.Bunyaviricetes.zip</v>
      </c>
      <c r="U12229" s="29" t="str">
        <f>HYPERLINK("https://ictv.global/taxonomy/taxondetails?taxnode_id=202318848","ictv.global=202318848")</f>
        <v>ictv.global=202318848</v>
      </c>
    </row>
    <row r="12230" spans="1:21">
      <c r="A12230">
        <v>12229</v>
      </c>
      <c r="B12230" s="30" t="s">
        <v>1226</v>
      </c>
      <c r="D12230" s="30" t="s">
        <v>2024</v>
      </c>
      <c r="F12230" s="30" t="s">
        <v>1040</v>
      </c>
      <c r="G12230" s="30" t="s">
        <v>1061</v>
      </c>
      <c r="H12230" s="30" t="s">
        <v>17535</v>
      </c>
      <c r="J12230" s="30" t="s">
        <v>17564</v>
      </c>
      <c r="L12230" s="30" t="s">
        <v>816</v>
      </c>
      <c r="N12230" s="30" t="s">
        <v>17585</v>
      </c>
      <c r="P12230" s="30" t="s">
        <v>17588</v>
      </c>
      <c r="Q12230" t="s">
        <v>732</v>
      </c>
      <c r="R12230" t="s">
        <v>917</v>
      </c>
      <c r="S12230">
        <v>39</v>
      </c>
      <c r="T12230" s="29" t="str">
        <f>HYPERLINK("https://ictv.global/ictv/proposals/2023.019M.Phenuiviridae_1ng_1nsp_1spmr.zip","2023.019M.Phenuiviridae_1ng_1nsp_1spmr.zip;2023.024M.Bunyaviricetes.zip")</f>
        <v>2023.019M.Phenuiviridae_1ng_1nsp_1spmr.zip;2023.024M.Bunyaviricetes.zip</v>
      </c>
      <c r="U12230" s="29" t="str">
        <f>HYPERLINK("https://ictv.global/taxonomy/taxondetails?taxnode_id=202318849","ictv.global=202318849")</f>
        <v>ictv.global=202318849</v>
      </c>
    </row>
    <row r="12231" spans="1:21">
      <c r="A12231">
        <v>12230</v>
      </c>
      <c r="B12231" s="30" t="s">
        <v>1226</v>
      </c>
      <c r="D12231" s="30" t="s">
        <v>2024</v>
      </c>
      <c r="F12231" s="30" t="s">
        <v>1040</v>
      </c>
      <c r="G12231" s="30" t="s">
        <v>1061</v>
      </c>
      <c r="H12231" s="30" t="s">
        <v>17535</v>
      </c>
      <c r="J12231" s="30" t="s">
        <v>17564</v>
      </c>
      <c r="L12231" s="30" t="s">
        <v>816</v>
      </c>
      <c r="N12231" s="30" t="s">
        <v>17585</v>
      </c>
      <c r="P12231" s="30" t="s">
        <v>17589</v>
      </c>
      <c r="Q12231" t="s">
        <v>732</v>
      </c>
      <c r="R12231" t="s">
        <v>918</v>
      </c>
      <c r="S12231">
        <v>39</v>
      </c>
      <c r="T12231" s="29" t="str">
        <f>HYPERLINK("https://ictv.global/ictv/proposals/2023.019M.Phenuiviridae_1ng_1nsp_1spmr.zip","2023.019M.Phenuiviridae_1ng_1nsp_1spmr.zip")</f>
        <v>2023.019M.Phenuiviridae_1ng_1nsp_1spmr.zip</v>
      </c>
      <c r="U12231" s="29" t="str">
        <f>HYPERLINK("https://ictv.global/taxonomy/taxondetails?taxnode_id=202309832","ictv.global=202309832")</f>
        <v>ictv.global=202309832</v>
      </c>
    </row>
    <row r="12232" spans="1:21">
      <c r="A12232">
        <v>12231</v>
      </c>
      <c r="B12232" s="30" t="s">
        <v>1226</v>
      </c>
      <c r="D12232" s="30" t="s">
        <v>2024</v>
      </c>
      <c r="F12232" s="30" t="s">
        <v>1040</v>
      </c>
      <c r="G12232" s="30" t="s">
        <v>1061</v>
      </c>
      <c r="H12232" s="30" t="s">
        <v>17535</v>
      </c>
      <c r="J12232" s="30" t="s">
        <v>17564</v>
      </c>
      <c r="L12232" s="30" t="s">
        <v>816</v>
      </c>
      <c r="N12232" s="30" t="s">
        <v>10645</v>
      </c>
      <c r="P12232" s="30" t="s">
        <v>10646</v>
      </c>
      <c r="Q12232" t="s">
        <v>620</v>
      </c>
      <c r="R12232" t="s">
        <v>919</v>
      </c>
      <c r="S12232">
        <v>39</v>
      </c>
      <c r="T12232" s="29" t="str">
        <f>HYPERLINK("https://ictv.global/ictv/proposals/2023.024M.Bunyaviricetes.zip","2023.024M.Bunyaviricetes.zip")</f>
        <v>2023.024M.Bunyaviricetes.zip</v>
      </c>
      <c r="U12232" s="29" t="str">
        <f>HYPERLINK("https://ictv.global/taxonomy/taxondetails?taxnode_id=202314265","ictv.global=202314265")</f>
        <v>ictv.global=202314265</v>
      </c>
    </row>
    <row r="12233" spans="1:21">
      <c r="A12233">
        <v>12232</v>
      </c>
      <c r="B12233" s="30" t="s">
        <v>1226</v>
      </c>
      <c r="D12233" s="30" t="s">
        <v>2024</v>
      </c>
      <c r="F12233" s="30" t="s">
        <v>1040</v>
      </c>
      <c r="G12233" s="30" t="s">
        <v>1061</v>
      </c>
      <c r="H12233" s="30" t="s">
        <v>17535</v>
      </c>
      <c r="J12233" s="30" t="s">
        <v>17564</v>
      </c>
      <c r="L12233" s="30" t="s">
        <v>816</v>
      </c>
      <c r="N12233" s="30" t="s">
        <v>1261</v>
      </c>
      <c r="P12233" s="30" t="s">
        <v>10647</v>
      </c>
      <c r="Q12233" t="s">
        <v>620</v>
      </c>
      <c r="R12233" t="s">
        <v>919</v>
      </c>
      <c r="S12233">
        <v>39</v>
      </c>
      <c r="T12233" s="29" t="str">
        <f>HYPERLINK("https://ictv.global/ictv/proposals/2023.024M.Bunyaviricetes.zip","2023.024M.Bunyaviricetes.zip")</f>
        <v>2023.024M.Bunyaviricetes.zip</v>
      </c>
      <c r="U12233" s="29" t="str">
        <f>HYPERLINK("https://ictv.global/taxonomy/taxondetails?taxnode_id=202314164","ictv.global=202314164")</f>
        <v>ictv.global=202314164</v>
      </c>
    </row>
    <row r="12234" spans="1:21">
      <c r="A12234">
        <v>12233</v>
      </c>
      <c r="B12234" s="30" t="s">
        <v>1226</v>
      </c>
      <c r="D12234" s="30" t="s">
        <v>2024</v>
      </c>
      <c r="F12234" s="30" t="s">
        <v>1040</v>
      </c>
      <c r="G12234" s="30" t="s">
        <v>1061</v>
      </c>
      <c r="H12234" s="30" t="s">
        <v>17535</v>
      </c>
      <c r="J12234" s="30" t="s">
        <v>17564</v>
      </c>
      <c r="L12234" s="30" t="s">
        <v>816</v>
      </c>
      <c r="N12234" s="30" t="s">
        <v>1261</v>
      </c>
      <c r="P12234" s="30" t="s">
        <v>17590</v>
      </c>
      <c r="Q12234" t="s">
        <v>620</v>
      </c>
      <c r="R12234" t="s">
        <v>917</v>
      </c>
      <c r="S12234">
        <v>39</v>
      </c>
      <c r="T12234" s="29" t="str">
        <f>HYPERLINK("https://ictv.global/ictv/proposals/2023.007M.Coguvirus_1nsp.zip","2023.007M.Coguvirus_1nsp.zip")</f>
        <v>2023.007M.Coguvirus_1nsp.zip</v>
      </c>
      <c r="U12234" s="29" t="str">
        <f>HYPERLINK("https://ictv.global/taxonomy/taxondetails?taxnode_id=202317870","ictv.global=202317870")</f>
        <v>ictv.global=202317870</v>
      </c>
    </row>
    <row r="12235" spans="1:21">
      <c r="A12235">
        <v>12234</v>
      </c>
      <c r="B12235" s="30" t="s">
        <v>1226</v>
      </c>
      <c r="D12235" s="30" t="s">
        <v>2024</v>
      </c>
      <c r="F12235" s="30" t="s">
        <v>1040</v>
      </c>
      <c r="G12235" s="30" t="s">
        <v>1061</v>
      </c>
      <c r="H12235" s="30" t="s">
        <v>17535</v>
      </c>
      <c r="J12235" s="30" t="s">
        <v>17564</v>
      </c>
      <c r="L12235" s="30" t="s">
        <v>816</v>
      </c>
      <c r="N12235" s="30" t="s">
        <v>1261</v>
      </c>
      <c r="P12235" s="30" t="s">
        <v>10648</v>
      </c>
      <c r="Q12235" t="s">
        <v>732</v>
      </c>
      <c r="R12235" t="s">
        <v>919</v>
      </c>
      <c r="S12235">
        <v>39</v>
      </c>
      <c r="T12235" s="29" t="str">
        <f t="shared" ref="T12235:T12260" si="515">HYPERLINK("https://ictv.global/ictv/proposals/2023.024M.Bunyaviricetes.zip","2023.024M.Bunyaviricetes.zip")</f>
        <v>2023.024M.Bunyaviricetes.zip</v>
      </c>
      <c r="U12235" s="29" t="str">
        <f>HYPERLINK("https://ictv.global/taxonomy/taxondetails?taxnode_id=202306630","ictv.global=202306630")</f>
        <v>ictv.global=202306630</v>
      </c>
    </row>
    <row r="12236" spans="1:21">
      <c r="A12236">
        <v>12235</v>
      </c>
      <c r="B12236" s="30" t="s">
        <v>1226</v>
      </c>
      <c r="D12236" s="30" t="s">
        <v>2024</v>
      </c>
      <c r="F12236" s="30" t="s">
        <v>1040</v>
      </c>
      <c r="G12236" s="30" t="s">
        <v>1061</v>
      </c>
      <c r="H12236" s="30" t="s">
        <v>17535</v>
      </c>
      <c r="J12236" s="30" t="s">
        <v>17564</v>
      </c>
      <c r="L12236" s="30" t="s">
        <v>816</v>
      </c>
      <c r="N12236" s="30" t="s">
        <v>1261</v>
      </c>
      <c r="P12236" s="30" t="s">
        <v>10649</v>
      </c>
      <c r="Q12236" t="s">
        <v>732</v>
      </c>
      <c r="R12236" t="s">
        <v>919</v>
      </c>
      <c r="S12236">
        <v>39</v>
      </c>
      <c r="T12236" s="29" t="str">
        <f t="shared" si="515"/>
        <v>2023.024M.Bunyaviricetes.zip</v>
      </c>
      <c r="U12236" s="29" t="str">
        <f>HYPERLINK("https://ictv.global/taxonomy/taxondetails?taxnode_id=202314162","ictv.global=202314162")</f>
        <v>ictv.global=202314162</v>
      </c>
    </row>
    <row r="12237" spans="1:21">
      <c r="A12237">
        <v>12236</v>
      </c>
      <c r="B12237" s="30" t="s">
        <v>1226</v>
      </c>
      <c r="D12237" s="30" t="s">
        <v>2024</v>
      </c>
      <c r="F12237" s="30" t="s">
        <v>1040</v>
      </c>
      <c r="G12237" s="30" t="s">
        <v>1061</v>
      </c>
      <c r="H12237" s="30" t="s">
        <v>17535</v>
      </c>
      <c r="J12237" s="30" t="s">
        <v>17564</v>
      </c>
      <c r="L12237" s="30" t="s">
        <v>816</v>
      </c>
      <c r="N12237" s="30" t="s">
        <v>1261</v>
      </c>
      <c r="P12237" s="30" t="s">
        <v>2068</v>
      </c>
      <c r="Q12237" t="s">
        <v>732</v>
      </c>
      <c r="R12237" t="s">
        <v>919</v>
      </c>
      <c r="S12237">
        <v>39</v>
      </c>
      <c r="T12237" s="29" t="str">
        <f t="shared" si="515"/>
        <v>2023.024M.Bunyaviricetes.zip</v>
      </c>
      <c r="U12237" s="29" t="str">
        <f>HYPERLINK("https://ictv.global/taxonomy/taxondetails?taxnode_id=202307130","ictv.global=202307130")</f>
        <v>ictv.global=202307130</v>
      </c>
    </row>
    <row r="12238" spans="1:21">
      <c r="A12238">
        <v>12237</v>
      </c>
      <c r="B12238" s="30" t="s">
        <v>1226</v>
      </c>
      <c r="D12238" s="30" t="s">
        <v>2024</v>
      </c>
      <c r="F12238" s="30" t="s">
        <v>1040</v>
      </c>
      <c r="G12238" s="30" t="s">
        <v>1061</v>
      </c>
      <c r="H12238" s="30" t="s">
        <v>17535</v>
      </c>
      <c r="J12238" s="30" t="s">
        <v>17564</v>
      </c>
      <c r="L12238" s="30" t="s">
        <v>816</v>
      </c>
      <c r="N12238" s="30" t="s">
        <v>1261</v>
      </c>
      <c r="P12238" s="30" t="s">
        <v>10650</v>
      </c>
      <c r="Q12238" t="s">
        <v>732</v>
      </c>
      <c r="R12238" t="s">
        <v>919</v>
      </c>
      <c r="S12238">
        <v>39</v>
      </c>
      <c r="T12238" s="29" t="str">
        <f t="shared" si="515"/>
        <v>2023.024M.Bunyaviricetes.zip</v>
      </c>
      <c r="U12238" s="29" t="str">
        <f>HYPERLINK("https://ictv.global/taxonomy/taxondetails?taxnode_id=202314163","ictv.global=202314163")</f>
        <v>ictv.global=202314163</v>
      </c>
    </row>
    <row r="12239" spans="1:21">
      <c r="A12239">
        <v>12238</v>
      </c>
      <c r="B12239" s="30" t="s">
        <v>1226</v>
      </c>
      <c r="D12239" s="30" t="s">
        <v>2024</v>
      </c>
      <c r="F12239" s="30" t="s">
        <v>1040</v>
      </c>
      <c r="G12239" s="30" t="s">
        <v>1061</v>
      </c>
      <c r="H12239" s="30" t="s">
        <v>17535</v>
      </c>
      <c r="J12239" s="30" t="s">
        <v>17564</v>
      </c>
      <c r="L12239" s="30" t="s">
        <v>816</v>
      </c>
      <c r="N12239" s="30" t="s">
        <v>1261</v>
      </c>
      <c r="P12239" s="30" t="s">
        <v>10651</v>
      </c>
      <c r="Q12239" t="s">
        <v>620</v>
      </c>
      <c r="R12239" t="s">
        <v>919</v>
      </c>
      <c r="S12239">
        <v>39</v>
      </c>
      <c r="T12239" s="29" t="str">
        <f t="shared" si="515"/>
        <v>2023.024M.Bunyaviricetes.zip</v>
      </c>
      <c r="U12239" s="29" t="str">
        <f>HYPERLINK("https://ictv.global/taxonomy/taxondetails?taxnode_id=202314165","ictv.global=202314165")</f>
        <v>ictv.global=202314165</v>
      </c>
    </row>
    <row r="12240" spans="1:21">
      <c r="A12240">
        <v>12239</v>
      </c>
      <c r="B12240" s="30" t="s">
        <v>1226</v>
      </c>
      <c r="D12240" s="30" t="s">
        <v>2024</v>
      </c>
      <c r="F12240" s="30" t="s">
        <v>1040</v>
      </c>
      <c r="G12240" s="30" t="s">
        <v>1061</v>
      </c>
      <c r="H12240" s="30" t="s">
        <v>17535</v>
      </c>
      <c r="J12240" s="30" t="s">
        <v>17564</v>
      </c>
      <c r="L12240" s="30" t="s">
        <v>816</v>
      </c>
      <c r="N12240" s="30" t="s">
        <v>2069</v>
      </c>
      <c r="P12240" s="30" t="s">
        <v>10652</v>
      </c>
      <c r="Q12240" t="s">
        <v>732</v>
      </c>
      <c r="R12240" t="s">
        <v>919</v>
      </c>
      <c r="S12240">
        <v>39</v>
      </c>
      <c r="T12240" s="29" t="str">
        <f t="shared" si="515"/>
        <v>2023.024M.Bunyaviricetes.zip</v>
      </c>
      <c r="U12240" s="29" t="str">
        <f>HYPERLINK("https://ictv.global/taxonomy/taxondetails?taxnode_id=202307644","ictv.global=202307644")</f>
        <v>ictv.global=202307644</v>
      </c>
    </row>
    <row r="12241" spans="1:21">
      <c r="A12241">
        <v>12240</v>
      </c>
      <c r="B12241" s="30" t="s">
        <v>1226</v>
      </c>
      <c r="D12241" s="30" t="s">
        <v>2024</v>
      </c>
      <c r="F12241" s="30" t="s">
        <v>1040</v>
      </c>
      <c r="G12241" s="30" t="s">
        <v>1061</v>
      </c>
      <c r="H12241" s="30" t="s">
        <v>17535</v>
      </c>
      <c r="J12241" s="30" t="s">
        <v>17564</v>
      </c>
      <c r="L12241" s="30" t="s">
        <v>816</v>
      </c>
      <c r="N12241" s="30" t="s">
        <v>842</v>
      </c>
      <c r="P12241" s="30" t="s">
        <v>10653</v>
      </c>
      <c r="Q12241" t="s">
        <v>620</v>
      </c>
      <c r="R12241" t="s">
        <v>919</v>
      </c>
      <c r="S12241">
        <v>39</v>
      </c>
      <c r="T12241" s="29" t="str">
        <f t="shared" si="515"/>
        <v>2023.024M.Bunyaviricetes.zip</v>
      </c>
      <c r="U12241" s="29" t="str">
        <f>HYPERLINK("https://ictv.global/taxonomy/taxondetails?taxnode_id=202314261","ictv.global=202314261")</f>
        <v>ictv.global=202314261</v>
      </c>
    </row>
    <row r="12242" spans="1:21">
      <c r="A12242">
        <v>12241</v>
      </c>
      <c r="B12242" s="30" t="s">
        <v>1226</v>
      </c>
      <c r="D12242" s="30" t="s">
        <v>2024</v>
      </c>
      <c r="F12242" s="30" t="s">
        <v>1040</v>
      </c>
      <c r="G12242" s="30" t="s">
        <v>1061</v>
      </c>
      <c r="H12242" s="30" t="s">
        <v>17535</v>
      </c>
      <c r="J12242" s="30" t="s">
        <v>17564</v>
      </c>
      <c r="L12242" s="30" t="s">
        <v>816</v>
      </c>
      <c r="N12242" s="30" t="s">
        <v>842</v>
      </c>
      <c r="P12242" s="30" t="s">
        <v>10654</v>
      </c>
      <c r="Q12242" t="s">
        <v>620</v>
      </c>
      <c r="R12242" t="s">
        <v>919</v>
      </c>
      <c r="S12242">
        <v>39</v>
      </c>
      <c r="T12242" s="29" t="str">
        <f t="shared" si="515"/>
        <v>2023.024M.Bunyaviricetes.zip</v>
      </c>
      <c r="U12242" s="29" t="str">
        <f>HYPERLINK("https://ictv.global/taxonomy/taxondetails?taxnode_id=202314260","ictv.global=202314260")</f>
        <v>ictv.global=202314260</v>
      </c>
    </row>
    <row r="12243" spans="1:21">
      <c r="A12243">
        <v>12242</v>
      </c>
      <c r="B12243" s="30" t="s">
        <v>1226</v>
      </c>
      <c r="D12243" s="30" t="s">
        <v>2024</v>
      </c>
      <c r="F12243" s="30" t="s">
        <v>1040</v>
      </c>
      <c r="G12243" s="30" t="s">
        <v>1061</v>
      </c>
      <c r="H12243" s="30" t="s">
        <v>17535</v>
      </c>
      <c r="J12243" s="30" t="s">
        <v>17564</v>
      </c>
      <c r="L12243" s="30" t="s">
        <v>816</v>
      </c>
      <c r="N12243" s="30" t="s">
        <v>842</v>
      </c>
      <c r="P12243" s="30" t="s">
        <v>10655</v>
      </c>
      <c r="Q12243" t="s">
        <v>620</v>
      </c>
      <c r="R12243" t="s">
        <v>919</v>
      </c>
      <c r="S12243">
        <v>39</v>
      </c>
      <c r="T12243" s="29" t="str">
        <f t="shared" si="515"/>
        <v>2023.024M.Bunyaviricetes.zip</v>
      </c>
      <c r="U12243" s="29" t="str">
        <f>HYPERLINK("https://ictv.global/taxonomy/taxondetails?taxnode_id=202300149","ictv.global=202300149")</f>
        <v>ictv.global=202300149</v>
      </c>
    </row>
    <row r="12244" spans="1:21">
      <c r="A12244">
        <v>12243</v>
      </c>
      <c r="B12244" s="30" t="s">
        <v>1226</v>
      </c>
      <c r="D12244" s="30" t="s">
        <v>2024</v>
      </c>
      <c r="F12244" s="30" t="s">
        <v>1040</v>
      </c>
      <c r="G12244" s="30" t="s">
        <v>1061</v>
      </c>
      <c r="H12244" s="30" t="s">
        <v>17535</v>
      </c>
      <c r="J12244" s="30" t="s">
        <v>17564</v>
      </c>
      <c r="L12244" s="30" t="s">
        <v>816</v>
      </c>
      <c r="N12244" s="30" t="s">
        <v>842</v>
      </c>
      <c r="P12244" s="30" t="s">
        <v>10656</v>
      </c>
      <c r="Q12244" t="s">
        <v>620</v>
      </c>
      <c r="R12244" t="s">
        <v>919</v>
      </c>
      <c r="S12244">
        <v>39</v>
      </c>
      <c r="T12244" s="29" t="str">
        <f t="shared" si="515"/>
        <v>2023.024M.Bunyaviricetes.zip</v>
      </c>
      <c r="U12244" s="29" t="str">
        <f>HYPERLINK("https://ictv.global/taxonomy/taxondetails?taxnode_id=202300150","ictv.global=202300150")</f>
        <v>ictv.global=202300150</v>
      </c>
    </row>
    <row r="12245" spans="1:21">
      <c r="A12245">
        <v>12244</v>
      </c>
      <c r="B12245" s="30" t="s">
        <v>1226</v>
      </c>
      <c r="D12245" s="30" t="s">
        <v>2024</v>
      </c>
      <c r="F12245" s="30" t="s">
        <v>1040</v>
      </c>
      <c r="G12245" s="30" t="s">
        <v>1061</v>
      </c>
      <c r="H12245" s="30" t="s">
        <v>17535</v>
      </c>
      <c r="J12245" s="30" t="s">
        <v>17564</v>
      </c>
      <c r="L12245" s="30" t="s">
        <v>816</v>
      </c>
      <c r="N12245" s="30" t="s">
        <v>842</v>
      </c>
      <c r="P12245" s="30" t="s">
        <v>10657</v>
      </c>
      <c r="Q12245" t="s">
        <v>620</v>
      </c>
      <c r="R12245" t="s">
        <v>919</v>
      </c>
      <c r="S12245">
        <v>39</v>
      </c>
      <c r="T12245" s="29" t="str">
        <f t="shared" si="515"/>
        <v>2023.024M.Bunyaviricetes.zip</v>
      </c>
      <c r="U12245" s="29" t="str">
        <f>HYPERLINK("https://ictv.global/taxonomy/taxondetails?taxnode_id=202300151","ictv.global=202300151")</f>
        <v>ictv.global=202300151</v>
      </c>
    </row>
    <row r="12246" spans="1:21">
      <c r="A12246">
        <v>12245</v>
      </c>
      <c r="B12246" s="30" t="s">
        <v>1226</v>
      </c>
      <c r="D12246" s="30" t="s">
        <v>2024</v>
      </c>
      <c r="F12246" s="30" t="s">
        <v>1040</v>
      </c>
      <c r="G12246" s="30" t="s">
        <v>1061</v>
      </c>
      <c r="H12246" s="30" t="s">
        <v>17535</v>
      </c>
      <c r="J12246" s="30" t="s">
        <v>17564</v>
      </c>
      <c r="L12246" s="30" t="s">
        <v>816</v>
      </c>
      <c r="N12246" s="30" t="s">
        <v>1076</v>
      </c>
      <c r="P12246" s="30" t="s">
        <v>10658</v>
      </c>
      <c r="Q12246" t="s">
        <v>620</v>
      </c>
      <c r="R12246" t="s">
        <v>919</v>
      </c>
      <c r="S12246">
        <v>39</v>
      </c>
      <c r="T12246" s="29" t="str">
        <f t="shared" si="515"/>
        <v>2023.024M.Bunyaviricetes.zip</v>
      </c>
      <c r="U12246" s="29" t="str">
        <f>HYPERLINK("https://ictv.global/taxonomy/taxondetails?taxnode_id=202309831","ictv.global=202309831")</f>
        <v>ictv.global=202309831</v>
      </c>
    </row>
    <row r="12247" spans="1:21">
      <c r="A12247">
        <v>12246</v>
      </c>
      <c r="B12247" s="30" t="s">
        <v>1226</v>
      </c>
      <c r="D12247" s="30" t="s">
        <v>2024</v>
      </c>
      <c r="F12247" s="30" t="s">
        <v>1040</v>
      </c>
      <c r="G12247" s="30" t="s">
        <v>1061</v>
      </c>
      <c r="H12247" s="30" t="s">
        <v>17535</v>
      </c>
      <c r="J12247" s="30" t="s">
        <v>17564</v>
      </c>
      <c r="L12247" s="30" t="s">
        <v>816</v>
      </c>
      <c r="N12247" s="30" t="s">
        <v>1076</v>
      </c>
      <c r="P12247" s="30" t="s">
        <v>10659</v>
      </c>
      <c r="Q12247" t="s">
        <v>620</v>
      </c>
      <c r="R12247" t="s">
        <v>919</v>
      </c>
      <c r="S12247">
        <v>39</v>
      </c>
      <c r="T12247" s="29" t="str">
        <f t="shared" si="515"/>
        <v>2023.024M.Bunyaviricetes.zip</v>
      </c>
      <c r="U12247" s="29" t="str">
        <f>HYPERLINK("https://ictv.global/taxonomy/taxondetails?taxnode_id=202314259","ictv.global=202314259")</f>
        <v>ictv.global=202314259</v>
      </c>
    </row>
    <row r="12248" spans="1:21">
      <c r="A12248">
        <v>12247</v>
      </c>
      <c r="B12248" s="30" t="s">
        <v>1226</v>
      </c>
      <c r="D12248" s="30" t="s">
        <v>2024</v>
      </c>
      <c r="F12248" s="30" t="s">
        <v>1040</v>
      </c>
      <c r="G12248" s="30" t="s">
        <v>1061</v>
      </c>
      <c r="H12248" s="30" t="s">
        <v>17535</v>
      </c>
      <c r="J12248" s="30" t="s">
        <v>17564</v>
      </c>
      <c r="L12248" s="30" t="s">
        <v>816</v>
      </c>
      <c r="N12248" s="30" t="s">
        <v>1076</v>
      </c>
      <c r="P12248" s="30" t="s">
        <v>10660</v>
      </c>
      <c r="Q12248" t="s">
        <v>620</v>
      </c>
      <c r="R12248" t="s">
        <v>919</v>
      </c>
      <c r="S12248">
        <v>39</v>
      </c>
      <c r="T12248" s="29" t="str">
        <f t="shared" si="515"/>
        <v>2023.024M.Bunyaviricetes.zip</v>
      </c>
      <c r="U12248" s="29" t="str">
        <f>HYPERLINK("https://ictv.global/taxonomy/taxondetails?taxnode_id=202306228","ictv.global=202306228")</f>
        <v>ictv.global=202306228</v>
      </c>
    </row>
    <row r="12249" spans="1:21">
      <c r="A12249">
        <v>12248</v>
      </c>
      <c r="B12249" s="30" t="s">
        <v>1226</v>
      </c>
      <c r="D12249" s="30" t="s">
        <v>2024</v>
      </c>
      <c r="F12249" s="30" t="s">
        <v>1040</v>
      </c>
      <c r="G12249" s="30" t="s">
        <v>1061</v>
      </c>
      <c r="H12249" s="30" t="s">
        <v>17535</v>
      </c>
      <c r="J12249" s="30" t="s">
        <v>17564</v>
      </c>
      <c r="L12249" s="30" t="s">
        <v>816</v>
      </c>
      <c r="N12249" s="30" t="s">
        <v>1077</v>
      </c>
      <c r="P12249" s="30" t="s">
        <v>10661</v>
      </c>
      <c r="Q12249" t="s">
        <v>620</v>
      </c>
      <c r="R12249" t="s">
        <v>919</v>
      </c>
      <c r="S12249">
        <v>39</v>
      </c>
      <c r="T12249" s="29" t="str">
        <f t="shared" si="515"/>
        <v>2023.024M.Bunyaviricetes.zip</v>
      </c>
      <c r="U12249" s="29" t="str">
        <f>HYPERLINK("https://ictv.global/taxonomy/taxondetails?taxnode_id=202306230","ictv.global=202306230")</f>
        <v>ictv.global=202306230</v>
      </c>
    </row>
    <row r="12250" spans="1:21">
      <c r="A12250">
        <v>12249</v>
      </c>
      <c r="B12250" s="30" t="s">
        <v>1226</v>
      </c>
      <c r="D12250" s="30" t="s">
        <v>2024</v>
      </c>
      <c r="F12250" s="30" t="s">
        <v>1040</v>
      </c>
      <c r="G12250" s="30" t="s">
        <v>1061</v>
      </c>
      <c r="H12250" s="30" t="s">
        <v>17535</v>
      </c>
      <c r="J12250" s="30" t="s">
        <v>17564</v>
      </c>
      <c r="L12250" s="30" t="s">
        <v>816</v>
      </c>
      <c r="N12250" s="30" t="s">
        <v>1078</v>
      </c>
      <c r="P12250" s="30" t="s">
        <v>10662</v>
      </c>
      <c r="Q12250" t="s">
        <v>620</v>
      </c>
      <c r="R12250" t="s">
        <v>919</v>
      </c>
      <c r="S12250">
        <v>39</v>
      </c>
      <c r="T12250" s="29" t="str">
        <f t="shared" si="515"/>
        <v>2023.024M.Bunyaviricetes.zip</v>
      </c>
      <c r="U12250" s="29" t="str">
        <f>HYPERLINK("https://ictv.global/taxonomy/taxondetails?taxnode_id=202306232","ictv.global=202306232")</f>
        <v>ictv.global=202306232</v>
      </c>
    </row>
    <row r="12251" spans="1:21">
      <c r="A12251">
        <v>12250</v>
      </c>
      <c r="B12251" s="30" t="s">
        <v>1226</v>
      </c>
      <c r="D12251" s="30" t="s">
        <v>2024</v>
      </c>
      <c r="F12251" s="30" t="s">
        <v>1040</v>
      </c>
      <c r="G12251" s="30" t="s">
        <v>1061</v>
      </c>
      <c r="H12251" s="30" t="s">
        <v>17535</v>
      </c>
      <c r="J12251" s="30" t="s">
        <v>17564</v>
      </c>
      <c r="L12251" s="30" t="s">
        <v>816</v>
      </c>
      <c r="N12251" s="30" t="s">
        <v>2070</v>
      </c>
      <c r="P12251" s="30" t="s">
        <v>10663</v>
      </c>
      <c r="Q12251" t="s">
        <v>620</v>
      </c>
      <c r="R12251" t="s">
        <v>919</v>
      </c>
      <c r="S12251">
        <v>39</v>
      </c>
      <c r="T12251" s="29" t="str">
        <f t="shared" si="515"/>
        <v>2023.024M.Bunyaviricetes.zip</v>
      </c>
      <c r="U12251" s="29" t="str">
        <f>HYPERLINK("https://ictv.global/taxonomy/taxondetails?taxnode_id=202307640","ictv.global=202307640")</f>
        <v>ictv.global=202307640</v>
      </c>
    </row>
    <row r="12252" spans="1:21">
      <c r="A12252">
        <v>12251</v>
      </c>
      <c r="B12252" s="30" t="s">
        <v>1226</v>
      </c>
      <c r="D12252" s="30" t="s">
        <v>2024</v>
      </c>
      <c r="F12252" s="30" t="s">
        <v>1040</v>
      </c>
      <c r="G12252" s="30" t="s">
        <v>1061</v>
      </c>
      <c r="H12252" s="30" t="s">
        <v>17535</v>
      </c>
      <c r="J12252" s="30" t="s">
        <v>17564</v>
      </c>
      <c r="L12252" s="30" t="s">
        <v>816</v>
      </c>
      <c r="N12252" s="30" t="s">
        <v>2070</v>
      </c>
      <c r="P12252" s="30" t="s">
        <v>10664</v>
      </c>
      <c r="Q12252" t="s">
        <v>620</v>
      </c>
      <c r="R12252" t="s">
        <v>919</v>
      </c>
      <c r="S12252">
        <v>39</v>
      </c>
      <c r="T12252" s="29" t="str">
        <f t="shared" si="515"/>
        <v>2023.024M.Bunyaviricetes.zip</v>
      </c>
      <c r="U12252" s="29" t="str">
        <f>HYPERLINK("https://ictv.global/taxonomy/taxondetails?taxnode_id=202307642","ictv.global=202307642")</f>
        <v>ictv.global=202307642</v>
      </c>
    </row>
    <row r="12253" spans="1:21">
      <c r="A12253">
        <v>12252</v>
      </c>
      <c r="B12253" s="30" t="s">
        <v>1226</v>
      </c>
      <c r="D12253" s="30" t="s">
        <v>2024</v>
      </c>
      <c r="F12253" s="30" t="s">
        <v>1040</v>
      </c>
      <c r="G12253" s="30" t="s">
        <v>1061</v>
      </c>
      <c r="H12253" s="30" t="s">
        <v>17535</v>
      </c>
      <c r="J12253" s="30" t="s">
        <v>17564</v>
      </c>
      <c r="L12253" s="30" t="s">
        <v>816</v>
      </c>
      <c r="N12253" s="30" t="s">
        <v>2070</v>
      </c>
      <c r="P12253" s="30" t="s">
        <v>10665</v>
      </c>
      <c r="Q12253" t="s">
        <v>620</v>
      </c>
      <c r="R12253" t="s">
        <v>919</v>
      </c>
      <c r="S12253">
        <v>39</v>
      </c>
      <c r="T12253" s="29" t="str">
        <f t="shared" si="515"/>
        <v>2023.024M.Bunyaviricetes.zip</v>
      </c>
      <c r="U12253" s="29" t="str">
        <f>HYPERLINK("https://ictv.global/taxonomy/taxondetails?taxnode_id=202307641","ictv.global=202307641")</f>
        <v>ictv.global=202307641</v>
      </c>
    </row>
    <row r="12254" spans="1:21">
      <c r="A12254">
        <v>12253</v>
      </c>
      <c r="B12254" s="30" t="s">
        <v>1226</v>
      </c>
      <c r="D12254" s="30" t="s">
        <v>2024</v>
      </c>
      <c r="F12254" s="30" t="s">
        <v>1040</v>
      </c>
      <c r="G12254" s="30" t="s">
        <v>1061</v>
      </c>
      <c r="H12254" s="30" t="s">
        <v>17535</v>
      </c>
      <c r="J12254" s="30" t="s">
        <v>17564</v>
      </c>
      <c r="L12254" s="30" t="s">
        <v>816</v>
      </c>
      <c r="N12254" s="30" t="s">
        <v>1257</v>
      </c>
      <c r="P12254" s="30" t="s">
        <v>10666</v>
      </c>
      <c r="Q12254" t="s">
        <v>620</v>
      </c>
      <c r="R12254" t="s">
        <v>919</v>
      </c>
      <c r="S12254">
        <v>39</v>
      </c>
      <c r="T12254" s="29" t="str">
        <f t="shared" si="515"/>
        <v>2023.024M.Bunyaviricetes.zip</v>
      </c>
      <c r="U12254" s="29" t="str">
        <f>HYPERLINK("https://ictv.global/taxonomy/taxondetails?taxnode_id=202309833","ictv.global=202309833")</f>
        <v>ictv.global=202309833</v>
      </c>
    </row>
    <row r="12255" spans="1:21">
      <c r="A12255">
        <v>12254</v>
      </c>
      <c r="B12255" s="30" t="s">
        <v>1226</v>
      </c>
      <c r="D12255" s="30" t="s">
        <v>2024</v>
      </c>
      <c r="F12255" s="30" t="s">
        <v>1040</v>
      </c>
      <c r="G12255" s="30" t="s">
        <v>1061</v>
      </c>
      <c r="H12255" s="30" t="s">
        <v>17535</v>
      </c>
      <c r="J12255" s="30" t="s">
        <v>17564</v>
      </c>
      <c r="L12255" s="30" t="s">
        <v>816</v>
      </c>
      <c r="N12255" s="30" t="s">
        <v>1257</v>
      </c>
      <c r="P12255" s="30" t="s">
        <v>10667</v>
      </c>
      <c r="Q12255" t="s">
        <v>620</v>
      </c>
      <c r="R12255" t="s">
        <v>919</v>
      </c>
      <c r="S12255">
        <v>39</v>
      </c>
      <c r="T12255" s="29" t="str">
        <f t="shared" si="515"/>
        <v>2023.024M.Bunyaviricetes.zip</v>
      </c>
      <c r="U12255" s="29" t="str">
        <f>HYPERLINK("https://ictv.global/taxonomy/taxondetails?taxnode_id=202309834","ictv.global=202309834")</f>
        <v>ictv.global=202309834</v>
      </c>
    </row>
    <row r="12256" spans="1:21">
      <c r="A12256">
        <v>12255</v>
      </c>
      <c r="B12256" s="30" t="s">
        <v>1226</v>
      </c>
      <c r="D12256" s="30" t="s">
        <v>2024</v>
      </c>
      <c r="F12256" s="30" t="s">
        <v>1040</v>
      </c>
      <c r="G12256" s="30" t="s">
        <v>1061</v>
      </c>
      <c r="H12256" s="30" t="s">
        <v>17535</v>
      </c>
      <c r="J12256" s="30" t="s">
        <v>17564</v>
      </c>
      <c r="L12256" s="30" t="s">
        <v>816</v>
      </c>
      <c r="N12256" s="30" t="s">
        <v>1257</v>
      </c>
      <c r="P12256" s="30" t="s">
        <v>10668</v>
      </c>
      <c r="Q12256" t="s">
        <v>620</v>
      </c>
      <c r="R12256" t="s">
        <v>919</v>
      </c>
      <c r="S12256">
        <v>39</v>
      </c>
      <c r="T12256" s="29" t="str">
        <f t="shared" si="515"/>
        <v>2023.024M.Bunyaviricetes.zip</v>
      </c>
      <c r="U12256" s="29" t="str">
        <f>HYPERLINK("https://ictv.global/taxonomy/taxondetails?taxnode_id=202309835","ictv.global=202309835")</f>
        <v>ictv.global=202309835</v>
      </c>
    </row>
    <row r="12257" spans="1:21">
      <c r="A12257">
        <v>12256</v>
      </c>
      <c r="B12257" s="30" t="s">
        <v>1226</v>
      </c>
      <c r="D12257" s="30" t="s">
        <v>2024</v>
      </c>
      <c r="F12257" s="30" t="s">
        <v>1040</v>
      </c>
      <c r="G12257" s="30" t="s">
        <v>1061</v>
      </c>
      <c r="H12257" s="30" t="s">
        <v>17535</v>
      </c>
      <c r="J12257" s="30" t="s">
        <v>17564</v>
      </c>
      <c r="L12257" s="30" t="s">
        <v>816</v>
      </c>
      <c r="N12257" s="30" t="s">
        <v>1257</v>
      </c>
      <c r="P12257" s="30" t="s">
        <v>10669</v>
      </c>
      <c r="Q12257" t="s">
        <v>620</v>
      </c>
      <c r="R12257" t="s">
        <v>919</v>
      </c>
      <c r="S12257">
        <v>39</v>
      </c>
      <c r="T12257" s="29" t="str">
        <f t="shared" si="515"/>
        <v>2023.024M.Bunyaviricetes.zip</v>
      </c>
      <c r="U12257" s="29" t="str">
        <f>HYPERLINK("https://ictv.global/taxonomy/taxondetails?taxnode_id=202306609","ictv.global=202306609")</f>
        <v>ictv.global=202306609</v>
      </c>
    </row>
    <row r="12258" spans="1:21">
      <c r="A12258">
        <v>12257</v>
      </c>
      <c r="B12258" s="30" t="s">
        <v>1226</v>
      </c>
      <c r="D12258" s="30" t="s">
        <v>2024</v>
      </c>
      <c r="F12258" s="30" t="s">
        <v>1040</v>
      </c>
      <c r="G12258" s="30" t="s">
        <v>1061</v>
      </c>
      <c r="H12258" s="30" t="s">
        <v>17535</v>
      </c>
      <c r="J12258" s="30" t="s">
        <v>17564</v>
      </c>
      <c r="L12258" s="30" t="s">
        <v>816</v>
      </c>
      <c r="N12258" s="30" t="s">
        <v>1257</v>
      </c>
      <c r="P12258" s="30" t="s">
        <v>10670</v>
      </c>
      <c r="Q12258" t="s">
        <v>620</v>
      </c>
      <c r="R12258" t="s">
        <v>919</v>
      </c>
      <c r="S12258">
        <v>39</v>
      </c>
      <c r="T12258" s="29" t="str">
        <f t="shared" si="515"/>
        <v>2023.024M.Bunyaviricetes.zip</v>
      </c>
      <c r="U12258" s="29" t="str">
        <f>HYPERLINK("https://ictv.global/taxonomy/taxondetails?taxnode_id=202314264","ictv.global=202314264")</f>
        <v>ictv.global=202314264</v>
      </c>
    </row>
    <row r="12259" spans="1:21">
      <c r="A12259">
        <v>12258</v>
      </c>
      <c r="B12259" s="30" t="s">
        <v>1226</v>
      </c>
      <c r="D12259" s="30" t="s">
        <v>2024</v>
      </c>
      <c r="F12259" s="30" t="s">
        <v>1040</v>
      </c>
      <c r="G12259" s="30" t="s">
        <v>1061</v>
      </c>
      <c r="H12259" s="30" t="s">
        <v>17535</v>
      </c>
      <c r="J12259" s="30" t="s">
        <v>17564</v>
      </c>
      <c r="L12259" s="30" t="s">
        <v>816</v>
      </c>
      <c r="N12259" s="30" t="s">
        <v>2071</v>
      </c>
      <c r="P12259" s="30" t="s">
        <v>10671</v>
      </c>
      <c r="Q12259" t="s">
        <v>732</v>
      </c>
      <c r="R12259" t="s">
        <v>919</v>
      </c>
      <c r="S12259">
        <v>39</v>
      </c>
      <c r="T12259" s="29" t="str">
        <f t="shared" si="515"/>
        <v>2023.024M.Bunyaviricetes.zip</v>
      </c>
      <c r="U12259" s="29" t="str">
        <f>HYPERLINK("https://ictv.global/taxonomy/taxondetails?taxnode_id=202307646","ictv.global=202307646")</f>
        <v>ictv.global=202307646</v>
      </c>
    </row>
    <row r="12260" spans="1:21">
      <c r="A12260">
        <v>12259</v>
      </c>
      <c r="B12260" s="30" t="s">
        <v>1226</v>
      </c>
      <c r="D12260" s="30" t="s">
        <v>2024</v>
      </c>
      <c r="F12260" s="30" t="s">
        <v>1040</v>
      </c>
      <c r="G12260" s="30" t="s">
        <v>1061</v>
      </c>
      <c r="H12260" s="30" t="s">
        <v>17535</v>
      </c>
      <c r="J12260" s="30" t="s">
        <v>17564</v>
      </c>
      <c r="L12260" s="30" t="s">
        <v>816</v>
      </c>
      <c r="N12260" s="30" t="s">
        <v>11675</v>
      </c>
      <c r="P12260" s="30" t="s">
        <v>11676</v>
      </c>
      <c r="Q12260" t="s">
        <v>732</v>
      </c>
      <c r="R12260" t="s">
        <v>919</v>
      </c>
      <c r="S12260">
        <v>39</v>
      </c>
      <c r="T12260" s="29" t="str">
        <f t="shared" si="515"/>
        <v>2023.024M.Bunyaviricetes.zip</v>
      </c>
      <c r="U12260" s="29" t="str">
        <f>HYPERLINK("https://ictv.global/taxonomy/taxondetails?taxnode_id=202307650","ictv.global=202307650")</f>
        <v>ictv.global=202307650</v>
      </c>
    </row>
    <row r="12261" spans="1:21">
      <c r="A12261">
        <v>12260</v>
      </c>
      <c r="B12261" s="30" t="s">
        <v>1226</v>
      </c>
      <c r="D12261" s="30" t="s">
        <v>2024</v>
      </c>
      <c r="F12261" s="30" t="s">
        <v>1040</v>
      </c>
      <c r="G12261" s="30" t="s">
        <v>1061</v>
      </c>
      <c r="H12261" s="30" t="s">
        <v>17535</v>
      </c>
      <c r="J12261" s="30" t="s">
        <v>17564</v>
      </c>
      <c r="L12261" s="30" t="s">
        <v>816</v>
      </c>
      <c r="N12261" s="30" t="s">
        <v>11675</v>
      </c>
      <c r="P12261" s="30" t="s">
        <v>17591</v>
      </c>
      <c r="Q12261" t="s">
        <v>732</v>
      </c>
      <c r="R12261" t="s">
        <v>917</v>
      </c>
      <c r="S12261">
        <v>39</v>
      </c>
      <c r="T12261" s="29" t="str">
        <f>HYPERLINK("https://ictv.global/ictv/proposals/2023.020M.Phenuiviridae_4nsp.zip","2023.020M.Phenuiviridae_4nsp.zip")</f>
        <v>2023.020M.Phenuiviridae_4nsp.zip</v>
      </c>
      <c r="U12261" s="29" t="str">
        <f>HYPERLINK("https://ictv.global/taxonomy/taxondetails?taxnode_id=202318487","ictv.global=202318487")</f>
        <v>ictv.global=202318487</v>
      </c>
    </row>
    <row r="12262" spans="1:21">
      <c r="A12262">
        <v>12261</v>
      </c>
      <c r="B12262" s="30" t="s">
        <v>1226</v>
      </c>
      <c r="D12262" s="30" t="s">
        <v>2024</v>
      </c>
      <c r="F12262" s="30" t="s">
        <v>1040</v>
      </c>
      <c r="G12262" s="30" t="s">
        <v>1061</v>
      </c>
      <c r="H12262" s="30" t="s">
        <v>17535</v>
      </c>
      <c r="J12262" s="30" t="s">
        <v>17564</v>
      </c>
      <c r="L12262" s="30" t="s">
        <v>816</v>
      </c>
      <c r="N12262" s="30" t="s">
        <v>1079</v>
      </c>
      <c r="P12262" s="30" t="s">
        <v>10672</v>
      </c>
      <c r="Q12262" t="s">
        <v>620</v>
      </c>
      <c r="R12262" t="s">
        <v>919</v>
      </c>
      <c r="S12262">
        <v>39</v>
      </c>
      <c r="T12262" s="29" t="str">
        <f t="shared" ref="T12262:T12306" si="516">HYPERLINK("https://ictv.global/ictv/proposals/2023.024M.Bunyaviricetes.zip","2023.024M.Bunyaviricetes.zip")</f>
        <v>2023.024M.Bunyaviricetes.zip</v>
      </c>
      <c r="U12262" s="29" t="str">
        <f>HYPERLINK("https://ictv.global/taxonomy/taxondetails?taxnode_id=202314263","ictv.global=202314263")</f>
        <v>ictv.global=202314263</v>
      </c>
    </row>
    <row r="12263" spans="1:21">
      <c r="A12263">
        <v>12262</v>
      </c>
      <c r="B12263" s="30" t="s">
        <v>1226</v>
      </c>
      <c r="D12263" s="30" t="s">
        <v>2024</v>
      </c>
      <c r="F12263" s="30" t="s">
        <v>1040</v>
      </c>
      <c r="G12263" s="30" t="s">
        <v>1061</v>
      </c>
      <c r="H12263" s="30" t="s">
        <v>17535</v>
      </c>
      <c r="J12263" s="30" t="s">
        <v>17564</v>
      </c>
      <c r="L12263" s="30" t="s">
        <v>816</v>
      </c>
      <c r="N12263" s="30" t="s">
        <v>1079</v>
      </c>
      <c r="P12263" s="30" t="s">
        <v>10673</v>
      </c>
      <c r="Q12263" t="s">
        <v>620</v>
      </c>
      <c r="R12263" t="s">
        <v>919</v>
      </c>
      <c r="S12263">
        <v>39</v>
      </c>
      <c r="T12263" s="29" t="str">
        <f t="shared" si="516"/>
        <v>2023.024M.Bunyaviricetes.zip</v>
      </c>
      <c r="U12263" s="29" t="str">
        <f>HYPERLINK("https://ictv.global/taxonomy/taxondetails?taxnode_id=202306234","ictv.global=202306234")</f>
        <v>ictv.global=202306234</v>
      </c>
    </row>
    <row r="12264" spans="1:21">
      <c r="A12264">
        <v>12263</v>
      </c>
      <c r="B12264" s="30" t="s">
        <v>1226</v>
      </c>
      <c r="D12264" s="30" t="s">
        <v>2024</v>
      </c>
      <c r="F12264" s="30" t="s">
        <v>1040</v>
      </c>
      <c r="G12264" s="30" t="s">
        <v>1061</v>
      </c>
      <c r="H12264" s="30" t="s">
        <v>17535</v>
      </c>
      <c r="J12264" s="30" t="s">
        <v>17564</v>
      </c>
      <c r="L12264" s="30" t="s">
        <v>816</v>
      </c>
      <c r="N12264" s="30" t="s">
        <v>1079</v>
      </c>
      <c r="P12264" s="30" t="s">
        <v>10674</v>
      </c>
      <c r="Q12264" t="s">
        <v>620</v>
      </c>
      <c r="R12264" t="s">
        <v>919</v>
      </c>
      <c r="S12264">
        <v>39</v>
      </c>
      <c r="T12264" s="29" t="str">
        <f t="shared" si="516"/>
        <v>2023.024M.Bunyaviricetes.zip</v>
      </c>
      <c r="U12264" s="29" t="str">
        <f>HYPERLINK("https://ictv.global/taxonomy/taxondetails?taxnode_id=202309838","ictv.global=202309838")</f>
        <v>ictv.global=202309838</v>
      </c>
    </row>
    <row r="12265" spans="1:21">
      <c r="A12265">
        <v>12264</v>
      </c>
      <c r="B12265" s="30" t="s">
        <v>1226</v>
      </c>
      <c r="D12265" s="30" t="s">
        <v>2024</v>
      </c>
      <c r="F12265" s="30" t="s">
        <v>1040</v>
      </c>
      <c r="G12265" s="30" t="s">
        <v>1061</v>
      </c>
      <c r="H12265" s="30" t="s">
        <v>17535</v>
      </c>
      <c r="J12265" s="30" t="s">
        <v>17564</v>
      </c>
      <c r="L12265" s="30" t="s">
        <v>816</v>
      </c>
      <c r="N12265" s="30" t="s">
        <v>1079</v>
      </c>
      <c r="P12265" s="30" t="s">
        <v>10675</v>
      </c>
      <c r="Q12265" t="s">
        <v>620</v>
      </c>
      <c r="R12265" t="s">
        <v>919</v>
      </c>
      <c r="S12265">
        <v>39</v>
      </c>
      <c r="T12265" s="29" t="str">
        <f t="shared" si="516"/>
        <v>2023.024M.Bunyaviricetes.zip</v>
      </c>
      <c r="U12265" s="29" t="str">
        <f>HYPERLINK("https://ictv.global/taxonomy/taxondetails?taxnode_id=202314262","ictv.global=202314262")</f>
        <v>ictv.global=202314262</v>
      </c>
    </row>
    <row r="12266" spans="1:21">
      <c r="A12266">
        <v>12265</v>
      </c>
      <c r="B12266" s="30" t="s">
        <v>1226</v>
      </c>
      <c r="D12266" s="30" t="s">
        <v>2024</v>
      </c>
      <c r="F12266" s="30" t="s">
        <v>1040</v>
      </c>
      <c r="G12266" s="30" t="s">
        <v>1061</v>
      </c>
      <c r="H12266" s="30" t="s">
        <v>17535</v>
      </c>
      <c r="J12266" s="30" t="s">
        <v>17564</v>
      </c>
      <c r="L12266" s="30" t="s">
        <v>816</v>
      </c>
      <c r="N12266" s="30" t="s">
        <v>843</v>
      </c>
      <c r="P12266" s="30" t="s">
        <v>10676</v>
      </c>
      <c r="Q12266" t="s">
        <v>620</v>
      </c>
      <c r="R12266" t="s">
        <v>919</v>
      </c>
      <c r="S12266">
        <v>39</v>
      </c>
      <c r="T12266" s="29" t="str">
        <f t="shared" si="516"/>
        <v>2023.024M.Bunyaviricetes.zip</v>
      </c>
      <c r="U12266" s="29" t="str">
        <f>HYPERLINK("https://ictv.global/taxonomy/taxondetails?taxnode_id=202300153","ictv.global=202300153")</f>
        <v>ictv.global=202300153</v>
      </c>
    </row>
    <row r="12267" spans="1:21">
      <c r="A12267">
        <v>12266</v>
      </c>
      <c r="B12267" s="30" t="s">
        <v>1226</v>
      </c>
      <c r="D12267" s="30" t="s">
        <v>2024</v>
      </c>
      <c r="F12267" s="30" t="s">
        <v>1040</v>
      </c>
      <c r="G12267" s="30" t="s">
        <v>1061</v>
      </c>
      <c r="H12267" s="30" t="s">
        <v>17535</v>
      </c>
      <c r="J12267" s="30" t="s">
        <v>17564</v>
      </c>
      <c r="L12267" s="30" t="s">
        <v>816</v>
      </c>
      <c r="N12267" s="30" t="s">
        <v>843</v>
      </c>
      <c r="P12267" s="30" t="s">
        <v>10677</v>
      </c>
      <c r="Q12267" t="s">
        <v>620</v>
      </c>
      <c r="R12267" t="s">
        <v>919</v>
      </c>
      <c r="S12267">
        <v>39</v>
      </c>
      <c r="T12267" s="29" t="str">
        <f t="shared" si="516"/>
        <v>2023.024M.Bunyaviricetes.zip</v>
      </c>
      <c r="U12267" s="29" t="str">
        <f>HYPERLINK("https://ictv.global/taxonomy/taxondetails?taxnode_id=202309840","ictv.global=202309840")</f>
        <v>ictv.global=202309840</v>
      </c>
    </row>
    <row r="12268" spans="1:21">
      <c r="A12268">
        <v>12267</v>
      </c>
      <c r="B12268" s="30" t="s">
        <v>1226</v>
      </c>
      <c r="D12268" s="30" t="s">
        <v>2024</v>
      </c>
      <c r="F12268" s="30" t="s">
        <v>1040</v>
      </c>
      <c r="G12268" s="30" t="s">
        <v>1061</v>
      </c>
      <c r="H12268" s="30" t="s">
        <v>17535</v>
      </c>
      <c r="J12268" s="30" t="s">
        <v>17564</v>
      </c>
      <c r="L12268" s="30" t="s">
        <v>816</v>
      </c>
      <c r="N12268" s="30" t="s">
        <v>843</v>
      </c>
      <c r="P12268" s="30" t="s">
        <v>10678</v>
      </c>
      <c r="Q12268" t="s">
        <v>620</v>
      </c>
      <c r="R12268" t="s">
        <v>919</v>
      </c>
      <c r="S12268">
        <v>39</v>
      </c>
      <c r="T12268" s="29" t="str">
        <f t="shared" si="516"/>
        <v>2023.024M.Bunyaviricetes.zip</v>
      </c>
      <c r="U12268" s="29" t="str">
        <f>HYPERLINK("https://ictv.global/taxonomy/taxondetails?taxnode_id=202306238","ictv.global=202306238")</f>
        <v>ictv.global=202306238</v>
      </c>
    </row>
    <row r="12269" spans="1:21">
      <c r="A12269">
        <v>12268</v>
      </c>
      <c r="B12269" s="30" t="s">
        <v>1226</v>
      </c>
      <c r="D12269" s="30" t="s">
        <v>2024</v>
      </c>
      <c r="F12269" s="30" t="s">
        <v>1040</v>
      </c>
      <c r="G12269" s="30" t="s">
        <v>1061</v>
      </c>
      <c r="H12269" s="30" t="s">
        <v>17535</v>
      </c>
      <c r="J12269" s="30" t="s">
        <v>17564</v>
      </c>
      <c r="L12269" s="30" t="s">
        <v>816</v>
      </c>
      <c r="N12269" s="30" t="s">
        <v>843</v>
      </c>
      <c r="P12269" s="30" t="s">
        <v>10679</v>
      </c>
      <c r="Q12269" t="s">
        <v>620</v>
      </c>
      <c r="R12269" t="s">
        <v>919</v>
      </c>
      <c r="S12269">
        <v>39</v>
      </c>
      <c r="T12269" s="29" t="str">
        <f t="shared" si="516"/>
        <v>2023.024M.Bunyaviricetes.zip</v>
      </c>
      <c r="U12269" s="29" t="str">
        <f>HYPERLINK("https://ictv.global/taxonomy/taxondetails?taxnode_id=202309839","ictv.global=202309839")</f>
        <v>ictv.global=202309839</v>
      </c>
    </row>
    <row r="12270" spans="1:21">
      <c r="A12270">
        <v>12269</v>
      </c>
      <c r="B12270" s="30" t="s">
        <v>1226</v>
      </c>
      <c r="D12270" s="30" t="s">
        <v>2024</v>
      </c>
      <c r="F12270" s="30" t="s">
        <v>1040</v>
      </c>
      <c r="G12270" s="30" t="s">
        <v>1061</v>
      </c>
      <c r="H12270" s="30" t="s">
        <v>17535</v>
      </c>
      <c r="J12270" s="30" t="s">
        <v>17564</v>
      </c>
      <c r="L12270" s="30" t="s">
        <v>816</v>
      </c>
      <c r="N12270" s="30" t="s">
        <v>843</v>
      </c>
      <c r="P12270" s="30" t="s">
        <v>10680</v>
      </c>
      <c r="Q12270" t="s">
        <v>620</v>
      </c>
      <c r="R12270" t="s">
        <v>919</v>
      </c>
      <c r="S12270">
        <v>39</v>
      </c>
      <c r="T12270" s="29" t="str">
        <f t="shared" si="516"/>
        <v>2023.024M.Bunyaviricetes.zip</v>
      </c>
      <c r="U12270" s="29" t="str">
        <f>HYPERLINK("https://ictv.global/taxonomy/taxondetails?taxnode_id=202300154","ictv.global=202300154")</f>
        <v>ictv.global=202300154</v>
      </c>
    </row>
    <row r="12271" spans="1:21">
      <c r="A12271">
        <v>12270</v>
      </c>
      <c r="B12271" s="30" t="s">
        <v>1226</v>
      </c>
      <c r="D12271" s="30" t="s">
        <v>2024</v>
      </c>
      <c r="F12271" s="30" t="s">
        <v>1040</v>
      </c>
      <c r="G12271" s="30" t="s">
        <v>1061</v>
      </c>
      <c r="H12271" s="30" t="s">
        <v>17535</v>
      </c>
      <c r="J12271" s="30" t="s">
        <v>17564</v>
      </c>
      <c r="L12271" s="30" t="s">
        <v>816</v>
      </c>
      <c r="N12271" s="30" t="s">
        <v>843</v>
      </c>
      <c r="P12271" s="30" t="s">
        <v>10681</v>
      </c>
      <c r="Q12271" t="s">
        <v>620</v>
      </c>
      <c r="R12271" t="s">
        <v>919</v>
      </c>
      <c r="S12271">
        <v>39</v>
      </c>
      <c r="T12271" s="29" t="str">
        <f t="shared" si="516"/>
        <v>2023.024M.Bunyaviricetes.zip</v>
      </c>
      <c r="U12271" s="29" t="str">
        <f>HYPERLINK("https://ictv.global/taxonomy/taxondetails?taxnode_id=202306239","ictv.global=202306239")</f>
        <v>ictv.global=202306239</v>
      </c>
    </row>
    <row r="12272" spans="1:21">
      <c r="A12272">
        <v>12271</v>
      </c>
      <c r="B12272" s="30" t="s">
        <v>1226</v>
      </c>
      <c r="D12272" s="30" t="s">
        <v>2024</v>
      </c>
      <c r="F12272" s="30" t="s">
        <v>1040</v>
      </c>
      <c r="G12272" s="30" t="s">
        <v>1061</v>
      </c>
      <c r="H12272" s="30" t="s">
        <v>17535</v>
      </c>
      <c r="J12272" s="30" t="s">
        <v>17564</v>
      </c>
      <c r="L12272" s="30" t="s">
        <v>816</v>
      </c>
      <c r="N12272" s="30" t="s">
        <v>843</v>
      </c>
      <c r="P12272" s="30" t="s">
        <v>10682</v>
      </c>
      <c r="Q12272" t="s">
        <v>620</v>
      </c>
      <c r="R12272" t="s">
        <v>919</v>
      </c>
      <c r="S12272">
        <v>39</v>
      </c>
      <c r="T12272" s="29" t="str">
        <f t="shared" si="516"/>
        <v>2023.024M.Bunyaviricetes.zip</v>
      </c>
      <c r="U12272" s="29" t="str">
        <f>HYPERLINK("https://ictv.global/taxonomy/taxondetails?taxnode_id=202300156","ictv.global=202300156")</f>
        <v>ictv.global=202300156</v>
      </c>
    </row>
    <row r="12273" spans="1:21">
      <c r="A12273">
        <v>12272</v>
      </c>
      <c r="B12273" s="30" t="s">
        <v>1226</v>
      </c>
      <c r="D12273" s="30" t="s">
        <v>2024</v>
      </c>
      <c r="F12273" s="30" t="s">
        <v>1040</v>
      </c>
      <c r="G12273" s="30" t="s">
        <v>1061</v>
      </c>
      <c r="H12273" s="30" t="s">
        <v>17535</v>
      </c>
      <c r="J12273" s="30" t="s">
        <v>17564</v>
      </c>
      <c r="L12273" s="30" t="s">
        <v>816</v>
      </c>
      <c r="N12273" s="30" t="s">
        <v>197</v>
      </c>
      <c r="P12273" s="30" t="s">
        <v>10683</v>
      </c>
      <c r="Q12273" t="s">
        <v>732</v>
      </c>
      <c r="R12273" t="s">
        <v>919</v>
      </c>
      <c r="S12273">
        <v>39</v>
      </c>
      <c r="T12273" s="29" t="str">
        <f t="shared" si="516"/>
        <v>2023.024M.Bunyaviricetes.zip</v>
      </c>
      <c r="U12273" s="29" t="str">
        <f>HYPERLINK("https://ictv.global/taxonomy/taxondetails?taxnode_id=202307619","ictv.global=202307619")</f>
        <v>ictv.global=202307619</v>
      </c>
    </row>
    <row r="12274" spans="1:21">
      <c r="A12274">
        <v>12273</v>
      </c>
      <c r="B12274" s="30" t="s">
        <v>1226</v>
      </c>
      <c r="D12274" s="30" t="s">
        <v>2024</v>
      </c>
      <c r="F12274" s="30" t="s">
        <v>1040</v>
      </c>
      <c r="G12274" s="30" t="s">
        <v>1061</v>
      </c>
      <c r="H12274" s="30" t="s">
        <v>17535</v>
      </c>
      <c r="J12274" s="30" t="s">
        <v>17564</v>
      </c>
      <c r="L12274" s="30" t="s">
        <v>816</v>
      </c>
      <c r="N12274" s="30" t="s">
        <v>197</v>
      </c>
      <c r="P12274" s="30" t="s">
        <v>10684</v>
      </c>
      <c r="Q12274" t="s">
        <v>732</v>
      </c>
      <c r="R12274" t="s">
        <v>919</v>
      </c>
      <c r="S12274">
        <v>39</v>
      </c>
      <c r="T12274" s="29" t="str">
        <f t="shared" si="516"/>
        <v>2023.024M.Bunyaviricetes.zip</v>
      </c>
      <c r="U12274" s="29" t="str">
        <f>HYPERLINK("https://ictv.global/taxonomy/taxondetails?taxnode_id=202307584","ictv.global=202307584")</f>
        <v>ictv.global=202307584</v>
      </c>
    </row>
    <row r="12275" spans="1:21">
      <c r="A12275">
        <v>12274</v>
      </c>
      <c r="B12275" s="30" t="s">
        <v>1226</v>
      </c>
      <c r="D12275" s="30" t="s">
        <v>2024</v>
      </c>
      <c r="F12275" s="30" t="s">
        <v>1040</v>
      </c>
      <c r="G12275" s="30" t="s">
        <v>1061</v>
      </c>
      <c r="H12275" s="30" t="s">
        <v>17535</v>
      </c>
      <c r="J12275" s="30" t="s">
        <v>17564</v>
      </c>
      <c r="L12275" s="30" t="s">
        <v>816</v>
      </c>
      <c r="N12275" s="30" t="s">
        <v>197</v>
      </c>
      <c r="P12275" s="30" t="s">
        <v>10685</v>
      </c>
      <c r="Q12275" t="s">
        <v>732</v>
      </c>
      <c r="R12275" t="s">
        <v>919</v>
      </c>
      <c r="S12275">
        <v>39</v>
      </c>
      <c r="T12275" s="29" t="str">
        <f t="shared" si="516"/>
        <v>2023.024M.Bunyaviricetes.zip</v>
      </c>
      <c r="U12275" s="29" t="str">
        <f>HYPERLINK("https://ictv.global/taxonomy/taxondetails?taxnode_id=202307620","ictv.global=202307620")</f>
        <v>ictv.global=202307620</v>
      </c>
    </row>
    <row r="12276" spans="1:21">
      <c r="A12276">
        <v>12275</v>
      </c>
      <c r="B12276" s="30" t="s">
        <v>1226</v>
      </c>
      <c r="D12276" s="30" t="s">
        <v>2024</v>
      </c>
      <c r="F12276" s="30" t="s">
        <v>1040</v>
      </c>
      <c r="G12276" s="30" t="s">
        <v>1061</v>
      </c>
      <c r="H12276" s="30" t="s">
        <v>17535</v>
      </c>
      <c r="J12276" s="30" t="s">
        <v>17564</v>
      </c>
      <c r="L12276" s="30" t="s">
        <v>816</v>
      </c>
      <c r="N12276" s="30" t="s">
        <v>197</v>
      </c>
      <c r="P12276" s="30" t="s">
        <v>10686</v>
      </c>
      <c r="Q12276" t="s">
        <v>732</v>
      </c>
      <c r="R12276" t="s">
        <v>919</v>
      </c>
      <c r="S12276">
        <v>39</v>
      </c>
      <c r="T12276" s="29" t="str">
        <f t="shared" si="516"/>
        <v>2023.024M.Bunyaviricetes.zip</v>
      </c>
      <c r="U12276" s="29" t="str">
        <f>HYPERLINK("https://ictv.global/taxonomy/taxondetails?taxnode_id=202307609","ictv.global=202307609")</f>
        <v>ictv.global=202307609</v>
      </c>
    </row>
    <row r="12277" spans="1:21">
      <c r="A12277">
        <v>12276</v>
      </c>
      <c r="B12277" s="30" t="s">
        <v>1226</v>
      </c>
      <c r="D12277" s="30" t="s">
        <v>2024</v>
      </c>
      <c r="F12277" s="30" t="s">
        <v>1040</v>
      </c>
      <c r="G12277" s="30" t="s">
        <v>1061</v>
      </c>
      <c r="H12277" s="30" t="s">
        <v>17535</v>
      </c>
      <c r="J12277" s="30" t="s">
        <v>17564</v>
      </c>
      <c r="L12277" s="30" t="s">
        <v>816</v>
      </c>
      <c r="N12277" s="30" t="s">
        <v>197</v>
      </c>
      <c r="P12277" s="30" t="s">
        <v>10687</v>
      </c>
      <c r="Q12277" t="s">
        <v>732</v>
      </c>
      <c r="R12277" t="s">
        <v>919</v>
      </c>
      <c r="S12277">
        <v>39</v>
      </c>
      <c r="T12277" s="29" t="str">
        <f t="shared" si="516"/>
        <v>2023.024M.Bunyaviricetes.zip</v>
      </c>
      <c r="U12277" s="29" t="str">
        <f>HYPERLINK("https://ictv.global/taxonomy/taxondetails?taxnode_id=202307590","ictv.global=202307590")</f>
        <v>ictv.global=202307590</v>
      </c>
    </row>
    <row r="12278" spans="1:21">
      <c r="A12278">
        <v>12277</v>
      </c>
      <c r="B12278" s="30" t="s">
        <v>1226</v>
      </c>
      <c r="D12278" s="30" t="s">
        <v>2024</v>
      </c>
      <c r="F12278" s="30" t="s">
        <v>1040</v>
      </c>
      <c r="G12278" s="30" t="s">
        <v>1061</v>
      </c>
      <c r="H12278" s="30" t="s">
        <v>17535</v>
      </c>
      <c r="J12278" s="30" t="s">
        <v>17564</v>
      </c>
      <c r="L12278" s="30" t="s">
        <v>816</v>
      </c>
      <c r="N12278" s="30" t="s">
        <v>197</v>
      </c>
      <c r="P12278" s="30" t="s">
        <v>10688</v>
      </c>
      <c r="Q12278" t="s">
        <v>732</v>
      </c>
      <c r="R12278" t="s">
        <v>919</v>
      </c>
      <c r="S12278">
        <v>39</v>
      </c>
      <c r="T12278" s="29" t="str">
        <f t="shared" si="516"/>
        <v>2023.024M.Bunyaviricetes.zip</v>
      </c>
      <c r="U12278" s="29" t="str">
        <f>HYPERLINK("https://ictv.global/taxonomy/taxondetails?taxnode_id=202307587","ictv.global=202307587")</f>
        <v>ictv.global=202307587</v>
      </c>
    </row>
    <row r="12279" spans="1:21">
      <c r="A12279">
        <v>12278</v>
      </c>
      <c r="B12279" s="30" t="s">
        <v>1226</v>
      </c>
      <c r="D12279" s="30" t="s">
        <v>2024</v>
      </c>
      <c r="F12279" s="30" t="s">
        <v>1040</v>
      </c>
      <c r="G12279" s="30" t="s">
        <v>1061</v>
      </c>
      <c r="H12279" s="30" t="s">
        <v>17535</v>
      </c>
      <c r="J12279" s="30" t="s">
        <v>17564</v>
      </c>
      <c r="L12279" s="30" t="s">
        <v>816</v>
      </c>
      <c r="N12279" s="30" t="s">
        <v>197</v>
      </c>
      <c r="P12279" s="30" t="s">
        <v>10689</v>
      </c>
      <c r="Q12279" t="s">
        <v>732</v>
      </c>
      <c r="R12279" t="s">
        <v>919</v>
      </c>
      <c r="S12279">
        <v>39</v>
      </c>
      <c r="T12279" s="29" t="str">
        <f t="shared" si="516"/>
        <v>2023.024M.Bunyaviricetes.zip</v>
      </c>
      <c r="U12279" s="29" t="str">
        <f>HYPERLINK("https://ictv.global/taxonomy/taxondetails?taxnode_id=202307599","ictv.global=202307599")</f>
        <v>ictv.global=202307599</v>
      </c>
    </row>
    <row r="12280" spans="1:21">
      <c r="A12280">
        <v>12279</v>
      </c>
      <c r="B12280" s="30" t="s">
        <v>1226</v>
      </c>
      <c r="D12280" s="30" t="s">
        <v>2024</v>
      </c>
      <c r="F12280" s="30" t="s">
        <v>1040</v>
      </c>
      <c r="G12280" s="30" t="s">
        <v>1061</v>
      </c>
      <c r="H12280" s="30" t="s">
        <v>17535</v>
      </c>
      <c r="J12280" s="30" t="s">
        <v>17564</v>
      </c>
      <c r="L12280" s="30" t="s">
        <v>816</v>
      </c>
      <c r="N12280" s="30" t="s">
        <v>197</v>
      </c>
      <c r="P12280" s="30" t="s">
        <v>10690</v>
      </c>
      <c r="Q12280" t="s">
        <v>732</v>
      </c>
      <c r="R12280" t="s">
        <v>919</v>
      </c>
      <c r="S12280">
        <v>39</v>
      </c>
      <c r="T12280" s="29" t="str">
        <f t="shared" si="516"/>
        <v>2023.024M.Bunyaviricetes.zip</v>
      </c>
      <c r="U12280" s="29" t="str">
        <f>HYPERLINK("https://ictv.global/taxonomy/taxondetails?taxnode_id=202307622","ictv.global=202307622")</f>
        <v>ictv.global=202307622</v>
      </c>
    </row>
    <row r="12281" spans="1:21">
      <c r="A12281">
        <v>12280</v>
      </c>
      <c r="B12281" s="30" t="s">
        <v>1226</v>
      </c>
      <c r="D12281" s="30" t="s">
        <v>2024</v>
      </c>
      <c r="F12281" s="30" t="s">
        <v>1040</v>
      </c>
      <c r="G12281" s="30" t="s">
        <v>1061</v>
      </c>
      <c r="H12281" s="30" t="s">
        <v>17535</v>
      </c>
      <c r="J12281" s="30" t="s">
        <v>17564</v>
      </c>
      <c r="L12281" s="30" t="s">
        <v>816</v>
      </c>
      <c r="N12281" s="30" t="s">
        <v>197</v>
      </c>
      <c r="P12281" s="30" t="s">
        <v>10691</v>
      </c>
      <c r="Q12281" t="s">
        <v>620</v>
      </c>
      <c r="R12281" t="s">
        <v>919</v>
      </c>
      <c r="S12281">
        <v>39</v>
      </c>
      <c r="T12281" s="29" t="str">
        <f t="shared" si="516"/>
        <v>2023.024M.Bunyaviricetes.zip</v>
      </c>
      <c r="U12281" s="29" t="str">
        <f>HYPERLINK("https://ictv.global/taxonomy/taxondetails?taxnode_id=202309623","ictv.global=202309623")</f>
        <v>ictv.global=202309623</v>
      </c>
    </row>
    <row r="12282" spans="1:21">
      <c r="A12282">
        <v>12281</v>
      </c>
      <c r="B12282" s="30" t="s">
        <v>1226</v>
      </c>
      <c r="D12282" s="30" t="s">
        <v>2024</v>
      </c>
      <c r="F12282" s="30" t="s">
        <v>1040</v>
      </c>
      <c r="G12282" s="30" t="s">
        <v>1061</v>
      </c>
      <c r="H12282" s="30" t="s">
        <v>17535</v>
      </c>
      <c r="J12282" s="30" t="s">
        <v>17564</v>
      </c>
      <c r="L12282" s="30" t="s">
        <v>816</v>
      </c>
      <c r="N12282" s="30" t="s">
        <v>197</v>
      </c>
      <c r="P12282" s="30" t="s">
        <v>10692</v>
      </c>
      <c r="Q12282" t="s">
        <v>732</v>
      </c>
      <c r="R12282" t="s">
        <v>919</v>
      </c>
      <c r="S12282">
        <v>39</v>
      </c>
      <c r="T12282" s="29" t="str">
        <f t="shared" si="516"/>
        <v>2023.024M.Bunyaviricetes.zip</v>
      </c>
      <c r="U12282" s="29" t="str">
        <f>HYPERLINK("https://ictv.global/taxonomy/taxondetails?taxnode_id=202307592","ictv.global=202307592")</f>
        <v>ictv.global=202307592</v>
      </c>
    </row>
    <row r="12283" spans="1:21">
      <c r="A12283">
        <v>12282</v>
      </c>
      <c r="B12283" s="30" t="s">
        <v>1226</v>
      </c>
      <c r="D12283" s="30" t="s">
        <v>2024</v>
      </c>
      <c r="F12283" s="30" t="s">
        <v>1040</v>
      </c>
      <c r="G12283" s="30" t="s">
        <v>1061</v>
      </c>
      <c r="H12283" s="30" t="s">
        <v>17535</v>
      </c>
      <c r="J12283" s="30" t="s">
        <v>17564</v>
      </c>
      <c r="L12283" s="30" t="s">
        <v>816</v>
      </c>
      <c r="N12283" s="30" t="s">
        <v>197</v>
      </c>
      <c r="P12283" s="30" t="s">
        <v>10693</v>
      </c>
      <c r="Q12283" t="s">
        <v>732</v>
      </c>
      <c r="R12283" t="s">
        <v>919</v>
      </c>
      <c r="S12283">
        <v>39</v>
      </c>
      <c r="T12283" s="29" t="str">
        <f t="shared" si="516"/>
        <v>2023.024M.Bunyaviricetes.zip</v>
      </c>
      <c r="U12283" s="29" t="str">
        <f>HYPERLINK("https://ictv.global/taxonomy/taxondetails?taxnode_id=202300158","ictv.global=202300158")</f>
        <v>ictv.global=202300158</v>
      </c>
    </row>
    <row r="12284" spans="1:21">
      <c r="A12284">
        <v>12283</v>
      </c>
      <c r="B12284" s="30" t="s">
        <v>1226</v>
      </c>
      <c r="D12284" s="30" t="s">
        <v>2024</v>
      </c>
      <c r="F12284" s="30" t="s">
        <v>1040</v>
      </c>
      <c r="G12284" s="30" t="s">
        <v>1061</v>
      </c>
      <c r="H12284" s="30" t="s">
        <v>17535</v>
      </c>
      <c r="J12284" s="30" t="s">
        <v>17564</v>
      </c>
      <c r="L12284" s="30" t="s">
        <v>816</v>
      </c>
      <c r="N12284" s="30" t="s">
        <v>197</v>
      </c>
      <c r="P12284" s="30" t="s">
        <v>10694</v>
      </c>
      <c r="Q12284" t="s">
        <v>732</v>
      </c>
      <c r="R12284" t="s">
        <v>919</v>
      </c>
      <c r="S12284">
        <v>39</v>
      </c>
      <c r="T12284" s="29" t="str">
        <f t="shared" si="516"/>
        <v>2023.024M.Bunyaviricetes.zip</v>
      </c>
      <c r="U12284" s="29" t="str">
        <f>HYPERLINK("https://ictv.global/taxonomy/taxondetails?taxnode_id=202307634","ictv.global=202307634")</f>
        <v>ictv.global=202307634</v>
      </c>
    </row>
    <row r="12285" spans="1:21">
      <c r="A12285">
        <v>12284</v>
      </c>
      <c r="B12285" s="30" t="s">
        <v>1226</v>
      </c>
      <c r="D12285" s="30" t="s">
        <v>2024</v>
      </c>
      <c r="F12285" s="30" t="s">
        <v>1040</v>
      </c>
      <c r="G12285" s="30" t="s">
        <v>1061</v>
      </c>
      <c r="H12285" s="30" t="s">
        <v>17535</v>
      </c>
      <c r="J12285" s="30" t="s">
        <v>17564</v>
      </c>
      <c r="L12285" s="30" t="s">
        <v>816</v>
      </c>
      <c r="N12285" s="30" t="s">
        <v>197</v>
      </c>
      <c r="P12285" s="30" t="s">
        <v>10695</v>
      </c>
      <c r="Q12285" t="s">
        <v>732</v>
      </c>
      <c r="R12285" t="s">
        <v>919</v>
      </c>
      <c r="S12285">
        <v>39</v>
      </c>
      <c r="T12285" s="29" t="str">
        <f t="shared" si="516"/>
        <v>2023.024M.Bunyaviricetes.zip</v>
      </c>
      <c r="U12285" s="29" t="str">
        <f>HYPERLINK("https://ictv.global/taxonomy/taxondetails?taxnode_id=202307629","ictv.global=202307629")</f>
        <v>ictv.global=202307629</v>
      </c>
    </row>
    <row r="12286" spans="1:21">
      <c r="A12286">
        <v>12285</v>
      </c>
      <c r="B12286" s="30" t="s">
        <v>1226</v>
      </c>
      <c r="D12286" s="30" t="s">
        <v>2024</v>
      </c>
      <c r="F12286" s="30" t="s">
        <v>1040</v>
      </c>
      <c r="G12286" s="30" t="s">
        <v>1061</v>
      </c>
      <c r="H12286" s="30" t="s">
        <v>17535</v>
      </c>
      <c r="J12286" s="30" t="s">
        <v>17564</v>
      </c>
      <c r="L12286" s="30" t="s">
        <v>816</v>
      </c>
      <c r="N12286" s="30" t="s">
        <v>197</v>
      </c>
      <c r="P12286" s="30" t="s">
        <v>10696</v>
      </c>
      <c r="Q12286" t="s">
        <v>732</v>
      </c>
      <c r="R12286" t="s">
        <v>919</v>
      </c>
      <c r="S12286">
        <v>39</v>
      </c>
      <c r="T12286" s="29" t="str">
        <f t="shared" si="516"/>
        <v>2023.024M.Bunyaviricetes.zip</v>
      </c>
      <c r="U12286" s="29" t="str">
        <f>HYPERLINK("https://ictv.global/taxonomy/taxondetails?taxnode_id=202300159","ictv.global=202300159")</f>
        <v>ictv.global=202300159</v>
      </c>
    </row>
    <row r="12287" spans="1:21">
      <c r="A12287">
        <v>12286</v>
      </c>
      <c r="B12287" s="30" t="s">
        <v>1226</v>
      </c>
      <c r="D12287" s="30" t="s">
        <v>2024</v>
      </c>
      <c r="F12287" s="30" t="s">
        <v>1040</v>
      </c>
      <c r="G12287" s="30" t="s">
        <v>1061</v>
      </c>
      <c r="H12287" s="30" t="s">
        <v>17535</v>
      </c>
      <c r="J12287" s="30" t="s">
        <v>17564</v>
      </c>
      <c r="L12287" s="30" t="s">
        <v>816</v>
      </c>
      <c r="N12287" s="30" t="s">
        <v>197</v>
      </c>
      <c r="P12287" s="30" t="s">
        <v>10697</v>
      </c>
      <c r="Q12287" t="s">
        <v>732</v>
      </c>
      <c r="R12287" t="s">
        <v>919</v>
      </c>
      <c r="S12287">
        <v>39</v>
      </c>
      <c r="T12287" s="29" t="str">
        <f t="shared" si="516"/>
        <v>2023.024M.Bunyaviricetes.zip</v>
      </c>
      <c r="U12287" s="29" t="str">
        <f>HYPERLINK("https://ictv.global/taxonomy/taxondetails?taxnode_id=202307600","ictv.global=202307600")</f>
        <v>ictv.global=202307600</v>
      </c>
    </row>
    <row r="12288" spans="1:21">
      <c r="A12288">
        <v>12287</v>
      </c>
      <c r="B12288" s="30" t="s">
        <v>1226</v>
      </c>
      <c r="D12288" s="30" t="s">
        <v>2024</v>
      </c>
      <c r="F12288" s="30" t="s">
        <v>1040</v>
      </c>
      <c r="G12288" s="30" t="s">
        <v>1061</v>
      </c>
      <c r="H12288" s="30" t="s">
        <v>17535</v>
      </c>
      <c r="J12288" s="30" t="s">
        <v>17564</v>
      </c>
      <c r="L12288" s="30" t="s">
        <v>816</v>
      </c>
      <c r="N12288" s="30" t="s">
        <v>197</v>
      </c>
      <c r="P12288" s="30" t="s">
        <v>10698</v>
      </c>
      <c r="Q12288" t="s">
        <v>732</v>
      </c>
      <c r="R12288" t="s">
        <v>919</v>
      </c>
      <c r="S12288">
        <v>39</v>
      </c>
      <c r="T12288" s="29" t="str">
        <f t="shared" si="516"/>
        <v>2023.024M.Bunyaviricetes.zip</v>
      </c>
      <c r="U12288" s="29" t="str">
        <f>HYPERLINK("https://ictv.global/taxonomy/taxondetails?taxnode_id=202307602","ictv.global=202307602")</f>
        <v>ictv.global=202307602</v>
      </c>
    </row>
    <row r="12289" spans="1:21">
      <c r="A12289">
        <v>12288</v>
      </c>
      <c r="B12289" s="30" t="s">
        <v>1226</v>
      </c>
      <c r="D12289" s="30" t="s">
        <v>2024</v>
      </c>
      <c r="F12289" s="30" t="s">
        <v>1040</v>
      </c>
      <c r="G12289" s="30" t="s">
        <v>1061</v>
      </c>
      <c r="H12289" s="30" t="s">
        <v>17535</v>
      </c>
      <c r="J12289" s="30" t="s">
        <v>17564</v>
      </c>
      <c r="L12289" s="30" t="s">
        <v>816</v>
      </c>
      <c r="N12289" s="30" t="s">
        <v>197</v>
      </c>
      <c r="P12289" s="30" t="s">
        <v>10699</v>
      </c>
      <c r="Q12289" t="s">
        <v>732</v>
      </c>
      <c r="R12289" t="s">
        <v>919</v>
      </c>
      <c r="S12289">
        <v>39</v>
      </c>
      <c r="T12289" s="29" t="str">
        <f t="shared" si="516"/>
        <v>2023.024M.Bunyaviricetes.zip</v>
      </c>
      <c r="U12289" s="29" t="str">
        <f>HYPERLINK("https://ictv.global/taxonomy/taxondetails?taxnode_id=202307630","ictv.global=202307630")</f>
        <v>ictv.global=202307630</v>
      </c>
    </row>
    <row r="12290" spans="1:21">
      <c r="A12290">
        <v>12289</v>
      </c>
      <c r="B12290" s="30" t="s">
        <v>1226</v>
      </c>
      <c r="D12290" s="30" t="s">
        <v>2024</v>
      </c>
      <c r="F12290" s="30" t="s">
        <v>1040</v>
      </c>
      <c r="G12290" s="30" t="s">
        <v>1061</v>
      </c>
      <c r="H12290" s="30" t="s">
        <v>17535</v>
      </c>
      <c r="J12290" s="30" t="s">
        <v>17564</v>
      </c>
      <c r="L12290" s="30" t="s">
        <v>816</v>
      </c>
      <c r="N12290" s="30" t="s">
        <v>197</v>
      </c>
      <c r="P12290" s="30" t="s">
        <v>10700</v>
      </c>
      <c r="Q12290" t="s">
        <v>620</v>
      </c>
      <c r="R12290" t="s">
        <v>919</v>
      </c>
      <c r="S12290">
        <v>39</v>
      </c>
      <c r="T12290" s="29" t="str">
        <f t="shared" si="516"/>
        <v>2023.024M.Bunyaviricetes.zip</v>
      </c>
      <c r="U12290" s="29" t="str">
        <f>HYPERLINK("https://ictv.global/taxonomy/taxondetails?taxnode_id=202309826","ictv.global=202309826")</f>
        <v>ictv.global=202309826</v>
      </c>
    </row>
    <row r="12291" spans="1:21">
      <c r="A12291">
        <v>12290</v>
      </c>
      <c r="B12291" s="30" t="s">
        <v>1226</v>
      </c>
      <c r="D12291" s="30" t="s">
        <v>2024</v>
      </c>
      <c r="F12291" s="30" t="s">
        <v>1040</v>
      </c>
      <c r="G12291" s="30" t="s">
        <v>1061</v>
      </c>
      <c r="H12291" s="30" t="s">
        <v>17535</v>
      </c>
      <c r="J12291" s="30" t="s">
        <v>17564</v>
      </c>
      <c r="L12291" s="30" t="s">
        <v>816</v>
      </c>
      <c r="N12291" s="30" t="s">
        <v>197</v>
      </c>
      <c r="P12291" s="30" t="s">
        <v>10701</v>
      </c>
      <c r="Q12291" t="s">
        <v>732</v>
      </c>
      <c r="R12291" t="s">
        <v>919</v>
      </c>
      <c r="S12291">
        <v>39</v>
      </c>
      <c r="T12291" s="29" t="str">
        <f t="shared" si="516"/>
        <v>2023.024M.Bunyaviricetes.zip</v>
      </c>
      <c r="U12291" s="29" t="str">
        <f>HYPERLINK("https://ictv.global/taxonomy/taxondetails?taxnode_id=202307611","ictv.global=202307611")</f>
        <v>ictv.global=202307611</v>
      </c>
    </row>
    <row r="12292" spans="1:21">
      <c r="A12292">
        <v>12291</v>
      </c>
      <c r="B12292" s="30" t="s">
        <v>1226</v>
      </c>
      <c r="D12292" s="30" t="s">
        <v>2024</v>
      </c>
      <c r="F12292" s="30" t="s">
        <v>1040</v>
      </c>
      <c r="G12292" s="30" t="s">
        <v>1061</v>
      </c>
      <c r="H12292" s="30" t="s">
        <v>17535</v>
      </c>
      <c r="J12292" s="30" t="s">
        <v>17564</v>
      </c>
      <c r="L12292" s="30" t="s">
        <v>816</v>
      </c>
      <c r="N12292" s="30" t="s">
        <v>197</v>
      </c>
      <c r="P12292" s="30" t="s">
        <v>10702</v>
      </c>
      <c r="Q12292" t="s">
        <v>732</v>
      </c>
      <c r="R12292" t="s">
        <v>919</v>
      </c>
      <c r="S12292">
        <v>39</v>
      </c>
      <c r="T12292" s="29" t="str">
        <f t="shared" si="516"/>
        <v>2023.024M.Bunyaviricetes.zip</v>
      </c>
      <c r="U12292" s="29" t="str">
        <f>HYPERLINK("https://ictv.global/taxonomy/taxondetails?taxnode_id=202307586","ictv.global=202307586")</f>
        <v>ictv.global=202307586</v>
      </c>
    </row>
    <row r="12293" spans="1:21">
      <c r="A12293">
        <v>12292</v>
      </c>
      <c r="B12293" s="30" t="s">
        <v>1226</v>
      </c>
      <c r="D12293" s="30" t="s">
        <v>2024</v>
      </c>
      <c r="F12293" s="30" t="s">
        <v>1040</v>
      </c>
      <c r="G12293" s="30" t="s">
        <v>1061</v>
      </c>
      <c r="H12293" s="30" t="s">
        <v>17535</v>
      </c>
      <c r="J12293" s="30" t="s">
        <v>17564</v>
      </c>
      <c r="L12293" s="30" t="s">
        <v>816</v>
      </c>
      <c r="N12293" s="30" t="s">
        <v>197</v>
      </c>
      <c r="P12293" s="30" t="s">
        <v>10703</v>
      </c>
      <c r="Q12293" t="s">
        <v>732</v>
      </c>
      <c r="R12293" t="s">
        <v>919</v>
      </c>
      <c r="S12293">
        <v>39</v>
      </c>
      <c r="T12293" s="29" t="str">
        <f t="shared" si="516"/>
        <v>2023.024M.Bunyaviricetes.zip</v>
      </c>
      <c r="U12293" s="29" t="str">
        <f>HYPERLINK("https://ictv.global/taxonomy/taxondetails?taxnode_id=202307591","ictv.global=202307591")</f>
        <v>ictv.global=202307591</v>
      </c>
    </row>
    <row r="12294" spans="1:21">
      <c r="A12294">
        <v>12293</v>
      </c>
      <c r="B12294" s="30" t="s">
        <v>1226</v>
      </c>
      <c r="D12294" s="30" t="s">
        <v>2024</v>
      </c>
      <c r="F12294" s="30" t="s">
        <v>1040</v>
      </c>
      <c r="G12294" s="30" t="s">
        <v>1061</v>
      </c>
      <c r="H12294" s="30" t="s">
        <v>17535</v>
      </c>
      <c r="J12294" s="30" t="s">
        <v>17564</v>
      </c>
      <c r="L12294" s="30" t="s">
        <v>816</v>
      </c>
      <c r="N12294" s="30" t="s">
        <v>197</v>
      </c>
      <c r="P12294" s="30" t="s">
        <v>10704</v>
      </c>
      <c r="Q12294" t="s">
        <v>620</v>
      </c>
      <c r="R12294" t="s">
        <v>919</v>
      </c>
      <c r="S12294">
        <v>39</v>
      </c>
      <c r="T12294" s="29" t="str">
        <f t="shared" si="516"/>
        <v>2023.024M.Bunyaviricetes.zip</v>
      </c>
      <c r="U12294" s="29" t="str">
        <f>HYPERLINK("https://ictv.global/taxonomy/taxondetails?taxnode_id=202309622","ictv.global=202309622")</f>
        <v>ictv.global=202309622</v>
      </c>
    </row>
    <row r="12295" spans="1:21">
      <c r="A12295">
        <v>12294</v>
      </c>
      <c r="B12295" s="30" t="s">
        <v>1226</v>
      </c>
      <c r="D12295" s="30" t="s">
        <v>2024</v>
      </c>
      <c r="F12295" s="30" t="s">
        <v>1040</v>
      </c>
      <c r="G12295" s="30" t="s">
        <v>1061</v>
      </c>
      <c r="H12295" s="30" t="s">
        <v>17535</v>
      </c>
      <c r="J12295" s="30" t="s">
        <v>17564</v>
      </c>
      <c r="L12295" s="30" t="s">
        <v>816</v>
      </c>
      <c r="N12295" s="30" t="s">
        <v>197</v>
      </c>
      <c r="P12295" s="30" t="s">
        <v>10705</v>
      </c>
      <c r="Q12295" t="s">
        <v>732</v>
      </c>
      <c r="R12295" t="s">
        <v>919</v>
      </c>
      <c r="S12295">
        <v>39</v>
      </c>
      <c r="T12295" s="29" t="str">
        <f t="shared" si="516"/>
        <v>2023.024M.Bunyaviricetes.zip</v>
      </c>
      <c r="U12295" s="29" t="str">
        <f>HYPERLINK("https://ictv.global/taxonomy/taxondetails?taxnode_id=202307632","ictv.global=202307632")</f>
        <v>ictv.global=202307632</v>
      </c>
    </row>
    <row r="12296" spans="1:21">
      <c r="A12296">
        <v>12295</v>
      </c>
      <c r="B12296" s="30" t="s">
        <v>1226</v>
      </c>
      <c r="D12296" s="30" t="s">
        <v>2024</v>
      </c>
      <c r="F12296" s="30" t="s">
        <v>1040</v>
      </c>
      <c r="G12296" s="30" t="s">
        <v>1061</v>
      </c>
      <c r="H12296" s="30" t="s">
        <v>17535</v>
      </c>
      <c r="J12296" s="30" t="s">
        <v>17564</v>
      </c>
      <c r="L12296" s="30" t="s">
        <v>816</v>
      </c>
      <c r="N12296" s="30" t="s">
        <v>197</v>
      </c>
      <c r="P12296" s="30" t="s">
        <v>10706</v>
      </c>
      <c r="Q12296" t="s">
        <v>732</v>
      </c>
      <c r="R12296" t="s">
        <v>919</v>
      </c>
      <c r="S12296">
        <v>39</v>
      </c>
      <c r="T12296" s="29" t="str">
        <f t="shared" si="516"/>
        <v>2023.024M.Bunyaviricetes.zip</v>
      </c>
      <c r="U12296" s="29" t="str">
        <f>HYPERLINK("https://ictv.global/taxonomy/taxondetails?taxnode_id=202307605","ictv.global=202307605")</f>
        <v>ictv.global=202307605</v>
      </c>
    </row>
    <row r="12297" spans="1:21">
      <c r="A12297">
        <v>12296</v>
      </c>
      <c r="B12297" s="30" t="s">
        <v>1226</v>
      </c>
      <c r="D12297" s="30" t="s">
        <v>2024</v>
      </c>
      <c r="F12297" s="30" t="s">
        <v>1040</v>
      </c>
      <c r="G12297" s="30" t="s">
        <v>1061</v>
      </c>
      <c r="H12297" s="30" t="s">
        <v>17535</v>
      </c>
      <c r="J12297" s="30" t="s">
        <v>17564</v>
      </c>
      <c r="L12297" s="30" t="s">
        <v>816</v>
      </c>
      <c r="N12297" s="30" t="s">
        <v>197</v>
      </c>
      <c r="P12297" s="30" t="s">
        <v>10707</v>
      </c>
      <c r="Q12297" t="s">
        <v>732</v>
      </c>
      <c r="R12297" t="s">
        <v>919</v>
      </c>
      <c r="S12297">
        <v>39</v>
      </c>
      <c r="T12297" s="29" t="str">
        <f t="shared" si="516"/>
        <v>2023.024M.Bunyaviricetes.zip</v>
      </c>
      <c r="U12297" s="29" t="str">
        <f>HYPERLINK("https://ictv.global/taxonomy/taxondetails?taxnode_id=202307597","ictv.global=202307597")</f>
        <v>ictv.global=202307597</v>
      </c>
    </row>
    <row r="12298" spans="1:21">
      <c r="A12298">
        <v>12297</v>
      </c>
      <c r="B12298" s="30" t="s">
        <v>1226</v>
      </c>
      <c r="D12298" s="30" t="s">
        <v>2024</v>
      </c>
      <c r="F12298" s="30" t="s">
        <v>1040</v>
      </c>
      <c r="G12298" s="30" t="s">
        <v>1061</v>
      </c>
      <c r="H12298" s="30" t="s">
        <v>17535</v>
      </c>
      <c r="J12298" s="30" t="s">
        <v>17564</v>
      </c>
      <c r="L12298" s="30" t="s">
        <v>816</v>
      </c>
      <c r="N12298" s="30" t="s">
        <v>197</v>
      </c>
      <c r="P12298" s="30" t="s">
        <v>10708</v>
      </c>
      <c r="Q12298" t="s">
        <v>732</v>
      </c>
      <c r="R12298" t="s">
        <v>919</v>
      </c>
      <c r="S12298">
        <v>39</v>
      </c>
      <c r="T12298" s="29" t="str">
        <f t="shared" si="516"/>
        <v>2023.024M.Bunyaviricetes.zip</v>
      </c>
      <c r="U12298" s="29" t="str">
        <f>HYPERLINK("https://ictv.global/taxonomy/taxondetails?taxnode_id=202307631","ictv.global=202307631")</f>
        <v>ictv.global=202307631</v>
      </c>
    </row>
    <row r="12299" spans="1:21">
      <c r="A12299">
        <v>12298</v>
      </c>
      <c r="B12299" s="30" t="s">
        <v>1226</v>
      </c>
      <c r="D12299" s="30" t="s">
        <v>2024</v>
      </c>
      <c r="F12299" s="30" t="s">
        <v>1040</v>
      </c>
      <c r="G12299" s="30" t="s">
        <v>1061</v>
      </c>
      <c r="H12299" s="30" t="s">
        <v>17535</v>
      </c>
      <c r="J12299" s="30" t="s">
        <v>17564</v>
      </c>
      <c r="L12299" s="30" t="s">
        <v>816</v>
      </c>
      <c r="N12299" s="30" t="s">
        <v>197</v>
      </c>
      <c r="P12299" s="30" t="s">
        <v>10709</v>
      </c>
      <c r="Q12299" t="s">
        <v>620</v>
      </c>
      <c r="R12299" t="s">
        <v>919</v>
      </c>
      <c r="S12299">
        <v>39</v>
      </c>
      <c r="T12299" s="29" t="str">
        <f t="shared" si="516"/>
        <v>2023.024M.Bunyaviricetes.zip</v>
      </c>
      <c r="U12299" s="29" t="str">
        <f>HYPERLINK("https://ictv.global/taxonomy/taxondetails?taxnode_id=202314256","ictv.global=202314256")</f>
        <v>ictv.global=202314256</v>
      </c>
    </row>
    <row r="12300" spans="1:21">
      <c r="A12300">
        <v>12299</v>
      </c>
      <c r="B12300" s="30" t="s">
        <v>1226</v>
      </c>
      <c r="D12300" s="30" t="s">
        <v>2024</v>
      </c>
      <c r="F12300" s="30" t="s">
        <v>1040</v>
      </c>
      <c r="G12300" s="30" t="s">
        <v>1061</v>
      </c>
      <c r="H12300" s="30" t="s">
        <v>17535</v>
      </c>
      <c r="J12300" s="30" t="s">
        <v>17564</v>
      </c>
      <c r="L12300" s="30" t="s">
        <v>816</v>
      </c>
      <c r="N12300" s="30" t="s">
        <v>197</v>
      </c>
      <c r="P12300" s="30" t="s">
        <v>10710</v>
      </c>
      <c r="Q12300" t="s">
        <v>732</v>
      </c>
      <c r="R12300" t="s">
        <v>919</v>
      </c>
      <c r="S12300">
        <v>39</v>
      </c>
      <c r="T12300" s="29" t="str">
        <f t="shared" si="516"/>
        <v>2023.024M.Bunyaviricetes.zip</v>
      </c>
      <c r="U12300" s="29" t="str">
        <f>HYPERLINK("https://ictv.global/taxonomy/taxondetails?taxnode_id=202307593","ictv.global=202307593")</f>
        <v>ictv.global=202307593</v>
      </c>
    </row>
    <row r="12301" spans="1:21">
      <c r="A12301">
        <v>12300</v>
      </c>
      <c r="B12301" s="30" t="s">
        <v>1226</v>
      </c>
      <c r="D12301" s="30" t="s">
        <v>2024</v>
      </c>
      <c r="F12301" s="30" t="s">
        <v>1040</v>
      </c>
      <c r="G12301" s="30" t="s">
        <v>1061</v>
      </c>
      <c r="H12301" s="30" t="s">
        <v>17535</v>
      </c>
      <c r="J12301" s="30" t="s">
        <v>17564</v>
      </c>
      <c r="L12301" s="30" t="s">
        <v>816</v>
      </c>
      <c r="N12301" s="30" t="s">
        <v>197</v>
      </c>
      <c r="P12301" s="30" t="s">
        <v>10711</v>
      </c>
      <c r="Q12301" t="s">
        <v>732</v>
      </c>
      <c r="R12301" t="s">
        <v>919</v>
      </c>
      <c r="S12301">
        <v>39</v>
      </c>
      <c r="T12301" s="29" t="str">
        <f t="shared" si="516"/>
        <v>2023.024M.Bunyaviricetes.zip</v>
      </c>
      <c r="U12301" s="29" t="str">
        <f>HYPERLINK("https://ictv.global/taxonomy/taxondetails?taxnode_id=202307626","ictv.global=202307626")</f>
        <v>ictv.global=202307626</v>
      </c>
    </row>
    <row r="12302" spans="1:21">
      <c r="A12302">
        <v>12301</v>
      </c>
      <c r="B12302" s="30" t="s">
        <v>1226</v>
      </c>
      <c r="D12302" s="30" t="s">
        <v>2024</v>
      </c>
      <c r="F12302" s="30" t="s">
        <v>1040</v>
      </c>
      <c r="G12302" s="30" t="s">
        <v>1061</v>
      </c>
      <c r="H12302" s="30" t="s">
        <v>17535</v>
      </c>
      <c r="J12302" s="30" t="s">
        <v>17564</v>
      </c>
      <c r="L12302" s="30" t="s">
        <v>816</v>
      </c>
      <c r="N12302" s="30" t="s">
        <v>197</v>
      </c>
      <c r="P12302" s="30" t="s">
        <v>10712</v>
      </c>
      <c r="Q12302" t="s">
        <v>732</v>
      </c>
      <c r="R12302" t="s">
        <v>919</v>
      </c>
      <c r="S12302">
        <v>39</v>
      </c>
      <c r="T12302" s="29" t="str">
        <f t="shared" si="516"/>
        <v>2023.024M.Bunyaviricetes.zip</v>
      </c>
      <c r="U12302" s="29" t="str">
        <f>HYPERLINK("https://ictv.global/taxonomy/taxondetails?taxnode_id=202307613","ictv.global=202307613")</f>
        <v>ictv.global=202307613</v>
      </c>
    </row>
    <row r="12303" spans="1:21">
      <c r="A12303">
        <v>12302</v>
      </c>
      <c r="B12303" s="30" t="s">
        <v>1226</v>
      </c>
      <c r="D12303" s="30" t="s">
        <v>2024</v>
      </c>
      <c r="F12303" s="30" t="s">
        <v>1040</v>
      </c>
      <c r="G12303" s="30" t="s">
        <v>1061</v>
      </c>
      <c r="H12303" s="30" t="s">
        <v>17535</v>
      </c>
      <c r="J12303" s="30" t="s">
        <v>17564</v>
      </c>
      <c r="L12303" s="30" t="s">
        <v>816</v>
      </c>
      <c r="N12303" s="30" t="s">
        <v>197</v>
      </c>
      <c r="P12303" s="30" t="s">
        <v>10713</v>
      </c>
      <c r="Q12303" t="s">
        <v>732</v>
      </c>
      <c r="R12303" t="s">
        <v>919</v>
      </c>
      <c r="S12303">
        <v>39</v>
      </c>
      <c r="T12303" s="29" t="str">
        <f t="shared" si="516"/>
        <v>2023.024M.Bunyaviricetes.zip</v>
      </c>
      <c r="U12303" s="29" t="str">
        <f>HYPERLINK("https://ictv.global/taxonomy/taxondetails?taxnode_id=202307585","ictv.global=202307585")</f>
        <v>ictv.global=202307585</v>
      </c>
    </row>
    <row r="12304" spans="1:21">
      <c r="A12304">
        <v>12303</v>
      </c>
      <c r="B12304" s="30" t="s">
        <v>1226</v>
      </c>
      <c r="D12304" s="30" t="s">
        <v>2024</v>
      </c>
      <c r="F12304" s="30" t="s">
        <v>1040</v>
      </c>
      <c r="G12304" s="30" t="s">
        <v>1061</v>
      </c>
      <c r="H12304" s="30" t="s">
        <v>17535</v>
      </c>
      <c r="J12304" s="30" t="s">
        <v>17564</v>
      </c>
      <c r="L12304" s="30" t="s">
        <v>816</v>
      </c>
      <c r="N12304" s="30" t="s">
        <v>197</v>
      </c>
      <c r="P12304" s="30" t="s">
        <v>10714</v>
      </c>
      <c r="Q12304" t="s">
        <v>732</v>
      </c>
      <c r="R12304" t="s">
        <v>919</v>
      </c>
      <c r="S12304">
        <v>39</v>
      </c>
      <c r="T12304" s="29" t="str">
        <f t="shared" si="516"/>
        <v>2023.024M.Bunyaviricetes.zip</v>
      </c>
      <c r="U12304" s="29" t="str">
        <f>HYPERLINK("https://ictv.global/taxonomy/taxondetails?taxnode_id=202307607","ictv.global=202307607")</f>
        <v>ictv.global=202307607</v>
      </c>
    </row>
    <row r="12305" spans="1:21">
      <c r="A12305">
        <v>12304</v>
      </c>
      <c r="B12305" s="30" t="s">
        <v>1226</v>
      </c>
      <c r="D12305" s="30" t="s">
        <v>2024</v>
      </c>
      <c r="F12305" s="30" t="s">
        <v>1040</v>
      </c>
      <c r="G12305" s="30" t="s">
        <v>1061</v>
      </c>
      <c r="H12305" s="30" t="s">
        <v>17535</v>
      </c>
      <c r="J12305" s="30" t="s">
        <v>17564</v>
      </c>
      <c r="L12305" s="30" t="s">
        <v>816</v>
      </c>
      <c r="N12305" s="30" t="s">
        <v>197</v>
      </c>
      <c r="P12305" s="30" t="s">
        <v>10715</v>
      </c>
      <c r="Q12305" t="s">
        <v>620</v>
      </c>
      <c r="R12305" t="s">
        <v>919</v>
      </c>
      <c r="S12305">
        <v>39</v>
      </c>
      <c r="T12305" s="29" t="str">
        <f t="shared" si="516"/>
        <v>2023.024M.Bunyaviricetes.zip</v>
      </c>
      <c r="U12305" s="29" t="str">
        <f>HYPERLINK("https://ictv.global/taxonomy/taxondetails?taxnode_id=202309621","ictv.global=202309621")</f>
        <v>ictv.global=202309621</v>
      </c>
    </row>
    <row r="12306" spans="1:21">
      <c r="A12306">
        <v>12305</v>
      </c>
      <c r="B12306" s="30" t="s">
        <v>1226</v>
      </c>
      <c r="D12306" s="30" t="s">
        <v>2024</v>
      </c>
      <c r="F12306" s="30" t="s">
        <v>1040</v>
      </c>
      <c r="G12306" s="30" t="s">
        <v>1061</v>
      </c>
      <c r="H12306" s="30" t="s">
        <v>17535</v>
      </c>
      <c r="J12306" s="30" t="s">
        <v>17564</v>
      </c>
      <c r="L12306" s="30" t="s">
        <v>816</v>
      </c>
      <c r="N12306" s="30" t="s">
        <v>197</v>
      </c>
      <c r="P12306" s="30" t="s">
        <v>10716</v>
      </c>
      <c r="Q12306" t="s">
        <v>732</v>
      </c>
      <c r="R12306" t="s">
        <v>919</v>
      </c>
      <c r="S12306">
        <v>39</v>
      </c>
      <c r="T12306" s="29" t="str">
        <f t="shared" si="516"/>
        <v>2023.024M.Bunyaviricetes.zip</v>
      </c>
      <c r="U12306" s="29" t="str">
        <f>HYPERLINK("https://ictv.global/taxonomy/taxondetails?taxnode_id=202307594","ictv.global=202307594")</f>
        <v>ictv.global=202307594</v>
      </c>
    </row>
    <row r="12307" spans="1:21">
      <c r="A12307">
        <v>12306</v>
      </c>
      <c r="B12307" s="30" t="s">
        <v>1226</v>
      </c>
      <c r="D12307" s="30" t="s">
        <v>2024</v>
      </c>
      <c r="F12307" s="30" t="s">
        <v>1040</v>
      </c>
      <c r="G12307" s="30" t="s">
        <v>1061</v>
      </c>
      <c r="H12307" s="30" t="s">
        <v>17535</v>
      </c>
      <c r="J12307" s="30" t="s">
        <v>17564</v>
      </c>
      <c r="L12307" s="30" t="s">
        <v>816</v>
      </c>
      <c r="N12307" s="30" t="s">
        <v>197</v>
      </c>
      <c r="P12307" s="30" t="s">
        <v>17592</v>
      </c>
      <c r="Q12307" t="s">
        <v>732</v>
      </c>
      <c r="R12307" t="s">
        <v>920</v>
      </c>
      <c r="S12307">
        <v>39</v>
      </c>
      <c r="T12307" s="29" t="str">
        <f>HYPERLINK("https://ictv.global/ictv/proposals/2023.032M.Phlebovirus_1nsp_rename.zip","2023.032M.Phlebovirus_1nsp_rename.zip")</f>
        <v>2023.032M.Phlebovirus_1nsp_rename.zip</v>
      </c>
      <c r="U12307" s="29" t="str">
        <f>HYPERLINK("https://ictv.global/taxonomy/taxondetails?taxnode_id=202300161","ictv.global=202300161")</f>
        <v>ictv.global=202300161</v>
      </c>
    </row>
    <row r="12308" spans="1:21">
      <c r="A12308">
        <v>12307</v>
      </c>
      <c r="B12308" s="30" t="s">
        <v>1226</v>
      </c>
      <c r="D12308" s="30" t="s">
        <v>2024</v>
      </c>
      <c r="F12308" s="30" t="s">
        <v>1040</v>
      </c>
      <c r="G12308" s="30" t="s">
        <v>1061</v>
      </c>
      <c r="H12308" s="30" t="s">
        <v>17535</v>
      </c>
      <c r="J12308" s="30" t="s">
        <v>17564</v>
      </c>
      <c r="L12308" s="30" t="s">
        <v>816</v>
      </c>
      <c r="N12308" s="30" t="s">
        <v>197</v>
      </c>
      <c r="P12308" s="30" t="s">
        <v>10717</v>
      </c>
      <c r="Q12308" t="s">
        <v>732</v>
      </c>
      <c r="R12308" t="s">
        <v>919</v>
      </c>
      <c r="S12308">
        <v>39</v>
      </c>
      <c r="T12308" s="29" t="str">
        <f t="shared" ref="T12308:T12348" si="517">HYPERLINK("https://ictv.global/ictv/proposals/2023.024M.Bunyaviricetes.zip","2023.024M.Bunyaviricetes.zip")</f>
        <v>2023.024M.Bunyaviricetes.zip</v>
      </c>
      <c r="U12308" s="29" t="str">
        <f>HYPERLINK("https://ictv.global/taxonomy/taxondetails?taxnode_id=202307625","ictv.global=202307625")</f>
        <v>ictv.global=202307625</v>
      </c>
    </row>
    <row r="12309" spans="1:21">
      <c r="A12309">
        <v>12308</v>
      </c>
      <c r="B12309" s="30" t="s">
        <v>1226</v>
      </c>
      <c r="D12309" s="30" t="s">
        <v>2024</v>
      </c>
      <c r="F12309" s="30" t="s">
        <v>1040</v>
      </c>
      <c r="G12309" s="30" t="s">
        <v>1061</v>
      </c>
      <c r="H12309" s="30" t="s">
        <v>17535</v>
      </c>
      <c r="J12309" s="30" t="s">
        <v>17564</v>
      </c>
      <c r="L12309" s="30" t="s">
        <v>816</v>
      </c>
      <c r="N12309" s="30" t="s">
        <v>197</v>
      </c>
      <c r="P12309" s="30" t="s">
        <v>10718</v>
      </c>
      <c r="Q12309" t="s">
        <v>732</v>
      </c>
      <c r="R12309" t="s">
        <v>919</v>
      </c>
      <c r="S12309">
        <v>39</v>
      </c>
      <c r="T12309" s="29" t="str">
        <f t="shared" si="517"/>
        <v>2023.024M.Bunyaviricetes.zip</v>
      </c>
      <c r="U12309" s="29" t="str">
        <f>HYPERLINK("https://ictv.global/taxonomy/taxondetails?taxnode_id=202307614","ictv.global=202307614")</f>
        <v>ictv.global=202307614</v>
      </c>
    </row>
    <row r="12310" spans="1:21">
      <c r="A12310">
        <v>12309</v>
      </c>
      <c r="B12310" s="30" t="s">
        <v>1226</v>
      </c>
      <c r="D12310" s="30" t="s">
        <v>2024</v>
      </c>
      <c r="F12310" s="30" t="s">
        <v>1040</v>
      </c>
      <c r="G12310" s="30" t="s">
        <v>1061</v>
      </c>
      <c r="H12310" s="30" t="s">
        <v>17535</v>
      </c>
      <c r="J12310" s="30" t="s">
        <v>17564</v>
      </c>
      <c r="L12310" s="30" t="s">
        <v>816</v>
      </c>
      <c r="N12310" s="30" t="s">
        <v>197</v>
      </c>
      <c r="P12310" s="30" t="s">
        <v>10719</v>
      </c>
      <c r="Q12310" t="s">
        <v>732</v>
      </c>
      <c r="R12310" t="s">
        <v>919</v>
      </c>
      <c r="S12310">
        <v>39</v>
      </c>
      <c r="T12310" s="29" t="str">
        <f t="shared" si="517"/>
        <v>2023.024M.Bunyaviricetes.zip</v>
      </c>
      <c r="U12310" s="29" t="str">
        <f>HYPERLINK("https://ictv.global/taxonomy/taxondetails?taxnode_id=202307621","ictv.global=202307621")</f>
        <v>ictv.global=202307621</v>
      </c>
    </row>
    <row r="12311" spans="1:21">
      <c r="A12311">
        <v>12310</v>
      </c>
      <c r="B12311" s="30" t="s">
        <v>1226</v>
      </c>
      <c r="D12311" s="30" t="s">
        <v>2024</v>
      </c>
      <c r="F12311" s="30" t="s">
        <v>1040</v>
      </c>
      <c r="G12311" s="30" t="s">
        <v>1061</v>
      </c>
      <c r="H12311" s="30" t="s">
        <v>17535</v>
      </c>
      <c r="J12311" s="30" t="s">
        <v>17564</v>
      </c>
      <c r="L12311" s="30" t="s">
        <v>816</v>
      </c>
      <c r="N12311" s="30" t="s">
        <v>197</v>
      </c>
      <c r="P12311" s="30" t="s">
        <v>10720</v>
      </c>
      <c r="Q12311" t="s">
        <v>732</v>
      </c>
      <c r="R12311" t="s">
        <v>919</v>
      </c>
      <c r="S12311">
        <v>39</v>
      </c>
      <c r="T12311" s="29" t="str">
        <f t="shared" si="517"/>
        <v>2023.024M.Bunyaviricetes.zip</v>
      </c>
      <c r="U12311" s="29" t="str">
        <f>HYPERLINK("https://ictv.global/taxonomy/taxondetails?taxnode_id=202307588","ictv.global=202307588")</f>
        <v>ictv.global=202307588</v>
      </c>
    </row>
    <row r="12312" spans="1:21">
      <c r="A12312">
        <v>12311</v>
      </c>
      <c r="B12312" s="30" t="s">
        <v>1226</v>
      </c>
      <c r="D12312" s="30" t="s">
        <v>2024</v>
      </c>
      <c r="F12312" s="30" t="s">
        <v>1040</v>
      </c>
      <c r="G12312" s="30" t="s">
        <v>1061</v>
      </c>
      <c r="H12312" s="30" t="s">
        <v>17535</v>
      </c>
      <c r="J12312" s="30" t="s">
        <v>17564</v>
      </c>
      <c r="L12312" s="30" t="s">
        <v>816</v>
      </c>
      <c r="N12312" s="30" t="s">
        <v>197</v>
      </c>
      <c r="P12312" s="30" t="s">
        <v>10721</v>
      </c>
      <c r="Q12312" t="s">
        <v>732</v>
      </c>
      <c r="R12312" t="s">
        <v>919</v>
      </c>
      <c r="S12312">
        <v>39</v>
      </c>
      <c r="T12312" s="29" t="str">
        <f t="shared" si="517"/>
        <v>2023.024M.Bunyaviricetes.zip</v>
      </c>
      <c r="U12312" s="29" t="str">
        <f>HYPERLINK("https://ictv.global/taxonomy/taxondetails?taxnode_id=202306492","ictv.global=202306492")</f>
        <v>ictv.global=202306492</v>
      </c>
    </row>
    <row r="12313" spans="1:21">
      <c r="A12313">
        <v>12312</v>
      </c>
      <c r="B12313" s="30" t="s">
        <v>1226</v>
      </c>
      <c r="D12313" s="30" t="s">
        <v>2024</v>
      </c>
      <c r="F12313" s="30" t="s">
        <v>1040</v>
      </c>
      <c r="G12313" s="30" t="s">
        <v>1061</v>
      </c>
      <c r="H12313" s="30" t="s">
        <v>17535</v>
      </c>
      <c r="J12313" s="30" t="s">
        <v>17564</v>
      </c>
      <c r="L12313" s="30" t="s">
        <v>816</v>
      </c>
      <c r="N12313" s="30" t="s">
        <v>197</v>
      </c>
      <c r="P12313" s="30" t="s">
        <v>10722</v>
      </c>
      <c r="Q12313" t="s">
        <v>732</v>
      </c>
      <c r="R12313" t="s">
        <v>919</v>
      </c>
      <c r="S12313">
        <v>39</v>
      </c>
      <c r="T12313" s="29" t="str">
        <f t="shared" si="517"/>
        <v>2023.024M.Bunyaviricetes.zip</v>
      </c>
      <c r="U12313" s="29" t="str">
        <f>HYPERLINK("https://ictv.global/taxonomy/taxondetails?taxnode_id=202307595","ictv.global=202307595")</f>
        <v>ictv.global=202307595</v>
      </c>
    </row>
    <row r="12314" spans="1:21">
      <c r="A12314">
        <v>12313</v>
      </c>
      <c r="B12314" s="30" t="s">
        <v>1226</v>
      </c>
      <c r="D12314" s="30" t="s">
        <v>2024</v>
      </c>
      <c r="F12314" s="30" t="s">
        <v>1040</v>
      </c>
      <c r="G12314" s="30" t="s">
        <v>1061</v>
      </c>
      <c r="H12314" s="30" t="s">
        <v>17535</v>
      </c>
      <c r="J12314" s="30" t="s">
        <v>17564</v>
      </c>
      <c r="L12314" s="30" t="s">
        <v>816</v>
      </c>
      <c r="N12314" s="30" t="s">
        <v>197</v>
      </c>
      <c r="P12314" s="30" t="s">
        <v>10723</v>
      </c>
      <c r="Q12314" t="s">
        <v>732</v>
      </c>
      <c r="R12314" t="s">
        <v>919</v>
      </c>
      <c r="S12314">
        <v>39</v>
      </c>
      <c r="T12314" s="29" t="str">
        <f t="shared" si="517"/>
        <v>2023.024M.Bunyaviricetes.zip</v>
      </c>
      <c r="U12314" s="29" t="str">
        <f>HYPERLINK("https://ictv.global/taxonomy/taxondetails?taxnode_id=202300165","ictv.global=202300165")</f>
        <v>ictv.global=202300165</v>
      </c>
    </row>
    <row r="12315" spans="1:21">
      <c r="A12315">
        <v>12314</v>
      </c>
      <c r="B12315" s="30" t="s">
        <v>1226</v>
      </c>
      <c r="D12315" s="30" t="s">
        <v>2024</v>
      </c>
      <c r="F12315" s="30" t="s">
        <v>1040</v>
      </c>
      <c r="G12315" s="30" t="s">
        <v>1061</v>
      </c>
      <c r="H12315" s="30" t="s">
        <v>17535</v>
      </c>
      <c r="J12315" s="30" t="s">
        <v>17564</v>
      </c>
      <c r="L12315" s="30" t="s">
        <v>816</v>
      </c>
      <c r="N12315" s="30" t="s">
        <v>197</v>
      </c>
      <c r="P12315" s="30" t="s">
        <v>10724</v>
      </c>
      <c r="Q12315" t="s">
        <v>732</v>
      </c>
      <c r="R12315" t="s">
        <v>919</v>
      </c>
      <c r="S12315">
        <v>39</v>
      </c>
      <c r="T12315" s="29" t="str">
        <f t="shared" si="517"/>
        <v>2023.024M.Bunyaviricetes.zip</v>
      </c>
      <c r="U12315" s="29" t="str">
        <f>HYPERLINK("https://ictv.global/taxonomy/taxondetails?taxnode_id=202307624","ictv.global=202307624")</f>
        <v>ictv.global=202307624</v>
      </c>
    </row>
    <row r="12316" spans="1:21">
      <c r="A12316">
        <v>12315</v>
      </c>
      <c r="B12316" s="30" t="s">
        <v>1226</v>
      </c>
      <c r="D12316" s="30" t="s">
        <v>2024</v>
      </c>
      <c r="F12316" s="30" t="s">
        <v>1040</v>
      </c>
      <c r="G12316" s="30" t="s">
        <v>1061</v>
      </c>
      <c r="H12316" s="30" t="s">
        <v>17535</v>
      </c>
      <c r="J12316" s="30" t="s">
        <v>17564</v>
      </c>
      <c r="L12316" s="30" t="s">
        <v>816</v>
      </c>
      <c r="N12316" s="30" t="s">
        <v>197</v>
      </c>
      <c r="P12316" s="30" t="s">
        <v>10725</v>
      </c>
      <c r="Q12316" t="s">
        <v>732</v>
      </c>
      <c r="R12316" t="s">
        <v>919</v>
      </c>
      <c r="S12316">
        <v>39</v>
      </c>
      <c r="T12316" s="29" t="str">
        <f t="shared" si="517"/>
        <v>2023.024M.Bunyaviricetes.zip</v>
      </c>
      <c r="U12316" s="29" t="str">
        <f>HYPERLINK("https://ictv.global/taxonomy/taxondetails?taxnode_id=202307606","ictv.global=202307606")</f>
        <v>ictv.global=202307606</v>
      </c>
    </row>
    <row r="12317" spans="1:21">
      <c r="A12317">
        <v>12316</v>
      </c>
      <c r="B12317" s="30" t="s">
        <v>1226</v>
      </c>
      <c r="D12317" s="30" t="s">
        <v>2024</v>
      </c>
      <c r="F12317" s="30" t="s">
        <v>1040</v>
      </c>
      <c r="G12317" s="30" t="s">
        <v>1061</v>
      </c>
      <c r="H12317" s="30" t="s">
        <v>17535</v>
      </c>
      <c r="J12317" s="30" t="s">
        <v>17564</v>
      </c>
      <c r="L12317" s="30" t="s">
        <v>816</v>
      </c>
      <c r="N12317" s="30" t="s">
        <v>197</v>
      </c>
      <c r="P12317" s="30" t="s">
        <v>10726</v>
      </c>
      <c r="Q12317" t="s">
        <v>732</v>
      </c>
      <c r="R12317" t="s">
        <v>919</v>
      </c>
      <c r="S12317">
        <v>39</v>
      </c>
      <c r="T12317" s="29" t="str">
        <f t="shared" si="517"/>
        <v>2023.024M.Bunyaviricetes.zip</v>
      </c>
      <c r="U12317" s="29" t="str">
        <f>HYPERLINK("https://ictv.global/taxonomy/taxondetails?taxnode_id=202307623","ictv.global=202307623")</f>
        <v>ictv.global=202307623</v>
      </c>
    </row>
    <row r="12318" spans="1:21">
      <c r="A12318">
        <v>12317</v>
      </c>
      <c r="B12318" s="30" t="s">
        <v>1226</v>
      </c>
      <c r="D12318" s="30" t="s">
        <v>2024</v>
      </c>
      <c r="F12318" s="30" t="s">
        <v>1040</v>
      </c>
      <c r="G12318" s="30" t="s">
        <v>1061</v>
      </c>
      <c r="H12318" s="30" t="s">
        <v>17535</v>
      </c>
      <c r="J12318" s="30" t="s">
        <v>17564</v>
      </c>
      <c r="L12318" s="30" t="s">
        <v>816</v>
      </c>
      <c r="N12318" s="30" t="s">
        <v>197</v>
      </c>
      <c r="P12318" s="30" t="s">
        <v>10727</v>
      </c>
      <c r="Q12318" t="s">
        <v>732</v>
      </c>
      <c r="R12318" t="s">
        <v>919</v>
      </c>
      <c r="S12318">
        <v>39</v>
      </c>
      <c r="T12318" s="29" t="str">
        <f t="shared" si="517"/>
        <v>2023.024M.Bunyaviricetes.zip</v>
      </c>
      <c r="U12318" s="29" t="str">
        <f>HYPERLINK("https://ictv.global/taxonomy/taxondetails?taxnode_id=202307627","ictv.global=202307627")</f>
        <v>ictv.global=202307627</v>
      </c>
    </row>
    <row r="12319" spans="1:21">
      <c r="A12319">
        <v>12318</v>
      </c>
      <c r="B12319" s="30" t="s">
        <v>1226</v>
      </c>
      <c r="D12319" s="30" t="s">
        <v>2024</v>
      </c>
      <c r="F12319" s="30" t="s">
        <v>1040</v>
      </c>
      <c r="G12319" s="30" t="s">
        <v>1061</v>
      </c>
      <c r="H12319" s="30" t="s">
        <v>17535</v>
      </c>
      <c r="J12319" s="30" t="s">
        <v>17564</v>
      </c>
      <c r="L12319" s="30" t="s">
        <v>816</v>
      </c>
      <c r="N12319" s="30" t="s">
        <v>197</v>
      </c>
      <c r="P12319" s="30" t="s">
        <v>10728</v>
      </c>
      <c r="Q12319" t="s">
        <v>732</v>
      </c>
      <c r="R12319" t="s">
        <v>919</v>
      </c>
      <c r="S12319">
        <v>39</v>
      </c>
      <c r="T12319" s="29" t="str">
        <f t="shared" si="517"/>
        <v>2023.024M.Bunyaviricetes.zip</v>
      </c>
      <c r="U12319" s="29" t="str">
        <f>HYPERLINK("https://ictv.global/taxonomy/taxondetails?taxnode_id=202307604","ictv.global=202307604")</f>
        <v>ictv.global=202307604</v>
      </c>
    </row>
    <row r="12320" spans="1:21">
      <c r="A12320">
        <v>12319</v>
      </c>
      <c r="B12320" s="30" t="s">
        <v>1226</v>
      </c>
      <c r="D12320" s="30" t="s">
        <v>2024</v>
      </c>
      <c r="F12320" s="30" t="s">
        <v>1040</v>
      </c>
      <c r="G12320" s="30" t="s">
        <v>1061</v>
      </c>
      <c r="H12320" s="30" t="s">
        <v>17535</v>
      </c>
      <c r="J12320" s="30" t="s">
        <v>17564</v>
      </c>
      <c r="L12320" s="30" t="s">
        <v>816</v>
      </c>
      <c r="N12320" s="30" t="s">
        <v>197</v>
      </c>
      <c r="P12320" s="30" t="s">
        <v>10729</v>
      </c>
      <c r="Q12320" t="s">
        <v>732</v>
      </c>
      <c r="R12320" t="s">
        <v>919</v>
      </c>
      <c r="S12320">
        <v>39</v>
      </c>
      <c r="T12320" s="29" t="str">
        <f t="shared" si="517"/>
        <v>2023.024M.Bunyaviricetes.zip</v>
      </c>
      <c r="U12320" s="29" t="str">
        <f>HYPERLINK("https://ictv.global/taxonomy/taxondetails?taxnode_id=202307596","ictv.global=202307596")</f>
        <v>ictv.global=202307596</v>
      </c>
    </row>
    <row r="12321" spans="1:21">
      <c r="A12321">
        <v>12320</v>
      </c>
      <c r="B12321" s="30" t="s">
        <v>1226</v>
      </c>
      <c r="D12321" s="30" t="s">
        <v>2024</v>
      </c>
      <c r="F12321" s="30" t="s">
        <v>1040</v>
      </c>
      <c r="G12321" s="30" t="s">
        <v>1061</v>
      </c>
      <c r="H12321" s="30" t="s">
        <v>17535</v>
      </c>
      <c r="J12321" s="30" t="s">
        <v>17564</v>
      </c>
      <c r="L12321" s="30" t="s">
        <v>816</v>
      </c>
      <c r="N12321" s="30" t="s">
        <v>197</v>
      </c>
      <c r="P12321" s="30" t="s">
        <v>10730</v>
      </c>
      <c r="Q12321" t="s">
        <v>620</v>
      </c>
      <c r="R12321" t="s">
        <v>919</v>
      </c>
      <c r="S12321">
        <v>39</v>
      </c>
      <c r="T12321" s="29" t="str">
        <f t="shared" si="517"/>
        <v>2023.024M.Bunyaviricetes.zip</v>
      </c>
      <c r="U12321" s="29" t="str">
        <f>HYPERLINK("https://ictv.global/taxonomy/taxondetails?taxnode_id=202309827","ictv.global=202309827")</f>
        <v>ictv.global=202309827</v>
      </c>
    </row>
    <row r="12322" spans="1:21">
      <c r="A12322">
        <v>12321</v>
      </c>
      <c r="B12322" s="30" t="s">
        <v>1226</v>
      </c>
      <c r="D12322" s="30" t="s">
        <v>2024</v>
      </c>
      <c r="F12322" s="30" t="s">
        <v>1040</v>
      </c>
      <c r="G12322" s="30" t="s">
        <v>1061</v>
      </c>
      <c r="H12322" s="30" t="s">
        <v>17535</v>
      </c>
      <c r="J12322" s="30" t="s">
        <v>17564</v>
      </c>
      <c r="L12322" s="30" t="s">
        <v>816</v>
      </c>
      <c r="N12322" s="30" t="s">
        <v>197</v>
      </c>
      <c r="P12322" s="30" t="s">
        <v>10731</v>
      </c>
      <c r="Q12322" t="s">
        <v>620</v>
      </c>
      <c r="R12322" t="s">
        <v>919</v>
      </c>
      <c r="S12322">
        <v>39</v>
      </c>
      <c r="T12322" s="29" t="str">
        <f t="shared" si="517"/>
        <v>2023.024M.Bunyaviricetes.zip</v>
      </c>
      <c r="U12322" s="29" t="str">
        <f>HYPERLINK("https://ictv.global/taxonomy/taxondetails?taxnode_id=202309624","ictv.global=202309624")</f>
        <v>ictv.global=202309624</v>
      </c>
    </row>
    <row r="12323" spans="1:21">
      <c r="A12323">
        <v>12322</v>
      </c>
      <c r="B12323" s="30" t="s">
        <v>1226</v>
      </c>
      <c r="D12323" s="30" t="s">
        <v>2024</v>
      </c>
      <c r="F12323" s="30" t="s">
        <v>1040</v>
      </c>
      <c r="G12323" s="30" t="s">
        <v>1061</v>
      </c>
      <c r="H12323" s="30" t="s">
        <v>17535</v>
      </c>
      <c r="J12323" s="30" t="s">
        <v>17564</v>
      </c>
      <c r="L12323" s="30" t="s">
        <v>816</v>
      </c>
      <c r="N12323" s="30" t="s">
        <v>197</v>
      </c>
      <c r="P12323" s="30" t="s">
        <v>10732</v>
      </c>
      <c r="Q12323" t="s">
        <v>732</v>
      </c>
      <c r="R12323" t="s">
        <v>919</v>
      </c>
      <c r="S12323">
        <v>39</v>
      </c>
      <c r="T12323" s="29" t="str">
        <f t="shared" si="517"/>
        <v>2023.024M.Bunyaviricetes.zip</v>
      </c>
      <c r="U12323" s="29" t="str">
        <f>HYPERLINK("https://ictv.global/taxonomy/taxondetails?taxnode_id=202307615","ictv.global=202307615")</f>
        <v>ictv.global=202307615</v>
      </c>
    </row>
    <row r="12324" spans="1:21">
      <c r="A12324">
        <v>12323</v>
      </c>
      <c r="B12324" s="30" t="s">
        <v>1226</v>
      </c>
      <c r="D12324" s="30" t="s">
        <v>2024</v>
      </c>
      <c r="F12324" s="30" t="s">
        <v>1040</v>
      </c>
      <c r="G12324" s="30" t="s">
        <v>1061</v>
      </c>
      <c r="H12324" s="30" t="s">
        <v>17535</v>
      </c>
      <c r="J12324" s="30" t="s">
        <v>17564</v>
      </c>
      <c r="L12324" s="30" t="s">
        <v>816</v>
      </c>
      <c r="N12324" s="30" t="s">
        <v>197</v>
      </c>
      <c r="P12324" s="30" t="s">
        <v>10733</v>
      </c>
      <c r="Q12324" t="s">
        <v>732</v>
      </c>
      <c r="R12324" t="s">
        <v>919</v>
      </c>
      <c r="S12324">
        <v>39</v>
      </c>
      <c r="T12324" s="29" t="str">
        <f t="shared" si="517"/>
        <v>2023.024M.Bunyaviricetes.zip</v>
      </c>
      <c r="U12324" s="29" t="str">
        <f>HYPERLINK("https://ictv.global/taxonomy/taxondetails?taxnode_id=202300163","ictv.global=202300163")</f>
        <v>ictv.global=202300163</v>
      </c>
    </row>
    <row r="12325" spans="1:21">
      <c r="A12325">
        <v>12324</v>
      </c>
      <c r="B12325" s="30" t="s">
        <v>1226</v>
      </c>
      <c r="D12325" s="30" t="s">
        <v>2024</v>
      </c>
      <c r="F12325" s="30" t="s">
        <v>1040</v>
      </c>
      <c r="G12325" s="30" t="s">
        <v>1061</v>
      </c>
      <c r="H12325" s="30" t="s">
        <v>17535</v>
      </c>
      <c r="J12325" s="30" t="s">
        <v>17564</v>
      </c>
      <c r="L12325" s="30" t="s">
        <v>816</v>
      </c>
      <c r="N12325" s="30" t="s">
        <v>197</v>
      </c>
      <c r="P12325" s="30" t="s">
        <v>10734</v>
      </c>
      <c r="Q12325" t="s">
        <v>732</v>
      </c>
      <c r="R12325" t="s">
        <v>919</v>
      </c>
      <c r="S12325">
        <v>39</v>
      </c>
      <c r="T12325" s="29" t="str">
        <f t="shared" si="517"/>
        <v>2023.024M.Bunyaviricetes.zip</v>
      </c>
      <c r="U12325" s="29" t="str">
        <f>HYPERLINK("https://ictv.global/taxonomy/taxondetails?taxnode_id=202307633","ictv.global=202307633")</f>
        <v>ictv.global=202307633</v>
      </c>
    </row>
    <row r="12326" spans="1:21">
      <c r="A12326">
        <v>12325</v>
      </c>
      <c r="B12326" s="30" t="s">
        <v>1226</v>
      </c>
      <c r="D12326" s="30" t="s">
        <v>2024</v>
      </c>
      <c r="F12326" s="30" t="s">
        <v>1040</v>
      </c>
      <c r="G12326" s="30" t="s">
        <v>1061</v>
      </c>
      <c r="H12326" s="30" t="s">
        <v>17535</v>
      </c>
      <c r="J12326" s="30" t="s">
        <v>17564</v>
      </c>
      <c r="L12326" s="30" t="s">
        <v>816</v>
      </c>
      <c r="N12326" s="30" t="s">
        <v>197</v>
      </c>
      <c r="P12326" s="30" t="s">
        <v>10735</v>
      </c>
      <c r="Q12326" t="s">
        <v>732</v>
      </c>
      <c r="R12326" t="s">
        <v>919</v>
      </c>
      <c r="S12326">
        <v>39</v>
      </c>
      <c r="T12326" s="29" t="str">
        <f t="shared" si="517"/>
        <v>2023.024M.Bunyaviricetes.zip</v>
      </c>
      <c r="U12326" s="29" t="str">
        <f>HYPERLINK("https://ictv.global/taxonomy/taxondetails?taxnode_id=202307583","ictv.global=202307583")</f>
        <v>ictv.global=202307583</v>
      </c>
    </row>
    <row r="12327" spans="1:21">
      <c r="A12327">
        <v>12326</v>
      </c>
      <c r="B12327" s="30" t="s">
        <v>1226</v>
      </c>
      <c r="D12327" s="30" t="s">
        <v>2024</v>
      </c>
      <c r="F12327" s="30" t="s">
        <v>1040</v>
      </c>
      <c r="G12327" s="30" t="s">
        <v>1061</v>
      </c>
      <c r="H12327" s="30" t="s">
        <v>17535</v>
      </c>
      <c r="J12327" s="30" t="s">
        <v>17564</v>
      </c>
      <c r="L12327" s="30" t="s">
        <v>816</v>
      </c>
      <c r="N12327" s="30" t="s">
        <v>197</v>
      </c>
      <c r="P12327" s="30" t="s">
        <v>10736</v>
      </c>
      <c r="Q12327" t="s">
        <v>732</v>
      </c>
      <c r="R12327" t="s">
        <v>919</v>
      </c>
      <c r="S12327">
        <v>39</v>
      </c>
      <c r="T12327" s="29" t="str">
        <f t="shared" si="517"/>
        <v>2023.024M.Bunyaviricetes.zip</v>
      </c>
      <c r="U12327" s="29" t="str">
        <f>HYPERLINK("https://ictv.global/taxonomy/taxondetails?taxnode_id=202300164","ictv.global=202300164")</f>
        <v>ictv.global=202300164</v>
      </c>
    </row>
    <row r="12328" spans="1:21">
      <c r="A12328">
        <v>12327</v>
      </c>
      <c r="B12328" s="30" t="s">
        <v>1226</v>
      </c>
      <c r="D12328" s="30" t="s">
        <v>2024</v>
      </c>
      <c r="F12328" s="30" t="s">
        <v>1040</v>
      </c>
      <c r="G12328" s="30" t="s">
        <v>1061</v>
      </c>
      <c r="H12328" s="30" t="s">
        <v>17535</v>
      </c>
      <c r="J12328" s="30" t="s">
        <v>17564</v>
      </c>
      <c r="L12328" s="30" t="s">
        <v>816</v>
      </c>
      <c r="N12328" s="30" t="s">
        <v>197</v>
      </c>
      <c r="P12328" s="30" t="s">
        <v>10737</v>
      </c>
      <c r="Q12328" t="s">
        <v>620</v>
      </c>
      <c r="R12328" t="s">
        <v>919</v>
      </c>
      <c r="S12328">
        <v>39</v>
      </c>
      <c r="T12328" s="29" t="str">
        <f t="shared" si="517"/>
        <v>2023.024M.Bunyaviricetes.zip</v>
      </c>
      <c r="U12328" s="29" t="str">
        <f>HYPERLINK("https://ictv.global/taxonomy/taxondetails?taxnode_id=202307589","ictv.global=202307589")</f>
        <v>ictv.global=202307589</v>
      </c>
    </row>
    <row r="12329" spans="1:21">
      <c r="A12329">
        <v>12328</v>
      </c>
      <c r="B12329" s="30" t="s">
        <v>1226</v>
      </c>
      <c r="D12329" s="30" t="s">
        <v>2024</v>
      </c>
      <c r="F12329" s="30" t="s">
        <v>1040</v>
      </c>
      <c r="G12329" s="30" t="s">
        <v>1061</v>
      </c>
      <c r="H12329" s="30" t="s">
        <v>17535</v>
      </c>
      <c r="J12329" s="30" t="s">
        <v>17564</v>
      </c>
      <c r="L12329" s="30" t="s">
        <v>816</v>
      </c>
      <c r="N12329" s="30" t="s">
        <v>197</v>
      </c>
      <c r="P12329" s="30" t="s">
        <v>10738</v>
      </c>
      <c r="Q12329" t="s">
        <v>732</v>
      </c>
      <c r="R12329" t="s">
        <v>919</v>
      </c>
      <c r="S12329">
        <v>39</v>
      </c>
      <c r="T12329" s="29" t="str">
        <f t="shared" si="517"/>
        <v>2023.024M.Bunyaviricetes.zip</v>
      </c>
      <c r="U12329" s="29" t="str">
        <f>HYPERLINK("https://ictv.global/taxonomy/taxondetails?taxnode_id=202307612","ictv.global=202307612")</f>
        <v>ictv.global=202307612</v>
      </c>
    </row>
    <row r="12330" spans="1:21">
      <c r="A12330">
        <v>12329</v>
      </c>
      <c r="B12330" s="30" t="s">
        <v>1226</v>
      </c>
      <c r="D12330" s="30" t="s">
        <v>2024</v>
      </c>
      <c r="F12330" s="30" t="s">
        <v>1040</v>
      </c>
      <c r="G12330" s="30" t="s">
        <v>1061</v>
      </c>
      <c r="H12330" s="30" t="s">
        <v>17535</v>
      </c>
      <c r="J12330" s="30" t="s">
        <v>17564</v>
      </c>
      <c r="L12330" s="30" t="s">
        <v>816</v>
      </c>
      <c r="N12330" s="30" t="s">
        <v>197</v>
      </c>
      <c r="P12330" s="30" t="s">
        <v>10739</v>
      </c>
      <c r="Q12330" t="s">
        <v>732</v>
      </c>
      <c r="R12330" t="s">
        <v>919</v>
      </c>
      <c r="S12330">
        <v>39</v>
      </c>
      <c r="T12330" s="29" t="str">
        <f t="shared" si="517"/>
        <v>2023.024M.Bunyaviricetes.zip</v>
      </c>
      <c r="U12330" s="29" t="str">
        <f>HYPERLINK("https://ictv.global/taxonomy/taxondetails?taxnode_id=202307608","ictv.global=202307608")</f>
        <v>ictv.global=202307608</v>
      </c>
    </row>
    <row r="12331" spans="1:21">
      <c r="A12331">
        <v>12330</v>
      </c>
      <c r="B12331" s="30" t="s">
        <v>1226</v>
      </c>
      <c r="D12331" s="30" t="s">
        <v>2024</v>
      </c>
      <c r="F12331" s="30" t="s">
        <v>1040</v>
      </c>
      <c r="G12331" s="30" t="s">
        <v>1061</v>
      </c>
      <c r="H12331" s="30" t="s">
        <v>17535</v>
      </c>
      <c r="J12331" s="30" t="s">
        <v>17564</v>
      </c>
      <c r="L12331" s="30" t="s">
        <v>816</v>
      </c>
      <c r="N12331" s="30" t="s">
        <v>197</v>
      </c>
      <c r="P12331" s="30" t="s">
        <v>10740</v>
      </c>
      <c r="Q12331" t="s">
        <v>732</v>
      </c>
      <c r="R12331" t="s">
        <v>919</v>
      </c>
      <c r="S12331">
        <v>39</v>
      </c>
      <c r="T12331" s="29" t="str">
        <f t="shared" si="517"/>
        <v>2023.024M.Bunyaviricetes.zip</v>
      </c>
      <c r="U12331" s="29" t="str">
        <f>HYPERLINK("https://ictv.global/taxonomy/taxondetails?taxnode_id=202307616","ictv.global=202307616")</f>
        <v>ictv.global=202307616</v>
      </c>
    </row>
    <row r="12332" spans="1:21">
      <c r="A12332">
        <v>12331</v>
      </c>
      <c r="B12332" s="30" t="s">
        <v>1226</v>
      </c>
      <c r="D12332" s="30" t="s">
        <v>2024</v>
      </c>
      <c r="F12332" s="30" t="s">
        <v>1040</v>
      </c>
      <c r="G12332" s="30" t="s">
        <v>1061</v>
      </c>
      <c r="H12332" s="30" t="s">
        <v>17535</v>
      </c>
      <c r="J12332" s="30" t="s">
        <v>17564</v>
      </c>
      <c r="L12332" s="30" t="s">
        <v>816</v>
      </c>
      <c r="N12332" s="30" t="s">
        <v>197</v>
      </c>
      <c r="P12332" s="30" t="s">
        <v>10741</v>
      </c>
      <c r="Q12332" t="s">
        <v>620</v>
      </c>
      <c r="R12332" t="s">
        <v>919</v>
      </c>
      <c r="S12332">
        <v>39</v>
      </c>
      <c r="T12332" s="29" t="str">
        <f t="shared" si="517"/>
        <v>2023.024M.Bunyaviricetes.zip</v>
      </c>
      <c r="U12332" s="29" t="str">
        <f>HYPERLINK("https://ictv.global/taxonomy/taxondetails?taxnode_id=202307598","ictv.global=202307598")</f>
        <v>ictv.global=202307598</v>
      </c>
    </row>
    <row r="12333" spans="1:21">
      <c r="A12333">
        <v>12332</v>
      </c>
      <c r="B12333" s="30" t="s">
        <v>1226</v>
      </c>
      <c r="D12333" s="30" t="s">
        <v>2024</v>
      </c>
      <c r="F12333" s="30" t="s">
        <v>1040</v>
      </c>
      <c r="G12333" s="30" t="s">
        <v>1061</v>
      </c>
      <c r="H12333" s="30" t="s">
        <v>17535</v>
      </c>
      <c r="J12333" s="30" t="s">
        <v>17564</v>
      </c>
      <c r="L12333" s="30" t="s">
        <v>816</v>
      </c>
      <c r="N12333" s="30" t="s">
        <v>197</v>
      </c>
      <c r="P12333" s="30" t="s">
        <v>10742</v>
      </c>
      <c r="Q12333" t="s">
        <v>732</v>
      </c>
      <c r="R12333" t="s">
        <v>919</v>
      </c>
      <c r="S12333">
        <v>39</v>
      </c>
      <c r="T12333" s="29" t="str">
        <f t="shared" si="517"/>
        <v>2023.024M.Bunyaviricetes.zip</v>
      </c>
      <c r="U12333" s="29" t="str">
        <f>HYPERLINK("https://ictv.global/taxonomy/taxondetails?taxnode_id=202300162","ictv.global=202300162")</f>
        <v>ictv.global=202300162</v>
      </c>
    </row>
    <row r="12334" spans="1:21">
      <c r="A12334">
        <v>12333</v>
      </c>
      <c r="B12334" s="30" t="s">
        <v>1226</v>
      </c>
      <c r="D12334" s="30" t="s">
        <v>2024</v>
      </c>
      <c r="F12334" s="30" t="s">
        <v>1040</v>
      </c>
      <c r="G12334" s="30" t="s">
        <v>1061</v>
      </c>
      <c r="H12334" s="30" t="s">
        <v>17535</v>
      </c>
      <c r="J12334" s="30" t="s">
        <v>17564</v>
      </c>
      <c r="L12334" s="30" t="s">
        <v>816</v>
      </c>
      <c r="N12334" s="30" t="s">
        <v>197</v>
      </c>
      <c r="P12334" s="30" t="s">
        <v>10743</v>
      </c>
      <c r="Q12334" t="s">
        <v>732</v>
      </c>
      <c r="R12334" t="s">
        <v>919</v>
      </c>
      <c r="S12334">
        <v>39</v>
      </c>
      <c r="T12334" s="29" t="str">
        <f t="shared" si="517"/>
        <v>2023.024M.Bunyaviricetes.zip</v>
      </c>
      <c r="U12334" s="29" t="str">
        <f>HYPERLINK("https://ictv.global/taxonomy/taxondetails?taxnode_id=202307610","ictv.global=202307610")</f>
        <v>ictv.global=202307610</v>
      </c>
    </row>
    <row r="12335" spans="1:21">
      <c r="A12335">
        <v>12334</v>
      </c>
      <c r="B12335" s="30" t="s">
        <v>1226</v>
      </c>
      <c r="D12335" s="30" t="s">
        <v>2024</v>
      </c>
      <c r="F12335" s="30" t="s">
        <v>1040</v>
      </c>
      <c r="G12335" s="30" t="s">
        <v>1061</v>
      </c>
      <c r="H12335" s="30" t="s">
        <v>17535</v>
      </c>
      <c r="J12335" s="30" t="s">
        <v>17564</v>
      </c>
      <c r="L12335" s="30" t="s">
        <v>816</v>
      </c>
      <c r="N12335" s="30" t="s">
        <v>197</v>
      </c>
      <c r="P12335" s="30" t="s">
        <v>10744</v>
      </c>
      <c r="Q12335" t="s">
        <v>732</v>
      </c>
      <c r="R12335" t="s">
        <v>919</v>
      </c>
      <c r="S12335">
        <v>39</v>
      </c>
      <c r="T12335" s="29" t="str">
        <f t="shared" si="517"/>
        <v>2023.024M.Bunyaviricetes.zip</v>
      </c>
      <c r="U12335" s="29" t="str">
        <f>HYPERLINK("https://ictv.global/taxonomy/taxondetails?taxnode_id=202307618","ictv.global=202307618")</f>
        <v>ictv.global=202307618</v>
      </c>
    </row>
    <row r="12336" spans="1:21">
      <c r="A12336">
        <v>12335</v>
      </c>
      <c r="B12336" s="30" t="s">
        <v>1226</v>
      </c>
      <c r="D12336" s="30" t="s">
        <v>2024</v>
      </c>
      <c r="F12336" s="30" t="s">
        <v>1040</v>
      </c>
      <c r="G12336" s="30" t="s">
        <v>1061</v>
      </c>
      <c r="H12336" s="30" t="s">
        <v>17535</v>
      </c>
      <c r="J12336" s="30" t="s">
        <v>17564</v>
      </c>
      <c r="L12336" s="30" t="s">
        <v>816</v>
      </c>
      <c r="N12336" s="30" t="s">
        <v>197</v>
      </c>
      <c r="P12336" s="30" t="s">
        <v>10745</v>
      </c>
      <c r="Q12336" t="s">
        <v>732</v>
      </c>
      <c r="R12336" t="s">
        <v>919</v>
      </c>
      <c r="S12336">
        <v>39</v>
      </c>
      <c r="T12336" s="29" t="str">
        <f t="shared" si="517"/>
        <v>2023.024M.Bunyaviricetes.zip</v>
      </c>
      <c r="U12336" s="29" t="str">
        <f>HYPERLINK("https://ictv.global/taxonomy/taxondetails?taxnode_id=202307628","ictv.global=202307628")</f>
        <v>ictv.global=202307628</v>
      </c>
    </row>
    <row r="12337" spans="1:21">
      <c r="A12337">
        <v>12336</v>
      </c>
      <c r="B12337" s="30" t="s">
        <v>1226</v>
      </c>
      <c r="D12337" s="30" t="s">
        <v>2024</v>
      </c>
      <c r="F12337" s="30" t="s">
        <v>1040</v>
      </c>
      <c r="G12337" s="30" t="s">
        <v>1061</v>
      </c>
      <c r="H12337" s="30" t="s">
        <v>17535</v>
      </c>
      <c r="J12337" s="30" t="s">
        <v>17564</v>
      </c>
      <c r="L12337" s="30" t="s">
        <v>816</v>
      </c>
      <c r="N12337" s="30" t="s">
        <v>197</v>
      </c>
      <c r="P12337" s="30" t="s">
        <v>10746</v>
      </c>
      <c r="Q12337" t="s">
        <v>732</v>
      </c>
      <c r="R12337" t="s">
        <v>919</v>
      </c>
      <c r="S12337">
        <v>39</v>
      </c>
      <c r="T12337" s="29" t="str">
        <f t="shared" si="517"/>
        <v>2023.024M.Bunyaviricetes.zip</v>
      </c>
      <c r="U12337" s="29" t="str">
        <f>HYPERLINK("https://ictv.global/taxonomy/taxondetails?taxnode_id=202307601","ictv.global=202307601")</f>
        <v>ictv.global=202307601</v>
      </c>
    </row>
    <row r="12338" spans="1:21">
      <c r="A12338">
        <v>12337</v>
      </c>
      <c r="B12338" s="30" t="s">
        <v>1226</v>
      </c>
      <c r="D12338" s="30" t="s">
        <v>2024</v>
      </c>
      <c r="F12338" s="30" t="s">
        <v>1040</v>
      </c>
      <c r="G12338" s="30" t="s">
        <v>1061</v>
      </c>
      <c r="H12338" s="30" t="s">
        <v>17535</v>
      </c>
      <c r="J12338" s="30" t="s">
        <v>17564</v>
      </c>
      <c r="L12338" s="30" t="s">
        <v>816</v>
      </c>
      <c r="N12338" s="30" t="s">
        <v>197</v>
      </c>
      <c r="P12338" s="30" t="s">
        <v>10747</v>
      </c>
      <c r="Q12338" t="s">
        <v>732</v>
      </c>
      <c r="R12338" t="s">
        <v>919</v>
      </c>
      <c r="S12338">
        <v>39</v>
      </c>
      <c r="T12338" s="29" t="str">
        <f t="shared" si="517"/>
        <v>2023.024M.Bunyaviricetes.zip</v>
      </c>
      <c r="U12338" s="29" t="str">
        <f>HYPERLINK("https://ictv.global/taxonomy/taxondetails?taxnode_id=202307603","ictv.global=202307603")</f>
        <v>ictv.global=202307603</v>
      </c>
    </row>
    <row r="12339" spans="1:21">
      <c r="A12339">
        <v>12338</v>
      </c>
      <c r="B12339" s="30" t="s">
        <v>1226</v>
      </c>
      <c r="D12339" s="30" t="s">
        <v>2024</v>
      </c>
      <c r="F12339" s="30" t="s">
        <v>1040</v>
      </c>
      <c r="G12339" s="30" t="s">
        <v>1061</v>
      </c>
      <c r="H12339" s="30" t="s">
        <v>17535</v>
      </c>
      <c r="J12339" s="30" t="s">
        <v>17564</v>
      </c>
      <c r="L12339" s="30" t="s">
        <v>816</v>
      </c>
      <c r="N12339" s="30" t="s">
        <v>197</v>
      </c>
      <c r="P12339" s="30" t="s">
        <v>10748</v>
      </c>
      <c r="Q12339" t="s">
        <v>732</v>
      </c>
      <c r="R12339" t="s">
        <v>919</v>
      </c>
      <c r="S12339">
        <v>39</v>
      </c>
      <c r="T12339" s="29" t="str">
        <f t="shared" si="517"/>
        <v>2023.024M.Bunyaviricetes.zip</v>
      </c>
      <c r="U12339" s="29" t="str">
        <f>HYPERLINK("https://ictv.global/taxonomy/taxondetails?taxnode_id=202307617","ictv.global=202307617")</f>
        <v>ictv.global=202307617</v>
      </c>
    </row>
    <row r="12340" spans="1:21">
      <c r="A12340">
        <v>12339</v>
      </c>
      <c r="B12340" s="30" t="s">
        <v>1226</v>
      </c>
      <c r="D12340" s="30" t="s">
        <v>2024</v>
      </c>
      <c r="F12340" s="30" t="s">
        <v>1040</v>
      </c>
      <c r="G12340" s="30" t="s">
        <v>1061</v>
      </c>
      <c r="H12340" s="30" t="s">
        <v>17535</v>
      </c>
      <c r="J12340" s="30" t="s">
        <v>17564</v>
      </c>
      <c r="L12340" s="30" t="s">
        <v>816</v>
      </c>
      <c r="N12340" s="30" t="s">
        <v>1080</v>
      </c>
      <c r="P12340" s="30" t="s">
        <v>10749</v>
      </c>
      <c r="Q12340" t="s">
        <v>620</v>
      </c>
      <c r="R12340" t="s">
        <v>919</v>
      </c>
      <c r="S12340">
        <v>39</v>
      </c>
      <c r="T12340" s="29" t="str">
        <f t="shared" si="517"/>
        <v>2023.024M.Bunyaviricetes.zip</v>
      </c>
      <c r="U12340" s="29" t="str">
        <f>HYPERLINK("https://ictv.global/taxonomy/taxondetails?taxnode_id=202306236","ictv.global=202306236")</f>
        <v>ictv.global=202306236</v>
      </c>
    </row>
    <row r="12341" spans="1:21">
      <c r="A12341">
        <v>12340</v>
      </c>
      <c r="B12341" s="30" t="s">
        <v>1226</v>
      </c>
      <c r="D12341" s="30" t="s">
        <v>2024</v>
      </c>
      <c r="F12341" s="30" t="s">
        <v>1040</v>
      </c>
      <c r="G12341" s="30" t="s">
        <v>1061</v>
      </c>
      <c r="H12341" s="30" t="s">
        <v>17535</v>
      </c>
      <c r="J12341" s="30" t="s">
        <v>17564</v>
      </c>
      <c r="L12341" s="30" t="s">
        <v>816</v>
      </c>
      <c r="N12341" s="30" t="s">
        <v>1080</v>
      </c>
      <c r="P12341" s="30" t="s">
        <v>10750</v>
      </c>
      <c r="Q12341" t="s">
        <v>620</v>
      </c>
      <c r="R12341" t="s">
        <v>919</v>
      </c>
      <c r="S12341">
        <v>39</v>
      </c>
      <c r="T12341" s="29" t="str">
        <f t="shared" si="517"/>
        <v>2023.024M.Bunyaviricetes.zip</v>
      </c>
      <c r="U12341" s="29" t="str">
        <f>HYPERLINK("https://ictv.global/taxonomy/taxondetails?taxnode_id=202309829","ictv.global=202309829")</f>
        <v>ictv.global=202309829</v>
      </c>
    </row>
    <row r="12342" spans="1:21">
      <c r="A12342">
        <v>12341</v>
      </c>
      <c r="B12342" s="30" t="s">
        <v>1226</v>
      </c>
      <c r="D12342" s="30" t="s">
        <v>2024</v>
      </c>
      <c r="F12342" s="30" t="s">
        <v>1040</v>
      </c>
      <c r="G12342" s="30" t="s">
        <v>1061</v>
      </c>
      <c r="H12342" s="30" t="s">
        <v>17535</v>
      </c>
      <c r="J12342" s="30" t="s">
        <v>17564</v>
      </c>
      <c r="L12342" s="30" t="s">
        <v>816</v>
      </c>
      <c r="N12342" s="30" t="s">
        <v>2072</v>
      </c>
      <c r="P12342" s="30" t="s">
        <v>10751</v>
      </c>
      <c r="Q12342" t="s">
        <v>620</v>
      </c>
      <c r="R12342" t="s">
        <v>919</v>
      </c>
      <c r="S12342">
        <v>39</v>
      </c>
      <c r="T12342" s="29" t="str">
        <f t="shared" si="517"/>
        <v>2023.024M.Bunyaviricetes.zip</v>
      </c>
      <c r="U12342" s="29" t="str">
        <f>HYPERLINK("https://ictv.global/taxonomy/taxondetails?taxnode_id=202309837","ictv.global=202309837")</f>
        <v>ictv.global=202309837</v>
      </c>
    </row>
    <row r="12343" spans="1:21">
      <c r="A12343">
        <v>12342</v>
      </c>
      <c r="B12343" s="30" t="s">
        <v>1226</v>
      </c>
      <c r="D12343" s="30" t="s">
        <v>2024</v>
      </c>
      <c r="F12343" s="30" t="s">
        <v>1040</v>
      </c>
      <c r="G12343" s="30" t="s">
        <v>1061</v>
      </c>
      <c r="H12343" s="30" t="s">
        <v>17535</v>
      </c>
      <c r="J12343" s="30" t="s">
        <v>17564</v>
      </c>
      <c r="L12343" s="30" t="s">
        <v>816</v>
      </c>
      <c r="N12343" s="30" t="s">
        <v>2072</v>
      </c>
      <c r="P12343" s="30" t="s">
        <v>10752</v>
      </c>
      <c r="Q12343" t="s">
        <v>620</v>
      </c>
      <c r="R12343" t="s">
        <v>919</v>
      </c>
      <c r="S12343">
        <v>39</v>
      </c>
      <c r="T12343" s="29" t="str">
        <f t="shared" si="517"/>
        <v>2023.024M.Bunyaviricetes.zip</v>
      </c>
      <c r="U12343" s="29" t="str">
        <f>HYPERLINK("https://ictv.global/taxonomy/taxondetails?taxnode_id=202309836","ictv.global=202309836")</f>
        <v>ictv.global=202309836</v>
      </c>
    </row>
    <row r="12344" spans="1:21">
      <c r="A12344">
        <v>12343</v>
      </c>
      <c r="B12344" s="30" t="s">
        <v>1226</v>
      </c>
      <c r="D12344" s="30" t="s">
        <v>2024</v>
      </c>
      <c r="F12344" s="30" t="s">
        <v>1040</v>
      </c>
      <c r="G12344" s="30" t="s">
        <v>1061</v>
      </c>
      <c r="H12344" s="30" t="s">
        <v>17535</v>
      </c>
      <c r="J12344" s="30" t="s">
        <v>17564</v>
      </c>
      <c r="L12344" s="30" t="s">
        <v>816</v>
      </c>
      <c r="N12344" s="30" t="s">
        <v>2072</v>
      </c>
      <c r="P12344" s="30" t="s">
        <v>10753</v>
      </c>
      <c r="Q12344" t="s">
        <v>732</v>
      </c>
      <c r="R12344" t="s">
        <v>919</v>
      </c>
      <c r="S12344">
        <v>39</v>
      </c>
      <c r="T12344" s="29" t="str">
        <f t="shared" si="517"/>
        <v>2023.024M.Bunyaviricetes.zip</v>
      </c>
      <c r="U12344" s="29" t="str">
        <f>HYPERLINK("https://ictv.global/taxonomy/taxondetails?taxnode_id=202307648","ictv.global=202307648")</f>
        <v>ictv.global=202307648</v>
      </c>
    </row>
    <row r="12345" spans="1:21">
      <c r="A12345">
        <v>12344</v>
      </c>
      <c r="B12345" s="30" t="s">
        <v>1226</v>
      </c>
      <c r="D12345" s="30" t="s">
        <v>2024</v>
      </c>
      <c r="F12345" s="30" t="s">
        <v>1040</v>
      </c>
      <c r="G12345" s="30" t="s">
        <v>1061</v>
      </c>
      <c r="H12345" s="30" t="s">
        <v>17535</v>
      </c>
      <c r="J12345" s="30" t="s">
        <v>17564</v>
      </c>
      <c r="L12345" s="30" t="s">
        <v>816</v>
      </c>
      <c r="N12345" s="30" t="s">
        <v>2072</v>
      </c>
      <c r="P12345" s="30" t="s">
        <v>10754</v>
      </c>
      <c r="Q12345" t="s">
        <v>732</v>
      </c>
      <c r="R12345" t="s">
        <v>919</v>
      </c>
      <c r="S12345">
        <v>39</v>
      </c>
      <c r="T12345" s="29" t="str">
        <f t="shared" si="517"/>
        <v>2023.024M.Bunyaviricetes.zip</v>
      </c>
      <c r="U12345" s="29" t="str">
        <f>HYPERLINK("https://ictv.global/taxonomy/taxondetails?taxnode_id=202307649","ictv.global=202307649")</f>
        <v>ictv.global=202307649</v>
      </c>
    </row>
    <row r="12346" spans="1:21">
      <c r="A12346">
        <v>12345</v>
      </c>
      <c r="B12346" s="30" t="s">
        <v>1226</v>
      </c>
      <c r="D12346" s="30" t="s">
        <v>2024</v>
      </c>
      <c r="F12346" s="30" t="s">
        <v>1040</v>
      </c>
      <c r="G12346" s="30" t="s">
        <v>1061</v>
      </c>
      <c r="H12346" s="30" t="s">
        <v>17535</v>
      </c>
      <c r="J12346" s="30" t="s">
        <v>17564</v>
      </c>
      <c r="L12346" s="30" t="s">
        <v>816</v>
      </c>
      <c r="N12346" s="30" t="s">
        <v>3795</v>
      </c>
      <c r="P12346" s="30" t="s">
        <v>10755</v>
      </c>
      <c r="Q12346" t="s">
        <v>620</v>
      </c>
      <c r="R12346" t="s">
        <v>919</v>
      </c>
      <c r="S12346">
        <v>39</v>
      </c>
      <c r="T12346" s="29" t="str">
        <f t="shared" si="517"/>
        <v>2023.024M.Bunyaviricetes.zip</v>
      </c>
      <c r="U12346" s="29" t="str">
        <f>HYPERLINK("https://ictv.global/taxonomy/taxondetails?taxnode_id=202309842","ictv.global=202309842")</f>
        <v>ictv.global=202309842</v>
      </c>
    </row>
    <row r="12347" spans="1:21">
      <c r="A12347">
        <v>12346</v>
      </c>
      <c r="B12347" s="30" t="s">
        <v>1226</v>
      </c>
      <c r="D12347" s="30" t="s">
        <v>2024</v>
      </c>
      <c r="F12347" s="30" t="s">
        <v>1040</v>
      </c>
      <c r="G12347" s="30" t="s">
        <v>1061</v>
      </c>
      <c r="H12347" s="30" t="s">
        <v>17535</v>
      </c>
      <c r="J12347" s="30" t="s">
        <v>17564</v>
      </c>
      <c r="L12347" s="30" t="s">
        <v>816</v>
      </c>
      <c r="N12347" s="30" t="s">
        <v>283</v>
      </c>
      <c r="P12347" s="30" t="s">
        <v>10756</v>
      </c>
      <c r="Q12347" t="s">
        <v>620</v>
      </c>
      <c r="R12347" t="s">
        <v>919</v>
      </c>
      <c r="S12347">
        <v>39</v>
      </c>
      <c r="T12347" s="29" t="str">
        <f t="shared" si="517"/>
        <v>2023.024M.Bunyaviricetes.zip</v>
      </c>
      <c r="U12347" s="29" t="str">
        <f>HYPERLINK("https://ictv.global/taxonomy/taxondetails?taxnode_id=202300169","ictv.global=202300169")</f>
        <v>ictv.global=202300169</v>
      </c>
    </row>
    <row r="12348" spans="1:21">
      <c r="A12348">
        <v>12347</v>
      </c>
      <c r="B12348" s="30" t="s">
        <v>1226</v>
      </c>
      <c r="D12348" s="30" t="s">
        <v>2024</v>
      </c>
      <c r="F12348" s="30" t="s">
        <v>1040</v>
      </c>
      <c r="G12348" s="30" t="s">
        <v>1061</v>
      </c>
      <c r="H12348" s="30" t="s">
        <v>17535</v>
      </c>
      <c r="J12348" s="30" t="s">
        <v>17564</v>
      </c>
      <c r="L12348" s="30" t="s">
        <v>816</v>
      </c>
      <c r="N12348" s="30" t="s">
        <v>283</v>
      </c>
      <c r="P12348" s="30" t="s">
        <v>10757</v>
      </c>
      <c r="Q12348" t="s">
        <v>620</v>
      </c>
      <c r="R12348" t="s">
        <v>919</v>
      </c>
      <c r="S12348">
        <v>39</v>
      </c>
      <c r="T12348" s="29" t="str">
        <f t="shared" si="517"/>
        <v>2023.024M.Bunyaviricetes.zip</v>
      </c>
      <c r="U12348" s="29" t="str">
        <f>HYPERLINK("https://ictv.global/taxonomy/taxondetails?taxnode_id=202309830","ictv.global=202309830")</f>
        <v>ictv.global=202309830</v>
      </c>
    </row>
    <row r="12349" spans="1:21">
      <c r="A12349">
        <v>12348</v>
      </c>
      <c r="B12349" s="30" t="s">
        <v>1226</v>
      </c>
      <c r="D12349" s="30" t="s">
        <v>2024</v>
      </c>
      <c r="F12349" s="30" t="s">
        <v>1040</v>
      </c>
      <c r="G12349" s="30" t="s">
        <v>1061</v>
      </c>
      <c r="H12349" s="30" t="s">
        <v>17535</v>
      </c>
      <c r="J12349" s="30" t="s">
        <v>17564</v>
      </c>
      <c r="L12349" s="30" t="s">
        <v>816</v>
      </c>
      <c r="N12349" s="30" t="s">
        <v>283</v>
      </c>
      <c r="P12349" s="30" t="s">
        <v>17593</v>
      </c>
      <c r="Q12349" t="s">
        <v>620</v>
      </c>
      <c r="R12349" t="s">
        <v>917</v>
      </c>
      <c r="S12349">
        <v>39</v>
      </c>
      <c r="T12349" s="29" t="str">
        <f>HYPERLINK("https://ictv.global/ictv/proposals/2023.020M.Phenuiviridae_4nsp.zip","2023.020M.Phenuiviridae_4nsp.zip")</f>
        <v>2023.020M.Phenuiviridae_4nsp.zip</v>
      </c>
      <c r="U12349" s="29" t="str">
        <f>HYPERLINK("https://ictv.global/taxonomy/taxondetails?taxnode_id=202318488","ictv.global=202318488")</f>
        <v>ictv.global=202318488</v>
      </c>
    </row>
    <row r="12350" spans="1:21">
      <c r="A12350">
        <v>12349</v>
      </c>
      <c r="B12350" s="30" t="s">
        <v>1226</v>
      </c>
      <c r="D12350" s="30" t="s">
        <v>2024</v>
      </c>
      <c r="F12350" s="30" t="s">
        <v>1040</v>
      </c>
      <c r="G12350" s="30" t="s">
        <v>1061</v>
      </c>
      <c r="H12350" s="30" t="s">
        <v>17535</v>
      </c>
      <c r="J12350" s="30" t="s">
        <v>17564</v>
      </c>
      <c r="L12350" s="30" t="s">
        <v>816</v>
      </c>
      <c r="N12350" s="30" t="s">
        <v>283</v>
      </c>
      <c r="P12350" s="30" t="s">
        <v>17594</v>
      </c>
      <c r="Q12350" t="s">
        <v>620</v>
      </c>
      <c r="R12350" t="s">
        <v>917</v>
      </c>
      <c r="S12350">
        <v>39</v>
      </c>
      <c r="T12350" s="29" t="str">
        <f>HYPERLINK("https://ictv.global/ictv/proposals/2023.020M.Phenuiviridae_4nsp.zip","2023.020M.Phenuiviridae_4nsp.zip")</f>
        <v>2023.020M.Phenuiviridae_4nsp.zip</v>
      </c>
      <c r="U12350" s="29" t="str">
        <f>HYPERLINK("https://ictv.global/taxonomy/taxondetails?taxnode_id=202318489","ictv.global=202318489")</f>
        <v>ictv.global=202318489</v>
      </c>
    </row>
    <row r="12351" spans="1:21">
      <c r="A12351">
        <v>12350</v>
      </c>
      <c r="B12351" s="30" t="s">
        <v>1226</v>
      </c>
      <c r="D12351" s="30" t="s">
        <v>2024</v>
      </c>
      <c r="F12351" s="30" t="s">
        <v>1040</v>
      </c>
      <c r="G12351" s="30" t="s">
        <v>1061</v>
      </c>
      <c r="H12351" s="30" t="s">
        <v>17535</v>
      </c>
      <c r="J12351" s="30" t="s">
        <v>17564</v>
      </c>
      <c r="L12351" s="30" t="s">
        <v>816</v>
      </c>
      <c r="N12351" s="30" t="s">
        <v>283</v>
      </c>
      <c r="P12351" s="30" t="s">
        <v>10758</v>
      </c>
      <c r="Q12351" t="s">
        <v>620</v>
      </c>
      <c r="R12351" t="s">
        <v>919</v>
      </c>
      <c r="S12351">
        <v>39</v>
      </c>
      <c r="T12351" s="29" t="str">
        <f>HYPERLINK("https://ictv.global/ictv/proposals/2023.024M.Bunyaviricetes.zip","2023.024M.Bunyaviricetes.zip")</f>
        <v>2023.024M.Bunyaviricetes.zip</v>
      </c>
      <c r="U12351" s="29" t="str">
        <f>HYPERLINK("https://ictv.global/taxonomy/taxondetails?taxnode_id=202300172","ictv.global=202300172")</f>
        <v>ictv.global=202300172</v>
      </c>
    </row>
    <row r="12352" spans="1:21">
      <c r="A12352">
        <v>12351</v>
      </c>
      <c r="B12352" s="30" t="s">
        <v>1226</v>
      </c>
      <c r="D12352" s="30" t="s">
        <v>2024</v>
      </c>
      <c r="F12352" s="30" t="s">
        <v>1040</v>
      </c>
      <c r="G12352" s="30" t="s">
        <v>1061</v>
      </c>
      <c r="H12352" s="30" t="s">
        <v>17535</v>
      </c>
      <c r="J12352" s="30" t="s">
        <v>17564</v>
      </c>
      <c r="L12352" s="30" t="s">
        <v>816</v>
      </c>
      <c r="N12352" s="30" t="s">
        <v>283</v>
      </c>
      <c r="P12352" s="30" t="s">
        <v>10759</v>
      </c>
      <c r="Q12352" t="s">
        <v>620</v>
      </c>
      <c r="R12352" t="s">
        <v>919</v>
      </c>
      <c r="S12352">
        <v>39</v>
      </c>
      <c r="T12352" s="29" t="str">
        <f>HYPERLINK("https://ictv.global/ictv/proposals/2023.024M.Bunyaviricetes.zip","2023.024M.Bunyaviricetes.zip")</f>
        <v>2023.024M.Bunyaviricetes.zip</v>
      </c>
      <c r="U12352" s="29" t="str">
        <f>HYPERLINK("https://ictv.global/taxonomy/taxondetails?taxnode_id=202300174","ictv.global=202300174")</f>
        <v>ictv.global=202300174</v>
      </c>
    </row>
    <row r="12353" spans="1:21">
      <c r="A12353">
        <v>12352</v>
      </c>
      <c r="B12353" s="30" t="s">
        <v>1226</v>
      </c>
      <c r="D12353" s="30" t="s">
        <v>2024</v>
      </c>
      <c r="F12353" s="30" t="s">
        <v>1040</v>
      </c>
      <c r="G12353" s="30" t="s">
        <v>1061</v>
      </c>
      <c r="H12353" s="30" t="s">
        <v>17535</v>
      </c>
      <c r="J12353" s="30" t="s">
        <v>17564</v>
      </c>
      <c r="L12353" s="30" t="s">
        <v>816</v>
      </c>
      <c r="N12353" s="30" t="s">
        <v>283</v>
      </c>
      <c r="P12353" s="30" t="s">
        <v>10760</v>
      </c>
      <c r="Q12353" t="s">
        <v>620</v>
      </c>
      <c r="R12353" t="s">
        <v>919</v>
      </c>
      <c r="S12353">
        <v>39</v>
      </c>
      <c r="T12353" s="29" t="str">
        <f>HYPERLINK("https://ictv.global/ictv/proposals/2023.024M.Bunyaviricetes.zip","2023.024M.Bunyaviricetes.zip")</f>
        <v>2023.024M.Bunyaviricetes.zip</v>
      </c>
      <c r="U12353" s="29" t="str">
        <f>HYPERLINK("https://ictv.global/taxonomy/taxondetails?taxnode_id=202300173","ictv.global=202300173")</f>
        <v>ictv.global=202300173</v>
      </c>
    </row>
    <row r="12354" spans="1:21">
      <c r="A12354">
        <v>12353</v>
      </c>
      <c r="B12354" s="30" t="s">
        <v>1226</v>
      </c>
      <c r="D12354" s="30" t="s">
        <v>2024</v>
      </c>
      <c r="F12354" s="30" t="s">
        <v>1040</v>
      </c>
      <c r="G12354" s="30" t="s">
        <v>1061</v>
      </c>
      <c r="H12354" s="30" t="s">
        <v>17535</v>
      </c>
      <c r="J12354" s="30" t="s">
        <v>17564</v>
      </c>
      <c r="L12354" s="30" t="s">
        <v>816</v>
      </c>
      <c r="N12354" s="30" t="s">
        <v>283</v>
      </c>
      <c r="P12354" s="30" t="s">
        <v>10761</v>
      </c>
      <c r="Q12354" t="s">
        <v>620</v>
      </c>
      <c r="R12354" t="s">
        <v>919</v>
      </c>
      <c r="S12354">
        <v>39</v>
      </c>
      <c r="T12354" s="29" t="str">
        <f>HYPERLINK("https://ictv.global/ictv/proposals/2023.024M.Bunyaviricetes.zip","2023.024M.Bunyaviricetes.zip")</f>
        <v>2023.024M.Bunyaviricetes.zip</v>
      </c>
      <c r="U12354" s="29" t="str">
        <f>HYPERLINK("https://ictv.global/taxonomy/taxondetails?taxnode_id=202300170","ictv.global=202300170")</f>
        <v>ictv.global=202300170</v>
      </c>
    </row>
    <row r="12355" spans="1:21">
      <c r="A12355">
        <v>12354</v>
      </c>
      <c r="B12355" s="30" t="s">
        <v>1226</v>
      </c>
      <c r="D12355" s="30" t="s">
        <v>2024</v>
      </c>
      <c r="F12355" s="30" t="s">
        <v>1040</v>
      </c>
      <c r="G12355" s="30" t="s">
        <v>1061</v>
      </c>
      <c r="H12355" s="30" t="s">
        <v>17535</v>
      </c>
      <c r="J12355" s="30" t="s">
        <v>17564</v>
      </c>
      <c r="L12355" s="30" t="s">
        <v>816</v>
      </c>
      <c r="N12355" s="30" t="s">
        <v>283</v>
      </c>
      <c r="P12355" s="30" t="s">
        <v>17595</v>
      </c>
      <c r="Q12355" t="s">
        <v>620</v>
      </c>
      <c r="R12355" t="s">
        <v>917</v>
      </c>
      <c r="S12355">
        <v>39</v>
      </c>
      <c r="T12355" s="29" t="str">
        <f>HYPERLINK("https://ictv.global/ictv/proposals/2023.020M.Phenuiviridae_4nsp.zip","2023.020M.Phenuiviridae_4nsp.zip")</f>
        <v>2023.020M.Phenuiviridae_4nsp.zip</v>
      </c>
      <c r="U12355" s="29" t="str">
        <f>HYPERLINK("https://ictv.global/taxonomy/taxondetails?taxnode_id=202318490","ictv.global=202318490")</f>
        <v>ictv.global=202318490</v>
      </c>
    </row>
    <row r="12356" spans="1:21">
      <c r="A12356">
        <v>12355</v>
      </c>
      <c r="B12356" s="30" t="s">
        <v>1226</v>
      </c>
      <c r="D12356" s="30" t="s">
        <v>2024</v>
      </c>
      <c r="F12356" s="30" t="s">
        <v>1040</v>
      </c>
      <c r="G12356" s="30" t="s">
        <v>1061</v>
      </c>
      <c r="H12356" s="30" t="s">
        <v>17535</v>
      </c>
      <c r="J12356" s="30" t="s">
        <v>17564</v>
      </c>
      <c r="L12356" s="30" t="s">
        <v>816</v>
      </c>
      <c r="N12356" s="30" t="s">
        <v>283</v>
      </c>
      <c r="P12356" s="30" t="s">
        <v>10762</v>
      </c>
      <c r="Q12356" t="s">
        <v>620</v>
      </c>
      <c r="R12356" t="s">
        <v>919</v>
      </c>
      <c r="S12356">
        <v>39</v>
      </c>
      <c r="T12356" s="29" t="str">
        <f t="shared" ref="T12356:T12377" si="518">HYPERLINK("https://ictv.global/ictv/proposals/2023.024M.Bunyaviricetes.zip","2023.024M.Bunyaviricetes.zip")</f>
        <v>2023.024M.Bunyaviricetes.zip</v>
      </c>
      <c r="U12356" s="29" t="str">
        <f>HYPERLINK("https://ictv.global/taxonomy/taxondetails?taxnode_id=202300175","ictv.global=202300175")</f>
        <v>ictv.global=202300175</v>
      </c>
    </row>
    <row r="12357" spans="1:21">
      <c r="A12357">
        <v>12356</v>
      </c>
      <c r="B12357" s="30" t="s">
        <v>1226</v>
      </c>
      <c r="D12357" s="30" t="s">
        <v>2024</v>
      </c>
      <c r="F12357" s="30" t="s">
        <v>1040</v>
      </c>
      <c r="G12357" s="30" t="s">
        <v>1061</v>
      </c>
      <c r="H12357" s="30" t="s">
        <v>17535</v>
      </c>
      <c r="J12357" s="30" t="s">
        <v>17564</v>
      </c>
      <c r="L12357" s="30" t="s">
        <v>816</v>
      </c>
      <c r="N12357" s="30" t="s">
        <v>283</v>
      </c>
      <c r="P12357" s="30" t="s">
        <v>10763</v>
      </c>
      <c r="Q12357" t="s">
        <v>620</v>
      </c>
      <c r="R12357" t="s">
        <v>919</v>
      </c>
      <c r="S12357">
        <v>39</v>
      </c>
      <c r="T12357" s="29" t="str">
        <f t="shared" si="518"/>
        <v>2023.024M.Bunyaviricetes.zip</v>
      </c>
      <c r="U12357" s="29" t="str">
        <f>HYPERLINK("https://ictv.global/taxonomy/taxondetails?taxnode_id=202300171","ictv.global=202300171")</f>
        <v>ictv.global=202300171</v>
      </c>
    </row>
    <row r="12358" spans="1:21">
      <c r="A12358">
        <v>12357</v>
      </c>
      <c r="B12358" s="30" t="s">
        <v>1226</v>
      </c>
      <c r="D12358" s="30" t="s">
        <v>2024</v>
      </c>
      <c r="F12358" s="30" t="s">
        <v>1040</v>
      </c>
      <c r="G12358" s="30" t="s">
        <v>1061</v>
      </c>
      <c r="H12358" s="30" t="s">
        <v>17535</v>
      </c>
      <c r="J12358" s="30" t="s">
        <v>17564</v>
      </c>
      <c r="L12358" s="30" t="s">
        <v>816</v>
      </c>
      <c r="N12358" s="30" t="s">
        <v>2073</v>
      </c>
      <c r="P12358" s="30" t="s">
        <v>10764</v>
      </c>
      <c r="Q12358" t="s">
        <v>732</v>
      </c>
      <c r="R12358" t="s">
        <v>919</v>
      </c>
      <c r="S12358">
        <v>39</v>
      </c>
      <c r="T12358" s="29" t="str">
        <f t="shared" si="518"/>
        <v>2023.024M.Bunyaviricetes.zip</v>
      </c>
      <c r="U12358" s="29" t="str">
        <f>HYPERLINK("https://ictv.global/taxonomy/taxondetails?taxnode_id=202307581","ictv.global=202307581")</f>
        <v>ictv.global=202307581</v>
      </c>
    </row>
    <row r="12359" spans="1:21">
      <c r="A12359">
        <v>12358</v>
      </c>
      <c r="B12359" s="30" t="s">
        <v>1226</v>
      </c>
      <c r="D12359" s="30" t="s">
        <v>2024</v>
      </c>
      <c r="F12359" s="30" t="s">
        <v>1040</v>
      </c>
      <c r="G12359" s="30" t="s">
        <v>1061</v>
      </c>
      <c r="H12359" s="30" t="s">
        <v>17535</v>
      </c>
      <c r="J12359" s="30" t="s">
        <v>17564</v>
      </c>
      <c r="L12359" s="30" t="s">
        <v>816</v>
      </c>
      <c r="N12359" s="30" t="s">
        <v>2073</v>
      </c>
      <c r="P12359" s="30" t="s">
        <v>10765</v>
      </c>
      <c r="Q12359" t="s">
        <v>732</v>
      </c>
      <c r="R12359" t="s">
        <v>919</v>
      </c>
      <c r="S12359">
        <v>39</v>
      </c>
      <c r="T12359" s="29" t="str">
        <f t="shared" si="518"/>
        <v>2023.024M.Bunyaviricetes.zip</v>
      </c>
      <c r="U12359" s="29" t="str">
        <f>HYPERLINK("https://ictv.global/taxonomy/taxondetails?taxnode_id=202307569","ictv.global=202307569")</f>
        <v>ictv.global=202307569</v>
      </c>
    </row>
    <row r="12360" spans="1:21">
      <c r="A12360">
        <v>12359</v>
      </c>
      <c r="B12360" s="30" t="s">
        <v>1226</v>
      </c>
      <c r="D12360" s="30" t="s">
        <v>2024</v>
      </c>
      <c r="F12360" s="30" t="s">
        <v>1040</v>
      </c>
      <c r="G12360" s="30" t="s">
        <v>1061</v>
      </c>
      <c r="H12360" s="30" t="s">
        <v>17535</v>
      </c>
      <c r="J12360" s="30" t="s">
        <v>17564</v>
      </c>
      <c r="L12360" s="30" t="s">
        <v>816</v>
      </c>
      <c r="N12360" s="30" t="s">
        <v>2073</v>
      </c>
      <c r="P12360" s="30" t="s">
        <v>10766</v>
      </c>
      <c r="Q12360" t="s">
        <v>732</v>
      </c>
      <c r="R12360" t="s">
        <v>919</v>
      </c>
      <c r="S12360">
        <v>39</v>
      </c>
      <c r="T12360" s="29" t="str">
        <f t="shared" si="518"/>
        <v>2023.024M.Bunyaviricetes.zip</v>
      </c>
      <c r="U12360" s="29" t="str">
        <f>HYPERLINK("https://ictv.global/taxonomy/taxondetails?taxnode_id=202307575","ictv.global=202307575")</f>
        <v>ictv.global=202307575</v>
      </c>
    </row>
    <row r="12361" spans="1:21">
      <c r="A12361">
        <v>12360</v>
      </c>
      <c r="B12361" s="30" t="s">
        <v>1226</v>
      </c>
      <c r="D12361" s="30" t="s">
        <v>2024</v>
      </c>
      <c r="F12361" s="30" t="s">
        <v>1040</v>
      </c>
      <c r="G12361" s="30" t="s">
        <v>1061</v>
      </c>
      <c r="H12361" s="30" t="s">
        <v>17535</v>
      </c>
      <c r="J12361" s="30" t="s">
        <v>17564</v>
      </c>
      <c r="L12361" s="30" t="s">
        <v>816</v>
      </c>
      <c r="N12361" s="30" t="s">
        <v>2073</v>
      </c>
      <c r="P12361" s="30" t="s">
        <v>10767</v>
      </c>
      <c r="Q12361" t="s">
        <v>732</v>
      </c>
      <c r="R12361" t="s">
        <v>919</v>
      </c>
      <c r="S12361">
        <v>39</v>
      </c>
      <c r="T12361" s="29" t="str">
        <f t="shared" si="518"/>
        <v>2023.024M.Bunyaviricetes.zip</v>
      </c>
      <c r="U12361" s="29" t="str">
        <f>HYPERLINK("https://ictv.global/taxonomy/taxondetails?taxnode_id=202307570","ictv.global=202307570")</f>
        <v>ictv.global=202307570</v>
      </c>
    </row>
    <row r="12362" spans="1:21">
      <c r="A12362">
        <v>12361</v>
      </c>
      <c r="B12362" s="30" t="s">
        <v>1226</v>
      </c>
      <c r="D12362" s="30" t="s">
        <v>2024</v>
      </c>
      <c r="F12362" s="30" t="s">
        <v>1040</v>
      </c>
      <c r="G12362" s="30" t="s">
        <v>1061</v>
      </c>
      <c r="H12362" s="30" t="s">
        <v>17535</v>
      </c>
      <c r="J12362" s="30" t="s">
        <v>17564</v>
      </c>
      <c r="L12362" s="30" t="s">
        <v>816</v>
      </c>
      <c r="N12362" s="30" t="s">
        <v>2073</v>
      </c>
      <c r="P12362" s="30" t="s">
        <v>10768</v>
      </c>
      <c r="Q12362" t="s">
        <v>620</v>
      </c>
      <c r="R12362" t="s">
        <v>919</v>
      </c>
      <c r="S12362">
        <v>39</v>
      </c>
      <c r="T12362" s="29" t="str">
        <f t="shared" si="518"/>
        <v>2023.024M.Bunyaviricetes.zip</v>
      </c>
      <c r="U12362" s="29" t="str">
        <f>HYPERLINK("https://ictv.global/taxonomy/taxondetails?taxnode_id=202306613","ictv.global=202306613")</f>
        <v>ictv.global=202306613</v>
      </c>
    </row>
    <row r="12363" spans="1:21">
      <c r="A12363">
        <v>12362</v>
      </c>
      <c r="B12363" s="30" t="s">
        <v>1226</v>
      </c>
      <c r="D12363" s="30" t="s">
        <v>2024</v>
      </c>
      <c r="F12363" s="30" t="s">
        <v>1040</v>
      </c>
      <c r="G12363" s="30" t="s">
        <v>1061</v>
      </c>
      <c r="H12363" s="30" t="s">
        <v>17535</v>
      </c>
      <c r="J12363" s="30" t="s">
        <v>17564</v>
      </c>
      <c r="L12363" s="30" t="s">
        <v>816</v>
      </c>
      <c r="N12363" s="30" t="s">
        <v>2073</v>
      </c>
      <c r="P12363" s="30" t="s">
        <v>10769</v>
      </c>
      <c r="Q12363" t="s">
        <v>620</v>
      </c>
      <c r="R12363" t="s">
        <v>919</v>
      </c>
      <c r="S12363">
        <v>39</v>
      </c>
      <c r="T12363" s="29" t="str">
        <f t="shared" si="518"/>
        <v>2023.024M.Bunyaviricetes.zip</v>
      </c>
      <c r="U12363" s="29" t="str">
        <f>HYPERLINK("https://ictv.global/taxonomy/taxondetails?taxnode_id=202306614","ictv.global=202306614")</f>
        <v>ictv.global=202306614</v>
      </c>
    </row>
    <row r="12364" spans="1:21">
      <c r="A12364">
        <v>12363</v>
      </c>
      <c r="B12364" s="30" t="s">
        <v>1226</v>
      </c>
      <c r="D12364" s="30" t="s">
        <v>2024</v>
      </c>
      <c r="F12364" s="30" t="s">
        <v>1040</v>
      </c>
      <c r="G12364" s="30" t="s">
        <v>1061</v>
      </c>
      <c r="H12364" s="30" t="s">
        <v>17535</v>
      </c>
      <c r="J12364" s="30" t="s">
        <v>17564</v>
      </c>
      <c r="L12364" s="30" t="s">
        <v>816</v>
      </c>
      <c r="N12364" s="30" t="s">
        <v>2073</v>
      </c>
      <c r="P12364" s="30" t="s">
        <v>10770</v>
      </c>
      <c r="Q12364" t="s">
        <v>732</v>
      </c>
      <c r="R12364" t="s">
        <v>919</v>
      </c>
      <c r="S12364">
        <v>39</v>
      </c>
      <c r="T12364" s="29" t="str">
        <f t="shared" si="518"/>
        <v>2023.024M.Bunyaviricetes.zip</v>
      </c>
      <c r="U12364" s="29" t="str">
        <f>HYPERLINK("https://ictv.global/taxonomy/taxondetails?taxnode_id=202307579","ictv.global=202307579")</f>
        <v>ictv.global=202307579</v>
      </c>
    </row>
    <row r="12365" spans="1:21">
      <c r="A12365">
        <v>12364</v>
      </c>
      <c r="B12365" s="30" t="s">
        <v>1226</v>
      </c>
      <c r="D12365" s="30" t="s">
        <v>2024</v>
      </c>
      <c r="F12365" s="30" t="s">
        <v>1040</v>
      </c>
      <c r="G12365" s="30" t="s">
        <v>1061</v>
      </c>
      <c r="H12365" s="30" t="s">
        <v>17535</v>
      </c>
      <c r="J12365" s="30" t="s">
        <v>17564</v>
      </c>
      <c r="L12365" s="30" t="s">
        <v>816</v>
      </c>
      <c r="N12365" s="30" t="s">
        <v>2073</v>
      </c>
      <c r="P12365" s="30" t="s">
        <v>10771</v>
      </c>
      <c r="Q12365" t="s">
        <v>732</v>
      </c>
      <c r="R12365" t="s">
        <v>919</v>
      </c>
      <c r="S12365">
        <v>39</v>
      </c>
      <c r="T12365" s="29" t="str">
        <f t="shared" si="518"/>
        <v>2023.024M.Bunyaviricetes.zip</v>
      </c>
      <c r="U12365" s="29" t="str">
        <f>HYPERLINK("https://ictv.global/taxonomy/taxondetails?taxnode_id=202307572","ictv.global=202307572")</f>
        <v>ictv.global=202307572</v>
      </c>
    </row>
    <row r="12366" spans="1:21">
      <c r="A12366">
        <v>12365</v>
      </c>
      <c r="B12366" s="30" t="s">
        <v>1226</v>
      </c>
      <c r="D12366" s="30" t="s">
        <v>2024</v>
      </c>
      <c r="F12366" s="30" t="s">
        <v>1040</v>
      </c>
      <c r="G12366" s="30" t="s">
        <v>1061</v>
      </c>
      <c r="H12366" s="30" t="s">
        <v>17535</v>
      </c>
      <c r="J12366" s="30" t="s">
        <v>17564</v>
      </c>
      <c r="L12366" s="30" t="s">
        <v>816</v>
      </c>
      <c r="N12366" s="30" t="s">
        <v>2073</v>
      </c>
      <c r="P12366" s="30" t="s">
        <v>10772</v>
      </c>
      <c r="Q12366" t="s">
        <v>732</v>
      </c>
      <c r="R12366" t="s">
        <v>919</v>
      </c>
      <c r="S12366">
        <v>39</v>
      </c>
      <c r="T12366" s="29" t="str">
        <f t="shared" si="518"/>
        <v>2023.024M.Bunyaviricetes.zip</v>
      </c>
      <c r="U12366" s="29" t="str">
        <f>HYPERLINK("https://ictv.global/taxonomy/taxondetails?taxnode_id=202307577","ictv.global=202307577")</f>
        <v>ictv.global=202307577</v>
      </c>
    </row>
    <row r="12367" spans="1:21">
      <c r="A12367">
        <v>12366</v>
      </c>
      <c r="B12367" s="30" t="s">
        <v>1226</v>
      </c>
      <c r="D12367" s="30" t="s">
        <v>2024</v>
      </c>
      <c r="F12367" s="30" t="s">
        <v>1040</v>
      </c>
      <c r="G12367" s="30" t="s">
        <v>1061</v>
      </c>
      <c r="H12367" s="30" t="s">
        <v>17535</v>
      </c>
      <c r="J12367" s="30" t="s">
        <v>17564</v>
      </c>
      <c r="L12367" s="30" t="s">
        <v>816</v>
      </c>
      <c r="N12367" s="30" t="s">
        <v>2073</v>
      </c>
      <c r="P12367" s="30" t="s">
        <v>10773</v>
      </c>
      <c r="Q12367" t="s">
        <v>732</v>
      </c>
      <c r="R12367" t="s">
        <v>919</v>
      </c>
      <c r="S12367">
        <v>39</v>
      </c>
      <c r="T12367" s="29" t="str">
        <f t="shared" si="518"/>
        <v>2023.024M.Bunyaviricetes.zip</v>
      </c>
      <c r="U12367" s="29" t="str">
        <f>HYPERLINK("https://ictv.global/taxonomy/taxondetails?taxnode_id=202307578","ictv.global=202307578")</f>
        <v>ictv.global=202307578</v>
      </c>
    </row>
    <row r="12368" spans="1:21">
      <c r="A12368">
        <v>12367</v>
      </c>
      <c r="B12368" s="30" t="s">
        <v>1226</v>
      </c>
      <c r="D12368" s="30" t="s">
        <v>2024</v>
      </c>
      <c r="F12368" s="30" t="s">
        <v>1040</v>
      </c>
      <c r="G12368" s="30" t="s">
        <v>1061</v>
      </c>
      <c r="H12368" s="30" t="s">
        <v>17535</v>
      </c>
      <c r="J12368" s="30" t="s">
        <v>17564</v>
      </c>
      <c r="L12368" s="30" t="s">
        <v>816</v>
      </c>
      <c r="N12368" s="30" t="s">
        <v>2073</v>
      </c>
      <c r="P12368" s="30" t="s">
        <v>10774</v>
      </c>
      <c r="Q12368" t="s">
        <v>732</v>
      </c>
      <c r="R12368" t="s">
        <v>919</v>
      </c>
      <c r="S12368">
        <v>39</v>
      </c>
      <c r="T12368" s="29" t="str">
        <f t="shared" si="518"/>
        <v>2023.024M.Bunyaviricetes.zip</v>
      </c>
      <c r="U12368" s="29" t="str">
        <f>HYPERLINK("https://ictv.global/taxonomy/taxondetails?taxnode_id=202307573","ictv.global=202307573")</f>
        <v>ictv.global=202307573</v>
      </c>
    </row>
    <row r="12369" spans="1:21">
      <c r="A12369">
        <v>12368</v>
      </c>
      <c r="B12369" s="30" t="s">
        <v>1226</v>
      </c>
      <c r="D12369" s="30" t="s">
        <v>2024</v>
      </c>
      <c r="F12369" s="30" t="s">
        <v>1040</v>
      </c>
      <c r="G12369" s="30" t="s">
        <v>1061</v>
      </c>
      <c r="H12369" s="30" t="s">
        <v>17535</v>
      </c>
      <c r="J12369" s="30" t="s">
        <v>17564</v>
      </c>
      <c r="L12369" s="30" t="s">
        <v>816</v>
      </c>
      <c r="N12369" s="30" t="s">
        <v>2073</v>
      </c>
      <c r="P12369" s="30" t="s">
        <v>10775</v>
      </c>
      <c r="Q12369" t="s">
        <v>732</v>
      </c>
      <c r="R12369" t="s">
        <v>919</v>
      </c>
      <c r="S12369">
        <v>39</v>
      </c>
      <c r="T12369" s="29" t="str">
        <f t="shared" si="518"/>
        <v>2023.024M.Bunyaviricetes.zip</v>
      </c>
      <c r="U12369" s="29" t="str">
        <f>HYPERLINK("https://ictv.global/taxonomy/taxondetails?taxnode_id=202307580","ictv.global=202307580")</f>
        <v>ictv.global=202307580</v>
      </c>
    </row>
    <row r="12370" spans="1:21">
      <c r="A12370">
        <v>12369</v>
      </c>
      <c r="B12370" s="30" t="s">
        <v>1226</v>
      </c>
      <c r="D12370" s="30" t="s">
        <v>2024</v>
      </c>
      <c r="F12370" s="30" t="s">
        <v>1040</v>
      </c>
      <c r="G12370" s="30" t="s">
        <v>1061</v>
      </c>
      <c r="H12370" s="30" t="s">
        <v>17535</v>
      </c>
      <c r="J12370" s="30" t="s">
        <v>17564</v>
      </c>
      <c r="L12370" s="30" t="s">
        <v>816</v>
      </c>
      <c r="N12370" s="30" t="s">
        <v>2073</v>
      </c>
      <c r="P12370" s="30" t="s">
        <v>10776</v>
      </c>
      <c r="Q12370" t="s">
        <v>732</v>
      </c>
      <c r="R12370" t="s">
        <v>919</v>
      </c>
      <c r="S12370">
        <v>39</v>
      </c>
      <c r="T12370" s="29" t="str">
        <f t="shared" si="518"/>
        <v>2023.024M.Bunyaviricetes.zip</v>
      </c>
      <c r="U12370" s="29" t="str">
        <f>HYPERLINK("https://ictv.global/taxonomy/taxondetails?taxnode_id=202307571","ictv.global=202307571")</f>
        <v>ictv.global=202307571</v>
      </c>
    </row>
    <row r="12371" spans="1:21">
      <c r="A12371">
        <v>12370</v>
      </c>
      <c r="B12371" s="30" t="s">
        <v>1226</v>
      </c>
      <c r="D12371" s="30" t="s">
        <v>2024</v>
      </c>
      <c r="F12371" s="30" t="s">
        <v>1040</v>
      </c>
      <c r="G12371" s="30" t="s">
        <v>1061</v>
      </c>
      <c r="H12371" s="30" t="s">
        <v>17535</v>
      </c>
      <c r="J12371" s="30" t="s">
        <v>17564</v>
      </c>
      <c r="L12371" s="30" t="s">
        <v>816</v>
      </c>
      <c r="N12371" s="30" t="s">
        <v>2073</v>
      </c>
      <c r="P12371" s="30" t="s">
        <v>10777</v>
      </c>
      <c r="Q12371" t="s">
        <v>620</v>
      </c>
      <c r="R12371" t="s">
        <v>919</v>
      </c>
      <c r="S12371">
        <v>39</v>
      </c>
      <c r="T12371" s="29" t="str">
        <f t="shared" si="518"/>
        <v>2023.024M.Bunyaviricetes.zip</v>
      </c>
      <c r="U12371" s="29" t="str">
        <f>HYPERLINK("https://ictv.global/taxonomy/taxondetails?taxnode_id=202314257","ictv.global=202314257")</f>
        <v>ictv.global=202314257</v>
      </c>
    </row>
    <row r="12372" spans="1:21">
      <c r="A12372">
        <v>12371</v>
      </c>
      <c r="B12372" s="30" t="s">
        <v>1226</v>
      </c>
      <c r="D12372" s="30" t="s">
        <v>2024</v>
      </c>
      <c r="F12372" s="30" t="s">
        <v>1040</v>
      </c>
      <c r="G12372" s="30" t="s">
        <v>1061</v>
      </c>
      <c r="H12372" s="30" t="s">
        <v>17535</v>
      </c>
      <c r="J12372" s="30" t="s">
        <v>17564</v>
      </c>
      <c r="L12372" s="30" t="s">
        <v>816</v>
      </c>
      <c r="N12372" s="30" t="s">
        <v>2073</v>
      </c>
      <c r="P12372" s="30" t="s">
        <v>10778</v>
      </c>
      <c r="Q12372" t="s">
        <v>732</v>
      </c>
      <c r="R12372" t="s">
        <v>919</v>
      </c>
      <c r="S12372">
        <v>39</v>
      </c>
      <c r="T12372" s="29" t="str">
        <f t="shared" si="518"/>
        <v>2023.024M.Bunyaviricetes.zip</v>
      </c>
      <c r="U12372" s="29" t="str">
        <f>HYPERLINK("https://ictv.global/taxonomy/taxondetails?taxnode_id=202307574","ictv.global=202307574")</f>
        <v>ictv.global=202307574</v>
      </c>
    </row>
    <row r="12373" spans="1:21">
      <c r="A12373">
        <v>12372</v>
      </c>
      <c r="B12373" s="30" t="s">
        <v>1226</v>
      </c>
      <c r="D12373" s="30" t="s">
        <v>2024</v>
      </c>
      <c r="F12373" s="30" t="s">
        <v>1040</v>
      </c>
      <c r="G12373" s="30" t="s">
        <v>1061</v>
      </c>
      <c r="H12373" s="30" t="s">
        <v>17535</v>
      </c>
      <c r="J12373" s="30" t="s">
        <v>17564</v>
      </c>
      <c r="L12373" s="30" t="s">
        <v>816</v>
      </c>
      <c r="N12373" s="30" t="s">
        <v>2073</v>
      </c>
      <c r="P12373" s="30" t="s">
        <v>10779</v>
      </c>
      <c r="Q12373" t="s">
        <v>732</v>
      </c>
      <c r="R12373" t="s">
        <v>919</v>
      </c>
      <c r="S12373">
        <v>39</v>
      </c>
      <c r="T12373" s="29" t="str">
        <f t="shared" si="518"/>
        <v>2023.024M.Bunyaviricetes.zip</v>
      </c>
      <c r="U12373" s="29" t="str">
        <f>HYPERLINK("https://ictv.global/taxonomy/taxondetails?taxnode_id=202307576","ictv.global=202307576")</f>
        <v>ictv.global=202307576</v>
      </c>
    </row>
    <row r="12374" spans="1:21">
      <c r="A12374">
        <v>12373</v>
      </c>
      <c r="B12374" s="30" t="s">
        <v>1226</v>
      </c>
      <c r="D12374" s="30" t="s">
        <v>2024</v>
      </c>
      <c r="F12374" s="30" t="s">
        <v>1040</v>
      </c>
      <c r="G12374" s="30" t="s">
        <v>1061</v>
      </c>
      <c r="H12374" s="30" t="s">
        <v>17535</v>
      </c>
      <c r="J12374" s="30" t="s">
        <v>17564</v>
      </c>
      <c r="L12374" s="30" t="s">
        <v>816</v>
      </c>
      <c r="N12374" s="30" t="s">
        <v>2073</v>
      </c>
      <c r="P12374" s="30" t="s">
        <v>10780</v>
      </c>
      <c r="Q12374" t="s">
        <v>620</v>
      </c>
      <c r="R12374" t="s">
        <v>919</v>
      </c>
      <c r="S12374">
        <v>39</v>
      </c>
      <c r="T12374" s="29" t="str">
        <f t="shared" si="518"/>
        <v>2023.024M.Bunyaviricetes.zip</v>
      </c>
      <c r="U12374" s="29" t="str">
        <f>HYPERLINK("https://ictv.global/taxonomy/taxondetails?taxnode_id=202300167","ictv.global=202300167")</f>
        <v>ictv.global=202300167</v>
      </c>
    </row>
    <row r="12375" spans="1:21">
      <c r="A12375">
        <v>12374</v>
      </c>
      <c r="B12375" s="30" t="s">
        <v>1226</v>
      </c>
      <c r="D12375" s="30" t="s">
        <v>2024</v>
      </c>
      <c r="F12375" s="30" t="s">
        <v>1040</v>
      </c>
      <c r="G12375" s="30" t="s">
        <v>1061</v>
      </c>
      <c r="H12375" s="30" t="s">
        <v>17535</v>
      </c>
      <c r="J12375" s="30" t="s">
        <v>17564</v>
      </c>
      <c r="L12375" s="30" t="s">
        <v>816</v>
      </c>
      <c r="N12375" s="30" t="s">
        <v>2073</v>
      </c>
      <c r="P12375" s="30" t="s">
        <v>10781</v>
      </c>
      <c r="Q12375" t="s">
        <v>732</v>
      </c>
      <c r="R12375" t="s">
        <v>919</v>
      </c>
      <c r="S12375">
        <v>39</v>
      </c>
      <c r="T12375" s="29" t="str">
        <f t="shared" si="518"/>
        <v>2023.024M.Bunyaviricetes.zip</v>
      </c>
      <c r="U12375" s="29" t="str">
        <f>HYPERLINK("https://ictv.global/taxonomy/taxondetails?taxnode_id=202307582","ictv.global=202307582")</f>
        <v>ictv.global=202307582</v>
      </c>
    </row>
    <row r="12376" spans="1:21">
      <c r="A12376">
        <v>12375</v>
      </c>
      <c r="B12376" s="30" t="s">
        <v>1226</v>
      </c>
      <c r="D12376" s="30" t="s">
        <v>2024</v>
      </c>
      <c r="F12376" s="30" t="s">
        <v>1040</v>
      </c>
      <c r="G12376" s="30" t="s">
        <v>1061</v>
      </c>
      <c r="H12376" s="30" t="s">
        <v>17535</v>
      </c>
      <c r="J12376" s="30" t="s">
        <v>17564</v>
      </c>
      <c r="L12376" s="30" t="s">
        <v>816</v>
      </c>
      <c r="N12376" s="30" t="s">
        <v>1258</v>
      </c>
      <c r="P12376" s="30" t="s">
        <v>10782</v>
      </c>
      <c r="Q12376" t="s">
        <v>620</v>
      </c>
      <c r="R12376" t="s">
        <v>919</v>
      </c>
      <c r="S12376">
        <v>39</v>
      </c>
      <c r="T12376" s="29" t="str">
        <f t="shared" si="518"/>
        <v>2023.024M.Bunyaviricetes.zip</v>
      </c>
      <c r="U12376" s="29" t="str">
        <f>HYPERLINK("https://ictv.global/taxonomy/taxondetails?taxnode_id=202306611","ictv.global=202306611")</f>
        <v>ictv.global=202306611</v>
      </c>
    </row>
    <row r="12377" spans="1:21">
      <c r="A12377">
        <v>12376</v>
      </c>
      <c r="B12377" s="30" t="s">
        <v>1226</v>
      </c>
      <c r="D12377" s="30" t="s">
        <v>2024</v>
      </c>
      <c r="F12377" s="30" t="s">
        <v>1040</v>
      </c>
      <c r="G12377" s="30" t="s">
        <v>1061</v>
      </c>
      <c r="H12377" s="30" t="s">
        <v>17535</v>
      </c>
      <c r="J12377" s="30" t="s">
        <v>17564</v>
      </c>
      <c r="L12377" s="30" t="s">
        <v>1081</v>
      </c>
      <c r="N12377" s="30" t="s">
        <v>1082</v>
      </c>
      <c r="P12377" s="30" t="s">
        <v>10812</v>
      </c>
      <c r="Q12377" t="s">
        <v>620</v>
      </c>
      <c r="R12377" t="s">
        <v>919</v>
      </c>
      <c r="S12377">
        <v>39</v>
      </c>
      <c r="T12377" s="29" t="str">
        <f t="shared" si="518"/>
        <v>2023.024M.Bunyaviricetes.zip</v>
      </c>
      <c r="U12377" s="29" t="str">
        <f>HYPERLINK("https://ictv.global/taxonomy/taxondetails?taxnode_id=202306242","ictv.global=202306242")</f>
        <v>ictv.global=202306242</v>
      </c>
    </row>
    <row r="12378" spans="1:21">
      <c r="A12378">
        <v>12377</v>
      </c>
      <c r="B12378" s="30" t="s">
        <v>1226</v>
      </c>
      <c r="D12378" s="30" t="s">
        <v>2024</v>
      </c>
      <c r="F12378" s="30" t="s">
        <v>1040</v>
      </c>
      <c r="G12378" s="30" t="s">
        <v>1061</v>
      </c>
      <c r="H12378" s="30" t="s">
        <v>1083</v>
      </c>
      <c r="J12378" s="30" t="s">
        <v>1084</v>
      </c>
      <c r="L12378" s="30" t="s">
        <v>1085</v>
      </c>
      <c r="N12378" s="30" t="s">
        <v>916</v>
      </c>
      <c r="P12378" s="30" t="s">
        <v>10813</v>
      </c>
      <c r="Q12378" t="s">
        <v>620</v>
      </c>
      <c r="R12378" t="s">
        <v>920</v>
      </c>
      <c r="S12378">
        <v>37</v>
      </c>
      <c r="T12378" s="29" t="str">
        <f>HYPERLINK("https://ictv.global/ictv/proposals/2021.018M.R.Negarnaviricota_sprename.zip","2021.018M.R.Negarnaviricota_sprename.zip")</f>
        <v>2021.018M.R.Negarnaviricota_sprename.zip</v>
      </c>
      <c r="U12378" s="29" t="str">
        <f>HYPERLINK("https://ictv.global/taxonomy/taxondetails?taxnode_id=202305391","ictv.global=202305391")</f>
        <v>ictv.global=202305391</v>
      </c>
    </row>
    <row r="12379" spans="1:21">
      <c r="A12379">
        <v>12378</v>
      </c>
      <c r="B12379" s="30" t="s">
        <v>1226</v>
      </c>
      <c r="D12379" s="30" t="s">
        <v>2024</v>
      </c>
      <c r="F12379" s="30" t="s">
        <v>1040</v>
      </c>
      <c r="G12379" s="30" t="s">
        <v>1061</v>
      </c>
      <c r="H12379" s="30" t="s">
        <v>1083</v>
      </c>
      <c r="J12379" s="30" t="s">
        <v>1084</v>
      </c>
      <c r="L12379" s="30" t="s">
        <v>392</v>
      </c>
      <c r="N12379" s="30" t="s">
        <v>989</v>
      </c>
      <c r="P12379" s="30" t="s">
        <v>10814</v>
      </c>
      <c r="Q12379" t="s">
        <v>620</v>
      </c>
      <c r="R12379" t="s">
        <v>920</v>
      </c>
      <c r="S12379">
        <v>37</v>
      </c>
      <c r="T12379" s="29" t="str">
        <f>HYPERLINK("https://ictv.global/ictv/proposals/2021.024M.R.Orthomyxoviridae_sprename.zip","2021.024M.R.Orthomyxoviridae_sprename.zip")</f>
        <v>2021.024M.R.Orthomyxoviridae_sprename.zip</v>
      </c>
      <c r="U12379" s="29" t="str">
        <f>HYPERLINK("https://ictv.global/taxonomy/taxondetails?taxnode_id=202303956","ictv.global=202303956")</f>
        <v>ictv.global=202303956</v>
      </c>
    </row>
    <row r="12380" spans="1:21">
      <c r="A12380">
        <v>12379</v>
      </c>
      <c r="B12380" s="30" t="s">
        <v>1226</v>
      </c>
      <c r="D12380" s="30" t="s">
        <v>2024</v>
      </c>
      <c r="F12380" s="30" t="s">
        <v>1040</v>
      </c>
      <c r="G12380" s="30" t="s">
        <v>1061</v>
      </c>
      <c r="H12380" s="30" t="s">
        <v>1083</v>
      </c>
      <c r="J12380" s="30" t="s">
        <v>1084</v>
      </c>
      <c r="L12380" s="30" t="s">
        <v>392</v>
      </c>
      <c r="N12380" s="30" t="s">
        <v>990</v>
      </c>
      <c r="P12380" s="30" t="s">
        <v>10815</v>
      </c>
      <c r="Q12380" t="s">
        <v>620</v>
      </c>
      <c r="R12380" t="s">
        <v>920</v>
      </c>
      <c r="S12380">
        <v>37</v>
      </c>
      <c r="T12380" s="29" t="str">
        <f>HYPERLINK("https://ictv.global/ictv/proposals/2021.024M.R.Orthomyxoviridae_sprename.zip","2021.024M.R.Orthomyxoviridae_sprename.zip")</f>
        <v>2021.024M.R.Orthomyxoviridae_sprename.zip</v>
      </c>
      <c r="U12380" s="29" t="str">
        <f>HYPERLINK("https://ictv.global/taxonomy/taxondetails?taxnode_id=202303958","ictv.global=202303958")</f>
        <v>ictv.global=202303958</v>
      </c>
    </row>
    <row r="12381" spans="1:21">
      <c r="A12381">
        <v>12380</v>
      </c>
      <c r="B12381" s="30" t="s">
        <v>1226</v>
      </c>
      <c r="D12381" s="30" t="s">
        <v>2024</v>
      </c>
      <c r="F12381" s="30" t="s">
        <v>1040</v>
      </c>
      <c r="G12381" s="30" t="s">
        <v>1061</v>
      </c>
      <c r="H12381" s="30" t="s">
        <v>1083</v>
      </c>
      <c r="J12381" s="30" t="s">
        <v>1084</v>
      </c>
      <c r="L12381" s="30" t="s">
        <v>392</v>
      </c>
      <c r="N12381" s="30" t="s">
        <v>991</v>
      </c>
      <c r="P12381" s="30" t="s">
        <v>10816</v>
      </c>
      <c r="Q12381" t="s">
        <v>620</v>
      </c>
      <c r="R12381" t="s">
        <v>920</v>
      </c>
      <c r="S12381">
        <v>37</v>
      </c>
      <c r="T12381" s="29" t="str">
        <f>HYPERLINK("https://ictv.global/ictv/proposals/2021.024M.R.Orthomyxoviridae_sprename.zip","2021.024M.R.Orthomyxoviridae_sprename.zip")</f>
        <v>2021.024M.R.Orthomyxoviridae_sprename.zip</v>
      </c>
      <c r="U12381" s="29" t="str">
        <f>HYPERLINK("https://ictv.global/taxonomy/taxondetails?taxnode_id=202303962","ictv.global=202303962")</f>
        <v>ictv.global=202303962</v>
      </c>
    </row>
    <row r="12382" spans="1:21">
      <c r="A12382">
        <v>12381</v>
      </c>
      <c r="B12382" s="30" t="s">
        <v>1226</v>
      </c>
      <c r="D12382" s="30" t="s">
        <v>2024</v>
      </c>
      <c r="F12382" s="30" t="s">
        <v>1040</v>
      </c>
      <c r="G12382" s="30" t="s">
        <v>1061</v>
      </c>
      <c r="H12382" s="30" t="s">
        <v>1083</v>
      </c>
      <c r="J12382" s="30" t="s">
        <v>1084</v>
      </c>
      <c r="L12382" s="30" t="s">
        <v>392</v>
      </c>
      <c r="N12382" s="30" t="s">
        <v>992</v>
      </c>
      <c r="P12382" s="30" t="s">
        <v>10817</v>
      </c>
      <c r="Q12382" t="s">
        <v>620</v>
      </c>
      <c r="R12382" t="s">
        <v>920</v>
      </c>
      <c r="S12382">
        <v>37</v>
      </c>
      <c r="T12382" s="29" t="str">
        <f>HYPERLINK("https://ictv.global/ictv/proposals/2021.024M.R.Orthomyxoviridae_sprename.zip","2021.024M.R.Orthomyxoviridae_sprename.zip")</f>
        <v>2021.024M.R.Orthomyxoviridae_sprename.zip</v>
      </c>
      <c r="U12382" s="29" t="str">
        <f>HYPERLINK("https://ictv.global/taxonomy/taxondetails?taxnode_id=202303960","ictv.global=202303960")</f>
        <v>ictv.global=202303960</v>
      </c>
    </row>
    <row r="12383" spans="1:21">
      <c r="A12383">
        <v>12382</v>
      </c>
      <c r="B12383" s="30" t="s">
        <v>1226</v>
      </c>
      <c r="D12383" s="30" t="s">
        <v>2024</v>
      </c>
      <c r="F12383" s="30" t="s">
        <v>1040</v>
      </c>
      <c r="G12383" s="30" t="s">
        <v>1061</v>
      </c>
      <c r="H12383" s="30" t="s">
        <v>1083</v>
      </c>
      <c r="J12383" s="30" t="s">
        <v>1084</v>
      </c>
      <c r="L12383" s="30" t="s">
        <v>392</v>
      </c>
      <c r="N12383" s="30" t="s">
        <v>223</v>
      </c>
      <c r="P12383" s="30" t="s">
        <v>10818</v>
      </c>
      <c r="Q12383" t="s">
        <v>620</v>
      </c>
      <c r="R12383" t="s">
        <v>920</v>
      </c>
      <c r="S12383">
        <v>37</v>
      </c>
      <c r="T12383" s="29" t="str">
        <f>HYPERLINK("https://ictv.global/ictv/proposals/2021.024M.R.Orthomyxoviridae_sprename.zip","2021.024M.R.Orthomyxoviridae_sprename.zip")</f>
        <v>2021.024M.R.Orthomyxoviridae_sprename.zip</v>
      </c>
      <c r="U12383" s="29" t="str">
        <f>HYPERLINK("https://ictv.global/taxonomy/taxondetails?taxnode_id=202303964","ictv.global=202303964")</f>
        <v>ictv.global=202303964</v>
      </c>
    </row>
    <row r="12384" spans="1:21">
      <c r="A12384">
        <v>12383</v>
      </c>
      <c r="B12384" s="30" t="s">
        <v>1226</v>
      </c>
      <c r="D12384" s="30" t="s">
        <v>2024</v>
      </c>
      <c r="F12384" s="30" t="s">
        <v>1040</v>
      </c>
      <c r="G12384" s="30" t="s">
        <v>1061</v>
      </c>
      <c r="H12384" s="30" t="s">
        <v>1083</v>
      </c>
      <c r="J12384" s="30" t="s">
        <v>1084</v>
      </c>
      <c r="L12384" s="30" t="s">
        <v>392</v>
      </c>
      <c r="N12384" s="30" t="s">
        <v>10819</v>
      </c>
      <c r="P12384" s="30" t="s">
        <v>10820</v>
      </c>
      <c r="Q12384" t="s">
        <v>620</v>
      </c>
      <c r="R12384" t="s">
        <v>917</v>
      </c>
      <c r="S12384">
        <v>37</v>
      </c>
      <c r="T12384" s="29" t="str">
        <f>HYPERLINK("https://ictv.global/ictv/proposals/2021.022M.R.Orthomyxoviridae_1ngen_1nsp_Mykiss.zip","2021.022M.R.Orthomyxoviridae_1ngen_1nsp_Mykiss.zip")</f>
        <v>2021.022M.R.Orthomyxoviridae_1ngen_1nsp_Mykiss.zip</v>
      </c>
      <c r="U12384" s="29" t="str">
        <f>HYPERLINK("https://ictv.global/taxonomy/taxondetails?taxnode_id=202312228","ictv.global=202312228")</f>
        <v>ictv.global=202312228</v>
      </c>
    </row>
    <row r="12385" spans="1:21">
      <c r="A12385">
        <v>12384</v>
      </c>
      <c r="B12385" s="30" t="s">
        <v>1226</v>
      </c>
      <c r="D12385" s="30" t="s">
        <v>2024</v>
      </c>
      <c r="F12385" s="30" t="s">
        <v>1040</v>
      </c>
      <c r="G12385" s="30" t="s">
        <v>1061</v>
      </c>
      <c r="H12385" s="30" t="s">
        <v>1083</v>
      </c>
      <c r="J12385" s="30" t="s">
        <v>1084</v>
      </c>
      <c r="L12385" s="30" t="s">
        <v>392</v>
      </c>
      <c r="N12385" s="30" t="s">
        <v>525</v>
      </c>
      <c r="P12385" s="30" t="s">
        <v>10821</v>
      </c>
      <c r="Q12385" t="s">
        <v>620</v>
      </c>
      <c r="R12385" t="s">
        <v>917</v>
      </c>
      <c r="S12385">
        <v>37</v>
      </c>
      <c r="T12385" s="29" t="str">
        <f>HYPERLINK("https://ictv.global/ictv/proposals/2021.034M.R.Quaranjavirus_4nsp.zip","2021.034M.R.Quaranjavirus_4nsp.zip")</f>
        <v>2021.034M.R.Quaranjavirus_4nsp.zip</v>
      </c>
      <c r="U12385" s="29" t="str">
        <f>HYPERLINK("https://ictv.global/taxonomy/taxondetails?taxnode_id=202312244","ictv.global=202312244")</f>
        <v>ictv.global=202312244</v>
      </c>
    </row>
    <row r="12386" spans="1:21">
      <c r="A12386">
        <v>12385</v>
      </c>
      <c r="B12386" s="30" t="s">
        <v>1226</v>
      </c>
      <c r="D12386" s="30" t="s">
        <v>2024</v>
      </c>
      <c r="F12386" s="30" t="s">
        <v>1040</v>
      </c>
      <c r="G12386" s="30" t="s">
        <v>1061</v>
      </c>
      <c r="H12386" s="30" t="s">
        <v>1083</v>
      </c>
      <c r="J12386" s="30" t="s">
        <v>1084</v>
      </c>
      <c r="L12386" s="30" t="s">
        <v>392</v>
      </c>
      <c r="N12386" s="30" t="s">
        <v>525</v>
      </c>
      <c r="P12386" s="30" t="s">
        <v>10822</v>
      </c>
      <c r="Q12386" t="s">
        <v>620</v>
      </c>
      <c r="R12386" t="s">
        <v>917</v>
      </c>
      <c r="S12386">
        <v>37</v>
      </c>
      <c r="T12386" s="29" t="str">
        <f>HYPERLINK("https://ictv.global/ictv/proposals/2021.034M.R.Quaranjavirus_4nsp.zip","2021.034M.R.Quaranjavirus_4nsp.zip")</f>
        <v>2021.034M.R.Quaranjavirus_4nsp.zip</v>
      </c>
      <c r="U12386" s="29" t="str">
        <f>HYPERLINK("https://ictv.global/taxonomy/taxondetails?taxnode_id=202312245","ictv.global=202312245")</f>
        <v>ictv.global=202312245</v>
      </c>
    </row>
    <row r="12387" spans="1:21">
      <c r="A12387">
        <v>12386</v>
      </c>
      <c r="B12387" s="30" t="s">
        <v>1226</v>
      </c>
      <c r="D12387" s="30" t="s">
        <v>2024</v>
      </c>
      <c r="F12387" s="30" t="s">
        <v>1040</v>
      </c>
      <c r="G12387" s="30" t="s">
        <v>1061</v>
      </c>
      <c r="H12387" s="30" t="s">
        <v>1083</v>
      </c>
      <c r="J12387" s="30" t="s">
        <v>1084</v>
      </c>
      <c r="L12387" s="30" t="s">
        <v>392</v>
      </c>
      <c r="N12387" s="30" t="s">
        <v>525</v>
      </c>
      <c r="P12387" s="30" t="s">
        <v>10823</v>
      </c>
      <c r="Q12387" t="s">
        <v>620</v>
      </c>
      <c r="R12387" t="s">
        <v>920</v>
      </c>
      <c r="S12387">
        <v>37</v>
      </c>
      <c r="T12387" s="29" t="str">
        <f>HYPERLINK("https://ictv.global/ictv/proposals/2021.024M.R.Orthomyxoviridae_sprename.zip","2021.024M.R.Orthomyxoviridae_sprename.zip")</f>
        <v>2021.024M.R.Orthomyxoviridae_sprename.zip</v>
      </c>
      <c r="U12387" s="29" t="str">
        <f>HYPERLINK("https://ictv.global/taxonomy/taxondetails?taxnode_id=202303966","ictv.global=202303966")</f>
        <v>ictv.global=202303966</v>
      </c>
    </row>
    <row r="12388" spans="1:21">
      <c r="A12388">
        <v>12387</v>
      </c>
      <c r="B12388" s="30" t="s">
        <v>1226</v>
      </c>
      <c r="D12388" s="30" t="s">
        <v>2024</v>
      </c>
      <c r="F12388" s="30" t="s">
        <v>1040</v>
      </c>
      <c r="G12388" s="30" t="s">
        <v>1061</v>
      </c>
      <c r="H12388" s="30" t="s">
        <v>1083</v>
      </c>
      <c r="J12388" s="30" t="s">
        <v>1084</v>
      </c>
      <c r="L12388" s="30" t="s">
        <v>392</v>
      </c>
      <c r="N12388" s="30" t="s">
        <v>525</v>
      </c>
      <c r="P12388" s="30" t="s">
        <v>10824</v>
      </c>
      <c r="Q12388" t="s">
        <v>620</v>
      </c>
      <c r="R12388" t="s">
        <v>920</v>
      </c>
      <c r="S12388">
        <v>37</v>
      </c>
      <c r="T12388" s="29" t="str">
        <f>HYPERLINK("https://ictv.global/ictv/proposals/2021.024M.R.Orthomyxoviridae_sprename.zip","2021.024M.R.Orthomyxoviridae_sprename.zip")</f>
        <v>2021.024M.R.Orthomyxoviridae_sprename.zip</v>
      </c>
      <c r="U12388" s="29" t="str">
        <f>HYPERLINK("https://ictv.global/taxonomy/taxondetails?taxnode_id=202303967","ictv.global=202303967")</f>
        <v>ictv.global=202303967</v>
      </c>
    </row>
    <row r="12389" spans="1:21">
      <c r="A12389">
        <v>12388</v>
      </c>
      <c r="B12389" s="30" t="s">
        <v>1226</v>
      </c>
      <c r="D12389" s="30" t="s">
        <v>2024</v>
      </c>
      <c r="F12389" s="30" t="s">
        <v>1040</v>
      </c>
      <c r="G12389" s="30" t="s">
        <v>1061</v>
      </c>
      <c r="H12389" s="30" t="s">
        <v>1083</v>
      </c>
      <c r="J12389" s="30" t="s">
        <v>1084</v>
      </c>
      <c r="L12389" s="30" t="s">
        <v>392</v>
      </c>
      <c r="N12389" s="30" t="s">
        <v>525</v>
      </c>
      <c r="P12389" s="30" t="s">
        <v>10825</v>
      </c>
      <c r="Q12389" t="s">
        <v>620</v>
      </c>
      <c r="R12389" t="s">
        <v>917</v>
      </c>
      <c r="S12389">
        <v>37</v>
      </c>
      <c r="T12389" s="29" t="str">
        <f>HYPERLINK("https://ictv.global/ictv/proposals/2021.034M.R.Quaranjavirus_4nsp.zip","2021.034M.R.Quaranjavirus_4nsp.zip")</f>
        <v>2021.034M.R.Quaranjavirus_4nsp.zip</v>
      </c>
      <c r="U12389" s="29" t="str">
        <f>HYPERLINK("https://ictv.global/taxonomy/taxondetails?taxnode_id=202312246","ictv.global=202312246")</f>
        <v>ictv.global=202312246</v>
      </c>
    </row>
    <row r="12390" spans="1:21">
      <c r="A12390">
        <v>12389</v>
      </c>
      <c r="B12390" s="30" t="s">
        <v>1226</v>
      </c>
      <c r="D12390" s="30" t="s">
        <v>2024</v>
      </c>
      <c r="F12390" s="30" t="s">
        <v>1040</v>
      </c>
      <c r="G12390" s="30" t="s">
        <v>1061</v>
      </c>
      <c r="H12390" s="30" t="s">
        <v>1083</v>
      </c>
      <c r="J12390" s="30" t="s">
        <v>1084</v>
      </c>
      <c r="L12390" s="30" t="s">
        <v>392</v>
      </c>
      <c r="N12390" s="30" t="s">
        <v>525</v>
      </c>
      <c r="P12390" s="30" t="s">
        <v>10826</v>
      </c>
      <c r="Q12390" t="s">
        <v>620</v>
      </c>
      <c r="R12390" t="s">
        <v>917</v>
      </c>
      <c r="S12390">
        <v>37</v>
      </c>
      <c r="T12390" s="29" t="str">
        <f>HYPERLINK("https://ictv.global/ictv/proposals/2021.034M.R.Quaranjavirus_4nsp.zip","2021.034M.R.Quaranjavirus_4nsp.zip")</f>
        <v>2021.034M.R.Quaranjavirus_4nsp.zip</v>
      </c>
      <c r="U12390" s="29" t="str">
        <f>HYPERLINK("https://ictv.global/taxonomy/taxondetails?taxnode_id=202312247","ictv.global=202312247")</f>
        <v>ictv.global=202312247</v>
      </c>
    </row>
    <row r="12391" spans="1:21">
      <c r="A12391">
        <v>12390</v>
      </c>
      <c r="B12391" s="30" t="s">
        <v>1226</v>
      </c>
      <c r="D12391" s="30" t="s">
        <v>2024</v>
      </c>
      <c r="F12391" s="30" t="s">
        <v>1040</v>
      </c>
      <c r="G12391" s="30" t="s">
        <v>1061</v>
      </c>
      <c r="H12391" s="30" t="s">
        <v>1083</v>
      </c>
      <c r="J12391" s="30" t="s">
        <v>1084</v>
      </c>
      <c r="L12391" s="30" t="s">
        <v>392</v>
      </c>
      <c r="N12391" s="30" t="s">
        <v>10827</v>
      </c>
      <c r="P12391" s="30" t="s">
        <v>10828</v>
      </c>
      <c r="Q12391" t="s">
        <v>620</v>
      </c>
      <c r="R12391" t="s">
        <v>917</v>
      </c>
      <c r="S12391">
        <v>37</v>
      </c>
      <c r="T12391" s="29" t="str">
        <f>HYPERLINK("https://ictv.global/ictv/proposals/2021.023M.R.Orthomyxoviridae_1ngen_1nsp_Sardino.zip","2021.023M.R.Orthomyxoviridae_1ngen_1nsp_Sardino.zip")</f>
        <v>2021.023M.R.Orthomyxoviridae_1ngen_1nsp_Sardino.zip</v>
      </c>
      <c r="U12391" s="29" t="str">
        <f>HYPERLINK("https://ictv.global/taxonomy/taxondetails?taxnode_id=202312230","ictv.global=202312230")</f>
        <v>ictv.global=202312230</v>
      </c>
    </row>
    <row r="12392" spans="1:21">
      <c r="A12392">
        <v>12391</v>
      </c>
      <c r="B12392" s="30" t="s">
        <v>1226</v>
      </c>
      <c r="D12392" s="30" t="s">
        <v>2024</v>
      </c>
      <c r="F12392" s="30" t="s">
        <v>1040</v>
      </c>
      <c r="G12392" s="30" t="s">
        <v>1061</v>
      </c>
      <c r="H12392" s="30" t="s">
        <v>1083</v>
      </c>
      <c r="J12392" s="30" t="s">
        <v>1084</v>
      </c>
      <c r="L12392" s="30" t="s">
        <v>392</v>
      </c>
      <c r="N12392" s="30" t="s">
        <v>224</v>
      </c>
      <c r="P12392" s="30" t="s">
        <v>10829</v>
      </c>
      <c r="Q12392" t="s">
        <v>620</v>
      </c>
      <c r="R12392" t="s">
        <v>917</v>
      </c>
      <c r="S12392">
        <v>37</v>
      </c>
      <c r="T12392" s="29" t="str">
        <f>HYPERLINK("https://ictv.global/ictv/proposals/2021.038M.R.Thogotovirus_6nsp.zip","2021.038M.R.Thogotovirus_6nsp.zip")</f>
        <v>2021.038M.R.Thogotovirus_6nsp.zip</v>
      </c>
      <c r="U12392" s="29" t="str">
        <f>HYPERLINK("https://ictv.global/taxonomy/taxondetails?taxnode_id=202312930","ictv.global=202312930")</f>
        <v>ictv.global=202312930</v>
      </c>
    </row>
    <row r="12393" spans="1:21">
      <c r="A12393">
        <v>12392</v>
      </c>
      <c r="B12393" s="30" t="s">
        <v>1226</v>
      </c>
      <c r="D12393" s="30" t="s">
        <v>2024</v>
      </c>
      <c r="F12393" s="30" t="s">
        <v>1040</v>
      </c>
      <c r="G12393" s="30" t="s">
        <v>1061</v>
      </c>
      <c r="H12393" s="30" t="s">
        <v>1083</v>
      </c>
      <c r="J12393" s="30" t="s">
        <v>1084</v>
      </c>
      <c r="L12393" s="30" t="s">
        <v>392</v>
      </c>
      <c r="N12393" s="30" t="s">
        <v>224</v>
      </c>
      <c r="P12393" s="30" t="s">
        <v>10830</v>
      </c>
      <c r="Q12393" t="s">
        <v>620</v>
      </c>
      <c r="R12393" t="s">
        <v>920</v>
      </c>
      <c r="S12393">
        <v>37</v>
      </c>
      <c r="T12393" s="29" t="str">
        <f>HYPERLINK("https://ictv.global/ictv/proposals/2021.024M.R.Orthomyxoviridae_sprename.zip","2021.024M.R.Orthomyxoviridae_sprename.zip")</f>
        <v>2021.024M.R.Orthomyxoviridae_sprename.zip</v>
      </c>
      <c r="U12393" s="29" t="str">
        <f>HYPERLINK("https://ictv.global/taxonomy/taxondetails?taxnode_id=202303969","ictv.global=202303969")</f>
        <v>ictv.global=202303969</v>
      </c>
    </row>
    <row r="12394" spans="1:21">
      <c r="A12394">
        <v>12393</v>
      </c>
      <c r="B12394" s="30" t="s">
        <v>1226</v>
      </c>
      <c r="D12394" s="30" t="s">
        <v>2024</v>
      </c>
      <c r="F12394" s="30" t="s">
        <v>1040</v>
      </c>
      <c r="G12394" s="30" t="s">
        <v>1061</v>
      </c>
      <c r="H12394" s="30" t="s">
        <v>1083</v>
      </c>
      <c r="J12394" s="30" t="s">
        <v>1084</v>
      </c>
      <c r="L12394" s="30" t="s">
        <v>392</v>
      </c>
      <c r="N12394" s="30" t="s">
        <v>224</v>
      </c>
      <c r="P12394" s="30" t="s">
        <v>10831</v>
      </c>
      <c r="Q12394" t="s">
        <v>620</v>
      </c>
      <c r="R12394" t="s">
        <v>917</v>
      </c>
      <c r="S12394">
        <v>37</v>
      </c>
      <c r="T12394" s="29" t="str">
        <f>HYPERLINK("https://ictv.global/ictv/proposals/2021.038M.R.Thogotovirus_6nsp.zip","2021.038M.R.Thogotovirus_6nsp.zip")</f>
        <v>2021.038M.R.Thogotovirus_6nsp.zip</v>
      </c>
      <c r="U12394" s="29" t="str">
        <f>HYPERLINK("https://ictv.global/taxonomy/taxondetails?taxnode_id=202312928","ictv.global=202312928")</f>
        <v>ictv.global=202312928</v>
      </c>
    </row>
    <row r="12395" spans="1:21">
      <c r="A12395">
        <v>12394</v>
      </c>
      <c r="B12395" s="30" t="s">
        <v>1226</v>
      </c>
      <c r="D12395" s="30" t="s">
        <v>2024</v>
      </c>
      <c r="F12395" s="30" t="s">
        <v>1040</v>
      </c>
      <c r="G12395" s="30" t="s">
        <v>1061</v>
      </c>
      <c r="H12395" s="30" t="s">
        <v>1083</v>
      </c>
      <c r="J12395" s="30" t="s">
        <v>1084</v>
      </c>
      <c r="L12395" s="30" t="s">
        <v>392</v>
      </c>
      <c r="N12395" s="30" t="s">
        <v>224</v>
      </c>
      <c r="P12395" s="30" t="s">
        <v>10832</v>
      </c>
      <c r="Q12395" t="s">
        <v>620</v>
      </c>
      <c r="R12395" t="s">
        <v>917</v>
      </c>
      <c r="S12395">
        <v>37</v>
      </c>
      <c r="T12395" s="29" t="str">
        <f>HYPERLINK("https://ictv.global/ictv/proposals/2021.038M.R.Thogotovirus_6nsp.zip","2021.038M.R.Thogotovirus_6nsp.zip")</f>
        <v>2021.038M.R.Thogotovirus_6nsp.zip</v>
      </c>
      <c r="U12395" s="29" t="str">
        <f>HYPERLINK("https://ictv.global/taxonomy/taxondetails?taxnode_id=202312931","ictv.global=202312931")</f>
        <v>ictv.global=202312931</v>
      </c>
    </row>
    <row r="12396" spans="1:21">
      <c r="A12396">
        <v>12395</v>
      </c>
      <c r="B12396" s="30" t="s">
        <v>1226</v>
      </c>
      <c r="D12396" s="30" t="s">
        <v>2024</v>
      </c>
      <c r="F12396" s="30" t="s">
        <v>1040</v>
      </c>
      <c r="G12396" s="30" t="s">
        <v>1061</v>
      </c>
      <c r="H12396" s="30" t="s">
        <v>1083</v>
      </c>
      <c r="J12396" s="30" t="s">
        <v>1084</v>
      </c>
      <c r="L12396" s="30" t="s">
        <v>392</v>
      </c>
      <c r="N12396" s="30" t="s">
        <v>224</v>
      </c>
      <c r="P12396" s="30" t="s">
        <v>10833</v>
      </c>
      <c r="Q12396" t="s">
        <v>620</v>
      </c>
      <c r="R12396" t="s">
        <v>917</v>
      </c>
      <c r="S12396">
        <v>37</v>
      </c>
      <c r="T12396" s="29" t="str">
        <f>HYPERLINK("https://ictv.global/ictv/proposals/2021.038M.R.Thogotovirus_6nsp.zip","2021.038M.R.Thogotovirus_6nsp.zip")</f>
        <v>2021.038M.R.Thogotovirus_6nsp.zip</v>
      </c>
      <c r="U12396" s="29" t="str">
        <f>HYPERLINK("https://ictv.global/taxonomy/taxondetails?taxnode_id=202312933","ictv.global=202312933")</f>
        <v>ictv.global=202312933</v>
      </c>
    </row>
    <row r="12397" spans="1:21">
      <c r="A12397">
        <v>12396</v>
      </c>
      <c r="B12397" s="30" t="s">
        <v>1226</v>
      </c>
      <c r="D12397" s="30" t="s">
        <v>2024</v>
      </c>
      <c r="F12397" s="30" t="s">
        <v>1040</v>
      </c>
      <c r="G12397" s="30" t="s">
        <v>1061</v>
      </c>
      <c r="H12397" s="30" t="s">
        <v>1083</v>
      </c>
      <c r="J12397" s="30" t="s">
        <v>1084</v>
      </c>
      <c r="L12397" s="30" t="s">
        <v>392</v>
      </c>
      <c r="N12397" s="30" t="s">
        <v>224</v>
      </c>
      <c r="P12397" s="30" t="s">
        <v>10834</v>
      </c>
      <c r="Q12397" t="s">
        <v>620</v>
      </c>
      <c r="R12397" t="s">
        <v>917</v>
      </c>
      <c r="S12397">
        <v>37</v>
      </c>
      <c r="T12397" s="29" t="str">
        <f>HYPERLINK("https://ictv.global/ictv/proposals/2021.038M.R.Thogotovirus_6nsp.zip","2021.038M.R.Thogotovirus_6nsp.zip")</f>
        <v>2021.038M.R.Thogotovirus_6nsp.zip</v>
      </c>
      <c r="U12397" s="29" t="str">
        <f>HYPERLINK("https://ictv.global/taxonomy/taxondetails?taxnode_id=202312932","ictv.global=202312932")</f>
        <v>ictv.global=202312932</v>
      </c>
    </row>
    <row r="12398" spans="1:21">
      <c r="A12398">
        <v>12397</v>
      </c>
      <c r="B12398" s="30" t="s">
        <v>1226</v>
      </c>
      <c r="D12398" s="30" t="s">
        <v>2024</v>
      </c>
      <c r="F12398" s="30" t="s">
        <v>1040</v>
      </c>
      <c r="G12398" s="30" t="s">
        <v>1061</v>
      </c>
      <c r="H12398" s="30" t="s">
        <v>1083</v>
      </c>
      <c r="J12398" s="30" t="s">
        <v>1084</v>
      </c>
      <c r="L12398" s="30" t="s">
        <v>392</v>
      </c>
      <c r="N12398" s="30" t="s">
        <v>224</v>
      </c>
      <c r="P12398" s="30" t="s">
        <v>10835</v>
      </c>
      <c r="Q12398" t="s">
        <v>620</v>
      </c>
      <c r="R12398" t="s">
        <v>920</v>
      </c>
      <c r="S12398">
        <v>37</v>
      </c>
      <c r="T12398" s="29" t="str">
        <f>HYPERLINK("https://ictv.global/ictv/proposals/2021.024M.R.Orthomyxoviridae_sprename.zip","2021.024M.R.Orthomyxoviridae_sprename.zip")</f>
        <v>2021.024M.R.Orthomyxoviridae_sprename.zip</v>
      </c>
      <c r="U12398" s="29" t="str">
        <f>HYPERLINK("https://ictv.global/taxonomy/taxondetails?taxnode_id=202303970","ictv.global=202303970")</f>
        <v>ictv.global=202303970</v>
      </c>
    </row>
    <row r="12399" spans="1:21">
      <c r="A12399">
        <v>12398</v>
      </c>
      <c r="B12399" s="30" t="s">
        <v>1226</v>
      </c>
      <c r="D12399" s="30" t="s">
        <v>2024</v>
      </c>
      <c r="F12399" s="30" t="s">
        <v>1040</v>
      </c>
      <c r="G12399" s="30" t="s">
        <v>1061</v>
      </c>
      <c r="H12399" s="30" t="s">
        <v>1083</v>
      </c>
      <c r="J12399" s="30" t="s">
        <v>1084</v>
      </c>
      <c r="L12399" s="30" t="s">
        <v>392</v>
      </c>
      <c r="N12399" s="30" t="s">
        <v>224</v>
      </c>
      <c r="P12399" s="30" t="s">
        <v>10836</v>
      </c>
      <c r="Q12399" t="s">
        <v>620</v>
      </c>
      <c r="R12399" t="s">
        <v>917</v>
      </c>
      <c r="S12399">
        <v>37</v>
      </c>
      <c r="T12399" s="29" t="str">
        <f>HYPERLINK("https://ictv.global/ictv/proposals/2021.038M.R.Thogotovirus_6nsp.zip","2021.038M.R.Thogotovirus_6nsp.zip")</f>
        <v>2021.038M.R.Thogotovirus_6nsp.zip</v>
      </c>
      <c r="U12399" s="29" t="str">
        <f>HYPERLINK("https://ictv.global/taxonomy/taxondetails?taxnode_id=202312929","ictv.global=202312929")</f>
        <v>ictv.global=202312929</v>
      </c>
    </row>
    <row r="12400" spans="1:21">
      <c r="A12400">
        <v>12399</v>
      </c>
      <c r="B12400" s="30" t="s">
        <v>1226</v>
      </c>
      <c r="D12400" s="30" t="s">
        <v>2024</v>
      </c>
      <c r="F12400" s="30" t="s">
        <v>1040</v>
      </c>
      <c r="L12400" s="30" t="s">
        <v>10837</v>
      </c>
      <c r="N12400" s="30" t="s">
        <v>10838</v>
      </c>
      <c r="P12400" s="30" t="s">
        <v>10839</v>
      </c>
      <c r="Q12400" t="s">
        <v>732</v>
      </c>
      <c r="R12400" t="s">
        <v>917</v>
      </c>
      <c r="S12400">
        <v>38</v>
      </c>
      <c r="T12400" s="29" t="str">
        <f>HYPERLINK("https://ictv.global/ictv/proposals/2022.010M.Fraservirus_1nfam_1ngen_1nsp.zip","2022.010M.Fraservirus_1nfam_1ngen_1nsp.zip")</f>
        <v>2022.010M.Fraservirus_1nfam_1ngen_1nsp.zip</v>
      </c>
      <c r="U12400" s="29" t="str">
        <f>HYPERLINK("https://ictv.global/taxonomy/taxondetails?taxnode_id=202314180","ictv.global=202314180")</f>
        <v>ictv.global=202314180</v>
      </c>
    </row>
    <row r="12401" spans="1:21">
      <c r="A12401">
        <v>12400</v>
      </c>
      <c r="B12401" s="30" t="s">
        <v>1226</v>
      </c>
      <c r="D12401" s="30" t="s">
        <v>2024</v>
      </c>
      <c r="F12401" s="30" t="s">
        <v>2074</v>
      </c>
      <c r="H12401" s="30" t="s">
        <v>2075</v>
      </c>
      <c r="J12401" s="30" t="s">
        <v>2076</v>
      </c>
      <c r="L12401" s="30" t="s">
        <v>547</v>
      </c>
      <c r="N12401" s="30" t="s">
        <v>548</v>
      </c>
      <c r="P12401" s="30" t="s">
        <v>10840</v>
      </c>
      <c r="Q12401" t="s">
        <v>623</v>
      </c>
      <c r="R12401" t="s">
        <v>920</v>
      </c>
      <c r="S12401">
        <v>38</v>
      </c>
      <c r="T12401" s="29" t="str">
        <f t="shared" ref="T12401:T12410" si="519">HYPERLINK("https://ictv.global/ictv/proposals/2022.006P.Amalgaviridae_rename.zip","2022.006P.Amalgaviridae_rename.zip")</f>
        <v>2022.006P.Amalgaviridae_rename.zip</v>
      </c>
      <c r="U12401" s="29" t="str">
        <f>HYPERLINK("https://ictv.global/taxonomy/taxondetails?taxnode_id=202306725","ictv.global=202306725")</f>
        <v>ictv.global=202306725</v>
      </c>
    </row>
    <row r="12402" spans="1:21">
      <c r="A12402">
        <v>12401</v>
      </c>
      <c r="B12402" s="30" t="s">
        <v>1226</v>
      </c>
      <c r="D12402" s="30" t="s">
        <v>2024</v>
      </c>
      <c r="F12402" s="30" t="s">
        <v>2074</v>
      </c>
      <c r="H12402" s="30" t="s">
        <v>2075</v>
      </c>
      <c r="J12402" s="30" t="s">
        <v>2076</v>
      </c>
      <c r="L12402" s="30" t="s">
        <v>547</v>
      </c>
      <c r="N12402" s="30" t="s">
        <v>548</v>
      </c>
      <c r="P12402" s="30" t="s">
        <v>10841</v>
      </c>
      <c r="Q12402" t="s">
        <v>623</v>
      </c>
      <c r="R12402" t="s">
        <v>920</v>
      </c>
      <c r="S12402">
        <v>38</v>
      </c>
      <c r="T12402" s="29" t="str">
        <f t="shared" si="519"/>
        <v>2022.006P.Amalgaviridae_rename.zip</v>
      </c>
      <c r="U12402" s="29" t="str">
        <f>HYPERLINK("https://ictv.global/taxonomy/taxondetails?taxnode_id=202306726","ictv.global=202306726")</f>
        <v>ictv.global=202306726</v>
      </c>
    </row>
    <row r="12403" spans="1:21">
      <c r="A12403">
        <v>12402</v>
      </c>
      <c r="B12403" s="30" t="s">
        <v>1226</v>
      </c>
      <c r="D12403" s="30" t="s">
        <v>2024</v>
      </c>
      <c r="F12403" s="30" t="s">
        <v>2074</v>
      </c>
      <c r="H12403" s="30" t="s">
        <v>2075</v>
      </c>
      <c r="J12403" s="30" t="s">
        <v>2076</v>
      </c>
      <c r="L12403" s="30" t="s">
        <v>547</v>
      </c>
      <c r="N12403" s="30" t="s">
        <v>548</v>
      </c>
      <c r="P12403" s="30" t="s">
        <v>10842</v>
      </c>
      <c r="Q12403" t="s">
        <v>623</v>
      </c>
      <c r="R12403" t="s">
        <v>920</v>
      </c>
      <c r="S12403">
        <v>38</v>
      </c>
      <c r="T12403" s="29" t="str">
        <f t="shared" si="519"/>
        <v>2022.006P.Amalgaviridae_rename.zip</v>
      </c>
      <c r="U12403" s="29" t="str">
        <f>HYPERLINK("https://ictv.global/taxonomy/taxondetails?taxnode_id=202302479","ictv.global=202302479")</f>
        <v>ictv.global=202302479</v>
      </c>
    </row>
    <row r="12404" spans="1:21">
      <c r="A12404">
        <v>12403</v>
      </c>
      <c r="B12404" s="30" t="s">
        <v>1226</v>
      </c>
      <c r="D12404" s="30" t="s">
        <v>2024</v>
      </c>
      <c r="F12404" s="30" t="s">
        <v>2074</v>
      </c>
      <c r="H12404" s="30" t="s">
        <v>2075</v>
      </c>
      <c r="J12404" s="30" t="s">
        <v>2076</v>
      </c>
      <c r="L12404" s="30" t="s">
        <v>547</v>
      </c>
      <c r="N12404" s="30" t="s">
        <v>548</v>
      </c>
      <c r="P12404" s="30" t="s">
        <v>10843</v>
      </c>
      <c r="Q12404" t="s">
        <v>623</v>
      </c>
      <c r="R12404" t="s">
        <v>920</v>
      </c>
      <c r="S12404">
        <v>38</v>
      </c>
      <c r="T12404" s="29" t="str">
        <f t="shared" si="519"/>
        <v>2022.006P.Amalgaviridae_rename.zip</v>
      </c>
      <c r="U12404" s="29" t="str">
        <f>HYPERLINK("https://ictv.global/taxonomy/taxondetails?taxnode_id=202306729","ictv.global=202306729")</f>
        <v>ictv.global=202306729</v>
      </c>
    </row>
    <row r="12405" spans="1:21">
      <c r="A12405">
        <v>12404</v>
      </c>
      <c r="B12405" s="30" t="s">
        <v>1226</v>
      </c>
      <c r="D12405" s="30" t="s">
        <v>2024</v>
      </c>
      <c r="F12405" s="30" t="s">
        <v>2074</v>
      </c>
      <c r="H12405" s="30" t="s">
        <v>2075</v>
      </c>
      <c r="J12405" s="30" t="s">
        <v>2076</v>
      </c>
      <c r="L12405" s="30" t="s">
        <v>547</v>
      </c>
      <c r="N12405" s="30" t="s">
        <v>548</v>
      </c>
      <c r="P12405" s="30" t="s">
        <v>10844</v>
      </c>
      <c r="Q12405" t="s">
        <v>623</v>
      </c>
      <c r="R12405" t="s">
        <v>920</v>
      </c>
      <c r="S12405">
        <v>38</v>
      </c>
      <c r="T12405" s="29" t="str">
        <f t="shared" si="519"/>
        <v>2022.006P.Amalgaviridae_rename.zip</v>
      </c>
      <c r="U12405" s="29" t="str">
        <f>HYPERLINK("https://ictv.global/taxonomy/taxondetails?taxnode_id=202302478","ictv.global=202302478")</f>
        <v>ictv.global=202302478</v>
      </c>
    </row>
    <row r="12406" spans="1:21">
      <c r="A12406">
        <v>12405</v>
      </c>
      <c r="B12406" s="30" t="s">
        <v>1226</v>
      </c>
      <c r="D12406" s="30" t="s">
        <v>2024</v>
      </c>
      <c r="F12406" s="30" t="s">
        <v>2074</v>
      </c>
      <c r="H12406" s="30" t="s">
        <v>2075</v>
      </c>
      <c r="J12406" s="30" t="s">
        <v>2076</v>
      </c>
      <c r="L12406" s="30" t="s">
        <v>547</v>
      </c>
      <c r="N12406" s="30" t="s">
        <v>548</v>
      </c>
      <c r="P12406" s="30" t="s">
        <v>10845</v>
      </c>
      <c r="Q12406" t="s">
        <v>623</v>
      </c>
      <c r="R12406" t="s">
        <v>920</v>
      </c>
      <c r="S12406">
        <v>38</v>
      </c>
      <c r="T12406" s="29" t="str">
        <f t="shared" si="519"/>
        <v>2022.006P.Amalgaviridae_rename.zip</v>
      </c>
      <c r="U12406" s="29" t="str">
        <f>HYPERLINK("https://ictv.global/taxonomy/taxondetails?taxnode_id=202306727","ictv.global=202306727")</f>
        <v>ictv.global=202306727</v>
      </c>
    </row>
    <row r="12407" spans="1:21">
      <c r="A12407">
        <v>12406</v>
      </c>
      <c r="B12407" s="30" t="s">
        <v>1226</v>
      </c>
      <c r="D12407" s="30" t="s">
        <v>2024</v>
      </c>
      <c r="F12407" s="30" t="s">
        <v>2074</v>
      </c>
      <c r="H12407" s="30" t="s">
        <v>2075</v>
      </c>
      <c r="J12407" s="30" t="s">
        <v>2076</v>
      </c>
      <c r="L12407" s="30" t="s">
        <v>547</v>
      </c>
      <c r="N12407" s="30" t="s">
        <v>548</v>
      </c>
      <c r="P12407" s="30" t="s">
        <v>10846</v>
      </c>
      <c r="Q12407" t="s">
        <v>623</v>
      </c>
      <c r="R12407" t="s">
        <v>920</v>
      </c>
      <c r="S12407">
        <v>38</v>
      </c>
      <c r="T12407" s="29" t="str">
        <f t="shared" si="519"/>
        <v>2022.006P.Amalgaviridae_rename.zip</v>
      </c>
      <c r="U12407" s="29" t="str">
        <f>HYPERLINK("https://ictv.global/taxonomy/taxondetails?taxnode_id=202302477","ictv.global=202302477")</f>
        <v>ictv.global=202302477</v>
      </c>
    </row>
    <row r="12408" spans="1:21">
      <c r="A12408">
        <v>12407</v>
      </c>
      <c r="B12408" s="30" t="s">
        <v>1226</v>
      </c>
      <c r="D12408" s="30" t="s">
        <v>2024</v>
      </c>
      <c r="F12408" s="30" t="s">
        <v>2074</v>
      </c>
      <c r="H12408" s="30" t="s">
        <v>2075</v>
      </c>
      <c r="J12408" s="30" t="s">
        <v>2076</v>
      </c>
      <c r="L12408" s="30" t="s">
        <v>547</v>
      </c>
      <c r="N12408" s="30" t="s">
        <v>548</v>
      </c>
      <c r="P12408" s="30" t="s">
        <v>10847</v>
      </c>
      <c r="Q12408" t="s">
        <v>623</v>
      </c>
      <c r="R12408" t="s">
        <v>920</v>
      </c>
      <c r="S12408">
        <v>38</v>
      </c>
      <c r="T12408" s="29" t="str">
        <f t="shared" si="519"/>
        <v>2022.006P.Amalgaviridae_rename.zip</v>
      </c>
      <c r="U12408" s="29" t="str">
        <f>HYPERLINK("https://ictv.global/taxonomy/taxondetails?taxnode_id=202302480","ictv.global=202302480")</f>
        <v>ictv.global=202302480</v>
      </c>
    </row>
    <row r="12409" spans="1:21">
      <c r="A12409">
        <v>12408</v>
      </c>
      <c r="B12409" s="30" t="s">
        <v>1226</v>
      </c>
      <c r="D12409" s="30" t="s">
        <v>2024</v>
      </c>
      <c r="F12409" s="30" t="s">
        <v>2074</v>
      </c>
      <c r="H12409" s="30" t="s">
        <v>2075</v>
      </c>
      <c r="J12409" s="30" t="s">
        <v>2076</v>
      </c>
      <c r="L12409" s="30" t="s">
        <v>547</v>
      </c>
      <c r="N12409" s="30" t="s">
        <v>548</v>
      </c>
      <c r="P12409" s="30" t="s">
        <v>10848</v>
      </c>
      <c r="Q12409" t="s">
        <v>623</v>
      </c>
      <c r="R12409" t="s">
        <v>920</v>
      </c>
      <c r="S12409">
        <v>38</v>
      </c>
      <c r="T12409" s="29" t="str">
        <f t="shared" si="519"/>
        <v>2022.006P.Amalgaviridae_rename.zip</v>
      </c>
      <c r="U12409" s="29" t="str">
        <f>HYPERLINK("https://ictv.global/taxonomy/taxondetails?taxnode_id=202306728","ictv.global=202306728")</f>
        <v>ictv.global=202306728</v>
      </c>
    </row>
    <row r="12410" spans="1:21">
      <c r="A12410">
        <v>12409</v>
      </c>
      <c r="B12410" s="30" t="s">
        <v>1226</v>
      </c>
      <c r="D12410" s="30" t="s">
        <v>2024</v>
      </c>
      <c r="F12410" s="30" t="s">
        <v>2074</v>
      </c>
      <c r="H12410" s="30" t="s">
        <v>2075</v>
      </c>
      <c r="J12410" s="30" t="s">
        <v>2076</v>
      </c>
      <c r="L12410" s="30" t="s">
        <v>547</v>
      </c>
      <c r="N12410" s="30" t="s">
        <v>1289</v>
      </c>
      <c r="P12410" s="30" t="s">
        <v>10849</v>
      </c>
      <c r="Q12410" t="s">
        <v>623</v>
      </c>
      <c r="R12410" t="s">
        <v>920</v>
      </c>
      <c r="S12410">
        <v>38</v>
      </c>
      <c r="T12410" s="29" t="str">
        <f t="shared" si="519"/>
        <v>2022.006P.Amalgaviridae_rename.zip</v>
      </c>
      <c r="U12410" s="29" t="str">
        <f>HYPERLINK("https://ictv.global/taxonomy/taxondetails?taxnode_id=202306731","ictv.global=202306731")</f>
        <v>ictv.global=202306731</v>
      </c>
    </row>
    <row r="12411" spans="1:21">
      <c r="A12411">
        <v>12410</v>
      </c>
      <c r="B12411" s="30" t="s">
        <v>1226</v>
      </c>
      <c r="D12411" s="30" t="s">
        <v>2024</v>
      </c>
      <c r="F12411" s="30" t="s">
        <v>2074</v>
      </c>
      <c r="H12411" s="30" t="s">
        <v>2075</v>
      </c>
      <c r="J12411" s="30" t="s">
        <v>2076</v>
      </c>
      <c r="L12411" s="30" t="s">
        <v>3796</v>
      </c>
      <c r="N12411" s="30" t="s">
        <v>3797</v>
      </c>
      <c r="P12411" s="30" t="s">
        <v>17596</v>
      </c>
      <c r="Q12411" t="s">
        <v>623</v>
      </c>
      <c r="R12411" t="s">
        <v>920</v>
      </c>
      <c r="S12411">
        <v>39</v>
      </c>
      <c r="T12411" s="29" t="str">
        <f t="shared" ref="T12411:T12418" si="520">HYPERLINK("https://ictv.global/ictv/proposals/2023.006F.Curvulaviridae_spren.zip","2023.006F.Curvulaviridae_spren.zip")</f>
        <v>2023.006F.Curvulaviridae_spren.zip</v>
      </c>
      <c r="U12411" s="29" t="str">
        <f>HYPERLINK("https://ictv.global/taxonomy/taxondetails?taxnode_id=202308785","ictv.global=202308785")</f>
        <v>ictv.global=202308785</v>
      </c>
    </row>
    <row r="12412" spans="1:21">
      <c r="A12412">
        <v>12411</v>
      </c>
      <c r="B12412" s="30" t="s">
        <v>1226</v>
      </c>
      <c r="D12412" s="30" t="s">
        <v>2024</v>
      </c>
      <c r="F12412" s="30" t="s">
        <v>2074</v>
      </c>
      <c r="H12412" s="30" t="s">
        <v>2075</v>
      </c>
      <c r="J12412" s="30" t="s">
        <v>2076</v>
      </c>
      <c r="L12412" s="30" t="s">
        <v>3796</v>
      </c>
      <c r="N12412" s="30" t="s">
        <v>3797</v>
      </c>
      <c r="P12412" s="30" t="s">
        <v>17597</v>
      </c>
      <c r="Q12412" t="s">
        <v>623</v>
      </c>
      <c r="R12412" t="s">
        <v>920</v>
      </c>
      <c r="S12412">
        <v>39</v>
      </c>
      <c r="T12412" s="29" t="str">
        <f t="shared" si="520"/>
        <v>2023.006F.Curvulaviridae_spren.zip</v>
      </c>
      <c r="U12412" s="29" t="str">
        <f>HYPERLINK("https://ictv.global/taxonomy/taxondetails?taxnode_id=202308783","ictv.global=202308783")</f>
        <v>ictv.global=202308783</v>
      </c>
    </row>
    <row r="12413" spans="1:21">
      <c r="A12413">
        <v>12412</v>
      </c>
      <c r="B12413" s="30" t="s">
        <v>1226</v>
      </c>
      <c r="D12413" s="30" t="s">
        <v>2024</v>
      </c>
      <c r="F12413" s="30" t="s">
        <v>2074</v>
      </c>
      <c r="H12413" s="30" t="s">
        <v>2075</v>
      </c>
      <c r="J12413" s="30" t="s">
        <v>2076</v>
      </c>
      <c r="L12413" s="30" t="s">
        <v>3796</v>
      </c>
      <c r="N12413" s="30" t="s">
        <v>3797</v>
      </c>
      <c r="P12413" s="30" t="s">
        <v>17598</v>
      </c>
      <c r="Q12413" t="s">
        <v>623</v>
      </c>
      <c r="R12413" t="s">
        <v>920</v>
      </c>
      <c r="S12413">
        <v>39</v>
      </c>
      <c r="T12413" s="29" t="str">
        <f t="shared" si="520"/>
        <v>2023.006F.Curvulaviridae_spren.zip</v>
      </c>
      <c r="U12413" s="29" t="str">
        <f>HYPERLINK("https://ictv.global/taxonomy/taxondetails?taxnode_id=202308784","ictv.global=202308784")</f>
        <v>ictv.global=202308784</v>
      </c>
    </row>
    <row r="12414" spans="1:21">
      <c r="A12414">
        <v>12413</v>
      </c>
      <c r="B12414" s="30" t="s">
        <v>1226</v>
      </c>
      <c r="D12414" s="30" t="s">
        <v>2024</v>
      </c>
      <c r="F12414" s="30" t="s">
        <v>2074</v>
      </c>
      <c r="H12414" s="30" t="s">
        <v>2075</v>
      </c>
      <c r="J12414" s="30" t="s">
        <v>2076</v>
      </c>
      <c r="L12414" s="30" t="s">
        <v>3796</v>
      </c>
      <c r="N12414" s="30" t="s">
        <v>3797</v>
      </c>
      <c r="P12414" s="30" t="s">
        <v>17599</v>
      </c>
      <c r="Q12414" t="s">
        <v>623</v>
      </c>
      <c r="R12414" t="s">
        <v>920</v>
      </c>
      <c r="S12414">
        <v>39</v>
      </c>
      <c r="T12414" s="29" t="str">
        <f t="shared" si="520"/>
        <v>2023.006F.Curvulaviridae_spren.zip</v>
      </c>
      <c r="U12414" s="29" t="str">
        <f>HYPERLINK("https://ictv.global/taxonomy/taxondetails?taxnode_id=202308788","ictv.global=202308788")</f>
        <v>ictv.global=202308788</v>
      </c>
    </row>
    <row r="12415" spans="1:21">
      <c r="A12415">
        <v>12414</v>
      </c>
      <c r="B12415" s="30" t="s">
        <v>1226</v>
      </c>
      <c r="D12415" s="30" t="s">
        <v>2024</v>
      </c>
      <c r="F12415" s="30" t="s">
        <v>2074</v>
      </c>
      <c r="H12415" s="30" t="s">
        <v>2075</v>
      </c>
      <c r="J12415" s="30" t="s">
        <v>2076</v>
      </c>
      <c r="L12415" s="30" t="s">
        <v>3796</v>
      </c>
      <c r="N12415" s="30" t="s">
        <v>3797</v>
      </c>
      <c r="P12415" s="30" t="s">
        <v>17600</v>
      </c>
      <c r="Q12415" t="s">
        <v>623</v>
      </c>
      <c r="R12415" t="s">
        <v>920</v>
      </c>
      <c r="S12415">
        <v>39</v>
      </c>
      <c r="T12415" s="29" t="str">
        <f t="shared" si="520"/>
        <v>2023.006F.Curvulaviridae_spren.zip</v>
      </c>
      <c r="U12415" s="29" t="str">
        <f>HYPERLINK("https://ictv.global/taxonomy/taxondetails?taxnode_id=202308786","ictv.global=202308786")</f>
        <v>ictv.global=202308786</v>
      </c>
    </row>
    <row r="12416" spans="1:21">
      <c r="A12416">
        <v>12415</v>
      </c>
      <c r="B12416" s="30" t="s">
        <v>1226</v>
      </c>
      <c r="D12416" s="30" t="s">
        <v>2024</v>
      </c>
      <c r="F12416" s="30" t="s">
        <v>2074</v>
      </c>
      <c r="H12416" s="30" t="s">
        <v>2075</v>
      </c>
      <c r="J12416" s="30" t="s">
        <v>2076</v>
      </c>
      <c r="L12416" s="30" t="s">
        <v>3796</v>
      </c>
      <c r="N12416" s="30" t="s">
        <v>3797</v>
      </c>
      <c r="P12416" s="30" t="s">
        <v>17601</v>
      </c>
      <c r="Q12416" t="s">
        <v>623</v>
      </c>
      <c r="R12416" t="s">
        <v>920</v>
      </c>
      <c r="S12416">
        <v>39</v>
      </c>
      <c r="T12416" s="29" t="str">
        <f t="shared" si="520"/>
        <v>2023.006F.Curvulaviridae_spren.zip</v>
      </c>
      <c r="U12416" s="29" t="str">
        <f>HYPERLINK("https://ictv.global/taxonomy/taxondetails?taxnode_id=202308789","ictv.global=202308789")</f>
        <v>ictv.global=202308789</v>
      </c>
    </row>
    <row r="12417" spans="1:21">
      <c r="A12417">
        <v>12416</v>
      </c>
      <c r="B12417" s="30" t="s">
        <v>1226</v>
      </c>
      <c r="D12417" s="30" t="s">
        <v>2024</v>
      </c>
      <c r="F12417" s="30" t="s">
        <v>2074</v>
      </c>
      <c r="H12417" s="30" t="s">
        <v>2075</v>
      </c>
      <c r="J12417" s="30" t="s">
        <v>2076</v>
      </c>
      <c r="L12417" s="30" t="s">
        <v>3796</v>
      </c>
      <c r="N12417" s="30" t="s">
        <v>3797</v>
      </c>
      <c r="P12417" s="30" t="s">
        <v>17602</v>
      </c>
      <c r="Q12417" t="s">
        <v>623</v>
      </c>
      <c r="R12417" t="s">
        <v>920</v>
      </c>
      <c r="S12417">
        <v>39</v>
      </c>
      <c r="T12417" s="29" t="str">
        <f t="shared" si="520"/>
        <v>2023.006F.Curvulaviridae_spren.zip</v>
      </c>
      <c r="U12417" s="29" t="str">
        <f>HYPERLINK("https://ictv.global/taxonomy/taxondetails?taxnode_id=202308787","ictv.global=202308787")</f>
        <v>ictv.global=202308787</v>
      </c>
    </row>
    <row r="12418" spans="1:21">
      <c r="A12418">
        <v>12417</v>
      </c>
      <c r="B12418" s="30" t="s">
        <v>1226</v>
      </c>
      <c r="D12418" s="30" t="s">
        <v>2024</v>
      </c>
      <c r="F12418" s="30" t="s">
        <v>2074</v>
      </c>
      <c r="H12418" s="30" t="s">
        <v>2075</v>
      </c>
      <c r="J12418" s="30" t="s">
        <v>2076</v>
      </c>
      <c r="L12418" s="30" t="s">
        <v>3796</v>
      </c>
      <c r="N12418" s="30" t="s">
        <v>3797</v>
      </c>
      <c r="P12418" s="30" t="s">
        <v>17603</v>
      </c>
      <c r="Q12418" t="s">
        <v>623</v>
      </c>
      <c r="R12418" t="s">
        <v>920</v>
      </c>
      <c r="S12418">
        <v>39</v>
      </c>
      <c r="T12418" s="29" t="str">
        <f t="shared" si="520"/>
        <v>2023.006F.Curvulaviridae_spren.zip</v>
      </c>
      <c r="U12418" s="29" t="str">
        <f>HYPERLINK("https://ictv.global/taxonomy/taxondetails?taxnode_id=202308790","ictv.global=202308790")</f>
        <v>ictv.global=202308790</v>
      </c>
    </row>
    <row r="12419" spans="1:21">
      <c r="A12419">
        <v>12418</v>
      </c>
      <c r="B12419" s="30" t="s">
        <v>1226</v>
      </c>
      <c r="D12419" s="30" t="s">
        <v>2024</v>
      </c>
      <c r="F12419" s="30" t="s">
        <v>2074</v>
      </c>
      <c r="H12419" s="30" t="s">
        <v>2075</v>
      </c>
      <c r="J12419" s="30" t="s">
        <v>2076</v>
      </c>
      <c r="L12419" s="30" t="s">
        <v>10850</v>
      </c>
      <c r="N12419" s="30" t="s">
        <v>10851</v>
      </c>
      <c r="P12419" s="30" t="s">
        <v>10852</v>
      </c>
      <c r="Q12419" t="s">
        <v>621</v>
      </c>
      <c r="R12419" t="s">
        <v>917</v>
      </c>
      <c r="S12419">
        <v>37</v>
      </c>
      <c r="T12419" s="29" t="str">
        <f t="shared" ref="T12419:T12452" si="521">HYPERLINK("https://ictv.global/ictv/proposals/2021.001F.R.Fusariviridae_1newfam.zip","2021.001F.R.Fusariviridae_1newfam.zip")</f>
        <v>2021.001F.R.Fusariviridae_1newfam.zip</v>
      </c>
      <c r="U12419" s="29" t="str">
        <f>HYPERLINK("https://ictv.global/taxonomy/taxondetails?taxnode_id=202313713","ictv.global=202313713")</f>
        <v>ictv.global=202313713</v>
      </c>
    </row>
    <row r="12420" spans="1:21">
      <c r="A12420">
        <v>12419</v>
      </c>
      <c r="B12420" s="30" t="s">
        <v>1226</v>
      </c>
      <c r="D12420" s="30" t="s">
        <v>2024</v>
      </c>
      <c r="F12420" s="30" t="s">
        <v>2074</v>
      </c>
      <c r="H12420" s="30" t="s">
        <v>2075</v>
      </c>
      <c r="J12420" s="30" t="s">
        <v>2076</v>
      </c>
      <c r="L12420" s="30" t="s">
        <v>10850</v>
      </c>
      <c r="N12420" s="30" t="s">
        <v>10851</v>
      </c>
      <c r="P12420" s="30" t="s">
        <v>10853</v>
      </c>
      <c r="Q12420" t="s">
        <v>621</v>
      </c>
      <c r="R12420" t="s">
        <v>917</v>
      </c>
      <c r="S12420">
        <v>37</v>
      </c>
      <c r="T12420" s="29" t="str">
        <f t="shared" si="521"/>
        <v>2021.001F.R.Fusariviridae_1newfam.zip</v>
      </c>
      <c r="U12420" s="29" t="str">
        <f>HYPERLINK("https://ictv.global/taxonomy/taxondetails?taxnode_id=202313715","ictv.global=202313715")</f>
        <v>ictv.global=202313715</v>
      </c>
    </row>
    <row r="12421" spans="1:21">
      <c r="A12421">
        <v>12420</v>
      </c>
      <c r="B12421" s="30" t="s">
        <v>1226</v>
      </c>
      <c r="D12421" s="30" t="s">
        <v>2024</v>
      </c>
      <c r="F12421" s="30" t="s">
        <v>2074</v>
      </c>
      <c r="H12421" s="30" t="s">
        <v>2075</v>
      </c>
      <c r="J12421" s="30" t="s">
        <v>2076</v>
      </c>
      <c r="L12421" s="30" t="s">
        <v>10850</v>
      </c>
      <c r="N12421" s="30" t="s">
        <v>10851</v>
      </c>
      <c r="P12421" s="30" t="s">
        <v>10854</v>
      </c>
      <c r="Q12421" t="s">
        <v>621</v>
      </c>
      <c r="R12421" t="s">
        <v>917</v>
      </c>
      <c r="S12421">
        <v>37</v>
      </c>
      <c r="T12421" s="29" t="str">
        <f t="shared" si="521"/>
        <v>2021.001F.R.Fusariviridae_1newfam.zip</v>
      </c>
      <c r="U12421" s="29" t="str">
        <f>HYPERLINK("https://ictv.global/taxonomy/taxondetails?taxnode_id=202313716","ictv.global=202313716")</f>
        <v>ictv.global=202313716</v>
      </c>
    </row>
    <row r="12422" spans="1:21">
      <c r="A12422">
        <v>12421</v>
      </c>
      <c r="B12422" s="30" t="s">
        <v>1226</v>
      </c>
      <c r="D12422" s="30" t="s">
        <v>2024</v>
      </c>
      <c r="F12422" s="30" t="s">
        <v>2074</v>
      </c>
      <c r="H12422" s="30" t="s">
        <v>2075</v>
      </c>
      <c r="J12422" s="30" t="s">
        <v>2076</v>
      </c>
      <c r="L12422" s="30" t="s">
        <v>10850</v>
      </c>
      <c r="N12422" s="30" t="s">
        <v>10851</v>
      </c>
      <c r="P12422" s="30" t="s">
        <v>10855</v>
      </c>
      <c r="Q12422" t="s">
        <v>621</v>
      </c>
      <c r="R12422" t="s">
        <v>917</v>
      </c>
      <c r="S12422">
        <v>37</v>
      </c>
      <c r="T12422" s="29" t="str">
        <f t="shared" si="521"/>
        <v>2021.001F.R.Fusariviridae_1newfam.zip</v>
      </c>
      <c r="U12422" s="29" t="str">
        <f>HYPERLINK("https://ictv.global/taxonomy/taxondetails?taxnode_id=202313717","ictv.global=202313717")</f>
        <v>ictv.global=202313717</v>
      </c>
    </row>
    <row r="12423" spans="1:21">
      <c r="A12423">
        <v>12422</v>
      </c>
      <c r="B12423" s="30" t="s">
        <v>1226</v>
      </c>
      <c r="D12423" s="30" t="s">
        <v>2024</v>
      </c>
      <c r="F12423" s="30" t="s">
        <v>2074</v>
      </c>
      <c r="H12423" s="30" t="s">
        <v>2075</v>
      </c>
      <c r="J12423" s="30" t="s">
        <v>2076</v>
      </c>
      <c r="L12423" s="30" t="s">
        <v>10850</v>
      </c>
      <c r="N12423" s="30" t="s">
        <v>10851</v>
      </c>
      <c r="P12423" s="30" t="s">
        <v>10856</v>
      </c>
      <c r="Q12423" t="s">
        <v>621</v>
      </c>
      <c r="R12423" t="s">
        <v>917</v>
      </c>
      <c r="S12423">
        <v>37</v>
      </c>
      <c r="T12423" s="29" t="str">
        <f t="shared" si="521"/>
        <v>2021.001F.R.Fusariviridae_1newfam.zip</v>
      </c>
      <c r="U12423" s="29" t="str">
        <f>HYPERLINK("https://ictv.global/taxonomy/taxondetails?taxnode_id=202313718","ictv.global=202313718")</f>
        <v>ictv.global=202313718</v>
      </c>
    </row>
    <row r="12424" spans="1:21">
      <c r="A12424">
        <v>12423</v>
      </c>
      <c r="B12424" s="30" t="s">
        <v>1226</v>
      </c>
      <c r="D12424" s="30" t="s">
        <v>2024</v>
      </c>
      <c r="F12424" s="30" t="s">
        <v>2074</v>
      </c>
      <c r="H12424" s="30" t="s">
        <v>2075</v>
      </c>
      <c r="J12424" s="30" t="s">
        <v>2076</v>
      </c>
      <c r="L12424" s="30" t="s">
        <v>10850</v>
      </c>
      <c r="N12424" s="30" t="s">
        <v>10851</v>
      </c>
      <c r="P12424" s="30" t="s">
        <v>10857</v>
      </c>
      <c r="Q12424" t="s">
        <v>621</v>
      </c>
      <c r="R12424" t="s">
        <v>917</v>
      </c>
      <c r="S12424">
        <v>37</v>
      </c>
      <c r="T12424" s="29" t="str">
        <f t="shared" si="521"/>
        <v>2021.001F.R.Fusariviridae_1newfam.zip</v>
      </c>
      <c r="U12424" s="29" t="str">
        <f>HYPERLINK("https://ictv.global/taxonomy/taxondetails?taxnode_id=202313719","ictv.global=202313719")</f>
        <v>ictv.global=202313719</v>
      </c>
    </row>
    <row r="12425" spans="1:21">
      <c r="A12425">
        <v>12424</v>
      </c>
      <c r="B12425" s="30" t="s">
        <v>1226</v>
      </c>
      <c r="D12425" s="30" t="s">
        <v>2024</v>
      </c>
      <c r="F12425" s="30" t="s">
        <v>2074</v>
      </c>
      <c r="H12425" s="30" t="s">
        <v>2075</v>
      </c>
      <c r="J12425" s="30" t="s">
        <v>2076</v>
      </c>
      <c r="L12425" s="30" t="s">
        <v>10850</v>
      </c>
      <c r="N12425" s="30" t="s">
        <v>10851</v>
      </c>
      <c r="P12425" s="30" t="s">
        <v>10858</v>
      </c>
      <c r="Q12425" t="s">
        <v>621</v>
      </c>
      <c r="R12425" t="s">
        <v>917</v>
      </c>
      <c r="S12425">
        <v>37</v>
      </c>
      <c r="T12425" s="29" t="str">
        <f t="shared" si="521"/>
        <v>2021.001F.R.Fusariviridae_1newfam.zip</v>
      </c>
      <c r="U12425" s="29" t="str">
        <f>HYPERLINK("https://ictv.global/taxonomy/taxondetails?taxnode_id=202313720","ictv.global=202313720")</f>
        <v>ictv.global=202313720</v>
      </c>
    </row>
    <row r="12426" spans="1:21">
      <c r="A12426">
        <v>12425</v>
      </c>
      <c r="B12426" s="30" t="s">
        <v>1226</v>
      </c>
      <c r="D12426" s="30" t="s">
        <v>2024</v>
      </c>
      <c r="F12426" s="30" t="s">
        <v>2074</v>
      </c>
      <c r="H12426" s="30" t="s">
        <v>2075</v>
      </c>
      <c r="J12426" s="30" t="s">
        <v>2076</v>
      </c>
      <c r="L12426" s="30" t="s">
        <v>10850</v>
      </c>
      <c r="N12426" s="30" t="s">
        <v>10851</v>
      </c>
      <c r="P12426" s="30" t="s">
        <v>10859</v>
      </c>
      <c r="Q12426" t="s">
        <v>621</v>
      </c>
      <c r="R12426" t="s">
        <v>917</v>
      </c>
      <c r="S12426">
        <v>37</v>
      </c>
      <c r="T12426" s="29" t="str">
        <f t="shared" si="521"/>
        <v>2021.001F.R.Fusariviridae_1newfam.zip</v>
      </c>
      <c r="U12426" s="29" t="str">
        <f>HYPERLINK("https://ictv.global/taxonomy/taxondetails?taxnode_id=202313727","ictv.global=202313727")</f>
        <v>ictv.global=202313727</v>
      </c>
    </row>
    <row r="12427" spans="1:21">
      <c r="A12427">
        <v>12426</v>
      </c>
      <c r="B12427" s="30" t="s">
        <v>1226</v>
      </c>
      <c r="D12427" s="30" t="s">
        <v>2024</v>
      </c>
      <c r="F12427" s="30" t="s">
        <v>2074</v>
      </c>
      <c r="H12427" s="30" t="s">
        <v>2075</v>
      </c>
      <c r="J12427" s="30" t="s">
        <v>2076</v>
      </c>
      <c r="L12427" s="30" t="s">
        <v>10850</v>
      </c>
      <c r="N12427" s="30" t="s">
        <v>10851</v>
      </c>
      <c r="P12427" s="30" t="s">
        <v>10860</v>
      </c>
      <c r="Q12427" t="s">
        <v>621</v>
      </c>
      <c r="R12427" t="s">
        <v>917</v>
      </c>
      <c r="S12427">
        <v>37</v>
      </c>
      <c r="T12427" s="29" t="str">
        <f t="shared" si="521"/>
        <v>2021.001F.R.Fusariviridae_1newfam.zip</v>
      </c>
      <c r="U12427" s="29" t="str">
        <f>HYPERLINK("https://ictv.global/taxonomy/taxondetails?taxnode_id=202313721","ictv.global=202313721")</f>
        <v>ictv.global=202313721</v>
      </c>
    </row>
    <row r="12428" spans="1:21">
      <c r="A12428">
        <v>12427</v>
      </c>
      <c r="B12428" s="30" t="s">
        <v>1226</v>
      </c>
      <c r="D12428" s="30" t="s">
        <v>2024</v>
      </c>
      <c r="F12428" s="30" t="s">
        <v>2074</v>
      </c>
      <c r="H12428" s="30" t="s">
        <v>2075</v>
      </c>
      <c r="J12428" s="30" t="s">
        <v>2076</v>
      </c>
      <c r="L12428" s="30" t="s">
        <v>10850</v>
      </c>
      <c r="N12428" s="30" t="s">
        <v>10851</v>
      </c>
      <c r="P12428" s="30" t="s">
        <v>10861</v>
      </c>
      <c r="Q12428" t="s">
        <v>621</v>
      </c>
      <c r="R12428" t="s">
        <v>917</v>
      </c>
      <c r="S12428">
        <v>37</v>
      </c>
      <c r="T12428" s="29" t="str">
        <f t="shared" si="521"/>
        <v>2021.001F.R.Fusariviridae_1newfam.zip</v>
      </c>
      <c r="U12428" s="29" t="str">
        <f>HYPERLINK("https://ictv.global/taxonomy/taxondetails?taxnode_id=202313722","ictv.global=202313722")</f>
        <v>ictv.global=202313722</v>
      </c>
    </row>
    <row r="12429" spans="1:21">
      <c r="A12429">
        <v>12428</v>
      </c>
      <c r="B12429" s="30" t="s">
        <v>1226</v>
      </c>
      <c r="D12429" s="30" t="s">
        <v>2024</v>
      </c>
      <c r="F12429" s="30" t="s">
        <v>2074</v>
      </c>
      <c r="H12429" s="30" t="s">
        <v>2075</v>
      </c>
      <c r="J12429" s="30" t="s">
        <v>2076</v>
      </c>
      <c r="L12429" s="30" t="s">
        <v>10850</v>
      </c>
      <c r="N12429" s="30" t="s">
        <v>10851</v>
      </c>
      <c r="P12429" s="30" t="s">
        <v>10862</v>
      </c>
      <c r="Q12429" t="s">
        <v>621</v>
      </c>
      <c r="R12429" t="s">
        <v>917</v>
      </c>
      <c r="S12429">
        <v>37</v>
      </c>
      <c r="T12429" s="29" t="str">
        <f t="shared" si="521"/>
        <v>2021.001F.R.Fusariviridae_1newfam.zip</v>
      </c>
      <c r="U12429" s="29" t="str">
        <f>HYPERLINK("https://ictv.global/taxonomy/taxondetails?taxnode_id=202313723","ictv.global=202313723")</f>
        <v>ictv.global=202313723</v>
      </c>
    </row>
    <row r="12430" spans="1:21">
      <c r="A12430">
        <v>12429</v>
      </c>
      <c r="B12430" s="30" t="s">
        <v>1226</v>
      </c>
      <c r="D12430" s="30" t="s">
        <v>2024</v>
      </c>
      <c r="F12430" s="30" t="s">
        <v>2074</v>
      </c>
      <c r="H12430" s="30" t="s">
        <v>2075</v>
      </c>
      <c r="J12430" s="30" t="s">
        <v>2076</v>
      </c>
      <c r="L12430" s="30" t="s">
        <v>10850</v>
      </c>
      <c r="N12430" s="30" t="s">
        <v>10851</v>
      </c>
      <c r="P12430" s="30" t="s">
        <v>10863</v>
      </c>
      <c r="Q12430" t="s">
        <v>621</v>
      </c>
      <c r="R12430" t="s">
        <v>917</v>
      </c>
      <c r="S12430">
        <v>37</v>
      </c>
      <c r="T12430" s="29" t="str">
        <f t="shared" si="521"/>
        <v>2021.001F.R.Fusariviridae_1newfam.zip</v>
      </c>
      <c r="U12430" s="29" t="str">
        <f>HYPERLINK("https://ictv.global/taxonomy/taxondetails?taxnode_id=202313724","ictv.global=202313724")</f>
        <v>ictv.global=202313724</v>
      </c>
    </row>
    <row r="12431" spans="1:21">
      <c r="A12431">
        <v>12430</v>
      </c>
      <c r="B12431" s="30" t="s">
        <v>1226</v>
      </c>
      <c r="D12431" s="30" t="s">
        <v>2024</v>
      </c>
      <c r="F12431" s="30" t="s">
        <v>2074</v>
      </c>
      <c r="H12431" s="30" t="s">
        <v>2075</v>
      </c>
      <c r="J12431" s="30" t="s">
        <v>2076</v>
      </c>
      <c r="L12431" s="30" t="s">
        <v>10850</v>
      </c>
      <c r="N12431" s="30" t="s">
        <v>10851</v>
      </c>
      <c r="P12431" s="30" t="s">
        <v>10864</v>
      </c>
      <c r="Q12431" t="s">
        <v>621</v>
      </c>
      <c r="R12431" t="s">
        <v>917</v>
      </c>
      <c r="S12431">
        <v>37</v>
      </c>
      <c r="T12431" s="29" t="str">
        <f t="shared" si="521"/>
        <v>2021.001F.R.Fusariviridae_1newfam.zip</v>
      </c>
      <c r="U12431" s="29" t="str">
        <f>HYPERLINK("https://ictv.global/taxonomy/taxondetails?taxnode_id=202313726","ictv.global=202313726")</f>
        <v>ictv.global=202313726</v>
      </c>
    </row>
    <row r="12432" spans="1:21">
      <c r="A12432">
        <v>12431</v>
      </c>
      <c r="B12432" s="30" t="s">
        <v>1226</v>
      </c>
      <c r="D12432" s="30" t="s">
        <v>2024</v>
      </c>
      <c r="F12432" s="30" t="s">
        <v>2074</v>
      </c>
      <c r="H12432" s="30" t="s">
        <v>2075</v>
      </c>
      <c r="J12432" s="30" t="s">
        <v>2076</v>
      </c>
      <c r="L12432" s="30" t="s">
        <v>10850</v>
      </c>
      <c r="N12432" s="30" t="s">
        <v>10851</v>
      </c>
      <c r="P12432" s="30" t="s">
        <v>10865</v>
      </c>
      <c r="Q12432" t="s">
        <v>621</v>
      </c>
      <c r="R12432" t="s">
        <v>917</v>
      </c>
      <c r="S12432">
        <v>37</v>
      </c>
      <c r="T12432" s="29" t="str">
        <f t="shared" si="521"/>
        <v>2021.001F.R.Fusariviridae_1newfam.zip</v>
      </c>
      <c r="U12432" s="29" t="str">
        <f>HYPERLINK("https://ictv.global/taxonomy/taxondetails?taxnode_id=202313728","ictv.global=202313728")</f>
        <v>ictv.global=202313728</v>
      </c>
    </row>
    <row r="12433" spans="1:21">
      <c r="A12433">
        <v>12432</v>
      </c>
      <c r="B12433" s="30" t="s">
        <v>1226</v>
      </c>
      <c r="D12433" s="30" t="s">
        <v>2024</v>
      </c>
      <c r="F12433" s="30" t="s">
        <v>2074</v>
      </c>
      <c r="H12433" s="30" t="s">
        <v>2075</v>
      </c>
      <c r="J12433" s="30" t="s">
        <v>2076</v>
      </c>
      <c r="L12433" s="30" t="s">
        <v>10850</v>
      </c>
      <c r="N12433" s="30" t="s">
        <v>10851</v>
      </c>
      <c r="P12433" s="30" t="s">
        <v>10866</v>
      </c>
      <c r="Q12433" t="s">
        <v>621</v>
      </c>
      <c r="R12433" t="s">
        <v>917</v>
      </c>
      <c r="S12433">
        <v>37</v>
      </c>
      <c r="T12433" s="29" t="str">
        <f t="shared" si="521"/>
        <v>2021.001F.R.Fusariviridae_1newfam.zip</v>
      </c>
      <c r="U12433" s="29" t="str">
        <f>HYPERLINK("https://ictv.global/taxonomy/taxondetails?taxnode_id=202313714","ictv.global=202313714")</f>
        <v>ictv.global=202313714</v>
      </c>
    </row>
    <row r="12434" spans="1:21">
      <c r="A12434">
        <v>12433</v>
      </c>
      <c r="B12434" s="30" t="s">
        <v>1226</v>
      </c>
      <c r="D12434" s="30" t="s">
        <v>2024</v>
      </c>
      <c r="F12434" s="30" t="s">
        <v>2074</v>
      </c>
      <c r="H12434" s="30" t="s">
        <v>2075</v>
      </c>
      <c r="J12434" s="30" t="s">
        <v>2076</v>
      </c>
      <c r="L12434" s="30" t="s">
        <v>10850</v>
      </c>
      <c r="N12434" s="30" t="s">
        <v>10851</v>
      </c>
      <c r="P12434" s="30" t="s">
        <v>10867</v>
      </c>
      <c r="Q12434" t="s">
        <v>621</v>
      </c>
      <c r="R12434" t="s">
        <v>917</v>
      </c>
      <c r="S12434">
        <v>37</v>
      </c>
      <c r="T12434" s="29" t="str">
        <f t="shared" si="521"/>
        <v>2021.001F.R.Fusariviridae_1newfam.zip</v>
      </c>
      <c r="U12434" s="29" t="str">
        <f>HYPERLINK("https://ictv.global/taxonomy/taxondetails?taxnode_id=202313729","ictv.global=202313729")</f>
        <v>ictv.global=202313729</v>
      </c>
    </row>
    <row r="12435" spans="1:21">
      <c r="A12435">
        <v>12434</v>
      </c>
      <c r="B12435" s="30" t="s">
        <v>1226</v>
      </c>
      <c r="D12435" s="30" t="s">
        <v>2024</v>
      </c>
      <c r="F12435" s="30" t="s">
        <v>2074</v>
      </c>
      <c r="H12435" s="30" t="s">
        <v>2075</v>
      </c>
      <c r="J12435" s="30" t="s">
        <v>2076</v>
      </c>
      <c r="L12435" s="30" t="s">
        <v>10850</v>
      </c>
      <c r="N12435" s="30" t="s">
        <v>10851</v>
      </c>
      <c r="P12435" s="30" t="s">
        <v>10868</v>
      </c>
      <c r="Q12435" t="s">
        <v>621</v>
      </c>
      <c r="R12435" t="s">
        <v>917</v>
      </c>
      <c r="S12435">
        <v>37</v>
      </c>
      <c r="T12435" s="29" t="str">
        <f t="shared" si="521"/>
        <v>2021.001F.R.Fusariviridae_1newfam.zip</v>
      </c>
      <c r="U12435" s="29" t="str">
        <f>HYPERLINK("https://ictv.global/taxonomy/taxondetails?taxnode_id=202313733","ictv.global=202313733")</f>
        <v>ictv.global=202313733</v>
      </c>
    </row>
    <row r="12436" spans="1:21">
      <c r="A12436">
        <v>12435</v>
      </c>
      <c r="B12436" s="30" t="s">
        <v>1226</v>
      </c>
      <c r="D12436" s="30" t="s">
        <v>2024</v>
      </c>
      <c r="F12436" s="30" t="s">
        <v>2074</v>
      </c>
      <c r="H12436" s="30" t="s">
        <v>2075</v>
      </c>
      <c r="J12436" s="30" t="s">
        <v>2076</v>
      </c>
      <c r="L12436" s="30" t="s">
        <v>10850</v>
      </c>
      <c r="N12436" s="30" t="s">
        <v>10851</v>
      </c>
      <c r="P12436" s="30" t="s">
        <v>10869</v>
      </c>
      <c r="Q12436" t="s">
        <v>621</v>
      </c>
      <c r="R12436" t="s">
        <v>917</v>
      </c>
      <c r="S12436">
        <v>37</v>
      </c>
      <c r="T12436" s="29" t="str">
        <f t="shared" si="521"/>
        <v>2021.001F.R.Fusariviridae_1newfam.zip</v>
      </c>
      <c r="U12436" s="29" t="str">
        <f>HYPERLINK("https://ictv.global/taxonomy/taxondetails?taxnode_id=202313725","ictv.global=202313725")</f>
        <v>ictv.global=202313725</v>
      </c>
    </row>
    <row r="12437" spans="1:21">
      <c r="A12437">
        <v>12436</v>
      </c>
      <c r="B12437" s="30" t="s">
        <v>1226</v>
      </c>
      <c r="D12437" s="30" t="s">
        <v>2024</v>
      </c>
      <c r="F12437" s="30" t="s">
        <v>2074</v>
      </c>
      <c r="H12437" s="30" t="s">
        <v>2075</v>
      </c>
      <c r="J12437" s="30" t="s">
        <v>2076</v>
      </c>
      <c r="L12437" s="30" t="s">
        <v>10850</v>
      </c>
      <c r="N12437" s="30" t="s">
        <v>10851</v>
      </c>
      <c r="P12437" s="30" t="s">
        <v>10870</v>
      </c>
      <c r="Q12437" t="s">
        <v>621</v>
      </c>
      <c r="R12437" t="s">
        <v>917</v>
      </c>
      <c r="S12437">
        <v>37</v>
      </c>
      <c r="T12437" s="29" t="str">
        <f t="shared" si="521"/>
        <v>2021.001F.R.Fusariviridae_1newfam.zip</v>
      </c>
      <c r="U12437" s="29" t="str">
        <f>HYPERLINK("https://ictv.global/taxonomy/taxondetails?taxnode_id=202313730","ictv.global=202313730")</f>
        <v>ictv.global=202313730</v>
      </c>
    </row>
    <row r="12438" spans="1:21">
      <c r="A12438">
        <v>12437</v>
      </c>
      <c r="B12438" s="30" t="s">
        <v>1226</v>
      </c>
      <c r="D12438" s="30" t="s">
        <v>2024</v>
      </c>
      <c r="F12438" s="30" t="s">
        <v>2074</v>
      </c>
      <c r="H12438" s="30" t="s">
        <v>2075</v>
      </c>
      <c r="J12438" s="30" t="s">
        <v>2076</v>
      </c>
      <c r="L12438" s="30" t="s">
        <v>10850</v>
      </c>
      <c r="N12438" s="30" t="s">
        <v>10851</v>
      </c>
      <c r="P12438" s="30" t="s">
        <v>10871</v>
      </c>
      <c r="Q12438" t="s">
        <v>621</v>
      </c>
      <c r="R12438" t="s">
        <v>917</v>
      </c>
      <c r="S12438">
        <v>37</v>
      </c>
      <c r="T12438" s="29" t="str">
        <f t="shared" si="521"/>
        <v>2021.001F.R.Fusariviridae_1newfam.zip</v>
      </c>
      <c r="U12438" s="29" t="str">
        <f>HYPERLINK("https://ictv.global/taxonomy/taxondetails?taxnode_id=202313731","ictv.global=202313731")</f>
        <v>ictv.global=202313731</v>
      </c>
    </row>
    <row r="12439" spans="1:21">
      <c r="A12439">
        <v>12438</v>
      </c>
      <c r="B12439" s="30" t="s">
        <v>1226</v>
      </c>
      <c r="D12439" s="30" t="s">
        <v>2024</v>
      </c>
      <c r="F12439" s="30" t="s">
        <v>2074</v>
      </c>
      <c r="H12439" s="30" t="s">
        <v>2075</v>
      </c>
      <c r="J12439" s="30" t="s">
        <v>2076</v>
      </c>
      <c r="L12439" s="30" t="s">
        <v>10850</v>
      </c>
      <c r="N12439" s="30" t="s">
        <v>10851</v>
      </c>
      <c r="P12439" s="30" t="s">
        <v>10872</v>
      </c>
      <c r="Q12439" t="s">
        <v>621</v>
      </c>
      <c r="R12439" t="s">
        <v>917</v>
      </c>
      <c r="S12439">
        <v>37</v>
      </c>
      <c r="T12439" s="29" t="str">
        <f t="shared" si="521"/>
        <v>2021.001F.R.Fusariviridae_1newfam.zip</v>
      </c>
      <c r="U12439" s="29" t="str">
        <f>HYPERLINK("https://ictv.global/taxonomy/taxondetails?taxnode_id=202313732","ictv.global=202313732")</f>
        <v>ictv.global=202313732</v>
      </c>
    </row>
    <row r="12440" spans="1:21">
      <c r="A12440">
        <v>12439</v>
      </c>
      <c r="B12440" s="30" t="s">
        <v>1226</v>
      </c>
      <c r="D12440" s="30" t="s">
        <v>2024</v>
      </c>
      <c r="F12440" s="30" t="s">
        <v>2074</v>
      </c>
      <c r="H12440" s="30" t="s">
        <v>2075</v>
      </c>
      <c r="J12440" s="30" t="s">
        <v>2076</v>
      </c>
      <c r="L12440" s="30" t="s">
        <v>10850</v>
      </c>
      <c r="N12440" s="30" t="s">
        <v>10851</v>
      </c>
      <c r="P12440" s="30" t="s">
        <v>10873</v>
      </c>
      <c r="Q12440" t="s">
        <v>621</v>
      </c>
      <c r="R12440" t="s">
        <v>917</v>
      </c>
      <c r="S12440">
        <v>37</v>
      </c>
      <c r="T12440" s="29" t="str">
        <f t="shared" si="521"/>
        <v>2021.001F.R.Fusariviridae_1newfam.zip</v>
      </c>
      <c r="U12440" s="29" t="str">
        <f>HYPERLINK("https://ictv.global/taxonomy/taxondetails?taxnode_id=202313734","ictv.global=202313734")</f>
        <v>ictv.global=202313734</v>
      </c>
    </row>
    <row r="12441" spans="1:21">
      <c r="A12441">
        <v>12440</v>
      </c>
      <c r="B12441" s="30" t="s">
        <v>1226</v>
      </c>
      <c r="D12441" s="30" t="s">
        <v>2024</v>
      </c>
      <c r="F12441" s="30" t="s">
        <v>2074</v>
      </c>
      <c r="H12441" s="30" t="s">
        <v>2075</v>
      </c>
      <c r="J12441" s="30" t="s">
        <v>2076</v>
      </c>
      <c r="L12441" s="30" t="s">
        <v>10850</v>
      </c>
      <c r="N12441" s="30" t="s">
        <v>10874</v>
      </c>
      <c r="P12441" s="30" t="s">
        <v>10875</v>
      </c>
      <c r="Q12441" t="s">
        <v>621</v>
      </c>
      <c r="R12441" t="s">
        <v>917</v>
      </c>
      <c r="S12441">
        <v>37</v>
      </c>
      <c r="T12441" s="29" t="str">
        <f t="shared" si="521"/>
        <v>2021.001F.R.Fusariviridae_1newfam.zip</v>
      </c>
      <c r="U12441" s="29" t="str">
        <f>HYPERLINK("https://ictv.global/taxonomy/taxondetails?taxnode_id=202313736","ictv.global=202313736")</f>
        <v>ictv.global=202313736</v>
      </c>
    </row>
    <row r="12442" spans="1:21">
      <c r="A12442">
        <v>12441</v>
      </c>
      <c r="B12442" s="30" t="s">
        <v>1226</v>
      </c>
      <c r="D12442" s="30" t="s">
        <v>2024</v>
      </c>
      <c r="F12442" s="30" t="s">
        <v>2074</v>
      </c>
      <c r="H12442" s="30" t="s">
        <v>2075</v>
      </c>
      <c r="J12442" s="30" t="s">
        <v>2076</v>
      </c>
      <c r="L12442" s="30" t="s">
        <v>10850</v>
      </c>
      <c r="N12442" s="30" t="s">
        <v>10874</v>
      </c>
      <c r="P12442" s="30" t="s">
        <v>10876</v>
      </c>
      <c r="Q12442" t="s">
        <v>621</v>
      </c>
      <c r="R12442" t="s">
        <v>917</v>
      </c>
      <c r="S12442">
        <v>37</v>
      </c>
      <c r="T12442" s="29" t="str">
        <f t="shared" si="521"/>
        <v>2021.001F.R.Fusariviridae_1newfam.zip</v>
      </c>
      <c r="U12442" s="29" t="str">
        <f>HYPERLINK("https://ictv.global/taxonomy/taxondetails?taxnode_id=202313740","ictv.global=202313740")</f>
        <v>ictv.global=202313740</v>
      </c>
    </row>
    <row r="12443" spans="1:21">
      <c r="A12443">
        <v>12442</v>
      </c>
      <c r="B12443" s="30" t="s">
        <v>1226</v>
      </c>
      <c r="D12443" s="30" t="s">
        <v>2024</v>
      </c>
      <c r="F12443" s="30" t="s">
        <v>2074</v>
      </c>
      <c r="H12443" s="30" t="s">
        <v>2075</v>
      </c>
      <c r="J12443" s="30" t="s">
        <v>2076</v>
      </c>
      <c r="L12443" s="30" t="s">
        <v>10850</v>
      </c>
      <c r="N12443" s="30" t="s">
        <v>10874</v>
      </c>
      <c r="P12443" s="30" t="s">
        <v>10877</v>
      </c>
      <c r="Q12443" t="s">
        <v>621</v>
      </c>
      <c r="R12443" t="s">
        <v>917</v>
      </c>
      <c r="S12443">
        <v>37</v>
      </c>
      <c r="T12443" s="29" t="str">
        <f t="shared" si="521"/>
        <v>2021.001F.R.Fusariviridae_1newfam.zip</v>
      </c>
      <c r="U12443" s="29" t="str">
        <f>HYPERLINK("https://ictv.global/taxonomy/taxondetails?taxnode_id=202313744","ictv.global=202313744")</f>
        <v>ictv.global=202313744</v>
      </c>
    </row>
    <row r="12444" spans="1:21">
      <c r="A12444">
        <v>12443</v>
      </c>
      <c r="B12444" s="30" t="s">
        <v>1226</v>
      </c>
      <c r="D12444" s="30" t="s">
        <v>2024</v>
      </c>
      <c r="F12444" s="30" t="s">
        <v>2074</v>
      </c>
      <c r="H12444" s="30" t="s">
        <v>2075</v>
      </c>
      <c r="J12444" s="30" t="s">
        <v>2076</v>
      </c>
      <c r="L12444" s="30" t="s">
        <v>10850</v>
      </c>
      <c r="N12444" s="30" t="s">
        <v>10874</v>
      </c>
      <c r="P12444" s="30" t="s">
        <v>10878</v>
      </c>
      <c r="Q12444" t="s">
        <v>621</v>
      </c>
      <c r="R12444" t="s">
        <v>917</v>
      </c>
      <c r="S12444">
        <v>37</v>
      </c>
      <c r="T12444" s="29" t="str">
        <f t="shared" si="521"/>
        <v>2021.001F.R.Fusariviridae_1newfam.zip</v>
      </c>
      <c r="U12444" s="29" t="str">
        <f>HYPERLINK("https://ictv.global/taxonomy/taxondetails?taxnode_id=202313741","ictv.global=202313741")</f>
        <v>ictv.global=202313741</v>
      </c>
    </row>
    <row r="12445" spans="1:21">
      <c r="A12445">
        <v>12444</v>
      </c>
      <c r="B12445" s="30" t="s">
        <v>1226</v>
      </c>
      <c r="D12445" s="30" t="s">
        <v>2024</v>
      </c>
      <c r="F12445" s="30" t="s">
        <v>2074</v>
      </c>
      <c r="H12445" s="30" t="s">
        <v>2075</v>
      </c>
      <c r="J12445" s="30" t="s">
        <v>2076</v>
      </c>
      <c r="L12445" s="30" t="s">
        <v>10850</v>
      </c>
      <c r="N12445" s="30" t="s">
        <v>10874</v>
      </c>
      <c r="P12445" s="30" t="s">
        <v>10879</v>
      </c>
      <c r="Q12445" t="s">
        <v>621</v>
      </c>
      <c r="R12445" t="s">
        <v>917</v>
      </c>
      <c r="S12445">
        <v>37</v>
      </c>
      <c r="T12445" s="29" t="str">
        <f t="shared" si="521"/>
        <v>2021.001F.R.Fusariviridae_1newfam.zip</v>
      </c>
      <c r="U12445" s="29" t="str">
        <f>HYPERLINK("https://ictv.global/taxonomy/taxondetails?taxnode_id=202313738","ictv.global=202313738")</f>
        <v>ictv.global=202313738</v>
      </c>
    </row>
    <row r="12446" spans="1:21">
      <c r="A12446">
        <v>12445</v>
      </c>
      <c r="B12446" s="30" t="s">
        <v>1226</v>
      </c>
      <c r="D12446" s="30" t="s">
        <v>2024</v>
      </c>
      <c r="F12446" s="30" t="s">
        <v>2074</v>
      </c>
      <c r="H12446" s="30" t="s">
        <v>2075</v>
      </c>
      <c r="J12446" s="30" t="s">
        <v>2076</v>
      </c>
      <c r="L12446" s="30" t="s">
        <v>10850</v>
      </c>
      <c r="N12446" s="30" t="s">
        <v>10874</v>
      </c>
      <c r="P12446" s="30" t="s">
        <v>10880</v>
      </c>
      <c r="Q12446" t="s">
        <v>621</v>
      </c>
      <c r="R12446" t="s">
        <v>917</v>
      </c>
      <c r="S12446">
        <v>37</v>
      </c>
      <c r="T12446" s="29" t="str">
        <f t="shared" si="521"/>
        <v>2021.001F.R.Fusariviridae_1newfam.zip</v>
      </c>
      <c r="U12446" s="29" t="str">
        <f>HYPERLINK("https://ictv.global/taxonomy/taxondetails?taxnode_id=202313745","ictv.global=202313745")</f>
        <v>ictv.global=202313745</v>
      </c>
    </row>
    <row r="12447" spans="1:21">
      <c r="A12447">
        <v>12446</v>
      </c>
      <c r="B12447" s="30" t="s">
        <v>1226</v>
      </c>
      <c r="D12447" s="30" t="s">
        <v>2024</v>
      </c>
      <c r="F12447" s="30" t="s">
        <v>2074</v>
      </c>
      <c r="H12447" s="30" t="s">
        <v>2075</v>
      </c>
      <c r="J12447" s="30" t="s">
        <v>2076</v>
      </c>
      <c r="L12447" s="30" t="s">
        <v>10850</v>
      </c>
      <c r="N12447" s="30" t="s">
        <v>10874</v>
      </c>
      <c r="P12447" s="30" t="s">
        <v>10881</v>
      </c>
      <c r="Q12447" t="s">
        <v>621</v>
      </c>
      <c r="R12447" t="s">
        <v>917</v>
      </c>
      <c r="S12447">
        <v>37</v>
      </c>
      <c r="T12447" s="29" t="str">
        <f t="shared" si="521"/>
        <v>2021.001F.R.Fusariviridae_1newfam.zip</v>
      </c>
      <c r="U12447" s="29" t="str">
        <f>HYPERLINK("https://ictv.global/taxonomy/taxondetails?taxnode_id=202313739","ictv.global=202313739")</f>
        <v>ictv.global=202313739</v>
      </c>
    </row>
    <row r="12448" spans="1:21">
      <c r="A12448">
        <v>12447</v>
      </c>
      <c r="B12448" s="30" t="s">
        <v>1226</v>
      </c>
      <c r="D12448" s="30" t="s">
        <v>2024</v>
      </c>
      <c r="F12448" s="30" t="s">
        <v>2074</v>
      </c>
      <c r="H12448" s="30" t="s">
        <v>2075</v>
      </c>
      <c r="J12448" s="30" t="s">
        <v>2076</v>
      </c>
      <c r="L12448" s="30" t="s">
        <v>10850</v>
      </c>
      <c r="N12448" s="30" t="s">
        <v>10874</v>
      </c>
      <c r="P12448" s="30" t="s">
        <v>10882</v>
      </c>
      <c r="Q12448" t="s">
        <v>621</v>
      </c>
      <c r="R12448" t="s">
        <v>917</v>
      </c>
      <c r="S12448">
        <v>37</v>
      </c>
      <c r="T12448" s="29" t="str">
        <f t="shared" si="521"/>
        <v>2021.001F.R.Fusariviridae_1newfam.zip</v>
      </c>
      <c r="U12448" s="29" t="str">
        <f>HYPERLINK("https://ictv.global/taxonomy/taxondetails?taxnode_id=202313742","ictv.global=202313742")</f>
        <v>ictv.global=202313742</v>
      </c>
    </row>
    <row r="12449" spans="1:21">
      <c r="A12449">
        <v>12448</v>
      </c>
      <c r="B12449" s="30" t="s">
        <v>1226</v>
      </c>
      <c r="D12449" s="30" t="s">
        <v>2024</v>
      </c>
      <c r="F12449" s="30" t="s">
        <v>2074</v>
      </c>
      <c r="H12449" s="30" t="s">
        <v>2075</v>
      </c>
      <c r="J12449" s="30" t="s">
        <v>2076</v>
      </c>
      <c r="L12449" s="30" t="s">
        <v>10850</v>
      </c>
      <c r="N12449" s="30" t="s">
        <v>10874</v>
      </c>
      <c r="P12449" s="30" t="s">
        <v>10883</v>
      </c>
      <c r="Q12449" t="s">
        <v>621</v>
      </c>
      <c r="R12449" t="s">
        <v>917</v>
      </c>
      <c r="S12449">
        <v>37</v>
      </c>
      <c r="T12449" s="29" t="str">
        <f t="shared" si="521"/>
        <v>2021.001F.R.Fusariviridae_1newfam.zip</v>
      </c>
      <c r="U12449" s="29" t="str">
        <f>HYPERLINK("https://ictv.global/taxonomy/taxondetails?taxnode_id=202313743","ictv.global=202313743")</f>
        <v>ictv.global=202313743</v>
      </c>
    </row>
    <row r="12450" spans="1:21">
      <c r="A12450">
        <v>12449</v>
      </c>
      <c r="B12450" s="30" t="s">
        <v>1226</v>
      </c>
      <c r="D12450" s="30" t="s">
        <v>2024</v>
      </c>
      <c r="F12450" s="30" t="s">
        <v>2074</v>
      </c>
      <c r="H12450" s="30" t="s">
        <v>2075</v>
      </c>
      <c r="J12450" s="30" t="s">
        <v>2076</v>
      </c>
      <c r="L12450" s="30" t="s">
        <v>10850</v>
      </c>
      <c r="N12450" s="30" t="s">
        <v>10874</v>
      </c>
      <c r="P12450" s="30" t="s">
        <v>10884</v>
      </c>
      <c r="Q12450" t="s">
        <v>621</v>
      </c>
      <c r="R12450" t="s">
        <v>917</v>
      </c>
      <c r="S12450">
        <v>37</v>
      </c>
      <c r="T12450" s="29" t="str">
        <f t="shared" si="521"/>
        <v>2021.001F.R.Fusariviridae_1newfam.zip</v>
      </c>
      <c r="U12450" s="29" t="str">
        <f>HYPERLINK("https://ictv.global/taxonomy/taxondetails?taxnode_id=202313746","ictv.global=202313746")</f>
        <v>ictv.global=202313746</v>
      </c>
    </row>
    <row r="12451" spans="1:21">
      <c r="A12451">
        <v>12450</v>
      </c>
      <c r="B12451" s="30" t="s">
        <v>1226</v>
      </c>
      <c r="D12451" s="30" t="s">
        <v>2024</v>
      </c>
      <c r="F12451" s="30" t="s">
        <v>2074</v>
      </c>
      <c r="H12451" s="30" t="s">
        <v>2075</v>
      </c>
      <c r="J12451" s="30" t="s">
        <v>2076</v>
      </c>
      <c r="L12451" s="30" t="s">
        <v>10850</v>
      </c>
      <c r="N12451" s="30" t="s">
        <v>10874</v>
      </c>
      <c r="P12451" s="30" t="s">
        <v>10885</v>
      </c>
      <c r="Q12451" t="s">
        <v>621</v>
      </c>
      <c r="R12451" t="s">
        <v>917</v>
      </c>
      <c r="S12451">
        <v>37</v>
      </c>
      <c r="T12451" s="29" t="str">
        <f t="shared" si="521"/>
        <v>2021.001F.R.Fusariviridae_1newfam.zip</v>
      </c>
      <c r="U12451" s="29" t="str">
        <f>HYPERLINK("https://ictv.global/taxonomy/taxondetails?taxnode_id=202313737","ictv.global=202313737")</f>
        <v>ictv.global=202313737</v>
      </c>
    </row>
    <row r="12452" spans="1:21">
      <c r="A12452">
        <v>12451</v>
      </c>
      <c r="B12452" s="30" t="s">
        <v>1226</v>
      </c>
      <c r="D12452" s="30" t="s">
        <v>2024</v>
      </c>
      <c r="F12452" s="30" t="s">
        <v>2074</v>
      </c>
      <c r="H12452" s="30" t="s">
        <v>2075</v>
      </c>
      <c r="J12452" s="30" t="s">
        <v>2076</v>
      </c>
      <c r="L12452" s="30" t="s">
        <v>10850</v>
      </c>
      <c r="N12452" s="30" t="s">
        <v>10886</v>
      </c>
      <c r="P12452" s="30" t="s">
        <v>10887</v>
      </c>
      <c r="Q12452" t="s">
        <v>621</v>
      </c>
      <c r="R12452" t="s">
        <v>917</v>
      </c>
      <c r="S12452">
        <v>37</v>
      </c>
      <c r="T12452" s="29" t="str">
        <f t="shared" si="521"/>
        <v>2021.001F.R.Fusariviridae_1newfam.zip</v>
      </c>
      <c r="U12452" s="29" t="str">
        <f>HYPERLINK("https://ictv.global/taxonomy/taxondetails?taxnode_id=202313748","ictv.global=202313748")</f>
        <v>ictv.global=202313748</v>
      </c>
    </row>
    <row r="12453" spans="1:21">
      <c r="A12453">
        <v>12452</v>
      </c>
      <c r="B12453" s="30" t="s">
        <v>1226</v>
      </c>
      <c r="D12453" s="30" t="s">
        <v>2024</v>
      </c>
      <c r="F12453" s="30" t="s">
        <v>2074</v>
      </c>
      <c r="H12453" s="30" t="s">
        <v>2075</v>
      </c>
      <c r="J12453" s="30" t="s">
        <v>2076</v>
      </c>
      <c r="L12453" s="30" t="s">
        <v>123</v>
      </c>
      <c r="N12453" s="30" t="s">
        <v>10888</v>
      </c>
      <c r="P12453" s="30" t="s">
        <v>10889</v>
      </c>
      <c r="Q12453" t="s">
        <v>1208</v>
      </c>
      <c r="R12453" t="s">
        <v>917</v>
      </c>
      <c r="S12453">
        <v>37</v>
      </c>
      <c r="T12453" s="29" t="str">
        <f t="shared" ref="T12453:T12491" si="522">HYPERLINK("https://ictv.global/ictv/proposals/2021.006F.R.Hypoviridae_8newgen_35newsp.zip","2021.006F.R.Hypoviridae_8newgen_35newsp.zip")</f>
        <v>2021.006F.R.Hypoviridae_8newgen_35newsp.zip</v>
      </c>
      <c r="U12453" s="29" t="str">
        <f>HYPERLINK("https://ictv.global/taxonomy/taxondetails?taxnode_id=202312488","ictv.global=202312488")</f>
        <v>ictv.global=202312488</v>
      </c>
    </row>
    <row r="12454" spans="1:21">
      <c r="A12454">
        <v>12453</v>
      </c>
      <c r="B12454" s="30" t="s">
        <v>1226</v>
      </c>
      <c r="D12454" s="30" t="s">
        <v>2024</v>
      </c>
      <c r="F12454" s="30" t="s">
        <v>2074</v>
      </c>
      <c r="H12454" s="30" t="s">
        <v>2075</v>
      </c>
      <c r="J12454" s="30" t="s">
        <v>2076</v>
      </c>
      <c r="L12454" s="30" t="s">
        <v>123</v>
      </c>
      <c r="N12454" s="30" t="s">
        <v>10888</v>
      </c>
      <c r="P12454" s="30" t="s">
        <v>10890</v>
      </c>
      <c r="Q12454" t="s">
        <v>1208</v>
      </c>
      <c r="R12454" t="s">
        <v>918</v>
      </c>
      <c r="S12454">
        <v>37</v>
      </c>
      <c r="T12454" s="29" t="str">
        <f t="shared" si="522"/>
        <v>2021.006F.R.Hypoviridae_8newgen_35newsp.zip</v>
      </c>
      <c r="U12454" s="29" t="str">
        <f>HYPERLINK("https://ictv.global/taxonomy/taxondetails?taxnode_id=202303675","ictv.global=202303675")</f>
        <v>ictv.global=202303675</v>
      </c>
    </row>
    <row r="12455" spans="1:21">
      <c r="A12455">
        <v>12454</v>
      </c>
      <c r="B12455" s="30" t="s">
        <v>1226</v>
      </c>
      <c r="D12455" s="30" t="s">
        <v>2024</v>
      </c>
      <c r="F12455" s="30" t="s">
        <v>2074</v>
      </c>
      <c r="H12455" s="30" t="s">
        <v>2075</v>
      </c>
      <c r="J12455" s="30" t="s">
        <v>2076</v>
      </c>
      <c r="L12455" s="30" t="s">
        <v>123</v>
      </c>
      <c r="N12455" s="30" t="s">
        <v>10888</v>
      </c>
      <c r="P12455" s="30" t="s">
        <v>10891</v>
      </c>
      <c r="Q12455" t="s">
        <v>1208</v>
      </c>
      <c r="R12455" t="s">
        <v>917</v>
      </c>
      <c r="S12455">
        <v>37</v>
      </c>
      <c r="T12455" s="29" t="str">
        <f t="shared" si="522"/>
        <v>2021.006F.R.Hypoviridae_8newgen_35newsp.zip</v>
      </c>
      <c r="U12455" s="29" t="str">
        <f>HYPERLINK("https://ictv.global/taxonomy/taxondetails?taxnode_id=202312485","ictv.global=202312485")</f>
        <v>ictv.global=202312485</v>
      </c>
    </row>
    <row r="12456" spans="1:21">
      <c r="A12456">
        <v>12455</v>
      </c>
      <c r="B12456" s="30" t="s">
        <v>1226</v>
      </c>
      <c r="D12456" s="30" t="s">
        <v>2024</v>
      </c>
      <c r="F12456" s="30" t="s">
        <v>2074</v>
      </c>
      <c r="H12456" s="30" t="s">
        <v>2075</v>
      </c>
      <c r="J12456" s="30" t="s">
        <v>2076</v>
      </c>
      <c r="L12456" s="30" t="s">
        <v>123</v>
      </c>
      <c r="N12456" s="30" t="s">
        <v>10888</v>
      </c>
      <c r="P12456" s="30" t="s">
        <v>10892</v>
      </c>
      <c r="Q12456" t="s">
        <v>1208</v>
      </c>
      <c r="R12456" t="s">
        <v>917</v>
      </c>
      <c r="S12456">
        <v>37</v>
      </c>
      <c r="T12456" s="29" t="str">
        <f t="shared" si="522"/>
        <v>2021.006F.R.Hypoviridae_8newgen_35newsp.zip</v>
      </c>
      <c r="U12456" s="29" t="str">
        <f>HYPERLINK("https://ictv.global/taxonomy/taxondetails?taxnode_id=202312487","ictv.global=202312487")</f>
        <v>ictv.global=202312487</v>
      </c>
    </row>
    <row r="12457" spans="1:21">
      <c r="A12457">
        <v>12456</v>
      </c>
      <c r="B12457" s="30" t="s">
        <v>1226</v>
      </c>
      <c r="D12457" s="30" t="s">
        <v>2024</v>
      </c>
      <c r="F12457" s="30" t="s">
        <v>2074</v>
      </c>
      <c r="H12457" s="30" t="s">
        <v>2075</v>
      </c>
      <c r="J12457" s="30" t="s">
        <v>2076</v>
      </c>
      <c r="L12457" s="30" t="s">
        <v>123</v>
      </c>
      <c r="N12457" s="30" t="s">
        <v>10888</v>
      </c>
      <c r="P12457" s="30" t="s">
        <v>10893</v>
      </c>
      <c r="Q12457" t="s">
        <v>1208</v>
      </c>
      <c r="R12457" t="s">
        <v>918</v>
      </c>
      <c r="S12457">
        <v>37</v>
      </c>
      <c r="T12457" s="29" t="str">
        <f t="shared" si="522"/>
        <v>2021.006F.R.Hypoviridae_8newgen_35newsp.zip</v>
      </c>
      <c r="U12457" s="29" t="str">
        <f>HYPERLINK("https://ictv.global/taxonomy/taxondetails?taxnode_id=202303674","ictv.global=202303674")</f>
        <v>ictv.global=202303674</v>
      </c>
    </row>
    <row r="12458" spans="1:21">
      <c r="A12458">
        <v>12457</v>
      </c>
      <c r="B12458" s="30" t="s">
        <v>1226</v>
      </c>
      <c r="D12458" s="30" t="s">
        <v>2024</v>
      </c>
      <c r="F12458" s="30" t="s">
        <v>2074</v>
      </c>
      <c r="H12458" s="30" t="s">
        <v>2075</v>
      </c>
      <c r="J12458" s="30" t="s">
        <v>2076</v>
      </c>
      <c r="L12458" s="30" t="s">
        <v>123</v>
      </c>
      <c r="N12458" s="30" t="s">
        <v>10888</v>
      </c>
      <c r="P12458" s="30" t="s">
        <v>10894</v>
      </c>
      <c r="Q12458" t="s">
        <v>1208</v>
      </c>
      <c r="R12458" t="s">
        <v>917</v>
      </c>
      <c r="S12458">
        <v>37</v>
      </c>
      <c r="T12458" s="29" t="str">
        <f t="shared" si="522"/>
        <v>2021.006F.R.Hypoviridae_8newgen_35newsp.zip</v>
      </c>
      <c r="U12458" s="29" t="str">
        <f>HYPERLINK("https://ictv.global/taxonomy/taxondetails?taxnode_id=202312482","ictv.global=202312482")</f>
        <v>ictv.global=202312482</v>
      </c>
    </row>
    <row r="12459" spans="1:21">
      <c r="A12459">
        <v>12458</v>
      </c>
      <c r="B12459" s="30" t="s">
        <v>1226</v>
      </c>
      <c r="D12459" s="30" t="s">
        <v>2024</v>
      </c>
      <c r="F12459" s="30" t="s">
        <v>2074</v>
      </c>
      <c r="H12459" s="30" t="s">
        <v>2075</v>
      </c>
      <c r="J12459" s="30" t="s">
        <v>2076</v>
      </c>
      <c r="L12459" s="30" t="s">
        <v>123</v>
      </c>
      <c r="N12459" s="30" t="s">
        <v>10888</v>
      </c>
      <c r="P12459" s="30" t="s">
        <v>10895</v>
      </c>
      <c r="Q12459" t="s">
        <v>1208</v>
      </c>
      <c r="R12459" t="s">
        <v>917</v>
      </c>
      <c r="S12459">
        <v>37</v>
      </c>
      <c r="T12459" s="29" t="str">
        <f t="shared" si="522"/>
        <v>2021.006F.R.Hypoviridae_8newgen_35newsp.zip</v>
      </c>
      <c r="U12459" s="29" t="str">
        <f>HYPERLINK("https://ictv.global/taxonomy/taxondetails?taxnode_id=202312489","ictv.global=202312489")</f>
        <v>ictv.global=202312489</v>
      </c>
    </row>
    <row r="12460" spans="1:21">
      <c r="A12460">
        <v>12459</v>
      </c>
      <c r="B12460" s="30" t="s">
        <v>1226</v>
      </c>
      <c r="D12460" s="30" t="s">
        <v>2024</v>
      </c>
      <c r="F12460" s="30" t="s">
        <v>2074</v>
      </c>
      <c r="H12460" s="30" t="s">
        <v>2075</v>
      </c>
      <c r="J12460" s="30" t="s">
        <v>2076</v>
      </c>
      <c r="L12460" s="30" t="s">
        <v>123</v>
      </c>
      <c r="N12460" s="30" t="s">
        <v>10888</v>
      </c>
      <c r="P12460" s="30" t="s">
        <v>10896</v>
      </c>
      <c r="Q12460" t="s">
        <v>1208</v>
      </c>
      <c r="R12460" t="s">
        <v>917</v>
      </c>
      <c r="S12460">
        <v>37</v>
      </c>
      <c r="T12460" s="29" t="str">
        <f t="shared" si="522"/>
        <v>2021.006F.R.Hypoviridae_8newgen_35newsp.zip</v>
      </c>
      <c r="U12460" s="29" t="str">
        <f>HYPERLINK("https://ictv.global/taxonomy/taxondetails?taxnode_id=202312484","ictv.global=202312484")</f>
        <v>ictv.global=202312484</v>
      </c>
    </row>
    <row r="12461" spans="1:21">
      <c r="A12461">
        <v>12460</v>
      </c>
      <c r="B12461" s="30" t="s">
        <v>1226</v>
      </c>
      <c r="D12461" s="30" t="s">
        <v>2024</v>
      </c>
      <c r="F12461" s="30" t="s">
        <v>2074</v>
      </c>
      <c r="H12461" s="30" t="s">
        <v>2075</v>
      </c>
      <c r="J12461" s="30" t="s">
        <v>2076</v>
      </c>
      <c r="L12461" s="30" t="s">
        <v>123</v>
      </c>
      <c r="N12461" s="30" t="s">
        <v>10888</v>
      </c>
      <c r="P12461" s="30" t="s">
        <v>10897</v>
      </c>
      <c r="Q12461" t="s">
        <v>1208</v>
      </c>
      <c r="R12461" t="s">
        <v>917</v>
      </c>
      <c r="S12461">
        <v>37</v>
      </c>
      <c r="T12461" s="29" t="str">
        <f t="shared" si="522"/>
        <v>2021.006F.R.Hypoviridae_8newgen_35newsp.zip</v>
      </c>
      <c r="U12461" s="29" t="str">
        <f>HYPERLINK("https://ictv.global/taxonomy/taxondetails?taxnode_id=202312481","ictv.global=202312481")</f>
        <v>ictv.global=202312481</v>
      </c>
    </row>
    <row r="12462" spans="1:21">
      <c r="A12462">
        <v>12461</v>
      </c>
      <c r="B12462" s="30" t="s">
        <v>1226</v>
      </c>
      <c r="D12462" s="30" t="s">
        <v>2024</v>
      </c>
      <c r="F12462" s="30" t="s">
        <v>2074</v>
      </c>
      <c r="H12462" s="30" t="s">
        <v>2075</v>
      </c>
      <c r="J12462" s="30" t="s">
        <v>2076</v>
      </c>
      <c r="L12462" s="30" t="s">
        <v>123</v>
      </c>
      <c r="N12462" s="30" t="s">
        <v>10888</v>
      </c>
      <c r="P12462" s="30" t="s">
        <v>10898</v>
      </c>
      <c r="Q12462" t="s">
        <v>1208</v>
      </c>
      <c r="R12462" t="s">
        <v>917</v>
      </c>
      <c r="S12462">
        <v>37</v>
      </c>
      <c r="T12462" s="29" t="str">
        <f t="shared" si="522"/>
        <v>2021.006F.R.Hypoviridae_8newgen_35newsp.zip</v>
      </c>
      <c r="U12462" s="29" t="str">
        <f>HYPERLINK("https://ictv.global/taxonomy/taxondetails?taxnode_id=202312486","ictv.global=202312486")</f>
        <v>ictv.global=202312486</v>
      </c>
    </row>
    <row r="12463" spans="1:21">
      <c r="A12463">
        <v>12462</v>
      </c>
      <c r="B12463" s="30" t="s">
        <v>1226</v>
      </c>
      <c r="D12463" s="30" t="s">
        <v>2024</v>
      </c>
      <c r="F12463" s="30" t="s">
        <v>2074</v>
      </c>
      <c r="H12463" s="30" t="s">
        <v>2075</v>
      </c>
      <c r="J12463" s="30" t="s">
        <v>2076</v>
      </c>
      <c r="L12463" s="30" t="s">
        <v>123</v>
      </c>
      <c r="N12463" s="30" t="s">
        <v>10888</v>
      </c>
      <c r="P12463" s="30" t="s">
        <v>10899</v>
      </c>
      <c r="Q12463" t="s">
        <v>1208</v>
      </c>
      <c r="R12463" t="s">
        <v>917</v>
      </c>
      <c r="S12463">
        <v>37</v>
      </c>
      <c r="T12463" s="29" t="str">
        <f t="shared" si="522"/>
        <v>2021.006F.R.Hypoviridae_8newgen_35newsp.zip</v>
      </c>
      <c r="U12463" s="29" t="str">
        <f>HYPERLINK("https://ictv.global/taxonomy/taxondetails?taxnode_id=202312483","ictv.global=202312483")</f>
        <v>ictv.global=202312483</v>
      </c>
    </row>
    <row r="12464" spans="1:21">
      <c r="A12464">
        <v>12463</v>
      </c>
      <c r="B12464" s="30" t="s">
        <v>1226</v>
      </c>
      <c r="D12464" s="30" t="s">
        <v>2024</v>
      </c>
      <c r="F12464" s="30" t="s">
        <v>2074</v>
      </c>
      <c r="H12464" s="30" t="s">
        <v>2075</v>
      </c>
      <c r="J12464" s="30" t="s">
        <v>2076</v>
      </c>
      <c r="L12464" s="30" t="s">
        <v>123</v>
      </c>
      <c r="N12464" s="30" t="s">
        <v>10900</v>
      </c>
      <c r="P12464" s="30" t="s">
        <v>10901</v>
      </c>
      <c r="Q12464" t="s">
        <v>1208</v>
      </c>
      <c r="R12464" t="s">
        <v>918</v>
      </c>
      <c r="S12464">
        <v>37</v>
      </c>
      <c r="T12464" s="29" t="str">
        <f t="shared" si="522"/>
        <v>2021.006F.R.Hypoviridae_8newgen_35newsp.zip</v>
      </c>
      <c r="U12464" s="29" t="str">
        <f>HYPERLINK("https://ictv.global/taxonomy/taxondetails?taxnode_id=202303677","ictv.global=202303677")</f>
        <v>ictv.global=202303677</v>
      </c>
    </row>
    <row r="12465" spans="1:21">
      <c r="A12465">
        <v>12464</v>
      </c>
      <c r="B12465" s="30" t="s">
        <v>1226</v>
      </c>
      <c r="D12465" s="30" t="s">
        <v>2024</v>
      </c>
      <c r="F12465" s="30" t="s">
        <v>2074</v>
      </c>
      <c r="H12465" s="30" t="s">
        <v>2075</v>
      </c>
      <c r="J12465" s="30" t="s">
        <v>2076</v>
      </c>
      <c r="L12465" s="30" t="s">
        <v>123</v>
      </c>
      <c r="N12465" s="30" t="s">
        <v>10900</v>
      </c>
      <c r="P12465" s="30" t="s">
        <v>10902</v>
      </c>
      <c r="Q12465" t="s">
        <v>1208</v>
      </c>
      <c r="R12465" t="s">
        <v>918</v>
      </c>
      <c r="S12465">
        <v>37</v>
      </c>
      <c r="T12465" s="29" t="str">
        <f t="shared" si="522"/>
        <v>2021.006F.R.Hypoviridae_8newgen_35newsp.zip</v>
      </c>
      <c r="U12465" s="29" t="str">
        <f>HYPERLINK("https://ictv.global/taxonomy/taxondetails?taxnode_id=202303676","ictv.global=202303676")</f>
        <v>ictv.global=202303676</v>
      </c>
    </row>
    <row r="12466" spans="1:21">
      <c r="A12466">
        <v>12465</v>
      </c>
      <c r="B12466" s="30" t="s">
        <v>1226</v>
      </c>
      <c r="D12466" s="30" t="s">
        <v>2024</v>
      </c>
      <c r="F12466" s="30" t="s">
        <v>2074</v>
      </c>
      <c r="H12466" s="30" t="s">
        <v>2075</v>
      </c>
      <c r="J12466" s="30" t="s">
        <v>2076</v>
      </c>
      <c r="L12466" s="30" t="s">
        <v>123</v>
      </c>
      <c r="N12466" s="30" t="s">
        <v>10900</v>
      </c>
      <c r="P12466" s="30" t="s">
        <v>10903</v>
      </c>
      <c r="Q12466" t="s">
        <v>1208</v>
      </c>
      <c r="R12466" t="s">
        <v>917</v>
      </c>
      <c r="S12466">
        <v>37</v>
      </c>
      <c r="T12466" s="29" t="str">
        <f t="shared" si="522"/>
        <v>2021.006F.R.Hypoviridae_8newgen_35newsp.zip</v>
      </c>
      <c r="U12466" s="29" t="str">
        <f>HYPERLINK("https://ictv.global/taxonomy/taxondetails?taxnode_id=202312494","ictv.global=202312494")</f>
        <v>ictv.global=202312494</v>
      </c>
    </row>
    <row r="12467" spans="1:21">
      <c r="A12467">
        <v>12466</v>
      </c>
      <c r="B12467" s="30" t="s">
        <v>1226</v>
      </c>
      <c r="D12467" s="30" t="s">
        <v>2024</v>
      </c>
      <c r="F12467" s="30" t="s">
        <v>2074</v>
      </c>
      <c r="H12467" s="30" t="s">
        <v>2075</v>
      </c>
      <c r="J12467" s="30" t="s">
        <v>2076</v>
      </c>
      <c r="L12467" s="30" t="s">
        <v>123</v>
      </c>
      <c r="N12467" s="30" t="s">
        <v>10900</v>
      </c>
      <c r="P12467" s="30" t="s">
        <v>10904</v>
      </c>
      <c r="Q12467" t="s">
        <v>1208</v>
      </c>
      <c r="R12467" t="s">
        <v>917</v>
      </c>
      <c r="S12467">
        <v>37</v>
      </c>
      <c r="T12467" s="29" t="str">
        <f t="shared" si="522"/>
        <v>2021.006F.R.Hypoviridae_8newgen_35newsp.zip</v>
      </c>
      <c r="U12467" s="29" t="str">
        <f>HYPERLINK("https://ictv.global/taxonomy/taxondetails?taxnode_id=202312496","ictv.global=202312496")</f>
        <v>ictv.global=202312496</v>
      </c>
    </row>
    <row r="12468" spans="1:21">
      <c r="A12468">
        <v>12467</v>
      </c>
      <c r="B12468" s="30" t="s">
        <v>1226</v>
      </c>
      <c r="D12468" s="30" t="s">
        <v>2024</v>
      </c>
      <c r="F12468" s="30" t="s">
        <v>2074</v>
      </c>
      <c r="H12468" s="30" t="s">
        <v>2075</v>
      </c>
      <c r="J12468" s="30" t="s">
        <v>2076</v>
      </c>
      <c r="L12468" s="30" t="s">
        <v>123</v>
      </c>
      <c r="N12468" s="30" t="s">
        <v>10900</v>
      </c>
      <c r="P12468" s="30" t="s">
        <v>10905</v>
      </c>
      <c r="Q12468" t="s">
        <v>1208</v>
      </c>
      <c r="R12468" t="s">
        <v>917</v>
      </c>
      <c r="S12468">
        <v>37</v>
      </c>
      <c r="T12468" s="29" t="str">
        <f t="shared" si="522"/>
        <v>2021.006F.R.Hypoviridae_8newgen_35newsp.zip</v>
      </c>
      <c r="U12468" s="29" t="str">
        <f>HYPERLINK("https://ictv.global/taxonomy/taxondetails?taxnode_id=202312491","ictv.global=202312491")</f>
        <v>ictv.global=202312491</v>
      </c>
    </row>
    <row r="12469" spans="1:21">
      <c r="A12469">
        <v>12468</v>
      </c>
      <c r="B12469" s="30" t="s">
        <v>1226</v>
      </c>
      <c r="D12469" s="30" t="s">
        <v>2024</v>
      </c>
      <c r="F12469" s="30" t="s">
        <v>2074</v>
      </c>
      <c r="H12469" s="30" t="s">
        <v>2075</v>
      </c>
      <c r="J12469" s="30" t="s">
        <v>2076</v>
      </c>
      <c r="L12469" s="30" t="s">
        <v>123</v>
      </c>
      <c r="N12469" s="30" t="s">
        <v>10900</v>
      </c>
      <c r="P12469" s="30" t="s">
        <v>10906</v>
      </c>
      <c r="Q12469" t="s">
        <v>1208</v>
      </c>
      <c r="R12469" t="s">
        <v>917</v>
      </c>
      <c r="S12469">
        <v>37</v>
      </c>
      <c r="T12469" s="29" t="str">
        <f t="shared" si="522"/>
        <v>2021.006F.R.Hypoviridae_8newgen_35newsp.zip</v>
      </c>
      <c r="U12469" s="29" t="str">
        <f>HYPERLINK("https://ictv.global/taxonomy/taxondetails?taxnode_id=202312492","ictv.global=202312492")</f>
        <v>ictv.global=202312492</v>
      </c>
    </row>
    <row r="12470" spans="1:21">
      <c r="A12470">
        <v>12469</v>
      </c>
      <c r="B12470" s="30" t="s">
        <v>1226</v>
      </c>
      <c r="D12470" s="30" t="s">
        <v>2024</v>
      </c>
      <c r="F12470" s="30" t="s">
        <v>2074</v>
      </c>
      <c r="H12470" s="30" t="s">
        <v>2075</v>
      </c>
      <c r="J12470" s="30" t="s">
        <v>2076</v>
      </c>
      <c r="L12470" s="30" t="s">
        <v>123</v>
      </c>
      <c r="N12470" s="30" t="s">
        <v>10900</v>
      </c>
      <c r="P12470" s="30" t="s">
        <v>10907</v>
      </c>
      <c r="Q12470" t="s">
        <v>1208</v>
      </c>
      <c r="R12470" t="s">
        <v>917</v>
      </c>
      <c r="S12470">
        <v>37</v>
      </c>
      <c r="T12470" s="29" t="str">
        <f t="shared" si="522"/>
        <v>2021.006F.R.Hypoviridae_8newgen_35newsp.zip</v>
      </c>
      <c r="U12470" s="29" t="str">
        <f>HYPERLINK("https://ictv.global/taxonomy/taxondetails?taxnode_id=202312497","ictv.global=202312497")</f>
        <v>ictv.global=202312497</v>
      </c>
    </row>
    <row r="12471" spans="1:21">
      <c r="A12471">
        <v>12470</v>
      </c>
      <c r="B12471" s="30" t="s">
        <v>1226</v>
      </c>
      <c r="D12471" s="30" t="s">
        <v>2024</v>
      </c>
      <c r="F12471" s="30" t="s">
        <v>2074</v>
      </c>
      <c r="H12471" s="30" t="s">
        <v>2075</v>
      </c>
      <c r="J12471" s="30" t="s">
        <v>2076</v>
      </c>
      <c r="L12471" s="30" t="s">
        <v>123</v>
      </c>
      <c r="N12471" s="30" t="s">
        <v>10900</v>
      </c>
      <c r="P12471" s="30" t="s">
        <v>10908</v>
      </c>
      <c r="Q12471" t="s">
        <v>1208</v>
      </c>
      <c r="R12471" t="s">
        <v>917</v>
      </c>
      <c r="S12471">
        <v>37</v>
      </c>
      <c r="T12471" s="29" t="str">
        <f t="shared" si="522"/>
        <v>2021.006F.R.Hypoviridae_8newgen_35newsp.zip</v>
      </c>
      <c r="U12471" s="29" t="str">
        <f>HYPERLINK("https://ictv.global/taxonomy/taxondetails?taxnode_id=202312493","ictv.global=202312493")</f>
        <v>ictv.global=202312493</v>
      </c>
    </row>
    <row r="12472" spans="1:21">
      <c r="A12472">
        <v>12471</v>
      </c>
      <c r="B12472" s="30" t="s">
        <v>1226</v>
      </c>
      <c r="D12472" s="30" t="s">
        <v>2024</v>
      </c>
      <c r="F12472" s="30" t="s">
        <v>2074</v>
      </c>
      <c r="H12472" s="30" t="s">
        <v>2075</v>
      </c>
      <c r="J12472" s="30" t="s">
        <v>2076</v>
      </c>
      <c r="L12472" s="30" t="s">
        <v>123</v>
      </c>
      <c r="N12472" s="30" t="s">
        <v>10900</v>
      </c>
      <c r="P12472" s="30" t="s">
        <v>10909</v>
      </c>
      <c r="Q12472" t="s">
        <v>1208</v>
      </c>
      <c r="R12472" t="s">
        <v>917</v>
      </c>
      <c r="S12472">
        <v>37</v>
      </c>
      <c r="T12472" s="29" t="str">
        <f t="shared" si="522"/>
        <v>2021.006F.R.Hypoviridae_8newgen_35newsp.zip</v>
      </c>
      <c r="U12472" s="29" t="str">
        <f>HYPERLINK("https://ictv.global/taxonomy/taxondetails?taxnode_id=202312495","ictv.global=202312495")</f>
        <v>ictv.global=202312495</v>
      </c>
    </row>
    <row r="12473" spans="1:21">
      <c r="A12473">
        <v>12472</v>
      </c>
      <c r="B12473" s="30" t="s">
        <v>1226</v>
      </c>
      <c r="D12473" s="30" t="s">
        <v>2024</v>
      </c>
      <c r="F12473" s="30" t="s">
        <v>2074</v>
      </c>
      <c r="H12473" s="30" t="s">
        <v>2075</v>
      </c>
      <c r="J12473" s="30" t="s">
        <v>2076</v>
      </c>
      <c r="L12473" s="30" t="s">
        <v>123</v>
      </c>
      <c r="N12473" s="30" t="s">
        <v>10910</v>
      </c>
      <c r="P12473" s="30" t="s">
        <v>10911</v>
      </c>
      <c r="Q12473" t="s">
        <v>1208</v>
      </c>
      <c r="R12473" t="s">
        <v>917</v>
      </c>
      <c r="S12473">
        <v>37</v>
      </c>
      <c r="T12473" s="29" t="str">
        <f t="shared" si="522"/>
        <v>2021.006F.R.Hypoviridae_8newgen_35newsp.zip</v>
      </c>
      <c r="U12473" s="29" t="str">
        <f>HYPERLINK("https://ictv.global/taxonomy/taxondetails?taxnode_id=202312505","ictv.global=202312505")</f>
        <v>ictv.global=202312505</v>
      </c>
    </row>
    <row r="12474" spans="1:21">
      <c r="A12474">
        <v>12473</v>
      </c>
      <c r="B12474" s="30" t="s">
        <v>1226</v>
      </c>
      <c r="D12474" s="30" t="s">
        <v>2024</v>
      </c>
      <c r="F12474" s="30" t="s">
        <v>2074</v>
      </c>
      <c r="H12474" s="30" t="s">
        <v>2075</v>
      </c>
      <c r="J12474" s="30" t="s">
        <v>2076</v>
      </c>
      <c r="L12474" s="30" t="s">
        <v>123</v>
      </c>
      <c r="N12474" s="30" t="s">
        <v>10910</v>
      </c>
      <c r="P12474" s="30" t="s">
        <v>10912</v>
      </c>
      <c r="Q12474" t="s">
        <v>1208</v>
      </c>
      <c r="R12474" t="s">
        <v>917</v>
      </c>
      <c r="S12474">
        <v>37</v>
      </c>
      <c r="T12474" s="29" t="str">
        <f t="shared" si="522"/>
        <v>2021.006F.R.Hypoviridae_8newgen_35newsp.zip</v>
      </c>
      <c r="U12474" s="29" t="str">
        <f>HYPERLINK("https://ictv.global/taxonomy/taxondetails?taxnode_id=202312506","ictv.global=202312506")</f>
        <v>ictv.global=202312506</v>
      </c>
    </row>
    <row r="12475" spans="1:21">
      <c r="A12475">
        <v>12474</v>
      </c>
      <c r="B12475" s="30" t="s">
        <v>1226</v>
      </c>
      <c r="D12475" s="30" t="s">
        <v>2024</v>
      </c>
      <c r="F12475" s="30" t="s">
        <v>2074</v>
      </c>
      <c r="H12475" s="30" t="s">
        <v>2075</v>
      </c>
      <c r="J12475" s="30" t="s">
        <v>2076</v>
      </c>
      <c r="L12475" s="30" t="s">
        <v>123</v>
      </c>
      <c r="N12475" s="30" t="s">
        <v>10913</v>
      </c>
      <c r="P12475" s="30" t="s">
        <v>10914</v>
      </c>
      <c r="Q12475" t="s">
        <v>1208</v>
      </c>
      <c r="R12475" t="s">
        <v>917</v>
      </c>
      <c r="S12475">
        <v>37</v>
      </c>
      <c r="T12475" s="29" t="str">
        <f t="shared" si="522"/>
        <v>2021.006F.R.Hypoviridae_8newgen_35newsp.zip</v>
      </c>
      <c r="U12475" s="29" t="str">
        <f>HYPERLINK("https://ictv.global/taxonomy/taxondetails?taxnode_id=202312508","ictv.global=202312508")</f>
        <v>ictv.global=202312508</v>
      </c>
    </row>
    <row r="12476" spans="1:21">
      <c r="A12476">
        <v>12475</v>
      </c>
      <c r="B12476" s="30" t="s">
        <v>1226</v>
      </c>
      <c r="D12476" s="30" t="s">
        <v>2024</v>
      </c>
      <c r="F12476" s="30" t="s">
        <v>2074</v>
      </c>
      <c r="H12476" s="30" t="s">
        <v>2075</v>
      </c>
      <c r="J12476" s="30" t="s">
        <v>2076</v>
      </c>
      <c r="L12476" s="30" t="s">
        <v>123</v>
      </c>
      <c r="N12476" s="30" t="s">
        <v>10913</v>
      </c>
      <c r="P12476" s="30" t="s">
        <v>10915</v>
      </c>
      <c r="Q12476" t="s">
        <v>1208</v>
      </c>
      <c r="R12476" t="s">
        <v>917</v>
      </c>
      <c r="S12476">
        <v>37</v>
      </c>
      <c r="T12476" s="29" t="str">
        <f t="shared" si="522"/>
        <v>2021.006F.R.Hypoviridae_8newgen_35newsp.zip</v>
      </c>
      <c r="U12476" s="29" t="str">
        <f>HYPERLINK("https://ictv.global/taxonomy/taxondetails?taxnode_id=202312509","ictv.global=202312509")</f>
        <v>ictv.global=202312509</v>
      </c>
    </row>
    <row r="12477" spans="1:21">
      <c r="A12477">
        <v>12476</v>
      </c>
      <c r="B12477" s="30" t="s">
        <v>1226</v>
      </c>
      <c r="D12477" s="30" t="s">
        <v>2024</v>
      </c>
      <c r="F12477" s="30" t="s">
        <v>2074</v>
      </c>
      <c r="H12477" s="30" t="s">
        <v>2075</v>
      </c>
      <c r="J12477" s="30" t="s">
        <v>2076</v>
      </c>
      <c r="L12477" s="30" t="s">
        <v>123</v>
      </c>
      <c r="N12477" s="30" t="s">
        <v>10913</v>
      </c>
      <c r="P12477" s="30" t="s">
        <v>10916</v>
      </c>
      <c r="Q12477" t="s">
        <v>1208</v>
      </c>
      <c r="R12477" t="s">
        <v>917</v>
      </c>
      <c r="S12477">
        <v>37</v>
      </c>
      <c r="T12477" s="29" t="str">
        <f t="shared" si="522"/>
        <v>2021.006F.R.Hypoviridae_8newgen_35newsp.zip</v>
      </c>
      <c r="U12477" s="29" t="str">
        <f>HYPERLINK("https://ictv.global/taxonomy/taxondetails?taxnode_id=202312511","ictv.global=202312511")</f>
        <v>ictv.global=202312511</v>
      </c>
    </row>
    <row r="12478" spans="1:21">
      <c r="A12478">
        <v>12477</v>
      </c>
      <c r="B12478" s="30" t="s">
        <v>1226</v>
      </c>
      <c r="D12478" s="30" t="s">
        <v>2024</v>
      </c>
      <c r="F12478" s="30" t="s">
        <v>2074</v>
      </c>
      <c r="H12478" s="30" t="s">
        <v>2075</v>
      </c>
      <c r="J12478" s="30" t="s">
        <v>2076</v>
      </c>
      <c r="L12478" s="30" t="s">
        <v>123</v>
      </c>
      <c r="N12478" s="30" t="s">
        <v>10913</v>
      </c>
      <c r="P12478" s="30" t="s">
        <v>10917</v>
      </c>
      <c r="Q12478" t="s">
        <v>1208</v>
      </c>
      <c r="R12478" t="s">
        <v>917</v>
      </c>
      <c r="S12478">
        <v>37</v>
      </c>
      <c r="T12478" s="29" t="str">
        <f t="shared" si="522"/>
        <v>2021.006F.R.Hypoviridae_8newgen_35newsp.zip</v>
      </c>
      <c r="U12478" s="29" t="str">
        <f>HYPERLINK("https://ictv.global/taxonomy/taxondetails?taxnode_id=202312513","ictv.global=202312513")</f>
        <v>ictv.global=202312513</v>
      </c>
    </row>
    <row r="12479" spans="1:21">
      <c r="A12479">
        <v>12478</v>
      </c>
      <c r="B12479" s="30" t="s">
        <v>1226</v>
      </c>
      <c r="D12479" s="30" t="s">
        <v>2024</v>
      </c>
      <c r="F12479" s="30" t="s">
        <v>2074</v>
      </c>
      <c r="H12479" s="30" t="s">
        <v>2075</v>
      </c>
      <c r="J12479" s="30" t="s">
        <v>2076</v>
      </c>
      <c r="L12479" s="30" t="s">
        <v>123</v>
      </c>
      <c r="N12479" s="30" t="s">
        <v>10913</v>
      </c>
      <c r="P12479" s="30" t="s">
        <v>10918</v>
      </c>
      <c r="Q12479" t="s">
        <v>1208</v>
      </c>
      <c r="R12479" t="s">
        <v>917</v>
      </c>
      <c r="S12479">
        <v>37</v>
      </c>
      <c r="T12479" s="29" t="str">
        <f t="shared" si="522"/>
        <v>2021.006F.R.Hypoviridae_8newgen_35newsp.zip</v>
      </c>
      <c r="U12479" s="29" t="str">
        <f>HYPERLINK("https://ictv.global/taxonomy/taxondetails?taxnode_id=202312510","ictv.global=202312510")</f>
        <v>ictv.global=202312510</v>
      </c>
    </row>
    <row r="12480" spans="1:21">
      <c r="A12480">
        <v>12479</v>
      </c>
      <c r="B12480" s="30" t="s">
        <v>1226</v>
      </c>
      <c r="D12480" s="30" t="s">
        <v>2024</v>
      </c>
      <c r="F12480" s="30" t="s">
        <v>2074</v>
      </c>
      <c r="H12480" s="30" t="s">
        <v>2075</v>
      </c>
      <c r="J12480" s="30" t="s">
        <v>2076</v>
      </c>
      <c r="L12480" s="30" t="s">
        <v>123</v>
      </c>
      <c r="N12480" s="30" t="s">
        <v>10913</v>
      </c>
      <c r="P12480" s="30" t="s">
        <v>10919</v>
      </c>
      <c r="Q12480" t="s">
        <v>1208</v>
      </c>
      <c r="R12480" t="s">
        <v>917</v>
      </c>
      <c r="S12480">
        <v>37</v>
      </c>
      <c r="T12480" s="29" t="str">
        <f t="shared" si="522"/>
        <v>2021.006F.R.Hypoviridae_8newgen_35newsp.zip</v>
      </c>
      <c r="U12480" s="29" t="str">
        <f>HYPERLINK("https://ictv.global/taxonomy/taxondetails?taxnode_id=202312512","ictv.global=202312512")</f>
        <v>ictv.global=202312512</v>
      </c>
    </row>
    <row r="12481" spans="1:21">
      <c r="A12481">
        <v>12480</v>
      </c>
      <c r="B12481" s="30" t="s">
        <v>1226</v>
      </c>
      <c r="D12481" s="30" t="s">
        <v>2024</v>
      </c>
      <c r="F12481" s="30" t="s">
        <v>2074</v>
      </c>
      <c r="H12481" s="30" t="s">
        <v>2075</v>
      </c>
      <c r="J12481" s="30" t="s">
        <v>2076</v>
      </c>
      <c r="L12481" s="30" t="s">
        <v>123</v>
      </c>
      <c r="N12481" s="30" t="s">
        <v>10920</v>
      </c>
      <c r="P12481" s="30" t="s">
        <v>10921</v>
      </c>
      <c r="Q12481" t="s">
        <v>1208</v>
      </c>
      <c r="R12481" t="s">
        <v>917</v>
      </c>
      <c r="S12481">
        <v>37</v>
      </c>
      <c r="T12481" s="29" t="str">
        <f t="shared" si="522"/>
        <v>2021.006F.R.Hypoviridae_8newgen_35newsp.zip</v>
      </c>
      <c r="U12481" s="29" t="str">
        <f>HYPERLINK("https://ictv.global/taxonomy/taxondetails?taxnode_id=202312517","ictv.global=202312517")</f>
        <v>ictv.global=202312517</v>
      </c>
    </row>
    <row r="12482" spans="1:21">
      <c r="A12482">
        <v>12481</v>
      </c>
      <c r="B12482" s="30" t="s">
        <v>1226</v>
      </c>
      <c r="D12482" s="30" t="s">
        <v>2024</v>
      </c>
      <c r="F12482" s="30" t="s">
        <v>2074</v>
      </c>
      <c r="H12482" s="30" t="s">
        <v>2075</v>
      </c>
      <c r="J12482" s="30" t="s">
        <v>2076</v>
      </c>
      <c r="L12482" s="30" t="s">
        <v>123</v>
      </c>
      <c r="N12482" s="30" t="s">
        <v>10922</v>
      </c>
      <c r="P12482" s="30" t="s">
        <v>10923</v>
      </c>
      <c r="Q12482" t="s">
        <v>1208</v>
      </c>
      <c r="R12482" t="s">
        <v>917</v>
      </c>
      <c r="S12482">
        <v>37</v>
      </c>
      <c r="T12482" s="29" t="str">
        <f t="shared" si="522"/>
        <v>2021.006F.R.Hypoviridae_8newgen_35newsp.zip</v>
      </c>
      <c r="U12482" s="29" t="str">
        <f>HYPERLINK("https://ictv.global/taxonomy/taxondetails?taxnode_id=202312501","ictv.global=202312501")</f>
        <v>ictv.global=202312501</v>
      </c>
    </row>
    <row r="12483" spans="1:21">
      <c r="A12483">
        <v>12482</v>
      </c>
      <c r="B12483" s="30" t="s">
        <v>1226</v>
      </c>
      <c r="D12483" s="30" t="s">
        <v>2024</v>
      </c>
      <c r="F12483" s="30" t="s">
        <v>2074</v>
      </c>
      <c r="H12483" s="30" t="s">
        <v>2075</v>
      </c>
      <c r="J12483" s="30" t="s">
        <v>2076</v>
      </c>
      <c r="L12483" s="30" t="s">
        <v>123</v>
      </c>
      <c r="N12483" s="30" t="s">
        <v>10922</v>
      </c>
      <c r="P12483" s="30" t="s">
        <v>10924</v>
      </c>
      <c r="Q12483" t="s">
        <v>1208</v>
      </c>
      <c r="R12483" t="s">
        <v>917</v>
      </c>
      <c r="S12483">
        <v>37</v>
      </c>
      <c r="T12483" s="29" t="str">
        <f t="shared" si="522"/>
        <v>2021.006F.R.Hypoviridae_8newgen_35newsp.zip</v>
      </c>
      <c r="U12483" s="29" t="str">
        <f>HYPERLINK("https://ictv.global/taxonomy/taxondetails?taxnode_id=202312502","ictv.global=202312502")</f>
        <v>ictv.global=202312502</v>
      </c>
    </row>
    <row r="12484" spans="1:21">
      <c r="A12484">
        <v>12483</v>
      </c>
      <c r="B12484" s="30" t="s">
        <v>1226</v>
      </c>
      <c r="D12484" s="30" t="s">
        <v>2024</v>
      </c>
      <c r="F12484" s="30" t="s">
        <v>2074</v>
      </c>
      <c r="H12484" s="30" t="s">
        <v>2075</v>
      </c>
      <c r="J12484" s="30" t="s">
        <v>2076</v>
      </c>
      <c r="L12484" s="30" t="s">
        <v>123</v>
      </c>
      <c r="N12484" s="30" t="s">
        <v>10922</v>
      </c>
      <c r="P12484" s="30" t="s">
        <v>10925</v>
      </c>
      <c r="Q12484" t="s">
        <v>1208</v>
      </c>
      <c r="R12484" t="s">
        <v>917</v>
      </c>
      <c r="S12484">
        <v>37</v>
      </c>
      <c r="T12484" s="29" t="str">
        <f t="shared" si="522"/>
        <v>2021.006F.R.Hypoviridae_8newgen_35newsp.zip</v>
      </c>
      <c r="U12484" s="29" t="str">
        <f>HYPERLINK("https://ictv.global/taxonomy/taxondetails?taxnode_id=202312499","ictv.global=202312499")</f>
        <v>ictv.global=202312499</v>
      </c>
    </row>
    <row r="12485" spans="1:21">
      <c r="A12485">
        <v>12484</v>
      </c>
      <c r="B12485" s="30" t="s">
        <v>1226</v>
      </c>
      <c r="D12485" s="30" t="s">
        <v>2024</v>
      </c>
      <c r="F12485" s="30" t="s">
        <v>2074</v>
      </c>
      <c r="H12485" s="30" t="s">
        <v>2075</v>
      </c>
      <c r="J12485" s="30" t="s">
        <v>2076</v>
      </c>
      <c r="L12485" s="30" t="s">
        <v>123</v>
      </c>
      <c r="N12485" s="30" t="s">
        <v>10922</v>
      </c>
      <c r="P12485" s="30" t="s">
        <v>10926</v>
      </c>
      <c r="Q12485" t="s">
        <v>1208</v>
      </c>
      <c r="R12485" t="s">
        <v>917</v>
      </c>
      <c r="S12485">
        <v>37</v>
      </c>
      <c r="T12485" s="29" t="str">
        <f t="shared" si="522"/>
        <v>2021.006F.R.Hypoviridae_8newgen_35newsp.zip</v>
      </c>
      <c r="U12485" s="29" t="str">
        <f>HYPERLINK("https://ictv.global/taxonomy/taxondetails?taxnode_id=202312500","ictv.global=202312500")</f>
        <v>ictv.global=202312500</v>
      </c>
    </row>
    <row r="12486" spans="1:21">
      <c r="A12486">
        <v>12485</v>
      </c>
      <c r="B12486" s="30" t="s">
        <v>1226</v>
      </c>
      <c r="D12486" s="30" t="s">
        <v>2024</v>
      </c>
      <c r="F12486" s="30" t="s">
        <v>2074</v>
      </c>
      <c r="H12486" s="30" t="s">
        <v>2075</v>
      </c>
      <c r="J12486" s="30" t="s">
        <v>2076</v>
      </c>
      <c r="L12486" s="30" t="s">
        <v>123</v>
      </c>
      <c r="N12486" s="30" t="s">
        <v>10922</v>
      </c>
      <c r="P12486" s="30" t="s">
        <v>10927</v>
      </c>
      <c r="Q12486" t="s">
        <v>1208</v>
      </c>
      <c r="R12486" t="s">
        <v>917</v>
      </c>
      <c r="S12486">
        <v>37</v>
      </c>
      <c r="T12486" s="29" t="str">
        <f t="shared" si="522"/>
        <v>2021.006F.R.Hypoviridae_8newgen_35newsp.zip</v>
      </c>
      <c r="U12486" s="29" t="str">
        <f>HYPERLINK("https://ictv.global/taxonomy/taxondetails?taxnode_id=202312503","ictv.global=202312503")</f>
        <v>ictv.global=202312503</v>
      </c>
    </row>
    <row r="12487" spans="1:21">
      <c r="A12487">
        <v>12486</v>
      </c>
      <c r="B12487" s="30" t="s">
        <v>1226</v>
      </c>
      <c r="D12487" s="30" t="s">
        <v>2024</v>
      </c>
      <c r="F12487" s="30" t="s">
        <v>2074</v>
      </c>
      <c r="H12487" s="30" t="s">
        <v>2075</v>
      </c>
      <c r="J12487" s="30" t="s">
        <v>2076</v>
      </c>
      <c r="L12487" s="30" t="s">
        <v>123</v>
      </c>
      <c r="N12487" s="30" t="s">
        <v>10928</v>
      </c>
      <c r="P12487" s="30" t="s">
        <v>10929</v>
      </c>
      <c r="Q12487" t="s">
        <v>1208</v>
      </c>
      <c r="R12487" t="s">
        <v>917</v>
      </c>
      <c r="S12487">
        <v>37</v>
      </c>
      <c r="T12487" s="29" t="str">
        <f t="shared" si="522"/>
        <v>2021.006F.R.Hypoviridae_8newgen_35newsp.zip</v>
      </c>
      <c r="U12487" s="29" t="str">
        <f>HYPERLINK("https://ictv.global/taxonomy/taxondetails?taxnode_id=202312522","ictv.global=202312522")</f>
        <v>ictv.global=202312522</v>
      </c>
    </row>
    <row r="12488" spans="1:21">
      <c r="A12488">
        <v>12487</v>
      </c>
      <c r="B12488" s="30" t="s">
        <v>1226</v>
      </c>
      <c r="D12488" s="30" t="s">
        <v>2024</v>
      </c>
      <c r="F12488" s="30" t="s">
        <v>2074</v>
      </c>
      <c r="H12488" s="30" t="s">
        <v>2075</v>
      </c>
      <c r="J12488" s="30" t="s">
        <v>2076</v>
      </c>
      <c r="L12488" s="30" t="s">
        <v>123</v>
      </c>
      <c r="N12488" s="30" t="s">
        <v>10928</v>
      </c>
      <c r="P12488" s="30" t="s">
        <v>10930</v>
      </c>
      <c r="Q12488" t="s">
        <v>1208</v>
      </c>
      <c r="R12488" t="s">
        <v>917</v>
      </c>
      <c r="S12488">
        <v>37</v>
      </c>
      <c r="T12488" s="29" t="str">
        <f t="shared" si="522"/>
        <v>2021.006F.R.Hypoviridae_8newgen_35newsp.zip</v>
      </c>
      <c r="U12488" s="29" t="str">
        <f>HYPERLINK("https://ictv.global/taxonomy/taxondetails?taxnode_id=202312521","ictv.global=202312521")</f>
        <v>ictv.global=202312521</v>
      </c>
    </row>
    <row r="12489" spans="1:21">
      <c r="A12489">
        <v>12488</v>
      </c>
      <c r="B12489" s="30" t="s">
        <v>1226</v>
      </c>
      <c r="D12489" s="30" t="s">
        <v>2024</v>
      </c>
      <c r="F12489" s="30" t="s">
        <v>2074</v>
      </c>
      <c r="H12489" s="30" t="s">
        <v>2075</v>
      </c>
      <c r="J12489" s="30" t="s">
        <v>2076</v>
      </c>
      <c r="L12489" s="30" t="s">
        <v>123</v>
      </c>
      <c r="N12489" s="30" t="s">
        <v>10928</v>
      </c>
      <c r="P12489" s="30" t="s">
        <v>10931</v>
      </c>
      <c r="Q12489" t="s">
        <v>1208</v>
      </c>
      <c r="R12489" t="s">
        <v>917</v>
      </c>
      <c r="S12489">
        <v>37</v>
      </c>
      <c r="T12489" s="29" t="str">
        <f t="shared" si="522"/>
        <v>2021.006F.R.Hypoviridae_8newgen_35newsp.zip</v>
      </c>
      <c r="U12489" s="29" t="str">
        <f>HYPERLINK("https://ictv.global/taxonomy/taxondetails?taxnode_id=202312519","ictv.global=202312519")</f>
        <v>ictv.global=202312519</v>
      </c>
    </row>
    <row r="12490" spans="1:21">
      <c r="A12490">
        <v>12489</v>
      </c>
      <c r="B12490" s="30" t="s">
        <v>1226</v>
      </c>
      <c r="D12490" s="30" t="s">
        <v>2024</v>
      </c>
      <c r="F12490" s="30" t="s">
        <v>2074</v>
      </c>
      <c r="H12490" s="30" t="s">
        <v>2075</v>
      </c>
      <c r="J12490" s="30" t="s">
        <v>2076</v>
      </c>
      <c r="L12490" s="30" t="s">
        <v>123</v>
      </c>
      <c r="N12490" s="30" t="s">
        <v>10928</v>
      </c>
      <c r="P12490" s="30" t="s">
        <v>10932</v>
      </c>
      <c r="Q12490" t="s">
        <v>1208</v>
      </c>
      <c r="R12490" t="s">
        <v>917</v>
      </c>
      <c r="S12490">
        <v>37</v>
      </c>
      <c r="T12490" s="29" t="str">
        <f t="shared" si="522"/>
        <v>2021.006F.R.Hypoviridae_8newgen_35newsp.zip</v>
      </c>
      <c r="U12490" s="29" t="str">
        <f>HYPERLINK("https://ictv.global/taxonomy/taxondetails?taxnode_id=202312520","ictv.global=202312520")</f>
        <v>ictv.global=202312520</v>
      </c>
    </row>
    <row r="12491" spans="1:21">
      <c r="A12491">
        <v>12490</v>
      </c>
      <c r="B12491" s="30" t="s">
        <v>1226</v>
      </c>
      <c r="D12491" s="30" t="s">
        <v>2024</v>
      </c>
      <c r="F12491" s="30" t="s">
        <v>2074</v>
      </c>
      <c r="H12491" s="30" t="s">
        <v>2075</v>
      </c>
      <c r="J12491" s="30" t="s">
        <v>2076</v>
      </c>
      <c r="L12491" s="30" t="s">
        <v>123</v>
      </c>
      <c r="N12491" s="30" t="s">
        <v>10933</v>
      </c>
      <c r="P12491" s="30" t="s">
        <v>10934</v>
      </c>
      <c r="Q12491" t="s">
        <v>1208</v>
      </c>
      <c r="R12491" t="s">
        <v>917</v>
      </c>
      <c r="S12491">
        <v>37</v>
      </c>
      <c r="T12491" s="29" t="str">
        <f t="shared" si="522"/>
        <v>2021.006F.R.Hypoviridae_8newgen_35newsp.zip</v>
      </c>
      <c r="U12491" s="29" t="str">
        <f>HYPERLINK("https://ictv.global/taxonomy/taxondetails?taxnode_id=202312515","ictv.global=202312515")</f>
        <v>ictv.global=202312515</v>
      </c>
    </row>
    <row r="12492" spans="1:21">
      <c r="A12492">
        <v>12491</v>
      </c>
      <c r="B12492" s="30" t="s">
        <v>1226</v>
      </c>
      <c r="D12492" s="30" t="s">
        <v>2024</v>
      </c>
      <c r="F12492" s="30" t="s">
        <v>2074</v>
      </c>
      <c r="H12492" s="30" t="s">
        <v>2075</v>
      </c>
      <c r="J12492" s="30" t="s">
        <v>2076</v>
      </c>
      <c r="L12492" s="30" t="s">
        <v>401</v>
      </c>
      <c r="N12492" s="30" t="s">
        <v>591</v>
      </c>
      <c r="P12492" s="30" t="s">
        <v>17604</v>
      </c>
      <c r="Q12492" t="s">
        <v>623</v>
      </c>
      <c r="R12492" t="s">
        <v>920</v>
      </c>
      <c r="S12492">
        <v>39</v>
      </c>
      <c r="T12492" s="29" t="str">
        <f t="shared" ref="T12492:T12536" si="523">HYPERLINK("https://ictv.global/ictv/proposals/2023.012F.Partitiviridae_abolish15sp_spren.zip","2023.012F.Partitiviridae_abolish15sp_spren.zip")</f>
        <v>2023.012F.Partitiviridae_abolish15sp_spren.zip</v>
      </c>
      <c r="U12492" s="29" t="str">
        <f>HYPERLINK("https://ictv.global/taxonomy/taxondetails?taxnode_id=202304141","ictv.global=202304141")</f>
        <v>ictv.global=202304141</v>
      </c>
    </row>
    <row r="12493" spans="1:21">
      <c r="A12493">
        <v>12492</v>
      </c>
      <c r="B12493" s="30" t="s">
        <v>1226</v>
      </c>
      <c r="D12493" s="30" t="s">
        <v>2024</v>
      </c>
      <c r="F12493" s="30" t="s">
        <v>2074</v>
      </c>
      <c r="H12493" s="30" t="s">
        <v>2075</v>
      </c>
      <c r="J12493" s="30" t="s">
        <v>2076</v>
      </c>
      <c r="L12493" s="30" t="s">
        <v>401</v>
      </c>
      <c r="N12493" s="30" t="s">
        <v>591</v>
      </c>
      <c r="P12493" s="30" t="s">
        <v>17605</v>
      </c>
      <c r="Q12493" t="s">
        <v>623</v>
      </c>
      <c r="R12493" t="s">
        <v>920</v>
      </c>
      <c r="S12493">
        <v>39</v>
      </c>
      <c r="T12493" s="29" t="str">
        <f t="shared" si="523"/>
        <v>2023.012F.Partitiviridae_abolish15sp_spren.zip</v>
      </c>
      <c r="U12493" s="29" t="str">
        <f>HYPERLINK("https://ictv.global/taxonomy/taxondetails?taxnode_id=202304142","ictv.global=202304142")</f>
        <v>ictv.global=202304142</v>
      </c>
    </row>
    <row r="12494" spans="1:21">
      <c r="A12494">
        <v>12493</v>
      </c>
      <c r="B12494" s="30" t="s">
        <v>1226</v>
      </c>
      <c r="D12494" s="30" t="s">
        <v>2024</v>
      </c>
      <c r="F12494" s="30" t="s">
        <v>2074</v>
      </c>
      <c r="H12494" s="30" t="s">
        <v>2075</v>
      </c>
      <c r="J12494" s="30" t="s">
        <v>2076</v>
      </c>
      <c r="L12494" s="30" t="s">
        <v>401</v>
      </c>
      <c r="N12494" s="30" t="s">
        <v>591</v>
      </c>
      <c r="P12494" s="30" t="s">
        <v>17606</v>
      </c>
      <c r="Q12494" t="s">
        <v>623</v>
      </c>
      <c r="R12494" t="s">
        <v>920</v>
      </c>
      <c r="S12494">
        <v>39</v>
      </c>
      <c r="T12494" s="29" t="str">
        <f t="shared" si="523"/>
        <v>2023.012F.Partitiviridae_abolish15sp_spren.zip</v>
      </c>
      <c r="U12494" s="29" t="str">
        <f>HYPERLINK("https://ictv.global/taxonomy/taxondetails?taxnode_id=202304143","ictv.global=202304143")</f>
        <v>ictv.global=202304143</v>
      </c>
    </row>
    <row r="12495" spans="1:21">
      <c r="A12495">
        <v>12494</v>
      </c>
      <c r="B12495" s="30" t="s">
        <v>1226</v>
      </c>
      <c r="D12495" s="30" t="s">
        <v>2024</v>
      </c>
      <c r="F12495" s="30" t="s">
        <v>2074</v>
      </c>
      <c r="H12495" s="30" t="s">
        <v>2075</v>
      </c>
      <c r="J12495" s="30" t="s">
        <v>2076</v>
      </c>
      <c r="L12495" s="30" t="s">
        <v>401</v>
      </c>
      <c r="N12495" s="30" t="s">
        <v>591</v>
      </c>
      <c r="P12495" s="30" t="s">
        <v>17607</v>
      </c>
      <c r="Q12495" t="s">
        <v>623</v>
      </c>
      <c r="R12495" t="s">
        <v>920</v>
      </c>
      <c r="S12495">
        <v>39</v>
      </c>
      <c r="T12495" s="29" t="str">
        <f t="shared" si="523"/>
        <v>2023.012F.Partitiviridae_abolish15sp_spren.zip</v>
      </c>
      <c r="U12495" s="29" t="str">
        <f>HYPERLINK("https://ictv.global/taxonomy/taxondetails?taxnode_id=202304144","ictv.global=202304144")</f>
        <v>ictv.global=202304144</v>
      </c>
    </row>
    <row r="12496" spans="1:21">
      <c r="A12496">
        <v>12495</v>
      </c>
      <c r="B12496" s="30" t="s">
        <v>1226</v>
      </c>
      <c r="D12496" s="30" t="s">
        <v>2024</v>
      </c>
      <c r="F12496" s="30" t="s">
        <v>2074</v>
      </c>
      <c r="H12496" s="30" t="s">
        <v>2075</v>
      </c>
      <c r="J12496" s="30" t="s">
        <v>2076</v>
      </c>
      <c r="L12496" s="30" t="s">
        <v>401</v>
      </c>
      <c r="N12496" s="30" t="s">
        <v>591</v>
      </c>
      <c r="P12496" s="30" t="s">
        <v>17608</v>
      </c>
      <c r="Q12496" t="s">
        <v>623</v>
      </c>
      <c r="R12496" t="s">
        <v>920</v>
      </c>
      <c r="S12496">
        <v>39</v>
      </c>
      <c r="T12496" s="29" t="str">
        <f t="shared" si="523"/>
        <v>2023.012F.Partitiviridae_abolish15sp_spren.zip</v>
      </c>
      <c r="U12496" s="29" t="str">
        <f>HYPERLINK("https://ictv.global/taxonomy/taxondetails?taxnode_id=202304149","ictv.global=202304149")</f>
        <v>ictv.global=202304149</v>
      </c>
    </row>
    <row r="12497" spans="1:21">
      <c r="A12497">
        <v>12496</v>
      </c>
      <c r="B12497" s="30" t="s">
        <v>1226</v>
      </c>
      <c r="D12497" s="30" t="s">
        <v>2024</v>
      </c>
      <c r="F12497" s="30" t="s">
        <v>2074</v>
      </c>
      <c r="H12497" s="30" t="s">
        <v>2075</v>
      </c>
      <c r="J12497" s="30" t="s">
        <v>2076</v>
      </c>
      <c r="L12497" s="30" t="s">
        <v>401</v>
      </c>
      <c r="N12497" s="30" t="s">
        <v>591</v>
      </c>
      <c r="P12497" s="30" t="s">
        <v>17609</v>
      </c>
      <c r="Q12497" t="s">
        <v>623</v>
      </c>
      <c r="R12497" t="s">
        <v>920</v>
      </c>
      <c r="S12497">
        <v>39</v>
      </c>
      <c r="T12497" s="29" t="str">
        <f t="shared" si="523"/>
        <v>2023.012F.Partitiviridae_abolish15sp_spren.zip</v>
      </c>
      <c r="U12497" s="29" t="str">
        <f>HYPERLINK("https://ictv.global/taxonomy/taxondetails?taxnode_id=202304145","ictv.global=202304145")</f>
        <v>ictv.global=202304145</v>
      </c>
    </row>
    <row r="12498" spans="1:21">
      <c r="A12498">
        <v>12497</v>
      </c>
      <c r="B12498" s="30" t="s">
        <v>1226</v>
      </c>
      <c r="D12498" s="30" t="s">
        <v>2024</v>
      </c>
      <c r="F12498" s="30" t="s">
        <v>2074</v>
      </c>
      <c r="H12498" s="30" t="s">
        <v>2075</v>
      </c>
      <c r="J12498" s="30" t="s">
        <v>2076</v>
      </c>
      <c r="L12498" s="30" t="s">
        <v>401</v>
      </c>
      <c r="N12498" s="30" t="s">
        <v>591</v>
      </c>
      <c r="P12498" s="30" t="s">
        <v>17610</v>
      </c>
      <c r="Q12498" t="s">
        <v>623</v>
      </c>
      <c r="R12498" t="s">
        <v>920</v>
      </c>
      <c r="S12498">
        <v>39</v>
      </c>
      <c r="T12498" s="29" t="str">
        <f t="shared" si="523"/>
        <v>2023.012F.Partitiviridae_abolish15sp_spren.zip</v>
      </c>
      <c r="U12498" s="29" t="str">
        <f>HYPERLINK("https://ictv.global/taxonomy/taxondetails?taxnode_id=202304146","ictv.global=202304146")</f>
        <v>ictv.global=202304146</v>
      </c>
    </row>
    <row r="12499" spans="1:21">
      <c r="A12499">
        <v>12498</v>
      </c>
      <c r="B12499" s="30" t="s">
        <v>1226</v>
      </c>
      <c r="D12499" s="30" t="s">
        <v>2024</v>
      </c>
      <c r="F12499" s="30" t="s">
        <v>2074</v>
      </c>
      <c r="H12499" s="30" t="s">
        <v>2075</v>
      </c>
      <c r="J12499" s="30" t="s">
        <v>2076</v>
      </c>
      <c r="L12499" s="30" t="s">
        <v>401</v>
      </c>
      <c r="N12499" s="30" t="s">
        <v>591</v>
      </c>
      <c r="P12499" s="30" t="s">
        <v>17611</v>
      </c>
      <c r="Q12499" t="s">
        <v>623</v>
      </c>
      <c r="R12499" t="s">
        <v>920</v>
      </c>
      <c r="S12499">
        <v>39</v>
      </c>
      <c r="T12499" s="29" t="str">
        <f t="shared" si="523"/>
        <v>2023.012F.Partitiviridae_abolish15sp_spren.zip</v>
      </c>
      <c r="U12499" s="29" t="str">
        <f>HYPERLINK("https://ictv.global/taxonomy/taxondetails?taxnode_id=202304151","ictv.global=202304151")</f>
        <v>ictv.global=202304151</v>
      </c>
    </row>
    <row r="12500" spans="1:21">
      <c r="A12500">
        <v>12499</v>
      </c>
      <c r="B12500" s="30" t="s">
        <v>1226</v>
      </c>
      <c r="D12500" s="30" t="s">
        <v>2024</v>
      </c>
      <c r="F12500" s="30" t="s">
        <v>2074</v>
      </c>
      <c r="H12500" s="30" t="s">
        <v>2075</v>
      </c>
      <c r="J12500" s="30" t="s">
        <v>2076</v>
      </c>
      <c r="L12500" s="30" t="s">
        <v>401</v>
      </c>
      <c r="N12500" s="30" t="s">
        <v>591</v>
      </c>
      <c r="P12500" s="30" t="s">
        <v>17612</v>
      </c>
      <c r="Q12500" t="s">
        <v>623</v>
      </c>
      <c r="R12500" t="s">
        <v>920</v>
      </c>
      <c r="S12500">
        <v>39</v>
      </c>
      <c r="T12500" s="29" t="str">
        <f t="shared" si="523"/>
        <v>2023.012F.Partitiviridae_abolish15sp_spren.zip</v>
      </c>
      <c r="U12500" s="29" t="str">
        <f>HYPERLINK("https://ictv.global/taxonomy/taxondetails?taxnode_id=202304152","ictv.global=202304152")</f>
        <v>ictv.global=202304152</v>
      </c>
    </row>
    <row r="12501" spans="1:21">
      <c r="A12501">
        <v>12500</v>
      </c>
      <c r="B12501" s="30" t="s">
        <v>1226</v>
      </c>
      <c r="D12501" s="30" t="s">
        <v>2024</v>
      </c>
      <c r="F12501" s="30" t="s">
        <v>2074</v>
      </c>
      <c r="H12501" s="30" t="s">
        <v>2075</v>
      </c>
      <c r="J12501" s="30" t="s">
        <v>2076</v>
      </c>
      <c r="L12501" s="30" t="s">
        <v>401</v>
      </c>
      <c r="N12501" s="30" t="s">
        <v>591</v>
      </c>
      <c r="P12501" s="30" t="s">
        <v>17613</v>
      </c>
      <c r="Q12501" t="s">
        <v>623</v>
      </c>
      <c r="R12501" t="s">
        <v>920</v>
      </c>
      <c r="S12501">
        <v>39</v>
      </c>
      <c r="T12501" s="29" t="str">
        <f t="shared" si="523"/>
        <v>2023.012F.Partitiviridae_abolish15sp_spren.zip</v>
      </c>
      <c r="U12501" s="29" t="str">
        <f>HYPERLINK("https://ictv.global/taxonomy/taxondetails?taxnode_id=202304150","ictv.global=202304150")</f>
        <v>ictv.global=202304150</v>
      </c>
    </row>
    <row r="12502" spans="1:21">
      <c r="A12502">
        <v>12501</v>
      </c>
      <c r="B12502" s="30" t="s">
        <v>1226</v>
      </c>
      <c r="D12502" s="30" t="s">
        <v>2024</v>
      </c>
      <c r="F12502" s="30" t="s">
        <v>2074</v>
      </c>
      <c r="H12502" s="30" t="s">
        <v>2075</v>
      </c>
      <c r="J12502" s="30" t="s">
        <v>2076</v>
      </c>
      <c r="L12502" s="30" t="s">
        <v>401</v>
      </c>
      <c r="N12502" s="30" t="s">
        <v>591</v>
      </c>
      <c r="P12502" s="30" t="s">
        <v>17614</v>
      </c>
      <c r="Q12502" t="s">
        <v>623</v>
      </c>
      <c r="R12502" t="s">
        <v>920</v>
      </c>
      <c r="S12502">
        <v>39</v>
      </c>
      <c r="T12502" s="29" t="str">
        <f t="shared" si="523"/>
        <v>2023.012F.Partitiviridae_abolish15sp_spren.zip</v>
      </c>
      <c r="U12502" s="29" t="str">
        <f>HYPERLINK("https://ictv.global/taxonomy/taxondetails?taxnode_id=202304154","ictv.global=202304154")</f>
        <v>ictv.global=202304154</v>
      </c>
    </row>
    <row r="12503" spans="1:21">
      <c r="A12503">
        <v>12502</v>
      </c>
      <c r="B12503" s="30" t="s">
        <v>1226</v>
      </c>
      <c r="D12503" s="30" t="s">
        <v>2024</v>
      </c>
      <c r="F12503" s="30" t="s">
        <v>2074</v>
      </c>
      <c r="H12503" s="30" t="s">
        <v>2075</v>
      </c>
      <c r="J12503" s="30" t="s">
        <v>2076</v>
      </c>
      <c r="L12503" s="30" t="s">
        <v>401</v>
      </c>
      <c r="N12503" s="30" t="s">
        <v>591</v>
      </c>
      <c r="P12503" s="30" t="s">
        <v>17615</v>
      </c>
      <c r="Q12503" t="s">
        <v>623</v>
      </c>
      <c r="R12503" t="s">
        <v>920</v>
      </c>
      <c r="S12503">
        <v>39</v>
      </c>
      <c r="T12503" s="29" t="str">
        <f t="shared" si="523"/>
        <v>2023.012F.Partitiviridae_abolish15sp_spren.zip</v>
      </c>
      <c r="U12503" s="29" t="str">
        <f>HYPERLINK("https://ictv.global/taxonomy/taxondetails?taxnode_id=202304148","ictv.global=202304148")</f>
        <v>ictv.global=202304148</v>
      </c>
    </row>
    <row r="12504" spans="1:21">
      <c r="A12504">
        <v>12503</v>
      </c>
      <c r="B12504" s="30" t="s">
        <v>1226</v>
      </c>
      <c r="D12504" s="30" t="s">
        <v>2024</v>
      </c>
      <c r="F12504" s="30" t="s">
        <v>2074</v>
      </c>
      <c r="H12504" s="30" t="s">
        <v>2075</v>
      </c>
      <c r="J12504" s="30" t="s">
        <v>2076</v>
      </c>
      <c r="L12504" s="30" t="s">
        <v>401</v>
      </c>
      <c r="N12504" s="30" t="s">
        <v>591</v>
      </c>
      <c r="P12504" s="30" t="s">
        <v>17616</v>
      </c>
      <c r="Q12504" t="s">
        <v>623</v>
      </c>
      <c r="R12504" t="s">
        <v>920</v>
      </c>
      <c r="S12504">
        <v>39</v>
      </c>
      <c r="T12504" s="29" t="str">
        <f t="shared" si="523"/>
        <v>2023.012F.Partitiviridae_abolish15sp_spren.zip</v>
      </c>
      <c r="U12504" s="29" t="str">
        <f>HYPERLINK("https://ictv.global/taxonomy/taxondetails?taxnode_id=202304147","ictv.global=202304147")</f>
        <v>ictv.global=202304147</v>
      </c>
    </row>
    <row r="12505" spans="1:21">
      <c r="A12505">
        <v>12504</v>
      </c>
      <c r="B12505" s="30" t="s">
        <v>1226</v>
      </c>
      <c r="D12505" s="30" t="s">
        <v>2024</v>
      </c>
      <c r="F12505" s="30" t="s">
        <v>2074</v>
      </c>
      <c r="H12505" s="30" t="s">
        <v>2075</v>
      </c>
      <c r="J12505" s="30" t="s">
        <v>2076</v>
      </c>
      <c r="L12505" s="30" t="s">
        <v>401</v>
      </c>
      <c r="N12505" s="30" t="s">
        <v>591</v>
      </c>
      <c r="P12505" s="30" t="s">
        <v>17617</v>
      </c>
      <c r="Q12505" t="s">
        <v>623</v>
      </c>
      <c r="R12505" t="s">
        <v>920</v>
      </c>
      <c r="S12505">
        <v>39</v>
      </c>
      <c r="T12505" s="29" t="str">
        <f t="shared" si="523"/>
        <v>2023.012F.Partitiviridae_abolish15sp_spren.zip</v>
      </c>
      <c r="U12505" s="29" t="str">
        <f>HYPERLINK("https://ictv.global/taxonomy/taxondetails?taxnode_id=202304153","ictv.global=202304153")</f>
        <v>ictv.global=202304153</v>
      </c>
    </row>
    <row r="12506" spans="1:21">
      <c r="A12506">
        <v>12505</v>
      </c>
      <c r="B12506" s="30" t="s">
        <v>1226</v>
      </c>
      <c r="D12506" s="30" t="s">
        <v>2024</v>
      </c>
      <c r="F12506" s="30" t="s">
        <v>2074</v>
      </c>
      <c r="H12506" s="30" t="s">
        <v>2075</v>
      </c>
      <c r="J12506" s="30" t="s">
        <v>2076</v>
      </c>
      <c r="L12506" s="30" t="s">
        <v>401</v>
      </c>
      <c r="N12506" s="30" t="s">
        <v>592</v>
      </c>
      <c r="P12506" s="30" t="s">
        <v>17618</v>
      </c>
      <c r="Q12506" t="s">
        <v>623</v>
      </c>
      <c r="R12506" t="s">
        <v>920</v>
      </c>
      <c r="S12506">
        <v>39</v>
      </c>
      <c r="T12506" s="29" t="str">
        <f t="shared" si="523"/>
        <v>2023.012F.Partitiviridae_abolish15sp_spren.zip</v>
      </c>
      <c r="U12506" s="29" t="str">
        <f>HYPERLINK("https://ictv.global/taxonomy/taxondetails?taxnode_id=202304160","ictv.global=202304160")</f>
        <v>ictv.global=202304160</v>
      </c>
    </row>
    <row r="12507" spans="1:21">
      <c r="A12507">
        <v>12506</v>
      </c>
      <c r="B12507" s="30" t="s">
        <v>1226</v>
      </c>
      <c r="D12507" s="30" t="s">
        <v>2024</v>
      </c>
      <c r="F12507" s="30" t="s">
        <v>2074</v>
      </c>
      <c r="H12507" s="30" t="s">
        <v>2075</v>
      </c>
      <c r="J12507" s="30" t="s">
        <v>2076</v>
      </c>
      <c r="L12507" s="30" t="s">
        <v>401</v>
      </c>
      <c r="N12507" s="30" t="s">
        <v>592</v>
      </c>
      <c r="P12507" s="30" t="s">
        <v>17619</v>
      </c>
      <c r="Q12507" t="s">
        <v>623</v>
      </c>
      <c r="R12507" t="s">
        <v>920</v>
      </c>
      <c r="S12507">
        <v>39</v>
      </c>
      <c r="T12507" s="29" t="str">
        <f t="shared" si="523"/>
        <v>2023.012F.Partitiviridae_abolish15sp_spren.zip</v>
      </c>
      <c r="U12507" s="29" t="str">
        <f>HYPERLINK("https://ictv.global/taxonomy/taxondetails?taxnode_id=202304156","ictv.global=202304156")</f>
        <v>ictv.global=202304156</v>
      </c>
    </row>
    <row r="12508" spans="1:21">
      <c r="A12508">
        <v>12507</v>
      </c>
      <c r="B12508" s="30" t="s">
        <v>1226</v>
      </c>
      <c r="D12508" s="30" t="s">
        <v>2024</v>
      </c>
      <c r="F12508" s="30" t="s">
        <v>2074</v>
      </c>
      <c r="H12508" s="30" t="s">
        <v>2075</v>
      </c>
      <c r="J12508" s="30" t="s">
        <v>2076</v>
      </c>
      <c r="L12508" s="30" t="s">
        <v>401</v>
      </c>
      <c r="N12508" s="30" t="s">
        <v>592</v>
      </c>
      <c r="P12508" s="30" t="s">
        <v>17620</v>
      </c>
      <c r="Q12508" t="s">
        <v>623</v>
      </c>
      <c r="R12508" t="s">
        <v>920</v>
      </c>
      <c r="S12508">
        <v>39</v>
      </c>
      <c r="T12508" s="29" t="str">
        <f t="shared" si="523"/>
        <v>2023.012F.Partitiviridae_abolish15sp_spren.zip</v>
      </c>
      <c r="U12508" s="29" t="str">
        <f>HYPERLINK("https://ictv.global/taxonomy/taxondetails?taxnode_id=202304157","ictv.global=202304157")</f>
        <v>ictv.global=202304157</v>
      </c>
    </row>
    <row r="12509" spans="1:21">
      <c r="A12509">
        <v>12508</v>
      </c>
      <c r="B12509" s="30" t="s">
        <v>1226</v>
      </c>
      <c r="D12509" s="30" t="s">
        <v>2024</v>
      </c>
      <c r="F12509" s="30" t="s">
        <v>2074</v>
      </c>
      <c r="H12509" s="30" t="s">
        <v>2075</v>
      </c>
      <c r="J12509" s="30" t="s">
        <v>2076</v>
      </c>
      <c r="L12509" s="30" t="s">
        <v>401</v>
      </c>
      <c r="N12509" s="30" t="s">
        <v>592</v>
      </c>
      <c r="P12509" s="30" t="s">
        <v>17621</v>
      </c>
      <c r="Q12509" t="s">
        <v>623</v>
      </c>
      <c r="R12509" t="s">
        <v>920</v>
      </c>
      <c r="S12509">
        <v>39</v>
      </c>
      <c r="T12509" s="29" t="str">
        <f t="shared" si="523"/>
        <v>2023.012F.Partitiviridae_abolish15sp_spren.zip</v>
      </c>
      <c r="U12509" s="29" t="str">
        <f>HYPERLINK("https://ictv.global/taxonomy/taxondetails?taxnode_id=202304158","ictv.global=202304158")</f>
        <v>ictv.global=202304158</v>
      </c>
    </row>
    <row r="12510" spans="1:21">
      <c r="A12510">
        <v>12509</v>
      </c>
      <c r="B12510" s="30" t="s">
        <v>1226</v>
      </c>
      <c r="D12510" s="30" t="s">
        <v>2024</v>
      </c>
      <c r="F12510" s="30" t="s">
        <v>2074</v>
      </c>
      <c r="H12510" s="30" t="s">
        <v>2075</v>
      </c>
      <c r="J12510" s="30" t="s">
        <v>2076</v>
      </c>
      <c r="L12510" s="30" t="s">
        <v>401</v>
      </c>
      <c r="N12510" s="30" t="s">
        <v>592</v>
      </c>
      <c r="P12510" s="30" t="s">
        <v>17622</v>
      </c>
      <c r="Q12510" t="s">
        <v>623</v>
      </c>
      <c r="R12510" t="s">
        <v>920</v>
      </c>
      <c r="S12510">
        <v>39</v>
      </c>
      <c r="T12510" s="29" t="str">
        <f t="shared" si="523"/>
        <v>2023.012F.Partitiviridae_abolish15sp_spren.zip</v>
      </c>
      <c r="U12510" s="29" t="str">
        <f>HYPERLINK("https://ictv.global/taxonomy/taxondetails?taxnode_id=202304162","ictv.global=202304162")</f>
        <v>ictv.global=202304162</v>
      </c>
    </row>
    <row r="12511" spans="1:21">
      <c r="A12511">
        <v>12510</v>
      </c>
      <c r="B12511" s="30" t="s">
        <v>1226</v>
      </c>
      <c r="D12511" s="30" t="s">
        <v>2024</v>
      </c>
      <c r="F12511" s="30" t="s">
        <v>2074</v>
      </c>
      <c r="H12511" s="30" t="s">
        <v>2075</v>
      </c>
      <c r="J12511" s="30" t="s">
        <v>2076</v>
      </c>
      <c r="L12511" s="30" t="s">
        <v>401</v>
      </c>
      <c r="N12511" s="30" t="s">
        <v>592</v>
      </c>
      <c r="P12511" s="30" t="s">
        <v>17623</v>
      </c>
      <c r="Q12511" t="s">
        <v>623</v>
      </c>
      <c r="R12511" t="s">
        <v>920</v>
      </c>
      <c r="S12511">
        <v>39</v>
      </c>
      <c r="T12511" s="29" t="str">
        <f t="shared" si="523"/>
        <v>2023.012F.Partitiviridae_abolish15sp_spren.zip</v>
      </c>
      <c r="U12511" s="29" t="str">
        <f>HYPERLINK("https://ictv.global/taxonomy/taxondetails?taxnode_id=202304161","ictv.global=202304161")</f>
        <v>ictv.global=202304161</v>
      </c>
    </row>
    <row r="12512" spans="1:21">
      <c r="A12512">
        <v>12511</v>
      </c>
      <c r="B12512" s="30" t="s">
        <v>1226</v>
      </c>
      <c r="D12512" s="30" t="s">
        <v>2024</v>
      </c>
      <c r="F12512" s="30" t="s">
        <v>2074</v>
      </c>
      <c r="H12512" s="30" t="s">
        <v>2075</v>
      </c>
      <c r="J12512" s="30" t="s">
        <v>2076</v>
      </c>
      <c r="L12512" s="30" t="s">
        <v>401</v>
      </c>
      <c r="N12512" s="30" t="s">
        <v>592</v>
      </c>
      <c r="P12512" s="30" t="s">
        <v>17624</v>
      </c>
      <c r="Q12512" t="s">
        <v>623</v>
      </c>
      <c r="R12512" t="s">
        <v>920</v>
      </c>
      <c r="S12512">
        <v>39</v>
      </c>
      <c r="T12512" s="29" t="str">
        <f t="shared" si="523"/>
        <v>2023.012F.Partitiviridae_abolish15sp_spren.zip</v>
      </c>
      <c r="U12512" s="29" t="str">
        <f>HYPERLINK("https://ictv.global/taxonomy/taxondetails?taxnode_id=202304166","ictv.global=202304166")</f>
        <v>ictv.global=202304166</v>
      </c>
    </row>
    <row r="12513" spans="1:21">
      <c r="A12513">
        <v>12512</v>
      </c>
      <c r="B12513" s="30" t="s">
        <v>1226</v>
      </c>
      <c r="D12513" s="30" t="s">
        <v>2024</v>
      </c>
      <c r="F12513" s="30" t="s">
        <v>2074</v>
      </c>
      <c r="H12513" s="30" t="s">
        <v>2075</v>
      </c>
      <c r="J12513" s="30" t="s">
        <v>2076</v>
      </c>
      <c r="L12513" s="30" t="s">
        <v>401</v>
      </c>
      <c r="N12513" s="30" t="s">
        <v>592</v>
      </c>
      <c r="P12513" s="30" t="s">
        <v>17625</v>
      </c>
      <c r="Q12513" t="s">
        <v>623</v>
      </c>
      <c r="R12513" t="s">
        <v>920</v>
      </c>
      <c r="S12513">
        <v>39</v>
      </c>
      <c r="T12513" s="29" t="str">
        <f t="shared" si="523"/>
        <v>2023.012F.Partitiviridae_abolish15sp_spren.zip</v>
      </c>
      <c r="U12513" s="29" t="str">
        <f>HYPERLINK("https://ictv.global/taxonomy/taxondetails?taxnode_id=202304164","ictv.global=202304164")</f>
        <v>ictv.global=202304164</v>
      </c>
    </row>
    <row r="12514" spans="1:21">
      <c r="A12514">
        <v>12513</v>
      </c>
      <c r="B12514" s="30" t="s">
        <v>1226</v>
      </c>
      <c r="D12514" s="30" t="s">
        <v>2024</v>
      </c>
      <c r="F12514" s="30" t="s">
        <v>2074</v>
      </c>
      <c r="H12514" s="30" t="s">
        <v>2075</v>
      </c>
      <c r="J12514" s="30" t="s">
        <v>2076</v>
      </c>
      <c r="L12514" s="30" t="s">
        <v>401</v>
      </c>
      <c r="N12514" s="30" t="s">
        <v>592</v>
      </c>
      <c r="P12514" s="30" t="s">
        <v>17626</v>
      </c>
      <c r="Q12514" t="s">
        <v>623</v>
      </c>
      <c r="R12514" t="s">
        <v>920</v>
      </c>
      <c r="S12514">
        <v>39</v>
      </c>
      <c r="T12514" s="29" t="str">
        <f t="shared" si="523"/>
        <v>2023.012F.Partitiviridae_abolish15sp_spren.zip</v>
      </c>
      <c r="U12514" s="29" t="str">
        <f>HYPERLINK("https://ictv.global/taxonomy/taxondetails?taxnode_id=202304165","ictv.global=202304165")</f>
        <v>ictv.global=202304165</v>
      </c>
    </row>
    <row r="12515" spans="1:21">
      <c r="A12515">
        <v>12514</v>
      </c>
      <c r="B12515" s="30" t="s">
        <v>1226</v>
      </c>
      <c r="D12515" s="30" t="s">
        <v>2024</v>
      </c>
      <c r="F12515" s="30" t="s">
        <v>2074</v>
      </c>
      <c r="H12515" s="30" t="s">
        <v>2075</v>
      </c>
      <c r="J12515" s="30" t="s">
        <v>2076</v>
      </c>
      <c r="L12515" s="30" t="s">
        <v>401</v>
      </c>
      <c r="N12515" s="30" t="s">
        <v>592</v>
      </c>
      <c r="P12515" s="30" t="s">
        <v>17627</v>
      </c>
      <c r="Q12515" t="s">
        <v>623</v>
      </c>
      <c r="R12515" t="s">
        <v>920</v>
      </c>
      <c r="S12515">
        <v>39</v>
      </c>
      <c r="T12515" s="29" t="str">
        <f t="shared" si="523"/>
        <v>2023.012F.Partitiviridae_abolish15sp_spren.zip</v>
      </c>
      <c r="U12515" s="29" t="str">
        <f>HYPERLINK("https://ictv.global/taxonomy/taxondetails?taxnode_id=202304167","ictv.global=202304167")</f>
        <v>ictv.global=202304167</v>
      </c>
    </row>
    <row r="12516" spans="1:21">
      <c r="A12516">
        <v>12515</v>
      </c>
      <c r="B12516" s="30" t="s">
        <v>1226</v>
      </c>
      <c r="D12516" s="30" t="s">
        <v>2024</v>
      </c>
      <c r="F12516" s="30" t="s">
        <v>2074</v>
      </c>
      <c r="H12516" s="30" t="s">
        <v>2075</v>
      </c>
      <c r="J12516" s="30" t="s">
        <v>2076</v>
      </c>
      <c r="L12516" s="30" t="s">
        <v>401</v>
      </c>
      <c r="N12516" s="30" t="s">
        <v>592</v>
      </c>
      <c r="P12516" s="30" t="s">
        <v>17628</v>
      </c>
      <c r="Q12516" t="s">
        <v>623</v>
      </c>
      <c r="R12516" t="s">
        <v>920</v>
      </c>
      <c r="S12516">
        <v>39</v>
      </c>
      <c r="T12516" s="29" t="str">
        <f t="shared" si="523"/>
        <v>2023.012F.Partitiviridae_abolish15sp_spren.zip</v>
      </c>
      <c r="U12516" s="29" t="str">
        <f>HYPERLINK("https://ictv.global/taxonomy/taxondetails?taxnode_id=202304169","ictv.global=202304169")</f>
        <v>ictv.global=202304169</v>
      </c>
    </row>
    <row r="12517" spans="1:21">
      <c r="A12517">
        <v>12516</v>
      </c>
      <c r="B12517" s="30" t="s">
        <v>1226</v>
      </c>
      <c r="D12517" s="30" t="s">
        <v>2024</v>
      </c>
      <c r="F12517" s="30" t="s">
        <v>2074</v>
      </c>
      <c r="H12517" s="30" t="s">
        <v>2075</v>
      </c>
      <c r="J12517" s="30" t="s">
        <v>2076</v>
      </c>
      <c r="L12517" s="30" t="s">
        <v>401</v>
      </c>
      <c r="N12517" s="30" t="s">
        <v>592</v>
      </c>
      <c r="P12517" s="30" t="s">
        <v>17629</v>
      </c>
      <c r="Q12517" t="s">
        <v>623</v>
      </c>
      <c r="R12517" t="s">
        <v>920</v>
      </c>
      <c r="S12517">
        <v>39</v>
      </c>
      <c r="T12517" s="29" t="str">
        <f t="shared" si="523"/>
        <v>2023.012F.Partitiviridae_abolish15sp_spren.zip</v>
      </c>
      <c r="U12517" s="29" t="str">
        <f>HYPERLINK("https://ictv.global/taxonomy/taxondetails?taxnode_id=202304168","ictv.global=202304168")</f>
        <v>ictv.global=202304168</v>
      </c>
    </row>
    <row r="12518" spans="1:21">
      <c r="A12518">
        <v>12517</v>
      </c>
      <c r="B12518" s="30" t="s">
        <v>1226</v>
      </c>
      <c r="D12518" s="30" t="s">
        <v>2024</v>
      </c>
      <c r="F12518" s="30" t="s">
        <v>2074</v>
      </c>
      <c r="H12518" s="30" t="s">
        <v>2075</v>
      </c>
      <c r="J12518" s="30" t="s">
        <v>2076</v>
      </c>
      <c r="L12518" s="30" t="s">
        <v>401</v>
      </c>
      <c r="N12518" s="30" t="s">
        <v>592</v>
      </c>
      <c r="P12518" s="30" t="s">
        <v>17630</v>
      </c>
      <c r="Q12518" t="s">
        <v>623</v>
      </c>
      <c r="R12518" t="s">
        <v>920</v>
      </c>
      <c r="S12518">
        <v>39</v>
      </c>
      <c r="T12518" s="29" t="str">
        <f t="shared" si="523"/>
        <v>2023.012F.Partitiviridae_abolish15sp_spren.zip</v>
      </c>
      <c r="U12518" s="29" t="str">
        <f>HYPERLINK("https://ictv.global/taxonomy/taxondetails?taxnode_id=202304159","ictv.global=202304159")</f>
        <v>ictv.global=202304159</v>
      </c>
    </row>
    <row r="12519" spans="1:21">
      <c r="A12519">
        <v>12518</v>
      </c>
      <c r="B12519" s="30" t="s">
        <v>1226</v>
      </c>
      <c r="D12519" s="30" t="s">
        <v>2024</v>
      </c>
      <c r="F12519" s="30" t="s">
        <v>2074</v>
      </c>
      <c r="H12519" s="30" t="s">
        <v>2075</v>
      </c>
      <c r="J12519" s="30" t="s">
        <v>2076</v>
      </c>
      <c r="L12519" s="30" t="s">
        <v>401</v>
      </c>
      <c r="N12519" s="30" t="s">
        <v>592</v>
      </c>
      <c r="P12519" s="30" t="s">
        <v>17631</v>
      </c>
      <c r="Q12519" t="s">
        <v>623</v>
      </c>
      <c r="R12519" t="s">
        <v>920</v>
      </c>
      <c r="S12519">
        <v>39</v>
      </c>
      <c r="T12519" s="29" t="str">
        <f t="shared" si="523"/>
        <v>2023.012F.Partitiviridae_abolish15sp_spren.zip</v>
      </c>
      <c r="U12519" s="29" t="str">
        <f>HYPERLINK("https://ictv.global/taxonomy/taxondetails?taxnode_id=202304170","ictv.global=202304170")</f>
        <v>ictv.global=202304170</v>
      </c>
    </row>
    <row r="12520" spans="1:21">
      <c r="A12520">
        <v>12519</v>
      </c>
      <c r="B12520" s="30" t="s">
        <v>1226</v>
      </c>
      <c r="D12520" s="30" t="s">
        <v>2024</v>
      </c>
      <c r="F12520" s="30" t="s">
        <v>2074</v>
      </c>
      <c r="H12520" s="30" t="s">
        <v>2075</v>
      </c>
      <c r="J12520" s="30" t="s">
        <v>2076</v>
      </c>
      <c r="L12520" s="30" t="s">
        <v>401</v>
      </c>
      <c r="N12520" s="30" t="s">
        <v>592</v>
      </c>
      <c r="P12520" s="30" t="s">
        <v>17632</v>
      </c>
      <c r="Q12520" t="s">
        <v>623</v>
      </c>
      <c r="R12520" t="s">
        <v>920</v>
      </c>
      <c r="S12520">
        <v>39</v>
      </c>
      <c r="T12520" s="29" t="str">
        <f t="shared" si="523"/>
        <v>2023.012F.Partitiviridae_abolish15sp_spren.zip</v>
      </c>
      <c r="U12520" s="29" t="str">
        <f>HYPERLINK("https://ictv.global/taxonomy/taxondetails?taxnode_id=202304171","ictv.global=202304171")</f>
        <v>ictv.global=202304171</v>
      </c>
    </row>
    <row r="12521" spans="1:21">
      <c r="A12521">
        <v>12520</v>
      </c>
      <c r="B12521" s="30" t="s">
        <v>1226</v>
      </c>
      <c r="D12521" s="30" t="s">
        <v>2024</v>
      </c>
      <c r="F12521" s="30" t="s">
        <v>2074</v>
      </c>
      <c r="H12521" s="30" t="s">
        <v>2075</v>
      </c>
      <c r="J12521" s="30" t="s">
        <v>2076</v>
      </c>
      <c r="L12521" s="30" t="s">
        <v>401</v>
      </c>
      <c r="N12521" s="30" t="s">
        <v>592</v>
      </c>
      <c r="P12521" s="30" t="s">
        <v>17633</v>
      </c>
      <c r="Q12521" t="s">
        <v>623</v>
      </c>
      <c r="R12521" t="s">
        <v>920</v>
      </c>
      <c r="S12521">
        <v>39</v>
      </c>
      <c r="T12521" s="29" t="str">
        <f t="shared" si="523"/>
        <v>2023.012F.Partitiviridae_abolish15sp_spren.zip</v>
      </c>
      <c r="U12521" s="29" t="str">
        <f>HYPERLINK("https://ictv.global/taxonomy/taxondetails?taxnode_id=202304163","ictv.global=202304163")</f>
        <v>ictv.global=202304163</v>
      </c>
    </row>
    <row r="12522" spans="1:21">
      <c r="A12522">
        <v>12521</v>
      </c>
      <c r="B12522" s="30" t="s">
        <v>1226</v>
      </c>
      <c r="D12522" s="30" t="s">
        <v>2024</v>
      </c>
      <c r="F12522" s="30" t="s">
        <v>2074</v>
      </c>
      <c r="H12522" s="30" t="s">
        <v>2075</v>
      </c>
      <c r="J12522" s="30" t="s">
        <v>2076</v>
      </c>
      <c r="L12522" s="30" t="s">
        <v>401</v>
      </c>
      <c r="N12522" s="30" t="s">
        <v>592</v>
      </c>
      <c r="P12522" s="30" t="s">
        <v>17634</v>
      </c>
      <c r="Q12522" t="s">
        <v>623</v>
      </c>
      <c r="R12522" t="s">
        <v>920</v>
      </c>
      <c r="S12522">
        <v>39</v>
      </c>
      <c r="T12522" s="29" t="str">
        <f t="shared" si="523"/>
        <v>2023.012F.Partitiviridae_abolish15sp_spren.zip</v>
      </c>
      <c r="U12522" s="29" t="str">
        <f>HYPERLINK("https://ictv.global/taxonomy/taxondetails?taxnode_id=202304172","ictv.global=202304172")</f>
        <v>ictv.global=202304172</v>
      </c>
    </row>
    <row r="12523" spans="1:21">
      <c r="A12523">
        <v>12522</v>
      </c>
      <c r="B12523" s="30" t="s">
        <v>1226</v>
      </c>
      <c r="D12523" s="30" t="s">
        <v>2024</v>
      </c>
      <c r="F12523" s="30" t="s">
        <v>2074</v>
      </c>
      <c r="H12523" s="30" t="s">
        <v>2075</v>
      </c>
      <c r="J12523" s="30" t="s">
        <v>2076</v>
      </c>
      <c r="L12523" s="30" t="s">
        <v>401</v>
      </c>
      <c r="N12523" s="30" t="s">
        <v>327</v>
      </c>
      <c r="P12523" s="30" t="s">
        <v>17635</v>
      </c>
      <c r="Q12523" t="s">
        <v>623</v>
      </c>
      <c r="R12523" t="s">
        <v>920</v>
      </c>
      <c r="S12523">
        <v>39</v>
      </c>
      <c r="T12523" s="29" t="str">
        <f t="shared" si="523"/>
        <v>2023.012F.Partitiviridae_abolish15sp_spren.zip</v>
      </c>
      <c r="U12523" s="29" t="str">
        <f>HYPERLINK("https://ictv.global/taxonomy/taxondetails?taxnode_id=202304174","ictv.global=202304174")</f>
        <v>ictv.global=202304174</v>
      </c>
    </row>
    <row r="12524" spans="1:21">
      <c r="A12524">
        <v>12523</v>
      </c>
      <c r="B12524" s="30" t="s">
        <v>1226</v>
      </c>
      <c r="D12524" s="30" t="s">
        <v>2024</v>
      </c>
      <c r="F12524" s="30" t="s">
        <v>2074</v>
      </c>
      <c r="H12524" s="30" t="s">
        <v>2075</v>
      </c>
      <c r="J12524" s="30" t="s">
        <v>2076</v>
      </c>
      <c r="L12524" s="30" t="s">
        <v>401</v>
      </c>
      <c r="N12524" s="30" t="s">
        <v>593</v>
      </c>
      <c r="P12524" s="30" t="s">
        <v>17636</v>
      </c>
      <c r="Q12524" t="s">
        <v>623</v>
      </c>
      <c r="R12524" t="s">
        <v>920</v>
      </c>
      <c r="S12524">
        <v>39</v>
      </c>
      <c r="T12524" s="29" t="str">
        <f t="shared" si="523"/>
        <v>2023.012F.Partitiviridae_abolish15sp_spren.zip</v>
      </c>
      <c r="U12524" s="29" t="str">
        <f>HYPERLINK("https://ictv.global/taxonomy/taxondetails?taxnode_id=202304176","ictv.global=202304176")</f>
        <v>ictv.global=202304176</v>
      </c>
    </row>
    <row r="12525" spans="1:21">
      <c r="A12525">
        <v>12524</v>
      </c>
      <c r="B12525" s="30" t="s">
        <v>1226</v>
      </c>
      <c r="D12525" s="30" t="s">
        <v>2024</v>
      </c>
      <c r="F12525" s="30" t="s">
        <v>2074</v>
      </c>
      <c r="H12525" s="30" t="s">
        <v>2075</v>
      </c>
      <c r="J12525" s="30" t="s">
        <v>2076</v>
      </c>
      <c r="L12525" s="30" t="s">
        <v>401</v>
      </c>
      <c r="N12525" s="30" t="s">
        <v>593</v>
      </c>
      <c r="P12525" s="30" t="s">
        <v>17637</v>
      </c>
      <c r="Q12525" t="s">
        <v>623</v>
      </c>
      <c r="R12525" t="s">
        <v>920</v>
      </c>
      <c r="S12525">
        <v>39</v>
      </c>
      <c r="T12525" s="29" t="str">
        <f t="shared" si="523"/>
        <v>2023.012F.Partitiviridae_abolish15sp_spren.zip</v>
      </c>
      <c r="U12525" s="29" t="str">
        <f>HYPERLINK("https://ictv.global/taxonomy/taxondetails?taxnode_id=202304180","ictv.global=202304180")</f>
        <v>ictv.global=202304180</v>
      </c>
    </row>
    <row r="12526" spans="1:21">
      <c r="A12526">
        <v>12525</v>
      </c>
      <c r="B12526" s="30" t="s">
        <v>1226</v>
      </c>
      <c r="D12526" s="30" t="s">
        <v>2024</v>
      </c>
      <c r="F12526" s="30" t="s">
        <v>2074</v>
      </c>
      <c r="H12526" s="30" t="s">
        <v>2075</v>
      </c>
      <c r="J12526" s="30" t="s">
        <v>2076</v>
      </c>
      <c r="L12526" s="30" t="s">
        <v>401</v>
      </c>
      <c r="N12526" s="30" t="s">
        <v>593</v>
      </c>
      <c r="P12526" s="30" t="s">
        <v>17638</v>
      </c>
      <c r="Q12526" t="s">
        <v>623</v>
      </c>
      <c r="R12526" t="s">
        <v>920</v>
      </c>
      <c r="S12526">
        <v>39</v>
      </c>
      <c r="T12526" s="29" t="str">
        <f t="shared" si="523"/>
        <v>2023.012F.Partitiviridae_abolish15sp_spren.zip</v>
      </c>
      <c r="U12526" s="29" t="str">
        <f>HYPERLINK("https://ictv.global/taxonomy/taxondetails?taxnode_id=202304178","ictv.global=202304178")</f>
        <v>ictv.global=202304178</v>
      </c>
    </row>
    <row r="12527" spans="1:21">
      <c r="A12527">
        <v>12526</v>
      </c>
      <c r="B12527" s="30" t="s">
        <v>1226</v>
      </c>
      <c r="D12527" s="30" t="s">
        <v>2024</v>
      </c>
      <c r="F12527" s="30" t="s">
        <v>2074</v>
      </c>
      <c r="H12527" s="30" t="s">
        <v>2075</v>
      </c>
      <c r="J12527" s="30" t="s">
        <v>2076</v>
      </c>
      <c r="L12527" s="30" t="s">
        <v>401</v>
      </c>
      <c r="N12527" s="30" t="s">
        <v>593</v>
      </c>
      <c r="P12527" s="30" t="s">
        <v>17639</v>
      </c>
      <c r="Q12527" t="s">
        <v>623</v>
      </c>
      <c r="R12527" t="s">
        <v>920</v>
      </c>
      <c r="S12527">
        <v>39</v>
      </c>
      <c r="T12527" s="29" t="str">
        <f t="shared" si="523"/>
        <v>2023.012F.Partitiviridae_abolish15sp_spren.zip</v>
      </c>
      <c r="U12527" s="29" t="str">
        <f>HYPERLINK("https://ictv.global/taxonomy/taxondetails?taxnode_id=202304177","ictv.global=202304177")</f>
        <v>ictv.global=202304177</v>
      </c>
    </row>
    <row r="12528" spans="1:21">
      <c r="A12528">
        <v>12527</v>
      </c>
      <c r="B12528" s="30" t="s">
        <v>1226</v>
      </c>
      <c r="D12528" s="30" t="s">
        <v>2024</v>
      </c>
      <c r="F12528" s="30" t="s">
        <v>2074</v>
      </c>
      <c r="H12528" s="30" t="s">
        <v>2075</v>
      </c>
      <c r="J12528" s="30" t="s">
        <v>2076</v>
      </c>
      <c r="L12528" s="30" t="s">
        <v>401</v>
      </c>
      <c r="N12528" s="30" t="s">
        <v>593</v>
      </c>
      <c r="P12528" s="30" t="s">
        <v>17640</v>
      </c>
      <c r="Q12528" t="s">
        <v>623</v>
      </c>
      <c r="R12528" t="s">
        <v>920</v>
      </c>
      <c r="S12528">
        <v>39</v>
      </c>
      <c r="T12528" s="29" t="str">
        <f t="shared" si="523"/>
        <v>2023.012F.Partitiviridae_abolish15sp_spren.zip</v>
      </c>
      <c r="U12528" s="29" t="str">
        <f>HYPERLINK("https://ictv.global/taxonomy/taxondetails?taxnode_id=202304179","ictv.global=202304179")</f>
        <v>ictv.global=202304179</v>
      </c>
    </row>
    <row r="12529" spans="1:21">
      <c r="A12529">
        <v>12528</v>
      </c>
      <c r="B12529" s="30" t="s">
        <v>1226</v>
      </c>
      <c r="D12529" s="30" t="s">
        <v>2024</v>
      </c>
      <c r="F12529" s="30" t="s">
        <v>2074</v>
      </c>
      <c r="H12529" s="30" t="s">
        <v>2075</v>
      </c>
      <c r="J12529" s="30" t="s">
        <v>2076</v>
      </c>
      <c r="L12529" s="30" t="s">
        <v>401</v>
      </c>
      <c r="N12529" s="30" t="s">
        <v>594</v>
      </c>
      <c r="P12529" s="30" t="s">
        <v>17641</v>
      </c>
      <c r="Q12529" t="s">
        <v>623</v>
      </c>
      <c r="R12529" t="s">
        <v>920</v>
      </c>
      <c r="S12529">
        <v>39</v>
      </c>
      <c r="T12529" s="29" t="str">
        <f t="shared" si="523"/>
        <v>2023.012F.Partitiviridae_abolish15sp_spren.zip</v>
      </c>
      <c r="U12529" s="29" t="str">
        <f>HYPERLINK("https://ictv.global/taxonomy/taxondetails?taxnode_id=202304182","ictv.global=202304182")</f>
        <v>ictv.global=202304182</v>
      </c>
    </row>
    <row r="12530" spans="1:21">
      <c r="A12530">
        <v>12529</v>
      </c>
      <c r="B12530" s="30" t="s">
        <v>1226</v>
      </c>
      <c r="D12530" s="30" t="s">
        <v>2024</v>
      </c>
      <c r="F12530" s="30" t="s">
        <v>2074</v>
      </c>
      <c r="H12530" s="30" t="s">
        <v>2075</v>
      </c>
      <c r="J12530" s="30" t="s">
        <v>2076</v>
      </c>
      <c r="L12530" s="30" t="s">
        <v>401</v>
      </c>
      <c r="N12530" s="30" t="s">
        <v>594</v>
      </c>
      <c r="P12530" s="30" t="s">
        <v>17642</v>
      </c>
      <c r="Q12530" t="s">
        <v>623</v>
      </c>
      <c r="R12530" t="s">
        <v>920</v>
      </c>
      <c r="S12530">
        <v>39</v>
      </c>
      <c r="T12530" s="29" t="str">
        <f t="shared" si="523"/>
        <v>2023.012F.Partitiviridae_abolish15sp_spren.zip</v>
      </c>
      <c r="U12530" s="29" t="str">
        <f>HYPERLINK("https://ictv.global/taxonomy/taxondetails?taxnode_id=202304184","ictv.global=202304184")</f>
        <v>ictv.global=202304184</v>
      </c>
    </row>
    <row r="12531" spans="1:21">
      <c r="A12531">
        <v>12530</v>
      </c>
      <c r="B12531" s="30" t="s">
        <v>1226</v>
      </c>
      <c r="D12531" s="30" t="s">
        <v>2024</v>
      </c>
      <c r="F12531" s="30" t="s">
        <v>2074</v>
      </c>
      <c r="H12531" s="30" t="s">
        <v>2075</v>
      </c>
      <c r="J12531" s="30" t="s">
        <v>2076</v>
      </c>
      <c r="L12531" s="30" t="s">
        <v>401</v>
      </c>
      <c r="N12531" s="30" t="s">
        <v>594</v>
      </c>
      <c r="P12531" s="30" t="s">
        <v>17643</v>
      </c>
      <c r="Q12531" t="s">
        <v>623</v>
      </c>
      <c r="R12531" t="s">
        <v>920</v>
      </c>
      <c r="S12531">
        <v>39</v>
      </c>
      <c r="T12531" s="29" t="str">
        <f t="shared" si="523"/>
        <v>2023.012F.Partitiviridae_abolish15sp_spren.zip</v>
      </c>
      <c r="U12531" s="29" t="str">
        <f>HYPERLINK("https://ictv.global/taxonomy/taxondetails?taxnode_id=202304188","ictv.global=202304188")</f>
        <v>ictv.global=202304188</v>
      </c>
    </row>
    <row r="12532" spans="1:21">
      <c r="A12532">
        <v>12531</v>
      </c>
      <c r="B12532" s="30" t="s">
        <v>1226</v>
      </c>
      <c r="D12532" s="30" t="s">
        <v>2024</v>
      </c>
      <c r="F12532" s="30" t="s">
        <v>2074</v>
      </c>
      <c r="H12532" s="30" t="s">
        <v>2075</v>
      </c>
      <c r="J12532" s="30" t="s">
        <v>2076</v>
      </c>
      <c r="L12532" s="30" t="s">
        <v>401</v>
      </c>
      <c r="N12532" s="30" t="s">
        <v>594</v>
      </c>
      <c r="P12532" s="30" t="s">
        <v>17644</v>
      </c>
      <c r="Q12532" t="s">
        <v>623</v>
      </c>
      <c r="R12532" t="s">
        <v>920</v>
      </c>
      <c r="S12532">
        <v>39</v>
      </c>
      <c r="T12532" s="29" t="str">
        <f t="shared" si="523"/>
        <v>2023.012F.Partitiviridae_abolish15sp_spren.zip</v>
      </c>
      <c r="U12532" s="29" t="str">
        <f>HYPERLINK("https://ictv.global/taxonomy/taxondetails?taxnode_id=202304189","ictv.global=202304189")</f>
        <v>ictv.global=202304189</v>
      </c>
    </row>
    <row r="12533" spans="1:21">
      <c r="A12533">
        <v>12532</v>
      </c>
      <c r="B12533" s="30" t="s">
        <v>1226</v>
      </c>
      <c r="D12533" s="30" t="s">
        <v>2024</v>
      </c>
      <c r="F12533" s="30" t="s">
        <v>2074</v>
      </c>
      <c r="H12533" s="30" t="s">
        <v>2075</v>
      </c>
      <c r="J12533" s="30" t="s">
        <v>2076</v>
      </c>
      <c r="L12533" s="30" t="s">
        <v>401</v>
      </c>
      <c r="N12533" s="30" t="s">
        <v>594</v>
      </c>
      <c r="P12533" s="30" t="s">
        <v>17645</v>
      </c>
      <c r="Q12533" t="s">
        <v>623</v>
      </c>
      <c r="R12533" t="s">
        <v>920</v>
      </c>
      <c r="S12533">
        <v>39</v>
      </c>
      <c r="T12533" s="29" t="str">
        <f t="shared" si="523"/>
        <v>2023.012F.Partitiviridae_abolish15sp_spren.zip</v>
      </c>
      <c r="U12533" s="29" t="str">
        <f>HYPERLINK("https://ictv.global/taxonomy/taxondetails?taxnode_id=202304185","ictv.global=202304185")</f>
        <v>ictv.global=202304185</v>
      </c>
    </row>
    <row r="12534" spans="1:21">
      <c r="A12534">
        <v>12533</v>
      </c>
      <c r="B12534" s="30" t="s">
        <v>1226</v>
      </c>
      <c r="D12534" s="30" t="s">
        <v>2024</v>
      </c>
      <c r="F12534" s="30" t="s">
        <v>2074</v>
      </c>
      <c r="H12534" s="30" t="s">
        <v>2075</v>
      </c>
      <c r="J12534" s="30" t="s">
        <v>2076</v>
      </c>
      <c r="L12534" s="30" t="s">
        <v>401</v>
      </c>
      <c r="N12534" s="30" t="s">
        <v>594</v>
      </c>
      <c r="P12534" s="30" t="s">
        <v>17646</v>
      </c>
      <c r="Q12534" t="s">
        <v>623</v>
      </c>
      <c r="R12534" t="s">
        <v>920</v>
      </c>
      <c r="S12534">
        <v>39</v>
      </c>
      <c r="T12534" s="29" t="str">
        <f t="shared" si="523"/>
        <v>2023.012F.Partitiviridae_abolish15sp_spren.zip</v>
      </c>
      <c r="U12534" s="29" t="str">
        <f>HYPERLINK("https://ictv.global/taxonomy/taxondetails?taxnode_id=202304186","ictv.global=202304186")</f>
        <v>ictv.global=202304186</v>
      </c>
    </row>
    <row r="12535" spans="1:21">
      <c r="A12535">
        <v>12534</v>
      </c>
      <c r="B12535" s="30" t="s">
        <v>1226</v>
      </c>
      <c r="D12535" s="30" t="s">
        <v>2024</v>
      </c>
      <c r="F12535" s="30" t="s">
        <v>2074</v>
      </c>
      <c r="H12535" s="30" t="s">
        <v>2075</v>
      </c>
      <c r="J12535" s="30" t="s">
        <v>2076</v>
      </c>
      <c r="L12535" s="30" t="s">
        <v>401</v>
      </c>
      <c r="N12535" s="30" t="s">
        <v>594</v>
      </c>
      <c r="P12535" s="30" t="s">
        <v>17647</v>
      </c>
      <c r="Q12535" t="s">
        <v>623</v>
      </c>
      <c r="R12535" t="s">
        <v>920</v>
      </c>
      <c r="S12535">
        <v>39</v>
      </c>
      <c r="T12535" s="29" t="str">
        <f t="shared" si="523"/>
        <v>2023.012F.Partitiviridae_abolish15sp_spren.zip</v>
      </c>
      <c r="U12535" s="29" t="str">
        <f>HYPERLINK("https://ictv.global/taxonomy/taxondetails?taxnode_id=202304187","ictv.global=202304187")</f>
        <v>ictv.global=202304187</v>
      </c>
    </row>
    <row r="12536" spans="1:21">
      <c r="A12536">
        <v>12535</v>
      </c>
      <c r="B12536" s="30" t="s">
        <v>1226</v>
      </c>
      <c r="D12536" s="30" t="s">
        <v>2024</v>
      </c>
      <c r="F12536" s="30" t="s">
        <v>2074</v>
      </c>
      <c r="H12536" s="30" t="s">
        <v>2075</v>
      </c>
      <c r="J12536" s="30" t="s">
        <v>2076</v>
      </c>
      <c r="L12536" s="30" t="s">
        <v>401</v>
      </c>
      <c r="N12536" s="30" t="s">
        <v>594</v>
      </c>
      <c r="P12536" s="30" t="s">
        <v>17648</v>
      </c>
      <c r="Q12536" t="s">
        <v>623</v>
      </c>
      <c r="R12536" t="s">
        <v>920</v>
      </c>
      <c r="S12536">
        <v>39</v>
      </c>
      <c r="T12536" s="29" t="str">
        <f t="shared" si="523"/>
        <v>2023.012F.Partitiviridae_abolish15sp_spren.zip</v>
      </c>
      <c r="U12536" s="29" t="str">
        <f>HYPERLINK("https://ictv.global/taxonomy/taxondetails?taxnode_id=202304183","ictv.global=202304183")</f>
        <v>ictv.global=202304183</v>
      </c>
    </row>
    <row r="12537" spans="1:21">
      <c r="A12537">
        <v>12536</v>
      </c>
      <c r="B12537" s="30" t="s">
        <v>1226</v>
      </c>
      <c r="D12537" s="30" t="s">
        <v>2024</v>
      </c>
      <c r="F12537" s="30" t="s">
        <v>2074</v>
      </c>
      <c r="H12537" s="30" t="s">
        <v>2075</v>
      </c>
      <c r="J12537" s="30" t="s">
        <v>2076</v>
      </c>
      <c r="L12537" s="30" t="s">
        <v>234</v>
      </c>
      <c r="N12537" s="30" t="s">
        <v>10935</v>
      </c>
      <c r="P12537" s="30" t="s">
        <v>10936</v>
      </c>
      <c r="Q12537" t="s">
        <v>623</v>
      </c>
      <c r="R12537" t="s">
        <v>918</v>
      </c>
      <c r="S12537">
        <v>37</v>
      </c>
      <c r="T12537" s="29" t="str">
        <f>HYPERLINK("https://ictv.global/ictv/proposals/2021.032M.R.Picobirnaviridae_sprename_genrename.zip","2021.032M.R.Picobirnaviridae_sprename_genrename.zip")</f>
        <v>2021.032M.R.Picobirnaviridae_sprename_genrename.zip</v>
      </c>
      <c r="U12537" s="29" t="str">
        <f>HYPERLINK("https://ictv.global/taxonomy/taxondetails?taxnode_id=202308648","ictv.global=202308648")</f>
        <v>ictv.global=202308648</v>
      </c>
    </row>
    <row r="12538" spans="1:21">
      <c r="A12538">
        <v>12537</v>
      </c>
      <c r="B12538" s="30" t="s">
        <v>1226</v>
      </c>
      <c r="D12538" s="30" t="s">
        <v>2024</v>
      </c>
      <c r="F12538" s="30" t="s">
        <v>2074</v>
      </c>
      <c r="H12538" s="30" t="s">
        <v>2075</v>
      </c>
      <c r="J12538" s="30" t="s">
        <v>2076</v>
      </c>
      <c r="L12538" s="30" t="s">
        <v>234</v>
      </c>
      <c r="N12538" s="30" t="s">
        <v>10935</v>
      </c>
      <c r="P12538" s="30" t="s">
        <v>10937</v>
      </c>
      <c r="Q12538" t="s">
        <v>623</v>
      </c>
      <c r="R12538" t="s">
        <v>918</v>
      </c>
      <c r="S12538">
        <v>37</v>
      </c>
      <c r="T12538" s="29" t="str">
        <f>HYPERLINK("https://ictv.global/ictv/proposals/2021.032M.R.Picobirnaviridae_sprename_genrename.zip","2021.032M.R.Picobirnaviridae_sprename_genrename.zip")</f>
        <v>2021.032M.R.Picobirnaviridae_sprename_genrename.zip</v>
      </c>
      <c r="U12538" s="29" t="str">
        <f>HYPERLINK("https://ictv.global/taxonomy/taxondetails?taxnode_id=202308647","ictv.global=202308647")</f>
        <v>ictv.global=202308647</v>
      </c>
    </row>
    <row r="12539" spans="1:21">
      <c r="A12539">
        <v>12538</v>
      </c>
      <c r="B12539" s="30" t="s">
        <v>1226</v>
      </c>
      <c r="D12539" s="30" t="s">
        <v>2024</v>
      </c>
      <c r="F12539" s="30" t="s">
        <v>2074</v>
      </c>
      <c r="H12539" s="30" t="s">
        <v>2075</v>
      </c>
      <c r="J12539" s="30" t="s">
        <v>2076</v>
      </c>
      <c r="L12539" s="30" t="s">
        <v>234</v>
      </c>
      <c r="N12539" s="30" t="s">
        <v>10935</v>
      </c>
      <c r="P12539" s="30" t="s">
        <v>10938</v>
      </c>
      <c r="Q12539" t="s">
        <v>623</v>
      </c>
      <c r="R12539" t="s">
        <v>918</v>
      </c>
      <c r="S12539">
        <v>37</v>
      </c>
      <c r="T12539" s="29" t="str">
        <f>HYPERLINK("https://ictv.global/ictv/proposals/2021.032M.R.Picobirnaviridae_sprename_genrename.zip","2021.032M.R.Picobirnaviridae_sprename_genrename.zip")</f>
        <v>2021.032M.R.Picobirnaviridae_sprename_genrename.zip</v>
      </c>
      <c r="U12539" s="29" t="str">
        <f>HYPERLINK("https://ictv.global/taxonomy/taxondetails?taxnode_id=202304334","ictv.global=202304334")</f>
        <v>ictv.global=202304334</v>
      </c>
    </row>
    <row r="12540" spans="1:21">
      <c r="A12540">
        <v>12539</v>
      </c>
      <c r="B12540" s="30" t="s">
        <v>1226</v>
      </c>
      <c r="D12540" s="30" t="s">
        <v>2024</v>
      </c>
      <c r="F12540" s="30" t="s">
        <v>2074</v>
      </c>
      <c r="H12540" s="30" t="s">
        <v>2077</v>
      </c>
      <c r="J12540" s="30" t="s">
        <v>377</v>
      </c>
      <c r="K12540" s="30" t="s">
        <v>1086</v>
      </c>
      <c r="L12540" s="30" t="s">
        <v>1087</v>
      </c>
      <c r="M12540" s="30" t="s">
        <v>1088</v>
      </c>
      <c r="N12540" s="30" t="s">
        <v>1089</v>
      </c>
      <c r="O12540" s="30" t="s">
        <v>1090</v>
      </c>
      <c r="P12540" s="30" t="s">
        <v>17649</v>
      </c>
      <c r="Q12540" t="s">
        <v>621</v>
      </c>
      <c r="R12540" t="s">
        <v>920</v>
      </c>
      <c r="S12540">
        <v>39</v>
      </c>
      <c r="T12540" s="29" t="str">
        <f>HYPERLINK("https://ictv.global/ictv/proposals/2023.013S.Nidovirales_27sprenamed.zip","2023.013S.Nidovirales_27sprenamed.zip")</f>
        <v>2023.013S.Nidovirales_27sprenamed.zip</v>
      </c>
      <c r="U12540" s="29" t="str">
        <f>HYPERLINK("https://ictv.global/taxonomy/taxondetails?taxnode_id=202306200","ictv.global=202306200")</f>
        <v>ictv.global=202306200</v>
      </c>
    </row>
    <row r="12541" spans="1:21">
      <c r="A12541">
        <v>12540</v>
      </c>
      <c r="B12541" s="30" t="s">
        <v>1226</v>
      </c>
      <c r="D12541" s="30" t="s">
        <v>2024</v>
      </c>
      <c r="F12541" s="30" t="s">
        <v>2074</v>
      </c>
      <c r="H12541" s="30" t="s">
        <v>2077</v>
      </c>
      <c r="J12541" s="30" t="s">
        <v>377</v>
      </c>
      <c r="K12541" s="30" t="s">
        <v>1091</v>
      </c>
      <c r="L12541" s="30" t="s">
        <v>378</v>
      </c>
      <c r="M12541" s="30" t="s">
        <v>1092</v>
      </c>
      <c r="N12541" s="30" t="s">
        <v>1093</v>
      </c>
      <c r="P12541" s="30" t="s">
        <v>1094</v>
      </c>
      <c r="Q12541" t="s">
        <v>621</v>
      </c>
      <c r="R12541" t="s">
        <v>3894</v>
      </c>
      <c r="S12541">
        <v>36</v>
      </c>
      <c r="T12541" s="29" t="str">
        <f>HYPERLINK("https://ictv.global/ictv/proposals/2020.001G.R.Abolish_type_species.pdf","2020.001G.R.Abolish_type_species.pdf")</f>
        <v>2020.001G.R.Abolish_type_species.pdf</v>
      </c>
      <c r="U12541" s="29" t="str">
        <f>HYPERLINK("https://ictv.global/taxonomy/taxondetails?taxnode_id=202306015","ictv.global=202306015")</f>
        <v>ictv.global=202306015</v>
      </c>
    </row>
    <row r="12542" spans="1:21">
      <c r="A12542">
        <v>12541</v>
      </c>
      <c r="B12542" s="30" t="s">
        <v>1226</v>
      </c>
      <c r="D12542" s="30" t="s">
        <v>2024</v>
      </c>
      <c r="F12542" s="30" t="s">
        <v>2074</v>
      </c>
      <c r="H12542" s="30" t="s">
        <v>2077</v>
      </c>
      <c r="J12542" s="30" t="s">
        <v>377</v>
      </c>
      <c r="K12542" s="30" t="s">
        <v>1091</v>
      </c>
      <c r="L12542" s="30" t="s">
        <v>378</v>
      </c>
      <c r="M12542" s="30" t="s">
        <v>1095</v>
      </c>
      <c r="N12542" s="30" t="s">
        <v>1096</v>
      </c>
      <c r="P12542" s="30" t="s">
        <v>1097</v>
      </c>
      <c r="Q12542" t="s">
        <v>621</v>
      </c>
      <c r="R12542" t="s">
        <v>3894</v>
      </c>
      <c r="S12542">
        <v>36</v>
      </c>
      <c r="T12542" s="29" t="str">
        <f>HYPERLINK("https://ictv.global/ictv/proposals/2020.001G.R.Abolish_type_species.pdf","2020.001G.R.Abolish_type_species.pdf")</f>
        <v>2020.001G.R.Abolish_type_species.pdf</v>
      </c>
      <c r="U12542" s="29" t="str">
        <f>HYPERLINK("https://ictv.global/taxonomy/taxondetails?taxnode_id=202301827","ictv.global=202301827")</f>
        <v>ictv.global=202301827</v>
      </c>
    </row>
    <row r="12543" spans="1:21">
      <c r="A12543">
        <v>12542</v>
      </c>
      <c r="B12543" s="30" t="s">
        <v>1226</v>
      </c>
      <c r="D12543" s="30" t="s">
        <v>2024</v>
      </c>
      <c r="F12543" s="30" t="s">
        <v>2074</v>
      </c>
      <c r="H12543" s="30" t="s">
        <v>2077</v>
      </c>
      <c r="J12543" s="30" t="s">
        <v>377</v>
      </c>
      <c r="K12543" s="30" t="s">
        <v>1091</v>
      </c>
      <c r="L12543" s="30" t="s">
        <v>378</v>
      </c>
      <c r="M12543" s="30" t="s">
        <v>1098</v>
      </c>
      <c r="N12543" s="30" t="s">
        <v>1099</v>
      </c>
      <c r="P12543" s="30" t="s">
        <v>1100</v>
      </c>
      <c r="Q12543" t="s">
        <v>621</v>
      </c>
      <c r="R12543" t="s">
        <v>3894</v>
      </c>
      <c r="S12543">
        <v>36</v>
      </c>
      <c r="T12543" s="29" t="str">
        <f>HYPERLINK("https://ictv.global/ictv/proposals/2020.001G.R.Abolish_type_species.pdf","2020.001G.R.Abolish_type_species.pdf")</f>
        <v>2020.001G.R.Abolish_type_species.pdf</v>
      </c>
      <c r="U12543" s="29" t="str">
        <f>HYPERLINK("https://ictv.global/taxonomy/taxondetails?taxnode_id=202301829","ictv.global=202301829")</f>
        <v>ictv.global=202301829</v>
      </c>
    </row>
    <row r="12544" spans="1:21">
      <c r="A12544">
        <v>12543</v>
      </c>
      <c r="B12544" s="30" t="s">
        <v>1226</v>
      </c>
      <c r="D12544" s="30" t="s">
        <v>2024</v>
      </c>
      <c r="F12544" s="30" t="s">
        <v>2074</v>
      </c>
      <c r="H12544" s="30" t="s">
        <v>2077</v>
      </c>
      <c r="J12544" s="30" t="s">
        <v>377</v>
      </c>
      <c r="K12544" s="30" t="s">
        <v>1091</v>
      </c>
      <c r="L12544" s="30" t="s">
        <v>378</v>
      </c>
      <c r="M12544" s="30" t="s">
        <v>1101</v>
      </c>
      <c r="N12544" s="30" t="s">
        <v>1102</v>
      </c>
      <c r="O12544" s="30" t="s">
        <v>1103</v>
      </c>
      <c r="P12544" s="30" t="s">
        <v>1104</v>
      </c>
      <c r="Q12544" t="s">
        <v>621</v>
      </c>
      <c r="R12544" t="s">
        <v>3894</v>
      </c>
      <c r="S12544">
        <v>36</v>
      </c>
      <c r="T12544" s="29" t="str">
        <f>HYPERLINK("https://ictv.global/ictv/proposals/2020.001G.R.Abolish_type_species.pdf","2020.001G.R.Abolish_type_species.pdf")</f>
        <v>2020.001G.R.Abolish_type_species.pdf</v>
      </c>
      <c r="U12544" s="29" t="str">
        <f>HYPERLINK("https://ictv.global/taxonomy/taxondetails?taxnode_id=202301845","ictv.global=202301845")</f>
        <v>ictv.global=202301845</v>
      </c>
    </row>
    <row r="12545" spans="1:21">
      <c r="A12545">
        <v>12544</v>
      </c>
      <c r="B12545" s="30" t="s">
        <v>1226</v>
      </c>
      <c r="D12545" s="30" t="s">
        <v>2024</v>
      </c>
      <c r="F12545" s="30" t="s">
        <v>2074</v>
      </c>
      <c r="H12545" s="30" t="s">
        <v>2077</v>
      </c>
      <c r="J12545" s="30" t="s">
        <v>377</v>
      </c>
      <c r="K12545" s="30" t="s">
        <v>1091</v>
      </c>
      <c r="L12545" s="30" t="s">
        <v>378</v>
      </c>
      <c r="M12545" s="30" t="s">
        <v>1101</v>
      </c>
      <c r="N12545" s="30" t="s">
        <v>1105</v>
      </c>
      <c r="O12545" s="30" t="s">
        <v>1106</v>
      </c>
      <c r="P12545" s="30" t="s">
        <v>1107</v>
      </c>
      <c r="Q12545" t="s">
        <v>621</v>
      </c>
      <c r="R12545" t="s">
        <v>3894</v>
      </c>
      <c r="S12545">
        <v>36</v>
      </c>
      <c r="T12545" s="29" t="str">
        <f>HYPERLINK("https://ictv.global/ictv/proposals/2020.001G.R.Abolish_type_species.pdf","2020.001G.R.Abolish_type_species.pdf")</f>
        <v>2020.001G.R.Abolish_type_species.pdf</v>
      </c>
      <c r="U12545" s="29" t="str">
        <f>HYPERLINK("https://ictv.global/taxonomy/taxondetails?taxnode_id=202301844","ictv.global=202301844")</f>
        <v>ictv.global=202301844</v>
      </c>
    </row>
    <row r="12546" spans="1:21">
      <c r="A12546">
        <v>12545</v>
      </c>
      <c r="B12546" s="30" t="s">
        <v>1226</v>
      </c>
      <c r="D12546" s="30" t="s">
        <v>2024</v>
      </c>
      <c r="F12546" s="30" t="s">
        <v>2074</v>
      </c>
      <c r="H12546" s="30" t="s">
        <v>2077</v>
      </c>
      <c r="J12546" s="30" t="s">
        <v>377</v>
      </c>
      <c r="K12546" s="30" t="s">
        <v>1091</v>
      </c>
      <c r="L12546" s="30" t="s">
        <v>378</v>
      </c>
      <c r="M12546" s="30" t="s">
        <v>1101</v>
      </c>
      <c r="N12546" s="30" t="s">
        <v>1105</v>
      </c>
      <c r="O12546" s="30" t="s">
        <v>1106</v>
      </c>
      <c r="P12546" s="30" t="s">
        <v>1108</v>
      </c>
      <c r="Q12546" t="s">
        <v>621</v>
      </c>
      <c r="R12546" t="s">
        <v>919</v>
      </c>
      <c r="S12546">
        <v>35</v>
      </c>
      <c r="T12546" s="29" t="str">
        <f>HYPERLINK("https://ictv.global/ictv/proposals/2019.006G.zip","2019.006G.zip")</f>
        <v>2019.006G.zip</v>
      </c>
      <c r="U12546" s="29" t="str">
        <f>HYPERLINK("https://ictv.global/taxonomy/taxondetails?taxnode_id=202301837","ictv.global=202301837")</f>
        <v>ictv.global=202301837</v>
      </c>
    </row>
    <row r="12547" spans="1:21">
      <c r="A12547">
        <v>12546</v>
      </c>
      <c r="B12547" s="30" t="s">
        <v>1226</v>
      </c>
      <c r="D12547" s="30" t="s">
        <v>2024</v>
      </c>
      <c r="F12547" s="30" t="s">
        <v>2074</v>
      </c>
      <c r="H12547" s="30" t="s">
        <v>2077</v>
      </c>
      <c r="J12547" s="30" t="s">
        <v>377</v>
      </c>
      <c r="K12547" s="30" t="s">
        <v>1091</v>
      </c>
      <c r="L12547" s="30" t="s">
        <v>378</v>
      </c>
      <c r="M12547" s="30" t="s">
        <v>1101</v>
      </c>
      <c r="N12547" s="30" t="s">
        <v>1105</v>
      </c>
      <c r="O12547" s="30" t="s">
        <v>1106</v>
      </c>
      <c r="P12547" s="30" t="s">
        <v>1109</v>
      </c>
      <c r="Q12547" t="s">
        <v>621</v>
      </c>
      <c r="R12547" t="s">
        <v>919</v>
      </c>
      <c r="S12547">
        <v>35</v>
      </c>
      <c r="T12547" s="29" t="str">
        <f>HYPERLINK("https://ictv.global/ictv/proposals/2019.006G.zip","2019.006G.zip")</f>
        <v>2019.006G.zip</v>
      </c>
      <c r="U12547" s="29" t="str">
        <f>HYPERLINK("https://ictv.global/taxonomy/taxondetails?taxnode_id=202306098","ictv.global=202306098")</f>
        <v>ictv.global=202306098</v>
      </c>
    </row>
    <row r="12548" spans="1:21">
      <c r="A12548">
        <v>12547</v>
      </c>
      <c r="B12548" s="30" t="s">
        <v>1226</v>
      </c>
      <c r="D12548" s="30" t="s">
        <v>2024</v>
      </c>
      <c r="F12548" s="30" t="s">
        <v>2074</v>
      </c>
      <c r="H12548" s="30" t="s">
        <v>2077</v>
      </c>
      <c r="J12548" s="30" t="s">
        <v>377</v>
      </c>
      <c r="K12548" s="30" t="s">
        <v>1091</v>
      </c>
      <c r="L12548" s="30" t="s">
        <v>378</v>
      </c>
      <c r="M12548" s="30" t="s">
        <v>1101</v>
      </c>
      <c r="N12548" s="30" t="s">
        <v>1110</v>
      </c>
      <c r="P12548" s="30" t="s">
        <v>17650</v>
      </c>
      <c r="Q12548" t="s">
        <v>621</v>
      </c>
      <c r="R12548" t="s">
        <v>920</v>
      </c>
      <c r="S12548">
        <v>39</v>
      </c>
      <c r="T12548" s="29" t="str">
        <f>HYPERLINK("https://ictv.global/ictv/proposals/2023.002S.Arteriviridae_7sprenamed.zip","2023.002S.Arteriviridae_7sprenamed.zip")</f>
        <v>2023.002S.Arteriviridae_7sprenamed.zip</v>
      </c>
      <c r="U12548" s="29" t="str">
        <f>HYPERLINK("https://ictv.global/taxonomy/taxondetails?taxnode_id=202301840","ictv.global=202301840")</f>
        <v>ictv.global=202301840</v>
      </c>
    </row>
    <row r="12549" spans="1:21">
      <c r="A12549">
        <v>12548</v>
      </c>
      <c r="B12549" s="30" t="s">
        <v>1226</v>
      </c>
      <c r="D12549" s="30" t="s">
        <v>2024</v>
      </c>
      <c r="F12549" s="30" t="s">
        <v>2074</v>
      </c>
      <c r="H12549" s="30" t="s">
        <v>2077</v>
      </c>
      <c r="J12549" s="30" t="s">
        <v>377</v>
      </c>
      <c r="K12549" s="30" t="s">
        <v>1091</v>
      </c>
      <c r="L12549" s="30" t="s">
        <v>378</v>
      </c>
      <c r="M12549" s="30" t="s">
        <v>1101</v>
      </c>
      <c r="N12549" s="30" t="s">
        <v>1111</v>
      </c>
      <c r="O12549" s="30" t="s">
        <v>1118</v>
      </c>
      <c r="P12549" s="30" t="s">
        <v>1119</v>
      </c>
      <c r="Q12549" t="s">
        <v>621</v>
      </c>
      <c r="R12549" t="s">
        <v>919</v>
      </c>
      <c r="S12549">
        <v>35</v>
      </c>
      <c r="T12549" s="29" t="str">
        <f>HYPERLINK("https://ictv.global/ictv/proposals/2019.006G.zip","2019.006G.zip")</f>
        <v>2019.006G.zip</v>
      </c>
      <c r="U12549" s="29" t="str">
        <f>HYPERLINK("https://ictv.global/taxonomy/taxondetails?taxnode_id=202301836","ictv.global=202301836")</f>
        <v>ictv.global=202301836</v>
      </c>
    </row>
    <row r="12550" spans="1:21">
      <c r="A12550">
        <v>12549</v>
      </c>
      <c r="B12550" s="30" t="s">
        <v>1226</v>
      </c>
      <c r="D12550" s="30" t="s">
        <v>2024</v>
      </c>
      <c r="F12550" s="30" t="s">
        <v>2074</v>
      </c>
      <c r="H12550" s="30" t="s">
        <v>2077</v>
      </c>
      <c r="J12550" s="30" t="s">
        <v>377</v>
      </c>
      <c r="K12550" s="30" t="s">
        <v>1091</v>
      </c>
      <c r="L12550" s="30" t="s">
        <v>378</v>
      </c>
      <c r="M12550" s="30" t="s">
        <v>1101</v>
      </c>
      <c r="N12550" s="30" t="s">
        <v>1111</v>
      </c>
      <c r="O12550" s="30" t="s">
        <v>1112</v>
      </c>
      <c r="P12550" s="30" t="s">
        <v>17651</v>
      </c>
      <c r="Q12550" t="s">
        <v>621</v>
      </c>
      <c r="R12550" t="s">
        <v>920</v>
      </c>
      <c r="S12550">
        <v>39</v>
      </c>
      <c r="T12550" s="29" t="str">
        <f>HYPERLINK("https://ictv.global/ictv/proposals/2023.002S.Arteriviridae_7sprenamed.zip","2023.002S.Arteriviridae_7sprenamed.zip")</f>
        <v>2023.002S.Arteriviridae_7sprenamed.zip</v>
      </c>
      <c r="U12550" s="29" t="str">
        <f>HYPERLINK("https://ictv.global/taxonomy/taxondetails?taxnode_id=202301841","ictv.global=202301841")</f>
        <v>ictv.global=202301841</v>
      </c>
    </row>
    <row r="12551" spans="1:21">
      <c r="A12551">
        <v>12550</v>
      </c>
      <c r="B12551" s="30" t="s">
        <v>1226</v>
      </c>
      <c r="D12551" s="30" t="s">
        <v>2024</v>
      </c>
      <c r="F12551" s="30" t="s">
        <v>2074</v>
      </c>
      <c r="H12551" s="30" t="s">
        <v>2077</v>
      </c>
      <c r="J12551" s="30" t="s">
        <v>377</v>
      </c>
      <c r="K12551" s="30" t="s">
        <v>1091</v>
      </c>
      <c r="L12551" s="30" t="s">
        <v>378</v>
      </c>
      <c r="M12551" s="30" t="s">
        <v>1101</v>
      </c>
      <c r="N12551" s="30" t="s">
        <v>1111</v>
      </c>
      <c r="O12551" s="30" t="s">
        <v>3798</v>
      </c>
      <c r="P12551" s="30" t="s">
        <v>2078</v>
      </c>
      <c r="Q12551" t="s">
        <v>621</v>
      </c>
      <c r="R12551" t="s">
        <v>919</v>
      </c>
      <c r="S12551">
        <v>36</v>
      </c>
      <c r="T12551" s="29" t="str">
        <f>HYPERLINK("https://ictv.global/ictv/proposals/2020.014S.R.Arteriviridae_corr.zip","2020.014S.R.Arteriviridae_corr.zip")</f>
        <v>2020.014S.R.Arteriviridae_corr.zip</v>
      </c>
      <c r="U12551" s="29" t="str">
        <f>HYPERLINK("https://ictv.global/taxonomy/taxondetails?taxnode_id=202301843","ictv.global=202301843")</f>
        <v>ictv.global=202301843</v>
      </c>
    </row>
    <row r="12552" spans="1:21">
      <c r="A12552">
        <v>12551</v>
      </c>
      <c r="B12552" s="30" t="s">
        <v>1226</v>
      </c>
      <c r="D12552" s="30" t="s">
        <v>2024</v>
      </c>
      <c r="F12552" s="30" t="s">
        <v>2074</v>
      </c>
      <c r="H12552" s="30" t="s">
        <v>2077</v>
      </c>
      <c r="J12552" s="30" t="s">
        <v>377</v>
      </c>
      <c r="K12552" s="30" t="s">
        <v>1091</v>
      </c>
      <c r="L12552" s="30" t="s">
        <v>378</v>
      </c>
      <c r="M12552" s="30" t="s">
        <v>1101</v>
      </c>
      <c r="N12552" s="30" t="s">
        <v>1113</v>
      </c>
      <c r="O12552" s="30" t="s">
        <v>1120</v>
      </c>
      <c r="P12552" s="30" t="s">
        <v>1121</v>
      </c>
      <c r="Q12552" t="s">
        <v>621</v>
      </c>
      <c r="R12552" t="s">
        <v>919</v>
      </c>
      <c r="S12552">
        <v>35</v>
      </c>
      <c r="T12552" s="29" t="str">
        <f>HYPERLINK("https://ictv.global/ictv/proposals/2019.006G.zip","2019.006G.zip")</f>
        <v>2019.006G.zip</v>
      </c>
      <c r="U12552" s="29" t="str">
        <f>HYPERLINK("https://ictv.global/taxonomy/taxondetails?taxnode_id=202301838","ictv.global=202301838")</f>
        <v>ictv.global=202301838</v>
      </c>
    </row>
    <row r="12553" spans="1:21">
      <c r="A12553">
        <v>12552</v>
      </c>
      <c r="B12553" s="30" t="s">
        <v>1226</v>
      </c>
      <c r="D12553" s="30" t="s">
        <v>2024</v>
      </c>
      <c r="F12553" s="30" t="s">
        <v>2074</v>
      </c>
      <c r="H12553" s="30" t="s">
        <v>2077</v>
      </c>
      <c r="J12553" s="30" t="s">
        <v>377</v>
      </c>
      <c r="K12553" s="30" t="s">
        <v>1091</v>
      </c>
      <c r="L12553" s="30" t="s">
        <v>378</v>
      </c>
      <c r="M12553" s="30" t="s">
        <v>1101</v>
      </c>
      <c r="N12553" s="30" t="s">
        <v>1113</v>
      </c>
      <c r="O12553" s="30" t="s">
        <v>1114</v>
      </c>
      <c r="P12553" s="30" t="s">
        <v>17652</v>
      </c>
      <c r="Q12553" t="s">
        <v>621</v>
      </c>
      <c r="R12553" t="s">
        <v>920</v>
      </c>
      <c r="S12553">
        <v>39</v>
      </c>
      <c r="T12553" s="29" t="str">
        <f>HYPERLINK("https://ictv.global/ictv/proposals/2023.002S.Arteriviridae_7sprenamed.zip","2023.002S.Arteriviridae_7sprenamed.zip")</f>
        <v>2023.002S.Arteriviridae_7sprenamed.zip</v>
      </c>
      <c r="U12553" s="29" t="str">
        <f>HYPERLINK("https://ictv.global/taxonomy/taxondetails?taxnode_id=202301842","ictv.global=202301842")</f>
        <v>ictv.global=202301842</v>
      </c>
    </row>
    <row r="12554" spans="1:21">
      <c r="A12554">
        <v>12553</v>
      </c>
      <c r="B12554" s="30" t="s">
        <v>1226</v>
      </c>
      <c r="D12554" s="30" t="s">
        <v>2024</v>
      </c>
      <c r="F12554" s="30" t="s">
        <v>2074</v>
      </c>
      <c r="H12554" s="30" t="s">
        <v>2077</v>
      </c>
      <c r="J12554" s="30" t="s">
        <v>377</v>
      </c>
      <c r="K12554" s="30" t="s">
        <v>1091</v>
      </c>
      <c r="L12554" s="30" t="s">
        <v>378</v>
      </c>
      <c r="M12554" s="30" t="s">
        <v>1101</v>
      </c>
      <c r="N12554" s="30" t="s">
        <v>1127</v>
      </c>
      <c r="P12554" s="30" t="s">
        <v>17653</v>
      </c>
      <c r="Q12554" t="s">
        <v>621</v>
      </c>
      <c r="R12554" t="s">
        <v>920</v>
      </c>
      <c r="S12554">
        <v>39</v>
      </c>
      <c r="T12554" s="29" t="str">
        <f>HYPERLINK("https://ictv.global/ictv/proposals/2023.002S.Arteriviridae_7sprenamed.zip","2023.002S.Arteriviridae_7sprenamed.zip")</f>
        <v>2023.002S.Arteriviridae_7sprenamed.zip</v>
      </c>
      <c r="U12554" s="29" t="str">
        <f>HYPERLINK("https://ictv.global/taxonomy/taxondetails?taxnode_id=202301839","ictv.global=202301839")</f>
        <v>ictv.global=202301839</v>
      </c>
    </row>
    <row r="12555" spans="1:21">
      <c r="A12555">
        <v>12554</v>
      </c>
      <c r="B12555" s="30" t="s">
        <v>1226</v>
      </c>
      <c r="D12555" s="30" t="s">
        <v>2024</v>
      </c>
      <c r="F12555" s="30" t="s">
        <v>2074</v>
      </c>
      <c r="H12555" s="30" t="s">
        <v>2077</v>
      </c>
      <c r="J12555" s="30" t="s">
        <v>377</v>
      </c>
      <c r="K12555" s="30" t="s">
        <v>1091</v>
      </c>
      <c r="L12555" s="30" t="s">
        <v>378</v>
      </c>
      <c r="M12555" s="30" t="s">
        <v>1115</v>
      </c>
      <c r="N12555" s="30" t="s">
        <v>1116</v>
      </c>
      <c r="O12555" s="30" t="s">
        <v>1117</v>
      </c>
      <c r="P12555" s="30" t="s">
        <v>17654</v>
      </c>
      <c r="Q12555" t="s">
        <v>621</v>
      </c>
      <c r="R12555" t="s">
        <v>920</v>
      </c>
      <c r="S12555">
        <v>39</v>
      </c>
      <c r="T12555" s="29" t="str">
        <f>HYPERLINK("https://ictv.global/ictv/proposals/2023.002S.Arteriviridae_7sprenamed.zip","2023.002S.Arteriviridae_7sprenamed.zip")</f>
        <v>2023.002S.Arteriviridae_7sprenamed.zip</v>
      </c>
      <c r="U12555" s="29" t="str">
        <f>HYPERLINK("https://ictv.global/taxonomy/taxondetails?taxnode_id=202301833","ictv.global=202301833")</f>
        <v>ictv.global=202301833</v>
      </c>
    </row>
    <row r="12556" spans="1:21">
      <c r="A12556">
        <v>12555</v>
      </c>
      <c r="B12556" s="30" t="s">
        <v>1226</v>
      </c>
      <c r="D12556" s="30" t="s">
        <v>2024</v>
      </c>
      <c r="F12556" s="30" t="s">
        <v>2074</v>
      </c>
      <c r="H12556" s="30" t="s">
        <v>2077</v>
      </c>
      <c r="J12556" s="30" t="s">
        <v>377</v>
      </c>
      <c r="K12556" s="30" t="s">
        <v>1091</v>
      </c>
      <c r="L12556" s="30" t="s">
        <v>378</v>
      </c>
      <c r="M12556" s="30" t="s">
        <v>1115</v>
      </c>
      <c r="N12556" s="30" t="s">
        <v>1116</v>
      </c>
      <c r="O12556" s="30" t="s">
        <v>1132</v>
      </c>
      <c r="P12556" s="30" t="s">
        <v>17655</v>
      </c>
      <c r="Q12556" t="s">
        <v>621</v>
      </c>
      <c r="R12556" t="s">
        <v>920</v>
      </c>
      <c r="S12556">
        <v>39</v>
      </c>
      <c r="T12556" s="29" t="str">
        <f>HYPERLINK("https://ictv.global/ictv/proposals/2023.002S.Arteriviridae_7sprenamed.zip","2023.002S.Arteriviridae_7sprenamed.zip")</f>
        <v>2023.002S.Arteriviridae_7sprenamed.zip</v>
      </c>
      <c r="U12556" s="29" t="str">
        <f>HYPERLINK("https://ictv.global/taxonomy/taxondetails?taxnode_id=202301834","ictv.global=202301834")</f>
        <v>ictv.global=202301834</v>
      </c>
    </row>
    <row r="12557" spans="1:21">
      <c r="A12557">
        <v>12556</v>
      </c>
      <c r="B12557" s="30" t="s">
        <v>1226</v>
      </c>
      <c r="D12557" s="30" t="s">
        <v>2024</v>
      </c>
      <c r="F12557" s="30" t="s">
        <v>2074</v>
      </c>
      <c r="H12557" s="30" t="s">
        <v>2077</v>
      </c>
      <c r="J12557" s="30" t="s">
        <v>377</v>
      </c>
      <c r="K12557" s="30" t="s">
        <v>1091</v>
      </c>
      <c r="L12557" s="30" t="s">
        <v>378</v>
      </c>
      <c r="M12557" s="30" t="s">
        <v>1115</v>
      </c>
      <c r="N12557" s="30" t="s">
        <v>1116</v>
      </c>
      <c r="O12557" s="30" t="s">
        <v>1132</v>
      </c>
      <c r="P12557" s="30" t="s">
        <v>1133</v>
      </c>
      <c r="Q12557" t="s">
        <v>621</v>
      </c>
      <c r="R12557" t="s">
        <v>919</v>
      </c>
      <c r="S12557">
        <v>35</v>
      </c>
      <c r="T12557" s="29" t="str">
        <f>HYPERLINK("https://ictv.global/ictv/proposals/2019.006G.zip","2019.006G.zip")</f>
        <v>2019.006G.zip</v>
      </c>
      <c r="U12557" s="29" t="str">
        <f>HYPERLINK("https://ictv.global/taxonomy/taxondetails?taxnode_id=202306090","ictv.global=202306090")</f>
        <v>ictv.global=202306090</v>
      </c>
    </row>
    <row r="12558" spans="1:21">
      <c r="A12558">
        <v>12557</v>
      </c>
      <c r="B12558" s="30" t="s">
        <v>1226</v>
      </c>
      <c r="D12558" s="30" t="s">
        <v>2024</v>
      </c>
      <c r="F12558" s="30" t="s">
        <v>2074</v>
      </c>
      <c r="H12558" s="30" t="s">
        <v>2077</v>
      </c>
      <c r="J12558" s="30" t="s">
        <v>377</v>
      </c>
      <c r="K12558" s="30" t="s">
        <v>1091</v>
      </c>
      <c r="L12558" s="30" t="s">
        <v>378</v>
      </c>
      <c r="M12558" s="30" t="s">
        <v>1115</v>
      </c>
      <c r="N12558" s="30" t="s">
        <v>1116</v>
      </c>
      <c r="O12558" s="30" t="s">
        <v>1132</v>
      </c>
      <c r="P12558" s="30" t="s">
        <v>2079</v>
      </c>
      <c r="Q12558" t="s">
        <v>621</v>
      </c>
      <c r="R12558" t="s">
        <v>917</v>
      </c>
      <c r="S12558">
        <v>35</v>
      </c>
      <c r="T12558" s="29" t="str">
        <f>HYPERLINK("https://ictv.global/ictv/proposals/2019.020S-023S.zip","2019.020S-023S.zip")</f>
        <v>2019.020S-023S.zip</v>
      </c>
      <c r="U12558" s="29" t="str">
        <f>HYPERLINK("https://ictv.global/taxonomy/taxondetails?taxnode_id=202307464","ictv.global=202307464")</f>
        <v>ictv.global=202307464</v>
      </c>
    </row>
    <row r="12559" spans="1:21">
      <c r="A12559">
        <v>12558</v>
      </c>
      <c r="B12559" s="30" t="s">
        <v>1226</v>
      </c>
      <c r="D12559" s="30" t="s">
        <v>2024</v>
      </c>
      <c r="F12559" s="30" t="s">
        <v>2074</v>
      </c>
      <c r="H12559" s="30" t="s">
        <v>2077</v>
      </c>
      <c r="J12559" s="30" t="s">
        <v>377</v>
      </c>
      <c r="K12559" s="30" t="s">
        <v>1091</v>
      </c>
      <c r="L12559" s="30" t="s">
        <v>378</v>
      </c>
      <c r="M12559" s="30" t="s">
        <v>1115</v>
      </c>
      <c r="N12559" s="30" t="s">
        <v>1116</v>
      </c>
      <c r="O12559" s="30" t="s">
        <v>1134</v>
      </c>
      <c r="P12559" s="30" t="s">
        <v>17656</v>
      </c>
      <c r="Q12559" t="s">
        <v>621</v>
      </c>
      <c r="R12559" t="s">
        <v>920</v>
      </c>
      <c r="S12559">
        <v>39</v>
      </c>
      <c r="T12559" s="29" t="str">
        <f>HYPERLINK("https://ictv.global/ictv/proposals/2023.002S.Arteriviridae_7sprenamed.zip","2023.002S.Arteriviridae_7sprenamed.zip")</f>
        <v>2023.002S.Arteriviridae_7sprenamed.zip</v>
      </c>
      <c r="U12559" s="29" t="str">
        <f>HYPERLINK("https://ictv.global/taxonomy/taxondetails?taxnode_id=202301832","ictv.global=202301832")</f>
        <v>ictv.global=202301832</v>
      </c>
    </row>
    <row r="12560" spans="1:21">
      <c r="A12560">
        <v>12559</v>
      </c>
      <c r="B12560" s="30" t="s">
        <v>1226</v>
      </c>
      <c r="D12560" s="30" t="s">
        <v>2024</v>
      </c>
      <c r="F12560" s="30" t="s">
        <v>2074</v>
      </c>
      <c r="H12560" s="30" t="s">
        <v>2077</v>
      </c>
      <c r="J12560" s="30" t="s">
        <v>377</v>
      </c>
      <c r="K12560" s="30" t="s">
        <v>1091</v>
      </c>
      <c r="L12560" s="30" t="s">
        <v>378</v>
      </c>
      <c r="M12560" s="30" t="s">
        <v>1115</v>
      </c>
      <c r="N12560" s="30" t="s">
        <v>1116</v>
      </c>
      <c r="O12560" s="30" t="s">
        <v>3799</v>
      </c>
      <c r="P12560" s="30" t="s">
        <v>2080</v>
      </c>
      <c r="Q12560" t="s">
        <v>621</v>
      </c>
      <c r="R12560" t="s">
        <v>919</v>
      </c>
      <c r="S12560">
        <v>36</v>
      </c>
      <c r="T12560" s="29" t="str">
        <f>HYPERLINK("https://ictv.global/ictv/proposals/2020.014S.R.Arteriviridae_corr.zip","2020.014S.R.Arteriviridae_corr.zip")</f>
        <v>2020.014S.R.Arteriviridae_corr.zip</v>
      </c>
      <c r="U12560" s="29" t="str">
        <f>HYPERLINK("https://ictv.global/taxonomy/taxondetails?taxnode_id=202307466","ictv.global=202307466")</f>
        <v>ictv.global=202307466</v>
      </c>
    </row>
    <row r="12561" spans="1:21">
      <c r="A12561">
        <v>12560</v>
      </c>
      <c r="B12561" s="30" t="s">
        <v>1226</v>
      </c>
      <c r="D12561" s="30" t="s">
        <v>2024</v>
      </c>
      <c r="F12561" s="30" t="s">
        <v>2074</v>
      </c>
      <c r="H12561" s="30" t="s">
        <v>2077</v>
      </c>
      <c r="J12561" s="30" t="s">
        <v>377</v>
      </c>
      <c r="K12561" s="30" t="s">
        <v>1091</v>
      </c>
      <c r="L12561" s="30" t="s">
        <v>378</v>
      </c>
      <c r="M12561" s="30" t="s">
        <v>1115</v>
      </c>
      <c r="N12561" s="30" t="s">
        <v>1122</v>
      </c>
      <c r="P12561" s="30" t="s">
        <v>1123</v>
      </c>
      <c r="Q12561" t="s">
        <v>621</v>
      </c>
      <c r="R12561" t="s">
        <v>3894</v>
      </c>
      <c r="S12561">
        <v>36</v>
      </c>
      <c r="T12561" s="29" t="str">
        <f>HYPERLINK("https://ictv.global/ictv/proposals/2020.001G.R.Abolish_type_species.pdf","2020.001G.R.Abolish_type_species.pdf")</f>
        <v>2020.001G.R.Abolish_type_species.pdf</v>
      </c>
      <c r="U12561" s="29" t="str">
        <f>HYPERLINK("https://ictv.global/taxonomy/taxondetails?taxnode_id=202301831","ictv.global=202301831")</f>
        <v>ictv.global=202301831</v>
      </c>
    </row>
    <row r="12562" spans="1:21">
      <c r="A12562">
        <v>12561</v>
      </c>
      <c r="B12562" s="30" t="s">
        <v>1226</v>
      </c>
      <c r="D12562" s="30" t="s">
        <v>2024</v>
      </c>
      <c r="F12562" s="30" t="s">
        <v>2074</v>
      </c>
      <c r="H12562" s="30" t="s">
        <v>2077</v>
      </c>
      <c r="J12562" s="30" t="s">
        <v>377</v>
      </c>
      <c r="K12562" s="30" t="s">
        <v>1091</v>
      </c>
      <c r="L12562" s="30" t="s">
        <v>378</v>
      </c>
      <c r="M12562" s="30" t="s">
        <v>1115</v>
      </c>
      <c r="N12562" s="30" t="s">
        <v>2081</v>
      </c>
      <c r="P12562" s="30" t="s">
        <v>2082</v>
      </c>
      <c r="Q12562" t="s">
        <v>621</v>
      </c>
      <c r="R12562" t="s">
        <v>3894</v>
      </c>
      <c r="S12562">
        <v>36</v>
      </c>
      <c r="T12562" s="29" t="str">
        <f>HYPERLINK("https://ictv.global/ictv/proposals/2020.001G.R.Abolish_type_species.pdf","2020.001G.R.Abolish_type_species.pdf")</f>
        <v>2020.001G.R.Abolish_type_species.pdf</v>
      </c>
      <c r="U12562" s="29" t="str">
        <f>HYPERLINK("https://ictv.global/taxonomy/taxondetails?taxnode_id=202307468","ictv.global=202307468")</f>
        <v>ictv.global=202307468</v>
      </c>
    </row>
    <row r="12563" spans="1:21">
      <c r="A12563">
        <v>12562</v>
      </c>
      <c r="B12563" s="30" t="s">
        <v>1226</v>
      </c>
      <c r="D12563" s="30" t="s">
        <v>2024</v>
      </c>
      <c r="F12563" s="30" t="s">
        <v>2074</v>
      </c>
      <c r="H12563" s="30" t="s">
        <v>2077</v>
      </c>
      <c r="J12563" s="30" t="s">
        <v>377</v>
      </c>
      <c r="K12563" s="30" t="s">
        <v>1091</v>
      </c>
      <c r="L12563" s="30" t="s">
        <v>378</v>
      </c>
      <c r="M12563" s="30" t="s">
        <v>1124</v>
      </c>
      <c r="N12563" s="30" t="s">
        <v>1125</v>
      </c>
      <c r="P12563" s="30" t="s">
        <v>1126</v>
      </c>
      <c r="Q12563" t="s">
        <v>621</v>
      </c>
      <c r="R12563" t="s">
        <v>3894</v>
      </c>
      <c r="S12563">
        <v>36</v>
      </c>
      <c r="T12563" s="29" t="str">
        <f>HYPERLINK("https://ictv.global/ictv/proposals/2020.001G.R.Abolish_type_species.pdf","2020.001G.R.Abolish_type_species.pdf")</f>
        <v>2020.001G.R.Abolish_type_species.pdf</v>
      </c>
      <c r="U12563" s="29" t="str">
        <f>HYPERLINK("https://ictv.global/taxonomy/taxondetails?taxnode_id=202301825","ictv.global=202301825")</f>
        <v>ictv.global=202301825</v>
      </c>
    </row>
    <row r="12564" spans="1:21">
      <c r="A12564">
        <v>12563</v>
      </c>
      <c r="B12564" s="30" t="s">
        <v>1226</v>
      </c>
      <c r="D12564" s="30" t="s">
        <v>2024</v>
      </c>
      <c r="F12564" s="30" t="s">
        <v>2074</v>
      </c>
      <c r="H12564" s="30" t="s">
        <v>2077</v>
      </c>
      <c r="J12564" s="30" t="s">
        <v>377</v>
      </c>
      <c r="K12564" s="30" t="s">
        <v>1091</v>
      </c>
      <c r="L12564" s="30" t="s">
        <v>2083</v>
      </c>
      <c r="M12564" s="30" t="s">
        <v>10939</v>
      </c>
      <c r="N12564" s="30" t="s">
        <v>10940</v>
      </c>
      <c r="O12564" s="30" t="s">
        <v>10941</v>
      </c>
      <c r="P12564" s="30" t="s">
        <v>10942</v>
      </c>
      <c r="Q12564" t="s">
        <v>621</v>
      </c>
      <c r="R12564" t="s">
        <v>917</v>
      </c>
      <c r="S12564">
        <v>37</v>
      </c>
      <c r="T12564" s="29" t="str">
        <f>HYPERLINK("https://ictv.global/ictv/proposals/2021.005S.R.Nidovirales.zip","2021.005S.R.Nidovirales.zip")</f>
        <v>2021.005S.R.Nidovirales.zip</v>
      </c>
      <c r="U12564" s="29" t="str">
        <f>HYPERLINK("https://ictv.global/taxonomy/taxondetails?taxnode_id=202313927","ictv.global=202313927")</f>
        <v>ictv.global=202313927</v>
      </c>
    </row>
    <row r="12565" spans="1:21">
      <c r="A12565">
        <v>12564</v>
      </c>
      <c r="B12565" s="30" t="s">
        <v>1226</v>
      </c>
      <c r="D12565" s="30" t="s">
        <v>2024</v>
      </c>
      <c r="F12565" s="30" t="s">
        <v>2074</v>
      </c>
      <c r="H12565" s="30" t="s">
        <v>2077</v>
      </c>
      <c r="J12565" s="30" t="s">
        <v>377</v>
      </c>
      <c r="K12565" s="30" t="s">
        <v>1091</v>
      </c>
      <c r="L12565" s="30" t="s">
        <v>2083</v>
      </c>
      <c r="M12565" s="30" t="s">
        <v>2084</v>
      </c>
      <c r="N12565" s="30" t="s">
        <v>2085</v>
      </c>
      <c r="P12565" s="30" t="s">
        <v>17657</v>
      </c>
      <c r="Q12565" t="s">
        <v>621</v>
      </c>
      <c r="R12565" t="s">
        <v>920</v>
      </c>
      <c r="S12565">
        <v>39</v>
      </c>
      <c r="T12565" s="29" t="str">
        <f>HYPERLINK("https://ictv.global/ictv/proposals/2023.013S.Nidovirales_27sprenamed.zip","2023.013S.Nidovirales_27sprenamed.zip")</f>
        <v>2023.013S.Nidovirales_27sprenamed.zip</v>
      </c>
      <c r="U12565" s="29" t="str">
        <f>HYPERLINK("https://ictv.global/taxonomy/taxondetails?taxnode_id=202307480","ictv.global=202307480")</f>
        <v>ictv.global=202307480</v>
      </c>
    </row>
    <row r="12566" spans="1:21">
      <c r="A12566">
        <v>12565</v>
      </c>
      <c r="B12566" s="30" t="s">
        <v>1226</v>
      </c>
      <c r="D12566" s="30" t="s">
        <v>2024</v>
      </c>
      <c r="F12566" s="30" t="s">
        <v>2074</v>
      </c>
      <c r="H12566" s="30" t="s">
        <v>2077</v>
      </c>
      <c r="J12566" s="30" t="s">
        <v>377</v>
      </c>
      <c r="K12566" s="30" t="s">
        <v>1091</v>
      </c>
      <c r="L12566" s="30" t="s">
        <v>2086</v>
      </c>
      <c r="M12566" s="30" t="s">
        <v>2087</v>
      </c>
      <c r="N12566" s="30" t="s">
        <v>2088</v>
      </c>
      <c r="P12566" s="30" t="s">
        <v>17658</v>
      </c>
      <c r="Q12566" t="s">
        <v>621</v>
      </c>
      <c r="R12566" t="s">
        <v>920</v>
      </c>
      <c r="S12566">
        <v>39</v>
      </c>
      <c r="T12566" s="29" t="str">
        <f>HYPERLINK("https://ictv.global/ictv/proposals/2023.013S.Nidovirales_27sprenamed.zip","2023.013S.Nidovirales_27sprenamed.zip")</f>
        <v>2023.013S.Nidovirales_27sprenamed.zip</v>
      </c>
      <c r="U12566" s="29" t="str">
        <f>HYPERLINK("https://ictv.global/taxonomy/taxondetails?taxnode_id=202307476","ictv.global=202307476")</f>
        <v>ictv.global=202307476</v>
      </c>
    </row>
    <row r="12567" spans="1:21">
      <c r="A12567">
        <v>12566</v>
      </c>
      <c r="B12567" s="30" t="s">
        <v>1226</v>
      </c>
      <c r="D12567" s="30" t="s">
        <v>2024</v>
      </c>
      <c r="F12567" s="30" t="s">
        <v>2074</v>
      </c>
      <c r="H12567" s="30" t="s">
        <v>2077</v>
      </c>
      <c r="J12567" s="30" t="s">
        <v>377</v>
      </c>
      <c r="K12567" s="30" t="s">
        <v>1091</v>
      </c>
      <c r="L12567" s="30" t="s">
        <v>2089</v>
      </c>
      <c r="M12567" s="30" t="s">
        <v>2090</v>
      </c>
      <c r="N12567" s="30" t="s">
        <v>2091</v>
      </c>
      <c r="P12567" s="30" t="s">
        <v>17659</v>
      </c>
      <c r="Q12567" t="s">
        <v>621</v>
      </c>
      <c r="R12567" t="s">
        <v>920</v>
      </c>
      <c r="S12567">
        <v>39</v>
      </c>
      <c r="T12567" s="29" t="str">
        <f>HYPERLINK("https://ictv.global/ictv/proposals/2023.013S.Nidovirales_27sprenamed.zip","2023.013S.Nidovirales_27sprenamed.zip")</f>
        <v>2023.013S.Nidovirales_27sprenamed.zip</v>
      </c>
      <c r="U12567" s="29" t="str">
        <f>HYPERLINK("https://ictv.global/taxonomy/taxondetails?taxnode_id=202307472","ictv.global=202307472")</f>
        <v>ictv.global=202307472</v>
      </c>
    </row>
    <row r="12568" spans="1:21">
      <c r="A12568">
        <v>12567</v>
      </c>
      <c r="B12568" s="30" t="s">
        <v>1226</v>
      </c>
      <c r="D12568" s="30" t="s">
        <v>2024</v>
      </c>
      <c r="F12568" s="30" t="s">
        <v>2074</v>
      </c>
      <c r="H12568" s="30" t="s">
        <v>2077</v>
      </c>
      <c r="J12568" s="30" t="s">
        <v>377</v>
      </c>
      <c r="K12568" s="30" t="s">
        <v>1128</v>
      </c>
      <c r="L12568" s="30" t="s">
        <v>361</v>
      </c>
      <c r="M12568" s="30" t="s">
        <v>1129</v>
      </c>
      <c r="N12568" s="30" t="s">
        <v>1130</v>
      </c>
      <c r="O12568" s="30" t="s">
        <v>1131</v>
      </c>
      <c r="P12568" s="30" t="s">
        <v>17660</v>
      </c>
      <c r="Q12568" t="s">
        <v>621</v>
      </c>
      <c r="R12568" t="s">
        <v>920</v>
      </c>
      <c r="S12568">
        <v>39</v>
      </c>
      <c r="T12568" s="29" t="str">
        <f t="shared" ref="T12568:T12599" si="524">HYPERLINK("https://ictv.global/ictv/proposals/2023.012S.Coronaviridae_54sprenamed-.zip","2023.012S.Coronaviridae_54sprenamed-.zip")</f>
        <v>2023.012S.Coronaviridae_54sprenamed-.zip</v>
      </c>
      <c r="U12568" s="29" t="str">
        <f>HYPERLINK("https://ictv.global/taxonomy/taxondetails?taxnode_id=202306140","ictv.global=202306140")</f>
        <v>ictv.global=202306140</v>
      </c>
    </row>
    <row r="12569" spans="1:21">
      <c r="A12569">
        <v>12568</v>
      </c>
      <c r="B12569" s="30" t="s">
        <v>1226</v>
      </c>
      <c r="D12569" s="30" t="s">
        <v>2024</v>
      </c>
      <c r="F12569" s="30" t="s">
        <v>2074</v>
      </c>
      <c r="H12569" s="30" t="s">
        <v>2077</v>
      </c>
      <c r="J12569" s="30" t="s">
        <v>377</v>
      </c>
      <c r="K12569" s="30" t="s">
        <v>1128</v>
      </c>
      <c r="L12569" s="30" t="s">
        <v>361</v>
      </c>
      <c r="M12569" s="30" t="s">
        <v>1135</v>
      </c>
      <c r="N12569" s="30" t="s">
        <v>441</v>
      </c>
      <c r="O12569" s="30" t="s">
        <v>10943</v>
      </c>
      <c r="P12569" s="30" t="s">
        <v>17661</v>
      </c>
      <c r="Q12569" t="s">
        <v>621</v>
      </c>
      <c r="R12569" t="s">
        <v>920</v>
      </c>
      <c r="S12569">
        <v>39</v>
      </c>
      <c r="T12569" s="29" t="str">
        <f t="shared" si="524"/>
        <v>2023.012S.Coronaviridae_54sprenamed-.zip</v>
      </c>
      <c r="U12569" s="29" t="str">
        <f>HYPERLINK("https://ictv.global/taxonomy/taxondetails?taxnode_id=202313903","ictv.global=202313903")</f>
        <v>ictv.global=202313903</v>
      </c>
    </row>
    <row r="12570" spans="1:21">
      <c r="A12570">
        <v>12569</v>
      </c>
      <c r="B12570" s="30" t="s">
        <v>1226</v>
      </c>
      <c r="D12570" s="30" t="s">
        <v>2024</v>
      </c>
      <c r="F12570" s="30" t="s">
        <v>2074</v>
      </c>
      <c r="H12570" s="30" t="s">
        <v>2077</v>
      </c>
      <c r="J12570" s="30" t="s">
        <v>377</v>
      </c>
      <c r="K12570" s="30" t="s">
        <v>1128</v>
      </c>
      <c r="L12570" s="30" t="s">
        <v>361</v>
      </c>
      <c r="M12570" s="30" t="s">
        <v>1135</v>
      </c>
      <c r="N12570" s="30" t="s">
        <v>441</v>
      </c>
      <c r="O12570" s="30" t="s">
        <v>1136</v>
      </c>
      <c r="P12570" s="30" t="s">
        <v>17662</v>
      </c>
      <c r="Q12570" t="s">
        <v>621</v>
      </c>
      <c r="R12570" t="s">
        <v>920</v>
      </c>
      <c r="S12570">
        <v>39</v>
      </c>
      <c r="T12570" s="29" t="str">
        <f t="shared" si="524"/>
        <v>2023.012S.Coronaviridae_54sprenamed-.zip</v>
      </c>
      <c r="U12570" s="29" t="str">
        <f>HYPERLINK("https://ictv.global/taxonomy/taxondetails?taxnode_id=202301850","ictv.global=202301850")</f>
        <v>ictv.global=202301850</v>
      </c>
    </row>
    <row r="12571" spans="1:21">
      <c r="A12571">
        <v>12570</v>
      </c>
      <c r="B12571" s="30" t="s">
        <v>1226</v>
      </c>
      <c r="D12571" s="30" t="s">
        <v>2024</v>
      </c>
      <c r="F12571" s="30" t="s">
        <v>2074</v>
      </c>
      <c r="H12571" s="30" t="s">
        <v>2077</v>
      </c>
      <c r="J12571" s="30" t="s">
        <v>377</v>
      </c>
      <c r="K12571" s="30" t="s">
        <v>1128</v>
      </c>
      <c r="L12571" s="30" t="s">
        <v>361</v>
      </c>
      <c r="M12571" s="30" t="s">
        <v>1135</v>
      </c>
      <c r="N12571" s="30" t="s">
        <v>441</v>
      </c>
      <c r="O12571" s="30" t="s">
        <v>1141</v>
      </c>
      <c r="P12571" s="30" t="s">
        <v>17663</v>
      </c>
      <c r="Q12571" t="s">
        <v>621</v>
      </c>
      <c r="R12571" t="s">
        <v>920</v>
      </c>
      <c r="S12571">
        <v>39</v>
      </c>
      <c r="T12571" s="29" t="str">
        <f t="shared" si="524"/>
        <v>2023.012S.Coronaviridae_54sprenamed-.zip</v>
      </c>
      <c r="U12571" s="29" t="str">
        <f>HYPERLINK("https://ictv.global/taxonomy/taxondetails?taxnode_id=202313899","ictv.global=202313899")</f>
        <v>ictv.global=202313899</v>
      </c>
    </row>
    <row r="12572" spans="1:21">
      <c r="A12572">
        <v>12571</v>
      </c>
      <c r="B12572" s="30" t="s">
        <v>1226</v>
      </c>
      <c r="D12572" s="30" t="s">
        <v>2024</v>
      </c>
      <c r="F12572" s="30" t="s">
        <v>2074</v>
      </c>
      <c r="H12572" s="30" t="s">
        <v>2077</v>
      </c>
      <c r="J12572" s="30" t="s">
        <v>377</v>
      </c>
      <c r="K12572" s="30" t="s">
        <v>1128</v>
      </c>
      <c r="L12572" s="30" t="s">
        <v>361</v>
      </c>
      <c r="M12572" s="30" t="s">
        <v>1135</v>
      </c>
      <c r="N12572" s="30" t="s">
        <v>441</v>
      </c>
      <c r="O12572" s="30" t="s">
        <v>1141</v>
      </c>
      <c r="P12572" s="30" t="s">
        <v>17664</v>
      </c>
      <c r="Q12572" t="s">
        <v>621</v>
      </c>
      <c r="R12572" t="s">
        <v>920</v>
      </c>
      <c r="S12572">
        <v>39</v>
      </c>
      <c r="T12572" s="29" t="str">
        <f t="shared" si="524"/>
        <v>2023.012S.Coronaviridae_54sprenamed-.zip</v>
      </c>
      <c r="U12572" s="29" t="str">
        <f>HYPERLINK("https://ictv.global/taxonomy/taxondetails?taxnode_id=202306109","ictv.global=202306109")</f>
        <v>ictv.global=202306109</v>
      </c>
    </row>
    <row r="12573" spans="1:21">
      <c r="A12573">
        <v>12572</v>
      </c>
      <c r="B12573" s="30" t="s">
        <v>1226</v>
      </c>
      <c r="D12573" s="30" t="s">
        <v>2024</v>
      </c>
      <c r="F12573" s="30" t="s">
        <v>2074</v>
      </c>
      <c r="H12573" s="30" t="s">
        <v>2077</v>
      </c>
      <c r="J12573" s="30" t="s">
        <v>377</v>
      </c>
      <c r="K12573" s="30" t="s">
        <v>1128</v>
      </c>
      <c r="L12573" s="30" t="s">
        <v>361</v>
      </c>
      <c r="M12573" s="30" t="s">
        <v>1135</v>
      </c>
      <c r="N12573" s="30" t="s">
        <v>441</v>
      </c>
      <c r="O12573" s="30" t="s">
        <v>1141</v>
      </c>
      <c r="P12573" s="30" t="s">
        <v>17665</v>
      </c>
      <c r="Q12573" t="s">
        <v>621</v>
      </c>
      <c r="R12573" t="s">
        <v>920</v>
      </c>
      <c r="S12573">
        <v>39</v>
      </c>
      <c r="T12573" s="29" t="str">
        <f t="shared" si="524"/>
        <v>2023.012S.Coronaviridae_54sprenamed-.zip</v>
      </c>
      <c r="U12573" s="29" t="str">
        <f>HYPERLINK("https://ictv.global/taxonomy/taxondetails?taxnode_id=202313898","ictv.global=202313898")</f>
        <v>ictv.global=202313898</v>
      </c>
    </row>
    <row r="12574" spans="1:21">
      <c r="A12574">
        <v>12573</v>
      </c>
      <c r="B12574" s="30" t="s">
        <v>1226</v>
      </c>
      <c r="D12574" s="30" t="s">
        <v>2024</v>
      </c>
      <c r="F12574" s="30" t="s">
        <v>2074</v>
      </c>
      <c r="H12574" s="30" t="s">
        <v>2077</v>
      </c>
      <c r="J12574" s="30" t="s">
        <v>377</v>
      </c>
      <c r="K12574" s="30" t="s">
        <v>1128</v>
      </c>
      <c r="L12574" s="30" t="s">
        <v>361</v>
      </c>
      <c r="M12574" s="30" t="s">
        <v>1135</v>
      </c>
      <c r="N12574" s="30" t="s">
        <v>441</v>
      </c>
      <c r="O12574" s="30" t="s">
        <v>1141</v>
      </c>
      <c r="P12574" s="30" t="s">
        <v>17666</v>
      </c>
      <c r="Q12574" t="s">
        <v>621</v>
      </c>
      <c r="R12574" t="s">
        <v>920</v>
      </c>
      <c r="S12574">
        <v>39</v>
      </c>
      <c r="T12574" s="29" t="str">
        <f t="shared" si="524"/>
        <v>2023.012S.Coronaviridae_54sprenamed-.zip</v>
      </c>
      <c r="U12574" s="29" t="str">
        <f>HYPERLINK("https://ictv.global/taxonomy/taxondetails?taxnode_id=202301851","ictv.global=202301851")</f>
        <v>ictv.global=202301851</v>
      </c>
    </row>
    <row r="12575" spans="1:21">
      <c r="A12575">
        <v>12574</v>
      </c>
      <c r="B12575" s="30" t="s">
        <v>1226</v>
      </c>
      <c r="D12575" s="30" t="s">
        <v>2024</v>
      </c>
      <c r="F12575" s="30" t="s">
        <v>2074</v>
      </c>
      <c r="H12575" s="30" t="s">
        <v>2077</v>
      </c>
      <c r="J12575" s="30" t="s">
        <v>377</v>
      </c>
      <c r="K12575" s="30" t="s">
        <v>1128</v>
      </c>
      <c r="L12575" s="30" t="s">
        <v>361</v>
      </c>
      <c r="M12575" s="30" t="s">
        <v>1135</v>
      </c>
      <c r="N12575" s="30" t="s">
        <v>441</v>
      </c>
      <c r="O12575" s="30" t="s">
        <v>1143</v>
      </c>
      <c r="P12575" s="30" t="s">
        <v>17667</v>
      </c>
      <c r="Q12575" t="s">
        <v>621</v>
      </c>
      <c r="R12575" t="s">
        <v>920</v>
      </c>
      <c r="S12575">
        <v>39</v>
      </c>
      <c r="T12575" s="29" t="str">
        <f t="shared" si="524"/>
        <v>2023.012S.Coronaviridae_54sprenamed-.zip</v>
      </c>
      <c r="U12575" s="29" t="str">
        <f>HYPERLINK("https://ictv.global/taxonomy/taxondetails?taxnode_id=202301852","ictv.global=202301852")</f>
        <v>ictv.global=202301852</v>
      </c>
    </row>
    <row r="12576" spans="1:21">
      <c r="A12576">
        <v>12575</v>
      </c>
      <c r="B12576" s="30" t="s">
        <v>1226</v>
      </c>
      <c r="D12576" s="30" t="s">
        <v>2024</v>
      </c>
      <c r="F12576" s="30" t="s">
        <v>2074</v>
      </c>
      <c r="H12576" s="30" t="s">
        <v>2077</v>
      </c>
      <c r="J12576" s="30" t="s">
        <v>377</v>
      </c>
      <c r="K12576" s="30" t="s">
        <v>1128</v>
      </c>
      <c r="L12576" s="30" t="s">
        <v>361</v>
      </c>
      <c r="M12576" s="30" t="s">
        <v>1135</v>
      </c>
      <c r="N12576" s="30" t="s">
        <v>441</v>
      </c>
      <c r="O12576" s="30" t="s">
        <v>1137</v>
      </c>
      <c r="P12576" s="30" t="s">
        <v>17668</v>
      </c>
      <c r="Q12576" t="s">
        <v>621</v>
      </c>
      <c r="R12576" t="s">
        <v>920</v>
      </c>
      <c r="S12576">
        <v>39</v>
      </c>
      <c r="T12576" s="29" t="str">
        <f t="shared" si="524"/>
        <v>2023.012S.Coronaviridae_54sprenamed-.zip</v>
      </c>
      <c r="U12576" s="29" t="str">
        <f>HYPERLINK("https://ictv.global/taxonomy/taxondetails?taxnode_id=202306122","ictv.global=202306122")</f>
        <v>ictv.global=202306122</v>
      </c>
    </row>
    <row r="12577" spans="1:21">
      <c r="A12577">
        <v>12576</v>
      </c>
      <c r="B12577" s="30" t="s">
        <v>1226</v>
      </c>
      <c r="D12577" s="30" t="s">
        <v>2024</v>
      </c>
      <c r="F12577" s="30" t="s">
        <v>2074</v>
      </c>
      <c r="H12577" s="30" t="s">
        <v>2077</v>
      </c>
      <c r="J12577" s="30" t="s">
        <v>377</v>
      </c>
      <c r="K12577" s="30" t="s">
        <v>1128</v>
      </c>
      <c r="L12577" s="30" t="s">
        <v>361</v>
      </c>
      <c r="M12577" s="30" t="s">
        <v>1135</v>
      </c>
      <c r="N12577" s="30" t="s">
        <v>441</v>
      </c>
      <c r="O12577" s="30" t="s">
        <v>1138</v>
      </c>
      <c r="P12577" s="30" t="s">
        <v>17669</v>
      </c>
      <c r="Q12577" t="s">
        <v>621</v>
      </c>
      <c r="R12577" t="s">
        <v>920</v>
      </c>
      <c r="S12577">
        <v>39</v>
      </c>
      <c r="T12577" s="29" t="str">
        <f t="shared" si="524"/>
        <v>2023.012S.Coronaviridae_54sprenamed-.zip</v>
      </c>
      <c r="U12577" s="29" t="str">
        <f>HYPERLINK("https://ictv.global/taxonomy/taxondetails?taxnode_id=202301856","ictv.global=202301856")</f>
        <v>ictv.global=202301856</v>
      </c>
    </row>
    <row r="12578" spans="1:21">
      <c r="A12578">
        <v>12577</v>
      </c>
      <c r="B12578" s="30" t="s">
        <v>1226</v>
      </c>
      <c r="D12578" s="30" t="s">
        <v>2024</v>
      </c>
      <c r="F12578" s="30" t="s">
        <v>2074</v>
      </c>
      <c r="H12578" s="30" t="s">
        <v>2077</v>
      </c>
      <c r="J12578" s="30" t="s">
        <v>377</v>
      </c>
      <c r="K12578" s="30" t="s">
        <v>1128</v>
      </c>
      <c r="L12578" s="30" t="s">
        <v>361</v>
      </c>
      <c r="M12578" s="30" t="s">
        <v>1135</v>
      </c>
      <c r="N12578" s="30" t="s">
        <v>441</v>
      </c>
      <c r="O12578" s="30" t="s">
        <v>1146</v>
      </c>
      <c r="P12578" s="30" t="s">
        <v>17670</v>
      </c>
      <c r="Q12578" t="s">
        <v>621</v>
      </c>
      <c r="R12578" t="s">
        <v>920</v>
      </c>
      <c r="S12578">
        <v>39</v>
      </c>
      <c r="T12578" s="29" t="str">
        <f t="shared" si="524"/>
        <v>2023.012S.Coronaviridae_54sprenamed-.zip</v>
      </c>
      <c r="U12578" s="29" t="str">
        <f>HYPERLINK("https://ictv.global/taxonomy/taxondetails?taxnode_id=202301855","ictv.global=202301855")</f>
        <v>ictv.global=202301855</v>
      </c>
    </row>
    <row r="12579" spans="1:21">
      <c r="A12579">
        <v>12578</v>
      </c>
      <c r="B12579" s="30" t="s">
        <v>1226</v>
      </c>
      <c r="D12579" s="30" t="s">
        <v>2024</v>
      </c>
      <c r="F12579" s="30" t="s">
        <v>2074</v>
      </c>
      <c r="H12579" s="30" t="s">
        <v>2077</v>
      </c>
      <c r="J12579" s="30" t="s">
        <v>377</v>
      </c>
      <c r="K12579" s="30" t="s">
        <v>1128</v>
      </c>
      <c r="L12579" s="30" t="s">
        <v>361</v>
      </c>
      <c r="M12579" s="30" t="s">
        <v>1135</v>
      </c>
      <c r="N12579" s="30" t="s">
        <v>441</v>
      </c>
      <c r="O12579" s="30" t="s">
        <v>1146</v>
      </c>
      <c r="P12579" s="30" t="s">
        <v>17671</v>
      </c>
      <c r="Q12579" t="s">
        <v>621</v>
      </c>
      <c r="R12579" t="s">
        <v>920</v>
      </c>
      <c r="S12579">
        <v>39</v>
      </c>
      <c r="T12579" s="29" t="str">
        <f t="shared" si="524"/>
        <v>2023.012S.Coronaviridae_54sprenamed-.zip</v>
      </c>
      <c r="U12579" s="29" t="str">
        <f>HYPERLINK("https://ictv.global/taxonomy/taxondetails?taxnode_id=202301854","ictv.global=202301854")</f>
        <v>ictv.global=202301854</v>
      </c>
    </row>
    <row r="12580" spans="1:21">
      <c r="A12580">
        <v>12579</v>
      </c>
      <c r="B12580" s="30" t="s">
        <v>1226</v>
      </c>
      <c r="D12580" s="30" t="s">
        <v>2024</v>
      </c>
      <c r="F12580" s="30" t="s">
        <v>2074</v>
      </c>
      <c r="H12580" s="30" t="s">
        <v>2077</v>
      </c>
      <c r="J12580" s="30" t="s">
        <v>377</v>
      </c>
      <c r="K12580" s="30" t="s">
        <v>1128</v>
      </c>
      <c r="L12580" s="30" t="s">
        <v>361</v>
      </c>
      <c r="M12580" s="30" t="s">
        <v>1135</v>
      </c>
      <c r="N12580" s="30" t="s">
        <v>441</v>
      </c>
      <c r="O12580" s="30" t="s">
        <v>1139</v>
      </c>
      <c r="P12580" s="30" t="s">
        <v>17672</v>
      </c>
      <c r="Q12580" t="s">
        <v>621</v>
      </c>
      <c r="R12580" t="s">
        <v>920</v>
      </c>
      <c r="S12580">
        <v>39</v>
      </c>
      <c r="T12580" s="29" t="str">
        <f t="shared" si="524"/>
        <v>2023.012S.Coronaviridae_54sprenamed-.zip</v>
      </c>
      <c r="U12580" s="29" t="str">
        <f>HYPERLINK("https://ictv.global/taxonomy/taxondetails?taxnode_id=202306119","ictv.global=202306119")</f>
        <v>ictv.global=202306119</v>
      </c>
    </row>
    <row r="12581" spans="1:21">
      <c r="A12581">
        <v>12580</v>
      </c>
      <c r="B12581" s="30" t="s">
        <v>1226</v>
      </c>
      <c r="D12581" s="30" t="s">
        <v>2024</v>
      </c>
      <c r="F12581" s="30" t="s">
        <v>2074</v>
      </c>
      <c r="H12581" s="30" t="s">
        <v>2077</v>
      </c>
      <c r="J12581" s="30" t="s">
        <v>377</v>
      </c>
      <c r="K12581" s="30" t="s">
        <v>1128</v>
      </c>
      <c r="L12581" s="30" t="s">
        <v>361</v>
      </c>
      <c r="M12581" s="30" t="s">
        <v>1135</v>
      </c>
      <c r="N12581" s="30" t="s">
        <v>441</v>
      </c>
      <c r="O12581" s="30" t="s">
        <v>1140</v>
      </c>
      <c r="P12581" s="30" t="s">
        <v>17673</v>
      </c>
      <c r="Q12581" t="s">
        <v>621</v>
      </c>
      <c r="R12581" t="s">
        <v>920</v>
      </c>
      <c r="S12581">
        <v>39</v>
      </c>
      <c r="T12581" s="29" t="str">
        <f t="shared" si="524"/>
        <v>2023.012S.Coronaviridae_54sprenamed-.zip</v>
      </c>
      <c r="U12581" s="29" t="str">
        <f>HYPERLINK("https://ictv.global/taxonomy/taxondetails?taxnode_id=202313900","ictv.global=202313900")</f>
        <v>ictv.global=202313900</v>
      </c>
    </row>
    <row r="12582" spans="1:21">
      <c r="A12582">
        <v>12581</v>
      </c>
      <c r="B12582" s="30" t="s">
        <v>1226</v>
      </c>
      <c r="D12582" s="30" t="s">
        <v>2024</v>
      </c>
      <c r="F12582" s="30" t="s">
        <v>2074</v>
      </c>
      <c r="H12582" s="30" t="s">
        <v>2077</v>
      </c>
      <c r="J12582" s="30" t="s">
        <v>377</v>
      </c>
      <c r="K12582" s="30" t="s">
        <v>1128</v>
      </c>
      <c r="L12582" s="30" t="s">
        <v>361</v>
      </c>
      <c r="M12582" s="30" t="s">
        <v>1135</v>
      </c>
      <c r="N12582" s="30" t="s">
        <v>441</v>
      </c>
      <c r="O12582" s="30" t="s">
        <v>1140</v>
      </c>
      <c r="P12582" s="30" t="s">
        <v>17674</v>
      </c>
      <c r="Q12582" t="s">
        <v>621</v>
      </c>
      <c r="R12582" t="s">
        <v>920</v>
      </c>
      <c r="S12582">
        <v>39</v>
      </c>
      <c r="T12582" s="29" t="str">
        <f t="shared" si="524"/>
        <v>2023.012S.Coronaviridae_54sprenamed-.zip</v>
      </c>
      <c r="U12582" s="29" t="str">
        <f>HYPERLINK("https://ictv.global/taxonomy/taxondetails?taxnode_id=202306120","ictv.global=202306120")</f>
        <v>ictv.global=202306120</v>
      </c>
    </row>
    <row r="12583" spans="1:21">
      <c r="A12583">
        <v>12582</v>
      </c>
      <c r="B12583" s="30" t="s">
        <v>1226</v>
      </c>
      <c r="D12583" s="30" t="s">
        <v>2024</v>
      </c>
      <c r="F12583" s="30" t="s">
        <v>2074</v>
      </c>
      <c r="H12583" s="30" t="s">
        <v>2077</v>
      </c>
      <c r="J12583" s="30" t="s">
        <v>377</v>
      </c>
      <c r="K12583" s="30" t="s">
        <v>1128</v>
      </c>
      <c r="L12583" s="30" t="s">
        <v>361</v>
      </c>
      <c r="M12583" s="30" t="s">
        <v>1135</v>
      </c>
      <c r="N12583" s="30" t="s">
        <v>441</v>
      </c>
      <c r="O12583" s="30" t="s">
        <v>1140</v>
      </c>
      <c r="P12583" s="30" t="s">
        <v>17675</v>
      </c>
      <c r="Q12583" t="s">
        <v>621</v>
      </c>
      <c r="R12583" t="s">
        <v>920</v>
      </c>
      <c r="S12583">
        <v>39</v>
      </c>
      <c r="T12583" s="29" t="str">
        <f t="shared" si="524"/>
        <v>2023.012S.Coronaviridae_54sprenamed-.zip</v>
      </c>
      <c r="U12583" s="29" t="str">
        <f>HYPERLINK("https://ictv.global/taxonomy/taxondetails?taxnode_id=202307490","ictv.global=202307490")</f>
        <v>ictv.global=202307490</v>
      </c>
    </row>
    <row r="12584" spans="1:21">
      <c r="A12584">
        <v>12583</v>
      </c>
      <c r="B12584" s="30" t="s">
        <v>1226</v>
      </c>
      <c r="D12584" s="30" t="s">
        <v>2024</v>
      </c>
      <c r="F12584" s="30" t="s">
        <v>2074</v>
      </c>
      <c r="H12584" s="30" t="s">
        <v>2077</v>
      </c>
      <c r="J12584" s="30" t="s">
        <v>377</v>
      </c>
      <c r="K12584" s="30" t="s">
        <v>1128</v>
      </c>
      <c r="L12584" s="30" t="s">
        <v>361</v>
      </c>
      <c r="M12584" s="30" t="s">
        <v>1135</v>
      </c>
      <c r="N12584" s="30" t="s">
        <v>441</v>
      </c>
      <c r="O12584" s="30" t="s">
        <v>1140</v>
      </c>
      <c r="P12584" s="30" t="s">
        <v>17676</v>
      </c>
      <c r="Q12584" t="s">
        <v>621</v>
      </c>
      <c r="R12584" t="s">
        <v>920</v>
      </c>
      <c r="S12584">
        <v>39</v>
      </c>
      <c r="T12584" s="29" t="str">
        <f t="shared" si="524"/>
        <v>2023.012S.Coronaviridae_54sprenamed-.zip</v>
      </c>
      <c r="U12584" s="29" t="str">
        <f>HYPERLINK("https://ictv.global/taxonomy/taxondetails?taxnode_id=202313901","ictv.global=202313901")</f>
        <v>ictv.global=202313901</v>
      </c>
    </row>
    <row r="12585" spans="1:21">
      <c r="A12585">
        <v>12584</v>
      </c>
      <c r="B12585" s="30" t="s">
        <v>1226</v>
      </c>
      <c r="D12585" s="30" t="s">
        <v>2024</v>
      </c>
      <c r="F12585" s="30" t="s">
        <v>2074</v>
      </c>
      <c r="H12585" s="30" t="s">
        <v>2077</v>
      </c>
      <c r="J12585" s="30" t="s">
        <v>377</v>
      </c>
      <c r="K12585" s="30" t="s">
        <v>1128</v>
      </c>
      <c r="L12585" s="30" t="s">
        <v>361</v>
      </c>
      <c r="M12585" s="30" t="s">
        <v>1135</v>
      </c>
      <c r="N12585" s="30" t="s">
        <v>441</v>
      </c>
      <c r="O12585" s="30" t="s">
        <v>1142</v>
      </c>
      <c r="P12585" s="30" t="s">
        <v>17677</v>
      </c>
      <c r="Q12585" t="s">
        <v>621</v>
      </c>
      <c r="R12585" t="s">
        <v>920</v>
      </c>
      <c r="S12585">
        <v>39</v>
      </c>
      <c r="T12585" s="29" t="str">
        <f t="shared" si="524"/>
        <v>2023.012S.Coronaviridae_54sprenamed-.zip</v>
      </c>
      <c r="U12585" s="29" t="str">
        <f>HYPERLINK("https://ictv.global/taxonomy/taxondetails?taxnode_id=202313897","ictv.global=202313897")</f>
        <v>ictv.global=202313897</v>
      </c>
    </row>
    <row r="12586" spans="1:21">
      <c r="A12586">
        <v>12585</v>
      </c>
      <c r="B12586" s="30" t="s">
        <v>1226</v>
      </c>
      <c r="D12586" s="30" t="s">
        <v>2024</v>
      </c>
      <c r="F12586" s="30" t="s">
        <v>2074</v>
      </c>
      <c r="H12586" s="30" t="s">
        <v>2077</v>
      </c>
      <c r="J12586" s="30" t="s">
        <v>377</v>
      </c>
      <c r="K12586" s="30" t="s">
        <v>1128</v>
      </c>
      <c r="L12586" s="30" t="s">
        <v>361</v>
      </c>
      <c r="M12586" s="30" t="s">
        <v>1135</v>
      </c>
      <c r="N12586" s="30" t="s">
        <v>441</v>
      </c>
      <c r="O12586" s="30" t="s">
        <v>1142</v>
      </c>
      <c r="P12586" s="30" t="s">
        <v>17678</v>
      </c>
      <c r="Q12586" t="s">
        <v>621</v>
      </c>
      <c r="R12586" t="s">
        <v>920</v>
      </c>
      <c r="S12586">
        <v>39</v>
      </c>
      <c r="T12586" s="29" t="str">
        <f t="shared" si="524"/>
        <v>2023.012S.Coronaviridae_54sprenamed-.zip</v>
      </c>
      <c r="U12586" s="29" t="str">
        <f>HYPERLINK("https://ictv.global/taxonomy/taxondetails?taxnode_id=202313896","ictv.global=202313896")</f>
        <v>ictv.global=202313896</v>
      </c>
    </row>
    <row r="12587" spans="1:21">
      <c r="A12587">
        <v>12586</v>
      </c>
      <c r="B12587" s="30" t="s">
        <v>1226</v>
      </c>
      <c r="D12587" s="30" t="s">
        <v>2024</v>
      </c>
      <c r="F12587" s="30" t="s">
        <v>2074</v>
      </c>
      <c r="H12587" s="30" t="s">
        <v>2077</v>
      </c>
      <c r="J12587" s="30" t="s">
        <v>377</v>
      </c>
      <c r="K12587" s="30" t="s">
        <v>1128</v>
      </c>
      <c r="L12587" s="30" t="s">
        <v>361</v>
      </c>
      <c r="M12587" s="30" t="s">
        <v>1135</v>
      </c>
      <c r="N12587" s="30" t="s">
        <v>441</v>
      </c>
      <c r="O12587" s="30" t="s">
        <v>1142</v>
      </c>
      <c r="P12587" s="30" t="s">
        <v>17679</v>
      </c>
      <c r="Q12587" t="s">
        <v>621</v>
      </c>
      <c r="R12587" t="s">
        <v>920</v>
      </c>
      <c r="S12587">
        <v>39</v>
      </c>
      <c r="T12587" s="29" t="str">
        <f t="shared" si="524"/>
        <v>2023.012S.Coronaviridae_54sprenamed-.zip</v>
      </c>
      <c r="U12587" s="29" t="str">
        <f>HYPERLINK("https://ictv.global/taxonomy/taxondetails?taxnode_id=202301857","ictv.global=202301857")</f>
        <v>ictv.global=202301857</v>
      </c>
    </row>
    <row r="12588" spans="1:21">
      <c r="A12588">
        <v>12587</v>
      </c>
      <c r="B12588" s="30" t="s">
        <v>1226</v>
      </c>
      <c r="D12588" s="30" t="s">
        <v>2024</v>
      </c>
      <c r="F12588" s="30" t="s">
        <v>2074</v>
      </c>
      <c r="H12588" s="30" t="s">
        <v>2077</v>
      </c>
      <c r="J12588" s="30" t="s">
        <v>377</v>
      </c>
      <c r="K12588" s="30" t="s">
        <v>1128</v>
      </c>
      <c r="L12588" s="30" t="s">
        <v>361</v>
      </c>
      <c r="M12588" s="30" t="s">
        <v>1135</v>
      </c>
      <c r="N12588" s="30" t="s">
        <v>441</v>
      </c>
      <c r="O12588" s="30" t="s">
        <v>1142</v>
      </c>
      <c r="P12588" s="30" t="s">
        <v>17680</v>
      </c>
      <c r="Q12588" t="s">
        <v>621</v>
      </c>
      <c r="R12588" t="s">
        <v>920</v>
      </c>
      <c r="S12588">
        <v>39</v>
      </c>
      <c r="T12588" s="29" t="str">
        <f t="shared" si="524"/>
        <v>2023.012S.Coronaviridae_54sprenamed-.zip</v>
      </c>
      <c r="U12588" s="29" t="str">
        <f>HYPERLINK("https://ictv.global/taxonomy/taxondetails?taxnode_id=202301859","ictv.global=202301859")</f>
        <v>ictv.global=202301859</v>
      </c>
    </row>
    <row r="12589" spans="1:21">
      <c r="A12589">
        <v>12588</v>
      </c>
      <c r="B12589" s="30" t="s">
        <v>1226</v>
      </c>
      <c r="D12589" s="30" t="s">
        <v>2024</v>
      </c>
      <c r="F12589" s="30" t="s">
        <v>2074</v>
      </c>
      <c r="H12589" s="30" t="s">
        <v>2077</v>
      </c>
      <c r="J12589" s="30" t="s">
        <v>377</v>
      </c>
      <c r="K12589" s="30" t="s">
        <v>1128</v>
      </c>
      <c r="L12589" s="30" t="s">
        <v>361</v>
      </c>
      <c r="M12589" s="30" t="s">
        <v>1135</v>
      </c>
      <c r="N12589" s="30" t="s">
        <v>441</v>
      </c>
      <c r="O12589" s="30" t="s">
        <v>1144</v>
      </c>
      <c r="P12589" s="30" t="s">
        <v>17681</v>
      </c>
      <c r="Q12589" t="s">
        <v>621</v>
      </c>
      <c r="R12589" t="s">
        <v>920</v>
      </c>
      <c r="S12589">
        <v>39</v>
      </c>
      <c r="T12589" s="29" t="str">
        <f t="shared" si="524"/>
        <v>2023.012S.Coronaviridae_54sprenamed-.zip</v>
      </c>
      <c r="U12589" s="29" t="str">
        <f>HYPERLINK("https://ictv.global/taxonomy/taxondetails?taxnode_id=202301858","ictv.global=202301858")</f>
        <v>ictv.global=202301858</v>
      </c>
    </row>
    <row r="12590" spans="1:21">
      <c r="A12590">
        <v>12589</v>
      </c>
      <c r="B12590" s="30" t="s">
        <v>1226</v>
      </c>
      <c r="D12590" s="30" t="s">
        <v>2024</v>
      </c>
      <c r="F12590" s="30" t="s">
        <v>2074</v>
      </c>
      <c r="H12590" s="30" t="s">
        <v>2077</v>
      </c>
      <c r="J12590" s="30" t="s">
        <v>377</v>
      </c>
      <c r="K12590" s="30" t="s">
        <v>1128</v>
      </c>
      <c r="L12590" s="30" t="s">
        <v>361</v>
      </c>
      <c r="M12590" s="30" t="s">
        <v>1135</v>
      </c>
      <c r="N12590" s="30" t="s">
        <v>441</v>
      </c>
      <c r="O12590" s="30" t="s">
        <v>1145</v>
      </c>
      <c r="P12590" s="30" t="s">
        <v>17682</v>
      </c>
      <c r="Q12590" t="s">
        <v>621</v>
      </c>
      <c r="R12590" t="s">
        <v>920</v>
      </c>
      <c r="S12590">
        <v>39</v>
      </c>
      <c r="T12590" s="29" t="str">
        <f t="shared" si="524"/>
        <v>2023.012S.Coronaviridae_54sprenamed-.zip</v>
      </c>
      <c r="U12590" s="29" t="str">
        <f>HYPERLINK("https://ictv.global/taxonomy/taxondetails?taxnode_id=202301853","ictv.global=202301853")</f>
        <v>ictv.global=202301853</v>
      </c>
    </row>
    <row r="12591" spans="1:21">
      <c r="A12591">
        <v>12590</v>
      </c>
      <c r="B12591" s="30" t="s">
        <v>1226</v>
      </c>
      <c r="D12591" s="30" t="s">
        <v>2024</v>
      </c>
      <c r="F12591" s="30" t="s">
        <v>2074</v>
      </c>
      <c r="H12591" s="30" t="s">
        <v>2077</v>
      </c>
      <c r="J12591" s="30" t="s">
        <v>377</v>
      </c>
      <c r="K12591" s="30" t="s">
        <v>1128</v>
      </c>
      <c r="L12591" s="30" t="s">
        <v>361</v>
      </c>
      <c r="M12591" s="30" t="s">
        <v>1135</v>
      </c>
      <c r="N12591" s="30" t="s">
        <v>441</v>
      </c>
      <c r="O12591" s="30" t="s">
        <v>1145</v>
      </c>
      <c r="P12591" s="30" t="s">
        <v>17683</v>
      </c>
      <c r="Q12591" t="s">
        <v>621</v>
      </c>
      <c r="R12591" t="s">
        <v>920</v>
      </c>
      <c r="S12591">
        <v>39</v>
      </c>
      <c r="T12591" s="29" t="str">
        <f t="shared" si="524"/>
        <v>2023.012S.Coronaviridae_54sprenamed-.zip</v>
      </c>
      <c r="U12591" s="29" t="str">
        <f>HYPERLINK("https://ictv.global/taxonomy/taxondetails?taxnode_id=202306112","ictv.global=202306112")</f>
        <v>ictv.global=202306112</v>
      </c>
    </row>
    <row r="12592" spans="1:21">
      <c r="A12592">
        <v>12591</v>
      </c>
      <c r="B12592" s="30" t="s">
        <v>1226</v>
      </c>
      <c r="D12592" s="30" t="s">
        <v>2024</v>
      </c>
      <c r="F12592" s="30" t="s">
        <v>2074</v>
      </c>
      <c r="H12592" s="30" t="s">
        <v>2077</v>
      </c>
      <c r="J12592" s="30" t="s">
        <v>377</v>
      </c>
      <c r="K12592" s="30" t="s">
        <v>1128</v>
      </c>
      <c r="L12592" s="30" t="s">
        <v>361</v>
      </c>
      <c r="M12592" s="30" t="s">
        <v>1135</v>
      </c>
      <c r="N12592" s="30" t="s">
        <v>441</v>
      </c>
      <c r="O12592" s="30" t="s">
        <v>2092</v>
      </c>
      <c r="P12592" s="30" t="s">
        <v>17684</v>
      </c>
      <c r="Q12592" t="s">
        <v>621</v>
      </c>
      <c r="R12592" t="s">
        <v>920</v>
      </c>
      <c r="S12592">
        <v>39</v>
      </c>
      <c r="T12592" s="29" t="str">
        <f t="shared" si="524"/>
        <v>2023.012S.Coronaviridae_54sprenamed-.zip</v>
      </c>
      <c r="U12592" s="29" t="str">
        <f>HYPERLINK("https://ictv.global/taxonomy/taxondetails?taxnode_id=202307494","ictv.global=202307494")</f>
        <v>ictv.global=202307494</v>
      </c>
    </row>
    <row r="12593" spans="1:21">
      <c r="A12593">
        <v>12592</v>
      </c>
      <c r="B12593" s="30" t="s">
        <v>1226</v>
      </c>
      <c r="D12593" s="30" t="s">
        <v>2024</v>
      </c>
      <c r="F12593" s="30" t="s">
        <v>2074</v>
      </c>
      <c r="H12593" s="30" t="s">
        <v>2077</v>
      </c>
      <c r="J12593" s="30" t="s">
        <v>377</v>
      </c>
      <c r="K12593" s="30" t="s">
        <v>1128</v>
      </c>
      <c r="L12593" s="30" t="s">
        <v>361</v>
      </c>
      <c r="M12593" s="30" t="s">
        <v>1135</v>
      </c>
      <c r="N12593" s="30" t="s">
        <v>441</v>
      </c>
      <c r="O12593" s="30" t="s">
        <v>2093</v>
      </c>
      <c r="P12593" s="30" t="s">
        <v>17685</v>
      </c>
      <c r="Q12593" t="s">
        <v>621</v>
      </c>
      <c r="R12593" t="s">
        <v>920</v>
      </c>
      <c r="S12593">
        <v>39</v>
      </c>
      <c r="T12593" s="29" t="str">
        <f t="shared" si="524"/>
        <v>2023.012S.Coronaviridae_54sprenamed-.zip</v>
      </c>
      <c r="U12593" s="29" t="str">
        <f>HYPERLINK("https://ictv.global/taxonomy/taxondetails?taxnode_id=202307492","ictv.global=202307492")</f>
        <v>ictv.global=202307492</v>
      </c>
    </row>
    <row r="12594" spans="1:21">
      <c r="A12594">
        <v>12593</v>
      </c>
      <c r="B12594" s="30" t="s">
        <v>1226</v>
      </c>
      <c r="D12594" s="30" t="s">
        <v>2024</v>
      </c>
      <c r="F12594" s="30" t="s">
        <v>2074</v>
      </c>
      <c r="H12594" s="30" t="s">
        <v>2077</v>
      </c>
      <c r="J12594" s="30" t="s">
        <v>377</v>
      </c>
      <c r="K12594" s="30" t="s">
        <v>1128</v>
      </c>
      <c r="L12594" s="30" t="s">
        <v>361</v>
      </c>
      <c r="M12594" s="30" t="s">
        <v>1135</v>
      </c>
      <c r="N12594" s="30" t="s">
        <v>441</v>
      </c>
      <c r="O12594" s="30" t="s">
        <v>1147</v>
      </c>
      <c r="P12594" s="30" t="s">
        <v>17686</v>
      </c>
      <c r="Q12594" t="s">
        <v>621</v>
      </c>
      <c r="R12594" t="s">
        <v>920</v>
      </c>
      <c r="S12594">
        <v>39</v>
      </c>
      <c r="T12594" s="29" t="str">
        <f t="shared" si="524"/>
        <v>2023.012S.Coronaviridae_54sprenamed-.zip</v>
      </c>
      <c r="U12594" s="29" t="str">
        <f>HYPERLINK("https://ictv.global/taxonomy/taxondetails?taxnode_id=202301849","ictv.global=202301849")</f>
        <v>ictv.global=202301849</v>
      </c>
    </row>
    <row r="12595" spans="1:21">
      <c r="A12595">
        <v>12594</v>
      </c>
      <c r="B12595" s="30" t="s">
        <v>1226</v>
      </c>
      <c r="D12595" s="30" t="s">
        <v>2024</v>
      </c>
      <c r="F12595" s="30" t="s">
        <v>2074</v>
      </c>
      <c r="H12595" s="30" t="s">
        <v>2077</v>
      </c>
      <c r="J12595" s="30" t="s">
        <v>377</v>
      </c>
      <c r="K12595" s="30" t="s">
        <v>1128</v>
      </c>
      <c r="L12595" s="30" t="s">
        <v>361</v>
      </c>
      <c r="M12595" s="30" t="s">
        <v>1135</v>
      </c>
      <c r="N12595" s="30" t="s">
        <v>157</v>
      </c>
      <c r="O12595" s="30" t="s">
        <v>1151</v>
      </c>
      <c r="P12595" s="30" t="s">
        <v>17687</v>
      </c>
      <c r="Q12595" t="s">
        <v>621</v>
      </c>
      <c r="R12595" t="s">
        <v>920</v>
      </c>
      <c r="S12595">
        <v>39</v>
      </c>
      <c r="T12595" s="29" t="str">
        <f t="shared" si="524"/>
        <v>2023.012S.Coronaviridae_54sprenamed-.zip</v>
      </c>
      <c r="U12595" s="29" t="str">
        <f>HYPERLINK("https://ictv.global/taxonomy/taxondetails?taxnode_id=202301861","ictv.global=202301861")</f>
        <v>ictv.global=202301861</v>
      </c>
    </row>
    <row r="12596" spans="1:21">
      <c r="A12596">
        <v>12595</v>
      </c>
      <c r="B12596" s="30" t="s">
        <v>1226</v>
      </c>
      <c r="D12596" s="30" t="s">
        <v>2024</v>
      </c>
      <c r="F12596" s="30" t="s">
        <v>2074</v>
      </c>
      <c r="H12596" s="30" t="s">
        <v>2077</v>
      </c>
      <c r="J12596" s="30" t="s">
        <v>377</v>
      </c>
      <c r="K12596" s="30" t="s">
        <v>1128</v>
      </c>
      <c r="L12596" s="30" t="s">
        <v>361</v>
      </c>
      <c r="M12596" s="30" t="s">
        <v>1135</v>
      </c>
      <c r="N12596" s="30" t="s">
        <v>157</v>
      </c>
      <c r="O12596" s="30" t="s">
        <v>1151</v>
      </c>
      <c r="P12596" s="30" t="s">
        <v>17688</v>
      </c>
      <c r="Q12596" t="s">
        <v>621</v>
      </c>
      <c r="R12596" t="s">
        <v>920</v>
      </c>
      <c r="S12596">
        <v>39</v>
      </c>
      <c r="T12596" s="29" t="str">
        <f t="shared" si="524"/>
        <v>2023.012S.Coronaviridae_54sprenamed-.zip</v>
      </c>
      <c r="U12596" s="29" t="str">
        <f>HYPERLINK("https://ictv.global/taxonomy/taxondetails?taxnode_id=202301863","ictv.global=202301863")</f>
        <v>ictv.global=202301863</v>
      </c>
    </row>
    <row r="12597" spans="1:21">
      <c r="A12597">
        <v>12596</v>
      </c>
      <c r="B12597" s="30" t="s">
        <v>1226</v>
      </c>
      <c r="D12597" s="30" t="s">
        <v>2024</v>
      </c>
      <c r="F12597" s="30" t="s">
        <v>2074</v>
      </c>
      <c r="H12597" s="30" t="s">
        <v>2077</v>
      </c>
      <c r="J12597" s="30" t="s">
        <v>377</v>
      </c>
      <c r="K12597" s="30" t="s">
        <v>1128</v>
      </c>
      <c r="L12597" s="30" t="s">
        <v>361</v>
      </c>
      <c r="M12597" s="30" t="s">
        <v>1135</v>
      </c>
      <c r="N12597" s="30" t="s">
        <v>157</v>
      </c>
      <c r="O12597" s="30" t="s">
        <v>1151</v>
      </c>
      <c r="P12597" s="30" t="s">
        <v>17689</v>
      </c>
      <c r="Q12597" t="s">
        <v>621</v>
      </c>
      <c r="R12597" t="s">
        <v>920</v>
      </c>
      <c r="S12597">
        <v>39</v>
      </c>
      <c r="T12597" s="29" t="str">
        <f t="shared" si="524"/>
        <v>2023.012S.Coronaviridae_54sprenamed-.zip</v>
      </c>
      <c r="U12597" s="29" t="str">
        <f>HYPERLINK("https://ictv.global/taxonomy/taxondetails?taxnode_id=202301865","ictv.global=202301865")</f>
        <v>ictv.global=202301865</v>
      </c>
    </row>
    <row r="12598" spans="1:21">
      <c r="A12598">
        <v>12597</v>
      </c>
      <c r="B12598" s="30" t="s">
        <v>1226</v>
      </c>
      <c r="D12598" s="30" t="s">
        <v>2024</v>
      </c>
      <c r="F12598" s="30" t="s">
        <v>2074</v>
      </c>
      <c r="H12598" s="30" t="s">
        <v>2077</v>
      </c>
      <c r="J12598" s="30" t="s">
        <v>377</v>
      </c>
      <c r="K12598" s="30" t="s">
        <v>1128</v>
      </c>
      <c r="L12598" s="30" t="s">
        <v>361</v>
      </c>
      <c r="M12598" s="30" t="s">
        <v>1135</v>
      </c>
      <c r="N12598" s="30" t="s">
        <v>157</v>
      </c>
      <c r="O12598" s="30" t="s">
        <v>1151</v>
      </c>
      <c r="P12598" s="30" t="s">
        <v>17690</v>
      </c>
      <c r="Q12598" t="s">
        <v>621</v>
      </c>
      <c r="R12598" t="s">
        <v>920</v>
      </c>
      <c r="S12598">
        <v>39</v>
      </c>
      <c r="T12598" s="29" t="str">
        <f t="shared" si="524"/>
        <v>2023.012S.Coronaviridae_54sprenamed-.zip</v>
      </c>
      <c r="U12598" s="29" t="str">
        <f>HYPERLINK("https://ictv.global/taxonomy/taxondetails?taxnode_id=202307496","ictv.global=202307496")</f>
        <v>ictv.global=202307496</v>
      </c>
    </row>
    <row r="12599" spans="1:21">
      <c r="A12599">
        <v>12598</v>
      </c>
      <c r="B12599" s="30" t="s">
        <v>1226</v>
      </c>
      <c r="D12599" s="30" t="s">
        <v>2024</v>
      </c>
      <c r="F12599" s="30" t="s">
        <v>2074</v>
      </c>
      <c r="H12599" s="30" t="s">
        <v>2077</v>
      </c>
      <c r="J12599" s="30" t="s">
        <v>377</v>
      </c>
      <c r="K12599" s="30" t="s">
        <v>1128</v>
      </c>
      <c r="L12599" s="30" t="s">
        <v>361</v>
      </c>
      <c r="M12599" s="30" t="s">
        <v>1135</v>
      </c>
      <c r="N12599" s="30" t="s">
        <v>157</v>
      </c>
      <c r="O12599" s="30" t="s">
        <v>1151</v>
      </c>
      <c r="P12599" s="30" t="s">
        <v>17691</v>
      </c>
      <c r="Q12599" t="s">
        <v>621</v>
      </c>
      <c r="R12599" t="s">
        <v>920</v>
      </c>
      <c r="S12599">
        <v>39</v>
      </c>
      <c r="T12599" s="29" t="str">
        <f t="shared" si="524"/>
        <v>2023.012S.Coronaviridae_54sprenamed-.zip</v>
      </c>
      <c r="U12599" s="29" t="str">
        <f>HYPERLINK("https://ictv.global/taxonomy/taxondetails?taxnode_id=202306124","ictv.global=202306124")</f>
        <v>ictv.global=202306124</v>
      </c>
    </row>
    <row r="12600" spans="1:21">
      <c r="A12600">
        <v>12599</v>
      </c>
      <c r="B12600" s="30" t="s">
        <v>1226</v>
      </c>
      <c r="D12600" s="30" t="s">
        <v>2024</v>
      </c>
      <c r="F12600" s="30" t="s">
        <v>2074</v>
      </c>
      <c r="H12600" s="30" t="s">
        <v>2077</v>
      </c>
      <c r="J12600" s="30" t="s">
        <v>377</v>
      </c>
      <c r="K12600" s="30" t="s">
        <v>1128</v>
      </c>
      <c r="L12600" s="30" t="s">
        <v>361</v>
      </c>
      <c r="M12600" s="30" t="s">
        <v>1135</v>
      </c>
      <c r="N12600" s="30" t="s">
        <v>157</v>
      </c>
      <c r="O12600" s="30" t="s">
        <v>1148</v>
      </c>
      <c r="P12600" s="30" t="s">
        <v>17692</v>
      </c>
      <c r="Q12600" t="s">
        <v>621</v>
      </c>
      <c r="R12600" t="s">
        <v>920</v>
      </c>
      <c r="S12600">
        <v>39</v>
      </c>
      <c r="T12600" s="29" t="str">
        <f t="shared" ref="T12600:T12621" si="525">HYPERLINK("https://ictv.global/ictv/proposals/2023.012S.Coronaviridae_54sprenamed-.zip","2023.012S.Coronaviridae_54sprenamed-.zip")</f>
        <v>2023.012S.Coronaviridae_54sprenamed-.zip</v>
      </c>
      <c r="U12600" s="29" t="str">
        <f>HYPERLINK("https://ictv.global/taxonomy/taxondetails?taxnode_id=202306131","ictv.global=202306131")</f>
        <v>ictv.global=202306131</v>
      </c>
    </row>
    <row r="12601" spans="1:21">
      <c r="A12601">
        <v>12600</v>
      </c>
      <c r="B12601" s="30" t="s">
        <v>1226</v>
      </c>
      <c r="D12601" s="30" t="s">
        <v>2024</v>
      </c>
      <c r="F12601" s="30" t="s">
        <v>2074</v>
      </c>
      <c r="H12601" s="30" t="s">
        <v>2077</v>
      </c>
      <c r="J12601" s="30" t="s">
        <v>377</v>
      </c>
      <c r="K12601" s="30" t="s">
        <v>1128</v>
      </c>
      <c r="L12601" s="30" t="s">
        <v>361</v>
      </c>
      <c r="M12601" s="30" t="s">
        <v>1135</v>
      </c>
      <c r="N12601" s="30" t="s">
        <v>157</v>
      </c>
      <c r="O12601" s="30" t="s">
        <v>1153</v>
      </c>
      <c r="P12601" s="30" t="s">
        <v>17693</v>
      </c>
      <c r="Q12601" t="s">
        <v>621</v>
      </c>
      <c r="R12601" t="s">
        <v>920</v>
      </c>
      <c r="S12601">
        <v>39</v>
      </c>
      <c r="T12601" s="29" t="str">
        <f t="shared" si="525"/>
        <v>2023.012S.Coronaviridae_54sprenamed-.zip</v>
      </c>
      <c r="U12601" s="29" t="str">
        <f>HYPERLINK("https://ictv.global/taxonomy/taxondetails?taxnode_id=202301864","ictv.global=202301864")</f>
        <v>ictv.global=202301864</v>
      </c>
    </row>
    <row r="12602" spans="1:21">
      <c r="A12602">
        <v>12601</v>
      </c>
      <c r="B12602" s="30" t="s">
        <v>1226</v>
      </c>
      <c r="D12602" s="30" t="s">
        <v>2024</v>
      </c>
      <c r="F12602" s="30" t="s">
        <v>2074</v>
      </c>
      <c r="H12602" s="30" t="s">
        <v>2077</v>
      </c>
      <c r="J12602" s="30" t="s">
        <v>377</v>
      </c>
      <c r="K12602" s="30" t="s">
        <v>1128</v>
      </c>
      <c r="L12602" s="30" t="s">
        <v>361</v>
      </c>
      <c r="M12602" s="30" t="s">
        <v>1135</v>
      </c>
      <c r="N12602" s="30" t="s">
        <v>157</v>
      </c>
      <c r="O12602" s="30" t="s">
        <v>1153</v>
      </c>
      <c r="P12602" s="30" t="s">
        <v>17694</v>
      </c>
      <c r="Q12602" t="s">
        <v>621</v>
      </c>
      <c r="R12602" t="s">
        <v>920</v>
      </c>
      <c r="S12602">
        <v>39</v>
      </c>
      <c r="T12602" s="29" t="str">
        <f t="shared" si="525"/>
        <v>2023.012S.Coronaviridae_54sprenamed-.zip</v>
      </c>
      <c r="U12602" s="29" t="str">
        <f>HYPERLINK("https://ictv.global/taxonomy/taxondetails?taxnode_id=202301862","ictv.global=202301862")</f>
        <v>ictv.global=202301862</v>
      </c>
    </row>
    <row r="12603" spans="1:21">
      <c r="A12603">
        <v>12602</v>
      </c>
      <c r="B12603" s="30" t="s">
        <v>1226</v>
      </c>
      <c r="D12603" s="30" t="s">
        <v>2024</v>
      </c>
      <c r="F12603" s="30" t="s">
        <v>2074</v>
      </c>
      <c r="H12603" s="30" t="s">
        <v>2077</v>
      </c>
      <c r="J12603" s="30" t="s">
        <v>377</v>
      </c>
      <c r="K12603" s="30" t="s">
        <v>1128</v>
      </c>
      <c r="L12603" s="30" t="s">
        <v>361</v>
      </c>
      <c r="M12603" s="30" t="s">
        <v>1135</v>
      </c>
      <c r="N12603" s="30" t="s">
        <v>157</v>
      </c>
      <c r="O12603" s="30" t="s">
        <v>1153</v>
      </c>
      <c r="P12603" s="30" t="s">
        <v>17695</v>
      </c>
      <c r="Q12603" t="s">
        <v>621</v>
      </c>
      <c r="R12603" t="s">
        <v>920</v>
      </c>
      <c r="S12603">
        <v>39</v>
      </c>
      <c r="T12603" s="29" t="str">
        <f t="shared" si="525"/>
        <v>2023.012S.Coronaviridae_54sprenamed-.zip</v>
      </c>
      <c r="U12603" s="29" t="str">
        <f>HYPERLINK("https://ictv.global/taxonomy/taxondetails?taxnode_id=202301866","ictv.global=202301866")</f>
        <v>ictv.global=202301866</v>
      </c>
    </row>
    <row r="12604" spans="1:21">
      <c r="A12604">
        <v>12603</v>
      </c>
      <c r="B12604" s="30" t="s">
        <v>1226</v>
      </c>
      <c r="D12604" s="30" t="s">
        <v>2024</v>
      </c>
      <c r="F12604" s="30" t="s">
        <v>2074</v>
      </c>
      <c r="H12604" s="30" t="s">
        <v>2077</v>
      </c>
      <c r="J12604" s="30" t="s">
        <v>377</v>
      </c>
      <c r="K12604" s="30" t="s">
        <v>1128</v>
      </c>
      <c r="L12604" s="30" t="s">
        <v>361</v>
      </c>
      <c r="M12604" s="30" t="s">
        <v>1135</v>
      </c>
      <c r="N12604" s="30" t="s">
        <v>157</v>
      </c>
      <c r="O12604" s="30" t="s">
        <v>1153</v>
      </c>
      <c r="P12604" s="30" t="s">
        <v>17696</v>
      </c>
      <c r="Q12604" t="s">
        <v>621</v>
      </c>
      <c r="R12604" t="s">
        <v>920</v>
      </c>
      <c r="S12604">
        <v>39</v>
      </c>
      <c r="T12604" s="29" t="str">
        <f t="shared" si="525"/>
        <v>2023.012S.Coronaviridae_54sprenamed-.zip</v>
      </c>
      <c r="U12604" s="29" t="str">
        <f>HYPERLINK("https://ictv.global/taxonomy/taxondetails?taxnode_id=202301869","ictv.global=202301869")</f>
        <v>ictv.global=202301869</v>
      </c>
    </row>
    <row r="12605" spans="1:21">
      <c r="A12605">
        <v>12604</v>
      </c>
      <c r="B12605" s="30" t="s">
        <v>1226</v>
      </c>
      <c r="D12605" s="30" t="s">
        <v>2024</v>
      </c>
      <c r="F12605" s="30" t="s">
        <v>2074</v>
      </c>
      <c r="H12605" s="30" t="s">
        <v>2077</v>
      </c>
      <c r="J12605" s="30" t="s">
        <v>377</v>
      </c>
      <c r="K12605" s="30" t="s">
        <v>1128</v>
      </c>
      <c r="L12605" s="30" t="s">
        <v>361</v>
      </c>
      <c r="M12605" s="30" t="s">
        <v>1135</v>
      </c>
      <c r="N12605" s="30" t="s">
        <v>157</v>
      </c>
      <c r="O12605" s="30" t="s">
        <v>1149</v>
      </c>
      <c r="P12605" s="30" t="s">
        <v>17697</v>
      </c>
      <c r="Q12605" t="s">
        <v>621</v>
      </c>
      <c r="R12605" t="s">
        <v>920</v>
      </c>
      <c r="S12605">
        <v>39</v>
      </c>
      <c r="T12605" s="29" t="str">
        <f t="shared" si="525"/>
        <v>2023.012S.Coronaviridae_54sprenamed-.zip</v>
      </c>
      <c r="U12605" s="29" t="str">
        <f>HYPERLINK("https://ictv.global/taxonomy/taxondetails?taxnode_id=202306128","ictv.global=202306128")</f>
        <v>ictv.global=202306128</v>
      </c>
    </row>
    <row r="12606" spans="1:21">
      <c r="A12606">
        <v>12605</v>
      </c>
      <c r="B12606" s="30" t="s">
        <v>1226</v>
      </c>
      <c r="D12606" s="30" t="s">
        <v>2024</v>
      </c>
      <c r="F12606" s="30" t="s">
        <v>2074</v>
      </c>
      <c r="H12606" s="30" t="s">
        <v>2077</v>
      </c>
      <c r="J12606" s="30" t="s">
        <v>377</v>
      </c>
      <c r="K12606" s="30" t="s">
        <v>1128</v>
      </c>
      <c r="L12606" s="30" t="s">
        <v>361</v>
      </c>
      <c r="M12606" s="30" t="s">
        <v>1135</v>
      </c>
      <c r="N12606" s="30" t="s">
        <v>157</v>
      </c>
      <c r="O12606" s="30" t="s">
        <v>1149</v>
      </c>
      <c r="P12606" s="30" t="s">
        <v>17698</v>
      </c>
      <c r="Q12606" t="s">
        <v>621</v>
      </c>
      <c r="R12606" t="s">
        <v>920</v>
      </c>
      <c r="S12606">
        <v>39</v>
      </c>
      <c r="T12606" s="29" t="str">
        <f t="shared" si="525"/>
        <v>2023.012S.Coronaviridae_54sprenamed-.zip</v>
      </c>
      <c r="U12606" s="29" t="str">
        <f>HYPERLINK("https://ictv.global/taxonomy/taxondetails?taxnode_id=202307495","ictv.global=202307495")</f>
        <v>ictv.global=202307495</v>
      </c>
    </row>
    <row r="12607" spans="1:21">
      <c r="A12607">
        <v>12606</v>
      </c>
      <c r="B12607" s="30" t="s">
        <v>1226</v>
      </c>
      <c r="D12607" s="30" t="s">
        <v>2024</v>
      </c>
      <c r="F12607" s="30" t="s">
        <v>2074</v>
      </c>
      <c r="H12607" s="30" t="s">
        <v>2077</v>
      </c>
      <c r="J12607" s="30" t="s">
        <v>377</v>
      </c>
      <c r="K12607" s="30" t="s">
        <v>1128</v>
      </c>
      <c r="L12607" s="30" t="s">
        <v>361</v>
      </c>
      <c r="M12607" s="30" t="s">
        <v>1135</v>
      </c>
      <c r="N12607" s="30" t="s">
        <v>157</v>
      </c>
      <c r="O12607" s="30" t="s">
        <v>1149</v>
      </c>
      <c r="P12607" s="30" t="s">
        <v>17699</v>
      </c>
      <c r="Q12607" t="s">
        <v>621</v>
      </c>
      <c r="R12607" t="s">
        <v>920</v>
      </c>
      <c r="S12607">
        <v>39</v>
      </c>
      <c r="T12607" s="29" t="str">
        <f t="shared" si="525"/>
        <v>2023.012S.Coronaviridae_54sprenamed-.zip</v>
      </c>
      <c r="U12607" s="29" t="str">
        <f>HYPERLINK("https://ictv.global/taxonomy/taxondetails?taxnode_id=202301867","ictv.global=202301867")</f>
        <v>ictv.global=202301867</v>
      </c>
    </row>
    <row r="12608" spans="1:21">
      <c r="A12608">
        <v>12607</v>
      </c>
      <c r="B12608" s="30" t="s">
        <v>1226</v>
      </c>
      <c r="D12608" s="30" t="s">
        <v>2024</v>
      </c>
      <c r="F12608" s="30" t="s">
        <v>2074</v>
      </c>
      <c r="H12608" s="30" t="s">
        <v>2077</v>
      </c>
      <c r="J12608" s="30" t="s">
        <v>377</v>
      </c>
      <c r="K12608" s="30" t="s">
        <v>1128</v>
      </c>
      <c r="L12608" s="30" t="s">
        <v>361</v>
      </c>
      <c r="M12608" s="30" t="s">
        <v>1135</v>
      </c>
      <c r="N12608" s="30" t="s">
        <v>157</v>
      </c>
      <c r="O12608" s="30" t="s">
        <v>1150</v>
      </c>
      <c r="P12608" s="30" t="s">
        <v>17700</v>
      </c>
      <c r="Q12608" t="s">
        <v>621</v>
      </c>
      <c r="R12608" t="s">
        <v>920</v>
      </c>
      <c r="S12608">
        <v>39</v>
      </c>
      <c r="T12608" s="29" t="str">
        <f t="shared" si="525"/>
        <v>2023.012S.Coronaviridae_54sprenamed-.zip</v>
      </c>
      <c r="U12608" s="29" t="str">
        <f>HYPERLINK("https://ictv.global/taxonomy/taxondetails?taxnode_id=202301868","ictv.global=202301868")</f>
        <v>ictv.global=202301868</v>
      </c>
    </row>
    <row r="12609" spans="1:21">
      <c r="A12609">
        <v>12608</v>
      </c>
      <c r="B12609" s="30" t="s">
        <v>1226</v>
      </c>
      <c r="D12609" s="30" t="s">
        <v>2024</v>
      </c>
      <c r="F12609" s="30" t="s">
        <v>2074</v>
      </c>
      <c r="H12609" s="30" t="s">
        <v>2077</v>
      </c>
      <c r="J12609" s="30" t="s">
        <v>377</v>
      </c>
      <c r="K12609" s="30" t="s">
        <v>1128</v>
      </c>
      <c r="L12609" s="30" t="s">
        <v>361</v>
      </c>
      <c r="M12609" s="30" t="s">
        <v>1135</v>
      </c>
      <c r="N12609" s="30" t="s">
        <v>0</v>
      </c>
      <c r="O12609" s="30" t="s">
        <v>1156</v>
      </c>
      <c r="P12609" s="30" t="s">
        <v>17701</v>
      </c>
      <c r="Q12609" t="s">
        <v>621</v>
      </c>
      <c r="R12609" t="s">
        <v>920</v>
      </c>
      <c r="S12609">
        <v>39</v>
      </c>
      <c r="T12609" s="29" t="str">
        <f t="shared" si="525"/>
        <v>2023.012S.Coronaviridae_54sprenamed-.zip</v>
      </c>
      <c r="U12609" s="29" t="str">
        <f>HYPERLINK("https://ictv.global/taxonomy/taxondetails?taxnode_id=202301878","ictv.global=202301878")</f>
        <v>ictv.global=202301878</v>
      </c>
    </row>
    <row r="12610" spans="1:21">
      <c r="A12610">
        <v>12609</v>
      </c>
      <c r="B12610" s="30" t="s">
        <v>1226</v>
      </c>
      <c r="D12610" s="30" t="s">
        <v>2024</v>
      </c>
      <c r="F12610" s="30" t="s">
        <v>2074</v>
      </c>
      <c r="H12610" s="30" t="s">
        <v>2077</v>
      </c>
      <c r="J12610" s="30" t="s">
        <v>377</v>
      </c>
      <c r="K12610" s="30" t="s">
        <v>1128</v>
      </c>
      <c r="L12610" s="30" t="s">
        <v>361</v>
      </c>
      <c r="M12610" s="30" t="s">
        <v>1135</v>
      </c>
      <c r="N12610" s="30" t="s">
        <v>0</v>
      </c>
      <c r="O12610" s="30" t="s">
        <v>1152</v>
      </c>
      <c r="P12610" s="30" t="s">
        <v>17702</v>
      </c>
      <c r="Q12610" t="s">
        <v>621</v>
      </c>
      <c r="R12610" t="s">
        <v>920</v>
      </c>
      <c r="S12610">
        <v>39</v>
      </c>
      <c r="T12610" s="29" t="str">
        <f t="shared" si="525"/>
        <v>2023.012S.Coronaviridae_54sprenamed-.zip</v>
      </c>
      <c r="U12610" s="29" t="str">
        <f>HYPERLINK("https://ictv.global/taxonomy/taxondetails?taxnode_id=202301872","ictv.global=202301872")</f>
        <v>ictv.global=202301872</v>
      </c>
    </row>
    <row r="12611" spans="1:21">
      <c r="A12611">
        <v>12610</v>
      </c>
      <c r="B12611" s="30" t="s">
        <v>1226</v>
      </c>
      <c r="D12611" s="30" t="s">
        <v>2024</v>
      </c>
      <c r="F12611" s="30" t="s">
        <v>2074</v>
      </c>
      <c r="H12611" s="30" t="s">
        <v>2077</v>
      </c>
      <c r="J12611" s="30" t="s">
        <v>377</v>
      </c>
      <c r="K12611" s="30" t="s">
        <v>1128</v>
      </c>
      <c r="L12611" s="30" t="s">
        <v>361</v>
      </c>
      <c r="M12611" s="30" t="s">
        <v>1135</v>
      </c>
      <c r="N12611" s="30" t="s">
        <v>0</v>
      </c>
      <c r="O12611" s="30" t="s">
        <v>1152</v>
      </c>
      <c r="P12611" s="30" t="s">
        <v>17703</v>
      </c>
      <c r="Q12611" t="s">
        <v>621</v>
      </c>
      <c r="R12611" t="s">
        <v>920</v>
      </c>
      <c r="S12611">
        <v>39</v>
      </c>
      <c r="T12611" s="29" t="str">
        <f t="shared" si="525"/>
        <v>2023.012S.Coronaviridae_54sprenamed-.zip</v>
      </c>
      <c r="U12611" s="29" t="str">
        <f>HYPERLINK("https://ictv.global/taxonomy/taxondetails?taxnode_id=202301874","ictv.global=202301874")</f>
        <v>ictv.global=202301874</v>
      </c>
    </row>
    <row r="12612" spans="1:21">
      <c r="A12612">
        <v>12611</v>
      </c>
      <c r="B12612" s="30" t="s">
        <v>1226</v>
      </c>
      <c r="D12612" s="30" t="s">
        <v>2024</v>
      </c>
      <c r="F12612" s="30" t="s">
        <v>2074</v>
      </c>
      <c r="H12612" s="30" t="s">
        <v>2077</v>
      </c>
      <c r="J12612" s="30" t="s">
        <v>377</v>
      </c>
      <c r="K12612" s="30" t="s">
        <v>1128</v>
      </c>
      <c r="L12612" s="30" t="s">
        <v>361</v>
      </c>
      <c r="M12612" s="30" t="s">
        <v>1135</v>
      </c>
      <c r="N12612" s="30" t="s">
        <v>0</v>
      </c>
      <c r="O12612" s="30" t="s">
        <v>1152</v>
      </c>
      <c r="P12612" s="30" t="s">
        <v>17704</v>
      </c>
      <c r="Q12612" t="s">
        <v>621</v>
      </c>
      <c r="R12612" t="s">
        <v>920</v>
      </c>
      <c r="S12612">
        <v>39</v>
      </c>
      <c r="T12612" s="29" t="str">
        <f t="shared" si="525"/>
        <v>2023.012S.Coronaviridae_54sprenamed-.zip</v>
      </c>
      <c r="U12612" s="29" t="str">
        <f>HYPERLINK("https://ictv.global/taxonomy/taxondetails?taxnode_id=202301871","ictv.global=202301871")</f>
        <v>ictv.global=202301871</v>
      </c>
    </row>
    <row r="12613" spans="1:21">
      <c r="A12613">
        <v>12612</v>
      </c>
      <c r="B12613" s="30" t="s">
        <v>1226</v>
      </c>
      <c r="D12613" s="30" t="s">
        <v>2024</v>
      </c>
      <c r="F12613" s="30" t="s">
        <v>2074</v>
      </c>
      <c r="H12613" s="30" t="s">
        <v>2077</v>
      </c>
      <c r="J12613" s="30" t="s">
        <v>377</v>
      </c>
      <c r="K12613" s="30" t="s">
        <v>1128</v>
      </c>
      <c r="L12613" s="30" t="s">
        <v>361</v>
      </c>
      <c r="M12613" s="30" t="s">
        <v>1135</v>
      </c>
      <c r="N12613" s="30" t="s">
        <v>0</v>
      </c>
      <c r="O12613" s="30" t="s">
        <v>1152</v>
      </c>
      <c r="P12613" s="30" t="s">
        <v>17705</v>
      </c>
      <c r="Q12613" t="s">
        <v>621</v>
      </c>
      <c r="R12613" t="s">
        <v>920</v>
      </c>
      <c r="S12613">
        <v>39</v>
      </c>
      <c r="T12613" s="29" t="str">
        <f t="shared" si="525"/>
        <v>2023.012S.Coronaviridae_54sprenamed-.zip</v>
      </c>
      <c r="U12613" s="29" t="str">
        <f>HYPERLINK("https://ictv.global/taxonomy/taxondetails?taxnode_id=202301873","ictv.global=202301873")</f>
        <v>ictv.global=202301873</v>
      </c>
    </row>
    <row r="12614" spans="1:21">
      <c r="A12614">
        <v>12613</v>
      </c>
      <c r="B12614" s="30" t="s">
        <v>1226</v>
      </c>
      <c r="D12614" s="30" t="s">
        <v>2024</v>
      </c>
      <c r="F12614" s="30" t="s">
        <v>2074</v>
      </c>
      <c r="H12614" s="30" t="s">
        <v>2077</v>
      </c>
      <c r="J12614" s="30" t="s">
        <v>377</v>
      </c>
      <c r="K12614" s="30" t="s">
        <v>1128</v>
      </c>
      <c r="L12614" s="30" t="s">
        <v>361</v>
      </c>
      <c r="M12614" s="30" t="s">
        <v>1135</v>
      </c>
      <c r="N12614" s="30" t="s">
        <v>0</v>
      </c>
      <c r="O12614" s="30" t="s">
        <v>1152</v>
      </c>
      <c r="P12614" s="30" t="s">
        <v>17706</v>
      </c>
      <c r="Q12614" t="s">
        <v>621</v>
      </c>
      <c r="R12614" t="s">
        <v>920</v>
      </c>
      <c r="S12614">
        <v>39</v>
      </c>
      <c r="T12614" s="29" t="str">
        <f t="shared" si="525"/>
        <v>2023.012S.Coronaviridae_54sprenamed-.zip</v>
      </c>
      <c r="U12614" s="29" t="str">
        <f>HYPERLINK("https://ictv.global/taxonomy/taxondetails?taxnode_id=202301877","ictv.global=202301877")</f>
        <v>ictv.global=202301877</v>
      </c>
    </row>
    <row r="12615" spans="1:21">
      <c r="A12615">
        <v>12614</v>
      </c>
      <c r="B12615" s="30" t="s">
        <v>1226</v>
      </c>
      <c r="D12615" s="30" t="s">
        <v>2024</v>
      </c>
      <c r="F12615" s="30" t="s">
        <v>2074</v>
      </c>
      <c r="H12615" s="30" t="s">
        <v>2077</v>
      </c>
      <c r="J12615" s="30" t="s">
        <v>377</v>
      </c>
      <c r="K12615" s="30" t="s">
        <v>1128</v>
      </c>
      <c r="L12615" s="30" t="s">
        <v>361</v>
      </c>
      <c r="M12615" s="30" t="s">
        <v>1135</v>
      </c>
      <c r="N12615" s="30" t="s">
        <v>0</v>
      </c>
      <c r="O12615" s="30" t="s">
        <v>1154</v>
      </c>
      <c r="P12615" s="30" t="s">
        <v>17707</v>
      </c>
      <c r="Q12615" t="s">
        <v>621</v>
      </c>
      <c r="R12615" t="s">
        <v>920</v>
      </c>
      <c r="S12615">
        <v>39</v>
      </c>
      <c r="T12615" s="29" t="str">
        <f t="shared" si="525"/>
        <v>2023.012S.Coronaviridae_54sprenamed-.zip</v>
      </c>
      <c r="U12615" s="29" t="str">
        <f>HYPERLINK("https://ictv.global/taxonomy/taxondetails?taxnode_id=202301875","ictv.global=202301875")</f>
        <v>ictv.global=202301875</v>
      </c>
    </row>
    <row r="12616" spans="1:21">
      <c r="A12616">
        <v>12615</v>
      </c>
      <c r="B12616" s="30" t="s">
        <v>1226</v>
      </c>
      <c r="D12616" s="30" t="s">
        <v>2024</v>
      </c>
      <c r="F12616" s="30" t="s">
        <v>2074</v>
      </c>
      <c r="H12616" s="30" t="s">
        <v>2077</v>
      </c>
      <c r="J12616" s="30" t="s">
        <v>377</v>
      </c>
      <c r="K12616" s="30" t="s">
        <v>1128</v>
      </c>
      <c r="L12616" s="30" t="s">
        <v>361</v>
      </c>
      <c r="M12616" s="30" t="s">
        <v>1135</v>
      </c>
      <c r="N12616" s="30" t="s">
        <v>154</v>
      </c>
      <c r="O12616" s="30" t="s">
        <v>2094</v>
      </c>
      <c r="P12616" s="30" t="s">
        <v>17708</v>
      </c>
      <c r="Q12616" t="s">
        <v>621</v>
      </c>
      <c r="R12616" t="s">
        <v>920</v>
      </c>
      <c r="S12616">
        <v>39</v>
      </c>
      <c r="T12616" s="29" t="str">
        <f t="shared" si="525"/>
        <v>2023.012S.Coronaviridae_54sprenamed-.zip</v>
      </c>
      <c r="U12616" s="29" t="str">
        <f>HYPERLINK("https://ictv.global/taxonomy/taxondetails?taxnode_id=202307498","ictv.global=202307498")</f>
        <v>ictv.global=202307498</v>
      </c>
    </row>
    <row r="12617" spans="1:21">
      <c r="A12617">
        <v>12616</v>
      </c>
      <c r="B12617" s="30" t="s">
        <v>1226</v>
      </c>
      <c r="D12617" s="30" t="s">
        <v>2024</v>
      </c>
      <c r="F12617" s="30" t="s">
        <v>2074</v>
      </c>
      <c r="H12617" s="30" t="s">
        <v>2077</v>
      </c>
      <c r="J12617" s="30" t="s">
        <v>377</v>
      </c>
      <c r="K12617" s="30" t="s">
        <v>1128</v>
      </c>
      <c r="L12617" s="30" t="s">
        <v>361</v>
      </c>
      <c r="M12617" s="30" t="s">
        <v>1135</v>
      </c>
      <c r="N12617" s="30" t="s">
        <v>154</v>
      </c>
      <c r="O12617" s="30" t="s">
        <v>1164</v>
      </c>
      <c r="P12617" s="30" t="s">
        <v>17709</v>
      </c>
      <c r="Q12617" t="s">
        <v>621</v>
      </c>
      <c r="R12617" t="s">
        <v>920</v>
      </c>
      <c r="S12617">
        <v>39</v>
      </c>
      <c r="T12617" s="29" t="str">
        <f t="shared" si="525"/>
        <v>2023.012S.Coronaviridae_54sprenamed-.zip</v>
      </c>
      <c r="U12617" s="29" t="str">
        <f>HYPERLINK("https://ictv.global/taxonomy/taxondetails?taxnode_id=202301881","ictv.global=202301881")</f>
        <v>ictv.global=202301881</v>
      </c>
    </row>
    <row r="12618" spans="1:21">
      <c r="A12618">
        <v>12617</v>
      </c>
      <c r="B12618" s="30" t="s">
        <v>1226</v>
      </c>
      <c r="D12618" s="30" t="s">
        <v>2024</v>
      </c>
      <c r="F12618" s="30" t="s">
        <v>2074</v>
      </c>
      <c r="H12618" s="30" t="s">
        <v>2077</v>
      </c>
      <c r="J12618" s="30" t="s">
        <v>377</v>
      </c>
      <c r="K12618" s="30" t="s">
        <v>1128</v>
      </c>
      <c r="L12618" s="30" t="s">
        <v>361</v>
      </c>
      <c r="M12618" s="30" t="s">
        <v>1135</v>
      </c>
      <c r="N12618" s="30" t="s">
        <v>154</v>
      </c>
      <c r="O12618" s="30" t="s">
        <v>1155</v>
      </c>
      <c r="P12618" s="30" t="s">
        <v>17710</v>
      </c>
      <c r="Q12618" t="s">
        <v>621</v>
      </c>
      <c r="R12618" t="s">
        <v>920</v>
      </c>
      <c r="S12618">
        <v>39</v>
      </c>
      <c r="T12618" s="29" t="str">
        <f t="shared" si="525"/>
        <v>2023.012S.Coronaviridae_54sprenamed-.zip</v>
      </c>
      <c r="U12618" s="29" t="str">
        <f>HYPERLINK("https://ictv.global/taxonomy/taxondetails?taxnode_id=202307499","ictv.global=202307499")</f>
        <v>ictv.global=202307499</v>
      </c>
    </row>
    <row r="12619" spans="1:21">
      <c r="A12619">
        <v>12618</v>
      </c>
      <c r="B12619" s="30" t="s">
        <v>1226</v>
      </c>
      <c r="D12619" s="30" t="s">
        <v>2024</v>
      </c>
      <c r="F12619" s="30" t="s">
        <v>2074</v>
      </c>
      <c r="H12619" s="30" t="s">
        <v>2077</v>
      </c>
      <c r="J12619" s="30" t="s">
        <v>377</v>
      </c>
      <c r="K12619" s="30" t="s">
        <v>1128</v>
      </c>
      <c r="L12619" s="30" t="s">
        <v>361</v>
      </c>
      <c r="M12619" s="30" t="s">
        <v>1135</v>
      </c>
      <c r="N12619" s="30" t="s">
        <v>154</v>
      </c>
      <c r="O12619" s="30" t="s">
        <v>1155</v>
      </c>
      <c r="P12619" s="30" t="s">
        <v>17711</v>
      </c>
      <c r="Q12619" t="s">
        <v>621</v>
      </c>
      <c r="R12619" t="s">
        <v>920</v>
      </c>
      <c r="S12619">
        <v>39</v>
      </c>
      <c r="T12619" s="29" t="str">
        <f t="shared" si="525"/>
        <v>2023.012S.Coronaviridae_54sprenamed-.zip</v>
      </c>
      <c r="U12619" s="29" t="str">
        <f>HYPERLINK("https://ictv.global/taxonomy/taxondetails?taxnode_id=202301880","ictv.global=202301880")</f>
        <v>ictv.global=202301880</v>
      </c>
    </row>
    <row r="12620" spans="1:21">
      <c r="A12620">
        <v>12619</v>
      </c>
      <c r="B12620" s="30" t="s">
        <v>1226</v>
      </c>
      <c r="D12620" s="30" t="s">
        <v>2024</v>
      </c>
      <c r="F12620" s="30" t="s">
        <v>2074</v>
      </c>
      <c r="H12620" s="30" t="s">
        <v>2077</v>
      </c>
      <c r="J12620" s="30" t="s">
        <v>377</v>
      </c>
      <c r="K12620" s="30" t="s">
        <v>1128</v>
      </c>
      <c r="L12620" s="30" t="s">
        <v>361</v>
      </c>
      <c r="M12620" s="30" t="s">
        <v>1135</v>
      </c>
      <c r="N12620" s="30" t="s">
        <v>154</v>
      </c>
      <c r="O12620" s="30" t="s">
        <v>1155</v>
      </c>
      <c r="P12620" s="30" t="s">
        <v>17712</v>
      </c>
      <c r="Q12620" t="s">
        <v>621</v>
      </c>
      <c r="R12620" t="s">
        <v>920</v>
      </c>
      <c r="S12620">
        <v>39</v>
      </c>
      <c r="T12620" s="29" t="str">
        <f t="shared" si="525"/>
        <v>2023.012S.Coronaviridae_54sprenamed-.zip</v>
      </c>
      <c r="U12620" s="29" t="str">
        <f>HYPERLINK("https://ictv.global/taxonomy/taxondetails?taxnode_id=202307500","ictv.global=202307500")</f>
        <v>ictv.global=202307500</v>
      </c>
    </row>
    <row r="12621" spans="1:21">
      <c r="A12621">
        <v>12620</v>
      </c>
      <c r="B12621" s="30" t="s">
        <v>1226</v>
      </c>
      <c r="D12621" s="30" t="s">
        <v>2024</v>
      </c>
      <c r="F12621" s="30" t="s">
        <v>2074</v>
      </c>
      <c r="H12621" s="30" t="s">
        <v>2077</v>
      </c>
      <c r="J12621" s="30" t="s">
        <v>377</v>
      </c>
      <c r="K12621" s="30" t="s">
        <v>1128</v>
      </c>
      <c r="L12621" s="30" t="s">
        <v>361</v>
      </c>
      <c r="M12621" s="30" t="s">
        <v>10944</v>
      </c>
      <c r="N12621" s="30" t="s">
        <v>10945</v>
      </c>
      <c r="O12621" s="30" t="s">
        <v>10946</v>
      </c>
      <c r="P12621" s="30" t="s">
        <v>17713</v>
      </c>
      <c r="Q12621" t="s">
        <v>621</v>
      </c>
      <c r="R12621" t="s">
        <v>920</v>
      </c>
      <c r="S12621">
        <v>39</v>
      </c>
      <c r="T12621" s="29" t="str">
        <f t="shared" si="525"/>
        <v>2023.012S.Coronaviridae_54sprenamed-.zip</v>
      </c>
      <c r="U12621" s="29" t="str">
        <f>HYPERLINK("https://ictv.global/taxonomy/taxondetails?taxnode_id=202313907","ictv.global=202313907")</f>
        <v>ictv.global=202313907</v>
      </c>
    </row>
    <row r="12622" spans="1:21">
      <c r="A12622">
        <v>12621</v>
      </c>
      <c r="B12622" s="30" t="s">
        <v>1226</v>
      </c>
      <c r="D12622" s="30" t="s">
        <v>2024</v>
      </c>
      <c r="F12622" s="30" t="s">
        <v>2074</v>
      </c>
      <c r="H12622" s="30" t="s">
        <v>2077</v>
      </c>
      <c r="J12622" s="30" t="s">
        <v>377</v>
      </c>
      <c r="K12622" s="30" t="s">
        <v>1157</v>
      </c>
      <c r="L12622" s="30" t="s">
        <v>1158</v>
      </c>
      <c r="M12622" s="30" t="s">
        <v>1159</v>
      </c>
      <c r="N12622" s="30" t="s">
        <v>1162</v>
      </c>
      <c r="O12622" s="30" t="s">
        <v>1163</v>
      </c>
      <c r="P12622" s="30" t="s">
        <v>17714</v>
      </c>
      <c r="Q12622" t="s">
        <v>621</v>
      </c>
      <c r="R12622" t="s">
        <v>920</v>
      </c>
      <c r="S12622">
        <v>39</v>
      </c>
      <c r="T12622" s="29" t="str">
        <f>HYPERLINK("https://ictv.global/ictv/proposals/2023.013S.Nidovirales_27sprenamed.zip","2023.013S.Nidovirales_27sprenamed.zip")</f>
        <v>2023.013S.Nidovirales_27sprenamed.zip</v>
      </c>
      <c r="U12622" s="29" t="str">
        <f>HYPERLINK("https://ictv.global/taxonomy/taxondetails?taxnode_id=202306179","ictv.global=202306179")</f>
        <v>ictv.global=202306179</v>
      </c>
    </row>
    <row r="12623" spans="1:21">
      <c r="A12623">
        <v>12622</v>
      </c>
      <c r="B12623" s="30" t="s">
        <v>1226</v>
      </c>
      <c r="D12623" s="30" t="s">
        <v>2024</v>
      </c>
      <c r="F12623" s="30" t="s">
        <v>2074</v>
      </c>
      <c r="H12623" s="30" t="s">
        <v>2077</v>
      </c>
      <c r="J12623" s="30" t="s">
        <v>377</v>
      </c>
      <c r="K12623" s="30" t="s">
        <v>1157</v>
      </c>
      <c r="L12623" s="30" t="s">
        <v>1158</v>
      </c>
      <c r="M12623" s="30" t="s">
        <v>1159</v>
      </c>
      <c r="N12623" s="30" t="s">
        <v>1160</v>
      </c>
      <c r="O12623" s="30" t="s">
        <v>1161</v>
      </c>
      <c r="P12623" s="30" t="s">
        <v>17715</v>
      </c>
      <c r="Q12623" t="s">
        <v>621</v>
      </c>
      <c r="R12623" t="s">
        <v>920</v>
      </c>
      <c r="S12623">
        <v>39</v>
      </c>
      <c r="T12623" s="29" t="str">
        <f>HYPERLINK("https://ictv.global/ictv/proposals/2023.013S.Nidovirales_27sprenamed.zip","2023.013S.Nidovirales_27sprenamed.zip")</f>
        <v>2023.013S.Nidovirales_27sprenamed.zip</v>
      </c>
      <c r="U12623" s="29" t="str">
        <f>HYPERLINK("https://ictv.global/taxonomy/taxondetails?taxnode_id=202306175","ictv.global=202306175")</f>
        <v>ictv.global=202306175</v>
      </c>
    </row>
    <row r="12624" spans="1:21">
      <c r="A12624">
        <v>12623</v>
      </c>
      <c r="B12624" s="30" t="s">
        <v>1226</v>
      </c>
      <c r="D12624" s="30" t="s">
        <v>2024</v>
      </c>
      <c r="F12624" s="30" t="s">
        <v>2074</v>
      </c>
      <c r="H12624" s="30" t="s">
        <v>2077</v>
      </c>
      <c r="J12624" s="30" t="s">
        <v>377</v>
      </c>
      <c r="K12624" s="30" t="s">
        <v>1157</v>
      </c>
      <c r="L12624" s="30" t="s">
        <v>510</v>
      </c>
      <c r="M12624" s="30" t="s">
        <v>1165</v>
      </c>
      <c r="N12624" s="30" t="s">
        <v>511</v>
      </c>
      <c r="O12624" s="30" t="s">
        <v>1166</v>
      </c>
      <c r="P12624" s="30" t="s">
        <v>17716</v>
      </c>
      <c r="Q12624" t="s">
        <v>621</v>
      </c>
      <c r="R12624" t="s">
        <v>920</v>
      </c>
      <c r="S12624">
        <v>39</v>
      </c>
      <c r="T12624" s="29" t="str">
        <f t="shared" ref="T12624:T12635" si="526">HYPERLINK("https://ictv.global/ictv/proposals/2023.009S.Mesoniviridae_12sprenamed-.zip","2023.009S.Mesoniviridae_12sprenamed-.zip")</f>
        <v>2023.009S.Mesoniviridae_12sprenamed-.zip</v>
      </c>
      <c r="U12624" s="29" t="str">
        <f>HYPERLINK("https://ictv.global/taxonomy/taxondetails?taxnode_id=202301901","ictv.global=202301901")</f>
        <v>ictv.global=202301901</v>
      </c>
    </row>
    <row r="12625" spans="1:21">
      <c r="A12625">
        <v>12624</v>
      </c>
      <c r="B12625" s="30" t="s">
        <v>1226</v>
      </c>
      <c r="D12625" s="30" t="s">
        <v>2024</v>
      </c>
      <c r="F12625" s="30" t="s">
        <v>2074</v>
      </c>
      <c r="H12625" s="30" t="s">
        <v>2077</v>
      </c>
      <c r="J12625" s="30" t="s">
        <v>377</v>
      </c>
      <c r="K12625" s="30" t="s">
        <v>1157</v>
      </c>
      <c r="L12625" s="30" t="s">
        <v>510</v>
      </c>
      <c r="M12625" s="30" t="s">
        <v>1165</v>
      </c>
      <c r="N12625" s="30" t="s">
        <v>511</v>
      </c>
      <c r="O12625" s="30" t="s">
        <v>1170</v>
      </c>
      <c r="P12625" s="30" t="s">
        <v>17717</v>
      </c>
      <c r="Q12625" t="s">
        <v>621</v>
      </c>
      <c r="R12625" t="s">
        <v>920</v>
      </c>
      <c r="S12625">
        <v>39</v>
      </c>
      <c r="T12625" s="29" t="str">
        <f t="shared" si="526"/>
        <v>2023.009S.Mesoniviridae_12sprenamed-.zip</v>
      </c>
      <c r="U12625" s="29" t="str">
        <f>HYPERLINK("https://ictv.global/taxonomy/taxondetails?taxnode_id=202301904","ictv.global=202301904")</f>
        <v>ictv.global=202301904</v>
      </c>
    </row>
    <row r="12626" spans="1:21">
      <c r="A12626">
        <v>12625</v>
      </c>
      <c r="B12626" s="30" t="s">
        <v>1226</v>
      </c>
      <c r="D12626" s="30" t="s">
        <v>2024</v>
      </c>
      <c r="F12626" s="30" t="s">
        <v>2074</v>
      </c>
      <c r="H12626" s="30" t="s">
        <v>2077</v>
      </c>
      <c r="J12626" s="30" t="s">
        <v>377</v>
      </c>
      <c r="K12626" s="30" t="s">
        <v>1157</v>
      </c>
      <c r="L12626" s="30" t="s">
        <v>510</v>
      </c>
      <c r="M12626" s="30" t="s">
        <v>1165</v>
      </c>
      <c r="N12626" s="30" t="s">
        <v>511</v>
      </c>
      <c r="O12626" s="30" t="s">
        <v>1171</v>
      </c>
      <c r="P12626" s="30" t="s">
        <v>17718</v>
      </c>
      <c r="Q12626" t="s">
        <v>621</v>
      </c>
      <c r="R12626" t="s">
        <v>920</v>
      </c>
      <c r="S12626">
        <v>39</v>
      </c>
      <c r="T12626" s="29" t="str">
        <f t="shared" si="526"/>
        <v>2023.009S.Mesoniviridae_12sprenamed-.zip</v>
      </c>
      <c r="U12626" s="29" t="str">
        <f>HYPERLINK("https://ictv.global/taxonomy/taxondetails?taxnode_id=202301902","ictv.global=202301902")</f>
        <v>ictv.global=202301902</v>
      </c>
    </row>
    <row r="12627" spans="1:21">
      <c r="A12627">
        <v>12626</v>
      </c>
      <c r="B12627" s="30" t="s">
        <v>1226</v>
      </c>
      <c r="D12627" s="30" t="s">
        <v>2024</v>
      </c>
      <c r="F12627" s="30" t="s">
        <v>2074</v>
      </c>
      <c r="H12627" s="30" t="s">
        <v>2077</v>
      </c>
      <c r="J12627" s="30" t="s">
        <v>377</v>
      </c>
      <c r="K12627" s="30" t="s">
        <v>1157</v>
      </c>
      <c r="L12627" s="30" t="s">
        <v>510</v>
      </c>
      <c r="M12627" s="30" t="s">
        <v>1165</v>
      </c>
      <c r="N12627" s="30" t="s">
        <v>511</v>
      </c>
      <c r="O12627" s="30" t="s">
        <v>1167</v>
      </c>
      <c r="P12627" s="30" t="s">
        <v>17719</v>
      </c>
      <c r="Q12627" t="s">
        <v>621</v>
      </c>
      <c r="R12627" t="s">
        <v>920</v>
      </c>
      <c r="S12627">
        <v>39</v>
      </c>
      <c r="T12627" s="29" t="str">
        <f t="shared" si="526"/>
        <v>2023.009S.Mesoniviridae_12sprenamed-.zip</v>
      </c>
      <c r="U12627" s="29" t="str">
        <f>HYPERLINK("https://ictv.global/taxonomy/taxondetails?taxnode_id=202306168","ictv.global=202306168")</f>
        <v>ictv.global=202306168</v>
      </c>
    </row>
    <row r="12628" spans="1:21">
      <c r="A12628">
        <v>12627</v>
      </c>
      <c r="B12628" s="30" t="s">
        <v>1226</v>
      </c>
      <c r="D12628" s="30" t="s">
        <v>2024</v>
      </c>
      <c r="F12628" s="30" t="s">
        <v>2074</v>
      </c>
      <c r="H12628" s="30" t="s">
        <v>2077</v>
      </c>
      <c r="J12628" s="30" t="s">
        <v>377</v>
      </c>
      <c r="K12628" s="30" t="s">
        <v>1157</v>
      </c>
      <c r="L12628" s="30" t="s">
        <v>510</v>
      </c>
      <c r="M12628" s="30" t="s">
        <v>1165</v>
      </c>
      <c r="N12628" s="30" t="s">
        <v>511</v>
      </c>
      <c r="O12628" s="30" t="s">
        <v>1168</v>
      </c>
      <c r="P12628" s="30" t="s">
        <v>17720</v>
      </c>
      <c r="Q12628" t="s">
        <v>621</v>
      </c>
      <c r="R12628" t="s">
        <v>920</v>
      </c>
      <c r="S12628">
        <v>39</v>
      </c>
      <c r="T12628" s="29" t="str">
        <f t="shared" si="526"/>
        <v>2023.009S.Mesoniviridae_12sprenamed-.zip</v>
      </c>
      <c r="U12628" s="29" t="str">
        <f>HYPERLINK("https://ictv.global/taxonomy/taxondetails?taxnode_id=202301900","ictv.global=202301900")</f>
        <v>ictv.global=202301900</v>
      </c>
    </row>
    <row r="12629" spans="1:21">
      <c r="A12629">
        <v>12628</v>
      </c>
      <c r="B12629" s="30" t="s">
        <v>1226</v>
      </c>
      <c r="D12629" s="30" t="s">
        <v>2024</v>
      </c>
      <c r="F12629" s="30" t="s">
        <v>2074</v>
      </c>
      <c r="H12629" s="30" t="s">
        <v>2077</v>
      </c>
      <c r="J12629" s="30" t="s">
        <v>377</v>
      </c>
      <c r="K12629" s="30" t="s">
        <v>1157</v>
      </c>
      <c r="L12629" s="30" t="s">
        <v>510</v>
      </c>
      <c r="M12629" s="30" t="s">
        <v>1165</v>
      </c>
      <c r="N12629" s="30" t="s">
        <v>511</v>
      </c>
      <c r="O12629" s="30" t="s">
        <v>1168</v>
      </c>
      <c r="P12629" s="30" t="s">
        <v>17721</v>
      </c>
      <c r="Q12629" t="s">
        <v>621</v>
      </c>
      <c r="R12629" t="s">
        <v>920</v>
      </c>
      <c r="S12629">
        <v>39</v>
      </c>
      <c r="T12629" s="29" t="str">
        <f t="shared" si="526"/>
        <v>2023.009S.Mesoniviridae_12sprenamed-.zip</v>
      </c>
      <c r="U12629" s="29" t="str">
        <f>HYPERLINK("https://ictv.global/taxonomy/taxondetails?taxnode_id=202301899","ictv.global=202301899")</f>
        <v>ictv.global=202301899</v>
      </c>
    </row>
    <row r="12630" spans="1:21">
      <c r="A12630">
        <v>12629</v>
      </c>
      <c r="B12630" s="30" t="s">
        <v>1226</v>
      </c>
      <c r="D12630" s="30" t="s">
        <v>2024</v>
      </c>
      <c r="F12630" s="30" t="s">
        <v>2074</v>
      </c>
      <c r="H12630" s="30" t="s">
        <v>2077</v>
      </c>
      <c r="J12630" s="30" t="s">
        <v>377</v>
      </c>
      <c r="K12630" s="30" t="s">
        <v>1157</v>
      </c>
      <c r="L12630" s="30" t="s">
        <v>510</v>
      </c>
      <c r="M12630" s="30" t="s">
        <v>1165</v>
      </c>
      <c r="N12630" s="30" t="s">
        <v>511</v>
      </c>
      <c r="O12630" s="30" t="s">
        <v>1177</v>
      </c>
      <c r="P12630" s="30" t="s">
        <v>17722</v>
      </c>
      <c r="Q12630" t="s">
        <v>621</v>
      </c>
      <c r="R12630" t="s">
        <v>920</v>
      </c>
      <c r="S12630">
        <v>39</v>
      </c>
      <c r="T12630" s="29" t="str">
        <f t="shared" si="526"/>
        <v>2023.009S.Mesoniviridae_12sprenamed-.zip</v>
      </c>
      <c r="U12630" s="29" t="str">
        <f>HYPERLINK("https://ictv.global/taxonomy/taxondetails?taxnode_id=202301905","ictv.global=202301905")</f>
        <v>ictv.global=202301905</v>
      </c>
    </row>
    <row r="12631" spans="1:21">
      <c r="A12631">
        <v>12630</v>
      </c>
      <c r="B12631" s="30" t="s">
        <v>1226</v>
      </c>
      <c r="D12631" s="30" t="s">
        <v>2024</v>
      </c>
      <c r="F12631" s="30" t="s">
        <v>2074</v>
      </c>
      <c r="H12631" s="30" t="s">
        <v>2077</v>
      </c>
      <c r="J12631" s="30" t="s">
        <v>377</v>
      </c>
      <c r="K12631" s="30" t="s">
        <v>1157</v>
      </c>
      <c r="L12631" s="30" t="s">
        <v>510</v>
      </c>
      <c r="M12631" s="30" t="s">
        <v>1165</v>
      </c>
      <c r="N12631" s="30" t="s">
        <v>511</v>
      </c>
      <c r="O12631" s="30" t="s">
        <v>1183</v>
      </c>
      <c r="P12631" s="30" t="s">
        <v>17723</v>
      </c>
      <c r="Q12631" t="s">
        <v>621</v>
      </c>
      <c r="R12631" t="s">
        <v>920</v>
      </c>
      <c r="S12631">
        <v>39</v>
      </c>
      <c r="T12631" s="29" t="str">
        <f t="shared" si="526"/>
        <v>2023.009S.Mesoniviridae_12sprenamed-.zip</v>
      </c>
      <c r="U12631" s="29" t="str">
        <f>HYPERLINK("https://ictv.global/taxonomy/taxondetails?taxnode_id=202301898","ictv.global=202301898")</f>
        <v>ictv.global=202301898</v>
      </c>
    </row>
    <row r="12632" spans="1:21">
      <c r="A12632">
        <v>12631</v>
      </c>
      <c r="B12632" s="30" t="s">
        <v>1226</v>
      </c>
      <c r="D12632" s="30" t="s">
        <v>2024</v>
      </c>
      <c r="F12632" s="30" t="s">
        <v>2074</v>
      </c>
      <c r="H12632" s="30" t="s">
        <v>2077</v>
      </c>
      <c r="J12632" s="30" t="s">
        <v>377</v>
      </c>
      <c r="K12632" s="30" t="s">
        <v>1157</v>
      </c>
      <c r="L12632" s="30" t="s">
        <v>510</v>
      </c>
      <c r="M12632" s="30" t="s">
        <v>1165</v>
      </c>
      <c r="N12632" s="30" t="s">
        <v>511</v>
      </c>
      <c r="O12632" s="30" t="s">
        <v>1183</v>
      </c>
      <c r="P12632" s="30" t="s">
        <v>17724</v>
      </c>
      <c r="Q12632" t="s">
        <v>621</v>
      </c>
      <c r="R12632" t="s">
        <v>920</v>
      </c>
      <c r="S12632">
        <v>39</v>
      </c>
      <c r="T12632" s="29" t="str">
        <f t="shared" si="526"/>
        <v>2023.009S.Mesoniviridae_12sprenamed-.zip</v>
      </c>
      <c r="U12632" s="29" t="str">
        <f>HYPERLINK("https://ictv.global/taxonomy/taxondetails?taxnode_id=202307509","ictv.global=202307509")</f>
        <v>ictv.global=202307509</v>
      </c>
    </row>
    <row r="12633" spans="1:21">
      <c r="A12633">
        <v>12632</v>
      </c>
      <c r="B12633" s="30" t="s">
        <v>1226</v>
      </c>
      <c r="D12633" s="30" t="s">
        <v>2024</v>
      </c>
      <c r="F12633" s="30" t="s">
        <v>2074</v>
      </c>
      <c r="H12633" s="30" t="s">
        <v>2077</v>
      </c>
      <c r="J12633" s="30" t="s">
        <v>377</v>
      </c>
      <c r="K12633" s="30" t="s">
        <v>1157</v>
      </c>
      <c r="L12633" s="30" t="s">
        <v>510</v>
      </c>
      <c r="M12633" s="30" t="s">
        <v>1165</v>
      </c>
      <c r="N12633" s="30" t="s">
        <v>511</v>
      </c>
      <c r="O12633" s="30" t="s">
        <v>1169</v>
      </c>
      <c r="P12633" s="30" t="s">
        <v>17725</v>
      </c>
      <c r="Q12633" t="s">
        <v>621</v>
      </c>
      <c r="R12633" t="s">
        <v>920</v>
      </c>
      <c r="S12633">
        <v>39</v>
      </c>
      <c r="T12633" s="29" t="str">
        <f t="shared" si="526"/>
        <v>2023.009S.Mesoniviridae_12sprenamed-.zip</v>
      </c>
      <c r="U12633" s="29" t="str">
        <f>HYPERLINK("https://ictv.global/taxonomy/taxondetails?taxnode_id=202306127","ictv.global=202306127")</f>
        <v>ictv.global=202306127</v>
      </c>
    </row>
    <row r="12634" spans="1:21">
      <c r="A12634">
        <v>12633</v>
      </c>
      <c r="B12634" s="30" t="s">
        <v>1226</v>
      </c>
      <c r="D12634" s="30" t="s">
        <v>2024</v>
      </c>
      <c r="F12634" s="30" t="s">
        <v>2074</v>
      </c>
      <c r="H12634" s="30" t="s">
        <v>2077</v>
      </c>
      <c r="J12634" s="30" t="s">
        <v>377</v>
      </c>
      <c r="K12634" s="30" t="s">
        <v>1157</v>
      </c>
      <c r="L12634" s="30" t="s">
        <v>510</v>
      </c>
      <c r="M12634" s="30" t="s">
        <v>1165</v>
      </c>
      <c r="N12634" s="30" t="s">
        <v>511</v>
      </c>
      <c r="O12634" s="30" t="s">
        <v>10947</v>
      </c>
      <c r="P12634" s="30" t="s">
        <v>17726</v>
      </c>
      <c r="Q12634" t="s">
        <v>621</v>
      </c>
      <c r="R12634" t="s">
        <v>920</v>
      </c>
      <c r="S12634">
        <v>39</v>
      </c>
      <c r="T12634" s="29" t="str">
        <f t="shared" si="526"/>
        <v>2023.009S.Mesoniviridae_12sprenamed-.zip</v>
      </c>
      <c r="U12634" s="29" t="str">
        <f>HYPERLINK("https://ictv.global/taxonomy/taxondetails?taxnode_id=202313940","ictv.global=202313940")</f>
        <v>ictv.global=202313940</v>
      </c>
    </row>
    <row r="12635" spans="1:21">
      <c r="A12635">
        <v>12634</v>
      </c>
      <c r="B12635" s="30" t="s">
        <v>1226</v>
      </c>
      <c r="D12635" s="30" t="s">
        <v>2024</v>
      </c>
      <c r="F12635" s="30" t="s">
        <v>2074</v>
      </c>
      <c r="H12635" s="30" t="s">
        <v>2077</v>
      </c>
      <c r="J12635" s="30" t="s">
        <v>377</v>
      </c>
      <c r="K12635" s="30" t="s">
        <v>1157</v>
      </c>
      <c r="L12635" s="30" t="s">
        <v>510</v>
      </c>
      <c r="M12635" s="30" t="s">
        <v>10948</v>
      </c>
      <c r="N12635" s="30" t="s">
        <v>10949</v>
      </c>
      <c r="O12635" s="30" t="s">
        <v>10950</v>
      </c>
      <c r="P12635" s="30" t="s">
        <v>17727</v>
      </c>
      <c r="Q12635" t="s">
        <v>621</v>
      </c>
      <c r="R12635" t="s">
        <v>920</v>
      </c>
      <c r="S12635">
        <v>39</v>
      </c>
      <c r="T12635" s="29" t="str">
        <f t="shared" si="526"/>
        <v>2023.009S.Mesoniviridae_12sprenamed-.zip</v>
      </c>
      <c r="U12635" s="29" t="str">
        <f>HYPERLINK("https://ictv.global/taxonomy/taxondetails?taxnode_id=202313938","ictv.global=202313938")</f>
        <v>ictv.global=202313938</v>
      </c>
    </row>
    <row r="12636" spans="1:21">
      <c r="A12636">
        <v>12635</v>
      </c>
      <c r="B12636" s="30" t="s">
        <v>1226</v>
      </c>
      <c r="D12636" s="30" t="s">
        <v>2024</v>
      </c>
      <c r="F12636" s="30" t="s">
        <v>2074</v>
      </c>
      <c r="H12636" s="30" t="s">
        <v>2077</v>
      </c>
      <c r="J12636" s="30" t="s">
        <v>377</v>
      </c>
      <c r="K12636" s="30" t="s">
        <v>1157</v>
      </c>
      <c r="L12636" s="30" t="s">
        <v>510</v>
      </c>
      <c r="M12636" s="30" t="s">
        <v>10951</v>
      </c>
      <c r="N12636" s="30" t="s">
        <v>10952</v>
      </c>
      <c r="O12636" s="30" t="s">
        <v>10953</v>
      </c>
      <c r="P12636" s="30" t="s">
        <v>10954</v>
      </c>
      <c r="Q12636" t="s">
        <v>621</v>
      </c>
      <c r="R12636" t="s">
        <v>917</v>
      </c>
      <c r="S12636">
        <v>37</v>
      </c>
      <c r="T12636" s="29" t="str">
        <f>HYPERLINK("https://ictv.global/ictv/proposals/2021.005S.R.Nidovirales.zip","2021.005S.R.Nidovirales.zip")</f>
        <v>2021.005S.R.Nidovirales.zip</v>
      </c>
      <c r="U12636" s="29" t="str">
        <f>HYPERLINK("https://ictv.global/taxonomy/taxondetails?taxnode_id=202313934","ictv.global=202313934")</f>
        <v>ictv.global=202313934</v>
      </c>
    </row>
    <row r="12637" spans="1:21">
      <c r="A12637">
        <v>12636</v>
      </c>
      <c r="B12637" s="30" t="s">
        <v>1226</v>
      </c>
      <c r="D12637" s="30" t="s">
        <v>2024</v>
      </c>
      <c r="F12637" s="30" t="s">
        <v>2074</v>
      </c>
      <c r="H12637" s="30" t="s">
        <v>2077</v>
      </c>
      <c r="J12637" s="30" t="s">
        <v>377</v>
      </c>
      <c r="K12637" s="30" t="s">
        <v>1157</v>
      </c>
      <c r="L12637" s="30" t="s">
        <v>510</v>
      </c>
      <c r="M12637" s="30" t="s">
        <v>10951</v>
      </c>
      <c r="N12637" s="30" t="s">
        <v>10955</v>
      </c>
      <c r="O12637" s="30" t="s">
        <v>10956</v>
      </c>
      <c r="P12637" s="30" t="s">
        <v>10957</v>
      </c>
      <c r="Q12637" t="s">
        <v>621</v>
      </c>
      <c r="R12637" t="s">
        <v>917</v>
      </c>
      <c r="S12637">
        <v>37</v>
      </c>
      <c r="T12637" s="29" t="str">
        <f>HYPERLINK("https://ictv.global/ictv/proposals/2021.005S.R.Nidovirales.zip","2021.005S.R.Nidovirales.zip")</f>
        <v>2021.005S.R.Nidovirales.zip</v>
      </c>
      <c r="U12637" s="29" t="str">
        <f>HYPERLINK("https://ictv.global/taxonomy/taxondetails?taxnode_id=202313931","ictv.global=202313931")</f>
        <v>ictv.global=202313931</v>
      </c>
    </row>
    <row r="12638" spans="1:21">
      <c r="A12638">
        <v>12637</v>
      </c>
      <c r="B12638" s="30" t="s">
        <v>1226</v>
      </c>
      <c r="D12638" s="30" t="s">
        <v>2024</v>
      </c>
      <c r="F12638" s="30" t="s">
        <v>2074</v>
      </c>
      <c r="H12638" s="30" t="s">
        <v>2077</v>
      </c>
      <c r="J12638" s="30" t="s">
        <v>377</v>
      </c>
      <c r="K12638" s="30" t="s">
        <v>1172</v>
      </c>
      <c r="L12638" s="30" t="s">
        <v>1173</v>
      </c>
      <c r="M12638" s="30" t="s">
        <v>1174</v>
      </c>
      <c r="N12638" s="30" t="s">
        <v>1175</v>
      </c>
      <c r="O12638" s="30" t="s">
        <v>1176</v>
      </c>
      <c r="P12638" s="30" t="s">
        <v>17728</v>
      </c>
      <c r="Q12638" t="s">
        <v>621</v>
      </c>
      <c r="R12638" t="s">
        <v>920</v>
      </c>
      <c r="S12638">
        <v>39</v>
      </c>
      <c r="T12638" s="29" t="str">
        <f t="shared" ref="T12638:T12643" si="527">HYPERLINK("https://ictv.global/ictv/proposals/2023.013S.Nidovirales_27sprenamed.zip","2023.013S.Nidovirales_27sprenamed.zip")</f>
        <v>2023.013S.Nidovirales_27sprenamed.zip</v>
      </c>
      <c r="U12638" s="29" t="str">
        <f>HYPERLINK("https://ictv.global/taxonomy/taxondetails?taxnode_id=202306206","ictv.global=202306206")</f>
        <v>ictv.global=202306206</v>
      </c>
    </row>
    <row r="12639" spans="1:21">
      <c r="A12639">
        <v>12638</v>
      </c>
      <c r="B12639" s="30" t="s">
        <v>1226</v>
      </c>
      <c r="D12639" s="30" t="s">
        <v>2024</v>
      </c>
      <c r="F12639" s="30" t="s">
        <v>2074</v>
      </c>
      <c r="H12639" s="30" t="s">
        <v>2077</v>
      </c>
      <c r="J12639" s="30" t="s">
        <v>377</v>
      </c>
      <c r="K12639" s="30" t="s">
        <v>2095</v>
      </c>
      <c r="L12639" s="30" t="s">
        <v>2096</v>
      </c>
      <c r="M12639" s="30" t="s">
        <v>2097</v>
      </c>
      <c r="N12639" s="30" t="s">
        <v>2098</v>
      </c>
      <c r="P12639" s="30" t="s">
        <v>17729</v>
      </c>
      <c r="Q12639" t="s">
        <v>621</v>
      </c>
      <c r="R12639" t="s">
        <v>920</v>
      </c>
      <c r="S12639">
        <v>39</v>
      </c>
      <c r="T12639" s="29" t="str">
        <f t="shared" si="527"/>
        <v>2023.013S.Nidovirales_27sprenamed.zip</v>
      </c>
      <c r="U12639" s="29" t="str">
        <f>HYPERLINK("https://ictv.global/taxonomy/taxondetails?taxnode_id=202307489","ictv.global=202307489")</f>
        <v>ictv.global=202307489</v>
      </c>
    </row>
    <row r="12640" spans="1:21">
      <c r="A12640">
        <v>12639</v>
      </c>
      <c r="B12640" s="30" t="s">
        <v>1226</v>
      </c>
      <c r="D12640" s="30" t="s">
        <v>2024</v>
      </c>
      <c r="F12640" s="30" t="s">
        <v>2074</v>
      </c>
      <c r="H12640" s="30" t="s">
        <v>2077</v>
      </c>
      <c r="J12640" s="30" t="s">
        <v>377</v>
      </c>
      <c r="K12640" s="30" t="s">
        <v>2095</v>
      </c>
      <c r="L12640" s="30" t="s">
        <v>2099</v>
      </c>
      <c r="M12640" s="30" t="s">
        <v>2100</v>
      </c>
      <c r="N12640" s="30" t="s">
        <v>2101</v>
      </c>
      <c r="P12640" s="30" t="s">
        <v>17730</v>
      </c>
      <c r="Q12640" t="s">
        <v>621</v>
      </c>
      <c r="R12640" t="s">
        <v>920</v>
      </c>
      <c r="S12640">
        <v>39</v>
      </c>
      <c r="T12640" s="29" t="str">
        <f t="shared" si="527"/>
        <v>2023.013S.Nidovirales_27sprenamed.zip</v>
      </c>
      <c r="U12640" s="29" t="str">
        <f>HYPERLINK("https://ictv.global/taxonomy/taxondetails?taxnode_id=202307485","ictv.global=202307485")</f>
        <v>ictv.global=202307485</v>
      </c>
    </row>
    <row r="12641" spans="1:21">
      <c r="A12641">
        <v>12640</v>
      </c>
      <c r="B12641" s="30" t="s">
        <v>1226</v>
      </c>
      <c r="D12641" s="30" t="s">
        <v>2024</v>
      </c>
      <c r="F12641" s="30" t="s">
        <v>2074</v>
      </c>
      <c r="H12641" s="30" t="s">
        <v>2077</v>
      </c>
      <c r="J12641" s="30" t="s">
        <v>377</v>
      </c>
      <c r="K12641" s="30" t="s">
        <v>1178</v>
      </c>
      <c r="L12641" s="30" t="s">
        <v>1179</v>
      </c>
      <c r="M12641" s="30" t="s">
        <v>1180</v>
      </c>
      <c r="N12641" s="30" t="s">
        <v>1181</v>
      </c>
      <c r="O12641" s="30" t="s">
        <v>1182</v>
      </c>
      <c r="P12641" s="30" t="s">
        <v>17731</v>
      </c>
      <c r="Q12641" t="s">
        <v>621</v>
      </c>
      <c r="R12641" t="s">
        <v>920</v>
      </c>
      <c r="S12641">
        <v>39</v>
      </c>
      <c r="T12641" s="29" t="str">
        <f t="shared" si="527"/>
        <v>2023.013S.Nidovirales_27sprenamed.zip</v>
      </c>
      <c r="U12641" s="29" t="str">
        <f>HYPERLINK("https://ictv.global/taxonomy/taxondetails?taxnode_id=202306188","ictv.global=202306188")</f>
        <v>ictv.global=202306188</v>
      </c>
    </row>
    <row r="12642" spans="1:21">
      <c r="A12642">
        <v>12641</v>
      </c>
      <c r="B12642" s="30" t="s">
        <v>1226</v>
      </c>
      <c r="D12642" s="30" t="s">
        <v>2024</v>
      </c>
      <c r="F12642" s="30" t="s">
        <v>2074</v>
      </c>
      <c r="H12642" s="30" t="s">
        <v>2077</v>
      </c>
      <c r="J12642" s="30" t="s">
        <v>377</v>
      </c>
      <c r="K12642" s="30" t="s">
        <v>1178</v>
      </c>
      <c r="L12642" s="30" t="s">
        <v>1179</v>
      </c>
      <c r="M12642" s="30" t="s">
        <v>1180</v>
      </c>
      <c r="N12642" s="30" t="s">
        <v>1181</v>
      </c>
      <c r="O12642" s="30" t="s">
        <v>1184</v>
      </c>
      <c r="P12642" s="30" t="s">
        <v>17732</v>
      </c>
      <c r="Q12642" t="s">
        <v>621</v>
      </c>
      <c r="R12642" t="s">
        <v>920</v>
      </c>
      <c r="S12642">
        <v>39</v>
      </c>
      <c r="T12642" s="29" t="str">
        <f t="shared" si="527"/>
        <v>2023.013S.Nidovirales_27sprenamed.zip</v>
      </c>
      <c r="U12642" s="29" t="str">
        <f>HYPERLINK("https://ictv.global/taxonomy/taxondetails?taxnode_id=202306190","ictv.global=202306190")</f>
        <v>ictv.global=202306190</v>
      </c>
    </row>
    <row r="12643" spans="1:21">
      <c r="A12643">
        <v>12642</v>
      </c>
      <c r="B12643" s="30" t="s">
        <v>1226</v>
      </c>
      <c r="D12643" s="30" t="s">
        <v>2024</v>
      </c>
      <c r="F12643" s="30" t="s">
        <v>2074</v>
      </c>
      <c r="H12643" s="30" t="s">
        <v>2077</v>
      </c>
      <c r="J12643" s="30" t="s">
        <v>377</v>
      </c>
      <c r="K12643" s="30" t="s">
        <v>1178</v>
      </c>
      <c r="L12643" s="30" t="s">
        <v>1179</v>
      </c>
      <c r="M12643" s="30" t="s">
        <v>1180</v>
      </c>
      <c r="N12643" s="30" t="s">
        <v>1185</v>
      </c>
      <c r="O12643" s="30" t="s">
        <v>1186</v>
      </c>
      <c r="P12643" s="30" t="s">
        <v>17733</v>
      </c>
      <c r="Q12643" t="s">
        <v>621</v>
      </c>
      <c r="R12643" t="s">
        <v>920</v>
      </c>
      <c r="S12643">
        <v>39</v>
      </c>
      <c r="T12643" s="29" t="str">
        <f t="shared" si="527"/>
        <v>2023.013S.Nidovirales_27sprenamed.zip</v>
      </c>
      <c r="U12643" s="29" t="str">
        <f>HYPERLINK("https://ictv.global/taxonomy/taxondetails?taxnode_id=202306194","ictv.global=202306194")</f>
        <v>ictv.global=202306194</v>
      </c>
    </row>
    <row r="12644" spans="1:21">
      <c r="A12644">
        <v>12643</v>
      </c>
      <c r="B12644" s="30" t="s">
        <v>1226</v>
      </c>
      <c r="D12644" s="30" t="s">
        <v>2024</v>
      </c>
      <c r="F12644" s="30" t="s">
        <v>2074</v>
      </c>
      <c r="H12644" s="30" t="s">
        <v>2077</v>
      </c>
      <c r="J12644" s="30" t="s">
        <v>377</v>
      </c>
      <c r="K12644" s="30" t="s">
        <v>1178</v>
      </c>
      <c r="L12644" s="30" t="s">
        <v>276</v>
      </c>
      <c r="M12644" s="30" t="s">
        <v>1187</v>
      </c>
      <c r="N12644" s="30" t="s">
        <v>10958</v>
      </c>
      <c r="O12644" s="30" t="s">
        <v>10959</v>
      </c>
      <c r="P12644" s="30" t="s">
        <v>10960</v>
      </c>
      <c r="Q12644" t="s">
        <v>621</v>
      </c>
      <c r="R12644" t="s">
        <v>917</v>
      </c>
      <c r="S12644">
        <v>37</v>
      </c>
      <c r="T12644" s="29" t="str">
        <f>HYPERLINK("https://ictv.global/ictv/proposals/2021.005S.R.Nidovirales.zip","2021.005S.R.Nidovirales.zip")</f>
        <v>2021.005S.R.Nidovirales.zip</v>
      </c>
      <c r="U12644" s="29" t="str">
        <f>HYPERLINK("https://ictv.global/taxonomy/taxondetails?taxnode_id=202313943","ictv.global=202313943")</f>
        <v>ictv.global=202313943</v>
      </c>
    </row>
    <row r="12645" spans="1:21">
      <c r="A12645">
        <v>12644</v>
      </c>
      <c r="B12645" s="30" t="s">
        <v>1226</v>
      </c>
      <c r="D12645" s="30" t="s">
        <v>2024</v>
      </c>
      <c r="F12645" s="30" t="s">
        <v>2074</v>
      </c>
      <c r="H12645" s="30" t="s">
        <v>2077</v>
      </c>
      <c r="J12645" s="30" t="s">
        <v>377</v>
      </c>
      <c r="K12645" s="30" t="s">
        <v>1178</v>
      </c>
      <c r="L12645" s="30" t="s">
        <v>276</v>
      </c>
      <c r="M12645" s="30" t="s">
        <v>1187</v>
      </c>
      <c r="N12645" s="30" t="s">
        <v>277</v>
      </c>
      <c r="O12645" s="30" t="s">
        <v>1188</v>
      </c>
      <c r="P12645" s="30" t="s">
        <v>10961</v>
      </c>
      <c r="Q12645" t="s">
        <v>621</v>
      </c>
      <c r="R12645" t="s">
        <v>920</v>
      </c>
      <c r="S12645">
        <v>38</v>
      </c>
      <c r="T12645" s="29" t="str">
        <f>HYPERLINK("https://ictv.global/ictv/proposals/2022.005S.Roniviridae_rename.zip","2022.005S.Roniviridae_rename.zip")</f>
        <v>2022.005S.Roniviridae_rename.zip</v>
      </c>
      <c r="U12645" s="29" t="str">
        <f>HYPERLINK("https://ictv.global/taxonomy/taxondetails?taxnode_id=202301909","ictv.global=202301909")</f>
        <v>ictv.global=202301909</v>
      </c>
    </row>
    <row r="12646" spans="1:21">
      <c r="A12646">
        <v>12645</v>
      </c>
      <c r="B12646" s="30" t="s">
        <v>1226</v>
      </c>
      <c r="D12646" s="30" t="s">
        <v>2024</v>
      </c>
      <c r="F12646" s="30" t="s">
        <v>2074</v>
      </c>
      <c r="H12646" s="30" t="s">
        <v>2077</v>
      </c>
      <c r="J12646" s="30" t="s">
        <v>377</v>
      </c>
      <c r="K12646" s="30" t="s">
        <v>1178</v>
      </c>
      <c r="L12646" s="30" t="s">
        <v>276</v>
      </c>
      <c r="M12646" s="30" t="s">
        <v>1187</v>
      </c>
      <c r="N12646" s="30" t="s">
        <v>277</v>
      </c>
      <c r="O12646" s="30" t="s">
        <v>1188</v>
      </c>
      <c r="P12646" s="30" t="s">
        <v>10962</v>
      </c>
      <c r="Q12646" t="s">
        <v>621</v>
      </c>
      <c r="R12646" t="s">
        <v>920</v>
      </c>
      <c r="S12646">
        <v>38</v>
      </c>
      <c r="T12646" s="29" t="str">
        <f>HYPERLINK("https://ictv.global/ictv/proposals/2022.005S.Roniviridae_rename.zip","2022.005S.Roniviridae_rename.zip")</f>
        <v>2022.005S.Roniviridae_rename.zip</v>
      </c>
      <c r="U12646" s="29" t="str">
        <f>HYPERLINK("https://ictv.global/taxonomy/taxondetails?taxnode_id=202306183","ictv.global=202306183")</f>
        <v>ictv.global=202306183</v>
      </c>
    </row>
    <row r="12647" spans="1:21">
      <c r="A12647">
        <v>12646</v>
      </c>
      <c r="B12647" s="30" t="s">
        <v>1226</v>
      </c>
      <c r="D12647" s="30" t="s">
        <v>2024</v>
      </c>
      <c r="F12647" s="30" t="s">
        <v>2074</v>
      </c>
      <c r="H12647" s="30" t="s">
        <v>2077</v>
      </c>
      <c r="J12647" s="30" t="s">
        <v>377</v>
      </c>
      <c r="K12647" s="30" t="s">
        <v>1178</v>
      </c>
      <c r="L12647" s="30" t="s">
        <v>276</v>
      </c>
      <c r="M12647" s="30" t="s">
        <v>1187</v>
      </c>
      <c r="N12647" s="30" t="s">
        <v>277</v>
      </c>
      <c r="O12647" s="30" t="s">
        <v>1188</v>
      </c>
      <c r="P12647" s="30" t="s">
        <v>10963</v>
      </c>
      <c r="Q12647" t="s">
        <v>621</v>
      </c>
      <c r="R12647" t="s">
        <v>920</v>
      </c>
      <c r="S12647">
        <v>38</v>
      </c>
      <c r="T12647" s="29" t="str">
        <f>HYPERLINK("https://ictv.global/ictv/proposals/2022.005S.Roniviridae_rename.zip","2022.005S.Roniviridae_rename.zip")</f>
        <v>2022.005S.Roniviridae_rename.zip</v>
      </c>
      <c r="U12647" s="29" t="str">
        <f>HYPERLINK("https://ictv.global/taxonomy/taxondetails?taxnode_id=202307510","ictv.global=202307510")</f>
        <v>ictv.global=202307510</v>
      </c>
    </row>
    <row r="12648" spans="1:21">
      <c r="A12648">
        <v>12647</v>
      </c>
      <c r="B12648" s="30" t="s">
        <v>1226</v>
      </c>
      <c r="D12648" s="30" t="s">
        <v>2024</v>
      </c>
      <c r="F12648" s="30" t="s">
        <v>2074</v>
      </c>
      <c r="H12648" s="30" t="s">
        <v>2077</v>
      </c>
      <c r="J12648" s="30" t="s">
        <v>377</v>
      </c>
      <c r="K12648" s="30" t="s">
        <v>1189</v>
      </c>
      <c r="L12648" s="30" t="s">
        <v>1190</v>
      </c>
      <c r="M12648" s="30" t="s">
        <v>1191</v>
      </c>
      <c r="N12648" s="30" t="s">
        <v>134</v>
      </c>
      <c r="O12648" s="30" t="s">
        <v>1203</v>
      </c>
      <c r="P12648" s="30" t="s">
        <v>17734</v>
      </c>
      <c r="Q12648" t="s">
        <v>621</v>
      </c>
      <c r="R12648" t="s">
        <v>920</v>
      </c>
      <c r="S12648">
        <v>39</v>
      </c>
      <c r="T12648" s="29" t="str">
        <f>HYPERLINK("https://ictv.global/ictv/proposals/2023.013S.Nidovirales_27sprenamed.zip","2023.013S.Nidovirales_27sprenamed.zip")</f>
        <v>2023.013S.Nidovirales_27sprenamed.zip</v>
      </c>
      <c r="U12648" s="29" t="str">
        <f>HYPERLINK("https://ictv.global/taxonomy/taxondetails?taxnode_id=202301885","ictv.global=202301885")</f>
        <v>ictv.global=202301885</v>
      </c>
    </row>
    <row r="12649" spans="1:21">
      <c r="A12649">
        <v>12648</v>
      </c>
      <c r="B12649" s="30" t="s">
        <v>1226</v>
      </c>
      <c r="D12649" s="30" t="s">
        <v>2024</v>
      </c>
      <c r="F12649" s="30" t="s">
        <v>2074</v>
      </c>
      <c r="H12649" s="30" t="s">
        <v>2077</v>
      </c>
      <c r="J12649" s="30" t="s">
        <v>377</v>
      </c>
      <c r="K12649" s="30" t="s">
        <v>1189</v>
      </c>
      <c r="L12649" s="30" t="s">
        <v>1190</v>
      </c>
      <c r="M12649" s="30" t="s">
        <v>1191</v>
      </c>
      <c r="N12649" s="30" t="s">
        <v>134</v>
      </c>
      <c r="O12649" s="30" t="s">
        <v>1192</v>
      </c>
      <c r="P12649" s="30" t="s">
        <v>17735</v>
      </c>
      <c r="Q12649" t="s">
        <v>621</v>
      </c>
      <c r="R12649" t="s">
        <v>920</v>
      </c>
      <c r="S12649">
        <v>39</v>
      </c>
      <c r="T12649" s="29" t="str">
        <f>HYPERLINK("https://ictv.global/ictv/proposals/2023.013S.Nidovirales_27sprenamed.zip","2023.013S.Nidovirales_27sprenamed.zip")</f>
        <v>2023.013S.Nidovirales_27sprenamed.zip</v>
      </c>
      <c r="U12649" s="29" t="str">
        <f>HYPERLINK("https://ictv.global/taxonomy/taxondetails?taxnode_id=202301884","ictv.global=202301884")</f>
        <v>ictv.global=202301884</v>
      </c>
    </row>
    <row r="12650" spans="1:21">
      <c r="A12650">
        <v>12649</v>
      </c>
      <c r="B12650" s="30" t="s">
        <v>1226</v>
      </c>
      <c r="D12650" s="30" t="s">
        <v>2024</v>
      </c>
      <c r="F12650" s="30" t="s">
        <v>2074</v>
      </c>
      <c r="H12650" s="30" t="s">
        <v>2077</v>
      </c>
      <c r="J12650" s="30" t="s">
        <v>377</v>
      </c>
      <c r="K12650" s="30" t="s">
        <v>1189</v>
      </c>
      <c r="L12650" s="30" t="s">
        <v>1190</v>
      </c>
      <c r="M12650" s="30" t="s">
        <v>1191</v>
      </c>
      <c r="N12650" s="30" t="s">
        <v>1193</v>
      </c>
      <c r="O12650" s="30" t="s">
        <v>1194</v>
      </c>
      <c r="P12650" s="30" t="s">
        <v>17736</v>
      </c>
      <c r="Q12650" t="s">
        <v>621</v>
      </c>
      <c r="R12650" t="s">
        <v>920</v>
      </c>
      <c r="S12650">
        <v>39</v>
      </c>
      <c r="T12650" s="29" t="str">
        <f>HYPERLINK("https://ictv.global/ictv/proposals/2023.013S.Nidovirales_27sprenamed.zip","2023.013S.Nidovirales_27sprenamed.zip")</f>
        <v>2023.013S.Nidovirales_27sprenamed.zip</v>
      </c>
      <c r="U12650" s="29" t="str">
        <f>HYPERLINK("https://ictv.global/taxonomy/taxondetails?taxnode_id=202301894","ictv.global=202301894")</f>
        <v>ictv.global=202301894</v>
      </c>
    </row>
    <row r="12651" spans="1:21">
      <c r="A12651">
        <v>12650</v>
      </c>
      <c r="B12651" s="30" t="s">
        <v>1226</v>
      </c>
      <c r="D12651" s="30" t="s">
        <v>2024</v>
      </c>
      <c r="F12651" s="30" t="s">
        <v>2074</v>
      </c>
      <c r="H12651" s="30" t="s">
        <v>2077</v>
      </c>
      <c r="J12651" s="30" t="s">
        <v>377</v>
      </c>
      <c r="K12651" s="30" t="s">
        <v>1189</v>
      </c>
      <c r="L12651" s="30" t="s">
        <v>1190</v>
      </c>
      <c r="M12651" s="30" t="s">
        <v>1195</v>
      </c>
      <c r="N12651" s="30" t="s">
        <v>1196</v>
      </c>
      <c r="O12651" s="30" t="s">
        <v>1197</v>
      </c>
      <c r="P12651" s="30" t="s">
        <v>17737</v>
      </c>
      <c r="Q12651" t="s">
        <v>621</v>
      </c>
      <c r="R12651" t="s">
        <v>920</v>
      </c>
      <c r="S12651">
        <v>39</v>
      </c>
      <c r="T12651" s="29" t="str">
        <f>HYPERLINK("https://ictv.global/ictv/proposals/2023.013S.Nidovirales_27sprenamed.zip","2023.013S.Nidovirales_27sprenamed.zip")</f>
        <v>2023.013S.Nidovirales_27sprenamed.zip</v>
      </c>
      <c r="U12651" s="29" t="str">
        <f>HYPERLINK("https://ictv.global/taxonomy/taxondetails?taxnode_id=202301893","ictv.global=202301893")</f>
        <v>ictv.global=202301893</v>
      </c>
    </row>
    <row r="12652" spans="1:21">
      <c r="A12652">
        <v>12651</v>
      </c>
      <c r="B12652" s="30" t="s">
        <v>1226</v>
      </c>
      <c r="D12652" s="30" t="s">
        <v>2024</v>
      </c>
      <c r="F12652" s="30" t="s">
        <v>2074</v>
      </c>
      <c r="H12652" s="30" t="s">
        <v>2077</v>
      </c>
      <c r="J12652" s="30" t="s">
        <v>377</v>
      </c>
      <c r="K12652" s="30" t="s">
        <v>1189</v>
      </c>
      <c r="L12652" s="30" t="s">
        <v>1190</v>
      </c>
      <c r="M12652" s="30" t="s">
        <v>1198</v>
      </c>
      <c r="N12652" s="30" t="s">
        <v>1199</v>
      </c>
      <c r="O12652" s="30" t="s">
        <v>2102</v>
      </c>
      <c r="P12652" s="30" t="s">
        <v>17738</v>
      </c>
      <c r="Q12652" t="s">
        <v>621</v>
      </c>
      <c r="R12652" t="s">
        <v>920</v>
      </c>
      <c r="S12652">
        <v>39</v>
      </c>
      <c r="T12652" s="29" t="str">
        <f>HYPERLINK("https://ictv.global/ictv/proposals/2023.013S.Nidovirales_27sprenamed.zip","2023.013S.Nidovirales_27sprenamed.zip")</f>
        <v>2023.013S.Nidovirales_27sprenamed.zip</v>
      </c>
      <c r="U12652" s="29" t="str">
        <f>HYPERLINK("https://ictv.global/taxonomy/taxondetails?taxnode_id=202307502","ictv.global=202307502")</f>
        <v>ictv.global=202307502</v>
      </c>
    </row>
    <row r="12653" spans="1:21">
      <c r="A12653">
        <v>12652</v>
      </c>
      <c r="B12653" s="30" t="s">
        <v>1226</v>
      </c>
      <c r="D12653" s="30" t="s">
        <v>2024</v>
      </c>
      <c r="F12653" s="30" t="s">
        <v>2074</v>
      </c>
      <c r="H12653" s="30" t="s">
        <v>2077</v>
      </c>
      <c r="J12653" s="30" t="s">
        <v>377</v>
      </c>
      <c r="K12653" s="30" t="s">
        <v>1189</v>
      </c>
      <c r="L12653" s="30" t="s">
        <v>1190</v>
      </c>
      <c r="M12653" s="30" t="s">
        <v>1198</v>
      </c>
      <c r="N12653" s="30" t="s">
        <v>1199</v>
      </c>
      <c r="O12653" s="30" t="s">
        <v>10964</v>
      </c>
      <c r="P12653" s="30" t="s">
        <v>10965</v>
      </c>
      <c r="Q12653" t="s">
        <v>621</v>
      </c>
      <c r="R12653" t="s">
        <v>917</v>
      </c>
      <c r="S12653">
        <v>37</v>
      </c>
      <c r="T12653" s="29" t="str">
        <f>HYPERLINK("https://ictv.global/ictv/proposals/2021.005S.R.Nidovirales.zip","2021.005S.R.Nidovirales.zip")</f>
        <v>2021.005S.R.Nidovirales.zip</v>
      </c>
      <c r="U12653" s="29" t="str">
        <f>HYPERLINK("https://ictv.global/taxonomy/taxondetails?taxnode_id=202313911","ictv.global=202313911")</f>
        <v>ictv.global=202313911</v>
      </c>
    </row>
    <row r="12654" spans="1:21">
      <c r="A12654">
        <v>12653</v>
      </c>
      <c r="B12654" s="30" t="s">
        <v>1226</v>
      </c>
      <c r="D12654" s="30" t="s">
        <v>2024</v>
      </c>
      <c r="F12654" s="30" t="s">
        <v>2074</v>
      </c>
      <c r="H12654" s="30" t="s">
        <v>2077</v>
      </c>
      <c r="J12654" s="30" t="s">
        <v>377</v>
      </c>
      <c r="K12654" s="30" t="s">
        <v>1189</v>
      </c>
      <c r="L12654" s="30" t="s">
        <v>1190</v>
      </c>
      <c r="M12654" s="30" t="s">
        <v>1198</v>
      </c>
      <c r="N12654" s="30" t="s">
        <v>1199</v>
      </c>
      <c r="O12654" s="30" t="s">
        <v>1200</v>
      </c>
      <c r="P12654" s="30" t="s">
        <v>17739</v>
      </c>
      <c r="Q12654" t="s">
        <v>621</v>
      </c>
      <c r="R12654" t="s">
        <v>920</v>
      </c>
      <c r="S12654">
        <v>39</v>
      </c>
      <c r="T12654" s="29" t="str">
        <f>HYPERLINK("https://ictv.global/ictv/proposals/2023.013S.Nidovirales_27sprenamed.zip","2023.013S.Nidovirales_27sprenamed.zip")</f>
        <v>2023.013S.Nidovirales_27sprenamed.zip</v>
      </c>
      <c r="U12654" s="29" t="str">
        <f>HYPERLINK("https://ictv.global/taxonomy/taxondetails?taxnode_id=202306154","ictv.global=202306154")</f>
        <v>ictv.global=202306154</v>
      </c>
    </row>
    <row r="12655" spans="1:21">
      <c r="A12655">
        <v>12654</v>
      </c>
      <c r="B12655" s="30" t="s">
        <v>1226</v>
      </c>
      <c r="D12655" s="30" t="s">
        <v>2024</v>
      </c>
      <c r="F12655" s="30" t="s">
        <v>2074</v>
      </c>
      <c r="H12655" s="30" t="s">
        <v>2077</v>
      </c>
      <c r="J12655" s="30" t="s">
        <v>377</v>
      </c>
      <c r="K12655" s="30" t="s">
        <v>1189</v>
      </c>
      <c r="L12655" s="30" t="s">
        <v>1190</v>
      </c>
      <c r="M12655" s="30" t="s">
        <v>1198</v>
      </c>
      <c r="N12655" s="30" t="s">
        <v>2103</v>
      </c>
      <c r="O12655" s="30" t="s">
        <v>10966</v>
      </c>
      <c r="P12655" s="30" t="s">
        <v>10967</v>
      </c>
      <c r="Q12655" t="s">
        <v>621</v>
      </c>
      <c r="R12655" t="s">
        <v>917</v>
      </c>
      <c r="S12655">
        <v>37</v>
      </c>
      <c r="T12655" s="29" t="str">
        <f>HYPERLINK("https://ictv.global/ictv/proposals/2021.005S.R.Nidovirales.zip","2021.005S.R.Nidovirales.zip")</f>
        <v>2021.005S.R.Nidovirales.zip</v>
      </c>
      <c r="U12655" s="29" t="str">
        <f>HYPERLINK("https://ictv.global/taxonomy/taxondetails?taxnode_id=202313913","ictv.global=202313913")</f>
        <v>ictv.global=202313913</v>
      </c>
    </row>
    <row r="12656" spans="1:21">
      <c r="A12656">
        <v>12655</v>
      </c>
      <c r="B12656" s="30" t="s">
        <v>1226</v>
      </c>
      <c r="D12656" s="30" t="s">
        <v>2024</v>
      </c>
      <c r="F12656" s="30" t="s">
        <v>2074</v>
      </c>
      <c r="H12656" s="30" t="s">
        <v>2077</v>
      </c>
      <c r="J12656" s="30" t="s">
        <v>377</v>
      </c>
      <c r="K12656" s="30" t="s">
        <v>1189</v>
      </c>
      <c r="L12656" s="30" t="s">
        <v>1190</v>
      </c>
      <c r="M12656" s="30" t="s">
        <v>1198</v>
      </c>
      <c r="N12656" s="30" t="s">
        <v>2103</v>
      </c>
      <c r="O12656" s="30" t="s">
        <v>2104</v>
      </c>
      <c r="P12656" s="30" t="s">
        <v>17740</v>
      </c>
      <c r="Q12656" t="s">
        <v>621</v>
      </c>
      <c r="R12656" t="s">
        <v>920</v>
      </c>
      <c r="S12656">
        <v>39</v>
      </c>
      <c r="T12656" s="29" t="str">
        <f>HYPERLINK("https://ictv.global/ictv/proposals/2023.013S.Nidovirales_27sprenamed.zip","2023.013S.Nidovirales_27sprenamed.zip")</f>
        <v>2023.013S.Nidovirales_27sprenamed.zip</v>
      </c>
      <c r="U12656" s="29" t="str">
        <f>HYPERLINK("https://ictv.global/taxonomy/taxondetails?taxnode_id=202307505","ictv.global=202307505")</f>
        <v>ictv.global=202307505</v>
      </c>
    </row>
    <row r="12657" spans="1:21">
      <c r="A12657">
        <v>12656</v>
      </c>
      <c r="B12657" s="30" t="s">
        <v>1226</v>
      </c>
      <c r="D12657" s="30" t="s">
        <v>2024</v>
      </c>
      <c r="F12657" s="30" t="s">
        <v>2074</v>
      </c>
      <c r="H12657" s="30" t="s">
        <v>2077</v>
      </c>
      <c r="J12657" s="30" t="s">
        <v>377</v>
      </c>
      <c r="K12657" s="30" t="s">
        <v>1189</v>
      </c>
      <c r="L12657" s="30" t="s">
        <v>1190</v>
      </c>
      <c r="M12657" s="30" t="s">
        <v>1198</v>
      </c>
      <c r="N12657" s="30" t="s">
        <v>1201</v>
      </c>
      <c r="O12657" s="30" t="s">
        <v>1202</v>
      </c>
      <c r="P12657" s="30" t="s">
        <v>10968</v>
      </c>
      <c r="Q12657" t="s">
        <v>621</v>
      </c>
      <c r="R12657" t="s">
        <v>917</v>
      </c>
      <c r="S12657">
        <v>37</v>
      </c>
      <c r="T12657" s="29" t="str">
        <f>HYPERLINK("https://ictv.global/ictv/proposals/2021.005S.R.Nidovirales.zip","2021.005S.R.Nidovirales.zip")</f>
        <v>2021.005S.R.Nidovirales.zip</v>
      </c>
      <c r="U12657" s="29" t="str">
        <f>HYPERLINK("https://ictv.global/taxonomy/taxondetails?taxnode_id=202313917","ictv.global=202313917")</f>
        <v>ictv.global=202313917</v>
      </c>
    </row>
    <row r="12658" spans="1:21">
      <c r="A12658">
        <v>12657</v>
      </c>
      <c r="B12658" s="30" t="s">
        <v>1226</v>
      </c>
      <c r="D12658" s="30" t="s">
        <v>2024</v>
      </c>
      <c r="F12658" s="30" t="s">
        <v>2074</v>
      </c>
      <c r="H12658" s="30" t="s">
        <v>2077</v>
      </c>
      <c r="J12658" s="30" t="s">
        <v>377</v>
      </c>
      <c r="K12658" s="30" t="s">
        <v>1189</v>
      </c>
      <c r="L12658" s="30" t="s">
        <v>1190</v>
      </c>
      <c r="M12658" s="30" t="s">
        <v>1198</v>
      </c>
      <c r="N12658" s="30" t="s">
        <v>1201</v>
      </c>
      <c r="O12658" s="30" t="s">
        <v>1202</v>
      </c>
      <c r="P12658" s="30" t="s">
        <v>17741</v>
      </c>
      <c r="Q12658" t="s">
        <v>621</v>
      </c>
      <c r="R12658" t="s">
        <v>920</v>
      </c>
      <c r="S12658">
        <v>39</v>
      </c>
      <c r="T12658" s="29" t="str">
        <f>HYPERLINK("https://ictv.global/ictv/proposals/2023.013S.Nidovirales_27sprenamed.zip","2023.013S.Nidovirales_27sprenamed.zip")</f>
        <v>2023.013S.Nidovirales_27sprenamed.zip</v>
      </c>
      <c r="U12658" s="29" t="str">
        <f>HYPERLINK("https://ictv.global/taxonomy/taxondetails?taxnode_id=202307508","ictv.global=202307508")</f>
        <v>ictv.global=202307508</v>
      </c>
    </row>
    <row r="12659" spans="1:21">
      <c r="A12659">
        <v>12658</v>
      </c>
      <c r="B12659" s="30" t="s">
        <v>1226</v>
      </c>
      <c r="D12659" s="30" t="s">
        <v>2024</v>
      </c>
      <c r="F12659" s="30" t="s">
        <v>2074</v>
      </c>
      <c r="H12659" s="30" t="s">
        <v>2077</v>
      </c>
      <c r="J12659" s="30" t="s">
        <v>377</v>
      </c>
      <c r="K12659" s="30" t="s">
        <v>1189</v>
      </c>
      <c r="L12659" s="30" t="s">
        <v>1190</v>
      </c>
      <c r="M12659" s="30" t="s">
        <v>1198</v>
      </c>
      <c r="N12659" s="30" t="s">
        <v>1201</v>
      </c>
      <c r="O12659" s="30" t="s">
        <v>1202</v>
      </c>
      <c r="P12659" s="30" t="s">
        <v>17742</v>
      </c>
      <c r="Q12659" t="s">
        <v>621</v>
      </c>
      <c r="R12659" t="s">
        <v>920</v>
      </c>
      <c r="S12659">
        <v>39</v>
      </c>
      <c r="T12659" s="29" t="str">
        <f>HYPERLINK("https://ictv.global/ictv/proposals/2023.013S.Nidovirales_27sprenamed.zip","2023.013S.Nidovirales_27sprenamed.zip")</f>
        <v>2023.013S.Nidovirales_27sprenamed.zip</v>
      </c>
      <c r="U12659" s="29" t="str">
        <f>HYPERLINK("https://ictv.global/taxonomy/taxondetails?taxnode_id=202301892","ictv.global=202301892")</f>
        <v>ictv.global=202301892</v>
      </c>
    </row>
    <row r="12660" spans="1:21">
      <c r="A12660">
        <v>12659</v>
      </c>
      <c r="B12660" s="30" t="s">
        <v>1226</v>
      </c>
      <c r="D12660" s="30" t="s">
        <v>2024</v>
      </c>
      <c r="F12660" s="30" t="s">
        <v>2074</v>
      </c>
      <c r="H12660" s="30" t="s">
        <v>2077</v>
      </c>
      <c r="J12660" s="30" t="s">
        <v>377</v>
      </c>
      <c r="K12660" s="30" t="s">
        <v>1189</v>
      </c>
      <c r="L12660" s="30" t="s">
        <v>1190</v>
      </c>
      <c r="M12660" s="30" t="s">
        <v>1198</v>
      </c>
      <c r="N12660" s="30" t="s">
        <v>1201</v>
      </c>
      <c r="O12660" s="30" t="s">
        <v>2105</v>
      </c>
      <c r="P12660" s="30" t="s">
        <v>17743</v>
      </c>
      <c r="Q12660" t="s">
        <v>621</v>
      </c>
      <c r="R12660" t="s">
        <v>920</v>
      </c>
      <c r="S12660">
        <v>39</v>
      </c>
      <c r="T12660" s="29" t="str">
        <f>HYPERLINK("https://ictv.global/ictv/proposals/2023.013S.Nidovirales_27sprenamed.zip","2023.013S.Nidovirales_27sprenamed.zip")</f>
        <v>2023.013S.Nidovirales_27sprenamed.zip</v>
      </c>
      <c r="U12660" s="29" t="str">
        <f>HYPERLINK("https://ictv.global/taxonomy/taxondetails?taxnode_id=202307507","ictv.global=202307507")</f>
        <v>ictv.global=202307507</v>
      </c>
    </row>
    <row r="12661" spans="1:21">
      <c r="A12661">
        <v>12660</v>
      </c>
      <c r="B12661" s="30" t="s">
        <v>1226</v>
      </c>
      <c r="D12661" s="30" t="s">
        <v>2024</v>
      </c>
      <c r="F12661" s="30" t="s">
        <v>2074</v>
      </c>
      <c r="H12661" s="30" t="s">
        <v>2077</v>
      </c>
      <c r="J12661" s="30" t="s">
        <v>377</v>
      </c>
      <c r="K12661" s="30" t="s">
        <v>1189</v>
      </c>
      <c r="L12661" s="30" t="s">
        <v>1190</v>
      </c>
      <c r="M12661" s="30" t="s">
        <v>1198</v>
      </c>
      <c r="N12661" s="30" t="s">
        <v>1201</v>
      </c>
      <c r="O12661" s="30" t="s">
        <v>1206</v>
      </c>
      <c r="P12661" s="30" t="s">
        <v>17744</v>
      </c>
      <c r="Q12661" t="s">
        <v>621</v>
      </c>
      <c r="R12661" t="s">
        <v>920</v>
      </c>
      <c r="S12661">
        <v>39</v>
      </c>
      <c r="T12661" s="29" t="str">
        <f>HYPERLINK("https://ictv.global/ictv/proposals/2023.013S.Nidovirales_27sprenamed.zip","2023.013S.Nidovirales_27sprenamed.zip")</f>
        <v>2023.013S.Nidovirales_27sprenamed.zip</v>
      </c>
      <c r="U12661" s="29" t="str">
        <f>HYPERLINK("https://ictv.global/taxonomy/taxondetails?taxnode_id=202306156","ictv.global=202306156")</f>
        <v>ictv.global=202306156</v>
      </c>
    </row>
    <row r="12662" spans="1:21">
      <c r="A12662">
        <v>12661</v>
      </c>
      <c r="B12662" s="30" t="s">
        <v>1226</v>
      </c>
      <c r="D12662" s="30" t="s">
        <v>2024</v>
      </c>
      <c r="F12662" s="30" t="s">
        <v>2074</v>
      </c>
      <c r="H12662" s="30" t="s">
        <v>2077</v>
      </c>
      <c r="J12662" s="30" t="s">
        <v>377</v>
      </c>
      <c r="K12662" s="30" t="s">
        <v>1189</v>
      </c>
      <c r="L12662" s="30" t="s">
        <v>1190</v>
      </c>
      <c r="M12662" s="30" t="s">
        <v>1198</v>
      </c>
      <c r="N12662" s="30" t="s">
        <v>1204</v>
      </c>
      <c r="O12662" s="30" t="s">
        <v>1205</v>
      </c>
      <c r="P12662" s="30" t="s">
        <v>17745</v>
      </c>
      <c r="Q12662" t="s">
        <v>621</v>
      </c>
      <c r="R12662" t="s">
        <v>920</v>
      </c>
      <c r="S12662">
        <v>39</v>
      </c>
      <c r="T12662" s="29" t="str">
        <f>HYPERLINK("https://ictv.global/ictv/proposals/2023.013S.Nidovirales_27sprenamed.zip","2023.013S.Nidovirales_27sprenamed.zip")</f>
        <v>2023.013S.Nidovirales_27sprenamed.zip</v>
      </c>
      <c r="U12662" s="29" t="str">
        <f>HYPERLINK("https://ictv.global/taxonomy/taxondetails?taxnode_id=202306155","ictv.global=202306155")</f>
        <v>ictv.global=202306155</v>
      </c>
    </row>
    <row r="12663" spans="1:21">
      <c r="A12663">
        <v>12662</v>
      </c>
      <c r="B12663" s="30" t="s">
        <v>1226</v>
      </c>
      <c r="D12663" s="30" t="s">
        <v>2024</v>
      </c>
      <c r="F12663" s="30" t="s">
        <v>2074</v>
      </c>
      <c r="H12663" s="30" t="s">
        <v>2077</v>
      </c>
      <c r="J12663" s="30" t="s">
        <v>377</v>
      </c>
      <c r="K12663" s="30" t="s">
        <v>1189</v>
      </c>
      <c r="L12663" s="30" t="s">
        <v>1190</v>
      </c>
      <c r="M12663" s="30" t="s">
        <v>1198</v>
      </c>
      <c r="N12663" s="30" t="s">
        <v>10969</v>
      </c>
      <c r="O12663" s="30" t="s">
        <v>10970</v>
      </c>
      <c r="P12663" s="30" t="s">
        <v>10971</v>
      </c>
      <c r="Q12663" t="s">
        <v>621</v>
      </c>
      <c r="R12663" t="s">
        <v>917</v>
      </c>
      <c r="S12663">
        <v>37</v>
      </c>
      <c r="T12663" s="29" t="str">
        <f>HYPERLINK("https://ictv.global/ictv/proposals/2021.005S.R.Nidovirales.zip","2021.005S.R.Nidovirales.zip")</f>
        <v>2021.005S.R.Nidovirales.zip</v>
      </c>
      <c r="U12663" s="29" t="str">
        <f>HYPERLINK("https://ictv.global/taxonomy/taxondetails?taxnode_id=202313920","ictv.global=202313920")</f>
        <v>ictv.global=202313920</v>
      </c>
    </row>
    <row r="12664" spans="1:21">
      <c r="A12664">
        <v>12663</v>
      </c>
      <c r="B12664" s="30" t="s">
        <v>1226</v>
      </c>
      <c r="D12664" s="30" t="s">
        <v>2024</v>
      </c>
      <c r="F12664" s="30" t="s">
        <v>2074</v>
      </c>
      <c r="H12664" s="30" t="s">
        <v>2077</v>
      </c>
      <c r="J12664" s="30" t="s">
        <v>377</v>
      </c>
      <c r="K12664" s="30" t="s">
        <v>1189</v>
      </c>
      <c r="L12664" s="30" t="s">
        <v>1190</v>
      </c>
      <c r="M12664" s="30" t="s">
        <v>1198</v>
      </c>
      <c r="N12664" s="30" t="s">
        <v>10972</v>
      </c>
      <c r="O12664" s="30" t="s">
        <v>10973</v>
      </c>
      <c r="P12664" s="30" t="s">
        <v>10974</v>
      </c>
      <c r="Q12664" t="s">
        <v>621</v>
      </c>
      <c r="R12664" t="s">
        <v>917</v>
      </c>
      <c r="S12664">
        <v>37</v>
      </c>
      <c r="T12664" s="29" t="str">
        <f>HYPERLINK("https://ictv.global/ictv/proposals/2021.005S.R.Nidovirales.zip","2021.005S.R.Nidovirales.zip")</f>
        <v>2021.005S.R.Nidovirales.zip</v>
      </c>
      <c r="U12664" s="29" t="str">
        <f>HYPERLINK("https://ictv.global/taxonomy/taxondetails?taxnode_id=202313923","ictv.global=202313923")</f>
        <v>ictv.global=202313923</v>
      </c>
    </row>
    <row r="12665" spans="1:21">
      <c r="A12665">
        <v>12664</v>
      </c>
      <c r="B12665" s="30" t="s">
        <v>1226</v>
      </c>
      <c r="D12665" s="30" t="s">
        <v>2024</v>
      </c>
      <c r="F12665" s="30" t="s">
        <v>2074</v>
      </c>
      <c r="H12665" s="30" t="s">
        <v>2077</v>
      </c>
      <c r="J12665" s="30" t="s">
        <v>377</v>
      </c>
      <c r="K12665" s="30" t="s">
        <v>1189</v>
      </c>
      <c r="L12665" s="30" t="s">
        <v>1190</v>
      </c>
      <c r="M12665" s="30" t="s">
        <v>1198</v>
      </c>
      <c r="N12665" s="30" t="s">
        <v>10975</v>
      </c>
      <c r="O12665" s="30" t="s">
        <v>10976</v>
      </c>
      <c r="P12665" s="30" t="s">
        <v>10977</v>
      </c>
      <c r="Q12665" t="s">
        <v>621</v>
      </c>
      <c r="R12665" t="s">
        <v>917</v>
      </c>
      <c r="S12665">
        <v>37</v>
      </c>
      <c r="T12665" s="29" t="str">
        <f>HYPERLINK("https://ictv.global/ictv/proposals/2021.005S.R.Nidovirales.zip","2021.005S.R.Nidovirales.zip")</f>
        <v>2021.005S.R.Nidovirales.zip</v>
      </c>
      <c r="U12665" s="29" t="str">
        <f>HYPERLINK("https://ictv.global/taxonomy/taxondetails?taxnode_id=202313916","ictv.global=202313916")</f>
        <v>ictv.global=202313916</v>
      </c>
    </row>
    <row r="12666" spans="1:21">
      <c r="A12666">
        <v>12665</v>
      </c>
      <c r="B12666" s="30" t="s">
        <v>1226</v>
      </c>
      <c r="D12666" s="30" t="s">
        <v>2024</v>
      </c>
      <c r="F12666" s="30" t="s">
        <v>2074</v>
      </c>
      <c r="H12666" s="30" t="s">
        <v>2077</v>
      </c>
      <c r="J12666" s="30" t="s">
        <v>377</v>
      </c>
      <c r="K12666" s="30" t="s">
        <v>1189</v>
      </c>
      <c r="L12666" s="30" t="s">
        <v>1190</v>
      </c>
      <c r="M12666" s="30" t="s">
        <v>155</v>
      </c>
      <c r="N12666" s="30" t="s">
        <v>275</v>
      </c>
      <c r="O12666" s="30" t="s">
        <v>10978</v>
      </c>
      <c r="P12666" s="30" t="s">
        <v>10979</v>
      </c>
      <c r="Q12666" t="s">
        <v>621</v>
      </c>
      <c r="R12666" t="s">
        <v>917</v>
      </c>
      <c r="S12666">
        <v>37</v>
      </c>
      <c r="T12666" s="29" t="str">
        <f>HYPERLINK("https://ictv.global/ictv/proposals/2021.005S.R.Nidovirales.zip","2021.005S.R.Nidovirales.zip")</f>
        <v>2021.005S.R.Nidovirales.zip</v>
      </c>
      <c r="U12666" s="29" t="str">
        <f>HYPERLINK("https://ictv.global/taxonomy/taxondetails?taxnode_id=202313909","ictv.global=202313909")</f>
        <v>ictv.global=202313909</v>
      </c>
    </row>
    <row r="12667" spans="1:21">
      <c r="A12667">
        <v>12666</v>
      </c>
      <c r="B12667" s="30" t="s">
        <v>1226</v>
      </c>
      <c r="D12667" s="30" t="s">
        <v>2024</v>
      </c>
      <c r="F12667" s="30" t="s">
        <v>2074</v>
      </c>
      <c r="H12667" s="30" t="s">
        <v>2077</v>
      </c>
      <c r="J12667" s="30" t="s">
        <v>377</v>
      </c>
      <c r="K12667" s="30" t="s">
        <v>1189</v>
      </c>
      <c r="L12667" s="30" t="s">
        <v>1190</v>
      </c>
      <c r="M12667" s="30" t="s">
        <v>155</v>
      </c>
      <c r="N12667" s="30" t="s">
        <v>275</v>
      </c>
      <c r="O12667" s="30" t="s">
        <v>1207</v>
      </c>
      <c r="P12667" s="30" t="s">
        <v>17746</v>
      </c>
      <c r="Q12667" t="s">
        <v>621</v>
      </c>
      <c r="R12667" t="s">
        <v>920</v>
      </c>
      <c r="S12667">
        <v>39</v>
      </c>
      <c r="T12667" s="29" t="str">
        <f>HYPERLINK("https://ictv.global/ictv/proposals/2023.013S.Nidovirales_27sprenamed.zip","2023.013S.Nidovirales_27sprenamed.zip")</f>
        <v>2023.013S.Nidovirales_27sprenamed.zip</v>
      </c>
      <c r="U12667" s="29" t="str">
        <f>HYPERLINK("https://ictv.global/taxonomy/taxondetails?taxnode_id=202301887","ictv.global=202301887")</f>
        <v>ictv.global=202301887</v>
      </c>
    </row>
    <row r="12668" spans="1:21">
      <c r="A12668">
        <v>12667</v>
      </c>
      <c r="B12668" s="30" t="s">
        <v>1226</v>
      </c>
      <c r="D12668" s="30" t="s">
        <v>2024</v>
      </c>
      <c r="F12668" s="30" t="s">
        <v>2074</v>
      </c>
      <c r="H12668" s="30" t="s">
        <v>2077</v>
      </c>
      <c r="J12668" s="30" t="s">
        <v>377</v>
      </c>
      <c r="K12668" s="30" t="s">
        <v>1189</v>
      </c>
      <c r="L12668" s="30" t="s">
        <v>1190</v>
      </c>
      <c r="M12668" s="30" t="s">
        <v>155</v>
      </c>
      <c r="N12668" s="30" t="s">
        <v>275</v>
      </c>
      <c r="O12668" s="30" t="s">
        <v>1207</v>
      </c>
      <c r="P12668" s="30" t="s">
        <v>17747</v>
      </c>
      <c r="Q12668" t="s">
        <v>621</v>
      </c>
      <c r="R12668" t="s">
        <v>920</v>
      </c>
      <c r="S12668">
        <v>39</v>
      </c>
      <c r="T12668" s="29" t="str">
        <f>HYPERLINK("https://ictv.global/ictv/proposals/2023.013S.Nidovirales_27sprenamed.zip","2023.013S.Nidovirales_27sprenamed.zip")</f>
        <v>2023.013S.Nidovirales_27sprenamed.zip</v>
      </c>
      <c r="U12668" s="29" t="str">
        <f>HYPERLINK("https://ictv.global/taxonomy/taxondetails?taxnode_id=202301888","ictv.global=202301888")</f>
        <v>ictv.global=202301888</v>
      </c>
    </row>
    <row r="12669" spans="1:21">
      <c r="A12669">
        <v>12668</v>
      </c>
      <c r="B12669" s="30" t="s">
        <v>1226</v>
      </c>
      <c r="D12669" s="30" t="s">
        <v>2024</v>
      </c>
      <c r="F12669" s="30" t="s">
        <v>2074</v>
      </c>
      <c r="H12669" s="30" t="s">
        <v>2077</v>
      </c>
      <c r="J12669" s="30" t="s">
        <v>377</v>
      </c>
      <c r="K12669" s="30" t="s">
        <v>1189</v>
      </c>
      <c r="L12669" s="30" t="s">
        <v>1190</v>
      </c>
      <c r="M12669" s="30" t="s">
        <v>155</v>
      </c>
      <c r="N12669" s="30" t="s">
        <v>275</v>
      </c>
      <c r="O12669" s="30" t="s">
        <v>1207</v>
      </c>
      <c r="P12669" s="30" t="s">
        <v>17748</v>
      </c>
      <c r="Q12669" t="s">
        <v>621</v>
      </c>
      <c r="R12669" t="s">
        <v>920</v>
      </c>
      <c r="S12669">
        <v>39</v>
      </c>
      <c r="T12669" s="29" t="str">
        <f>HYPERLINK("https://ictv.global/ictv/proposals/2023.013S.Nidovirales_27sprenamed.zip","2023.013S.Nidovirales_27sprenamed.zip")</f>
        <v>2023.013S.Nidovirales_27sprenamed.zip</v>
      </c>
      <c r="U12669" s="29" t="str">
        <f>HYPERLINK("https://ictv.global/taxonomy/taxondetails?taxnode_id=202301890","ictv.global=202301890")</f>
        <v>ictv.global=202301890</v>
      </c>
    </row>
    <row r="12670" spans="1:21">
      <c r="A12670">
        <v>12669</v>
      </c>
      <c r="B12670" s="30" t="s">
        <v>1226</v>
      </c>
      <c r="D12670" s="30" t="s">
        <v>2024</v>
      </c>
      <c r="F12670" s="30" t="s">
        <v>2074</v>
      </c>
      <c r="H12670" s="30" t="s">
        <v>2077</v>
      </c>
      <c r="J12670" s="30" t="s">
        <v>278</v>
      </c>
      <c r="L12670" s="30" t="s">
        <v>469</v>
      </c>
      <c r="N12670" s="30" t="s">
        <v>1301</v>
      </c>
      <c r="P12670" s="30" t="s">
        <v>17749</v>
      </c>
      <c r="Q12670" t="s">
        <v>621</v>
      </c>
      <c r="R12670" t="s">
        <v>920</v>
      </c>
      <c r="S12670">
        <v>39</v>
      </c>
      <c r="T12670" s="29" t="str">
        <f t="shared" ref="T12670:T12681" si="528">HYPERLINK("https://ictv.global/ictv/proposals/2023.001S.Caliciviridae_12sprenamed.zip","2023.001S.Caliciviridae_12sprenamed.zip")</f>
        <v>2023.001S.Caliciviridae_12sprenamed.zip</v>
      </c>
      <c r="U12670" s="29" t="str">
        <f>HYPERLINK("https://ictv.global/taxonomy/taxondetails?taxnode_id=202306495","ictv.global=202306495")</f>
        <v>ictv.global=202306495</v>
      </c>
    </row>
    <row r="12671" spans="1:21">
      <c r="A12671">
        <v>12670</v>
      </c>
      <c r="B12671" s="30" t="s">
        <v>1226</v>
      </c>
      <c r="D12671" s="30" t="s">
        <v>2024</v>
      </c>
      <c r="F12671" s="30" t="s">
        <v>2074</v>
      </c>
      <c r="H12671" s="30" t="s">
        <v>2077</v>
      </c>
      <c r="J12671" s="30" t="s">
        <v>278</v>
      </c>
      <c r="L12671" s="30" t="s">
        <v>469</v>
      </c>
      <c r="N12671" s="30" t="s">
        <v>470</v>
      </c>
      <c r="P12671" s="30" t="s">
        <v>17750</v>
      </c>
      <c r="Q12671" t="s">
        <v>621</v>
      </c>
      <c r="R12671" t="s">
        <v>2275</v>
      </c>
      <c r="S12671">
        <v>39</v>
      </c>
      <c r="T12671" s="29" t="str">
        <f t="shared" si="528"/>
        <v>2023.001S.Caliciviridae_12sprenamed.zip</v>
      </c>
      <c r="U12671" s="29" t="str">
        <f>HYPERLINK("https://ictv.global/taxonomy/taxondetails?taxnode_id=202302802","ictv.global=202302802")</f>
        <v>ictv.global=202302802</v>
      </c>
    </row>
    <row r="12672" spans="1:21">
      <c r="A12672">
        <v>12671</v>
      </c>
      <c r="B12672" s="30" t="s">
        <v>1226</v>
      </c>
      <c r="D12672" s="30" t="s">
        <v>2024</v>
      </c>
      <c r="F12672" s="30" t="s">
        <v>2074</v>
      </c>
      <c r="H12672" s="30" t="s">
        <v>2077</v>
      </c>
      <c r="J12672" s="30" t="s">
        <v>278</v>
      </c>
      <c r="L12672" s="30" t="s">
        <v>469</v>
      </c>
      <c r="N12672" s="30" t="s">
        <v>1302</v>
      </c>
      <c r="P12672" s="30" t="s">
        <v>17751</v>
      </c>
      <c r="Q12672" t="s">
        <v>621</v>
      </c>
      <c r="R12672" t="s">
        <v>920</v>
      </c>
      <c r="S12672">
        <v>39</v>
      </c>
      <c r="T12672" s="29" t="str">
        <f t="shared" si="528"/>
        <v>2023.001S.Caliciviridae_12sprenamed.zip</v>
      </c>
      <c r="U12672" s="29" t="str">
        <f>HYPERLINK("https://ictv.global/taxonomy/taxondetails?taxnode_id=202306497","ictv.global=202306497")</f>
        <v>ictv.global=202306497</v>
      </c>
    </row>
    <row r="12673" spans="1:21">
      <c r="A12673">
        <v>12672</v>
      </c>
      <c r="B12673" s="30" t="s">
        <v>1226</v>
      </c>
      <c r="D12673" s="30" t="s">
        <v>2024</v>
      </c>
      <c r="F12673" s="30" t="s">
        <v>2074</v>
      </c>
      <c r="H12673" s="30" t="s">
        <v>2077</v>
      </c>
      <c r="J12673" s="30" t="s">
        <v>278</v>
      </c>
      <c r="L12673" s="30" t="s">
        <v>469</v>
      </c>
      <c r="N12673" s="30" t="s">
        <v>1303</v>
      </c>
      <c r="P12673" s="30" t="s">
        <v>17752</v>
      </c>
      <c r="Q12673" t="s">
        <v>621</v>
      </c>
      <c r="R12673" t="s">
        <v>920</v>
      </c>
      <c r="S12673">
        <v>39</v>
      </c>
      <c r="T12673" s="29" t="str">
        <f t="shared" si="528"/>
        <v>2023.001S.Caliciviridae_12sprenamed.zip</v>
      </c>
      <c r="U12673" s="29" t="str">
        <f>HYPERLINK("https://ictv.global/taxonomy/taxondetails?taxnode_id=202306499","ictv.global=202306499")</f>
        <v>ictv.global=202306499</v>
      </c>
    </row>
    <row r="12674" spans="1:21">
      <c r="A12674">
        <v>12673</v>
      </c>
      <c r="B12674" s="30" t="s">
        <v>1226</v>
      </c>
      <c r="D12674" s="30" t="s">
        <v>2024</v>
      </c>
      <c r="F12674" s="30" t="s">
        <v>2074</v>
      </c>
      <c r="H12674" s="30" t="s">
        <v>2077</v>
      </c>
      <c r="J12674" s="30" t="s">
        <v>278</v>
      </c>
      <c r="L12674" s="30" t="s">
        <v>469</v>
      </c>
      <c r="N12674" s="30" t="s">
        <v>440</v>
      </c>
      <c r="P12674" s="30" t="s">
        <v>17753</v>
      </c>
      <c r="Q12674" t="s">
        <v>621</v>
      </c>
      <c r="R12674" t="s">
        <v>920</v>
      </c>
      <c r="S12674">
        <v>39</v>
      </c>
      <c r="T12674" s="29" t="str">
        <f t="shared" si="528"/>
        <v>2023.001S.Caliciviridae_12sprenamed.zip</v>
      </c>
      <c r="U12674" s="29" t="str">
        <f>HYPERLINK("https://ictv.global/taxonomy/taxondetails?taxnode_id=202302804","ictv.global=202302804")</f>
        <v>ictv.global=202302804</v>
      </c>
    </row>
    <row r="12675" spans="1:21">
      <c r="A12675">
        <v>12674</v>
      </c>
      <c r="B12675" s="30" t="s">
        <v>1226</v>
      </c>
      <c r="D12675" s="30" t="s">
        <v>2024</v>
      </c>
      <c r="F12675" s="30" t="s">
        <v>2074</v>
      </c>
      <c r="H12675" s="30" t="s">
        <v>2077</v>
      </c>
      <c r="J12675" s="30" t="s">
        <v>278</v>
      </c>
      <c r="L12675" s="30" t="s">
        <v>469</v>
      </c>
      <c r="N12675" s="30" t="s">
        <v>471</v>
      </c>
      <c r="P12675" s="30" t="s">
        <v>17754</v>
      </c>
      <c r="Q12675" t="s">
        <v>621</v>
      </c>
      <c r="R12675" t="s">
        <v>920</v>
      </c>
      <c r="S12675">
        <v>39</v>
      </c>
      <c r="T12675" s="29" t="str">
        <f t="shared" si="528"/>
        <v>2023.001S.Caliciviridae_12sprenamed.zip</v>
      </c>
      <c r="U12675" s="29" t="str">
        <f>HYPERLINK("https://ictv.global/taxonomy/taxondetails?taxnode_id=202302806","ictv.global=202302806")</f>
        <v>ictv.global=202302806</v>
      </c>
    </row>
    <row r="12676" spans="1:21">
      <c r="A12676">
        <v>12675</v>
      </c>
      <c r="B12676" s="30" t="s">
        <v>1226</v>
      </c>
      <c r="D12676" s="30" t="s">
        <v>2024</v>
      </c>
      <c r="F12676" s="30" t="s">
        <v>2074</v>
      </c>
      <c r="H12676" s="30" t="s">
        <v>2077</v>
      </c>
      <c r="J12676" s="30" t="s">
        <v>278</v>
      </c>
      <c r="L12676" s="30" t="s">
        <v>469</v>
      </c>
      <c r="N12676" s="30" t="s">
        <v>1304</v>
      </c>
      <c r="P12676" s="30" t="s">
        <v>17755</v>
      </c>
      <c r="Q12676" t="s">
        <v>621</v>
      </c>
      <c r="R12676" t="s">
        <v>920</v>
      </c>
      <c r="S12676">
        <v>39</v>
      </c>
      <c r="T12676" s="29" t="str">
        <f t="shared" si="528"/>
        <v>2023.001S.Caliciviridae_12sprenamed.zip</v>
      </c>
      <c r="U12676" s="29" t="str">
        <f>HYPERLINK("https://ictv.global/taxonomy/taxondetails?taxnode_id=202306501","ictv.global=202306501")</f>
        <v>ictv.global=202306501</v>
      </c>
    </row>
    <row r="12677" spans="1:21">
      <c r="A12677">
        <v>12676</v>
      </c>
      <c r="B12677" s="30" t="s">
        <v>1226</v>
      </c>
      <c r="D12677" s="30" t="s">
        <v>2024</v>
      </c>
      <c r="F12677" s="30" t="s">
        <v>2074</v>
      </c>
      <c r="H12677" s="30" t="s">
        <v>2077</v>
      </c>
      <c r="J12677" s="30" t="s">
        <v>278</v>
      </c>
      <c r="L12677" s="30" t="s">
        <v>469</v>
      </c>
      <c r="N12677" s="30" t="s">
        <v>1305</v>
      </c>
      <c r="P12677" s="30" t="s">
        <v>17756</v>
      </c>
      <c r="Q12677" t="s">
        <v>621</v>
      </c>
      <c r="R12677" t="s">
        <v>920</v>
      </c>
      <c r="S12677">
        <v>39</v>
      </c>
      <c r="T12677" s="29" t="str">
        <f t="shared" si="528"/>
        <v>2023.001S.Caliciviridae_12sprenamed.zip</v>
      </c>
      <c r="U12677" s="29" t="str">
        <f>HYPERLINK("https://ictv.global/taxonomy/taxondetails?taxnode_id=202306503","ictv.global=202306503")</f>
        <v>ictv.global=202306503</v>
      </c>
    </row>
    <row r="12678" spans="1:21">
      <c r="A12678">
        <v>12677</v>
      </c>
      <c r="B12678" s="30" t="s">
        <v>1226</v>
      </c>
      <c r="D12678" s="30" t="s">
        <v>2024</v>
      </c>
      <c r="F12678" s="30" t="s">
        <v>2074</v>
      </c>
      <c r="H12678" s="30" t="s">
        <v>2077</v>
      </c>
      <c r="J12678" s="30" t="s">
        <v>278</v>
      </c>
      <c r="L12678" s="30" t="s">
        <v>469</v>
      </c>
      <c r="N12678" s="30" t="s">
        <v>472</v>
      </c>
      <c r="P12678" s="30" t="s">
        <v>17757</v>
      </c>
      <c r="Q12678" t="s">
        <v>621</v>
      </c>
      <c r="R12678" t="s">
        <v>920</v>
      </c>
      <c r="S12678">
        <v>39</v>
      </c>
      <c r="T12678" s="29" t="str">
        <f t="shared" si="528"/>
        <v>2023.001S.Caliciviridae_12sprenamed.zip</v>
      </c>
      <c r="U12678" s="29" t="str">
        <f>HYPERLINK("https://ictv.global/taxonomy/taxondetails?taxnode_id=202302808","ictv.global=202302808")</f>
        <v>ictv.global=202302808</v>
      </c>
    </row>
    <row r="12679" spans="1:21">
      <c r="A12679">
        <v>12678</v>
      </c>
      <c r="B12679" s="30" t="s">
        <v>1226</v>
      </c>
      <c r="D12679" s="30" t="s">
        <v>2024</v>
      </c>
      <c r="F12679" s="30" t="s">
        <v>2074</v>
      </c>
      <c r="H12679" s="30" t="s">
        <v>2077</v>
      </c>
      <c r="J12679" s="30" t="s">
        <v>278</v>
      </c>
      <c r="L12679" s="30" t="s">
        <v>469</v>
      </c>
      <c r="N12679" s="30" t="s">
        <v>1306</v>
      </c>
      <c r="P12679" s="30" t="s">
        <v>17758</v>
      </c>
      <c r="Q12679" t="s">
        <v>621</v>
      </c>
      <c r="R12679" t="s">
        <v>920</v>
      </c>
      <c r="S12679">
        <v>39</v>
      </c>
      <c r="T12679" s="29" t="str">
        <f t="shared" si="528"/>
        <v>2023.001S.Caliciviridae_12sprenamed.zip</v>
      </c>
      <c r="U12679" s="29" t="str">
        <f>HYPERLINK("https://ictv.global/taxonomy/taxondetails?taxnode_id=202306505","ictv.global=202306505")</f>
        <v>ictv.global=202306505</v>
      </c>
    </row>
    <row r="12680" spans="1:21">
      <c r="A12680">
        <v>12679</v>
      </c>
      <c r="B12680" s="30" t="s">
        <v>1226</v>
      </c>
      <c r="D12680" s="30" t="s">
        <v>2024</v>
      </c>
      <c r="F12680" s="30" t="s">
        <v>2074</v>
      </c>
      <c r="H12680" s="30" t="s">
        <v>2077</v>
      </c>
      <c r="J12680" s="30" t="s">
        <v>278</v>
      </c>
      <c r="L12680" s="30" t="s">
        <v>469</v>
      </c>
      <c r="N12680" s="30" t="s">
        <v>473</v>
      </c>
      <c r="P12680" s="30" t="s">
        <v>17759</v>
      </c>
      <c r="Q12680" t="s">
        <v>621</v>
      </c>
      <c r="R12680" t="s">
        <v>920</v>
      </c>
      <c r="S12680">
        <v>39</v>
      </c>
      <c r="T12680" s="29" t="str">
        <f t="shared" si="528"/>
        <v>2023.001S.Caliciviridae_12sprenamed.zip</v>
      </c>
      <c r="U12680" s="29" t="str">
        <f>HYPERLINK("https://ictv.global/taxonomy/taxondetails?taxnode_id=202302811","ictv.global=202302811")</f>
        <v>ictv.global=202302811</v>
      </c>
    </row>
    <row r="12681" spans="1:21">
      <c r="A12681">
        <v>12680</v>
      </c>
      <c r="B12681" s="30" t="s">
        <v>1226</v>
      </c>
      <c r="D12681" s="30" t="s">
        <v>2024</v>
      </c>
      <c r="F12681" s="30" t="s">
        <v>2074</v>
      </c>
      <c r="H12681" s="30" t="s">
        <v>2077</v>
      </c>
      <c r="J12681" s="30" t="s">
        <v>278</v>
      </c>
      <c r="L12681" s="30" t="s">
        <v>469</v>
      </c>
      <c r="N12681" s="30" t="s">
        <v>473</v>
      </c>
      <c r="P12681" s="30" t="s">
        <v>17760</v>
      </c>
      <c r="Q12681" t="s">
        <v>621</v>
      </c>
      <c r="R12681" t="s">
        <v>920</v>
      </c>
      <c r="S12681">
        <v>39</v>
      </c>
      <c r="T12681" s="29" t="str">
        <f t="shared" si="528"/>
        <v>2023.001S.Caliciviridae_12sprenamed.zip</v>
      </c>
      <c r="U12681" s="29" t="str">
        <f>HYPERLINK("https://ictv.global/taxonomy/taxondetails?taxnode_id=202302810","ictv.global=202302810")</f>
        <v>ictv.global=202302810</v>
      </c>
    </row>
    <row r="12682" spans="1:21">
      <c r="A12682">
        <v>12681</v>
      </c>
      <c r="B12682" s="30" t="s">
        <v>1226</v>
      </c>
      <c r="D12682" s="30" t="s">
        <v>2024</v>
      </c>
      <c r="F12682" s="30" t="s">
        <v>2074</v>
      </c>
      <c r="H12682" s="30" t="s">
        <v>2077</v>
      </c>
      <c r="J12682" s="30" t="s">
        <v>278</v>
      </c>
      <c r="L12682" s="30" t="s">
        <v>266</v>
      </c>
      <c r="N12682" s="30" t="s">
        <v>357</v>
      </c>
      <c r="P12682" s="30" t="s">
        <v>10980</v>
      </c>
      <c r="Q12682" t="s">
        <v>621</v>
      </c>
      <c r="R12682" t="s">
        <v>920</v>
      </c>
      <c r="S12682">
        <v>38</v>
      </c>
      <c r="T12682" s="29" t="str">
        <f t="shared" ref="T12682:T12690" si="529">HYPERLINK("https://ictv.global/ictv/proposals/2022.003S.Dicistroviridae_rename.zip","2022.003S.Dicistroviridae_rename.zip")</f>
        <v>2022.003S.Dicistroviridae_rename.zip</v>
      </c>
      <c r="U12682" s="29" t="str">
        <f>HYPERLINK("https://ictv.global/taxonomy/taxondetails?taxnode_id=202301914","ictv.global=202301914")</f>
        <v>ictv.global=202301914</v>
      </c>
    </row>
    <row r="12683" spans="1:21">
      <c r="A12683">
        <v>12682</v>
      </c>
      <c r="B12683" s="30" t="s">
        <v>1226</v>
      </c>
      <c r="D12683" s="30" t="s">
        <v>2024</v>
      </c>
      <c r="F12683" s="30" t="s">
        <v>2074</v>
      </c>
      <c r="H12683" s="30" t="s">
        <v>2077</v>
      </c>
      <c r="J12683" s="30" t="s">
        <v>278</v>
      </c>
      <c r="L12683" s="30" t="s">
        <v>266</v>
      </c>
      <c r="N12683" s="30" t="s">
        <v>357</v>
      </c>
      <c r="P12683" s="30" t="s">
        <v>10981</v>
      </c>
      <c r="Q12683" t="s">
        <v>621</v>
      </c>
      <c r="R12683" t="s">
        <v>920</v>
      </c>
      <c r="S12683">
        <v>38</v>
      </c>
      <c r="T12683" s="29" t="str">
        <f t="shared" si="529"/>
        <v>2022.003S.Dicistroviridae_rename.zip</v>
      </c>
      <c r="U12683" s="29" t="str">
        <f>HYPERLINK("https://ictv.global/taxonomy/taxondetails?taxnode_id=202301917","ictv.global=202301917")</f>
        <v>ictv.global=202301917</v>
      </c>
    </row>
    <row r="12684" spans="1:21">
      <c r="A12684">
        <v>12683</v>
      </c>
      <c r="B12684" s="30" t="s">
        <v>1226</v>
      </c>
      <c r="D12684" s="30" t="s">
        <v>2024</v>
      </c>
      <c r="F12684" s="30" t="s">
        <v>2074</v>
      </c>
      <c r="H12684" s="30" t="s">
        <v>2077</v>
      </c>
      <c r="J12684" s="30" t="s">
        <v>278</v>
      </c>
      <c r="L12684" s="30" t="s">
        <v>266</v>
      </c>
      <c r="N12684" s="30" t="s">
        <v>357</v>
      </c>
      <c r="P12684" s="30" t="s">
        <v>10982</v>
      </c>
      <c r="Q12684" t="s">
        <v>621</v>
      </c>
      <c r="R12684" t="s">
        <v>920</v>
      </c>
      <c r="S12684">
        <v>38</v>
      </c>
      <c r="T12684" s="29" t="str">
        <f t="shared" si="529"/>
        <v>2022.003S.Dicistroviridae_rename.zip</v>
      </c>
      <c r="U12684" s="29" t="str">
        <f>HYPERLINK("https://ictv.global/taxonomy/taxondetails?taxnode_id=202301915","ictv.global=202301915")</f>
        <v>ictv.global=202301915</v>
      </c>
    </row>
    <row r="12685" spans="1:21">
      <c r="A12685">
        <v>12684</v>
      </c>
      <c r="B12685" s="30" t="s">
        <v>1226</v>
      </c>
      <c r="D12685" s="30" t="s">
        <v>2024</v>
      </c>
      <c r="F12685" s="30" t="s">
        <v>2074</v>
      </c>
      <c r="H12685" s="30" t="s">
        <v>2077</v>
      </c>
      <c r="J12685" s="30" t="s">
        <v>278</v>
      </c>
      <c r="L12685" s="30" t="s">
        <v>266</v>
      </c>
      <c r="N12685" s="30" t="s">
        <v>357</v>
      </c>
      <c r="P12685" s="30" t="s">
        <v>10983</v>
      </c>
      <c r="Q12685" t="s">
        <v>621</v>
      </c>
      <c r="R12685" t="s">
        <v>920</v>
      </c>
      <c r="S12685">
        <v>38</v>
      </c>
      <c r="T12685" s="29" t="str">
        <f t="shared" si="529"/>
        <v>2022.003S.Dicistroviridae_rename.zip</v>
      </c>
      <c r="U12685" s="29" t="str">
        <f>HYPERLINK("https://ictv.global/taxonomy/taxondetails?taxnode_id=202301916","ictv.global=202301916")</f>
        <v>ictv.global=202301916</v>
      </c>
    </row>
    <row r="12686" spans="1:21">
      <c r="A12686">
        <v>12685</v>
      </c>
      <c r="B12686" s="30" t="s">
        <v>1226</v>
      </c>
      <c r="D12686" s="30" t="s">
        <v>2024</v>
      </c>
      <c r="F12686" s="30" t="s">
        <v>2074</v>
      </c>
      <c r="H12686" s="30" t="s">
        <v>2077</v>
      </c>
      <c r="J12686" s="30" t="s">
        <v>278</v>
      </c>
      <c r="L12686" s="30" t="s">
        <v>266</v>
      </c>
      <c r="N12686" s="30" t="s">
        <v>357</v>
      </c>
      <c r="P12686" s="30" t="s">
        <v>10984</v>
      </c>
      <c r="Q12686" t="s">
        <v>621</v>
      </c>
      <c r="R12686" t="s">
        <v>920</v>
      </c>
      <c r="S12686">
        <v>38</v>
      </c>
      <c r="T12686" s="29" t="str">
        <f t="shared" si="529"/>
        <v>2022.003S.Dicistroviridae_rename.zip</v>
      </c>
      <c r="U12686" s="29" t="str">
        <f>HYPERLINK("https://ictv.global/taxonomy/taxondetails?taxnode_id=202301919","ictv.global=202301919")</f>
        <v>ictv.global=202301919</v>
      </c>
    </row>
    <row r="12687" spans="1:21">
      <c r="A12687">
        <v>12686</v>
      </c>
      <c r="B12687" s="30" t="s">
        <v>1226</v>
      </c>
      <c r="D12687" s="30" t="s">
        <v>2024</v>
      </c>
      <c r="F12687" s="30" t="s">
        <v>2074</v>
      </c>
      <c r="H12687" s="30" t="s">
        <v>2077</v>
      </c>
      <c r="J12687" s="30" t="s">
        <v>278</v>
      </c>
      <c r="L12687" s="30" t="s">
        <v>266</v>
      </c>
      <c r="N12687" s="30" t="s">
        <v>357</v>
      </c>
      <c r="P12687" s="30" t="s">
        <v>10985</v>
      </c>
      <c r="Q12687" t="s">
        <v>621</v>
      </c>
      <c r="R12687" t="s">
        <v>920</v>
      </c>
      <c r="S12687">
        <v>38</v>
      </c>
      <c r="T12687" s="29" t="str">
        <f t="shared" si="529"/>
        <v>2022.003S.Dicistroviridae_rename.zip</v>
      </c>
      <c r="U12687" s="29" t="str">
        <f>HYPERLINK("https://ictv.global/taxonomy/taxondetails?taxnode_id=202301918","ictv.global=202301918")</f>
        <v>ictv.global=202301918</v>
      </c>
    </row>
    <row r="12688" spans="1:21">
      <c r="A12688">
        <v>12687</v>
      </c>
      <c r="B12688" s="30" t="s">
        <v>1226</v>
      </c>
      <c r="D12688" s="30" t="s">
        <v>2024</v>
      </c>
      <c r="F12688" s="30" t="s">
        <v>2074</v>
      </c>
      <c r="H12688" s="30" t="s">
        <v>2077</v>
      </c>
      <c r="J12688" s="30" t="s">
        <v>278</v>
      </c>
      <c r="L12688" s="30" t="s">
        <v>266</v>
      </c>
      <c r="N12688" s="30" t="s">
        <v>267</v>
      </c>
      <c r="P12688" s="30" t="s">
        <v>10986</v>
      </c>
      <c r="Q12688" t="s">
        <v>621</v>
      </c>
      <c r="R12688" t="s">
        <v>920</v>
      </c>
      <c r="S12688">
        <v>38</v>
      </c>
      <c r="T12688" s="29" t="str">
        <f t="shared" si="529"/>
        <v>2022.003S.Dicistroviridae_rename.zip</v>
      </c>
      <c r="U12688" s="29" t="str">
        <f>HYPERLINK("https://ictv.global/taxonomy/taxondetails?taxnode_id=202301923","ictv.global=202301923")</f>
        <v>ictv.global=202301923</v>
      </c>
    </row>
    <row r="12689" spans="1:21">
      <c r="A12689">
        <v>12688</v>
      </c>
      <c r="B12689" s="30" t="s">
        <v>1226</v>
      </c>
      <c r="D12689" s="30" t="s">
        <v>2024</v>
      </c>
      <c r="F12689" s="30" t="s">
        <v>2074</v>
      </c>
      <c r="H12689" s="30" t="s">
        <v>2077</v>
      </c>
      <c r="J12689" s="30" t="s">
        <v>278</v>
      </c>
      <c r="L12689" s="30" t="s">
        <v>266</v>
      </c>
      <c r="N12689" s="30" t="s">
        <v>267</v>
      </c>
      <c r="P12689" s="30" t="s">
        <v>10987</v>
      </c>
      <c r="Q12689" t="s">
        <v>621</v>
      </c>
      <c r="R12689" t="s">
        <v>920</v>
      </c>
      <c r="S12689">
        <v>38</v>
      </c>
      <c r="T12689" s="29" t="str">
        <f t="shared" si="529"/>
        <v>2022.003S.Dicistroviridae_rename.zip</v>
      </c>
      <c r="U12689" s="29" t="str">
        <f>HYPERLINK("https://ictv.global/taxonomy/taxondetails?taxnode_id=202301922","ictv.global=202301922")</f>
        <v>ictv.global=202301922</v>
      </c>
    </row>
    <row r="12690" spans="1:21">
      <c r="A12690">
        <v>12689</v>
      </c>
      <c r="B12690" s="30" t="s">
        <v>1226</v>
      </c>
      <c r="D12690" s="30" t="s">
        <v>2024</v>
      </c>
      <c r="F12690" s="30" t="s">
        <v>2074</v>
      </c>
      <c r="H12690" s="30" t="s">
        <v>2077</v>
      </c>
      <c r="J12690" s="30" t="s">
        <v>278</v>
      </c>
      <c r="L12690" s="30" t="s">
        <v>266</v>
      </c>
      <c r="N12690" s="30" t="s">
        <v>267</v>
      </c>
      <c r="P12690" s="30" t="s">
        <v>10988</v>
      </c>
      <c r="Q12690" t="s">
        <v>621</v>
      </c>
      <c r="R12690" t="s">
        <v>920</v>
      </c>
      <c r="S12690">
        <v>38</v>
      </c>
      <c r="T12690" s="29" t="str">
        <f t="shared" si="529"/>
        <v>2022.003S.Dicistroviridae_rename.zip</v>
      </c>
      <c r="U12690" s="29" t="str">
        <f>HYPERLINK("https://ictv.global/taxonomy/taxondetails?taxnode_id=202301921","ictv.global=202301921")</f>
        <v>ictv.global=202301921</v>
      </c>
    </row>
    <row r="12691" spans="1:21">
      <c r="A12691">
        <v>12690</v>
      </c>
      <c r="B12691" s="30" t="s">
        <v>1226</v>
      </c>
      <c r="D12691" s="30" t="s">
        <v>2024</v>
      </c>
      <c r="F12691" s="30" t="s">
        <v>2074</v>
      </c>
      <c r="H12691" s="30" t="s">
        <v>2077</v>
      </c>
      <c r="J12691" s="30" t="s">
        <v>278</v>
      </c>
      <c r="L12691" s="30" t="s">
        <v>266</v>
      </c>
      <c r="N12691" s="30" t="s">
        <v>267</v>
      </c>
      <c r="P12691" s="30" t="s">
        <v>10989</v>
      </c>
      <c r="Q12691" t="s">
        <v>621</v>
      </c>
      <c r="R12691" t="s">
        <v>917</v>
      </c>
      <c r="S12691">
        <v>38</v>
      </c>
      <c r="T12691" s="29" t="str">
        <f>HYPERLINK("https://ictv.global/ictv/proposals/2022.006S.Cripavirus_1nsp.zip","2022.006S.Cripavirus_1nsp.zip")</f>
        <v>2022.006S.Cripavirus_1nsp.zip</v>
      </c>
      <c r="U12691" s="29" t="str">
        <f>HYPERLINK("https://ictv.global/taxonomy/taxondetails?taxnode_id=202314012","ictv.global=202314012")</f>
        <v>ictv.global=202314012</v>
      </c>
    </row>
    <row r="12692" spans="1:21">
      <c r="A12692">
        <v>12691</v>
      </c>
      <c r="B12692" s="30" t="s">
        <v>1226</v>
      </c>
      <c r="D12692" s="30" t="s">
        <v>2024</v>
      </c>
      <c r="F12692" s="30" t="s">
        <v>2074</v>
      </c>
      <c r="H12692" s="30" t="s">
        <v>2077</v>
      </c>
      <c r="J12692" s="30" t="s">
        <v>278</v>
      </c>
      <c r="L12692" s="30" t="s">
        <v>266</v>
      </c>
      <c r="N12692" s="30" t="s">
        <v>267</v>
      </c>
      <c r="P12692" s="30" t="s">
        <v>10990</v>
      </c>
      <c r="Q12692" t="s">
        <v>621</v>
      </c>
      <c r="R12692" t="s">
        <v>920</v>
      </c>
      <c r="S12692">
        <v>38</v>
      </c>
      <c r="T12692" s="29" t="str">
        <f t="shared" ref="T12692:T12697" si="530">HYPERLINK("https://ictv.global/ictv/proposals/2022.003S.Dicistroviridae_rename.zip","2022.003S.Dicistroviridae_rename.zip")</f>
        <v>2022.003S.Dicistroviridae_rename.zip</v>
      </c>
      <c r="U12692" s="29" t="str">
        <f>HYPERLINK("https://ictv.global/taxonomy/taxondetails?taxnode_id=202301924","ictv.global=202301924")</f>
        <v>ictv.global=202301924</v>
      </c>
    </row>
    <row r="12693" spans="1:21">
      <c r="A12693">
        <v>12692</v>
      </c>
      <c r="B12693" s="30" t="s">
        <v>1226</v>
      </c>
      <c r="D12693" s="30" t="s">
        <v>2024</v>
      </c>
      <c r="F12693" s="30" t="s">
        <v>2074</v>
      </c>
      <c r="H12693" s="30" t="s">
        <v>2077</v>
      </c>
      <c r="J12693" s="30" t="s">
        <v>278</v>
      </c>
      <c r="L12693" s="30" t="s">
        <v>266</v>
      </c>
      <c r="N12693" s="30" t="s">
        <v>721</v>
      </c>
      <c r="P12693" s="30" t="s">
        <v>10991</v>
      </c>
      <c r="Q12693" t="s">
        <v>621</v>
      </c>
      <c r="R12693" t="s">
        <v>920</v>
      </c>
      <c r="S12693">
        <v>38</v>
      </c>
      <c r="T12693" s="29" t="str">
        <f t="shared" si="530"/>
        <v>2022.003S.Dicistroviridae_rename.zip</v>
      </c>
      <c r="U12693" s="29" t="str">
        <f>HYPERLINK("https://ictv.global/taxonomy/taxondetails?taxnode_id=202301927","ictv.global=202301927")</f>
        <v>ictv.global=202301927</v>
      </c>
    </row>
    <row r="12694" spans="1:21">
      <c r="A12694">
        <v>12693</v>
      </c>
      <c r="B12694" s="30" t="s">
        <v>1226</v>
      </c>
      <c r="D12694" s="30" t="s">
        <v>2024</v>
      </c>
      <c r="F12694" s="30" t="s">
        <v>2074</v>
      </c>
      <c r="H12694" s="30" t="s">
        <v>2077</v>
      </c>
      <c r="J12694" s="30" t="s">
        <v>278</v>
      </c>
      <c r="L12694" s="30" t="s">
        <v>266</v>
      </c>
      <c r="N12694" s="30" t="s">
        <v>721</v>
      </c>
      <c r="P12694" s="30" t="s">
        <v>10992</v>
      </c>
      <c r="Q12694" t="s">
        <v>621</v>
      </c>
      <c r="R12694" t="s">
        <v>920</v>
      </c>
      <c r="S12694">
        <v>38</v>
      </c>
      <c r="T12694" s="29" t="str">
        <f t="shared" si="530"/>
        <v>2022.003S.Dicistroviridae_rename.zip</v>
      </c>
      <c r="U12694" s="29" t="str">
        <f>HYPERLINK("https://ictv.global/taxonomy/taxondetails?taxnode_id=202301928","ictv.global=202301928")</f>
        <v>ictv.global=202301928</v>
      </c>
    </row>
    <row r="12695" spans="1:21">
      <c r="A12695">
        <v>12694</v>
      </c>
      <c r="B12695" s="30" t="s">
        <v>1226</v>
      </c>
      <c r="D12695" s="30" t="s">
        <v>2024</v>
      </c>
      <c r="F12695" s="30" t="s">
        <v>2074</v>
      </c>
      <c r="H12695" s="30" t="s">
        <v>2077</v>
      </c>
      <c r="J12695" s="30" t="s">
        <v>278</v>
      </c>
      <c r="L12695" s="30" t="s">
        <v>266</v>
      </c>
      <c r="N12695" s="30" t="s">
        <v>721</v>
      </c>
      <c r="P12695" s="30" t="s">
        <v>10993</v>
      </c>
      <c r="Q12695" t="s">
        <v>621</v>
      </c>
      <c r="R12695" t="s">
        <v>920</v>
      </c>
      <c r="S12695">
        <v>38</v>
      </c>
      <c r="T12695" s="29" t="str">
        <f t="shared" si="530"/>
        <v>2022.003S.Dicistroviridae_rename.zip</v>
      </c>
      <c r="U12695" s="29" t="str">
        <f>HYPERLINK("https://ictv.global/taxonomy/taxondetails?taxnode_id=202301926","ictv.global=202301926")</f>
        <v>ictv.global=202301926</v>
      </c>
    </row>
    <row r="12696" spans="1:21">
      <c r="A12696">
        <v>12695</v>
      </c>
      <c r="B12696" s="30" t="s">
        <v>1226</v>
      </c>
      <c r="D12696" s="30" t="s">
        <v>2024</v>
      </c>
      <c r="F12696" s="30" t="s">
        <v>2074</v>
      </c>
      <c r="H12696" s="30" t="s">
        <v>2077</v>
      </c>
      <c r="J12696" s="30" t="s">
        <v>278</v>
      </c>
      <c r="L12696" s="30" t="s">
        <v>266</v>
      </c>
      <c r="N12696" s="30" t="s">
        <v>721</v>
      </c>
      <c r="P12696" s="30" t="s">
        <v>10994</v>
      </c>
      <c r="Q12696" t="s">
        <v>621</v>
      </c>
      <c r="R12696" t="s">
        <v>920</v>
      </c>
      <c r="S12696">
        <v>38</v>
      </c>
      <c r="T12696" s="29" t="str">
        <f t="shared" si="530"/>
        <v>2022.003S.Dicistroviridae_rename.zip</v>
      </c>
      <c r="U12696" s="29" t="str">
        <f>HYPERLINK("https://ictv.global/taxonomy/taxondetails?taxnode_id=202301929","ictv.global=202301929")</f>
        <v>ictv.global=202301929</v>
      </c>
    </row>
    <row r="12697" spans="1:21">
      <c r="A12697">
        <v>12696</v>
      </c>
      <c r="B12697" s="30" t="s">
        <v>1226</v>
      </c>
      <c r="D12697" s="30" t="s">
        <v>2024</v>
      </c>
      <c r="F12697" s="30" t="s">
        <v>2074</v>
      </c>
      <c r="H12697" s="30" t="s">
        <v>2077</v>
      </c>
      <c r="J12697" s="30" t="s">
        <v>278</v>
      </c>
      <c r="L12697" s="30" t="s">
        <v>266</v>
      </c>
      <c r="N12697" s="30" t="s">
        <v>721</v>
      </c>
      <c r="P12697" s="30" t="s">
        <v>10995</v>
      </c>
      <c r="Q12697" t="s">
        <v>621</v>
      </c>
      <c r="R12697" t="s">
        <v>920</v>
      </c>
      <c r="S12697">
        <v>38</v>
      </c>
      <c r="T12697" s="29" t="str">
        <f t="shared" si="530"/>
        <v>2022.003S.Dicistroviridae_rename.zip</v>
      </c>
      <c r="U12697" s="29" t="str">
        <f>HYPERLINK("https://ictv.global/taxonomy/taxondetails?taxnode_id=202301930","ictv.global=202301930")</f>
        <v>ictv.global=202301930</v>
      </c>
    </row>
    <row r="12698" spans="1:21">
      <c r="A12698">
        <v>12697</v>
      </c>
      <c r="B12698" s="30" t="s">
        <v>1226</v>
      </c>
      <c r="D12698" s="30" t="s">
        <v>2024</v>
      </c>
      <c r="F12698" s="30" t="s">
        <v>2074</v>
      </c>
      <c r="H12698" s="30" t="s">
        <v>2077</v>
      </c>
      <c r="J12698" s="30" t="s">
        <v>278</v>
      </c>
      <c r="L12698" s="30" t="s">
        <v>291</v>
      </c>
      <c r="N12698" s="30" t="s">
        <v>292</v>
      </c>
      <c r="P12698" s="30" t="s">
        <v>10996</v>
      </c>
      <c r="Q12698" t="s">
        <v>621</v>
      </c>
      <c r="R12698" t="s">
        <v>920</v>
      </c>
      <c r="S12698">
        <v>38</v>
      </c>
      <c r="T12698" s="29" t="str">
        <f t="shared" ref="T12698:T12713" si="531">HYPERLINK("https://ictv.global/ictv/proposals/2022.004S.Iflaviridae_rename.zip","2022.004S.Iflaviridae_rename.zip")</f>
        <v>2022.004S.Iflaviridae_rename.zip</v>
      </c>
      <c r="U12698" s="29" t="str">
        <f>HYPERLINK("https://ictv.global/taxonomy/taxondetails?taxnode_id=202313895","ictv.global=202313895")</f>
        <v>ictv.global=202313895</v>
      </c>
    </row>
    <row r="12699" spans="1:21">
      <c r="A12699">
        <v>12698</v>
      </c>
      <c r="B12699" s="30" t="s">
        <v>1226</v>
      </c>
      <c r="D12699" s="30" t="s">
        <v>2024</v>
      </c>
      <c r="F12699" s="30" t="s">
        <v>2074</v>
      </c>
      <c r="H12699" s="30" t="s">
        <v>2077</v>
      </c>
      <c r="J12699" s="30" t="s">
        <v>278</v>
      </c>
      <c r="L12699" s="30" t="s">
        <v>291</v>
      </c>
      <c r="N12699" s="30" t="s">
        <v>292</v>
      </c>
      <c r="P12699" s="30" t="s">
        <v>10997</v>
      </c>
      <c r="Q12699" t="s">
        <v>621</v>
      </c>
      <c r="R12699" t="s">
        <v>920</v>
      </c>
      <c r="S12699">
        <v>38</v>
      </c>
      <c r="T12699" s="29" t="str">
        <f t="shared" si="531"/>
        <v>2022.004S.Iflaviridae_rename.zip</v>
      </c>
      <c r="U12699" s="29" t="str">
        <f>HYPERLINK("https://ictv.global/taxonomy/taxondetails?taxnode_id=202301936","ictv.global=202301936")</f>
        <v>ictv.global=202301936</v>
      </c>
    </row>
    <row r="12700" spans="1:21">
      <c r="A12700">
        <v>12699</v>
      </c>
      <c r="B12700" s="30" t="s">
        <v>1226</v>
      </c>
      <c r="D12700" s="30" t="s">
        <v>2024</v>
      </c>
      <c r="F12700" s="30" t="s">
        <v>2074</v>
      </c>
      <c r="H12700" s="30" t="s">
        <v>2077</v>
      </c>
      <c r="J12700" s="30" t="s">
        <v>278</v>
      </c>
      <c r="L12700" s="30" t="s">
        <v>291</v>
      </c>
      <c r="N12700" s="30" t="s">
        <v>292</v>
      </c>
      <c r="P12700" s="30" t="s">
        <v>10998</v>
      </c>
      <c r="Q12700" t="s">
        <v>621</v>
      </c>
      <c r="R12700" t="s">
        <v>920</v>
      </c>
      <c r="S12700">
        <v>38</v>
      </c>
      <c r="T12700" s="29" t="str">
        <f t="shared" si="531"/>
        <v>2022.004S.Iflaviridae_rename.zip</v>
      </c>
      <c r="U12700" s="29" t="str">
        <f>HYPERLINK("https://ictv.global/taxonomy/taxondetails?taxnode_id=202301945","ictv.global=202301945")</f>
        <v>ictv.global=202301945</v>
      </c>
    </row>
    <row r="12701" spans="1:21">
      <c r="A12701">
        <v>12700</v>
      </c>
      <c r="B12701" s="30" t="s">
        <v>1226</v>
      </c>
      <c r="D12701" s="30" t="s">
        <v>2024</v>
      </c>
      <c r="F12701" s="30" t="s">
        <v>2074</v>
      </c>
      <c r="H12701" s="30" t="s">
        <v>2077</v>
      </c>
      <c r="J12701" s="30" t="s">
        <v>278</v>
      </c>
      <c r="L12701" s="30" t="s">
        <v>291</v>
      </c>
      <c r="N12701" s="30" t="s">
        <v>292</v>
      </c>
      <c r="P12701" s="30" t="s">
        <v>10999</v>
      </c>
      <c r="Q12701" t="s">
        <v>621</v>
      </c>
      <c r="R12701" t="s">
        <v>920</v>
      </c>
      <c r="S12701">
        <v>38</v>
      </c>
      <c r="T12701" s="29" t="str">
        <f t="shared" si="531"/>
        <v>2022.004S.Iflaviridae_rename.zip</v>
      </c>
      <c r="U12701" s="29" t="str">
        <f>HYPERLINK("https://ictv.global/taxonomy/taxondetails?taxnode_id=202301947","ictv.global=202301947")</f>
        <v>ictv.global=202301947</v>
      </c>
    </row>
    <row r="12702" spans="1:21">
      <c r="A12702">
        <v>12701</v>
      </c>
      <c r="B12702" s="30" t="s">
        <v>1226</v>
      </c>
      <c r="D12702" s="30" t="s">
        <v>2024</v>
      </c>
      <c r="F12702" s="30" t="s">
        <v>2074</v>
      </c>
      <c r="H12702" s="30" t="s">
        <v>2077</v>
      </c>
      <c r="J12702" s="30" t="s">
        <v>278</v>
      </c>
      <c r="L12702" s="30" t="s">
        <v>291</v>
      </c>
      <c r="N12702" s="30" t="s">
        <v>292</v>
      </c>
      <c r="P12702" s="30" t="s">
        <v>11000</v>
      </c>
      <c r="Q12702" t="s">
        <v>621</v>
      </c>
      <c r="R12702" t="s">
        <v>920</v>
      </c>
      <c r="S12702">
        <v>38</v>
      </c>
      <c r="T12702" s="29" t="str">
        <f t="shared" si="531"/>
        <v>2022.004S.Iflaviridae_rename.zip</v>
      </c>
      <c r="U12702" s="29" t="str">
        <f>HYPERLINK("https://ictv.global/taxonomy/taxondetails?taxnode_id=202301935","ictv.global=202301935")</f>
        <v>ictv.global=202301935</v>
      </c>
    </row>
    <row r="12703" spans="1:21">
      <c r="A12703">
        <v>12702</v>
      </c>
      <c r="B12703" s="30" t="s">
        <v>1226</v>
      </c>
      <c r="D12703" s="30" t="s">
        <v>2024</v>
      </c>
      <c r="F12703" s="30" t="s">
        <v>2074</v>
      </c>
      <c r="H12703" s="30" t="s">
        <v>2077</v>
      </c>
      <c r="J12703" s="30" t="s">
        <v>278</v>
      </c>
      <c r="L12703" s="30" t="s">
        <v>291</v>
      </c>
      <c r="N12703" s="30" t="s">
        <v>292</v>
      </c>
      <c r="P12703" s="30" t="s">
        <v>11001</v>
      </c>
      <c r="Q12703" t="s">
        <v>621</v>
      </c>
      <c r="R12703" t="s">
        <v>920</v>
      </c>
      <c r="S12703">
        <v>38</v>
      </c>
      <c r="T12703" s="29" t="str">
        <f t="shared" si="531"/>
        <v>2022.004S.Iflaviridae_rename.zip</v>
      </c>
      <c r="U12703" s="29" t="str">
        <f>HYPERLINK("https://ictv.global/taxonomy/taxondetails?taxnode_id=202301937","ictv.global=202301937")</f>
        <v>ictv.global=202301937</v>
      </c>
    </row>
    <row r="12704" spans="1:21">
      <c r="A12704">
        <v>12703</v>
      </c>
      <c r="B12704" s="30" t="s">
        <v>1226</v>
      </c>
      <c r="D12704" s="30" t="s">
        <v>2024</v>
      </c>
      <c r="F12704" s="30" t="s">
        <v>2074</v>
      </c>
      <c r="H12704" s="30" t="s">
        <v>2077</v>
      </c>
      <c r="J12704" s="30" t="s">
        <v>278</v>
      </c>
      <c r="L12704" s="30" t="s">
        <v>291</v>
      </c>
      <c r="N12704" s="30" t="s">
        <v>292</v>
      </c>
      <c r="P12704" s="30" t="s">
        <v>11002</v>
      </c>
      <c r="Q12704" t="s">
        <v>621</v>
      </c>
      <c r="R12704" t="s">
        <v>920</v>
      </c>
      <c r="S12704">
        <v>38</v>
      </c>
      <c r="T12704" s="29" t="str">
        <f t="shared" si="531"/>
        <v>2022.004S.Iflaviridae_rename.zip</v>
      </c>
      <c r="U12704" s="29" t="str">
        <f>HYPERLINK("https://ictv.global/taxonomy/taxondetails?taxnode_id=202301938","ictv.global=202301938")</f>
        <v>ictv.global=202301938</v>
      </c>
    </row>
    <row r="12705" spans="1:21">
      <c r="A12705">
        <v>12704</v>
      </c>
      <c r="B12705" s="30" t="s">
        <v>1226</v>
      </c>
      <c r="D12705" s="30" t="s">
        <v>2024</v>
      </c>
      <c r="F12705" s="30" t="s">
        <v>2074</v>
      </c>
      <c r="H12705" s="30" t="s">
        <v>2077</v>
      </c>
      <c r="J12705" s="30" t="s">
        <v>278</v>
      </c>
      <c r="L12705" s="30" t="s">
        <v>291</v>
      </c>
      <c r="N12705" s="30" t="s">
        <v>292</v>
      </c>
      <c r="P12705" s="30" t="s">
        <v>11003</v>
      </c>
      <c r="Q12705" t="s">
        <v>621</v>
      </c>
      <c r="R12705" t="s">
        <v>920</v>
      </c>
      <c r="S12705">
        <v>38</v>
      </c>
      <c r="T12705" s="29" t="str">
        <f t="shared" si="531"/>
        <v>2022.004S.Iflaviridae_rename.zip</v>
      </c>
      <c r="U12705" s="29" t="str">
        <f>HYPERLINK("https://ictv.global/taxonomy/taxondetails?taxnode_id=202301939","ictv.global=202301939")</f>
        <v>ictv.global=202301939</v>
      </c>
    </row>
    <row r="12706" spans="1:21">
      <c r="A12706">
        <v>12705</v>
      </c>
      <c r="B12706" s="30" t="s">
        <v>1226</v>
      </c>
      <c r="D12706" s="30" t="s">
        <v>2024</v>
      </c>
      <c r="F12706" s="30" t="s">
        <v>2074</v>
      </c>
      <c r="H12706" s="30" t="s">
        <v>2077</v>
      </c>
      <c r="J12706" s="30" t="s">
        <v>278</v>
      </c>
      <c r="L12706" s="30" t="s">
        <v>291</v>
      </c>
      <c r="N12706" s="30" t="s">
        <v>292</v>
      </c>
      <c r="P12706" s="30" t="s">
        <v>11004</v>
      </c>
      <c r="Q12706" t="s">
        <v>621</v>
      </c>
      <c r="R12706" t="s">
        <v>920</v>
      </c>
      <c r="S12706">
        <v>38</v>
      </c>
      <c r="T12706" s="29" t="str">
        <f t="shared" si="531"/>
        <v>2022.004S.Iflaviridae_rename.zip</v>
      </c>
      <c r="U12706" s="29" t="str">
        <f>HYPERLINK("https://ictv.global/taxonomy/taxondetails?taxnode_id=202301941","ictv.global=202301941")</f>
        <v>ictv.global=202301941</v>
      </c>
    </row>
    <row r="12707" spans="1:21">
      <c r="A12707">
        <v>12706</v>
      </c>
      <c r="B12707" s="30" t="s">
        <v>1226</v>
      </c>
      <c r="D12707" s="30" t="s">
        <v>2024</v>
      </c>
      <c r="F12707" s="30" t="s">
        <v>2074</v>
      </c>
      <c r="H12707" s="30" t="s">
        <v>2077</v>
      </c>
      <c r="J12707" s="30" t="s">
        <v>278</v>
      </c>
      <c r="L12707" s="30" t="s">
        <v>291</v>
      </c>
      <c r="N12707" s="30" t="s">
        <v>292</v>
      </c>
      <c r="P12707" s="30" t="s">
        <v>11005</v>
      </c>
      <c r="Q12707" t="s">
        <v>621</v>
      </c>
      <c r="R12707" t="s">
        <v>920</v>
      </c>
      <c r="S12707">
        <v>38</v>
      </c>
      <c r="T12707" s="29" t="str">
        <f t="shared" si="531"/>
        <v>2022.004S.Iflaviridae_rename.zip</v>
      </c>
      <c r="U12707" s="29" t="str">
        <f>HYPERLINK("https://ictv.global/taxonomy/taxondetails?taxnode_id=202301940","ictv.global=202301940")</f>
        <v>ictv.global=202301940</v>
      </c>
    </row>
    <row r="12708" spans="1:21">
      <c r="A12708">
        <v>12707</v>
      </c>
      <c r="B12708" s="30" t="s">
        <v>1226</v>
      </c>
      <c r="D12708" s="30" t="s">
        <v>2024</v>
      </c>
      <c r="F12708" s="30" t="s">
        <v>2074</v>
      </c>
      <c r="H12708" s="30" t="s">
        <v>2077</v>
      </c>
      <c r="J12708" s="30" t="s">
        <v>278</v>
      </c>
      <c r="L12708" s="30" t="s">
        <v>291</v>
      </c>
      <c r="N12708" s="30" t="s">
        <v>292</v>
      </c>
      <c r="P12708" s="30" t="s">
        <v>11006</v>
      </c>
      <c r="Q12708" t="s">
        <v>621</v>
      </c>
      <c r="R12708" t="s">
        <v>920</v>
      </c>
      <c r="S12708">
        <v>38</v>
      </c>
      <c r="T12708" s="29" t="str">
        <f t="shared" si="531"/>
        <v>2022.004S.Iflaviridae_rename.zip</v>
      </c>
      <c r="U12708" s="29" t="str">
        <f>HYPERLINK("https://ictv.global/taxonomy/taxondetails?taxnode_id=202301942","ictv.global=202301942")</f>
        <v>ictv.global=202301942</v>
      </c>
    </row>
    <row r="12709" spans="1:21">
      <c r="A12709">
        <v>12708</v>
      </c>
      <c r="B12709" s="30" t="s">
        <v>1226</v>
      </c>
      <c r="D12709" s="30" t="s">
        <v>2024</v>
      </c>
      <c r="F12709" s="30" t="s">
        <v>2074</v>
      </c>
      <c r="H12709" s="30" t="s">
        <v>2077</v>
      </c>
      <c r="J12709" s="30" t="s">
        <v>278</v>
      </c>
      <c r="L12709" s="30" t="s">
        <v>291</v>
      </c>
      <c r="N12709" s="30" t="s">
        <v>292</v>
      </c>
      <c r="P12709" s="30" t="s">
        <v>11007</v>
      </c>
      <c r="Q12709" t="s">
        <v>621</v>
      </c>
      <c r="R12709" t="s">
        <v>920</v>
      </c>
      <c r="S12709">
        <v>38</v>
      </c>
      <c r="T12709" s="29" t="str">
        <f t="shared" si="531"/>
        <v>2022.004S.Iflaviridae_rename.zip</v>
      </c>
      <c r="U12709" s="29" t="str">
        <f>HYPERLINK("https://ictv.global/taxonomy/taxondetails?taxnode_id=202301943","ictv.global=202301943")</f>
        <v>ictv.global=202301943</v>
      </c>
    </row>
    <row r="12710" spans="1:21">
      <c r="A12710">
        <v>12709</v>
      </c>
      <c r="B12710" s="30" t="s">
        <v>1226</v>
      </c>
      <c r="D12710" s="30" t="s">
        <v>2024</v>
      </c>
      <c r="F12710" s="30" t="s">
        <v>2074</v>
      </c>
      <c r="H12710" s="30" t="s">
        <v>2077</v>
      </c>
      <c r="J12710" s="30" t="s">
        <v>278</v>
      </c>
      <c r="L12710" s="30" t="s">
        <v>291</v>
      </c>
      <c r="N12710" s="30" t="s">
        <v>292</v>
      </c>
      <c r="P12710" s="30" t="s">
        <v>11008</v>
      </c>
      <c r="Q12710" t="s">
        <v>621</v>
      </c>
      <c r="R12710" t="s">
        <v>920</v>
      </c>
      <c r="S12710">
        <v>38</v>
      </c>
      <c r="T12710" s="29" t="str">
        <f t="shared" si="531"/>
        <v>2022.004S.Iflaviridae_rename.zip</v>
      </c>
      <c r="U12710" s="29" t="str">
        <f>HYPERLINK("https://ictv.global/taxonomy/taxondetails?taxnode_id=202301944","ictv.global=202301944")</f>
        <v>ictv.global=202301944</v>
      </c>
    </row>
    <row r="12711" spans="1:21">
      <c r="A12711">
        <v>12710</v>
      </c>
      <c r="B12711" s="30" t="s">
        <v>1226</v>
      </c>
      <c r="D12711" s="30" t="s">
        <v>2024</v>
      </c>
      <c r="F12711" s="30" t="s">
        <v>2074</v>
      </c>
      <c r="H12711" s="30" t="s">
        <v>2077</v>
      </c>
      <c r="J12711" s="30" t="s">
        <v>278</v>
      </c>
      <c r="L12711" s="30" t="s">
        <v>291</v>
      </c>
      <c r="N12711" s="30" t="s">
        <v>292</v>
      </c>
      <c r="P12711" s="30" t="s">
        <v>11009</v>
      </c>
      <c r="Q12711" t="s">
        <v>621</v>
      </c>
      <c r="R12711" t="s">
        <v>920</v>
      </c>
      <c r="S12711">
        <v>38</v>
      </c>
      <c r="T12711" s="29" t="str">
        <f t="shared" si="531"/>
        <v>2022.004S.Iflaviridae_rename.zip</v>
      </c>
      <c r="U12711" s="29" t="str">
        <f>HYPERLINK("https://ictv.global/taxonomy/taxondetails?taxnode_id=202301946","ictv.global=202301946")</f>
        <v>ictv.global=202301946</v>
      </c>
    </row>
    <row r="12712" spans="1:21">
      <c r="A12712">
        <v>12711</v>
      </c>
      <c r="B12712" s="30" t="s">
        <v>1226</v>
      </c>
      <c r="D12712" s="30" t="s">
        <v>2024</v>
      </c>
      <c r="F12712" s="30" t="s">
        <v>2074</v>
      </c>
      <c r="H12712" s="30" t="s">
        <v>2077</v>
      </c>
      <c r="J12712" s="30" t="s">
        <v>278</v>
      </c>
      <c r="L12712" s="30" t="s">
        <v>291</v>
      </c>
      <c r="N12712" s="30" t="s">
        <v>292</v>
      </c>
      <c r="P12712" s="30" t="s">
        <v>11010</v>
      </c>
      <c r="Q12712" t="s">
        <v>621</v>
      </c>
      <c r="R12712" t="s">
        <v>920</v>
      </c>
      <c r="S12712">
        <v>38</v>
      </c>
      <c r="T12712" s="29" t="str">
        <f t="shared" si="531"/>
        <v>2022.004S.Iflaviridae_rename.zip</v>
      </c>
      <c r="U12712" s="29" t="str">
        <f>HYPERLINK("https://ictv.global/taxonomy/taxondetails?taxnode_id=202313894","ictv.global=202313894")</f>
        <v>ictv.global=202313894</v>
      </c>
    </row>
    <row r="12713" spans="1:21">
      <c r="A12713">
        <v>12712</v>
      </c>
      <c r="B12713" s="30" t="s">
        <v>1226</v>
      </c>
      <c r="D12713" s="30" t="s">
        <v>2024</v>
      </c>
      <c r="F12713" s="30" t="s">
        <v>2074</v>
      </c>
      <c r="H12713" s="30" t="s">
        <v>2077</v>
      </c>
      <c r="J12713" s="30" t="s">
        <v>278</v>
      </c>
      <c r="L12713" s="30" t="s">
        <v>291</v>
      </c>
      <c r="N12713" s="30" t="s">
        <v>292</v>
      </c>
      <c r="P12713" s="30" t="s">
        <v>11011</v>
      </c>
      <c r="Q12713" t="s">
        <v>621</v>
      </c>
      <c r="R12713" t="s">
        <v>920</v>
      </c>
      <c r="S12713">
        <v>38</v>
      </c>
      <c r="T12713" s="29" t="str">
        <f t="shared" si="531"/>
        <v>2022.004S.Iflaviridae_rename.zip</v>
      </c>
      <c r="U12713" s="29" t="str">
        <f>HYPERLINK("https://ictv.global/taxonomy/taxondetails?taxnode_id=202301934","ictv.global=202301934")</f>
        <v>ictv.global=202301934</v>
      </c>
    </row>
    <row r="12714" spans="1:21">
      <c r="A12714">
        <v>12713</v>
      </c>
      <c r="B12714" s="30" t="s">
        <v>1226</v>
      </c>
      <c r="D12714" s="30" t="s">
        <v>2024</v>
      </c>
      <c r="F12714" s="30" t="s">
        <v>2074</v>
      </c>
      <c r="H12714" s="30" t="s">
        <v>2077</v>
      </c>
      <c r="J12714" s="30" t="s">
        <v>278</v>
      </c>
      <c r="L12714" s="30" t="s">
        <v>293</v>
      </c>
      <c r="N12714" s="30" t="s">
        <v>1</v>
      </c>
      <c r="P12714" s="30" t="s">
        <v>966</v>
      </c>
      <c r="Q12714" t="s">
        <v>621</v>
      </c>
      <c r="R12714" t="s">
        <v>919</v>
      </c>
      <c r="S12714">
        <v>35</v>
      </c>
      <c r="T12714" s="29" t="str">
        <f>HYPERLINK("https://ictv.global/ictv/proposals/2019.006G.zip","2019.006G.zip")</f>
        <v>2019.006G.zip</v>
      </c>
      <c r="U12714" s="29" t="str">
        <f>HYPERLINK("https://ictv.global/taxonomy/taxondetails?taxnode_id=202302166","ictv.global=202302166")</f>
        <v>ictv.global=202302166</v>
      </c>
    </row>
    <row r="12715" spans="1:21">
      <c r="A12715">
        <v>12714</v>
      </c>
      <c r="B12715" s="30" t="s">
        <v>1226</v>
      </c>
      <c r="D12715" s="30" t="s">
        <v>2024</v>
      </c>
      <c r="F12715" s="30" t="s">
        <v>2074</v>
      </c>
      <c r="H12715" s="30" t="s">
        <v>2077</v>
      </c>
      <c r="J12715" s="30" t="s">
        <v>278</v>
      </c>
      <c r="L12715" s="30" t="s">
        <v>293</v>
      </c>
      <c r="N12715" s="30" t="s">
        <v>1</v>
      </c>
      <c r="P12715" s="30" t="s">
        <v>2</v>
      </c>
      <c r="Q12715" t="s">
        <v>621</v>
      </c>
      <c r="R12715" t="s">
        <v>919</v>
      </c>
      <c r="S12715">
        <v>35</v>
      </c>
      <c r="T12715" s="29" t="str">
        <f>HYPERLINK("https://ictv.global/ictv/proposals/2019.006G.zip","2019.006G.zip")</f>
        <v>2019.006G.zip</v>
      </c>
      <c r="U12715" s="29" t="str">
        <f>HYPERLINK("https://ictv.global/taxonomy/taxondetails?taxnode_id=202302167","ictv.global=202302167")</f>
        <v>ictv.global=202302167</v>
      </c>
    </row>
    <row r="12716" spans="1:21">
      <c r="A12716">
        <v>12715</v>
      </c>
      <c r="B12716" s="30" t="s">
        <v>1226</v>
      </c>
      <c r="D12716" s="30" t="s">
        <v>2024</v>
      </c>
      <c r="F12716" s="30" t="s">
        <v>2074</v>
      </c>
      <c r="H12716" s="30" t="s">
        <v>2077</v>
      </c>
      <c r="J12716" s="30" t="s">
        <v>278</v>
      </c>
      <c r="L12716" s="30" t="s">
        <v>293</v>
      </c>
      <c r="N12716" s="30" t="s">
        <v>1</v>
      </c>
      <c r="P12716" s="30" t="s">
        <v>3</v>
      </c>
      <c r="Q12716" t="s">
        <v>621</v>
      </c>
      <c r="R12716" t="s">
        <v>3894</v>
      </c>
      <c r="S12716">
        <v>36</v>
      </c>
      <c r="T12716" s="29" t="str">
        <f>HYPERLINK("https://ictv.global/ictv/proposals/2020.001G.R.Abolish_type_species.pdf","2020.001G.R.Abolish_type_species.pdf")</f>
        <v>2020.001G.R.Abolish_type_species.pdf</v>
      </c>
      <c r="U12716" s="29" t="str">
        <f>HYPERLINK("https://ictv.global/taxonomy/taxondetails?taxnode_id=202302168","ictv.global=202302168")</f>
        <v>ictv.global=202302168</v>
      </c>
    </row>
    <row r="12717" spans="1:21">
      <c r="A12717">
        <v>12716</v>
      </c>
      <c r="B12717" s="30" t="s">
        <v>1226</v>
      </c>
      <c r="D12717" s="30" t="s">
        <v>2024</v>
      </c>
      <c r="F12717" s="30" t="s">
        <v>2074</v>
      </c>
      <c r="H12717" s="30" t="s">
        <v>2077</v>
      </c>
      <c r="J12717" s="30" t="s">
        <v>278</v>
      </c>
      <c r="L12717" s="30" t="s">
        <v>293</v>
      </c>
      <c r="N12717" s="30" t="s">
        <v>1262</v>
      </c>
      <c r="P12717" s="30" t="s">
        <v>1263</v>
      </c>
      <c r="Q12717" t="s">
        <v>621</v>
      </c>
      <c r="R12717" t="s">
        <v>3894</v>
      </c>
      <c r="S12717">
        <v>36</v>
      </c>
      <c r="T12717" s="29" t="str">
        <f>HYPERLINK("https://ictv.global/ictv/proposals/2020.001G.R.Abolish_type_species.pdf","2020.001G.R.Abolish_type_species.pdf")</f>
        <v>2020.001G.R.Abolish_type_species.pdf</v>
      </c>
      <c r="U12717" s="29" t="str">
        <f>HYPERLINK("https://ictv.global/taxonomy/taxondetails?taxnode_id=202306540","ictv.global=202306540")</f>
        <v>ictv.global=202306540</v>
      </c>
    </row>
    <row r="12718" spans="1:21">
      <c r="A12718">
        <v>12717</v>
      </c>
      <c r="B12718" s="30" t="s">
        <v>1226</v>
      </c>
      <c r="D12718" s="30" t="s">
        <v>2024</v>
      </c>
      <c r="F12718" s="30" t="s">
        <v>2074</v>
      </c>
      <c r="H12718" s="30" t="s">
        <v>2077</v>
      </c>
      <c r="J12718" s="30" t="s">
        <v>278</v>
      </c>
      <c r="L12718" s="30" t="s">
        <v>293</v>
      </c>
      <c r="N12718" s="30" t="s">
        <v>4</v>
      </c>
      <c r="P12718" s="30" t="s">
        <v>5</v>
      </c>
      <c r="Q12718" t="s">
        <v>621</v>
      </c>
      <c r="R12718" t="s">
        <v>3894</v>
      </c>
      <c r="S12718">
        <v>36</v>
      </c>
      <c r="T12718" s="29" t="str">
        <f>HYPERLINK("https://ictv.global/ictv/proposals/2020.001G.R.Abolish_type_species.pdf","2020.001G.R.Abolish_type_species.pdf")</f>
        <v>2020.001G.R.Abolish_type_species.pdf</v>
      </c>
      <c r="U12718" s="29" t="str">
        <f>HYPERLINK("https://ictv.global/taxonomy/taxondetails?taxnode_id=202302170","ictv.global=202302170")</f>
        <v>ictv.global=202302170</v>
      </c>
    </row>
    <row r="12719" spans="1:21">
      <c r="A12719">
        <v>12718</v>
      </c>
      <c r="B12719" s="30" t="s">
        <v>1226</v>
      </c>
      <c r="D12719" s="30" t="s">
        <v>2024</v>
      </c>
      <c r="F12719" s="30" t="s">
        <v>2074</v>
      </c>
      <c r="H12719" s="30" t="s">
        <v>2077</v>
      </c>
      <c r="J12719" s="30" t="s">
        <v>278</v>
      </c>
      <c r="L12719" s="30" t="s">
        <v>293</v>
      </c>
      <c r="N12719" s="30" t="s">
        <v>1264</v>
      </c>
      <c r="P12719" s="30" t="s">
        <v>1265</v>
      </c>
      <c r="Q12719" t="s">
        <v>621</v>
      </c>
      <c r="R12719" t="s">
        <v>3894</v>
      </c>
      <c r="S12719">
        <v>36</v>
      </c>
      <c r="T12719" s="29" t="str">
        <f>HYPERLINK("https://ictv.global/ictv/proposals/2020.001G.R.Abolish_type_species.pdf","2020.001G.R.Abolish_type_species.pdf")</f>
        <v>2020.001G.R.Abolish_type_species.pdf</v>
      </c>
      <c r="U12719" s="29" t="str">
        <f>HYPERLINK("https://ictv.global/taxonomy/taxondetails?taxnode_id=202306538","ictv.global=202306538")</f>
        <v>ictv.global=202306538</v>
      </c>
    </row>
    <row r="12720" spans="1:21">
      <c r="A12720">
        <v>12719</v>
      </c>
      <c r="B12720" s="30" t="s">
        <v>1226</v>
      </c>
      <c r="D12720" s="30" t="s">
        <v>2024</v>
      </c>
      <c r="F12720" s="30" t="s">
        <v>2074</v>
      </c>
      <c r="H12720" s="30" t="s">
        <v>2077</v>
      </c>
      <c r="J12720" s="30" t="s">
        <v>278</v>
      </c>
      <c r="L12720" s="30" t="s">
        <v>293</v>
      </c>
      <c r="N12720" s="30" t="s">
        <v>1264</v>
      </c>
      <c r="P12720" s="30" t="s">
        <v>1266</v>
      </c>
      <c r="Q12720" t="s">
        <v>621</v>
      </c>
      <c r="R12720" t="s">
        <v>919</v>
      </c>
      <c r="S12720">
        <v>35</v>
      </c>
      <c r="T12720" s="29" t="str">
        <f>HYPERLINK("https://ictv.global/ictv/proposals/2019.006G.zip","2019.006G.zip")</f>
        <v>2019.006G.zip</v>
      </c>
      <c r="U12720" s="29" t="str">
        <f>HYPERLINK("https://ictv.global/taxonomy/taxondetails?taxnode_id=202306536","ictv.global=202306536")</f>
        <v>ictv.global=202306536</v>
      </c>
    </row>
    <row r="12721" spans="1:21">
      <c r="A12721">
        <v>12720</v>
      </c>
      <c r="B12721" s="30" t="s">
        <v>1226</v>
      </c>
      <c r="D12721" s="30" t="s">
        <v>2024</v>
      </c>
      <c r="F12721" s="30" t="s">
        <v>2074</v>
      </c>
      <c r="H12721" s="30" t="s">
        <v>2077</v>
      </c>
      <c r="J12721" s="30" t="s">
        <v>278</v>
      </c>
      <c r="L12721" s="30" t="s">
        <v>293</v>
      </c>
      <c r="N12721" s="30" t="s">
        <v>1264</v>
      </c>
      <c r="P12721" s="30" t="s">
        <v>1267</v>
      </c>
      <c r="Q12721" t="s">
        <v>621</v>
      </c>
      <c r="R12721" t="s">
        <v>919</v>
      </c>
      <c r="S12721">
        <v>35</v>
      </c>
      <c r="T12721" s="29" t="str">
        <f>HYPERLINK("https://ictv.global/ictv/proposals/2019.006G.zip","2019.006G.zip")</f>
        <v>2019.006G.zip</v>
      </c>
      <c r="U12721" s="29" t="str">
        <f>HYPERLINK("https://ictv.global/taxonomy/taxondetails?taxnode_id=202306535","ictv.global=202306535")</f>
        <v>ictv.global=202306535</v>
      </c>
    </row>
    <row r="12722" spans="1:21">
      <c r="A12722">
        <v>12721</v>
      </c>
      <c r="B12722" s="30" t="s">
        <v>1226</v>
      </c>
      <c r="D12722" s="30" t="s">
        <v>2024</v>
      </c>
      <c r="F12722" s="30" t="s">
        <v>2074</v>
      </c>
      <c r="H12722" s="30" t="s">
        <v>2077</v>
      </c>
      <c r="J12722" s="30" t="s">
        <v>278</v>
      </c>
      <c r="L12722" s="30" t="s">
        <v>293</v>
      </c>
      <c r="N12722" s="30" t="s">
        <v>1264</v>
      </c>
      <c r="P12722" s="30" t="s">
        <v>1268</v>
      </c>
      <c r="Q12722" t="s">
        <v>621</v>
      </c>
      <c r="R12722" t="s">
        <v>919</v>
      </c>
      <c r="S12722">
        <v>35</v>
      </c>
      <c r="T12722" s="29" t="str">
        <f>HYPERLINK("https://ictv.global/ictv/proposals/2019.006G.zip","2019.006G.zip")</f>
        <v>2019.006G.zip</v>
      </c>
      <c r="U12722" s="29" t="str">
        <f>HYPERLINK("https://ictv.global/taxonomy/taxondetails?taxnode_id=202306537","ictv.global=202306537")</f>
        <v>ictv.global=202306537</v>
      </c>
    </row>
    <row r="12723" spans="1:21">
      <c r="A12723">
        <v>12722</v>
      </c>
      <c r="B12723" s="30" t="s">
        <v>1226</v>
      </c>
      <c r="D12723" s="30" t="s">
        <v>2024</v>
      </c>
      <c r="F12723" s="30" t="s">
        <v>2074</v>
      </c>
      <c r="H12723" s="30" t="s">
        <v>2077</v>
      </c>
      <c r="J12723" s="30" t="s">
        <v>278</v>
      </c>
      <c r="L12723" s="30" t="s">
        <v>293</v>
      </c>
      <c r="N12723" s="30" t="s">
        <v>294</v>
      </c>
      <c r="P12723" s="30" t="s">
        <v>295</v>
      </c>
      <c r="Q12723" t="s">
        <v>621</v>
      </c>
      <c r="R12723" t="s">
        <v>3894</v>
      </c>
      <c r="S12723">
        <v>36</v>
      </c>
      <c r="T12723" s="29" t="str">
        <f>HYPERLINK("https://ictv.global/ictv/proposals/2020.001G.R.Abolish_type_species.pdf","2020.001G.R.Abolish_type_species.pdf")</f>
        <v>2020.001G.R.Abolish_type_species.pdf</v>
      </c>
      <c r="U12723" s="29" t="str">
        <f>HYPERLINK("https://ictv.global/taxonomy/taxondetails?taxnode_id=202301952","ictv.global=202301952")</f>
        <v>ictv.global=202301952</v>
      </c>
    </row>
    <row r="12724" spans="1:21">
      <c r="A12724">
        <v>12723</v>
      </c>
      <c r="B12724" s="30" t="s">
        <v>1226</v>
      </c>
      <c r="D12724" s="30" t="s">
        <v>2024</v>
      </c>
      <c r="F12724" s="30" t="s">
        <v>2074</v>
      </c>
      <c r="H12724" s="30" t="s">
        <v>2077</v>
      </c>
      <c r="J12724" s="30" t="s">
        <v>278</v>
      </c>
      <c r="L12724" s="30" t="s">
        <v>293</v>
      </c>
      <c r="N12724" s="30" t="s">
        <v>1269</v>
      </c>
      <c r="P12724" s="30" t="s">
        <v>1270</v>
      </c>
      <c r="Q12724" t="s">
        <v>621</v>
      </c>
      <c r="R12724" t="s">
        <v>919</v>
      </c>
      <c r="S12724">
        <v>35</v>
      </c>
      <c r="T12724" s="29" t="str">
        <f>HYPERLINK("https://ictv.global/ictv/proposals/2019.006G.zip","2019.006G.zip")</f>
        <v>2019.006G.zip</v>
      </c>
      <c r="U12724" s="29" t="str">
        <f>HYPERLINK("https://ictv.global/taxonomy/taxondetails?taxnode_id=202306551","ictv.global=202306551")</f>
        <v>ictv.global=202306551</v>
      </c>
    </row>
    <row r="12725" spans="1:21">
      <c r="A12725">
        <v>12724</v>
      </c>
      <c r="B12725" s="30" t="s">
        <v>1226</v>
      </c>
      <c r="D12725" s="30" t="s">
        <v>2024</v>
      </c>
      <c r="F12725" s="30" t="s">
        <v>2074</v>
      </c>
      <c r="H12725" s="30" t="s">
        <v>2077</v>
      </c>
      <c r="J12725" s="30" t="s">
        <v>278</v>
      </c>
      <c r="L12725" s="30" t="s">
        <v>293</v>
      </c>
      <c r="N12725" s="30" t="s">
        <v>1269</v>
      </c>
      <c r="P12725" s="30" t="s">
        <v>1271</v>
      </c>
      <c r="Q12725" t="s">
        <v>621</v>
      </c>
      <c r="R12725" t="s">
        <v>3894</v>
      </c>
      <c r="S12725">
        <v>36</v>
      </c>
      <c r="T12725" s="29" t="str">
        <f>HYPERLINK("https://ictv.global/ictv/proposals/2020.001G.R.Abolish_type_species.pdf","2020.001G.R.Abolish_type_species.pdf")</f>
        <v>2020.001G.R.Abolish_type_species.pdf</v>
      </c>
      <c r="U12725" s="29" t="str">
        <f>HYPERLINK("https://ictv.global/taxonomy/taxondetails?taxnode_id=202306549","ictv.global=202306549")</f>
        <v>ictv.global=202306549</v>
      </c>
    </row>
    <row r="12726" spans="1:21">
      <c r="A12726">
        <v>12725</v>
      </c>
      <c r="B12726" s="30" t="s">
        <v>1226</v>
      </c>
      <c r="D12726" s="30" t="s">
        <v>2024</v>
      </c>
      <c r="F12726" s="30" t="s">
        <v>2074</v>
      </c>
      <c r="H12726" s="30" t="s">
        <v>2077</v>
      </c>
      <c r="J12726" s="30" t="s">
        <v>278</v>
      </c>
      <c r="L12726" s="30" t="s">
        <v>293</v>
      </c>
      <c r="N12726" s="30" t="s">
        <v>1269</v>
      </c>
      <c r="P12726" s="30" t="s">
        <v>1272</v>
      </c>
      <c r="Q12726" t="s">
        <v>621</v>
      </c>
      <c r="R12726" t="s">
        <v>919</v>
      </c>
      <c r="S12726">
        <v>35</v>
      </c>
      <c r="T12726" s="29" t="str">
        <f>HYPERLINK("https://ictv.global/ictv/proposals/2019.006G.zip","2019.006G.zip")</f>
        <v>2019.006G.zip</v>
      </c>
      <c r="U12726" s="29" t="str">
        <f>HYPERLINK("https://ictv.global/taxonomy/taxondetails?taxnode_id=202306552","ictv.global=202306552")</f>
        <v>ictv.global=202306552</v>
      </c>
    </row>
    <row r="12727" spans="1:21">
      <c r="A12727">
        <v>12726</v>
      </c>
      <c r="B12727" s="30" t="s">
        <v>1226</v>
      </c>
      <c r="D12727" s="30" t="s">
        <v>2024</v>
      </c>
      <c r="F12727" s="30" t="s">
        <v>2074</v>
      </c>
      <c r="H12727" s="30" t="s">
        <v>2077</v>
      </c>
      <c r="J12727" s="30" t="s">
        <v>278</v>
      </c>
      <c r="L12727" s="30" t="s">
        <v>293</v>
      </c>
      <c r="N12727" s="30" t="s">
        <v>1269</v>
      </c>
      <c r="P12727" s="30" t="s">
        <v>1273</v>
      </c>
      <c r="Q12727" t="s">
        <v>621</v>
      </c>
      <c r="R12727" t="s">
        <v>919</v>
      </c>
      <c r="S12727">
        <v>35</v>
      </c>
      <c r="T12727" s="29" t="str">
        <f>HYPERLINK("https://ictv.global/ictv/proposals/2019.006G.zip","2019.006G.zip")</f>
        <v>2019.006G.zip</v>
      </c>
      <c r="U12727" s="29" t="str">
        <f>HYPERLINK("https://ictv.global/taxonomy/taxondetails?taxnode_id=202306550","ictv.global=202306550")</f>
        <v>ictv.global=202306550</v>
      </c>
    </row>
    <row r="12728" spans="1:21">
      <c r="A12728">
        <v>12727</v>
      </c>
      <c r="B12728" s="30" t="s">
        <v>1226</v>
      </c>
      <c r="D12728" s="30" t="s">
        <v>2024</v>
      </c>
      <c r="F12728" s="30" t="s">
        <v>2074</v>
      </c>
      <c r="H12728" s="30" t="s">
        <v>2077</v>
      </c>
      <c r="J12728" s="30" t="s">
        <v>278</v>
      </c>
      <c r="L12728" s="30" t="s">
        <v>293</v>
      </c>
      <c r="N12728" s="30" t="s">
        <v>1274</v>
      </c>
      <c r="P12728" s="30" t="s">
        <v>1275</v>
      </c>
      <c r="Q12728" t="s">
        <v>621</v>
      </c>
      <c r="R12728" t="s">
        <v>919</v>
      </c>
      <c r="S12728">
        <v>35</v>
      </c>
      <c r="T12728" s="29" t="str">
        <f>HYPERLINK("https://ictv.global/ictv/proposals/2019.006G.zip","2019.006G.zip")</f>
        <v>2019.006G.zip</v>
      </c>
      <c r="U12728" s="29" t="str">
        <f>HYPERLINK("https://ictv.global/taxonomy/taxondetails?taxnode_id=202306542","ictv.global=202306542")</f>
        <v>ictv.global=202306542</v>
      </c>
    </row>
    <row r="12729" spans="1:21">
      <c r="A12729">
        <v>12728</v>
      </c>
      <c r="B12729" s="30" t="s">
        <v>1226</v>
      </c>
      <c r="D12729" s="30" t="s">
        <v>2024</v>
      </c>
      <c r="F12729" s="30" t="s">
        <v>2074</v>
      </c>
      <c r="H12729" s="30" t="s">
        <v>2077</v>
      </c>
      <c r="J12729" s="30" t="s">
        <v>278</v>
      </c>
      <c r="L12729" s="30" t="s">
        <v>293</v>
      </c>
      <c r="N12729" s="30" t="s">
        <v>1274</v>
      </c>
      <c r="P12729" s="30" t="s">
        <v>1276</v>
      </c>
      <c r="Q12729" t="s">
        <v>621</v>
      </c>
      <c r="R12729" t="s">
        <v>919</v>
      </c>
      <c r="S12729">
        <v>35</v>
      </c>
      <c r="T12729" s="29" t="str">
        <f>HYPERLINK("https://ictv.global/ictv/proposals/2019.006G.zip","2019.006G.zip")</f>
        <v>2019.006G.zip</v>
      </c>
      <c r="U12729" s="29" t="str">
        <f>HYPERLINK("https://ictv.global/taxonomy/taxondetails?taxnode_id=202306544","ictv.global=202306544")</f>
        <v>ictv.global=202306544</v>
      </c>
    </row>
    <row r="12730" spans="1:21">
      <c r="A12730">
        <v>12729</v>
      </c>
      <c r="B12730" s="30" t="s">
        <v>1226</v>
      </c>
      <c r="D12730" s="30" t="s">
        <v>2024</v>
      </c>
      <c r="F12730" s="30" t="s">
        <v>2074</v>
      </c>
      <c r="H12730" s="30" t="s">
        <v>2077</v>
      </c>
      <c r="J12730" s="30" t="s">
        <v>278</v>
      </c>
      <c r="L12730" s="30" t="s">
        <v>293</v>
      </c>
      <c r="N12730" s="30" t="s">
        <v>1274</v>
      </c>
      <c r="P12730" s="30" t="s">
        <v>1277</v>
      </c>
      <c r="Q12730" t="s">
        <v>621</v>
      </c>
      <c r="R12730" t="s">
        <v>919</v>
      </c>
      <c r="S12730">
        <v>35</v>
      </c>
      <c r="T12730" s="29" t="str">
        <f>HYPERLINK("https://ictv.global/ictv/proposals/2019.006G.zip","2019.006G.zip")</f>
        <v>2019.006G.zip</v>
      </c>
      <c r="U12730" s="29" t="str">
        <f>HYPERLINK("https://ictv.global/taxonomy/taxondetails?taxnode_id=202306547","ictv.global=202306547")</f>
        <v>ictv.global=202306547</v>
      </c>
    </row>
    <row r="12731" spans="1:21">
      <c r="A12731">
        <v>12730</v>
      </c>
      <c r="B12731" s="30" t="s">
        <v>1226</v>
      </c>
      <c r="D12731" s="30" t="s">
        <v>2024</v>
      </c>
      <c r="F12731" s="30" t="s">
        <v>2074</v>
      </c>
      <c r="H12731" s="30" t="s">
        <v>2077</v>
      </c>
      <c r="J12731" s="30" t="s">
        <v>278</v>
      </c>
      <c r="L12731" s="30" t="s">
        <v>293</v>
      </c>
      <c r="N12731" s="30" t="s">
        <v>1274</v>
      </c>
      <c r="P12731" s="30" t="s">
        <v>1278</v>
      </c>
      <c r="Q12731" t="s">
        <v>621</v>
      </c>
      <c r="R12731" t="s">
        <v>3894</v>
      </c>
      <c r="S12731">
        <v>36</v>
      </c>
      <c r="T12731" s="29" t="str">
        <f>HYPERLINK("https://ictv.global/ictv/proposals/2020.001G.R.Abolish_type_species.pdf","2020.001G.R.Abolish_type_species.pdf")</f>
        <v>2020.001G.R.Abolish_type_species.pdf</v>
      </c>
      <c r="U12731" s="29" t="str">
        <f>HYPERLINK("https://ictv.global/taxonomy/taxondetails?taxnode_id=202306546","ictv.global=202306546")</f>
        <v>ictv.global=202306546</v>
      </c>
    </row>
    <row r="12732" spans="1:21">
      <c r="A12732">
        <v>12731</v>
      </c>
      <c r="B12732" s="30" t="s">
        <v>1226</v>
      </c>
      <c r="D12732" s="30" t="s">
        <v>2024</v>
      </c>
      <c r="F12732" s="30" t="s">
        <v>2074</v>
      </c>
      <c r="H12732" s="30" t="s">
        <v>2077</v>
      </c>
      <c r="J12732" s="30" t="s">
        <v>278</v>
      </c>
      <c r="L12732" s="30" t="s">
        <v>293</v>
      </c>
      <c r="N12732" s="30" t="s">
        <v>1274</v>
      </c>
      <c r="P12732" s="30" t="s">
        <v>1279</v>
      </c>
      <c r="Q12732" t="s">
        <v>621</v>
      </c>
      <c r="R12732" t="s">
        <v>919</v>
      </c>
      <c r="S12732">
        <v>35</v>
      </c>
      <c r="T12732" s="29" t="str">
        <f>HYPERLINK("https://ictv.global/ictv/proposals/2019.006G.zip","2019.006G.zip")</f>
        <v>2019.006G.zip</v>
      </c>
      <c r="U12732" s="29" t="str">
        <f>HYPERLINK("https://ictv.global/taxonomy/taxondetails?taxnode_id=202306545","ictv.global=202306545")</f>
        <v>ictv.global=202306545</v>
      </c>
    </row>
    <row r="12733" spans="1:21">
      <c r="A12733">
        <v>12732</v>
      </c>
      <c r="B12733" s="30" t="s">
        <v>1226</v>
      </c>
      <c r="D12733" s="30" t="s">
        <v>2024</v>
      </c>
      <c r="F12733" s="30" t="s">
        <v>2074</v>
      </c>
      <c r="H12733" s="30" t="s">
        <v>2077</v>
      </c>
      <c r="J12733" s="30" t="s">
        <v>278</v>
      </c>
      <c r="L12733" s="30" t="s">
        <v>293</v>
      </c>
      <c r="N12733" s="30" t="s">
        <v>1274</v>
      </c>
      <c r="P12733" s="30" t="s">
        <v>1280</v>
      </c>
      <c r="Q12733" t="s">
        <v>621</v>
      </c>
      <c r="R12733" t="s">
        <v>919</v>
      </c>
      <c r="S12733">
        <v>35</v>
      </c>
      <c r="T12733" s="29" t="str">
        <f>HYPERLINK("https://ictv.global/ictv/proposals/2019.006G.zip","2019.006G.zip")</f>
        <v>2019.006G.zip</v>
      </c>
      <c r="U12733" s="29" t="str">
        <f>HYPERLINK("https://ictv.global/taxonomy/taxondetails?taxnode_id=202306543","ictv.global=202306543")</f>
        <v>ictv.global=202306543</v>
      </c>
    </row>
    <row r="12734" spans="1:21">
      <c r="A12734">
        <v>12733</v>
      </c>
      <c r="B12734" s="30" t="s">
        <v>1226</v>
      </c>
      <c r="D12734" s="30" t="s">
        <v>2024</v>
      </c>
      <c r="F12734" s="30" t="s">
        <v>2074</v>
      </c>
      <c r="H12734" s="30" t="s">
        <v>2077</v>
      </c>
      <c r="J12734" s="30" t="s">
        <v>278</v>
      </c>
      <c r="L12734" s="30" t="s">
        <v>11012</v>
      </c>
      <c r="N12734" s="30" t="s">
        <v>11013</v>
      </c>
      <c r="P12734" s="30" t="s">
        <v>11014</v>
      </c>
      <c r="Q12734" t="s">
        <v>621</v>
      </c>
      <c r="R12734" t="s">
        <v>917</v>
      </c>
      <c r="S12734">
        <v>38</v>
      </c>
      <c r="T12734" s="29" t="str">
        <f>HYPERLINK("https://ictv.global/ictv/proposals/2022.001S.Picornavirales_1nf.zip","2022.001S.Picornavirales_1nf.zip")</f>
        <v>2022.001S.Picornavirales_1nf.zip</v>
      </c>
      <c r="U12734" s="29" t="str">
        <f>HYPERLINK("https://ictv.global/taxonomy/taxondetails?taxnode_id=202314003","ictv.global=202314003")</f>
        <v>ictv.global=202314003</v>
      </c>
    </row>
    <row r="12735" spans="1:21">
      <c r="A12735">
        <v>12734</v>
      </c>
      <c r="B12735" s="30" t="s">
        <v>1226</v>
      </c>
      <c r="D12735" s="30" t="s">
        <v>2024</v>
      </c>
      <c r="F12735" s="30" t="s">
        <v>2074</v>
      </c>
      <c r="H12735" s="30" t="s">
        <v>2077</v>
      </c>
      <c r="J12735" s="30" t="s">
        <v>278</v>
      </c>
      <c r="L12735" s="30" t="s">
        <v>296</v>
      </c>
      <c r="M12735" s="30" t="s">
        <v>11015</v>
      </c>
      <c r="N12735" s="30" t="s">
        <v>1281</v>
      </c>
      <c r="P12735" s="30" t="s">
        <v>17761</v>
      </c>
      <c r="Q12735" t="s">
        <v>621</v>
      </c>
      <c r="R12735" t="s">
        <v>920</v>
      </c>
      <c r="S12735">
        <v>39</v>
      </c>
      <c r="T12735" s="29" t="str">
        <f t="shared" ref="T12735:T12764" si="532">HYPERLINK("https://ictv.global/ictv/proposals/2023.003S.Picornaviridae_158sprenamed.zip","2023.003S.Picornaviridae_158sprenamed.zip")</f>
        <v>2023.003S.Picornaviridae_158sprenamed.zip</v>
      </c>
      <c r="U12735" s="29" t="str">
        <f>HYPERLINK("https://ictv.global/taxonomy/taxondetails?taxnode_id=202306525","ictv.global=202306525")</f>
        <v>ictv.global=202306525</v>
      </c>
    </row>
    <row r="12736" spans="1:21">
      <c r="A12736">
        <v>12735</v>
      </c>
      <c r="B12736" s="30" t="s">
        <v>1226</v>
      </c>
      <c r="D12736" s="30" t="s">
        <v>2024</v>
      </c>
      <c r="F12736" s="30" t="s">
        <v>2074</v>
      </c>
      <c r="H12736" s="30" t="s">
        <v>2077</v>
      </c>
      <c r="J12736" s="30" t="s">
        <v>278</v>
      </c>
      <c r="L12736" s="30" t="s">
        <v>296</v>
      </c>
      <c r="M12736" s="30" t="s">
        <v>11015</v>
      </c>
      <c r="N12736" s="30" t="s">
        <v>268</v>
      </c>
      <c r="P12736" s="30" t="s">
        <v>17762</v>
      </c>
      <c r="Q12736" t="s">
        <v>621</v>
      </c>
      <c r="R12736" t="s">
        <v>920</v>
      </c>
      <c r="S12736">
        <v>39</v>
      </c>
      <c r="T12736" s="29" t="str">
        <f t="shared" si="532"/>
        <v>2023.003S.Picornaviridae_158sprenamed.zip</v>
      </c>
      <c r="U12736" s="29" t="str">
        <f>HYPERLINK("https://ictv.global/taxonomy/taxondetails?taxnode_id=202301958","ictv.global=202301958")</f>
        <v>ictv.global=202301958</v>
      </c>
    </row>
    <row r="12737" spans="1:21">
      <c r="A12737">
        <v>12736</v>
      </c>
      <c r="B12737" s="30" t="s">
        <v>1226</v>
      </c>
      <c r="D12737" s="30" t="s">
        <v>2024</v>
      </c>
      <c r="F12737" s="30" t="s">
        <v>2074</v>
      </c>
      <c r="H12737" s="30" t="s">
        <v>2077</v>
      </c>
      <c r="J12737" s="30" t="s">
        <v>278</v>
      </c>
      <c r="L12737" s="30" t="s">
        <v>296</v>
      </c>
      <c r="M12737" s="30" t="s">
        <v>11015</v>
      </c>
      <c r="N12737" s="30" t="s">
        <v>268</v>
      </c>
      <c r="P12737" s="30" t="s">
        <v>17763</v>
      </c>
      <c r="Q12737" t="s">
        <v>621</v>
      </c>
      <c r="R12737" t="s">
        <v>920</v>
      </c>
      <c r="S12737">
        <v>39</v>
      </c>
      <c r="T12737" s="29" t="str">
        <f t="shared" si="532"/>
        <v>2023.003S.Picornaviridae_158sprenamed.zip</v>
      </c>
      <c r="U12737" s="29" t="str">
        <f>HYPERLINK("https://ictv.global/taxonomy/taxondetails?taxnode_id=202301960","ictv.global=202301960")</f>
        <v>ictv.global=202301960</v>
      </c>
    </row>
    <row r="12738" spans="1:21">
      <c r="A12738">
        <v>12737</v>
      </c>
      <c r="B12738" s="30" t="s">
        <v>1226</v>
      </c>
      <c r="D12738" s="30" t="s">
        <v>2024</v>
      </c>
      <c r="F12738" s="30" t="s">
        <v>2074</v>
      </c>
      <c r="H12738" s="30" t="s">
        <v>2077</v>
      </c>
      <c r="J12738" s="30" t="s">
        <v>278</v>
      </c>
      <c r="L12738" s="30" t="s">
        <v>296</v>
      </c>
      <c r="M12738" s="30" t="s">
        <v>11015</v>
      </c>
      <c r="N12738" s="30" t="s">
        <v>268</v>
      </c>
      <c r="P12738" s="30" t="s">
        <v>17764</v>
      </c>
      <c r="Q12738" t="s">
        <v>621</v>
      </c>
      <c r="R12738" t="s">
        <v>920</v>
      </c>
      <c r="S12738">
        <v>39</v>
      </c>
      <c r="T12738" s="29" t="str">
        <f t="shared" si="532"/>
        <v>2023.003S.Picornaviridae_158sprenamed.zip</v>
      </c>
      <c r="U12738" s="29" t="str">
        <f>HYPERLINK("https://ictv.global/taxonomy/taxondetails?taxnode_id=202301959","ictv.global=202301959")</f>
        <v>ictv.global=202301959</v>
      </c>
    </row>
    <row r="12739" spans="1:21">
      <c r="A12739">
        <v>12738</v>
      </c>
      <c r="B12739" s="30" t="s">
        <v>1226</v>
      </c>
      <c r="D12739" s="30" t="s">
        <v>2024</v>
      </c>
      <c r="F12739" s="30" t="s">
        <v>2074</v>
      </c>
      <c r="H12739" s="30" t="s">
        <v>2077</v>
      </c>
      <c r="J12739" s="30" t="s">
        <v>278</v>
      </c>
      <c r="L12739" s="30" t="s">
        <v>296</v>
      </c>
      <c r="M12739" s="30" t="s">
        <v>11015</v>
      </c>
      <c r="N12739" s="30" t="s">
        <v>268</v>
      </c>
      <c r="P12739" s="30" t="s">
        <v>17765</v>
      </c>
      <c r="Q12739" t="s">
        <v>621</v>
      </c>
      <c r="R12739" t="s">
        <v>920</v>
      </c>
      <c r="S12739">
        <v>39</v>
      </c>
      <c r="T12739" s="29" t="str">
        <f t="shared" si="532"/>
        <v>2023.003S.Picornaviridae_158sprenamed.zip</v>
      </c>
      <c r="U12739" s="29" t="str">
        <f>HYPERLINK("https://ictv.global/taxonomy/taxondetails?taxnode_id=202301961","ictv.global=202301961")</f>
        <v>ictv.global=202301961</v>
      </c>
    </row>
    <row r="12740" spans="1:21">
      <c r="A12740">
        <v>12739</v>
      </c>
      <c r="B12740" s="30" t="s">
        <v>1226</v>
      </c>
      <c r="D12740" s="30" t="s">
        <v>2024</v>
      </c>
      <c r="F12740" s="30" t="s">
        <v>2074</v>
      </c>
      <c r="H12740" s="30" t="s">
        <v>2077</v>
      </c>
      <c r="J12740" s="30" t="s">
        <v>278</v>
      </c>
      <c r="L12740" s="30" t="s">
        <v>296</v>
      </c>
      <c r="M12740" s="30" t="s">
        <v>11015</v>
      </c>
      <c r="N12740" s="30" t="s">
        <v>958</v>
      </c>
      <c r="P12740" s="30" t="s">
        <v>17766</v>
      </c>
      <c r="Q12740" t="s">
        <v>621</v>
      </c>
      <c r="R12740" t="s">
        <v>920</v>
      </c>
      <c r="S12740">
        <v>39</v>
      </c>
      <c r="T12740" s="29" t="str">
        <f t="shared" si="532"/>
        <v>2023.003S.Picornaviridae_158sprenamed.zip</v>
      </c>
      <c r="U12740" s="29" t="str">
        <f>HYPERLINK("https://ictv.global/taxonomy/taxondetails?taxnode_id=202305591","ictv.global=202305591")</f>
        <v>ictv.global=202305591</v>
      </c>
    </row>
    <row r="12741" spans="1:21">
      <c r="A12741">
        <v>12740</v>
      </c>
      <c r="B12741" s="30" t="s">
        <v>1226</v>
      </c>
      <c r="D12741" s="30" t="s">
        <v>2024</v>
      </c>
      <c r="F12741" s="30" t="s">
        <v>2074</v>
      </c>
      <c r="H12741" s="30" t="s">
        <v>2077</v>
      </c>
      <c r="J12741" s="30" t="s">
        <v>278</v>
      </c>
      <c r="L12741" s="30" t="s">
        <v>296</v>
      </c>
      <c r="M12741" s="30" t="s">
        <v>11015</v>
      </c>
      <c r="N12741" s="30" t="s">
        <v>417</v>
      </c>
      <c r="P12741" s="30" t="s">
        <v>17767</v>
      </c>
      <c r="Q12741" t="s">
        <v>621</v>
      </c>
      <c r="R12741" t="s">
        <v>920</v>
      </c>
      <c r="S12741">
        <v>39</v>
      </c>
      <c r="T12741" s="29" t="str">
        <f t="shared" si="532"/>
        <v>2023.003S.Picornaviridae_158sprenamed.zip</v>
      </c>
      <c r="U12741" s="29" t="str">
        <f>HYPERLINK("https://ictv.global/taxonomy/taxondetails?taxnode_id=202307106","ictv.global=202307106")</f>
        <v>ictv.global=202307106</v>
      </c>
    </row>
    <row r="12742" spans="1:21">
      <c r="A12742">
        <v>12741</v>
      </c>
      <c r="B12742" s="30" t="s">
        <v>1226</v>
      </c>
      <c r="D12742" s="30" t="s">
        <v>2024</v>
      </c>
      <c r="F12742" s="30" t="s">
        <v>2074</v>
      </c>
      <c r="H12742" s="30" t="s">
        <v>2077</v>
      </c>
      <c r="J12742" s="30" t="s">
        <v>278</v>
      </c>
      <c r="L12742" s="30" t="s">
        <v>296</v>
      </c>
      <c r="M12742" s="30" t="s">
        <v>11015</v>
      </c>
      <c r="N12742" s="30" t="s">
        <v>417</v>
      </c>
      <c r="P12742" s="30" t="s">
        <v>17768</v>
      </c>
      <c r="Q12742" t="s">
        <v>621</v>
      </c>
      <c r="R12742" t="s">
        <v>920</v>
      </c>
      <c r="S12742">
        <v>39</v>
      </c>
      <c r="T12742" s="29" t="str">
        <f t="shared" si="532"/>
        <v>2023.003S.Picornaviridae_158sprenamed.zip</v>
      </c>
      <c r="U12742" s="29" t="str">
        <f>HYPERLINK("https://ictv.global/taxonomy/taxondetails?taxnode_id=202301973","ictv.global=202301973")</f>
        <v>ictv.global=202301973</v>
      </c>
    </row>
    <row r="12743" spans="1:21">
      <c r="A12743">
        <v>12742</v>
      </c>
      <c r="B12743" s="30" t="s">
        <v>1226</v>
      </c>
      <c r="D12743" s="30" t="s">
        <v>2024</v>
      </c>
      <c r="F12743" s="30" t="s">
        <v>2074</v>
      </c>
      <c r="H12743" s="30" t="s">
        <v>2077</v>
      </c>
      <c r="J12743" s="30" t="s">
        <v>278</v>
      </c>
      <c r="L12743" s="30" t="s">
        <v>296</v>
      </c>
      <c r="M12743" s="30" t="s">
        <v>11015</v>
      </c>
      <c r="N12743" s="30" t="s">
        <v>417</v>
      </c>
      <c r="P12743" s="30" t="s">
        <v>17769</v>
      </c>
      <c r="Q12743" t="s">
        <v>621</v>
      </c>
      <c r="R12743" t="s">
        <v>920</v>
      </c>
      <c r="S12743">
        <v>39</v>
      </c>
      <c r="T12743" s="29" t="str">
        <f t="shared" si="532"/>
        <v>2023.003S.Picornaviridae_158sprenamed.zip</v>
      </c>
      <c r="U12743" s="29" t="str">
        <f>HYPERLINK("https://ictv.global/taxonomy/taxondetails?taxnode_id=202307105","ictv.global=202307105")</f>
        <v>ictv.global=202307105</v>
      </c>
    </row>
    <row r="12744" spans="1:21">
      <c r="A12744">
        <v>12743</v>
      </c>
      <c r="B12744" s="30" t="s">
        <v>1226</v>
      </c>
      <c r="D12744" s="30" t="s">
        <v>2024</v>
      </c>
      <c r="F12744" s="30" t="s">
        <v>2074</v>
      </c>
      <c r="H12744" s="30" t="s">
        <v>2077</v>
      </c>
      <c r="J12744" s="30" t="s">
        <v>278</v>
      </c>
      <c r="L12744" s="30" t="s">
        <v>296</v>
      </c>
      <c r="M12744" s="30" t="s">
        <v>11015</v>
      </c>
      <c r="N12744" s="30" t="s">
        <v>417</v>
      </c>
      <c r="P12744" s="30" t="s">
        <v>17770</v>
      </c>
      <c r="Q12744" t="s">
        <v>621</v>
      </c>
      <c r="R12744" t="s">
        <v>920</v>
      </c>
      <c r="S12744">
        <v>39</v>
      </c>
      <c r="T12744" s="29" t="str">
        <f t="shared" si="532"/>
        <v>2023.003S.Picornaviridae_158sprenamed.zip</v>
      </c>
      <c r="U12744" s="29" t="str">
        <f>HYPERLINK("https://ictv.global/taxonomy/taxondetails?taxnode_id=202301971","ictv.global=202301971")</f>
        <v>ictv.global=202301971</v>
      </c>
    </row>
    <row r="12745" spans="1:21">
      <c r="A12745">
        <v>12744</v>
      </c>
      <c r="B12745" s="30" t="s">
        <v>1226</v>
      </c>
      <c r="D12745" s="30" t="s">
        <v>2024</v>
      </c>
      <c r="F12745" s="30" t="s">
        <v>2074</v>
      </c>
      <c r="H12745" s="30" t="s">
        <v>2077</v>
      </c>
      <c r="J12745" s="30" t="s">
        <v>278</v>
      </c>
      <c r="L12745" s="30" t="s">
        <v>296</v>
      </c>
      <c r="M12745" s="30" t="s">
        <v>11015</v>
      </c>
      <c r="N12745" s="30" t="s">
        <v>417</v>
      </c>
      <c r="P12745" s="30" t="s">
        <v>17771</v>
      </c>
      <c r="Q12745" t="s">
        <v>621</v>
      </c>
      <c r="R12745" t="s">
        <v>920</v>
      </c>
      <c r="S12745">
        <v>39</v>
      </c>
      <c r="T12745" s="29" t="str">
        <f t="shared" si="532"/>
        <v>2023.003S.Picornaviridae_158sprenamed.zip</v>
      </c>
      <c r="U12745" s="29" t="str">
        <f>HYPERLINK("https://ictv.global/taxonomy/taxondetails?taxnode_id=202307104","ictv.global=202307104")</f>
        <v>ictv.global=202307104</v>
      </c>
    </row>
    <row r="12746" spans="1:21">
      <c r="A12746">
        <v>12745</v>
      </c>
      <c r="B12746" s="30" t="s">
        <v>1226</v>
      </c>
      <c r="D12746" s="30" t="s">
        <v>2024</v>
      </c>
      <c r="F12746" s="30" t="s">
        <v>2074</v>
      </c>
      <c r="H12746" s="30" t="s">
        <v>2077</v>
      </c>
      <c r="J12746" s="30" t="s">
        <v>278</v>
      </c>
      <c r="L12746" s="30" t="s">
        <v>296</v>
      </c>
      <c r="M12746" s="30" t="s">
        <v>11015</v>
      </c>
      <c r="N12746" s="30" t="s">
        <v>417</v>
      </c>
      <c r="P12746" s="30" t="s">
        <v>17772</v>
      </c>
      <c r="Q12746" t="s">
        <v>621</v>
      </c>
      <c r="R12746" t="s">
        <v>920</v>
      </c>
      <c r="S12746">
        <v>39</v>
      </c>
      <c r="T12746" s="29" t="str">
        <f t="shared" si="532"/>
        <v>2023.003S.Picornaviridae_158sprenamed.zip</v>
      </c>
      <c r="U12746" s="29" t="str">
        <f>HYPERLINK("https://ictv.global/taxonomy/taxondetails?taxnode_id=202301972","ictv.global=202301972")</f>
        <v>ictv.global=202301972</v>
      </c>
    </row>
    <row r="12747" spans="1:21">
      <c r="A12747">
        <v>12746</v>
      </c>
      <c r="B12747" s="30" t="s">
        <v>1226</v>
      </c>
      <c r="D12747" s="30" t="s">
        <v>2024</v>
      </c>
      <c r="F12747" s="30" t="s">
        <v>2074</v>
      </c>
      <c r="H12747" s="30" t="s">
        <v>2077</v>
      </c>
      <c r="J12747" s="30" t="s">
        <v>278</v>
      </c>
      <c r="L12747" s="30" t="s">
        <v>296</v>
      </c>
      <c r="M12747" s="30" t="s">
        <v>11015</v>
      </c>
      <c r="N12747" s="30" t="s">
        <v>513</v>
      </c>
      <c r="P12747" s="30" t="s">
        <v>17773</v>
      </c>
      <c r="Q12747" t="s">
        <v>621</v>
      </c>
      <c r="R12747" t="s">
        <v>920</v>
      </c>
      <c r="S12747">
        <v>39</v>
      </c>
      <c r="T12747" s="29" t="str">
        <f t="shared" si="532"/>
        <v>2023.003S.Picornaviridae_158sprenamed.zip</v>
      </c>
      <c r="U12747" s="29" t="str">
        <f>HYPERLINK("https://ictv.global/taxonomy/taxondetails?taxnode_id=202301975","ictv.global=202301975")</f>
        <v>ictv.global=202301975</v>
      </c>
    </row>
    <row r="12748" spans="1:21">
      <c r="A12748">
        <v>12747</v>
      </c>
      <c r="B12748" s="30" t="s">
        <v>1226</v>
      </c>
      <c r="D12748" s="30" t="s">
        <v>2024</v>
      </c>
      <c r="F12748" s="30" t="s">
        <v>2074</v>
      </c>
      <c r="H12748" s="30" t="s">
        <v>2077</v>
      </c>
      <c r="J12748" s="30" t="s">
        <v>278</v>
      </c>
      <c r="L12748" s="30" t="s">
        <v>296</v>
      </c>
      <c r="M12748" s="30" t="s">
        <v>11015</v>
      </c>
      <c r="N12748" s="30" t="s">
        <v>513</v>
      </c>
      <c r="P12748" s="30" t="s">
        <v>17774</v>
      </c>
      <c r="Q12748" t="s">
        <v>621</v>
      </c>
      <c r="R12748" t="s">
        <v>920</v>
      </c>
      <c r="S12748">
        <v>39</v>
      </c>
      <c r="T12748" s="29" t="str">
        <f t="shared" si="532"/>
        <v>2023.003S.Picornaviridae_158sprenamed.zip</v>
      </c>
      <c r="U12748" s="29" t="str">
        <f>HYPERLINK("https://ictv.global/taxonomy/taxondetails?taxnode_id=202301976","ictv.global=202301976")</f>
        <v>ictv.global=202301976</v>
      </c>
    </row>
    <row r="12749" spans="1:21">
      <c r="A12749">
        <v>12748</v>
      </c>
      <c r="B12749" s="30" t="s">
        <v>1226</v>
      </c>
      <c r="D12749" s="30" t="s">
        <v>2024</v>
      </c>
      <c r="F12749" s="30" t="s">
        <v>2074</v>
      </c>
      <c r="H12749" s="30" t="s">
        <v>2077</v>
      </c>
      <c r="J12749" s="30" t="s">
        <v>278</v>
      </c>
      <c r="L12749" s="30" t="s">
        <v>296</v>
      </c>
      <c r="M12749" s="30" t="s">
        <v>11015</v>
      </c>
      <c r="N12749" s="30" t="s">
        <v>513</v>
      </c>
      <c r="P12749" s="30" t="s">
        <v>17775</v>
      </c>
      <c r="Q12749" t="s">
        <v>621</v>
      </c>
      <c r="R12749" t="s">
        <v>920</v>
      </c>
      <c r="S12749">
        <v>39</v>
      </c>
      <c r="T12749" s="29" t="str">
        <f t="shared" si="532"/>
        <v>2023.003S.Picornaviridae_158sprenamed.zip</v>
      </c>
      <c r="U12749" s="29" t="str">
        <f>HYPERLINK("https://ictv.global/taxonomy/taxondetails?taxnode_id=202301977","ictv.global=202301977")</f>
        <v>ictv.global=202301977</v>
      </c>
    </row>
    <row r="12750" spans="1:21">
      <c r="A12750">
        <v>12749</v>
      </c>
      <c r="B12750" s="30" t="s">
        <v>1226</v>
      </c>
      <c r="D12750" s="30" t="s">
        <v>2024</v>
      </c>
      <c r="F12750" s="30" t="s">
        <v>2074</v>
      </c>
      <c r="H12750" s="30" t="s">
        <v>2077</v>
      </c>
      <c r="J12750" s="30" t="s">
        <v>278</v>
      </c>
      <c r="L12750" s="30" t="s">
        <v>296</v>
      </c>
      <c r="M12750" s="30" t="s">
        <v>11015</v>
      </c>
      <c r="N12750" s="30" t="s">
        <v>513</v>
      </c>
      <c r="P12750" s="30" t="s">
        <v>17776</v>
      </c>
      <c r="Q12750" t="s">
        <v>621</v>
      </c>
      <c r="R12750" t="s">
        <v>920</v>
      </c>
      <c r="S12750">
        <v>39</v>
      </c>
      <c r="T12750" s="29" t="str">
        <f t="shared" si="532"/>
        <v>2023.003S.Picornaviridae_158sprenamed.zip</v>
      </c>
      <c r="U12750" s="29" t="str">
        <f>HYPERLINK("https://ictv.global/taxonomy/taxondetails?taxnode_id=202301978","ictv.global=202301978")</f>
        <v>ictv.global=202301978</v>
      </c>
    </row>
    <row r="12751" spans="1:21">
      <c r="A12751">
        <v>12750</v>
      </c>
      <c r="B12751" s="30" t="s">
        <v>1226</v>
      </c>
      <c r="D12751" s="30" t="s">
        <v>2024</v>
      </c>
      <c r="F12751" s="30" t="s">
        <v>2074</v>
      </c>
      <c r="H12751" s="30" t="s">
        <v>2077</v>
      </c>
      <c r="J12751" s="30" t="s">
        <v>278</v>
      </c>
      <c r="L12751" s="30" t="s">
        <v>296</v>
      </c>
      <c r="M12751" s="30" t="s">
        <v>11015</v>
      </c>
      <c r="N12751" s="30" t="s">
        <v>513</v>
      </c>
      <c r="P12751" s="30" t="s">
        <v>17777</v>
      </c>
      <c r="Q12751" t="s">
        <v>621</v>
      </c>
      <c r="R12751" t="s">
        <v>920</v>
      </c>
      <c r="S12751">
        <v>39</v>
      </c>
      <c r="T12751" s="29" t="str">
        <f t="shared" si="532"/>
        <v>2023.003S.Picornaviridae_158sprenamed.zip</v>
      </c>
      <c r="U12751" s="29" t="str">
        <f>HYPERLINK("https://ictv.global/taxonomy/taxondetails?taxnode_id=202301979","ictv.global=202301979")</f>
        <v>ictv.global=202301979</v>
      </c>
    </row>
    <row r="12752" spans="1:21">
      <c r="A12752">
        <v>12751</v>
      </c>
      <c r="B12752" s="30" t="s">
        <v>1226</v>
      </c>
      <c r="D12752" s="30" t="s">
        <v>2024</v>
      </c>
      <c r="F12752" s="30" t="s">
        <v>2074</v>
      </c>
      <c r="H12752" s="30" t="s">
        <v>2077</v>
      </c>
      <c r="J12752" s="30" t="s">
        <v>278</v>
      </c>
      <c r="L12752" s="30" t="s">
        <v>296</v>
      </c>
      <c r="M12752" s="30" t="s">
        <v>11015</v>
      </c>
      <c r="N12752" s="30" t="s">
        <v>176</v>
      </c>
      <c r="P12752" s="30" t="s">
        <v>17778</v>
      </c>
      <c r="Q12752" t="s">
        <v>621</v>
      </c>
      <c r="R12752" t="s">
        <v>920</v>
      </c>
      <c r="S12752">
        <v>39</v>
      </c>
      <c r="T12752" s="29" t="str">
        <f t="shared" si="532"/>
        <v>2023.003S.Picornaviridae_158sprenamed.zip</v>
      </c>
      <c r="U12752" s="29" t="str">
        <f>HYPERLINK("https://ictv.global/taxonomy/taxondetails?taxnode_id=202301997","ictv.global=202301997")</f>
        <v>ictv.global=202301997</v>
      </c>
    </row>
    <row r="12753" spans="1:21">
      <c r="A12753">
        <v>12752</v>
      </c>
      <c r="B12753" s="30" t="s">
        <v>1226</v>
      </c>
      <c r="D12753" s="30" t="s">
        <v>2024</v>
      </c>
      <c r="F12753" s="30" t="s">
        <v>2074</v>
      </c>
      <c r="H12753" s="30" t="s">
        <v>2077</v>
      </c>
      <c r="J12753" s="30" t="s">
        <v>278</v>
      </c>
      <c r="L12753" s="30" t="s">
        <v>296</v>
      </c>
      <c r="M12753" s="30" t="s">
        <v>11015</v>
      </c>
      <c r="N12753" s="30" t="s">
        <v>540</v>
      </c>
      <c r="P12753" s="30" t="s">
        <v>17779</v>
      </c>
      <c r="Q12753" t="s">
        <v>621</v>
      </c>
      <c r="R12753" t="s">
        <v>920</v>
      </c>
      <c r="S12753">
        <v>39</v>
      </c>
      <c r="T12753" s="29" t="str">
        <f t="shared" si="532"/>
        <v>2023.003S.Picornaviridae_158sprenamed.zip</v>
      </c>
      <c r="U12753" s="29" t="str">
        <f>HYPERLINK("https://ictv.global/taxonomy/taxondetails?taxnode_id=202302013","ictv.global=202302013")</f>
        <v>ictv.global=202302013</v>
      </c>
    </row>
    <row r="12754" spans="1:21">
      <c r="A12754">
        <v>12753</v>
      </c>
      <c r="B12754" s="30" t="s">
        <v>1226</v>
      </c>
      <c r="D12754" s="30" t="s">
        <v>2024</v>
      </c>
      <c r="F12754" s="30" t="s">
        <v>2074</v>
      </c>
      <c r="H12754" s="30" t="s">
        <v>2077</v>
      </c>
      <c r="J12754" s="30" t="s">
        <v>278</v>
      </c>
      <c r="L12754" s="30" t="s">
        <v>296</v>
      </c>
      <c r="M12754" s="30" t="s">
        <v>11015</v>
      </c>
      <c r="N12754" s="30" t="s">
        <v>1284</v>
      </c>
      <c r="P12754" s="30" t="s">
        <v>17780</v>
      </c>
      <c r="Q12754" t="s">
        <v>621</v>
      </c>
      <c r="R12754" t="s">
        <v>920</v>
      </c>
      <c r="S12754">
        <v>39</v>
      </c>
      <c r="T12754" s="29" t="str">
        <f t="shared" si="532"/>
        <v>2023.003S.Picornaviridae_158sprenamed.zip</v>
      </c>
      <c r="U12754" s="29" t="str">
        <f>HYPERLINK("https://ictv.global/taxonomy/taxondetails?taxnode_id=202306324","ictv.global=202306324")</f>
        <v>ictv.global=202306324</v>
      </c>
    </row>
    <row r="12755" spans="1:21">
      <c r="A12755">
        <v>12754</v>
      </c>
      <c r="B12755" s="30" t="s">
        <v>1226</v>
      </c>
      <c r="D12755" s="30" t="s">
        <v>2024</v>
      </c>
      <c r="F12755" s="30" t="s">
        <v>2074</v>
      </c>
      <c r="H12755" s="30" t="s">
        <v>2077</v>
      </c>
      <c r="J12755" s="30" t="s">
        <v>278</v>
      </c>
      <c r="L12755" s="30" t="s">
        <v>296</v>
      </c>
      <c r="M12755" s="30" t="s">
        <v>11015</v>
      </c>
      <c r="N12755" s="30" t="s">
        <v>1284</v>
      </c>
      <c r="P12755" s="30" t="s">
        <v>17781</v>
      </c>
      <c r="Q12755" t="s">
        <v>621</v>
      </c>
      <c r="R12755" t="s">
        <v>920</v>
      </c>
      <c r="S12755">
        <v>39</v>
      </c>
      <c r="T12755" s="29" t="str">
        <f t="shared" si="532"/>
        <v>2023.003S.Picornaviridae_158sprenamed.zip</v>
      </c>
      <c r="U12755" s="29" t="str">
        <f>HYPERLINK("https://ictv.global/taxonomy/taxondetails?taxnode_id=202306325","ictv.global=202306325")</f>
        <v>ictv.global=202306325</v>
      </c>
    </row>
    <row r="12756" spans="1:21">
      <c r="A12756">
        <v>12755</v>
      </c>
      <c r="B12756" s="30" t="s">
        <v>1226</v>
      </c>
      <c r="D12756" s="30" t="s">
        <v>2024</v>
      </c>
      <c r="F12756" s="30" t="s">
        <v>2074</v>
      </c>
      <c r="H12756" s="30" t="s">
        <v>2077</v>
      </c>
      <c r="J12756" s="30" t="s">
        <v>278</v>
      </c>
      <c r="L12756" s="30" t="s">
        <v>296</v>
      </c>
      <c r="M12756" s="30" t="s">
        <v>11015</v>
      </c>
      <c r="N12756" s="30" t="s">
        <v>3802</v>
      </c>
      <c r="P12756" s="30" t="s">
        <v>17782</v>
      </c>
      <c r="Q12756" t="s">
        <v>621</v>
      </c>
      <c r="R12756" t="s">
        <v>920</v>
      </c>
      <c r="S12756">
        <v>39</v>
      </c>
      <c r="T12756" s="29" t="str">
        <f t="shared" si="532"/>
        <v>2023.003S.Picornaviridae_158sprenamed.zip</v>
      </c>
      <c r="U12756" s="29" t="str">
        <f>HYPERLINK("https://ictv.global/taxonomy/taxondetails?taxnode_id=202309140","ictv.global=202309140")</f>
        <v>ictv.global=202309140</v>
      </c>
    </row>
    <row r="12757" spans="1:21">
      <c r="A12757">
        <v>12756</v>
      </c>
      <c r="B12757" s="30" t="s">
        <v>1226</v>
      </c>
      <c r="D12757" s="30" t="s">
        <v>2024</v>
      </c>
      <c r="F12757" s="30" t="s">
        <v>2074</v>
      </c>
      <c r="H12757" s="30" t="s">
        <v>2077</v>
      </c>
      <c r="J12757" s="30" t="s">
        <v>278</v>
      </c>
      <c r="L12757" s="30" t="s">
        <v>296</v>
      </c>
      <c r="M12757" s="30" t="s">
        <v>11015</v>
      </c>
      <c r="N12757" s="30" t="s">
        <v>541</v>
      </c>
      <c r="P12757" s="30" t="s">
        <v>17783</v>
      </c>
      <c r="Q12757" t="s">
        <v>621</v>
      </c>
      <c r="R12757" t="s">
        <v>920</v>
      </c>
      <c r="S12757">
        <v>39</v>
      </c>
      <c r="T12757" s="29" t="str">
        <f t="shared" si="532"/>
        <v>2023.003S.Picornaviridae_158sprenamed.zip</v>
      </c>
      <c r="U12757" s="29" t="str">
        <f>HYPERLINK("https://ictv.global/taxonomy/taxondetails?taxnode_id=202302030","ictv.global=202302030")</f>
        <v>ictv.global=202302030</v>
      </c>
    </row>
    <row r="12758" spans="1:21">
      <c r="A12758">
        <v>12757</v>
      </c>
      <c r="B12758" s="30" t="s">
        <v>1226</v>
      </c>
      <c r="D12758" s="30" t="s">
        <v>2024</v>
      </c>
      <c r="F12758" s="30" t="s">
        <v>2074</v>
      </c>
      <c r="H12758" s="30" t="s">
        <v>2077</v>
      </c>
      <c r="J12758" s="30" t="s">
        <v>278</v>
      </c>
      <c r="L12758" s="30" t="s">
        <v>296</v>
      </c>
      <c r="M12758" s="30" t="s">
        <v>11015</v>
      </c>
      <c r="N12758" s="30" t="s">
        <v>541</v>
      </c>
      <c r="P12758" s="30" t="s">
        <v>17784</v>
      </c>
      <c r="Q12758" t="s">
        <v>621</v>
      </c>
      <c r="R12758" t="s">
        <v>920</v>
      </c>
      <c r="S12758">
        <v>39</v>
      </c>
      <c r="T12758" s="29" t="str">
        <f t="shared" si="532"/>
        <v>2023.003S.Picornaviridae_158sprenamed.zip</v>
      </c>
      <c r="U12758" s="29" t="str">
        <f>HYPERLINK("https://ictv.global/taxonomy/taxondetails?taxnode_id=202302031","ictv.global=202302031")</f>
        <v>ictv.global=202302031</v>
      </c>
    </row>
    <row r="12759" spans="1:21">
      <c r="A12759">
        <v>12758</v>
      </c>
      <c r="B12759" s="30" t="s">
        <v>1226</v>
      </c>
      <c r="D12759" s="30" t="s">
        <v>2024</v>
      </c>
      <c r="F12759" s="30" t="s">
        <v>2074</v>
      </c>
      <c r="H12759" s="30" t="s">
        <v>2077</v>
      </c>
      <c r="J12759" s="30" t="s">
        <v>278</v>
      </c>
      <c r="L12759" s="30" t="s">
        <v>296</v>
      </c>
      <c r="M12759" s="30" t="s">
        <v>11015</v>
      </c>
      <c r="N12759" s="30" t="s">
        <v>541</v>
      </c>
      <c r="P12759" s="30" t="s">
        <v>17785</v>
      </c>
      <c r="Q12759" t="s">
        <v>621</v>
      </c>
      <c r="R12759" t="s">
        <v>920</v>
      </c>
      <c r="S12759">
        <v>39</v>
      </c>
      <c r="T12759" s="29" t="str">
        <f t="shared" si="532"/>
        <v>2023.003S.Picornaviridae_158sprenamed.zip</v>
      </c>
      <c r="U12759" s="29" t="str">
        <f>HYPERLINK("https://ictv.global/taxonomy/taxondetails?taxnode_id=202302032","ictv.global=202302032")</f>
        <v>ictv.global=202302032</v>
      </c>
    </row>
    <row r="12760" spans="1:21">
      <c r="A12760">
        <v>12759</v>
      </c>
      <c r="B12760" s="30" t="s">
        <v>1226</v>
      </c>
      <c r="D12760" s="30" t="s">
        <v>2024</v>
      </c>
      <c r="F12760" s="30" t="s">
        <v>2074</v>
      </c>
      <c r="H12760" s="30" t="s">
        <v>2077</v>
      </c>
      <c r="J12760" s="30" t="s">
        <v>278</v>
      </c>
      <c r="L12760" s="30" t="s">
        <v>296</v>
      </c>
      <c r="M12760" s="30" t="s">
        <v>11015</v>
      </c>
      <c r="N12760" s="30" t="s">
        <v>541</v>
      </c>
      <c r="P12760" s="30" t="s">
        <v>17786</v>
      </c>
      <c r="Q12760" t="s">
        <v>621</v>
      </c>
      <c r="R12760" t="s">
        <v>920</v>
      </c>
      <c r="S12760">
        <v>39</v>
      </c>
      <c r="T12760" s="29" t="str">
        <f t="shared" si="532"/>
        <v>2023.003S.Picornaviridae_158sprenamed.zip</v>
      </c>
      <c r="U12760" s="29" t="str">
        <f>HYPERLINK("https://ictv.global/taxonomy/taxondetails?taxnode_id=202306330","ictv.global=202306330")</f>
        <v>ictv.global=202306330</v>
      </c>
    </row>
    <row r="12761" spans="1:21">
      <c r="A12761">
        <v>12760</v>
      </c>
      <c r="B12761" s="30" t="s">
        <v>1226</v>
      </c>
      <c r="D12761" s="30" t="s">
        <v>2024</v>
      </c>
      <c r="F12761" s="30" t="s">
        <v>2074</v>
      </c>
      <c r="H12761" s="30" t="s">
        <v>2077</v>
      </c>
      <c r="J12761" s="30" t="s">
        <v>278</v>
      </c>
      <c r="L12761" s="30" t="s">
        <v>296</v>
      </c>
      <c r="M12761" s="30" t="s">
        <v>11015</v>
      </c>
      <c r="N12761" s="30" t="s">
        <v>541</v>
      </c>
      <c r="P12761" s="30" t="s">
        <v>17787</v>
      </c>
      <c r="Q12761" t="s">
        <v>621</v>
      </c>
      <c r="R12761" t="s">
        <v>920</v>
      </c>
      <c r="S12761">
        <v>39</v>
      </c>
      <c r="T12761" s="29" t="str">
        <f t="shared" si="532"/>
        <v>2023.003S.Picornaviridae_158sprenamed.zip</v>
      </c>
      <c r="U12761" s="29" t="str">
        <f>HYPERLINK("https://ictv.global/taxonomy/taxondetails?taxnode_id=202309157","ictv.global=202309157")</f>
        <v>ictv.global=202309157</v>
      </c>
    </row>
    <row r="12762" spans="1:21">
      <c r="A12762">
        <v>12761</v>
      </c>
      <c r="B12762" s="30" t="s">
        <v>1226</v>
      </c>
      <c r="D12762" s="30" t="s">
        <v>2024</v>
      </c>
      <c r="F12762" s="30" t="s">
        <v>2074</v>
      </c>
      <c r="H12762" s="30" t="s">
        <v>2077</v>
      </c>
      <c r="J12762" s="30" t="s">
        <v>278</v>
      </c>
      <c r="L12762" s="30" t="s">
        <v>296</v>
      </c>
      <c r="M12762" s="30" t="s">
        <v>11015</v>
      </c>
      <c r="N12762" s="30" t="s">
        <v>542</v>
      </c>
      <c r="P12762" s="30" t="s">
        <v>17788</v>
      </c>
      <c r="Q12762" t="s">
        <v>621</v>
      </c>
      <c r="R12762" t="s">
        <v>920</v>
      </c>
      <c r="S12762">
        <v>39</v>
      </c>
      <c r="T12762" s="29" t="str">
        <f t="shared" si="532"/>
        <v>2023.003S.Picornaviridae_158sprenamed.zip</v>
      </c>
      <c r="U12762" s="29" t="str">
        <f>HYPERLINK("https://ictv.global/taxonomy/taxondetails?taxnode_id=202302034","ictv.global=202302034")</f>
        <v>ictv.global=202302034</v>
      </c>
    </row>
    <row r="12763" spans="1:21">
      <c r="A12763">
        <v>12762</v>
      </c>
      <c r="B12763" s="30" t="s">
        <v>1226</v>
      </c>
      <c r="D12763" s="30" t="s">
        <v>2024</v>
      </c>
      <c r="F12763" s="30" t="s">
        <v>2074</v>
      </c>
      <c r="H12763" s="30" t="s">
        <v>2077</v>
      </c>
      <c r="J12763" s="30" t="s">
        <v>278</v>
      </c>
      <c r="L12763" s="30" t="s">
        <v>296</v>
      </c>
      <c r="M12763" s="30" t="s">
        <v>11015</v>
      </c>
      <c r="N12763" s="30" t="s">
        <v>542</v>
      </c>
      <c r="P12763" s="30" t="s">
        <v>17789</v>
      </c>
      <c r="Q12763" t="s">
        <v>621</v>
      </c>
      <c r="R12763" t="s">
        <v>920</v>
      </c>
      <c r="S12763">
        <v>39</v>
      </c>
      <c r="T12763" s="29" t="str">
        <f t="shared" si="532"/>
        <v>2023.003S.Picornaviridae_158sprenamed.zip</v>
      </c>
      <c r="U12763" s="29" t="str">
        <f>HYPERLINK("https://ictv.global/taxonomy/taxondetails?taxnode_id=202307369","ictv.global=202307369")</f>
        <v>ictv.global=202307369</v>
      </c>
    </row>
    <row r="12764" spans="1:21">
      <c r="A12764">
        <v>12763</v>
      </c>
      <c r="B12764" s="30" t="s">
        <v>1226</v>
      </c>
      <c r="D12764" s="30" t="s">
        <v>2024</v>
      </c>
      <c r="F12764" s="30" t="s">
        <v>2074</v>
      </c>
      <c r="H12764" s="30" t="s">
        <v>2077</v>
      </c>
      <c r="J12764" s="30" t="s">
        <v>278</v>
      </c>
      <c r="L12764" s="30" t="s">
        <v>296</v>
      </c>
      <c r="M12764" s="30" t="s">
        <v>11015</v>
      </c>
      <c r="N12764" s="30" t="s">
        <v>2115</v>
      </c>
      <c r="P12764" s="30" t="s">
        <v>17790</v>
      </c>
      <c r="Q12764" t="s">
        <v>621</v>
      </c>
      <c r="R12764" t="s">
        <v>920</v>
      </c>
      <c r="S12764">
        <v>39</v>
      </c>
      <c r="T12764" s="29" t="str">
        <f t="shared" si="532"/>
        <v>2023.003S.Picornaviridae_158sprenamed.zip</v>
      </c>
      <c r="U12764" s="29" t="str">
        <f>HYPERLINK("https://ictv.global/taxonomy/taxondetails?taxnode_id=202307398","ictv.global=202307398")</f>
        <v>ictv.global=202307398</v>
      </c>
    </row>
    <row r="12765" spans="1:21">
      <c r="A12765">
        <v>12764</v>
      </c>
      <c r="B12765" s="30" t="s">
        <v>1226</v>
      </c>
      <c r="D12765" s="30" t="s">
        <v>2024</v>
      </c>
      <c r="F12765" s="30" t="s">
        <v>2074</v>
      </c>
      <c r="H12765" s="30" t="s">
        <v>2077</v>
      </c>
      <c r="J12765" s="30" t="s">
        <v>278</v>
      </c>
      <c r="L12765" s="30" t="s">
        <v>296</v>
      </c>
      <c r="M12765" s="30" t="s">
        <v>11015</v>
      </c>
      <c r="N12765" s="30" t="s">
        <v>252</v>
      </c>
      <c r="P12765" s="30" t="s">
        <v>17791</v>
      </c>
      <c r="Q12765" t="s">
        <v>621</v>
      </c>
      <c r="R12765" t="s">
        <v>917</v>
      </c>
      <c r="S12765">
        <v>39</v>
      </c>
      <c r="T12765" s="29" t="str">
        <f>HYPERLINK("https://ictv.global/ictv/proposals/2023.014S.Senecavirus_nsp.zip","2023.014S.Senecavirus_nsp.zip")</f>
        <v>2023.014S.Senecavirus_nsp.zip</v>
      </c>
      <c r="U12765" s="29" t="str">
        <f>HYPERLINK("https://ictv.global/taxonomy/taxondetails?taxnode_id=202318097","ictv.global=202318097")</f>
        <v>ictv.global=202318097</v>
      </c>
    </row>
    <row r="12766" spans="1:21">
      <c r="A12766">
        <v>12765</v>
      </c>
      <c r="B12766" s="30" t="s">
        <v>1226</v>
      </c>
      <c r="D12766" s="30" t="s">
        <v>2024</v>
      </c>
      <c r="F12766" s="30" t="s">
        <v>2074</v>
      </c>
      <c r="H12766" s="30" t="s">
        <v>2077</v>
      </c>
      <c r="J12766" s="30" t="s">
        <v>278</v>
      </c>
      <c r="L12766" s="30" t="s">
        <v>296</v>
      </c>
      <c r="M12766" s="30" t="s">
        <v>11015</v>
      </c>
      <c r="N12766" s="30" t="s">
        <v>252</v>
      </c>
      <c r="P12766" s="30" t="s">
        <v>17792</v>
      </c>
      <c r="Q12766" t="s">
        <v>621</v>
      </c>
      <c r="R12766" t="s">
        <v>920</v>
      </c>
      <c r="S12766">
        <v>39</v>
      </c>
      <c r="T12766" s="29" t="str">
        <f t="shared" ref="T12766:T12777" si="533">HYPERLINK("https://ictv.global/ictv/proposals/2023.003S.Picornaviridae_158sprenamed.zip","2023.003S.Picornaviridae_158sprenamed.zip")</f>
        <v>2023.003S.Picornaviridae_158sprenamed.zip</v>
      </c>
      <c r="U12766" s="29" t="str">
        <f>HYPERLINK("https://ictv.global/taxonomy/taxondetails?taxnode_id=202302061","ictv.global=202302061")</f>
        <v>ictv.global=202302061</v>
      </c>
    </row>
    <row r="12767" spans="1:21">
      <c r="A12767">
        <v>12766</v>
      </c>
      <c r="B12767" s="30" t="s">
        <v>1226</v>
      </c>
      <c r="D12767" s="30" t="s">
        <v>2024</v>
      </c>
      <c r="F12767" s="30" t="s">
        <v>2074</v>
      </c>
      <c r="H12767" s="30" t="s">
        <v>2077</v>
      </c>
      <c r="J12767" s="30" t="s">
        <v>278</v>
      </c>
      <c r="L12767" s="30" t="s">
        <v>296</v>
      </c>
      <c r="M12767" s="30" t="s">
        <v>11015</v>
      </c>
      <c r="N12767" s="30" t="s">
        <v>250</v>
      </c>
      <c r="P12767" s="30" t="s">
        <v>17793</v>
      </c>
      <c r="Q12767" t="s">
        <v>621</v>
      </c>
      <c r="R12767" t="s">
        <v>920</v>
      </c>
      <c r="S12767">
        <v>39</v>
      </c>
      <c r="T12767" s="29" t="str">
        <f t="shared" si="533"/>
        <v>2023.003S.Picornaviridae_158sprenamed.zip</v>
      </c>
      <c r="U12767" s="29" t="str">
        <f>HYPERLINK("https://ictv.global/taxonomy/taxondetails?taxnode_id=202302065","ictv.global=202302065")</f>
        <v>ictv.global=202302065</v>
      </c>
    </row>
    <row r="12768" spans="1:21">
      <c r="A12768">
        <v>12767</v>
      </c>
      <c r="B12768" s="30" t="s">
        <v>1226</v>
      </c>
      <c r="D12768" s="30" t="s">
        <v>2024</v>
      </c>
      <c r="F12768" s="30" t="s">
        <v>2074</v>
      </c>
      <c r="H12768" s="30" t="s">
        <v>2077</v>
      </c>
      <c r="J12768" s="30" t="s">
        <v>278</v>
      </c>
      <c r="L12768" s="30" t="s">
        <v>296</v>
      </c>
      <c r="M12768" s="30" t="s">
        <v>11015</v>
      </c>
      <c r="N12768" s="30" t="s">
        <v>250</v>
      </c>
      <c r="P12768" s="30" t="s">
        <v>17794</v>
      </c>
      <c r="Q12768" t="s">
        <v>621</v>
      </c>
      <c r="R12768" t="s">
        <v>920</v>
      </c>
      <c r="S12768">
        <v>39</v>
      </c>
      <c r="T12768" s="29" t="str">
        <f t="shared" si="533"/>
        <v>2023.003S.Picornaviridae_158sprenamed.zip</v>
      </c>
      <c r="U12768" s="29" t="str">
        <f>HYPERLINK("https://ictv.global/taxonomy/taxondetails?taxnode_id=202307451","ictv.global=202307451")</f>
        <v>ictv.global=202307451</v>
      </c>
    </row>
    <row r="12769" spans="1:21">
      <c r="A12769">
        <v>12768</v>
      </c>
      <c r="B12769" s="30" t="s">
        <v>1226</v>
      </c>
      <c r="D12769" s="30" t="s">
        <v>2024</v>
      </c>
      <c r="F12769" s="30" t="s">
        <v>2074</v>
      </c>
      <c r="H12769" s="30" t="s">
        <v>2077</v>
      </c>
      <c r="J12769" s="30" t="s">
        <v>278</v>
      </c>
      <c r="L12769" s="30" t="s">
        <v>296</v>
      </c>
      <c r="M12769" s="30" t="s">
        <v>11015</v>
      </c>
      <c r="N12769" s="30" t="s">
        <v>896</v>
      </c>
      <c r="P12769" s="30" t="s">
        <v>17795</v>
      </c>
      <c r="Q12769" t="s">
        <v>621</v>
      </c>
      <c r="R12769" t="s">
        <v>920</v>
      </c>
      <c r="S12769">
        <v>39</v>
      </c>
      <c r="T12769" s="29" t="str">
        <f t="shared" si="533"/>
        <v>2023.003S.Picornaviridae_158sprenamed.zip</v>
      </c>
      <c r="U12769" s="29" t="str">
        <f>HYPERLINK("https://ictv.global/taxonomy/taxondetails?taxnode_id=202302067","ictv.global=202302067")</f>
        <v>ictv.global=202302067</v>
      </c>
    </row>
    <row r="12770" spans="1:21">
      <c r="A12770">
        <v>12769</v>
      </c>
      <c r="B12770" s="30" t="s">
        <v>1226</v>
      </c>
      <c r="D12770" s="30" t="s">
        <v>2024</v>
      </c>
      <c r="F12770" s="30" t="s">
        <v>2074</v>
      </c>
      <c r="H12770" s="30" t="s">
        <v>2077</v>
      </c>
      <c r="J12770" s="30" t="s">
        <v>278</v>
      </c>
      <c r="L12770" s="30" t="s">
        <v>296</v>
      </c>
      <c r="M12770" s="30" t="s">
        <v>11015</v>
      </c>
      <c r="N12770" s="30" t="s">
        <v>1287</v>
      </c>
      <c r="P12770" s="30" t="s">
        <v>17796</v>
      </c>
      <c r="Q12770" t="s">
        <v>621</v>
      </c>
      <c r="R12770" t="s">
        <v>920</v>
      </c>
      <c r="S12770">
        <v>39</v>
      </c>
      <c r="T12770" s="29" t="str">
        <f t="shared" si="533"/>
        <v>2023.003S.Picornaviridae_158sprenamed.zip</v>
      </c>
      <c r="U12770" s="29" t="str">
        <f>HYPERLINK("https://ictv.global/taxonomy/taxondetails?taxnode_id=202306483","ictv.global=202306483")</f>
        <v>ictv.global=202306483</v>
      </c>
    </row>
    <row r="12771" spans="1:21">
      <c r="A12771">
        <v>12770</v>
      </c>
      <c r="B12771" s="30" t="s">
        <v>1226</v>
      </c>
      <c r="D12771" s="30" t="s">
        <v>2024</v>
      </c>
      <c r="F12771" s="30" t="s">
        <v>2074</v>
      </c>
      <c r="H12771" s="30" t="s">
        <v>2077</v>
      </c>
      <c r="J12771" s="30" t="s">
        <v>278</v>
      </c>
      <c r="L12771" s="30" t="s">
        <v>296</v>
      </c>
      <c r="M12771" s="30" t="s">
        <v>11016</v>
      </c>
      <c r="N12771" s="30" t="s">
        <v>1282</v>
      </c>
      <c r="P12771" s="30" t="s">
        <v>17797</v>
      </c>
      <c r="Q12771" t="s">
        <v>621</v>
      </c>
      <c r="R12771" t="s">
        <v>920</v>
      </c>
      <c r="S12771">
        <v>39</v>
      </c>
      <c r="T12771" s="29" t="str">
        <f t="shared" si="533"/>
        <v>2023.003S.Picornaviridae_158sprenamed.zip</v>
      </c>
      <c r="U12771" s="29" t="str">
        <f>HYPERLINK("https://ictv.global/taxonomy/taxondetails?taxnode_id=202302057","ictv.global=202302057")</f>
        <v>ictv.global=202302057</v>
      </c>
    </row>
    <row r="12772" spans="1:21">
      <c r="A12772">
        <v>12771</v>
      </c>
      <c r="B12772" s="30" t="s">
        <v>1226</v>
      </c>
      <c r="D12772" s="30" t="s">
        <v>2024</v>
      </c>
      <c r="F12772" s="30" t="s">
        <v>2074</v>
      </c>
      <c r="H12772" s="30" t="s">
        <v>2077</v>
      </c>
      <c r="J12772" s="30" t="s">
        <v>278</v>
      </c>
      <c r="L12772" s="30" t="s">
        <v>296</v>
      </c>
      <c r="M12772" s="30" t="s">
        <v>11016</v>
      </c>
      <c r="N12772" s="30" t="s">
        <v>1282</v>
      </c>
      <c r="P12772" s="30" t="s">
        <v>17798</v>
      </c>
      <c r="Q12772" t="s">
        <v>621</v>
      </c>
      <c r="R12772" t="s">
        <v>920</v>
      </c>
      <c r="S12772">
        <v>39</v>
      </c>
      <c r="T12772" s="29" t="str">
        <f t="shared" si="533"/>
        <v>2023.003S.Picornaviridae_158sprenamed.zip</v>
      </c>
      <c r="U12772" s="29" t="str">
        <f>HYPERLINK("https://ictv.global/taxonomy/taxondetails?taxnode_id=202308674","ictv.global=202308674")</f>
        <v>ictv.global=202308674</v>
      </c>
    </row>
    <row r="12773" spans="1:21">
      <c r="A12773">
        <v>12772</v>
      </c>
      <c r="B12773" s="30" t="s">
        <v>1226</v>
      </c>
      <c r="D12773" s="30" t="s">
        <v>2024</v>
      </c>
      <c r="F12773" s="30" t="s">
        <v>2074</v>
      </c>
      <c r="H12773" s="30" t="s">
        <v>2077</v>
      </c>
      <c r="J12773" s="30" t="s">
        <v>278</v>
      </c>
      <c r="L12773" s="30" t="s">
        <v>296</v>
      </c>
      <c r="M12773" s="30" t="s">
        <v>11016</v>
      </c>
      <c r="N12773" s="30" t="s">
        <v>2106</v>
      </c>
      <c r="P12773" s="30" t="s">
        <v>17799</v>
      </c>
      <c r="Q12773" t="s">
        <v>621</v>
      </c>
      <c r="R12773" t="s">
        <v>920</v>
      </c>
      <c r="S12773">
        <v>39</v>
      </c>
      <c r="T12773" s="29" t="str">
        <f t="shared" si="533"/>
        <v>2023.003S.Picornaviridae_158sprenamed.zip</v>
      </c>
      <c r="U12773" s="29" t="str">
        <f>HYPERLINK("https://ictv.global/taxonomy/taxondetails?taxnode_id=202308697","ictv.global=202308697")</f>
        <v>ictv.global=202308697</v>
      </c>
    </row>
    <row r="12774" spans="1:21">
      <c r="A12774">
        <v>12773</v>
      </c>
      <c r="B12774" s="30" t="s">
        <v>1226</v>
      </c>
      <c r="D12774" s="30" t="s">
        <v>2024</v>
      </c>
      <c r="F12774" s="30" t="s">
        <v>2074</v>
      </c>
      <c r="H12774" s="30" t="s">
        <v>2077</v>
      </c>
      <c r="J12774" s="30" t="s">
        <v>278</v>
      </c>
      <c r="L12774" s="30" t="s">
        <v>296</v>
      </c>
      <c r="M12774" s="30" t="s">
        <v>11016</v>
      </c>
      <c r="N12774" s="30" t="s">
        <v>2106</v>
      </c>
      <c r="P12774" s="30" t="s">
        <v>17800</v>
      </c>
      <c r="Q12774" t="s">
        <v>621</v>
      </c>
      <c r="R12774" t="s">
        <v>920</v>
      </c>
      <c r="S12774">
        <v>39</v>
      </c>
      <c r="T12774" s="29" t="str">
        <f t="shared" si="533"/>
        <v>2023.003S.Picornaviridae_158sprenamed.zip</v>
      </c>
      <c r="U12774" s="29" t="str">
        <f>HYPERLINK("https://ictv.global/taxonomy/taxondetails?taxnode_id=202308698","ictv.global=202308698")</f>
        <v>ictv.global=202308698</v>
      </c>
    </row>
    <row r="12775" spans="1:21">
      <c r="A12775">
        <v>12774</v>
      </c>
      <c r="B12775" s="30" t="s">
        <v>1226</v>
      </c>
      <c r="D12775" s="30" t="s">
        <v>2024</v>
      </c>
      <c r="F12775" s="30" t="s">
        <v>2074</v>
      </c>
      <c r="H12775" s="30" t="s">
        <v>2077</v>
      </c>
      <c r="J12775" s="30" t="s">
        <v>278</v>
      </c>
      <c r="L12775" s="30" t="s">
        <v>296</v>
      </c>
      <c r="M12775" s="30" t="s">
        <v>11016</v>
      </c>
      <c r="N12775" s="30" t="s">
        <v>2106</v>
      </c>
      <c r="P12775" s="30" t="s">
        <v>17801</v>
      </c>
      <c r="Q12775" t="s">
        <v>621</v>
      </c>
      <c r="R12775" t="s">
        <v>920</v>
      </c>
      <c r="S12775">
        <v>39</v>
      </c>
      <c r="T12775" s="29" t="str">
        <f t="shared" si="533"/>
        <v>2023.003S.Picornaviridae_158sprenamed.zip</v>
      </c>
      <c r="U12775" s="29" t="str">
        <f>HYPERLINK("https://ictv.global/taxonomy/taxondetails?taxnode_id=202308699","ictv.global=202308699")</f>
        <v>ictv.global=202308699</v>
      </c>
    </row>
    <row r="12776" spans="1:21">
      <c r="A12776">
        <v>12775</v>
      </c>
      <c r="B12776" s="30" t="s">
        <v>1226</v>
      </c>
      <c r="D12776" s="30" t="s">
        <v>2024</v>
      </c>
      <c r="F12776" s="30" t="s">
        <v>2074</v>
      </c>
      <c r="H12776" s="30" t="s">
        <v>2077</v>
      </c>
      <c r="J12776" s="30" t="s">
        <v>278</v>
      </c>
      <c r="L12776" s="30" t="s">
        <v>296</v>
      </c>
      <c r="M12776" s="30" t="s">
        <v>11016</v>
      </c>
      <c r="N12776" s="30" t="s">
        <v>2108</v>
      </c>
      <c r="P12776" s="30" t="s">
        <v>17802</v>
      </c>
      <c r="Q12776" t="s">
        <v>621</v>
      </c>
      <c r="R12776" t="s">
        <v>920</v>
      </c>
      <c r="S12776">
        <v>39</v>
      </c>
      <c r="T12776" s="29" t="str">
        <f t="shared" si="533"/>
        <v>2023.003S.Picornaviridae_158sprenamed.zip</v>
      </c>
      <c r="U12776" s="29" t="str">
        <f>HYPERLINK("https://ictv.global/taxonomy/taxondetails?taxnode_id=202307188","ictv.global=202307188")</f>
        <v>ictv.global=202307188</v>
      </c>
    </row>
    <row r="12777" spans="1:21">
      <c r="A12777">
        <v>12776</v>
      </c>
      <c r="B12777" s="30" t="s">
        <v>1226</v>
      </c>
      <c r="D12777" s="30" t="s">
        <v>2024</v>
      </c>
      <c r="F12777" s="30" t="s">
        <v>2074</v>
      </c>
      <c r="H12777" s="30" t="s">
        <v>2077</v>
      </c>
      <c r="J12777" s="30" t="s">
        <v>278</v>
      </c>
      <c r="L12777" s="30" t="s">
        <v>296</v>
      </c>
      <c r="M12777" s="30" t="s">
        <v>11016</v>
      </c>
      <c r="N12777" s="30" t="s">
        <v>2108</v>
      </c>
      <c r="P12777" s="30" t="s">
        <v>17803</v>
      </c>
      <c r="Q12777" t="s">
        <v>621</v>
      </c>
      <c r="R12777" t="s">
        <v>920</v>
      </c>
      <c r="S12777">
        <v>39</v>
      </c>
      <c r="T12777" s="29" t="str">
        <f t="shared" si="533"/>
        <v>2023.003S.Picornaviridae_158sprenamed.zip</v>
      </c>
      <c r="U12777" s="29" t="str">
        <f>HYPERLINK("https://ictv.global/taxonomy/taxondetails?taxnode_id=202307189","ictv.global=202307189")</f>
        <v>ictv.global=202307189</v>
      </c>
    </row>
    <row r="12778" spans="1:21">
      <c r="A12778">
        <v>12777</v>
      </c>
      <c r="B12778" s="30" t="s">
        <v>1226</v>
      </c>
      <c r="D12778" s="30" t="s">
        <v>2024</v>
      </c>
      <c r="F12778" s="30" t="s">
        <v>2074</v>
      </c>
      <c r="H12778" s="30" t="s">
        <v>2077</v>
      </c>
      <c r="J12778" s="30" t="s">
        <v>278</v>
      </c>
      <c r="L12778" s="30" t="s">
        <v>296</v>
      </c>
      <c r="M12778" s="30" t="s">
        <v>11016</v>
      </c>
      <c r="N12778" s="30" t="s">
        <v>175</v>
      </c>
      <c r="P12778" s="30" t="s">
        <v>17804</v>
      </c>
      <c r="Q12778" t="s">
        <v>621</v>
      </c>
      <c r="R12778" t="s">
        <v>920</v>
      </c>
      <c r="S12778">
        <v>39</v>
      </c>
      <c r="T12778" s="29" t="str">
        <f>HYPERLINK("https://ictv.global/ictv/proposals/2023.003S.Picornaviridae_158sprenamed.zip","2023.003S.Picornaviridae_158sprenamed.zip;2023.015SX.Picornaviridae_correction_1sp.zip")</f>
        <v>2023.003S.Picornaviridae_158sprenamed.zip;2023.015SX.Picornaviridae_correction_1sp.zip</v>
      </c>
      <c r="U12778" s="29" t="str">
        <f>HYPERLINK("https://ictv.global/taxonomy/taxondetails?taxnode_id=202301983","ictv.global=202301983")</f>
        <v>ictv.global=202301983</v>
      </c>
    </row>
    <row r="12779" spans="1:21">
      <c r="A12779">
        <v>12778</v>
      </c>
      <c r="B12779" s="30" t="s">
        <v>1226</v>
      </c>
      <c r="D12779" s="30" t="s">
        <v>2024</v>
      </c>
      <c r="F12779" s="30" t="s">
        <v>2074</v>
      </c>
      <c r="H12779" s="30" t="s">
        <v>2077</v>
      </c>
      <c r="J12779" s="30" t="s">
        <v>278</v>
      </c>
      <c r="L12779" s="30" t="s">
        <v>296</v>
      </c>
      <c r="M12779" s="30" t="s">
        <v>11016</v>
      </c>
      <c r="N12779" s="30" t="s">
        <v>175</v>
      </c>
      <c r="P12779" s="30" t="s">
        <v>17805</v>
      </c>
      <c r="Q12779" t="s">
        <v>621</v>
      </c>
      <c r="R12779" t="s">
        <v>920</v>
      </c>
      <c r="S12779">
        <v>39</v>
      </c>
      <c r="T12779" s="29" t="str">
        <f>HYPERLINK("https://ictv.global/ictv/proposals/2023.003S.Picornaviridae_158sprenamed.zip","2023.003S.Picornaviridae_158sprenamed.zip")</f>
        <v>2023.003S.Picornaviridae_158sprenamed.zip</v>
      </c>
      <c r="U12779" s="29" t="str">
        <f>HYPERLINK("https://ictv.global/taxonomy/taxondetails?taxnode_id=202301993","ictv.global=202301993")</f>
        <v>ictv.global=202301993</v>
      </c>
    </row>
    <row r="12780" spans="1:21">
      <c r="A12780">
        <v>12779</v>
      </c>
      <c r="B12780" s="30" t="s">
        <v>1226</v>
      </c>
      <c r="D12780" s="30" t="s">
        <v>2024</v>
      </c>
      <c r="F12780" s="30" t="s">
        <v>2074</v>
      </c>
      <c r="H12780" s="30" t="s">
        <v>2077</v>
      </c>
      <c r="J12780" s="30" t="s">
        <v>278</v>
      </c>
      <c r="L12780" s="30" t="s">
        <v>296</v>
      </c>
      <c r="M12780" s="30" t="s">
        <v>11016</v>
      </c>
      <c r="N12780" s="30" t="s">
        <v>175</v>
      </c>
      <c r="P12780" s="30" t="s">
        <v>17806</v>
      </c>
      <c r="Q12780" t="s">
        <v>621</v>
      </c>
      <c r="R12780" t="s">
        <v>920</v>
      </c>
      <c r="S12780">
        <v>39</v>
      </c>
      <c r="T12780" s="29" t="str">
        <f>HYPERLINK("https://ictv.global/ictv/proposals/2023.003S.Picornaviridae_158sprenamed.zip","2023.003S.Picornaviridae_158sprenamed.zip;2023.015SX.Picornaviridae_correction_1sp.zip")</f>
        <v>2023.003S.Picornaviridae_158sprenamed.zip;2023.015SX.Picornaviridae_correction_1sp.zip</v>
      </c>
      <c r="U12780" s="29" t="str">
        <f>HYPERLINK("https://ictv.global/taxonomy/taxondetails?taxnode_id=202301984","ictv.global=202301984")</f>
        <v>ictv.global=202301984</v>
      </c>
    </row>
    <row r="12781" spans="1:21">
      <c r="A12781">
        <v>12780</v>
      </c>
      <c r="B12781" s="30" t="s">
        <v>1226</v>
      </c>
      <c r="D12781" s="30" t="s">
        <v>2024</v>
      </c>
      <c r="F12781" s="30" t="s">
        <v>2074</v>
      </c>
      <c r="H12781" s="30" t="s">
        <v>2077</v>
      </c>
      <c r="J12781" s="30" t="s">
        <v>278</v>
      </c>
      <c r="L12781" s="30" t="s">
        <v>296</v>
      </c>
      <c r="M12781" s="30" t="s">
        <v>11016</v>
      </c>
      <c r="N12781" s="30" t="s">
        <v>175</v>
      </c>
      <c r="P12781" s="30" t="s">
        <v>17807</v>
      </c>
      <c r="Q12781" t="s">
        <v>621</v>
      </c>
      <c r="R12781" t="s">
        <v>920</v>
      </c>
      <c r="S12781">
        <v>39</v>
      </c>
      <c r="T12781" s="29" t="str">
        <f>HYPERLINK("https://ictv.global/ictv/proposals/2023.003S.Picornaviridae_158sprenamed.zip","2023.003S.Picornaviridae_158sprenamed.zip")</f>
        <v>2023.003S.Picornaviridae_158sprenamed.zip</v>
      </c>
      <c r="U12781" s="29" t="str">
        <f>HYPERLINK("https://ictv.global/taxonomy/taxondetails?taxnode_id=202301994","ictv.global=202301994")</f>
        <v>ictv.global=202301994</v>
      </c>
    </row>
    <row r="12782" spans="1:21">
      <c r="A12782">
        <v>12781</v>
      </c>
      <c r="B12782" s="30" t="s">
        <v>1226</v>
      </c>
      <c r="D12782" s="30" t="s">
        <v>2024</v>
      </c>
      <c r="F12782" s="30" t="s">
        <v>2074</v>
      </c>
      <c r="H12782" s="30" t="s">
        <v>2077</v>
      </c>
      <c r="J12782" s="30" t="s">
        <v>278</v>
      </c>
      <c r="L12782" s="30" t="s">
        <v>296</v>
      </c>
      <c r="M12782" s="30" t="s">
        <v>11016</v>
      </c>
      <c r="N12782" s="30" t="s">
        <v>175</v>
      </c>
      <c r="P12782" s="30" t="s">
        <v>17808</v>
      </c>
      <c r="Q12782" t="s">
        <v>621</v>
      </c>
      <c r="R12782" t="s">
        <v>920</v>
      </c>
      <c r="S12782">
        <v>39</v>
      </c>
      <c r="T12782" s="29" t="str">
        <f>HYPERLINK("https://ictv.global/ictv/proposals/2023.003S.Picornaviridae_158sprenamed.zip","2023.003S.Picornaviridae_158sprenamed.zip")</f>
        <v>2023.003S.Picornaviridae_158sprenamed.zip</v>
      </c>
      <c r="U12782" s="29" t="str">
        <f>HYPERLINK("https://ictv.global/taxonomy/taxondetails?taxnode_id=202301995","ictv.global=202301995")</f>
        <v>ictv.global=202301995</v>
      </c>
    </row>
    <row r="12783" spans="1:21">
      <c r="A12783">
        <v>12782</v>
      </c>
      <c r="B12783" s="30" t="s">
        <v>1226</v>
      </c>
      <c r="D12783" s="30" t="s">
        <v>2024</v>
      </c>
      <c r="F12783" s="30" t="s">
        <v>2074</v>
      </c>
      <c r="H12783" s="30" t="s">
        <v>2077</v>
      </c>
      <c r="J12783" s="30" t="s">
        <v>278</v>
      </c>
      <c r="L12783" s="30" t="s">
        <v>296</v>
      </c>
      <c r="M12783" s="30" t="s">
        <v>11016</v>
      </c>
      <c r="N12783" s="30" t="s">
        <v>175</v>
      </c>
      <c r="P12783" s="30" t="s">
        <v>17809</v>
      </c>
      <c r="Q12783" t="s">
        <v>621</v>
      </c>
      <c r="R12783" t="s">
        <v>920</v>
      </c>
      <c r="S12783">
        <v>39</v>
      </c>
      <c r="T12783" s="29" t="str">
        <f>HYPERLINK("https://ictv.global/ictv/proposals/2023.003S.Picornaviridae_158sprenamed.zip","2023.003S.Picornaviridae_158sprenamed.zip")</f>
        <v>2023.003S.Picornaviridae_158sprenamed.zip</v>
      </c>
      <c r="U12783" s="29" t="str">
        <f>HYPERLINK("https://ictv.global/taxonomy/taxondetails?taxnode_id=202301985","ictv.global=202301985")</f>
        <v>ictv.global=202301985</v>
      </c>
    </row>
    <row r="12784" spans="1:21">
      <c r="A12784">
        <v>12783</v>
      </c>
      <c r="B12784" s="30" t="s">
        <v>1226</v>
      </c>
      <c r="D12784" s="30" t="s">
        <v>2024</v>
      </c>
      <c r="F12784" s="30" t="s">
        <v>2074</v>
      </c>
      <c r="H12784" s="30" t="s">
        <v>2077</v>
      </c>
      <c r="J12784" s="30" t="s">
        <v>278</v>
      </c>
      <c r="L12784" s="30" t="s">
        <v>296</v>
      </c>
      <c r="M12784" s="30" t="s">
        <v>11016</v>
      </c>
      <c r="N12784" s="30" t="s">
        <v>175</v>
      </c>
      <c r="P12784" s="30" t="s">
        <v>17810</v>
      </c>
      <c r="Q12784" t="s">
        <v>621</v>
      </c>
      <c r="R12784" t="s">
        <v>920</v>
      </c>
      <c r="S12784">
        <v>39</v>
      </c>
      <c r="T12784" s="29" t="str">
        <f>HYPERLINK("https://ictv.global/ictv/proposals/2023.003S.Picornaviridae_158sprenamed.zip","2023.003S.Picornaviridae_158sprenamed.zip;2023.015SX.Picornaviridae_correction_1sp.zip")</f>
        <v>2023.003S.Picornaviridae_158sprenamed.zip;2023.015SX.Picornaviridae_correction_1sp.zip</v>
      </c>
      <c r="U12784" s="29" t="str">
        <f>HYPERLINK("https://ictv.global/taxonomy/taxondetails?taxnode_id=202301986","ictv.global=202301986")</f>
        <v>ictv.global=202301986</v>
      </c>
    </row>
    <row r="12785" spans="1:21">
      <c r="A12785">
        <v>12784</v>
      </c>
      <c r="B12785" s="30" t="s">
        <v>1226</v>
      </c>
      <c r="D12785" s="30" t="s">
        <v>2024</v>
      </c>
      <c r="F12785" s="30" t="s">
        <v>2074</v>
      </c>
      <c r="H12785" s="30" t="s">
        <v>2077</v>
      </c>
      <c r="J12785" s="30" t="s">
        <v>278</v>
      </c>
      <c r="L12785" s="30" t="s">
        <v>296</v>
      </c>
      <c r="M12785" s="30" t="s">
        <v>11016</v>
      </c>
      <c r="N12785" s="30" t="s">
        <v>175</v>
      </c>
      <c r="P12785" s="30" t="s">
        <v>17811</v>
      </c>
      <c r="Q12785" t="s">
        <v>621</v>
      </c>
      <c r="R12785" t="s">
        <v>920</v>
      </c>
      <c r="S12785">
        <v>39</v>
      </c>
      <c r="T12785" s="29" t="str">
        <f t="shared" ref="T12785:T12816" si="534">HYPERLINK("https://ictv.global/ictv/proposals/2023.003S.Picornaviridae_158sprenamed.zip","2023.003S.Picornaviridae_158sprenamed.zip")</f>
        <v>2023.003S.Picornaviridae_158sprenamed.zip</v>
      </c>
      <c r="U12785" s="29" t="str">
        <f>HYPERLINK("https://ictv.global/taxonomy/taxondetails?taxnode_id=202301987","ictv.global=202301987")</f>
        <v>ictv.global=202301987</v>
      </c>
    </row>
    <row r="12786" spans="1:21">
      <c r="A12786">
        <v>12785</v>
      </c>
      <c r="B12786" s="30" t="s">
        <v>1226</v>
      </c>
      <c r="D12786" s="30" t="s">
        <v>2024</v>
      </c>
      <c r="F12786" s="30" t="s">
        <v>2074</v>
      </c>
      <c r="H12786" s="30" t="s">
        <v>2077</v>
      </c>
      <c r="J12786" s="30" t="s">
        <v>278</v>
      </c>
      <c r="L12786" s="30" t="s">
        <v>296</v>
      </c>
      <c r="M12786" s="30" t="s">
        <v>11016</v>
      </c>
      <c r="N12786" s="30" t="s">
        <v>175</v>
      </c>
      <c r="P12786" s="30" t="s">
        <v>17812</v>
      </c>
      <c r="Q12786" t="s">
        <v>621</v>
      </c>
      <c r="R12786" t="s">
        <v>920</v>
      </c>
      <c r="S12786">
        <v>39</v>
      </c>
      <c r="T12786" s="29" t="str">
        <f t="shared" si="534"/>
        <v>2023.003S.Picornaviridae_158sprenamed.zip</v>
      </c>
      <c r="U12786" s="29" t="str">
        <f>HYPERLINK("https://ictv.global/taxonomy/taxondetails?taxnode_id=202301988","ictv.global=202301988")</f>
        <v>ictv.global=202301988</v>
      </c>
    </row>
    <row r="12787" spans="1:21">
      <c r="A12787">
        <v>12786</v>
      </c>
      <c r="B12787" s="30" t="s">
        <v>1226</v>
      </c>
      <c r="D12787" s="30" t="s">
        <v>2024</v>
      </c>
      <c r="F12787" s="30" t="s">
        <v>2074</v>
      </c>
      <c r="H12787" s="30" t="s">
        <v>2077</v>
      </c>
      <c r="J12787" s="30" t="s">
        <v>278</v>
      </c>
      <c r="L12787" s="30" t="s">
        <v>296</v>
      </c>
      <c r="M12787" s="30" t="s">
        <v>11016</v>
      </c>
      <c r="N12787" s="30" t="s">
        <v>175</v>
      </c>
      <c r="P12787" s="30" t="s">
        <v>17813</v>
      </c>
      <c r="Q12787" t="s">
        <v>621</v>
      </c>
      <c r="R12787" t="s">
        <v>920</v>
      </c>
      <c r="S12787">
        <v>39</v>
      </c>
      <c r="T12787" s="29" t="str">
        <f t="shared" si="534"/>
        <v>2023.003S.Picornaviridae_158sprenamed.zip</v>
      </c>
      <c r="U12787" s="29" t="str">
        <f>HYPERLINK("https://ictv.global/taxonomy/taxondetails?taxnode_id=202301989","ictv.global=202301989")</f>
        <v>ictv.global=202301989</v>
      </c>
    </row>
    <row r="12788" spans="1:21">
      <c r="A12788">
        <v>12787</v>
      </c>
      <c r="B12788" s="30" t="s">
        <v>1226</v>
      </c>
      <c r="D12788" s="30" t="s">
        <v>2024</v>
      </c>
      <c r="F12788" s="30" t="s">
        <v>2074</v>
      </c>
      <c r="H12788" s="30" t="s">
        <v>2077</v>
      </c>
      <c r="J12788" s="30" t="s">
        <v>278</v>
      </c>
      <c r="L12788" s="30" t="s">
        <v>296</v>
      </c>
      <c r="M12788" s="30" t="s">
        <v>11016</v>
      </c>
      <c r="N12788" s="30" t="s">
        <v>175</v>
      </c>
      <c r="P12788" s="30" t="s">
        <v>17814</v>
      </c>
      <c r="Q12788" t="s">
        <v>621</v>
      </c>
      <c r="R12788" t="s">
        <v>920</v>
      </c>
      <c r="S12788">
        <v>39</v>
      </c>
      <c r="T12788" s="29" t="str">
        <f t="shared" si="534"/>
        <v>2023.003S.Picornaviridae_158sprenamed.zip</v>
      </c>
      <c r="U12788" s="29" t="str">
        <f>HYPERLINK("https://ictv.global/taxonomy/taxondetails?taxnode_id=202301990","ictv.global=202301990")</f>
        <v>ictv.global=202301990</v>
      </c>
    </row>
    <row r="12789" spans="1:21">
      <c r="A12789">
        <v>12788</v>
      </c>
      <c r="B12789" s="30" t="s">
        <v>1226</v>
      </c>
      <c r="D12789" s="30" t="s">
        <v>2024</v>
      </c>
      <c r="F12789" s="30" t="s">
        <v>2074</v>
      </c>
      <c r="H12789" s="30" t="s">
        <v>2077</v>
      </c>
      <c r="J12789" s="30" t="s">
        <v>278</v>
      </c>
      <c r="L12789" s="30" t="s">
        <v>296</v>
      </c>
      <c r="M12789" s="30" t="s">
        <v>11016</v>
      </c>
      <c r="N12789" s="30" t="s">
        <v>175</v>
      </c>
      <c r="P12789" s="30" t="s">
        <v>17815</v>
      </c>
      <c r="Q12789" t="s">
        <v>621</v>
      </c>
      <c r="R12789" t="s">
        <v>920</v>
      </c>
      <c r="S12789">
        <v>39</v>
      </c>
      <c r="T12789" s="29" t="str">
        <f t="shared" si="534"/>
        <v>2023.003S.Picornaviridae_158sprenamed.zip</v>
      </c>
      <c r="U12789" s="29" t="str">
        <f>HYPERLINK("https://ictv.global/taxonomy/taxondetails?taxnode_id=202301991","ictv.global=202301991")</f>
        <v>ictv.global=202301991</v>
      </c>
    </row>
    <row r="12790" spans="1:21">
      <c r="A12790">
        <v>12789</v>
      </c>
      <c r="B12790" s="30" t="s">
        <v>1226</v>
      </c>
      <c r="D12790" s="30" t="s">
        <v>2024</v>
      </c>
      <c r="F12790" s="30" t="s">
        <v>2074</v>
      </c>
      <c r="H12790" s="30" t="s">
        <v>2077</v>
      </c>
      <c r="J12790" s="30" t="s">
        <v>278</v>
      </c>
      <c r="L12790" s="30" t="s">
        <v>296</v>
      </c>
      <c r="M12790" s="30" t="s">
        <v>11016</v>
      </c>
      <c r="N12790" s="30" t="s">
        <v>175</v>
      </c>
      <c r="P12790" s="30" t="s">
        <v>17816</v>
      </c>
      <c r="Q12790" t="s">
        <v>621</v>
      </c>
      <c r="R12790" t="s">
        <v>920</v>
      </c>
      <c r="S12790">
        <v>39</v>
      </c>
      <c r="T12790" s="29" t="str">
        <f t="shared" si="534"/>
        <v>2023.003S.Picornaviridae_158sprenamed.zip</v>
      </c>
      <c r="U12790" s="29" t="str">
        <f>HYPERLINK("https://ictv.global/taxonomy/taxondetails?taxnode_id=202301992","ictv.global=202301992")</f>
        <v>ictv.global=202301992</v>
      </c>
    </row>
    <row r="12791" spans="1:21">
      <c r="A12791">
        <v>12790</v>
      </c>
      <c r="B12791" s="30" t="s">
        <v>1226</v>
      </c>
      <c r="D12791" s="30" t="s">
        <v>2024</v>
      </c>
      <c r="F12791" s="30" t="s">
        <v>2074</v>
      </c>
      <c r="H12791" s="30" t="s">
        <v>2077</v>
      </c>
      <c r="J12791" s="30" t="s">
        <v>278</v>
      </c>
      <c r="L12791" s="30" t="s">
        <v>296</v>
      </c>
      <c r="M12791" s="30" t="s">
        <v>11016</v>
      </c>
      <c r="N12791" s="30" t="s">
        <v>175</v>
      </c>
      <c r="P12791" s="30" t="s">
        <v>17817</v>
      </c>
      <c r="Q12791" t="s">
        <v>621</v>
      </c>
      <c r="R12791" t="s">
        <v>920</v>
      </c>
      <c r="S12791">
        <v>39</v>
      </c>
      <c r="T12791" s="29" t="str">
        <f t="shared" si="534"/>
        <v>2023.003S.Picornaviridae_158sprenamed.zip</v>
      </c>
      <c r="U12791" s="29" t="str">
        <f>HYPERLINK("https://ictv.global/taxonomy/taxondetails?taxnode_id=202305596","ictv.global=202305596")</f>
        <v>ictv.global=202305596</v>
      </c>
    </row>
    <row r="12792" spans="1:21">
      <c r="A12792">
        <v>12791</v>
      </c>
      <c r="B12792" s="30" t="s">
        <v>1226</v>
      </c>
      <c r="D12792" s="30" t="s">
        <v>2024</v>
      </c>
      <c r="F12792" s="30" t="s">
        <v>2074</v>
      </c>
      <c r="H12792" s="30" t="s">
        <v>2077</v>
      </c>
      <c r="J12792" s="30" t="s">
        <v>278</v>
      </c>
      <c r="L12792" s="30" t="s">
        <v>296</v>
      </c>
      <c r="M12792" s="30" t="s">
        <v>11016</v>
      </c>
      <c r="N12792" s="30" t="s">
        <v>175</v>
      </c>
      <c r="P12792" s="30" t="s">
        <v>17818</v>
      </c>
      <c r="Q12792" t="s">
        <v>621</v>
      </c>
      <c r="R12792" t="s">
        <v>920</v>
      </c>
      <c r="S12792">
        <v>39</v>
      </c>
      <c r="T12792" s="29" t="str">
        <f t="shared" si="534"/>
        <v>2023.003S.Picornaviridae_158sprenamed.zip</v>
      </c>
      <c r="U12792" s="29" t="str">
        <f>HYPERLINK("https://ictv.global/taxonomy/taxondetails?taxnode_id=202305597","ictv.global=202305597")</f>
        <v>ictv.global=202305597</v>
      </c>
    </row>
    <row r="12793" spans="1:21">
      <c r="A12793">
        <v>12792</v>
      </c>
      <c r="B12793" s="30" t="s">
        <v>1226</v>
      </c>
      <c r="D12793" s="30" t="s">
        <v>2024</v>
      </c>
      <c r="F12793" s="30" t="s">
        <v>2074</v>
      </c>
      <c r="H12793" s="30" t="s">
        <v>2077</v>
      </c>
      <c r="J12793" s="30" t="s">
        <v>278</v>
      </c>
      <c r="L12793" s="30" t="s">
        <v>296</v>
      </c>
      <c r="M12793" s="30" t="s">
        <v>11016</v>
      </c>
      <c r="N12793" s="30" t="s">
        <v>2109</v>
      </c>
      <c r="P12793" s="30" t="s">
        <v>17819</v>
      </c>
      <c r="Q12793" t="s">
        <v>621</v>
      </c>
      <c r="R12793" t="s">
        <v>920</v>
      </c>
      <c r="S12793">
        <v>39</v>
      </c>
      <c r="T12793" s="29" t="str">
        <f t="shared" si="534"/>
        <v>2023.003S.Picornaviridae_158sprenamed.zip</v>
      </c>
      <c r="U12793" s="29" t="str">
        <f>HYPERLINK("https://ictv.global/taxonomy/taxondetails?taxnode_id=202307254","ictv.global=202307254")</f>
        <v>ictv.global=202307254</v>
      </c>
    </row>
    <row r="12794" spans="1:21">
      <c r="A12794">
        <v>12793</v>
      </c>
      <c r="B12794" s="30" t="s">
        <v>1226</v>
      </c>
      <c r="D12794" s="30" t="s">
        <v>2024</v>
      </c>
      <c r="F12794" s="30" t="s">
        <v>2074</v>
      </c>
      <c r="H12794" s="30" t="s">
        <v>2077</v>
      </c>
      <c r="J12794" s="30" t="s">
        <v>278</v>
      </c>
      <c r="L12794" s="30" t="s">
        <v>296</v>
      </c>
      <c r="M12794" s="30" t="s">
        <v>11016</v>
      </c>
      <c r="N12794" s="30" t="s">
        <v>2117</v>
      </c>
      <c r="P12794" s="30" t="s">
        <v>17820</v>
      </c>
      <c r="Q12794" t="s">
        <v>621</v>
      </c>
      <c r="R12794" t="s">
        <v>920</v>
      </c>
      <c r="S12794">
        <v>39</v>
      </c>
      <c r="T12794" s="29" t="str">
        <f t="shared" si="534"/>
        <v>2023.003S.Picornaviridae_158sprenamed.zip</v>
      </c>
      <c r="U12794" s="29" t="str">
        <f>HYPERLINK("https://ictv.global/taxonomy/taxondetails?taxnode_id=202307410","ictv.global=202307410")</f>
        <v>ictv.global=202307410</v>
      </c>
    </row>
    <row r="12795" spans="1:21">
      <c r="A12795">
        <v>12794</v>
      </c>
      <c r="B12795" s="30" t="s">
        <v>1226</v>
      </c>
      <c r="D12795" s="30" t="s">
        <v>2024</v>
      </c>
      <c r="F12795" s="30" t="s">
        <v>2074</v>
      </c>
      <c r="H12795" s="30" t="s">
        <v>2077</v>
      </c>
      <c r="J12795" s="30" t="s">
        <v>278</v>
      </c>
      <c r="L12795" s="30" t="s">
        <v>296</v>
      </c>
      <c r="M12795" s="30" t="s">
        <v>11016</v>
      </c>
      <c r="N12795" s="30" t="s">
        <v>2117</v>
      </c>
      <c r="P12795" s="30" t="s">
        <v>17821</v>
      </c>
      <c r="Q12795" t="s">
        <v>621</v>
      </c>
      <c r="R12795" t="s">
        <v>920</v>
      </c>
      <c r="S12795">
        <v>39</v>
      </c>
      <c r="T12795" s="29" t="str">
        <f t="shared" si="534"/>
        <v>2023.003S.Picornaviridae_158sprenamed.zip</v>
      </c>
      <c r="U12795" s="29" t="str">
        <f>HYPERLINK("https://ictv.global/taxonomy/taxondetails?taxnode_id=202307411","ictv.global=202307411")</f>
        <v>ictv.global=202307411</v>
      </c>
    </row>
    <row r="12796" spans="1:21">
      <c r="A12796">
        <v>12795</v>
      </c>
      <c r="B12796" s="30" t="s">
        <v>1226</v>
      </c>
      <c r="D12796" s="30" t="s">
        <v>2024</v>
      </c>
      <c r="F12796" s="30" t="s">
        <v>2074</v>
      </c>
      <c r="H12796" s="30" t="s">
        <v>2077</v>
      </c>
      <c r="J12796" s="30" t="s">
        <v>278</v>
      </c>
      <c r="L12796" s="30" t="s">
        <v>296</v>
      </c>
      <c r="M12796" s="30" t="s">
        <v>11016</v>
      </c>
      <c r="N12796" s="30" t="s">
        <v>2117</v>
      </c>
      <c r="P12796" s="30" t="s">
        <v>17822</v>
      </c>
      <c r="Q12796" t="s">
        <v>621</v>
      </c>
      <c r="R12796" t="s">
        <v>920</v>
      </c>
      <c r="S12796">
        <v>39</v>
      </c>
      <c r="T12796" s="29" t="str">
        <f t="shared" si="534"/>
        <v>2023.003S.Picornaviridae_158sprenamed.zip</v>
      </c>
      <c r="U12796" s="29" t="str">
        <f>HYPERLINK("https://ictv.global/taxonomy/taxondetails?taxnode_id=202307412","ictv.global=202307412")</f>
        <v>ictv.global=202307412</v>
      </c>
    </row>
    <row r="12797" spans="1:21">
      <c r="A12797">
        <v>12796</v>
      </c>
      <c r="B12797" s="30" t="s">
        <v>1226</v>
      </c>
      <c r="D12797" s="30" t="s">
        <v>2024</v>
      </c>
      <c r="F12797" s="30" t="s">
        <v>2074</v>
      </c>
      <c r="H12797" s="30" t="s">
        <v>2077</v>
      </c>
      <c r="J12797" s="30" t="s">
        <v>278</v>
      </c>
      <c r="L12797" s="30" t="s">
        <v>296</v>
      </c>
      <c r="M12797" s="30" t="s">
        <v>11016</v>
      </c>
      <c r="N12797" s="30" t="s">
        <v>895</v>
      </c>
      <c r="P12797" s="30" t="s">
        <v>17823</v>
      </c>
      <c r="Q12797" t="s">
        <v>621</v>
      </c>
      <c r="R12797" t="s">
        <v>920</v>
      </c>
      <c r="S12797">
        <v>39</v>
      </c>
      <c r="T12797" s="29" t="str">
        <f t="shared" si="534"/>
        <v>2023.003S.Picornaviridae_158sprenamed.zip</v>
      </c>
      <c r="U12797" s="29" t="str">
        <f>HYPERLINK("https://ictv.global/taxonomy/taxondetails?taxnode_id=202302049","ictv.global=202302049")</f>
        <v>ictv.global=202302049</v>
      </c>
    </row>
    <row r="12798" spans="1:21">
      <c r="A12798">
        <v>12797</v>
      </c>
      <c r="B12798" s="30" t="s">
        <v>1226</v>
      </c>
      <c r="D12798" s="30" t="s">
        <v>2024</v>
      </c>
      <c r="F12798" s="30" t="s">
        <v>2074</v>
      </c>
      <c r="H12798" s="30" t="s">
        <v>2077</v>
      </c>
      <c r="J12798" s="30" t="s">
        <v>278</v>
      </c>
      <c r="L12798" s="30" t="s">
        <v>296</v>
      </c>
      <c r="M12798" s="30" t="s">
        <v>11016</v>
      </c>
      <c r="N12798" s="30" t="s">
        <v>895</v>
      </c>
      <c r="P12798" s="30" t="s">
        <v>17824</v>
      </c>
      <c r="Q12798" t="s">
        <v>621</v>
      </c>
      <c r="R12798" t="s">
        <v>920</v>
      </c>
      <c r="S12798">
        <v>39</v>
      </c>
      <c r="T12798" s="29" t="str">
        <f t="shared" si="534"/>
        <v>2023.003S.Picornaviridae_158sprenamed.zip</v>
      </c>
      <c r="U12798" s="29" t="str">
        <f>HYPERLINK("https://ictv.global/taxonomy/taxondetails?taxnode_id=202306420","ictv.global=202306420")</f>
        <v>ictv.global=202306420</v>
      </c>
    </row>
    <row r="12799" spans="1:21">
      <c r="A12799">
        <v>12798</v>
      </c>
      <c r="B12799" s="30" t="s">
        <v>1226</v>
      </c>
      <c r="D12799" s="30" t="s">
        <v>2024</v>
      </c>
      <c r="F12799" s="30" t="s">
        <v>2074</v>
      </c>
      <c r="H12799" s="30" t="s">
        <v>2077</v>
      </c>
      <c r="J12799" s="30" t="s">
        <v>278</v>
      </c>
      <c r="L12799" s="30" t="s">
        <v>296</v>
      </c>
      <c r="M12799" s="30" t="s">
        <v>11016</v>
      </c>
      <c r="N12799" s="30" t="s">
        <v>895</v>
      </c>
      <c r="P12799" s="30" t="s">
        <v>17825</v>
      </c>
      <c r="Q12799" t="s">
        <v>621</v>
      </c>
      <c r="R12799" t="s">
        <v>920</v>
      </c>
      <c r="S12799">
        <v>39</v>
      </c>
      <c r="T12799" s="29" t="str">
        <f t="shared" si="534"/>
        <v>2023.003S.Picornaviridae_158sprenamed.zip</v>
      </c>
      <c r="U12799" s="29" t="str">
        <f>HYPERLINK("https://ictv.global/taxonomy/taxondetails?taxnode_id=202306421","ictv.global=202306421")</f>
        <v>ictv.global=202306421</v>
      </c>
    </row>
    <row r="12800" spans="1:21">
      <c r="A12800">
        <v>12799</v>
      </c>
      <c r="B12800" s="30" t="s">
        <v>1226</v>
      </c>
      <c r="D12800" s="30" t="s">
        <v>2024</v>
      </c>
      <c r="F12800" s="30" t="s">
        <v>2074</v>
      </c>
      <c r="H12800" s="30" t="s">
        <v>2077</v>
      </c>
      <c r="J12800" s="30" t="s">
        <v>278</v>
      </c>
      <c r="L12800" s="30" t="s">
        <v>296</v>
      </c>
      <c r="M12800" s="30" t="s">
        <v>11016</v>
      </c>
      <c r="N12800" s="30" t="s">
        <v>895</v>
      </c>
      <c r="P12800" s="30" t="s">
        <v>17826</v>
      </c>
      <c r="Q12800" t="s">
        <v>621</v>
      </c>
      <c r="R12800" t="s">
        <v>920</v>
      </c>
      <c r="S12800">
        <v>39</v>
      </c>
      <c r="T12800" s="29" t="str">
        <f t="shared" si="534"/>
        <v>2023.003S.Picornaviridae_158sprenamed.zip</v>
      </c>
      <c r="U12800" s="29" t="str">
        <f>HYPERLINK("https://ictv.global/taxonomy/taxondetails?taxnode_id=202306422","ictv.global=202306422")</f>
        <v>ictv.global=202306422</v>
      </c>
    </row>
    <row r="12801" spans="1:21">
      <c r="A12801">
        <v>12800</v>
      </c>
      <c r="B12801" s="30" t="s">
        <v>1226</v>
      </c>
      <c r="D12801" s="30" t="s">
        <v>2024</v>
      </c>
      <c r="F12801" s="30" t="s">
        <v>2074</v>
      </c>
      <c r="H12801" s="30" t="s">
        <v>2077</v>
      </c>
      <c r="J12801" s="30" t="s">
        <v>278</v>
      </c>
      <c r="L12801" s="30" t="s">
        <v>296</v>
      </c>
      <c r="M12801" s="30" t="s">
        <v>11016</v>
      </c>
      <c r="N12801" s="30" t="s">
        <v>279</v>
      </c>
      <c r="P12801" s="30" t="s">
        <v>17827</v>
      </c>
      <c r="Q12801" t="s">
        <v>621</v>
      </c>
      <c r="R12801" t="s">
        <v>920</v>
      </c>
      <c r="S12801">
        <v>39</v>
      </c>
      <c r="T12801" s="29" t="str">
        <f t="shared" si="534"/>
        <v>2023.003S.Picornaviridae_158sprenamed.zip</v>
      </c>
      <c r="U12801" s="29" t="str">
        <f>HYPERLINK("https://ictv.global/taxonomy/taxondetails?taxnode_id=202302058","ictv.global=202302058")</f>
        <v>ictv.global=202302058</v>
      </c>
    </row>
    <row r="12802" spans="1:21">
      <c r="A12802">
        <v>12801</v>
      </c>
      <c r="B12802" s="30" t="s">
        <v>1226</v>
      </c>
      <c r="D12802" s="30" t="s">
        <v>2024</v>
      </c>
      <c r="F12802" s="30" t="s">
        <v>2074</v>
      </c>
      <c r="H12802" s="30" t="s">
        <v>2077</v>
      </c>
      <c r="J12802" s="30" t="s">
        <v>278</v>
      </c>
      <c r="L12802" s="30" t="s">
        <v>296</v>
      </c>
      <c r="M12802" s="30" t="s">
        <v>11016</v>
      </c>
      <c r="N12802" s="30" t="s">
        <v>279</v>
      </c>
      <c r="P12802" s="30" t="s">
        <v>17828</v>
      </c>
      <c r="Q12802" t="s">
        <v>621</v>
      </c>
      <c r="R12802" t="s">
        <v>920</v>
      </c>
      <c r="S12802">
        <v>39</v>
      </c>
      <c r="T12802" s="29" t="str">
        <f t="shared" si="534"/>
        <v>2023.003S.Picornaviridae_158sprenamed.zip</v>
      </c>
      <c r="U12802" s="29" t="str">
        <f>HYPERLINK("https://ictv.global/taxonomy/taxondetails?taxnode_id=202302059","ictv.global=202302059")</f>
        <v>ictv.global=202302059</v>
      </c>
    </row>
    <row r="12803" spans="1:21">
      <c r="A12803">
        <v>12802</v>
      </c>
      <c r="B12803" s="30" t="s">
        <v>1226</v>
      </c>
      <c r="D12803" s="30" t="s">
        <v>2024</v>
      </c>
      <c r="F12803" s="30" t="s">
        <v>2074</v>
      </c>
      <c r="H12803" s="30" t="s">
        <v>2077</v>
      </c>
      <c r="J12803" s="30" t="s">
        <v>278</v>
      </c>
      <c r="L12803" s="30" t="s">
        <v>296</v>
      </c>
      <c r="M12803" s="30" t="s">
        <v>11017</v>
      </c>
      <c r="N12803" s="30" t="s">
        <v>3800</v>
      </c>
      <c r="P12803" s="30" t="s">
        <v>17829</v>
      </c>
      <c r="Q12803" t="s">
        <v>621</v>
      </c>
      <c r="R12803" t="s">
        <v>920</v>
      </c>
      <c r="S12803">
        <v>39</v>
      </c>
      <c r="T12803" s="29" t="str">
        <f t="shared" si="534"/>
        <v>2023.003S.Picornaviridae_158sprenamed.zip</v>
      </c>
      <c r="U12803" s="29" t="str">
        <f>HYPERLINK("https://ictv.global/taxonomy/taxondetails?taxnode_id=202308772","ictv.global=202308772")</f>
        <v>ictv.global=202308772</v>
      </c>
    </row>
    <row r="12804" spans="1:21">
      <c r="A12804">
        <v>12803</v>
      </c>
      <c r="B12804" s="30" t="s">
        <v>1226</v>
      </c>
      <c r="D12804" s="30" t="s">
        <v>2024</v>
      </c>
      <c r="F12804" s="30" t="s">
        <v>2074</v>
      </c>
      <c r="H12804" s="30" t="s">
        <v>2077</v>
      </c>
      <c r="J12804" s="30" t="s">
        <v>278</v>
      </c>
      <c r="L12804" s="30" t="s">
        <v>296</v>
      </c>
      <c r="M12804" s="30" t="s">
        <v>11017</v>
      </c>
      <c r="N12804" s="30" t="s">
        <v>2107</v>
      </c>
      <c r="P12804" s="30" t="s">
        <v>17830</v>
      </c>
      <c r="Q12804" t="s">
        <v>621</v>
      </c>
      <c r="R12804" t="s">
        <v>920</v>
      </c>
      <c r="S12804">
        <v>39</v>
      </c>
      <c r="T12804" s="29" t="str">
        <f t="shared" si="534"/>
        <v>2023.003S.Picornaviridae_158sprenamed.zip</v>
      </c>
      <c r="U12804" s="29" t="str">
        <f>HYPERLINK("https://ictv.global/taxonomy/taxondetails?taxnode_id=202307132","ictv.global=202307132")</f>
        <v>ictv.global=202307132</v>
      </c>
    </row>
    <row r="12805" spans="1:21">
      <c r="A12805">
        <v>12804</v>
      </c>
      <c r="B12805" s="30" t="s">
        <v>1226</v>
      </c>
      <c r="D12805" s="30" t="s">
        <v>2024</v>
      </c>
      <c r="F12805" s="30" t="s">
        <v>2074</v>
      </c>
      <c r="H12805" s="30" t="s">
        <v>2077</v>
      </c>
      <c r="J12805" s="30" t="s">
        <v>278</v>
      </c>
      <c r="L12805" s="30" t="s">
        <v>296</v>
      </c>
      <c r="M12805" s="30" t="s">
        <v>11017</v>
      </c>
      <c r="N12805" s="30" t="s">
        <v>2110</v>
      </c>
      <c r="P12805" s="30" t="s">
        <v>17831</v>
      </c>
      <c r="Q12805" t="s">
        <v>621</v>
      </c>
      <c r="R12805" t="s">
        <v>920</v>
      </c>
      <c r="S12805">
        <v>39</v>
      </c>
      <c r="T12805" s="29" t="str">
        <f t="shared" si="534"/>
        <v>2023.003S.Picornaviridae_158sprenamed.zip</v>
      </c>
      <c r="U12805" s="29" t="str">
        <f>HYPERLINK("https://ictv.global/taxonomy/taxondetails?taxnode_id=202307267","ictv.global=202307267")</f>
        <v>ictv.global=202307267</v>
      </c>
    </row>
    <row r="12806" spans="1:21">
      <c r="A12806">
        <v>12805</v>
      </c>
      <c r="B12806" s="30" t="s">
        <v>1226</v>
      </c>
      <c r="D12806" s="30" t="s">
        <v>2024</v>
      </c>
      <c r="F12806" s="30" t="s">
        <v>2074</v>
      </c>
      <c r="H12806" s="30" t="s">
        <v>2077</v>
      </c>
      <c r="J12806" s="30" t="s">
        <v>278</v>
      </c>
      <c r="L12806" s="30" t="s">
        <v>296</v>
      </c>
      <c r="M12806" s="30" t="s">
        <v>11017</v>
      </c>
      <c r="N12806" s="30" t="s">
        <v>2110</v>
      </c>
      <c r="P12806" s="30" t="s">
        <v>17832</v>
      </c>
      <c r="Q12806" t="s">
        <v>621</v>
      </c>
      <c r="R12806" t="s">
        <v>920</v>
      </c>
      <c r="S12806">
        <v>39</v>
      </c>
      <c r="T12806" s="29" t="str">
        <f t="shared" si="534"/>
        <v>2023.003S.Picornaviridae_158sprenamed.zip</v>
      </c>
      <c r="U12806" s="29" t="str">
        <f>HYPERLINK("https://ictv.global/taxonomy/taxondetails?taxnode_id=202307268","ictv.global=202307268")</f>
        <v>ictv.global=202307268</v>
      </c>
    </row>
    <row r="12807" spans="1:21">
      <c r="A12807">
        <v>12806</v>
      </c>
      <c r="B12807" s="30" t="s">
        <v>1226</v>
      </c>
      <c r="D12807" s="30" t="s">
        <v>2024</v>
      </c>
      <c r="F12807" s="30" t="s">
        <v>2074</v>
      </c>
      <c r="H12807" s="30" t="s">
        <v>2077</v>
      </c>
      <c r="J12807" s="30" t="s">
        <v>278</v>
      </c>
      <c r="L12807" s="30" t="s">
        <v>296</v>
      </c>
      <c r="M12807" s="30" t="s">
        <v>11017</v>
      </c>
      <c r="N12807" s="30" t="s">
        <v>2110</v>
      </c>
      <c r="P12807" s="30" t="s">
        <v>17833</v>
      </c>
      <c r="Q12807" t="s">
        <v>621</v>
      </c>
      <c r="R12807" t="s">
        <v>920</v>
      </c>
      <c r="S12807">
        <v>39</v>
      </c>
      <c r="T12807" s="29" t="str">
        <f t="shared" si="534"/>
        <v>2023.003S.Picornaviridae_158sprenamed.zip</v>
      </c>
      <c r="U12807" s="29" t="str">
        <f>HYPERLINK("https://ictv.global/taxonomy/taxondetails?taxnode_id=202307269","ictv.global=202307269")</f>
        <v>ictv.global=202307269</v>
      </c>
    </row>
    <row r="12808" spans="1:21">
      <c r="A12808">
        <v>12807</v>
      </c>
      <c r="B12808" s="30" t="s">
        <v>1226</v>
      </c>
      <c r="D12808" s="30" t="s">
        <v>2024</v>
      </c>
      <c r="F12808" s="30" t="s">
        <v>2074</v>
      </c>
      <c r="H12808" s="30" t="s">
        <v>2077</v>
      </c>
      <c r="J12808" s="30" t="s">
        <v>278</v>
      </c>
      <c r="L12808" s="30" t="s">
        <v>296</v>
      </c>
      <c r="M12808" s="30" t="s">
        <v>11017</v>
      </c>
      <c r="N12808" s="30" t="s">
        <v>2110</v>
      </c>
      <c r="P12808" s="30" t="s">
        <v>17834</v>
      </c>
      <c r="Q12808" t="s">
        <v>621</v>
      </c>
      <c r="R12808" t="s">
        <v>920</v>
      </c>
      <c r="S12808">
        <v>39</v>
      </c>
      <c r="T12808" s="29" t="str">
        <f t="shared" si="534"/>
        <v>2023.003S.Picornaviridae_158sprenamed.zip</v>
      </c>
      <c r="U12808" s="29" t="str">
        <f>HYPERLINK("https://ictv.global/taxonomy/taxondetails?taxnode_id=202307270","ictv.global=202307270")</f>
        <v>ictv.global=202307270</v>
      </c>
    </row>
    <row r="12809" spans="1:21">
      <c r="A12809">
        <v>12808</v>
      </c>
      <c r="B12809" s="30" t="s">
        <v>1226</v>
      </c>
      <c r="D12809" s="30" t="s">
        <v>2024</v>
      </c>
      <c r="F12809" s="30" t="s">
        <v>2074</v>
      </c>
      <c r="H12809" s="30" t="s">
        <v>2077</v>
      </c>
      <c r="J12809" s="30" t="s">
        <v>278</v>
      </c>
      <c r="L12809" s="30" t="s">
        <v>296</v>
      </c>
      <c r="M12809" s="30" t="s">
        <v>11017</v>
      </c>
      <c r="N12809" s="30" t="s">
        <v>2110</v>
      </c>
      <c r="P12809" s="30" t="s">
        <v>17835</v>
      </c>
      <c r="Q12809" t="s">
        <v>621</v>
      </c>
      <c r="R12809" t="s">
        <v>920</v>
      </c>
      <c r="S12809">
        <v>39</v>
      </c>
      <c r="T12809" s="29" t="str">
        <f t="shared" si="534"/>
        <v>2023.003S.Picornaviridae_158sprenamed.zip</v>
      </c>
      <c r="U12809" s="29" t="str">
        <f>HYPERLINK("https://ictv.global/taxonomy/taxondetails?taxnode_id=202307271","ictv.global=202307271")</f>
        <v>ictv.global=202307271</v>
      </c>
    </row>
    <row r="12810" spans="1:21">
      <c r="A12810">
        <v>12809</v>
      </c>
      <c r="B12810" s="30" t="s">
        <v>1226</v>
      </c>
      <c r="D12810" s="30" t="s">
        <v>2024</v>
      </c>
      <c r="F12810" s="30" t="s">
        <v>2074</v>
      </c>
      <c r="H12810" s="30" t="s">
        <v>2077</v>
      </c>
      <c r="J12810" s="30" t="s">
        <v>278</v>
      </c>
      <c r="L12810" s="30" t="s">
        <v>296</v>
      </c>
      <c r="M12810" s="30" t="s">
        <v>11017</v>
      </c>
      <c r="N12810" s="30" t="s">
        <v>2110</v>
      </c>
      <c r="P12810" s="30" t="s">
        <v>17836</v>
      </c>
      <c r="Q12810" t="s">
        <v>621</v>
      </c>
      <c r="R12810" t="s">
        <v>920</v>
      </c>
      <c r="S12810">
        <v>39</v>
      </c>
      <c r="T12810" s="29" t="str">
        <f t="shared" si="534"/>
        <v>2023.003S.Picornaviridae_158sprenamed.zip</v>
      </c>
      <c r="U12810" s="29" t="str">
        <f>HYPERLINK("https://ictv.global/taxonomy/taxondetails?taxnode_id=202308844","ictv.global=202308844")</f>
        <v>ictv.global=202308844</v>
      </c>
    </row>
    <row r="12811" spans="1:21">
      <c r="A12811">
        <v>12810</v>
      </c>
      <c r="B12811" s="30" t="s">
        <v>1226</v>
      </c>
      <c r="D12811" s="30" t="s">
        <v>2024</v>
      </c>
      <c r="F12811" s="30" t="s">
        <v>2074</v>
      </c>
      <c r="H12811" s="30" t="s">
        <v>2077</v>
      </c>
      <c r="J12811" s="30" t="s">
        <v>278</v>
      </c>
      <c r="L12811" s="30" t="s">
        <v>296</v>
      </c>
      <c r="M12811" s="30" t="s">
        <v>11017</v>
      </c>
      <c r="N12811" s="30" t="s">
        <v>2111</v>
      </c>
      <c r="P12811" s="30" t="s">
        <v>17837</v>
      </c>
      <c r="Q12811" t="s">
        <v>621</v>
      </c>
      <c r="R12811" t="s">
        <v>920</v>
      </c>
      <c r="S12811">
        <v>39</v>
      </c>
      <c r="T12811" s="29" t="str">
        <f t="shared" si="534"/>
        <v>2023.003S.Picornaviridae_158sprenamed.zip</v>
      </c>
      <c r="U12811" s="29" t="str">
        <f>HYPERLINK("https://ictv.global/taxonomy/taxondetails?taxnode_id=202307134","ictv.global=202307134")</f>
        <v>ictv.global=202307134</v>
      </c>
    </row>
    <row r="12812" spans="1:21">
      <c r="A12812">
        <v>12811</v>
      </c>
      <c r="B12812" s="30" t="s">
        <v>1226</v>
      </c>
      <c r="D12812" s="30" t="s">
        <v>2024</v>
      </c>
      <c r="F12812" s="30" t="s">
        <v>2074</v>
      </c>
      <c r="H12812" s="30" t="s">
        <v>2077</v>
      </c>
      <c r="J12812" s="30" t="s">
        <v>278</v>
      </c>
      <c r="L12812" s="30" t="s">
        <v>296</v>
      </c>
      <c r="M12812" s="30" t="s">
        <v>11017</v>
      </c>
      <c r="N12812" s="30" t="s">
        <v>177</v>
      </c>
      <c r="P12812" s="30" t="s">
        <v>17838</v>
      </c>
      <c r="Q12812" t="s">
        <v>621</v>
      </c>
      <c r="R12812" t="s">
        <v>920</v>
      </c>
      <c r="S12812">
        <v>39</v>
      </c>
      <c r="T12812" s="29" t="str">
        <f t="shared" si="534"/>
        <v>2023.003S.Picornaviridae_158sprenamed.zip</v>
      </c>
      <c r="U12812" s="29" t="str">
        <f>HYPERLINK("https://ictv.global/taxonomy/taxondetails?taxnode_id=202302003","ictv.global=202302003")</f>
        <v>ictv.global=202302003</v>
      </c>
    </row>
    <row r="12813" spans="1:21">
      <c r="A12813">
        <v>12812</v>
      </c>
      <c r="B12813" s="30" t="s">
        <v>1226</v>
      </c>
      <c r="D12813" s="30" t="s">
        <v>2024</v>
      </c>
      <c r="F12813" s="30" t="s">
        <v>2074</v>
      </c>
      <c r="H12813" s="30" t="s">
        <v>2077</v>
      </c>
      <c r="J12813" s="30" t="s">
        <v>278</v>
      </c>
      <c r="L12813" s="30" t="s">
        <v>296</v>
      </c>
      <c r="M12813" s="30" t="s">
        <v>11017</v>
      </c>
      <c r="N12813" s="30" t="s">
        <v>177</v>
      </c>
      <c r="P12813" s="30" t="s">
        <v>17839</v>
      </c>
      <c r="Q12813" t="s">
        <v>621</v>
      </c>
      <c r="R12813" t="s">
        <v>920</v>
      </c>
      <c r="S12813">
        <v>39</v>
      </c>
      <c r="T12813" s="29" t="str">
        <f t="shared" si="534"/>
        <v>2023.003S.Picornaviridae_158sprenamed.zip</v>
      </c>
      <c r="U12813" s="29" t="str">
        <f>HYPERLINK("https://ictv.global/taxonomy/taxondetails?taxnode_id=202302004","ictv.global=202302004")</f>
        <v>ictv.global=202302004</v>
      </c>
    </row>
    <row r="12814" spans="1:21">
      <c r="A12814">
        <v>12813</v>
      </c>
      <c r="B12814" s="30" t="s">
        <v>1226</v>
      </c>
      <c r="D12814" s="30" t="s">
        <v>2024</v>
      </c>
      <c r="F12814" s="30" t="s">
        <v>2074</v>
      </c>
      <c r="H12814" s="30" t="s">
        <v>2077</v>
      </c>
      <c r="J12814" s="30" t="s">
        <v>278</v>
      </c>
      <c r="L12814" s="30" t="s">
        <v>296</v>
      </c>
      <c r="M12814" s="30" t="s">
        <v>11017</v>
      </c>
      <c r="N12814" s="30" t="s">
        <v>177</v>
      </c>
      <c r="P12814" s="30" t="s">
        <v>17840</v>
      </c>
      <c r="Q12814" t="s">
        <v>621</v>
      </c>
      <c r="R12814" t="s">
        <v>920</v>
      </c>
      <c r="S12814">
        <v>39</v>
      </c>
      <c r="T12814" s="29" t="str">
        <f t="shared" si="534"/>
        <v>2023.003S.Picornaviridae_158sprenamed.zip</v>
      </c>
      <c r="U12814" s="29" t="str">
        <f>HYPERLINK("https://ictv.global/taxonomy/taxondetails?taxnode_id=202302005","ictv.global=202302005")</f>
        <v>ictv.global=202302005</v>
      </c>
    </row>
    <row r="12815" spans="1:21">
      <c r="A12815">
        <v>12814</v>
      </c>
      <c r="B12815" s="30" t="s">
        <v>1226</v>
      </c>
      <c r="D12815" s="30" t="s">
        <v>2024</v>
      </c>
      <c r="F12815" s="30" t="s">
        <v>2074</v>
      </c>
      <c r="H12815" s="30" t="s">
        <v>2077</v>
      </c>
      <c r="J12815" s="30" t="s">
        <v>278</v>
      </c>
      <c r="L12815" s="30" t="s">
        <v>296</v>
      </c>
      <c r="M12815" s="30" t="s">
        <v>11017</v>
      </c>
      <c r="N12815" s="30" t="s">
        <v>177</v>
      </c>
      <c r="P12815" s="30" t="s">
        <v>17841</v>
      </c>
      <c r="Q12815" t="s">
        <v>621</v>
      </c>
      <c r="R12815" t="s">
        <v>920</v>
      </c>
      <c r="S12815">
        <v>39</v>
      </c>
      <c r="T12815" s="29" t="str">
        <f t="shared" si="534"/>
        <v>2023.003S.Picornaviridae_158sprenamed.zip</v>
      </c>
      <c r="U12815" s="29" t="str">
        <f>HYPERLINK("https://ictv.global/taxonomy/taxondetails?taxnode_id=202302006","ictv.global=202302006")</f>
        <v>ictv.global=202302006</v>
      </c>
    </row>
    <row r="12816" spans="1:21">
      <c r="A12816">
        <v>12815</v>
      </c>
      <c r="B12816" s="30" t="s">
        <v>1226</v>
      </c>
      <c r="D12816" s="30" t="s">
        <v>2024</v>
      </c>
      <c r="F12816" s="30" t="s">
        <v>2074</v>
      </c>
      <c r="H12816" s="30" t="s">
        <v>2077</v>
      </c>
      <c r="J12816" s="30" t="s">
        <v>278</v>
      </c>
      <c r="L12816" s="30" t="s">
        <v>296</v>
      </c>
      <c r="M12816" s="30" t="s">
        <v>11017</v>
      </c>
      <c r="N12816" s="30" t="s">
        <v>177</v>
      </c>
      <c r="P12816" s="30" t="s">
        <v>17842</v>
      </c>
      <c r="Q12816" t="s">
        <v>621</v>
      </c>
      <c r="R12816" t="s">
        <v>920</v>
      </c>
      <c r="S12816">
        <v>39</v>
      </c>
      <c r="T12816" s="29" t="str">
        <f t="shared" si="534"/>
        <v>2023.003S.Picornaviridae_158sprenamed.zip</v>
      </c>
      <c r="U12816" s="29" t="str">
        <f>HYPERLINK("https://ictv.global/taxonomy/taxondetails?taxnode_id=202302007","ictv.global=202302007")</f>
        <v>ictv.global=202302007</v>
      </c>
    </row>
    <row r="12817" spans="1:21">
      <c r="A12817">
        <v>12816</v>
      </c>
      <c r="B12817" s="30" t="s">
        <v>1226</v>
      </c>
      <c r="D12817" s="30" t="s">
        <v>2024</v>
      </c>
      <c r="F12817" s="30" t="s">
        <v>2074</v>
      </c>
      <c r="H12817" s="30" t="s">
        <v>2077</v>
      </c>
      <c r="J12817" s="30" t="s">
        <v>278</v>
      </c>
      <c r="L12817" s="30" t="s">
        <v>296</v>
      </c>
      <c r="M12817" s="30" t="s">
        <v>11017</v>
      </c>
      <c r="N12817" s="30" t="s">
        <v>177</v>
      </c>
      <c r="P12817" s="30" t="s">
        <v>17843</v>
      </c>
      <c r="Q12817" t="s">
        <v>621</v>
      </c>
      <c r="R12817" t="s">
        <v>920</v>
      </c>
      <c r="S12817">
        <v>39</v>
      </c>
      <c r="T12817" s="29" t="str">
        <f t="shared" ref="T12817:T12848" si="535">HYPERLINK("https://ictv.global/ictv/proposals/2023.003S.Picornaviridae_158sprenamed.zip","2023.003S.Picornaviridae_158sprenamed.zip")</f>
        <v>2023.003S.Picornaviridae_158sprenamed.zip</v>
      </c>
      <c r="U12817" s="29" t="str">
        <f>HYPERLINK("https://ictv.global/taxonomy/taxondetails?taxnode_id=202302008","ictv.global=202302008")</f>
        <v>ictv.global=202302008</v>
      </c>
    </row>
    <row r="12818" spans="1:21">
      <c r="A12818">
        <v>12817</v>
      </c>
      <c r="B12818" s="30" t="s">
        <v>1226</v>
      </c>
      <c r="D12818" s="30" t="s">
        <v>2024</v>
      </c>
      <c r="F12818" s="30" t="s">
        <v>2074</v>
      </c>
      <c r="H12818" s="30" t="s">
        <v>2077</v>
      </c>
      <c r="J12818" s="30" t="s">
        <v>278</v>
      </c>
      <c r="L12818" s="30" t="s">
        <v>296</v>
      </c>
      <c r="M12818" s="30" t="s">
        <v>11017</v>
      </c>
      <c r="N12818" s="30" t="s">
        <v>177</v>
      </c>
      <c r="P12818" s="30" t="s">
        <v>17844</v>
      </c>
      <c r="Q12818" t="s">
        <v>621</v>
      </c>
      <c r="R12818" t="s">
        <v>920</v>
      </c>
      <c r="S12818">
        <v>39</v>
      </c>
      <c r="T12818" s="29" t="str">
        <f t="shared" si="535"/>
        <v>2023.003S.Picornaviridae_158sprenamed.zip</v>
      </c>
      <c r="U12818" s="29" t="str">
        <f>HYPERLINK("https://ictv.global/taxonomy/taxondetails?taxnode_id=202302009","ictv.global=202302009")</f>
        <v>ictv.global=202302009</v>
      </c>
    </row>
    <row r="12819" spans="1:21">
      <c r="A12819">
        <v>12818</v>
      </c>
      <c r="B12819" s="30" t="s">
        <v>1226</v>
      </c>
      <c r="D12819" s="30" t="s">
        <v>2024</v>
      </c>
      <c r="F12819" s="30" t="s">
        <v>2074</v>
      </c>
      <c r="H12819" s="30" t="s">
        <v>2077</v>
      </c>
      <c r="J12819" s="30" t="s">
        <v>278</v>
      </c>
      <c r="L12819" s="30" t="s">
        <v>296</v>
      </c>
      <c r="M12819" s="30" t="s">
        <v>11017</v>
      </c>
      <c r="N12819" s="30" t="s">
        <v>177</v>
      </c>
      <c r="P12819" s="30" t="s">
        <v>17845</v>
      </c>
      <c r="Q12819" t="s">
        <v>621</v>
      </c>
      <c r="R12819" t="s">
        <v>920</v>
      </c>
      <c r="S12819">
        <v>39</v>
      </c>
      <c r="T12819" s="29" t="str">
        <f t="shared" si="535"/>
        <v>2023.003S.Picornaviridae_158sprenamed.zip</v>
      </c>
      <c r="U12819" s="29" t="str">
        <f>HYPERLINK("https://ictv.global/taxonomy/taxondetails?taxnode_id=202302010","ictv.global=202302010")</f>
        <v>ictv.global=202302010</v>
      </c>
    </row>
    <row r="12820" spans="1:21">
      <c r="A12820">
        <v>12819</v>
      </c>
      <c r="B12820" s="30" t="s">
        <v>1226</v>
      </c>
      <c r="D12820" s="30" t="s">
        <v>2024</v>
      </c>
      <c r="F12820" s="30" t="s">
        <v>2074</v>
      </c>
      <c r="H12820" s="30" t="s">
        <v>2077</v>
      </c>
      <c r="J12820" s="30" t="s">
        <v>278</v>
      </c>
      <c r="L12820" s="30" t="s">
        <v>296</v>
      </c>
      <c r="M12820" s="30" t="s">
        <v>11017</v>
      </c>
      <c r="N12820" s="30" t="s">
        <v>177</v>
      </c>
      <c r="P12820" s="30" t="s">
        <v>17846</v>
      </c>
      <c r="Q12820" t="s">
        <v>621</v>
      </c>
      <c r="R12820" t="s">
        <v>920</v>
      </c>
      <c r="S12820">
        <v>39</v>
      </c>
      <c r="T12820" s="29" t="str">
        <f t="shared" si="535"/>
        <v>2023.003S.Picornaviridae_158sprenamed.zip</v>
      </c>
      <c r="U12820" s="29" t="str">
        <f>HYPERLINK("https://ictv.global/taxonomy/taxondetails?taxnode_id=202302011","ictv.global=202302011")</f>
        <v>ictv.global=202302011</v>
      </c>
    </row>
    <row r="12821" spans="1:21">
      <c r="A12821">
        <v>12820</v>
      </c>
      <c r="B12821" s="30" t="s">
        <v>1226</v>
      </c>
      <c r="D12821" s="30" t="s">
        <v>2024</v>
      </c>
      <c r="F12821" s="30" t="s">
        <v>2074</v>
      </c>
      <c r="H12821" s="30" t="s">
        <v>2077</v>
      </c>
      <c r="J12821" s="30" t="s">
        <v>278</v>
      </c>
      <c r="L12821" s="30" t="s">
        <v>296</v>
      </c>
      <c r="M12821" s="30" t="s">
        <v>11017</v>
      </c>
      <c r="N12821" s="30" t="s">
        <v>2119</v>
      </c>
      <c r="P12821" s="30" t="s">
        <v>17847</v>
      </c>
      <c r="Q12821" t="s">
        <v>621</v>
      </c>
      <c r="R12821" t="s">
        <v>920</v>
      </c>
      <c r="S12821">
        <v>39</v>
      </c>
      <c r="T12821" s="29" t="str">
        <f t="shared" si="535"/>
        <v>2023.003S.Picornaviridae_158sprenamed.zip</v>
      </c>
      <c r="U12821" s="29" t="str">
        <f>HYPERLINK("https://ictv.global/taxonomy/taxondetails?taxnode_id=202307446","ictv.global=202307446")</f>
        <v>ictv.global=202307446</v>
      </c>
    </row>
    <row r="12822" spans="1:21">
      <c r="A12822">
        <v>12821</v>
      </c>
      <c r="B12822" s="30" t="s">
        <v>1226</v>
      </c>
      <c r="D12822" s="30" t="s">
        <v>2024</v>
      </c>
      <c r="F12822" s="30" t="s">
        <v>2074</v>
      </c>
      <c r="H12822" s="30" t="s">
        <v>2077</v>
      </c>
      <c r="J12822" s="30" t="s">
        <v>278</v>
      </c>
      <c r="L12822" s="30" t="s">
        <v>296</v>
      </c>
      <c r="M12822" s="30" t="s">
        <v>11017</v>
      </c>
      <c r="N12822" s="30" t="s">
        <v>253</v>
      </c>
      <c r="P12822" s="30" t="s">
        <v>17848</v>
      </c>
      <c r="Q12822" t="s">
        <v>621</v>
      </c>
      <c r="R12822" t="s">
        <v>920</v>
      </c>
      <c r="S12822">
        <v>39</v>
      </c>
      <c r="T12822" s="29" t="str">
        <f t="shared" si="535"/>
        <v>2023.003S.Picornaviridae_158sprenamed.zip</v>
      </c>
      <c r="U12822" s="29" t="str">
        <f>HYPERLINK("https://ictv.global/taxonomy/taxondetails?taxnode_id=202302069","ictv.global=202302069")</f>
        <v>ictv.global=202302069</v>
      </c>
    </row>
    <row r="12823" spans="1:21">
      <c r="A12823">
        <v>12822</v>
      </c>
      <c r="B12823" s="30" t="s">
        <v>1226</v>
      </c>
      <c r="D12823" s="30" t="s">
        <v>2024</v>
      </c>
      <c r="F12823" s="30" t="s">
        <v>2074</v>
      </c>
      <c r="H12823" s="30" t="s">
        <v>2077</v>
      </c>
      <c r="J12823" s="30" t="s">
        <v>278</v>
      </c>
      <c r="L12823" s="30" t="s">
        <v>296</v>
      </c>
      <c r="M12823" s="30" t="s">
        <v>11017</v>
      </c>
      <c r="N12823" s="30" t="s">
        <v>253</v>
      </c>
      <c r="P12823" s="30" t="s">
        <v>17849</v>
      </c>
      <c r="Q12823" t="s">
        <v>621</v>
      </c>
      <c r="R12823" t="s">
        <v>920</v>
      </c>
      <c r="S12823">
        <v>39</v>
      </c>
      <c r="T12823" s="29" t="str">
        <f t="shared" si="535"/>
        <v>2023.003S.Picornaviridae_158sprenamed.zip</v>
      </c>
      <c r="U12823" s="29" t="str">
        <f>HYPERLINK("https://ictv.global/taxonomy/taxondetails?taxnode_id=202307458","ictv.global=202307458")</f>
        <v>ictv.global=202307458</v>
      </c>
    </row>
    <row r="12824" spans="1:21">
      <c r="A12824">
        <v>12823</v>
      </c>
      <c r="B12824" s="30" t="s">
        <v>1226</v>
      </c>
      <c r="D12824" s="30" t="s">
        <v>2024</v>
      </c>
      <c r="F12824" s="30" t="s">
        <v>2074</v>
      </c>
      <c r="H12824" s="30" t="s">
        <v>2077</v>
      </c>
      <c r="J12824" s="30" t="s">
        <v>278</v>
      </c>
      <c r="L12824" s="30" t="s">
        <v>296</v>
      </c>
      <c r="M12824" s="30" t="s">
        <v>11018</v>
      </c>
      <c r="N12824" s="30" t="s">
        <v>3801</v>
      </c>
      <c r="P12824" s="30" t="s">
        <v>17850</v>
      </c>
      <c r="Q12824" t="s">
        <v>621</v>
      </c>
      <c r="R12824" t="s">
        <v>920</v>
      </c>
      <c r="S12824">
        <v>39</v>
      </c>
      <c r="T12824" s="29" t="str">
        <f t="shared" si="535"/>
        <v>2023.003S.Picornaviridae_158sprenamed.zip</v>
      </c>
      <c r="U12824" s="29" t="str">
        <f>HYPERLINK("https://ictv.global/taxonomy/taxondetails?taxnode_id=202308806","ictv.global=202308806")</f>
        <v>ictv.global=202308806</v>
      </c>
    </row>
    <row r="12825" spans="1:21">
      <c r="A12825">
        <v>12824</v>
      </c>
      <c r="B12825" s="30" t="s">
        <v>1226</v>
      </c>
      <c r="D12825" s="30" t="s">
        <v>2024</v>
      </c>
      <c r="F12825" s="30" t="s">
        <v>2074</v>
      </c>
      <c r="H12825" s="30" t="s">
        <v>2077</v>
      </c>
      <c r="J12825" s="30" t="s">
        <v>278</v>
      </c>
      <c r="L12825" s="30" t="s">
        <v>296</v>
      </c>
      <c r="M12825" s="30" t="s">
        <v>11018</v>
      </c>
      <c r="N12825" s="30" t="s">
        <v>514</v>
      </c>
      <c r="P12825" s="30" t="s">
        <v>17851</v>
      </c>
      <c r="Q12825" t="s">
        <v>621</v>
      </c>
      <c r="R12825" t="s">
        <v>920</v>
      </c>
      <c r="S12825">
        <v>39</v>
      </c>
      <c r="T12825" s="29" t="str">
        <f t="shared" si="535"/>
        <v>2023.003S.Picornaviridae_158sprenamed.zip</v>
      </c>
      <c r="U12825" s="29" t="str">
        <f>HYPERLINK("https://ictv.global/taxonomy/taxondetails?taxnode_id=202301981","ictv.global=202301981")</f>
        <v>ictv.global=202301981</v>
      </c>
    </row>
    <row r="12826" spans="1:21">
      <c r="A12826">
        <v>12825</v>
      </c>
      <c r="B12826" s="30" t="s">
        <v>1226</v>
      </c>
      <c r="D12826" s="30" t="s">
        <v>2024</v>
      </c>
      <c r="F12826" s="30" t="s">
        <v>2074</v>
      </c>
      <c r="H12826" s="30" t="s">
        <v>2077</v>
      </c>
      <c r="J12826" s="30" t="s">
        <v>278</v>
      </c>
      <c r="L12826" s="30" t="s">
        <v>296</v>
      </c>
      <c r="M12826" s="30" t="s">
        <v>11018</v>
      </c>
      <c r="N12826" s="30" t="s">
        <v>514</v>
      </c>
      <c r="P12826" s="30" t="s">
        <v>17852</v>
      </c>
      <c r="Q12826" t="s">
        <v>621</v>
      </c>
      <c r="R12826" t="s">
        <v>920</v>
      </c>
      <c r="S12826">
        <v>39</v>
      </c>
      <c r="T12826" s="29" t="str">
        <f t="shared" si="535"/>
        <v>2023.003S.Picornaviridae_158sprenamed.zip</v>
      </c>
      <c r="U12826" s="29" t="str">
        <f>HYPERLINK("https://ictv.global/taxonomy/taxondetails?taxnode_id=202306291","ictv.global=202306291")</f>
        <v>ictv.global=202306291</v>
      </c>
    </row>
    <row r="12827" spans="1:21">
      <c r="A12827">
        <v>12826</v>
      </c>
      <c r="B12827" s="30" t="s">
        <v>1226</v>
      </c>
      <c r="D12827" s="30" t="s">
        <v>2024</v>
      </c>
      <c r="F12827" s="30" t="s">
        <v>2074</v>
      </c>
      <c r="H12827" s="30" t="s">
        <v>2077</v>
      </c>
      <c r="J12827" s="30" t="s">
        <v>278</v>
      </c>
      <c r="L12827" s="30" t="s">
        <v>296</v>
      </c>
      <c r="M12827" s="30" t="s">
        <v>11018</v>
      </c>
      <c r="N12827" s="30" t="s">
        <v>539</v>
      </c>
      <c r="P12827" s="30" t="s">
        <v>17853</v>
      </c>
      <c r="Q12827" t="s">
        <v>621</v>
      </c>
      <c r="R12827" t="s">
        <v>920</v>
      </c>
      <c r="S12827">
        <v>39</v>
      </c>
      <c r="T12827" s="29" t="str">
        <f t="shared" si="535"/>
        <v>2023.003S.Picornaviridae_158sprenamed.zip</v>
      </c>
      <c r="U12827" s="29" t="str">
        <f>HYPERLINK("https://ictv.global/taxonomy/taxondetails?taxnode_id=202301999","ictv.global=202301999")</f>
        <v>ictv.global=202301999</v>
      </c>
    </row>
    <row r="12828" spans="1:21">
      <c r="A12828">
        <v>12827</v>
      </c>
      <c r="B12828" s="30" t="s">
        <v>1226</v>
      </c>
      <c r="D12828" s="30" t="s">
        <v>2024</v>
      </c>
      <c r="F12828" s="30" t="s">
        <v>2074</v>
      </c>
      <c r="H12828" s="30" t="s">
        <v>2077</v>
      </c>
      <c r="J12828" s="30" t="s">
        <v>278</v>
      </c>
      <c r="L12828" s="30" t="s">
        <v>296</v>
      </c>
      <c r="M12828" s="30" t="s">
        <v>11018</v>
      </c>
      <c r="N12828" s="30" t="s">
        <v>2113</v>
      </c>
      <c r="P12828" s="30" t="s">
        <v>17854</v>
      </c>
      <c r="Q12828" t="s">
        <v>621</v>
      </c>
      <c r="R12828" t="s">
        <v>920</v>
      </c>
      <c r="S12828">
        <v>39</v>
      </c>
      <c r="T12828" s="29" t="str">
        <f t="shared" si="535"/>
        <v>2023.003S.Picornaviridae_158sprenamed.zip</v>
      </c>
      <c r="U12828" s="29" t="str">
        <f>HYPERLINK("https://ictv.global/taxonomy/taxondetails?taxnode_id=202307298","ictv.global=202307298")</f>
        <v>ictv.global=202307298</v>
      </c>
    </row>
    <row r="12829" spans="1:21">
      <c r="A12829">
        <v>12828</v>
      </c>
      <c r="B12829" s="30" t="s">
        <v>1226</v>
      </c>
      <c r="D12829" s="30" t="s">
        <v>2024</v>
      </c>
      <c r="F12829" s="30" t="s">
        <v>2074</v>
      </c>
      <c r="H12829" s="30" t="s">
        <v>2077</v>
      </c>
      <c r="J12829" s="30" t="s">
        <v>278</v>
      </c>
      <c r="L12829" s="30" t="s">
        <v>296</v>
      </c>
      <c r="M12829" s="30" t="s">
        <v>11018</v>
      </c>
      <c r="N12829" s="30" t="s">
        <v>178</v>
      </c>
      <c r="P12829" s="30" t="s">
        <v>17855</v>
      </c>
      <c r="Q12829" t="s">
        <v>621</v>
      </c>
      <c r="R12829" t="s">
        <v>920</v>
      </c>
      <c r="S12829">
        <v>39</v>
      </c>
      <c r="T12829" s="29" t="str">
        <f t="shared" si="535"/>
        <v>2023.003S.Picornaviridae_158sprenamed.zip</v>
      </c>
      <c r="U12829" s="29" t="str">
        <f>HYPERLINK("https://ictv.global/taxonomy/taxondetails?taxnode_id=202302015","ictv.global=202302015")</f>
        <v>ictv.global=202302015</v>
      </c>
    </row>
    <row r="12830" spans="1:21">
      <c r="A12830">
        <v>12829</v>
      </c>
      <c r="B12830" s="30" t="s">
        <v>1226</v>
      </c>
      <c r="D12830" s="30" t="s">
        <v>2024</v>
      </c>
      <c r="F12830" s="30" t="s">
        <v>2074</v>
      </c>
      <c r="H12830" s="30" t="s">
        <v>2077</v>
      </c>
      <c r="J12830" s="30" t="s">
        <v>278</v>
      </c>
      <c r="L12830" s="30" t="s">
        <v>296</v>
      </c>
      <c r="M12830" s="30" t="s">
        <v>11018</v>
      </c>
      <c r="N12830" s="30" t="s">
        <v>178</v>
      </c>
      <c r="P12830" s="30" t="s">
        <v>17856</v>
      </c>
      <c r="Q12830" t="s">
        <v>621</v>
      </c>
      <c r="R12830" t="s">
        <v>920</v>
      </c>
      <c r="S12830">
        <v>39</v>
      </c>
      <c r="T12830" s="29" t="str">
        <f t="shared" si="535"/>
        <v>2023.003S.Picornaviridae_158sprenamed.zip</v>
      </c>
      <c r="U12830" s="29" t="str">
        <f>HYPERLINK("https://ictv.global/taxonomy/taxondetails?taxnode_id=202302016","ictv.global=202302016")</f>
        <v>ictv.global=202302016</v>
      </c>
    </row>
    <row r="12831" spans="1:21">
      <c r="A12831">
        <v>12830</v>
      </c>
      <c r="B12831" s="30" t="s">
        <v>1226</v>
      </c>
      <c r="D12831" s="30" t="s">
        <v>2024</v>
      </c>
      <c r="F12831" s="30" t="s">
        <v>2074</v>
      </c>
      <c r="H12831" s="30" t="s">
        <v>2077</v>
      </c>
      <c r="J12831" s="30" t="s">
        <v>278</v>
      </c>
      <c r="L12831" s="30" t="s">
        <v>296</v>
      </c>
      <c r="M12831" s="30" t="s">
        <v>11018</v>
      </c>
      <c r="N12831" s="30" t="s">
        <v>178</v>
      </c>
      <c r="P12831" s="30" t="s">
        <v>17857</v>
      </c>
      <c r="Q12831" t="s">
        <v>621</v>
      </c>
      <c r="R12831" t="s">
        <v>920</v>
      </c>
      <c r="S12831">
        <v>39</v>
      </c>
      <c r="T12831" s="29" t="str">
        <f t="shared" si="535"/>
        <v>2023.003S.Picornaviridae_158sprenamed.zip</v>
      </c>
      <c r="U12831" s="29" t="str">
        <f>HYPERLINK("https://ictv.global/taxonomy/taxondetails?taxnode_id=202302017","ictv.global=202302017")</f>
        <v>ictv.global=202302017</v>
      </c>
    </row>
    <row r="12832" spans="1:21">
      <c r="A12832">
        <v>12831</v>
      </c>
      <c r="B12832" s="30" t="s">
        <v>1226</v>
      </c>
      <c r="D12832" s="30" t="s">
        <v>2024</v>
      </c>
      <c r="F12832" s="30" t="s">
        <v>2074</v>
      </c>
      <c r="H12832" s="30" t="s">
        <v>2077</v>
      </c>
      <c r="J12832" s="30" t="s">
        <v>278</v>
      </c>
      <c r="L12832" s="30" t="s">
        <v>296</v>
      </c>
      <c r="M12832" s="30" t="s">
        <v>11018</v>
      </c>
      <c r="N12832" s="30" t="s">
        <v>178</v>
      </c>
      <c r="P12832" s="30" t="s">
        <v>17858</v>
      </c>
      <c r="Q12832" t="s">
        <v>621</v>
      </c>
      <c r="R12832" t="s">
        <v>920</v>
      </c>
      <c r="S12832">
        <v>39</v>
      </c>
      <c r="T12832" s="29" t="str">
        <f t="shared" si="535"/>
        <v>2023.003S.Picornaviridae_158sprenamed.zip</v>
      </c>
      <c r="U12832" s="29" t="str">
        <f>HYPERLINK("https://ictv.global/taxonomy/taxondetails?taxnode_id=202302018","ictv.global=202302018")</f>
        <v>ictv.global=202302018</v>
      </c>
    </row>
    <row r="12833" spans="1:21">
      <c r="A12833">
        <v>12832</v>
      </c>
      <c r="B12833" s="30" t="s">
        <v>1226</v>
      </c>
      <c r="D12833" s="30" t="s">
        <v>2024</v>
      </c>
      <c r="F12833" s="30" t="s">
        <v>2074</v>
      </c>
      <c r="H12833" s="30" t="s">
        <v>2077</v>
      </c>
      <c r="J12833" s="30" t="s">
        <v>278</v>
      </c>
      <c r="L12833" s="30" t="s">
        <v>296</v>
      </c>
      <c r="M12833" s="30" t="s">
        <v>11018</v>
      </c>
      <c r="N12833" s="30" t="s">
        <v>178</v>
      </c>
      <c r="P12833" s="30" t="s">
        <v>17859</v>
      </c>
      <c r="Q12833" t="s">
        <v>621</v>
      </c>
      <c r="R12833" t="s">
        <v>920</v>
      </c>
      <c r="S12833">
        <v>39</v>
      </c>
      <c r="T12833" s="29" t="str">
        <f t="shared" si="535"/>
        <v>2023.003S.Picornaviridae_158sprenamed.zip</v>
      </c>
      <c r="U12833" s="29" t="str">
        <f>HYPERLINK("https://ictv.global/taxonomy/taxondetails?taxnode_id=202302019","ictv.global=202302019")</f>
        <v>ictv.global=202302019</v>
      </c>
    </row>
    <row r="12834" spans="1:21">
      <c r="A12834">
        <v>12833</v>
      </c>
      <c r="B12834" s="30" t="s">
        <v>1226</v>
      </c>
      <c r="D12834" s="30" t="s">
        <v>2024</v>
      </c>
      <c r="F12834" s="30" t="s">
        <v>2074</v>
      </c>
      <c r="H12834" s="30" t="s">
        <v>2077</v>
      </c>
      <c r="J12834" s="30" t="s">
        <v>278</v>
      </c>
      <c r="L12834" s="30" t="s">
        <v>296</v>
      </c>
      <c r="M12834" s="30" t="s">
        <v>11018</v>
      </c>
      <c r="N12834" s="30" t="s">
        <v>178</v>
      </c>
      <c r="P12834" s="30" t="s">
        <v>17860</v>
      </c>
      <c r="Q12834" t="s">
        <v>621</v>
      </c>
      <c r="R12834" t="s">
        <v>920</v>
      </c>
      <c r="S12834">
        <v>39</v>
      </c>
      <c r="T12834" s="29" t="str">
        <f t="shared" si="535"/>
        <v>2023.003S.Picornaviridae_158sprenamed.zip</v>
      </c>
      <c r="U12834" s="29" t="str">
        <f>HYPERLINK("https://ictv.global/taxonomy/taxondetails?taxnode_id=202302020","ictv.global=202302020")</f>
        <v>ictv.global=202302020</v>
      </c>
    </row>
    <row r="12835" spans="1:21">
      <c r="A12835">
        <v>12834</v>
      </c>
      <c r="B12835" s="30" t="s">
        <v>1226</v>
      </c>
      <c r="D12835" s="30" t="s">
        <v>2024</v>
      </c>
      <c r="F12835" s="30" t="s">
        <v>2074</v>
      </c>
      <c r="H12835" s="30" t="s">
        <v>2077</v>
      </c>
      <c r="J12835" s="30" t="s">
        <v>278</v>
      </c>
      <c r="L12835" s="30" t="s">
        <v>296</v>
      </c>
      <c r="M12835" s="30" t="s">
        <v>11018</v>
      </c>
      <c r="N12835" s="30" t="s">
        <v>1283</v>
      </c>
      <c r="P12835" s="30" t="s">
        <v>17861</v>
      </c>
      <c r="Q12835" t="s">
        <v>621</v>
      </c>
      <c r="R12835" t="s">
        <v>920</v>
      </c>
      <c r="S12835">
        <v>39</v>
      </c>
      <c r="T12835" s="29" t="str">
        <f t="shared" si="535"/>
        <v>2023.003S.Picornaviridae_158sprenamed.zip</v>
      </c>
      <c r="U12835" s="29" t="str">
        <f>HYPERLINK("https://ictv.global/taxonomy/taxondetails?taxnode_id=202306315","ictv.global=202306315")</f>
        <v>ictv.global=202306315</v>
      </c>
    </row>
    <row r="12836" spans="1:21">
      <c r="A12836">
        <v>12835</v>
      </c>
      <c r="B12836" s="30" t="s">
        <v>1226</v>
      </c>
      <c r="D12836" s="30" t="s">
        <v>2024</v>
      </c>
      <c r="F12836" s="30" t="s">
        <v>2074</v>
      </c>
      <c r="H12836" s="30" t="s">
        <v>2077</v>
      </c>
      <c r="J12836" s="30" t="s">
        <v>278</v>
      </c>
      <c r="L12836" s="30" t="s">
        <v>296</v>
      </c>
      <c r="M12836" s="30" t="s">
        <v>11018</v>
      </c>
      <c r="N12836" s="30" t="s">
        <v>2114</v>
      </c>
      <c r="P12836" s="30" t="s">
        <v>17862</v>
      </c>
      <c r="Q12836" t="s">
        <v>621</v>
      </c>
      <c r="R12836" t="s">
        <v>920</v>
      </c>
      <c r="S12836">
        <v>39</v>
      </c>
      <c r="T12836" s="29" t="str">
        <f t="shared" si="535"/>
        <v>2023.003S.Picornaviridae_158sprenamed.zip</v>
      </c>
      <c r="U12836" s="29" t="str">
        <f>HYPERLINK("https://ictv.global/taxonomy/taxondetails?taxnode_id=202307359","ictv.global=202307359")</f>
        <v>ictv.global=202307359</v>
      </c>
    </row>
    <row r="12837" spans="1:21">
      <c r="A12837">
        <v>12836</v>
      </c>
      <c r="B12837" s="30" t="s">
        <v>1226</v>
      </c>
      <c r="D12837" s="30" t="s">
        <v>2024</v>
      </c>
      <c r="F12837" s="30" t="s">
        <v>2074</v>
      </c>
      <c r="H12837" s="30" t="s">
        <v>2077</v>
      </c>
      <c r="J12837" s="30" t="s">
        <v>278</v>
      </c>
      <c r="L12837" s="30" t="s">
        <v>296</v>
      </c>
      <c r="M12837" s="30" t="s">
        <v>11018</v>
      </c>
      <c r="N12837" s="30" t="s">
        <v>515</v>
      </c>
      <c r="P12837" s="30" t="s">
        <v>17863</v>
      </c>
      <c r="Q12837" t="s">
        <v>621</v>
      </c>
      <c r="R12837" t="s">
        <v>920</v>
      </c>
      <c r="S12837">
        <v>39</v>
      </c>
      <c r="T12837" s="29" t="str">
        <f t="shared" si="535"/>
        <v>2023.003S.Picornaviridae_158sprenamed.zip</v>
      </c>
      <c r="U12837" s="29" t="str">
        <f>HYPERLINK("https://ictv.global/taxonomy/taxondetails?taxnode_id=202302028","ictv.global=202302028")</f>
        <v>ictv.global=202302028</v>
      </c>
    </row>
    <row r="12838" spans="1:21">
      <c r="A12838">
        <v>12837</v>
      </c>
      <c r="B12838" s="30" t="s">
        <v>1226</v>
      </c>
      <c r="D12838" s="30" t="s">
        <v>2024</v>
      </c>
      <c r="F12838" s="30" t="s">
        <v>2074</v>
      </c>
      <c r="H12838" s="30" t="s">
        <v>2077</v>
      </c>
      <c r="J12838" s="30" t="s">
        <v>278</v>
      </c>
      <c r="L12838" s="30" t="s">
        <v>296</v>
      </c>
      <c r="M12838" s="30" t="s">
        <v>11018</v>
      </c>
      <c r="N12838" s="30" t="s">
        <v>515</v>
      </c>
      <c r="P12838" s="30" t="s">
        <v>17864</v>
      </c>
      <c r="Q12838" t="s">
        <v>621</v>
      </c>
      <c r="R12838" t="s">
        <v>920</v>
      </c>
      <c r="S12838">
        <v>39</v>
      </c>
      <c r="T12838" s="29" t="str">
        <f t="shared" si="535"/>
        <v>2023.003S.Picornaviridae_158sprenamed.zip</v>
      </c>
      <c r="U12838" s="29" t="str">
        <f>HYPERLINK("https://ictv.global/taxonomy/taxondetails?taxnode_id=202305600","ictv.global=202305600")</f>
        <v>ictv.global=202305600</v>
      </c>
    </row>
    <row r="12839" spans="1:21">
      <c r="A12839">
        <v>12838</v>
      </c>
      <c r="B12839" s="30" t="s">
        <v>1226</v>
      </c>
      <c r="D12839" s="30" t="s">
        <v>2024</v>
      </c>
      <c r="F12839" s="30" t="s">
        <v>2074</v>
      </c>
      <c r="H12839" s="30" t="s">
        <v>2077</v>
      </c>
      <c r="J12839" s="30" t="s">
        <v>278</v>
      </c>
      <c r="L12839" s="30" t="s">
        <v>296</v>
      </c>
      <c r="M12839" s="30" t="s">
        <v>11018</v>
      </c>
      <c r="N12839" s="30" t="s">
        <v>515</v>
      </c>
      <c r="P12839" s="30" t="s">
        <v>17865</v>
      </c>
      <c r="Q12839" t="s">
        <v>621</v>
      </c>
      <c r="R12839" t="s">
        <v>920</v>
      </c>
      <c r="S12839">
        <v>39</v>
      </c>
      <c r="T12839" s="29" t="str">
        <f t="shared" si="535"/>
        <v>2023.003S.Picornaviridae_158sprenamed.zip</v>
      </c>
      <c r="U12839" s="29" t="str">
        <f>HYPERLINK("https://ictv.global/taxonomy/taxondetails?taxnode_id=202305601","ictv.global=202305601")</f>
        <v>ictv.global=202305601</v>
      </c>
    </row>
    <row r="12840" spans="1:21">
      <c r="A12840">
        <v>12839</v>
      </c>
      <c r="B12840" s="30" t="s">
        <v>1226</v>
      </c>
      <c r="D12840" s="30" t="s">
        <v>2024</v>
      </c>
      <c r="F12840" s="30" t="s">
        <v>2074</v>
      </c>
      <c r="H12840" s="30" t="s">
        <v>2077</v>
      </c>
      <c r="J12840" s="30" t="s">
        <v>278</v>
      </c>
      <c r="L12840" s="30" t="s">
        <v>296</v>
      </c>
      <c r="M12840" s="30" t="s">
        <v>11018</v>
      </c>
      <c r="N12840" s="30" t="s">
        <v>515</v>
      </c>
      <c r="P12840" s="30" t="s">
        <v>17866</v>
      </c>
      <c r="Q12840" t="s">
        <v>621</v>
      </c>
      <c r="R12840" t="s">
        <v>920</v>
      </c>
      <c r="S12840">
        <v>39</v>
      </c>
      <c r="T12840" s="29" t="str">
        <f t="shared" si="535"/>
        <v>2023.003S.Picornaviridae_158sprenamed.zip</v>
      </c>
      <c r="U12840" s="29" t="str">
        <f>HYPERLINK("https://ictv.global/taxonomy/taxondetails?taxnode_id=202305602","ictv.global=202305602")</f>
        <v>ictv.global=202305602</v>
      </c>
    </row>
    <row r="12841" spans="1:21">
      <c r="A12841">
        <v>12840</v>
      </c>
      <c r="B12841" s="30" t="s">
        <v>1226</v>
      </c>
      <c r="D12841" s="30" t="s">
        <v>2024</v>
      </c>
      <c r="F12841" s="30" t="s">
        <v>2074</v>
      </c>
      <c r="H12841" s="30" t="s">
        <v>2077</v>
      </c>
      <c r="J12841" s="30" t="s">
        <v>278</v>
      </c>
      <c r="L12841" s="30" t="s">
        <v>296</v>
      </c>
      <c r="M12841" s="30" t="s">
        <v>11018</v>
      </c>
      <c r="N12841" s="30" t="s">
        <v>515</v>
      </c>
      <c r="P12841" s="30" t="s">
        <v>17867</v>
      </c>
      <c r="Q12841" t="s">
        <v>621</v>
      </c>
      <c r="R12841" t="s">
        <v>920</v>
      </c>
      <c r="S12841">
        <v>39</v>
      </c>
      <c r="T12841" s="29" t="str">
        <f t="shared" si="535"/>
        <v>2023.003S.Picornaviridae_158sprenamed.zip</v>
      </c>
      <c r="U12841" s="29" t="str">
        <f>HYPERLINK("https://ictv.global/taxonomy/taxondetails?taxnode_id=202305603","ictv.global=202305603")</f>
        <v>ictv.global=202305603</v>
      </c>
    </row>
    <row r="12842" spans="1:21">
      <c r="A12842">
        <v>12841</v>
      </c>
      <c r="B12842" s="30" t="s">
        <v>1226</v>
      </c>
      <c r="D12842" s="30" t="s">
        <v>2024</v>
      </c>
      <c r="F12842" s="30" t="s">
        <v>2074</v>
      </c>
      <c r="H12842" s="30" t="s">
        <v>2077</v>
      </c>
      <c r="J12842" s="30" t="s">
        <v>278</v>
      </c>
      <c r="L12842" s="30" t="s">
        <v>296</v>
      </c>
      <c r="M12842" s="30" t="s">
        <v>11018</v>
      </c>
      <c r="N12842" s="30" t="s">
        <v>2116</v>
      </c>
      <c r="P12842" s="30" t="s">
        <v>17868</v>
      </c>
      <c r="Q12842" t="s">
        <v>621</v>
      </c>
      <c r="R12842" t="s">
        <v>920</v>
      </c>
      <c r="S12842">
        <v>39</v>
      </c>
      <c r="T12842" s="29" t="str">
        <f t="shared" si="535"/>
        <v>2023.003S.Picornaviridae_158sprenamed.zip</v>
      </c>
      <c r="U12842" s="29" t="str">
        <f>HYPERLINK("https://ictv.global/taxonomy/taxondetails?taxnode_id=202307300","ictv.global=202307300")</f>
        <v>ictv.global=202307300</v>
      </c>
    </row>
    <row r="12843" spans="1:21">
      <c r="A12843">
        <v>12842</v>
      </c>
      <c r="B12843" s="30" t="s">
        <v>1226</v>
      </c>
      <c r="D12843" s="30" t="s">
        <v>2024</v>
      </c>
      <c r="F12843" s="30" t="s">
        <v>2074</v>
      </c>
      <c r="H12843" s="30" t="s">
        <v>2077</v>
      </c>
      <c r="J12843" s="30" t="s">
        <v>278</v>
      </c>
      <c r="L12843" s="30" t="s">
        <v>296</v>
      </c>
      <c r="M12843" s="30" t="s">
        <v>11018</v>
      </c>
      <c r="N12843" s="30" t="s">
        <v>543</v>
      </c>
      <c r="P12843" s="30" t="s">
        <v>17869</v>
      </c>
      <c r="Q12843" t="s">
        <v>621</v>
      </c>
      <c r="R12843" t="s">
        <v>920</v>
      </c>
      <c r="S12843">
        <v>39</v>
      </c>
      <c r="T12843" s="29" t="str">
        <f t="shared" si="535"/>
        <v>2023.003S.Picornaviridae_158sprenamed.zip</v>
      </c>
      <c r="U12843" s="29" t="str">
        <f>HYPERLINK("https://ictv.global/taxonomy/taxondetails?taxnode_id=202302036","ictv.global=202302036")</f>
        <v>ictv.global=202302036</v>
      </c>
    </row>
    <row r="12844" spans="1:21">
      <c r="A12844">
        <v>12843</v>
      </c>
      <c r="B12844" s="30" t="s">
        <v>1226</v>
      </c>
      <c r="D12844" s="30" t="s">
        <v>2024</v>
      </c>
      <c r="F12844" s="30" t="s">
        <v>2074</v>
      </c>
      <c r="H12844" s="30" t="s">
        <v>2077</v>
      </c>
      <c r="J12844" s="30" t="s">
        <v>278</v>
      </c>
      <c r="L12844" s="30" t="s">
        <v>296</v>
      </c>
      <c r="M12844" s="30" t="s">
        <v>11018</v>
      </c>
      <c r="N12844" s="30" t="s">
        <v>545</v>
      </c>
      <c r="P12844" s="30" t="s">
        <v>17870</v>
      </c>
      <c r="Q12844" t="s">
        <v>621</v>
      </c>
      <c r="R12844" t="s">
        <v>920</v>
      </c>
      <c r="S12844">
        <v>39</v>
      </c>
      <c r="T12844" s="29" t="str">
        <f t="shared" si="535"/>
        <v>2023.003S.Picornaviridae_158sprenamed.zip</v>
      </c>
      <c r="U12844" s="29" t="str">
        <f>HYPERLINK("https://ictv.global/taxonomy/taxondetails?taxnode_id=202302045","ictv.global=202302045")</f>
        <v>ictv.global=202302045</v>
      </c>
    </row>
    <row r="12845" spans="1:21">
      <c r="A12845">
        <v>12844</v>
      </c>
      <c r="B12845" s="30" t="s">
        <v>1226</v>
      </c>
      <c r="D12845" s="30" t="s">
        <v>2024</v>
      </c>
      <c r="F12845" s="30" t="s">
        <v>2074</v>
      </c>
      <c r="H12845" s="30" t="s">
        <v>2077</v>
      </c>
      <c r="J12845" s="30" t="s">
        <v>278</v>
      </c>
      <c r="L12845" s="30" t="s">
        <v>296</v>
      </c>
      <c r="M12845" s="30" t="s">
        <v>11018</v>
      </c>
      <c r="N12845" s="30" t="s">
        <v>545</v>
      </c>
      <c r="P12845" s="30" t="s">
        <v>17871</v>
      </c>
      <c r="Q12845" t="s">
        <v>621</v>
      </c>
      <c r="R12845" t="s">
        <v>920</v>
      </c>
      <c r="S12845">
        <v>39</v>
      </c>
      <c r="T12845" s="29" t="str">
        <f t="shared" si="535"/>
        <v>2023.003S.Picornaviridae_158sprenamed.zip</v>
      </c>
      <c r="U12845" s="29" t="str">
        <f>HYPERLINK("https://ictv.global/taxonomy/taxondetails?taxnode_id=202306340","ictv.global=202306340")</f>
        <v>ictv.global=202306340</v>
      </c>
    </row>
    <row r="12846" spans="1:21">
      <c r="A12846">
        <v>12845</v>
      </c>
      <c r="B12846" s="30" t="s">
        <v>1226</v>
      </c>
      <c r="D12846" s="30" t="s">
        <v>2024</v>
      </c>
      <c r="F12846" s="30" t="s">
        <v>2074</v>
      </c>
      <c r="H12846" s="30" t="s">
        <v>2077</v>
      </c>
      <c r="J12846" s="30" t="s">
        <v>278</v>
      </c>
      <c r="L12846" s="30" t="s">
        <v>296</v>
      </c>
      <c r="M12846" s="30" t="s">
        <v>11018</v>
      </c>
      <c r="N12846" s="30" t="s">
        <v>2118</v>
      </c>
      <c r="P12846" s="30" t="s">
        <v>17872</v>
      </c>
      <c r="Q12846" t="s">
        <v>621</v>
      </c>
      <c r="R12846" t="s">
        <v>920</v>
      </c>
      <c r="S12846">
        <v>39</v>
      </c>
      <c r="T12846" s="29" t="str">
        <f t="shared" si="535"/>
        <v>2023.003S.Picornaviridae_158sprenamed.zip</v>
      </c>
      <c r="U12846" s="29" t="str">
        <f>HYPERLINK("https://ictv.global/taxonomy/taxondetails?taxnode_id=202307302","ictv.global=202307302")</f>
        <v>ictv.global=202307302</v>
      </c>
    </row>
    <row r="12847" spans="1:21">
      <c r="A12847">
        <v>12846</v>
      </c>
      <c r="B12847" s="30" t="s">
        <v>1226</v>
      </c>
      <c r="D12847" s="30" t="s">
        <v>2024</v>
      </c>
      <c r="F12847" s="30" t="s">
        <v>2074</v>
      </c>
      <c r="H12847" s="30" t="s">
        <v>2077</v>
      </c>
      <c r="J12847" s="30" t="s">
        <v>278</v>
      </c>
      <c r="L12847" s="30" t="s">
        <v>296</v>
      </c>
      <c r="M12847" s="30" t="s">
        <v>11018</v>
      </c>
      <c r="N12847" s="30" t="s">
        <v>2118</v>
      </c>
      <c r="P12847" s="30" t="s">
        <v>17873</v>
      </c>
      <c r="Q12847" t="s">
        <v>621</v>
      </c>
      <c r="R12847" t="s">
        <v>920</v>
      </c>
      <c r="S12847">
        <v>39</v>
      </c>
      <c r="T12847" s="29" t="str">
        <f t="shared" si="535"/>
        <v>2023.003S.Picornaviridae_158sprenamed.zip</v>
      </c>
      <c r="U12847" s="29" t="str">
        <f>HYPERLINK("https://ictv.global/taxonomy/taxondetails?taxnode_id=202309182","ictv.global=202309182")</f>
        <v>ictv.global=202309182</v>
      </c>
    </row>
    <row r="12848" spans="1:21">
      <c r="A12848">
        <v>12847</v>
      </c>
      <c r="B12848" s="30" t="s">
        <v>1226</v>
      </c>
      <c r="D12848" s="30" t="s">
        <v>2024</v>
      </c>
      <c r="F12848" s="30" t="s">
        <v>2074</v>
      </c>
      <c r="H12848" s="30" t="s">
        <v>2077</v>
      </c>
      <c r="J12848" s="30" t="s">
        <v>278</v>
      </c>
      <c r="L12848" s="30" t="s">
        <v>296</v>
      </c>
      <c r="M12848" s="30" t="s">
        <v>11018</v>
      </c>
      <c r="N12848" s="30" t="s">
        <v>1285</v>
      </c>
      <c r="P12848" s="30" t="s">
        <v>17874</v>
      </c>
      <c r="Q12848" t="s">
        <v>621</v>
      </c>
      <c r="R12848" t="s">
        <v>920</v>
      </c>
      <c r="S12848">
        <v>39</v>
      </c>
      <c r="T12848" s="29" t="str">
        <f t="shared" si="535"/>
        <v>2023.003S.Picornaviridae_158sprenamed.zip</v>
      </c>
      <c r="U12848" s="29" t="str">
        <f>HYPERLINK("https://ictv.global/taxonomy/taxondetails?taxnode_id=202306392","ictv.global=202306392")</f>
        <v>ictv.global=202306392</v>
      </c>
    </row>
    <row r="12849" spans="1:21">
      <c r="A12849">
        <v>12848</v>
      </c>
      <c r="B12849" s="30" t="s">
        <v>1226</v>
      </c>
      <c r="D12849" s="30" t="s">
        <v>2024</v>
      </c>
      <c r="F12849" s="30" t="s">
        <v>2074</v>
      </c>
      <c r="H12849" s="30" t="s">
        <v>2077</v>
      </c>
      <c r="J12849" s="30" t="s">
        <v>278</v>
      </c>
      <c r="L12849" s="30" t="s">
        <v>296</v>
      </c>
      <c r="M12849" s="30" t="s">
        <v>11018</v>
      </c>
      <c r="N12849" s="30" t="s">
        <v>3803</v>
      </c>
      <c r="P12849" s="30" t="s">
        <v>17875</v>
      </c>
      <c r="Q12849" t="s">
        <v>621</v>
      </c>
      <c r="R12849" t="s">
        <v>920</v>
      </c>
      <c r="S12849">
        <v>39</v>
      </c>
      <c r="T12849" s="29" t="str">
        <f t="shared" ref="T12849:T12880" si="536">HYPERLINK("https://ictv.global/ictv/proposals/2023.003S.Picornaviridae_158sprenamed.zip","2023.003S.Picornaviridae_158sprenamed.zip")</f>
        <v>2023.003S.Picornaviridae_158sprenamed.zip</v>
      </c>
      <c r="U12849" s="29" t="str">
        <f>HYPERLINK("https://ictv.global/taxonomy/taxondetails?taxnode_id=202308808","ictv.global=202308808")</f>
        <v>ictv.global=202308808</v>
      </c>
    </row>
    <row r="12850" spans="1:21">
      <c r="A12850">
        <v>12849</v>
      </c>
      <c r="B12850" s="30" t="s">
        <v>1226</v>
      </c>
      <c r="D12850" s="30" t="s">
        <v>2024</v>
      </c>
      <c r="F12850" s="30" t="s">
        <v>2074</v>
      </c>
      <c r="H12850" s="30" t="s">
        <v>2077</v>
      </c>
      <c r="J12850" s="30" t="s">
        <v>278</v>
      </c>
      <c r="L12850" s="30" t="s">
        <v>296</v>
      </c>
      <c r="M12850" s="30" t="s">
        <v>11018</v>
      </c>
      <c r="N12850" s="30" t="s">
        <v>1286</v>
      </c>
      <c r="P12850" s="30" t="s">
        <v>17876</v>
      </c>
      <c r="Q12850" t="s">
        <v>621</v>
      </c>
      <c r="R12850" t="s">
        <v>920</v>
      </c>
      <c r="S12850">
        <v>39</v>
      </c>
      <c r="T12850" s="29" t="str">
        <f t="shared" si="536"/>
        <v>2023.003S.Picornaviridae_158sprenamed.zip</v>
      </c>
      <c r="U12850" s="29" t="str">
        <f>HYPERLINK("https://ictv.global/taxonomy/taxondetails?taxnode_id=202306441","ictv.global=202306441")</f>
        <v>ictv.global=202306441</v>
      </c>
    </row>
    <row r="12851" spans="1:21">
      <c r="A12851">
        <v>12850</v>
      </c>
      <c r="B12851" s="30" t="s">
        <v>1226</v>
      </c>
      <c r="D12851" s="30" t="s">
        <v>2024</v>
      </c>
      <c r="F12851" s="30" t="s">
        <v>2074</v>
      </c>
      <c r="H12851" s="30" t="s">
        <v>2077</v>
      </c>
      <c r="J12851" s="30" t="s">
        <v>278</v>
      </c>
      <c r="L12851" s="30" t="s">
        <v>296</v>
      </c>
      <c r="M12851" s="30" t="s">
        <v>11018</v>
      </c>
      <c r="N12851" s="30" t="s">
        <v>1286</v>
      </c>
      <c r="P12851" s="30" t="s">
        <v>17877</v>
      </c>
      <c r="Q12851" t="s">
        <v>621</v>
      </c>
      <c r="R12851" t="s">
        <v>920</v>
      </c>
      <c r="S12851">
        <v>39</v>
      </c>
      <c r="T12851" s="29" t="str">
        <f t="shared" si="536"/>
        <v>2023.003S.Picornaviridae_158sprenamed.zip</v>
      </c>
      <c r="U12851" s="29" t="str">
        <f>HYPERLINK("https://ictv.global/taxonomy/taxondetails?taxnode_id=202306442","ictv.global=202306442")</f>
        <v>ictv.global=202306442</v>
      </c>
    </row>
    <row r="12852" spans="1:21">
      <c r="A12852">
        <v>12851</v>
      </c>
      <c r="B12852" s="30" t="s">
        <v>1226</v>
      </c>
      <c r="D12852" s="30" t="s">
        <v>2024</v>
      </c>
      <c r="F12852" s="30" t="s">
        <v>2074</v>
      </c>
      <c r="H12852" s="30" t="s">
        <v>2077</v>
      </c>
      <c r="J12852" s="30" t="s">
        <v>278</v>
      </c>
      <c r="L12852" s="30" t="s">
        <v>296</v>
      </c>
      <c r="M12852" s="30" t="s">
        <v>11018</v>
      </c>
      <c r="N12852" s="30" t="s">
        <v>1286</v>
      </c>
      <c r="P12852" s="30" t="s">
        <v>17878</v>
      </c>
      <c r="Q12852" t="s">
        <v>621</v>
      </c>
      <c r="R12852" t="s">
        <v>920</v>
      </c>
      <c r="S12852">
        <v>39</v>
      </c>
      <c r="T12852" s="29" t="str">
        <f t="shared" si="536"/>
        <v>2023.003S.Picornaviridae_158sprenamed.zip</v>
      </c>
      <c r="U12852" s="29" t="str">
        <f>HYPERLINK("https://ictv.global/taxonomy/taxondetails?taxnode_id=202307439","ictv.global=202307439")</f>
        <v>ictv.global=202307439</v>
      </c>
    </row>
    <row r="12853" spans="1:21">
      <c r="A12853">
        <v>12852</v>
      </c>
      <c r="B12853" s="30" t="s">
        <v>1226</v>
      </c>
      <c r="D12853" s="30" t="s">
        <v>2024</v>
      </c>
      <c r="F12853" s="30" t="s">
        <v>2074</v>
      </c>
      <c r="H12853" s="30" t="s">
        <v>2077</v>
      </c>
      <c r="J12853" s="30" t="s">
        <v>278</v>
      </c>
      <c r="L12853" s="30" t="s">
        <v>296</v>
      </c>
      <c r="M12853" s="30" t="s">
        <v>11018</v>
      </c>
      <c r="N12853" s="30" t="s">
        <v>3804</v>
      </c>
      <c r="P12853" s="30" t="s">
        <v>17879</v>
      </c>
      <c r="Q12853" t="s">
        <v>621</v>
      </c>
      <c r="R12853" t="s">
        <v>920</v>
      </c>
      <c r="S12853">
        <v>39</v>
      </c>
      <c r="T12853" s="29" t="str">
        <f t="shared" si="536"/>
        <v>2023.003S.Picornaviridae_158sprenamed.zip</v>
      </c>
      <c r="U12853" s="29" t="str">
        <f>HYPERLINK("https://ictv.global/taxonomy/taxondetails?taxnode_id=202308810","ictv.global=202308810")</f>
        <v>ictv.global=202308810</v>
      </c>
    </row>
    <row r="12854" spans="1:21">
      <c r="A12854">
        <v>12853</v>
      </c>
      <c r="B12854" s="30" t="s">
        <v>1226</v>
      </c>
      <c r="D12854" s="30" t="s">
        <v>2024</v>
      </c>
      <c r="F12854" s="30" t="s">
        <v>2074</v>
      </c>
      <c r="H12854" s="30" t="s">
        <v>2077</v>
      </c>
      <c r="J12854" s="30" t="s">
        <v>278</v>
      </c>
      <c r="L12854" s="30" t="s">
        <v>296</v>
      </c>
      <c r="M12854" s="30" t="s">
        <v>11018</v>
      </c>
      <c r="N12854" s="30" t="s">
        <v>546</v>
      </c>
      <c r="P12854" s="30" t="s">
        <v>17880</v>
      </c>
      <c r="Q12854" t="s">
        <v>621</v>
      </c>
      <c r="R12854" t="s">
        <v>920</v>
      </c>
      <c r="S12854">
        <v>39</v>
      </c>
      <c r="T12854" s="29" t="str">
        <f t="shared" si="536"/>
        <v>2023.003S.Picornaviridae_158sprenamed.zip</v>
      </c>
      <c r="U12854" s="29" t="str">
        <f>HYPERLINK("https://ictv.global/taxonomy/taxondetails?taxnode_id=202302051","ictv.global=202302051")</f>
        <v>ictv.global=202302051</v>
      </c>
    </row>
    <row r="12855" spans="1:21">
      <c r="A12855">
        <v>12854</v>
      </c>
      <c r="B12855" s="30" t="s">
        <v>1226</v>
      </c>
      <c r="D12855" s="30" t="s">
        <v>2024</v>
      </c>
      <c r="F12855" s="30" t="s">
        <v>2074</v>
      </c>
      <c r="H12855" s="30" t="s">
        <v>2077</v>
      </c>
      <c r="J12855" s="30" t="s">
        <v>278</v>
      </c>
      <c r="L12855" s="30" t="s">
        <v>296</v>
      </c>
      <c r="M12855" s="30" t="s">
        <v>11018</v>
      </c>
      <c r="N12855" s="30" t="s">
        <v>546</v>
      </c>
      <c r="P12855" s="30" t="s">
        <v>17881</v>
      </c>
      <c r="Q12855" t="s">
        <v>621</v>
      </c>
      <c r="R12855" t="s">
        <v>920</v>
      </c>
      <c r="S12855">
        <v>39</v>
      </c>
      <c r="T12855" s="29" t="str">
        <f t="shared" si="536"/>
        <v>2023.003S.Picornaviridae_158sprenamed.zip</v>
      </c>
      <c r="U12855" s="29" t="str">
        <f>HYPERLINK("https://ictv.global/taxonomy/taxondetails?taxnode_id=202306477","ictv.global=202306477")</f>
        <v>ictv.global=202306477</v>
      </c>
    </row>
    <row r="12856" spans="1:21">
      <c r="A12856">
        <v>12855</v>
      </c>
      <c r="B12856" s="30" t="s">
        <v>1226</v>
      </c>
      <c r="D12856" s="30" t="s">
        <v>2024</v>
      </c>
      <c r="F12856" s="30" t="s">
        <v>2074</v>
      </c>
      <c r="H12856" s="30" t="s">
        <v>2077</v>
      </c>
      <c r="J12856" s="30" t="s">
        <v>278</v>
      </c>
      <c r="L12856" s="30" t="s">
        <v>296</v>
      </c>
      <c r="M12856" s="30" t="s">
        <v>11018</v>
      </c>
      <c r="N12856" s="30" t="s">
        <v>546</v>
      </c>
      <c r="P12856" s="30" t="s">
        <v>17882</v>
      </c>
      <c r="Q12856" t="s">
        <v>621</v>
      </c>
      <c r="R12856" t="s">
        <v>920</v>
      </c>
      <c r="S12856">
        <v>39</v>
      </c>
      <c r="T12856" s="29" t="str">
        <f t="shared" si="536"/>
        <v>2023.003S.Picornaviridae_158sprenamed.zip</v>
      </c>
      <c r="U12856" s="29" t="str">
        <f>HYPERLINK("https://ictv.global/taxonomy/taxondetails?taxnode_id=202306478","ictv.global=202306478")</f>
        <v>ictv.global=202306478</v>
      </c>
    </row>
    <row r="12857" spans="1:21">
      <c r="A12857">
        <v>12856</v>
      </c>
      <c r="B12857" s="30" t="s">
        <v>1226</v>
      </c>
      <c r="D12857" s="30" t="s">
        <v>2024</v>
      </c>
      <c r="F12857" s="30" t="s">
        <v>2074</v>
      </c>
      <c r="H12857" s="30" t="s">
        <v>2077</v>
      </c>
      <c r="J12857" s="30" t="s">
        <v>278</v>
      </c>
      <c r="L12857" s="30" t="s">
        <v>296</v>
      </c>
      <c r="M12857" s="30" t="s">
        <v>11018</v>
      </c>
      <c r="N12857" s="30" t="s">
        <v>611</v>
      </c>
      <c r="P12857" s="30" t="s">
        <v>17883</v>
      </c>
      <c r="Q12857" t="s">
        <v>621</v>
      </c>
      <c r="R12857" t="s">
        <v>920</v>
      </c>
      <c r="S12857">
        <v>39</v>
      </c>
      <c r="T12857" s="29" t="str">
        <f t="shared" si="536"/>
        <v>2023.003S.Picornaviridae_158sprenamed.zip</v>
      </c>
      <c r="U12857" s="29" t="str">
        <f>HYPERLINK("https://ictv.global/taxonomy/taxondetails?taxnode_id=202302053","ictv.global=202302053")</f>
        <v>ictv.global=202302053</v>
      </c>
    </row>
    <row r="12858" spans="1:21">
      <c r="A12858">
        <v>12857</v>
      </c>
      <c r="B12858" s="30" t="s">
        <v>1226</v>
      </c>
      <c r="D12858" s="30" t="s">
        <v>2024</v>
      </c>
      <c r="F12858" s="30" t="s">
        <v>2074</v>
      </c>
      <c r="H12858" s="30" t="s">
        <v>2077</v>
      </c>
      <c r="J12858" s="30" t="s">
        <v>278</v>
      </c>
      <c r="L12858" s="30" t="s">
        <v>296</v>
      </c>
      <c r="M12858" s="30" t="s">
        <v>11018</v>
      </c>
      <c r="N12858" s="30" t="s">
        <v>516</v>
      </c>
      <c r="P12858" s="30" t="s">
        <v>17884</v>
      </c>
      <c r="Q12858" t="s">
        <v>621</v>
      </c>
      <c r="R12858" t="s">
        <v>920</v>
      </c>
      <c r="S12858">
        <v>39</v>
      </c>
      <c r="T12858" s="29" t="str">
        <f t="shared" si="536"/>
        <v>2023.003S.Picornaviridae_158sprenamed.zip</v>
      </c>
      <c r="U12858" s="29" t="str">
        <f>HYPERLINK("https://ictv.global/taxonomy/taxondetails?taxnode_id=202302055","ictv.global=202302055")</f>
        <v>ictv.global=202302055</v>
      </c>
    </row>
    <row r="12859" spans="1:21">
      <c r="A12859">
        <v>12858</v>
      </c>
      <c r="B12859" s="30" t="s">
        <v>1226</v>
      </c>
      <c r="D12859" s="30" t="s">
        <v>2024</v>
      </c>
      <c r="F12859" s="30" t="s">
        <v>2074</v>
      </c>
      <c r="H12859" s="30" t="s">
        <v>2077</v>
      </c>
      <c r="J12859" s="30" t="s">
        <v>278</v>
      </c>
      <c r="L12859" s="30" t="s">
        <v>296</v>
      </c>
      <c r="M12859" s="30" t="s">
        <v>11018</v>
      </c>
      <c r="N12859" s="30" t="s">
        <v>612</v>
      </c>
      <c r="P12859" s="30" t="s">
        <v>17885</v>
      </c>
      <c r="Q12859" t="s">
        <v>621</v>
      </c>
      <c r="R12859" t="s">
        <v>920</v>
      </c>
      <c r="S12859">
        <v>39</v>
      </c>
      <c r="T12859" s="29" t="str">
        <f t="shared" si="536"/>
        <v>2023.003S.Picornaviridae_158sprenamed.zip</v>
      </c>
      <c r="U12859" s="29" t="str">
        <f>HYPERLINK("https://ictv.global/taxonomy/taxondetails?taxnode_id=202302063","ictv.global=202302063")</f>
        <v>ictv.global=202302063</v>
      </c>
    </row>
    <row r="12860" spans="1:21">
      <c r="A12860">
        <v>12859</v>
      </c>
      <c r="B12860" s="30" t="s">
        <v>1226</v>
      </c>
      <c r="D12860" s="30" t="s">
        <v>2024</v>
      </c>
      <c r="F12860" s="30" t="s">
        <v>2074</v>
      </c>
      <c r="H12860" s="30" t="s">
        <v>2077</v>
      </c>
      <c r="J12860" s="30" t="s">
        <v>278</v>
      </c>
      <c r="L12860" s="30" t="s">
        <v>296</v>
      </c>
      <c r="M12860" s="30" t="s">
        <v>11018</v>
      </c>
      <c r="N12860" s="30" t="s">
        <v>2120</v>
      </c>
      <c r="P12860" s="30" t="s">
        <v>17886</v>
      </c>
      <c r="Q12860" t="s">
        <v>621</v>
      </c>
      <c r="R12860" t="s">
        <v>920</v>
      </c>
      <c r="S12860">
        <v>39</v>
      </c>
      <c r="T12860" s="29" t="str">
        <f t="shared" si="536"/>
        <v>2023.003S.Picornaviridae_158sprenamed.zip</v>
      </c>
      <c r="U12860" s="29" t="str">
        <f>HYPERLINK("https://ictv.global/taxonomy/taxondetails?taxnode_id=202307304","ictv.global=202307304")</f>
        <v>ictv.global=202307304</v>
      </c>
    </row>
    <row r="12861" spans="1:21">
      <c r="A12861">
        <v>12860</v>
      </c>
      <c r="B12861" s="30" t="s">
        <v>1226</v>
      </c>
      <c r="D12861" s="30" t="s">
        <v>2024</v>
      </c>
      <c r="F12861" s="30" t="s">
        <v>2074</v>
      </c>
      <c r="H12861" s="30" t="s">
        <v>2077</v>
      </c>
      <c r="J12861" s="30" t="s">
        <v>278</v>
      </c>
      <c r="L12861" s="30" t="s">
        <v>296</v>
      </c>
      <c r="M12861" s="30" t="s">
        <v>11018</v>
      </c>
      <c r="N12861" s="30" t="s">
        <v>2121</v>
      </c>
      <c r="P12861" s="30" t="s">
        <v>17887</v>
      </c>
      <c r="Q12861" t="s">
        <v>621</v>
      </c>
      <c r="R12861" t="s">
        <v>920</v>
      </c>
      <c r="S12861">
        <v>39</v>
      </c>
      <c r="T12861" s="29" t="str">
        <f t="shared" si="536"/>
        <v>2023.003S.Picornaviridae_158sprenamed.zip</v>
      </c>
      <c r="U12861" s="29" t="str">
        <f>HYPERLINK("https://ictv.global/taxonomy/taxondetails?taxnode_id=202307306","ictv.global=202307306")</f>
        <v>ictv.global=202307306</v>
      </c>
    </row>
    <row r="12862" spans="1:21">
      <c r="A12862">
        <v>12861</v>
      </c>
      <c r="B12862" s="30" t="s">
        <v>1226</v>
      </c>
      <c r="D12862" s="30" t="s">
        <v>2024</v>
      </c>
      <c r="F12862" s="30" t="s">
        <v>2074</v>
      </c>
      <c r="H12862" s="30" t="s">
        <v>2077</v>
      </c>
      <c r="J12862" s="30" t="s">
        <v>278</v>
      </c>
      <c r="L12862" s="30" t="s">
        <v>296</v>
      </c>
      <c r="M12862" s="30" t="s">
        <v>11018</v>
      </c>
      <c r="N12862" s="30" t="s">
        <v>2121</v>
      </c>
      <c r="P12862" s="30" t="s">
        <v>17888</v>
      </c>
      <c r="Q12862" t="s">
        <v>621</v>
      </c>
      <c r="R12862" t="s">
        <v>920</v>
      </c>
      <c r="S12862">
        <v>39</v>
      </c>
      <c r="T12862" s="29" t="str">
        <f t="shared" si="536"/>
        <v>2023.003S.Picornaviridae_158sprenamed.zip</v>
      </c>
      <c r="U12862" s="29" t="str">
        <f>HYPERLINK("https://ictv.global/taxonomy/taxondetails?taxnode_id=202309248","ictv.global=202309248")</f>
        <v>ictv.global=202309248</v>
      </c>
    </row>
    <row r="12863" spans="1:21">
      <c r="A12863">
        <v>12862</v>
      </c>
      <c r="B12863" s="30" t="s">
        <v>1226</v>
      </c>
      <c r="D12863" s="30" t="s">
        <v>2024</v>
      </c>
      <c r="F12863" s="30" t="s">
        <v>2074</v>
      </c>
      <c r="H12863" s="30" t="s">
        <v>2077</v>
      </c>
      <c r="J12863" s="30" t="s">
        <v>278</v>
      </c>
      <c r="L12863" s="30" t="s">
        <v>296</v>
      </c>
      <c r="M12863" s="30" t="s">
        <v>11019</v>
      </c>
      <c r="N12863" s="30" t="s">
        <v>957</v>
      </c>
      <c r="P12863" s="30" t="s">
        <v>17889</v>
      </c>
      <c r="Q12863" t="s">
        <v>621</v>
      </c>
      <c r="R12863" t="s">
        <v>920</v>
      </c>
      <c r="S12863">
        <v>39</v>
      </c>
      <c r="T12863" s="29" t="str">
        <f t="shared" si="536"/>
        <v>2023.003S.Picornaviridae_158sprenamed.zip</v>
      </c>
      <c r="U12863" s="29" t="str">
        <f>HYPERLINK("https://ictv.global/taxonomy/taxondetails?taxnode_id=202305589","ictv.global=202305589")</f>
        <v>ictv.global=202305589</v>
      </c>
    </row>
    <row r="12864" spans="1:21">
      <c r="A12864">
        <v>12863</v>
      </c>
      <c r="B12864" s="30" t="s">
        <v>1226</v>
      </c>
      <c r="D12864" s="30" t="s">
        <v>2024</v>
      </c>
      <c r="F12864" s="30" t="s">
        <v>2074</v>
      </c>
      <c r="H12864" s="30" t="s">
        <v>2077</v>
      </c>
      <c r="J12864" s="30" t="s">
        <v>278</v>
      </c>
      <c r="L12864" s="30" t="s">
        <v>296</v>
      </c>
      <c r="M12864" s="30" t="s">
        <v>11019</v>
      </c>
      <c r="N12864" s="30" t="s">
        <v>512</v>
      </c>
      <c r="P12864" s="30" t="s">
        <v>17890</v>
      </c>
      <c r="Q12864" t="s">
        <v>621</v>
      </c>
      <c r="R12864" t="s">
        <v>920</v>
      </c>
      <c r="S12864">
        <v>39</v>
      </c>
      <c r="T12864" s="29" t="str">
        <f t="shared" si="536"/>
        <v>2023.003S.Picornaviridae_158sprenamed.zip</v>
      </c>
      <c r="U12864" s="29" t="str">
        <f>HYPERLINK("https://ictv.global/taxonomy/taxondetails?taxnode_id=202301963","ictv.global=202301963")</f>
        <v>ictv.global=202301963</v>
      </c>
    </row>
    <row r="12865" spans="1:21">
      <c r="A12865">
        <v>12864</v>
      </c>
      <c r="B12865" s="30" t="s">
        <v>1226</v>
      </c>
      <c r="D12865" s="30" t="s">
        <v>2024</v>
      </c>
      <c r="F12865" s="30" t="s">
        <v>2074</v>
      </c>
      <c r="H12865" s="30" t="s">
        <v>2077</v>
      </c>
      <c r="J12865" s="30" t="s">
        <v>278</v>
      </c>
      <c r="L12865" s="30" t="s">
        <v>296</v>
      </c>
      <c r="M12865" s="30" t="s">
        <v>11019</v>
      </c>
      <c r="N12865" s="30" t="s">
        <v>281</v>
      </c>
      <c r="P12865" s="30" t="s">
        <v>17891</v>
      </c>
      <c r="Q12865" t="s">
        <v>621</v>
      </c>
      <c r="R12865" t="s">
        <v>920</v>
      </c>
      <c r="S12865">
        <v>39</v>
      </c>
      <c r="T12865" s="29" t="str">
        <f t="shared" si="536"/>
        <v>2023.003S.Picornaviridae_158sprenamed.zip</v>
      </c>
      <c r="U12865" s="29" t="str">
        <f>HYPERLINK("https://ictv.global/taxonomy/taxondetails?taxnode_id=202301965","ictv.global=202301965")</f>
        <v>ictv.global=202301965</v>
      </c>
    </row>
    <row r="12866" spans="1:21">
      <c r="A12866">
        <v>12865</v>
      </c>
      <c r="B12866" s="30" t="s">
        <v>1226</v>
      </c>
      <c r="D12866" s="30" t="s">
        <v>2024</v>
      </c>
      <c r="F12866" s="30" t="s">
        <v>2074</v>
      </c>
      <c r="H12866" s="30" t="s">
        <v>2077</v>
      </c>
      <c r="J12866" s="30" t="s">
        <v>278</v>
      </c>
      <c r="L12866" s="30" t="s">
        <v>296</v>
      </c>
      <c r="M12866" s="30" t="s">
        <v>11019</v>
      </c>
      <c r="N12866" s="30" t="s">
        <v>538</v>
      </c>
      <c r="P12866" s="30" t="s">
        <v>17892</v>
      </c>
      <c r="Q12866" t="s">
        <v>621</v>
      </c>
      <c r="R12866" t="s">
        <v>920</v>
      </c>
      <c r="S12866">
        <v>39</v>
      </c>
      <c r="T12866" s="29" t="str">
        <f t="shared" si="536"/>
        <v>2023.003S.Picornaviridae_158sprenamed.zip</v>
      </c>
      <c r="U12866" s="29" t="str">
        <f>HYPERLINK("https://ictv.global/taxonomy/taxondetails?taxnode_id=202301967","ictv.global=202301967")</f>
        <v>ictv.global=202301967</v>
      </c>
    </row>
    <row r="12867" spans="1:21">
      <c r="A12867">
        <v>12866</v>
      </c>
      <c r="B12867" s="30" t="s">
        <v>1226</v>
      </c>
      <c r="D12867" s="30" t="s">
        <v>2024</v>
      </c>
      <c r="F12867" s="30" t="s">
        <v>2074</v>
      </c>
      <c r="H12867" s="30" t="s">
        <v>2077</v>
      </c>
      <c r="J12867" s="30" t="s">
        <v>278</v>
      </c>
      <c r="L12867" s="30" t="s">
        <v>296</v>
      </c>
      <c r="M12867" s="30" t="s">
        <v>11019</v>
      </c>
      <c r="N12867" s="30" t="s">
        <v>538</v>
      </c>
      <c r="P12867" s="30" t="s">
        <v>17893</v>
      </c>
      <c r="Q12867" t="s">
        <v>621</v>
      </c>
      <c r="R12867" t="s">
        <v>920</v>
      </c>
      <c r="S12867">
        <v>39</v>
      </c>
      <c r="T12867" s="29" t="str">
        <f t="shared" si="536"/>
        <v>2023.003S.Picornaviridae_158sprenamed.zip</v>
      </c>
      <c r="U12867" s="29" t="str">
        <f>HYPERLINK("https://ictv.global/taxonomy/taxondetails?taxnode_id=202301968","ictv.global=202301968")</f>
        <v>ictv.global=202301968</v>
      </c>
    </row>
    <row r="12868" spans="1:21">
      <c r="A12868">
        <v>12867</v>
      </c>
      <c r="B12868" s="30" t="s">
        <v>1226</v>
      </c>
      <c r="D12868" s="30" t="s">
        <v>2024</v>
      </c>
      <c r="F12868" s="30" t="s">
        <v>2074</v>
      </c>
      <c r="H12868" s="30" t="s">
        <v>2077</v>
      </c>
      <c r="J12868" s="30" t="s">
        <v>278</v>
      </c>
      <c r="L12868" s="30" t="s">
        <v>296</v>
      </c>
      <c r="M12868" s="30" t="s">
        <v>11019</v>
      </c>
      <c r="N12868" s="30" t="s">
        <v>538</v>
      </c>
      <c r="P12868" s="30" t="s">
        <v>17894</v>
      </c>
      <c r="Q12868" t="s">
        <v>621</v>
      </c>
      <c r="R12868" t="s">
        <v>920</v>
      </c>
      <c r="S12868">
        <v>39</v>
      </c>
      <c r="T12868" s="29" t="str">
        <f t="shared" si="536"/>
        <v>2023.003S.Picornaviridae_158sprenamed.zip</v>
      </c>
      <c r="U12868" s="29" t="str">
        <f>HYPERLINK("https://ictv.global/taxonomy/taxondetails?taxnode_id=202301969","ictv.global=202301969")</f>
        <v>ictv.global=202301969</v>
      </c>
    </row>
    <row r="12869" spans="1:21">
      <c r="A12869">
        <v>12868</v>
      </c>
      <c r="B12869" s="30" t="s">
        <v>1226</v>
      </c>
      <c r="D12869" s="30" t="s">
        <v>2024</v>
      </c>
      <c r="F12869" s="30" t="s">
        <v>2074</v>
      </c>
      <c r="H12869" s="30" t="s">
        <v>2077</v>
      </c>
      <c r="J12869" s="30" t="s">
        <v>278</v>
      </c>
      <c r="L12869" s="30" t="s">
        <v>296</v>
      </c>
      <c r="M12869" s="30" t="s">
        <v>11019</v>
      </c>
      <c r="N12869" s="30" t="s">
        <v>959</v>
      </c>
      <c r="P12869" s="30" t="s">
        <v>17895</v>
      </c>
      <c r="Q12869" t="s">
        <v>621</v>
      </c>
      <c r="R12869" t="s">
        <v>920</v>
      </c>
      <c r="S12869">
        <v>39</v>
      </c>
      <c r="T12869" s="29" t="str">
        <f t="shared" si="536"/>
        <v>2023.003S.Picornaviridae_158sprenamed.zip</v>
      </c>
      <c r="U12869" s="29" t="str">
        <f>HYPERLINK("https://ictv.global/taxonomy/taxondetails?taxnode_id=202305593","ictv.global=202305593")</f>
        <v>ictv.global=202305593</v>
      </c>
    </row>
    <row r="12870" spans="1:21">
      <c r="A12870">
        <v>12869</v>
      </c>
      <c r="B12870" s="30" t="s">
        <v>1226</v>
      </c>
      <c r="D12870" s="30" t="s">
        <v>2024</v>
      </c>
      <c r="F12870" s="30" t="s">
        <v>2074</v>
      </c>
      <c r="H12870" s="30" t="s">
        <v>2077</v>
      </c>
      <c r="J12870" s="30" t="s">
        <v>278</v>
      </c>
      <c r="L12870" s="30" t="s">
        <v>296</v>
      </c>
      <c r="M12870" s="30" t="s">
        <v>11019</v>
      </c>
      <c r="N12870" s="30" t="s">
        <v>959</v>
      </c>
      <c r="P12870" s="30" t="s">
        <v>17896</v>
      </c>
      <c r="Q12870" t="s">
        <v>621</v>
      </c>
      <c r="R12870" t="s">
        <v>920</v>
      </c>
      <c r="S12870">
        <v>39</v>
      </c>
      <c r="T12870" s="29" t="str">
        <f t="shared" si="536"/>
        <v>2023.003S.Picornaviridae_158sprenamed.zip</v>
      </c>
      <c r="U12870" s="29" t="str">
        <f>HYPERLINK("https://ictv.global/taxonomy/taxondetails?taxnode_id=202305594","ictv.global=202305594")</f>
        <v>ictv.global=202305594</v>
      </c>
    </row>
    <row r="12871" spans="1:21">
      <c r="A12871">
        <v>12870</v>
      </c>
      <c r="B12871" s="30" t="s">
        <v>1226</v>
      </c>
      <c r="D12871" s="30" t="s">
        <v>2024</v>
      </c>
      <c r="F12871" s="30" t="s">
        <v>2074</v>
      </c>
      <c r="H12871" s="30" t="s">
        <v>2077</v>
      </c>
      <c r="J12871" s="30" t="s">
        <v>278</v>
      </c>
      <c r="L12871" s="30" t="s">
        <v>296</v>
      </c>
      <c r="M12871" s="30" t="s">
        <v>11019</v>
      </c>
      <c r="N12871" s="30" t="s">
        <v>2112</v>
      </c>
      <c r="P12871" s="30" t="s">
        <v>17897</v>
      </c>
      <c r="Q12871" t="s">
        <v>621</v>
      </c>
      <c r="R12871" t="s">
        <v>920</v>
      </c>
      <c r="S12871">
        <v>39</v>
      </c>
      <c r="T12871" s="29" t="str">
        <f t="shared" si="536"/>
        <v>2023.003S.Picornaviridae_158sprenamed.zip</v>
      </c>
      <c r="U12871" s="29" t="str">
        <f>HYPERLINK("https://ictv.global/taxonomy/taxondetails?taxnode_id=202307284","ictv.global=202307284")</f>
        <v>ictv.global=202307284</v>
      </c>
    </row>
    <row r="12872" spans="1:21">
      <c r="A12872">
        <v>12871</v>
      </c>
      <c r="B12872" s="30" t="s">
        <v>1226</v>
      </c>
      <c r="D12872" s="30" t="s">
        <v>2024</v>
      </c>
      <c r="F12872" s="30" t="s">
        <v>2074</v>
      </c>
      <c r="H12872" s="30" t="s">
        <v>2077</v>
      </c>
      <c r="J12872" s="30" t="s">
        <v>278</v>
      </c>
      <c r="L12872" s="30" t="s">
        <v>296</v>
      </c>
      <c r="M12872" s="30" t="s">
        <v>11019</v>
      </c>
      <c r="N12872" s="30" t="s">
        <v>2112</v>
      </c>
      <c r="P12872" s="30" t="s">
        <v>17898</v>
      </c>
      <c r="Q12872" t="s">
        <v>621</v>
      </c>
      <c r="R12872" t="s">
        <v>920</v>
      </c>
      <c r="S12872">
        <v>39</v>
      </c>
      <c r="T12872" s="29" t="str">
        <f t="shared" si="536"/>
        <v>2023.003S.Picornaviridae_158sprenamed.zip</v>
      </c>
      <c r="U12872" s="29" t="str">
        <f>HYPERLINK("https://ictv.global/taxonomy/taxondetails?taxnode_id=202307285","ictv.global=202307285")</f>
        <v>ictv.global=202307285</v>
      </c>
    </row>
    <row r="12873" spans="1:21">
      <c r="A12873">
        <v>12872</v>
      </c>
      <c r="B12873" s="30" t="s">
        <v>1226</v>
      </c>
      <c r="D12873" s="30" t="s">
        <v>2024</v>
      </c>
      <c r="F12873" s="30" t="s">
        <v>2074</v>
      </c>
      <c r="H12873" s="30" t="s">
        <v>2077</v>
      </c>
      <c r="J12873" s="30" t="s">
        <v>278</v>
      </c>
      <c r="L12873" s="30" t="s">
        <v>296</v>
      </c>
      <c r="M12873" s="30" t="s">
        <v>11019</v>
      </c>
      <c r="N12873" s="30" t="s">
        <v>2112</v>
      </c>
      <c r="P12873" s="30" t="s">
        <v>17899</v>
      </c>
      <c r="Q12873" t="s">
        <v>621</v>
      </c>
      <c r="R12873" t="s">
        <v>920</v>
      </c>
      <c r="S12873">
        <v>39</v>
      </c>
      <c r="T12873" s="29" t="str">
        <f t="shared" si="536"/>
        <v>2023.003S.Picornaviridae_158sprenamed.zip</v>
      </c>
      <c r="U12873" s="29" t="str">
        <f>HYPERLINK("https://ictv.global/taxonomy/taxondetails?taxnode_id=202308913","ictv.global=202308913")</f>
        <v>ictv.global=202308913</v>
      </c>
    </row>
    <row r="12874" spans="1:21">
      <c r="A12874">
        <v>12873</v>
      </c>
      <c r="B12874" s="30" t="s">
        <v>1226</v>
      </c>
      <c r="D12874" s="30" t="s">
        <v>2024</v>
      </c>
      <c r="F12874" s="30" t="s">
        <v>2074</v>
      </c>
      <c r="H12874" s="30" t="s">
        <v>2077</v>
      </c>
      <c r="J12874" s="30" t="s">
        <v>278</v>
      </c>
      <c r="L12874" s="30" t="s">
        <v>296</v>
      </c>
      <c r="M12874" s="30" t="s">
        <v>11019</v>
      </c>
      <c r="N12874" s="30" t="s">
        <v>610</v>
      </c>
      <c r="P12874" s="30" t="s">
        <v>17900</v>
      </c>
      <c r="Q12874" t="s">
        <v>621</v>
      </c>
      <c r="R12874" t="s">
        <v>920</v>
      </c>
      <c r="S12874">
        <v>39</v>
      </c>
      <c r="T12874" s="29" t="str">
        <f t="shared" si="536"/>
        <v>2023.003S.Picornaviridae_158sprenamed.zip</v>
      </c>
      <c r="U12874" s="29" t="str">
        <f>HYPERLINK("https://ictv.global/taxonomy/taxondetails?taxnode_id=202302022","ictv.global=202302022")</f>
        <v>ictv.global=202302022</v>
      </c>
    </row>
    <row r="12875" spans="1:21">
      <c r="A12875">
        <v>12874</v>
      </c>
      <c r="B12875" s="30" t="s">
        <v>1226</v>
      </c>
      <c r="D12875" s="30" t="s">
        <v>2024</v>
      </c>
      <c r="F12875" s="30" t="s">
        <v>2074</v>
      </c>
      <c r="H12875" s="30" t="s">
        <v>2077</v>
      </c>
      <c r="J12875" s="30" t="s">
        <v>278</v>
      </c>
      <c r="L12875" s="30" t="s">
        <v>296</v>
      </c>
      <c r="M12875" s="30" t="s">
        <v>11019</v>
      </c>
      <c r="N12875" s="30" t="s">
        <v>610</v>
      </c>
      <c r="P12875" s="30" t="s">
        <v>17901</v>
      </c>
      <c r="Q12875" t="s">
        <v>621</v>
      </c>
      <c r="R12875" t="s">
        <v>920</v>
      </c>
      <c r="S12875">
        <v>39</v>
      </c>
      <c r="T12875" s="29" t="str">
        <f t="shared" si="536"/>
        <v>2023.003S.Picornaviridae_158sprenamed.zip</v>
      </c>
      <c r="U12875" s="29" t="str">
        <f>HYPERLINK("https://ictv.global/taxonomy/taxondetails?taxnode_id=202305598","ictv.global=202305598")</f>
        <v>ictv.global=202305598</v>
      </c>
    </row>
    <row r="12876" spans="1:21">
      <c r="A12876">
        <v>12875</v>
      </c>
      <c r="B12876" s="30" t="s">
        <v>1226</v>
      </c>
      <c r="D12876" s="30" t="s">
        <v>2024</v>
      </c>
      <c r="F12876" s="30" t="s">
        <v>2074</v>
      </c>
      <c r="H12876" s="30" t="s">
        <v>2077</v>
      </c>
      <c r="J12876" s="30" t="s">
        <v>278</v>
      </c>
      <c r="L12876" s="30" t="s">
        <v>296</v>
      </c>
      <c r="M12876" s="30" t="s">
        <v>11019</v>
      </c>
      <c r="N12876" s="30" t="s">
        <v>610</v>
      </c>
      <c r="P12876" s="30" t="s">
        <v>17902</v>
      </c>
      <c r="Q12876" t="s">
        <v>621</v>
      </c>
      <c r="R12876" t="s">
        <v>920</v>
      </c>
      <c r="S12876">
        <v>39</v>
      </c>
      <c r="T12876" s="29" t="str">
        <f t="shared" si="536"/>
        <v>2023.003S.Picornaviridae_158sprenamed.zip</v>
      </c>
      <c r="U12876" s="29" t="str">
        <f>HYPERLINK("https://ictv.global/taxonomy/taxondetails?taxnode_id=202305599","ictv.global=202305599")</f>
        <v>ictv.global=202305599</v>
      </c>
    </row>
    <row r="12877" spans="1:21">
      <c r="A12877">
        <v>12876</v>
      </c>
      <c r="B12877" s="30" t="s">
        <v>1226</v>
      </c>
      <c r="D12877" s="30" t="s">
        <v>2024</v>
      </c>
      <c r="F12877" s="30" t="s">
        <v>2074</v>
      </c>
      <c r="H12877" s="30" t="s">
        <v>2077</v>
      </c>
      <c r="J12877" s="30" t="s">
        <v>278</v>
      </c>
      <c r="L12877" s="30" t="s">
        <v>296</v>
      </c>
      <c r="M12877" s="30" t="s">
        <v>11019</v>
      </c>
      <c r="N12877" s="30" t="s">
        <v>722</v>
      </c>
      <c r="P12877" s="30" t="s">
        <v>17903</v>
      </c>
      <c r="Q12877" t="s">
        <v>621</v>
      </c>
      <c r="R12877" t="s">
        <v>920</v>
      </c>
      <c r="S12877">
        <v>39</v>
      </c>
      <c r="T12877" s="29" t="str">
        <f t="shared" si="536"/>
        <v>2023.003S.Picornaviridae_158sprenamed.zip</v>
      </c>
      <c r="U12877" s="29" t="str">
        <f>HYPERLINK("https://ictv.global/taxonomy/taxondetails?taxnode_id=202302024","ictv.global=202302024")</f>
        <v>ictv.global=202302024</v>
      </c>
    </row>
    <row r="12878" spans="1:21">
      <c r="A12878">
        <v>12877</v>
      </c>
      <c r="B12878" s="30" t="s">
        <v>1226</v>
      </c>
      <c r="D12878" s="30" t="s">
        <v>2024</v>
      </c>
      <c r="F12878" s="30" t="s">
        <v>2074</v>
      </c>
      <c r="H12878" s="30" t="s">
        <v>2077</v>
      </c>
      <c r="J12878" s="30" t="s">
        <v>278</v>
      </c>
      <c r="L12878" s="30" t="s">
        <v>296</v>
      </c>
      <c r="M12878" s="30" t="s">
        <v>11019</v>
      </c>
      <c r="N12878" s="30" t="s">
        <v>722</v>
      </c>
      <c r="P12878" s="30" t="s">
        <v>17904</v>
      </c>
      <c r="Q12878" t="s">
        <v>621</v>
      </c>
      <c r="R12878" t="s">
        <v>920</v>
      </c>
      <c r="S12878">
        <v>39</v>
      </c>
      <c r="T12878" s="29" t="str">
        <f t="shared" si="536"/>
        <v>2023.003S.Picornaviridae_158sprenamed.zip</v>
      </c>
      <c r="U12878" s="29" t="str">
        <f>HYPERLINK("https://ictv.global/taxonomy/taxondetails?taxnode_id=202302025","ictv.global=202302025")</f>
        <v>ictv.global=202302025</v>
      </c>
    </row>
    <row r="12879" spans="1:21">
      <c r="A12879">
        <v>12878</v>
      </c>
      <c r="B12879" s="30" t="s">
        <v>1226</v>
      </c>
      <c r="D12879" s="30" t="s">
        <v>2024</v>
      </c>
      <c r="F12879" s="30" t="s">
        <v>2074</v>
      </c>
      <c r="H12879" s="30" t="s">
        <v>2077</v>
      </c>
      <c r="J12879" s="30" t="s">
        <v>278</v>
      </c>
      <c r="L12879" s="30" t="s">
        <v>296</v>
      </c>
      <c r="M12879" s="30" t="s">
        <v>11019</v>
      </c>
      <c r="N12879" s="30" t="s">
        <v>722</v>
      </c>
      <c r="P12879" s="30" t="s">
        <v>17905</v>
      </c>
      <c r="Q12879" t="s">
        <v>621</v>
      </c>
      <c r="R12879" t="s">
        <v>920</v>
      </c>
      <c r="S12879">
        <v>39</v>
      </c>
      <c r="T12879" s="29" t="str">
        <f t="shared" si="536"/>
        <v>2023.003S.Picornaviridae_158sprenamed.zip</v>
      </c>
      <c r="U12879" s="29" t="str">
        <f>HYPERLINK("https://ictv.global/taxonomy/taxondetails?taxnode_id=202302026","ictv.global=202302026")</f>
        <v>ictv.global=202302026</v>
      </c>
    </row>
    <row r="12880" spans="1:21">
      <c r="A12880">
        <v>12879</v>
      </c>
      <c r="B12880" s="30" t="s">
        <v>1226</v>
      </c>
      <c r="D12880" s="30" t="s">
        <v>2024</v>
      </c>
      <c r="F12880" s="30" t="s">
        <v>2074</v>
      </c>
      <c r="H12880" s="30" t="s">
        <v>2077</v>
      </c>
      <c r="J12880" s="30" t="s">
        <v>278</v>
      </c>
      <c r="L12880" s="30" t="s">
        <v>296</v>
      </c>
      <c r="M12880" s="30" t="s">
        <v>11019</v>
      </c>
      <c r="N12880" s="30" t="s">
        <v>722</v>
      </c>
      <c r="P12880" s="30" t="s">
        <v>17906</v>
      </c>
      <c r="Q12880" t="s">
        <v>621</v>
      </c>
      <c r="R12880" t="s">
        <v>920</v>
      </c>
      <c r="S12880">
        <v>39</v>
      </c>
      <c r="T12880" s="29" t="str">
        <f t="shared" si="536"/>
        <v>2023.003S.Picornaviridae_158sprenamed.zip</v>
      </c>
      <c r="U12880" s="29" t="str">
        <f>HYPERLINK("https://ictv.global/taxonomy/taxondetails?taxnode_id=202309108","ictv.global=202309108")</f>
        <v>ictv.global=202309108</v>
      </c>
    </row>
    <row r="12881" spans="1:21">
      <c r="A12881">
        <v>12880</v>
      </c>
      <c r="B12881" s="30" t="s">
        <v>1226</v>
      </c>
      <c r="D12881" s="30" t="s">
        <v>2024</v>
      </c>
      <c r="F12881" s="30" t="s">
        <v>2074</v>
      </c>
      <c r="H12881" s="30" t="s">
        <v>2077</v>
      </c>
      <c r="J12881" s="30" t="s">
        <v>278</v>
      </c>
      <c r="L12881" s="30" t="s">
        <v>296</v>
      </c>
      <c r="M12881" s="30" t="s">
        <v>11019</v>
      </c>
      <c r="N12881" s="30" t="s">
        <v>960</v>
      </c>
      <c r="P12881" s="30" t="s">
        <v>17907</v>
      </c>
      <c r="Q12881" t="s">
        <v>621</v>
      </c>
      <c r="R12881" t="s">
        <v>920</v>
      </c>
      <c r="S12881">
        <v>39</v>
      </c>
      <c r="T12881" s="29" t="str">
        <f t="shared" ref="T12881:T12893" si="537">HYPERLINK("https://ictv.global/ictv/proposals/2023.003S.Picornaviridae_158sprenamed.zip","2023.003S.Picornaviridae_158sprenamed.zip")</f>
        <v>2023.003S.Picornaviridae_158sprenamed.zip</v>
      </c>
      <c r="U12881" s="29" t="str">
        <f>HYPERLINK("https://ictv.global/taxonomy/taxondetails?taxnode_id=202305604","ictv.global=202305604")</f>
        <v>ictv.global=202305604</v>
      </c>
    </row>
    <row r="12882" spans="1:21">
      <c r="A12882">
        <v>12881</v>
      </c>
      <c r="B12882" s="30" t="s">
        <v>1226</v>
      </c>
      <c r="D12882" s="30" t="s">
        <v>2024</v>
      </c>
      <c r="F12882" s="30" t="s">
        <v>2074</v>
      </c>
      <c r="H12882" s="30" t="s">
        <v>2077</v>
      </c>
      <c r="J12882" s="30" t="s">
        <v>278</v>
      </c>
      <c r="L12882" s="30" t="s">
        <v>296</v>
      </c>
      <c r="M12882" s="30" t="s">
        <v>11019</v>
      </c>
      <c r="N12882" s="30" t="s">
        <v>249</v>
      </c>
      <c r="P12882" s="30" t="s">
        <v>17908</v>
      </c>
      <c r="Q12882" t="s">
        <v>621</v>
      </c>
      <c r="R12882" t="s">
        <v>920</v>
      </c>
      <c r="S12882">
        <v>39</v>
      </c>
      <c r="T12882" s="29" t="str">
        <f t="shared" si="537"/>
        <v>2023.003S.Picornaviridae_158sprenamed.zip</v>
      </c>
      <c r="U12882" s="29" t="str">
        <f>HYPERLINK("https://ictv.global/taxonomy/taxondetails?taxnode_id=202302038","ictv.global=202302038")</f>
        <v>ictv.global=202302038</v>
      </c>
    </row>
    <row r="12883" spans="1:21">
      <c r="A12883">
        <v>12882</v>
      </c>
      <c r="B12883" s="30" t="s">
        <v>1226</v>
      </c>
      <c r="D12883" s="30" t="s">
        <v>2024</v>
      </c>
      <c r="F12883" s="30" t="s">
        <v>2074</v>
      </c>
      <c r="H12883" s="30" t="s">
        <v>2077</v>
      </c>
      <c r="J12883" s="30" t="s">
        <v>278</v>
      </c>
      <c r="L12883" s="30" t="s">
        <v>296</v>
      </c>
      <c r="M12883" s="30" t="s">
        <v>11019</v>
      </c>
      <c r="N12883" s="30" t="s">
        <v>249</v>
      </c>
      <c r="P12883" s="30" t="s">
        <v>17909</v>
      </c>
      <c r="Q12883" t="s">
        <v>621</v>
      </c>
      <c r="R12883" t="s">
        <v>920</v>
      </c>
      <c r="S12883">
        <v>39</v>
      </c>
      <c r="T12883" s="29" t="str">
        <f t="shared" si="537"/>
        <v>2023.003S.Picornaviridae_158sprenamed.zip</v>
      </c>
      <c r="U12883" s="29" t="str">
        <f>HYPERLINK("https://ictv.global/taxonomy/taxondetails?taxnode_id=202302039","ictv.global=202302039")</f>
        <v>ictv.global=202302039</v>
      </c>
    </row>
    <row r="12884" spans="1:21">
      <c r="A12884">
        <v>12883</v>
      </c>
      <c r="B12884" s="30" t="s">
        <v>1226</v>
      </c>
      <c r="D12884" s="30" t="s">
        <v>2024</v>
      </c>
      <c r="F12884" s="30" t="s">
        <v>2074</v>
      </c>
      <c r="H12884" s="30" t="s">
        <v>2077</v>
      </c>
      <c r="J12884" s="30" t="s">
        <v>278</v>
      </c>
      <c r="L12884" s="30" t="s">
        <v>296</v>
      </c>
      <c r="M12884" s="30" t="s">
        <v>11019</v>
      </c>
      <c r="N12884" s="30" t="s">
        <v>249</v>
      </c>
      <c r="P12884" s="30" t="s">
        <v>17910</v>
      </c>
      <c r="Q12884" t="s">
        <v>621</v>
      </c>
      <c r="R12884" t="s">
        <v>920</v>
      </c>
      <c r="S12884">
        <v>39</v>
      </c>
      <c r="T12884" s="29" t="str">
        <f t="shared" si="537"/>
        <v>2023.003S.Picornaviridae_158sprenamed.zip</v>
      </c>
      <c r="U12884" s="29" t="str">
        <f>HYPERLINK("https://ictv.global/taxonomy/taxondetails?taxnode_id=202302040","ictv.global=202302040")</f>
        <v>ictv.global=202302040</v>
      </c>
    </row>
    <row r="12885" spans="1:21">
      <c r="A12885">
        <v>12884</v>
      </c>
      <c r="B12885" s="30" t="s">
        <v>1226</v>
      </c>
      <c r="D12885" s="30" t="s">
        <v>2024</v>
      </c>
      <c r="F12885" s="30" t="s">
        <v>2074</v>
      </c>
      <c r="H12885" s="30" t="s">
        <v>2077</v>
      </c>
      <c r="J12885" s="30" t="s">
        <v>278</v>
      </c>
      <c r="L12885" s="30" t="s">
        <v>296</v>
      </c>
      <c r="M12885" s="30" t="s">
        <v>11019</v>
      </c>
      <c r="N12885" s="30" t="s">
        <v>249</v>
      </c>
      <c r="P12885" s="30" t="s">
        <v>17911</v>
      </c>
      <c r="Q12885" t="s">
        <v>621</v>
      </c>
      <c r="R12885" t="s">
        <v>920</v>
      </c>
      <c r="S12885">
        <v>39</v>
      </c>
      <c r="T12885" s="29" t="str">
        <f t="shared" si="537"/>
        <v>2023.003S.Picornaviridae_158sprenamed.zip</v>
      </c>
      <c r="U12885" s="29" t="str">
        <f>HYPERLINK("https://ictv.global/taxonomy/taxondetails?taxnode_id=202302041","ictv.global=202302041")</f>
        <v>ictv.global=202302041</v>
      </c>
    </row>
    <row r="12886" spans="1:21">
      <c r="A12886">
        <v>12885</v>
      </c>
      <c r="B12886" s="30" t="s">
        <v>1226</v>
      </c>
      <c r="D12886" s="30" t="s">
        <v>2024</v>
      </c>
      <c r="F12886" s="30" t="s">
        <v>2074</v>
      </c>
      <c r="H12886" s="30" t="s">
        <v>2077</v>
      </c>
      <c r="J12886" s="30" t="s">
        <v>278</v>
      </c>
      <c r="L12886" s="30" t="s">
        <v>296</v>
      </c>
      <c r="M12886" s="30" t="s">
        <v>11019</v>
      </c>
      <c r="N12886" s="30" t="s">
        <v>249</v>
      </c>
      <c r="P12886" s="30" t="s">
        <v>17912</v>
      </c>
      <c r="Q12886" t="s">
        <v>621</v>
      </c>
      <c r="R12886" t="s">
        <v>920</v>
      </c>
      <c r="S12886">
        <v>39</v>
      </c>
      <c r="T12886" s="29" t="str">
        <f t="shared" si="537"/>
        <v>2023.003S.Picornaviridae_158sprenamed.zip</v>
      </c>
      <c r="U12886" s="29" t="str">
        <f>HYPERLINK("https://ictv.global/taxonomy/taxondetails?taxnode_id=202307418","ictv.global=202307418")</f>
        <v>ictv.global=202307418</v>
      </c>
    </row>
    <row r="12887" spans="1:21">
      <c r="A12887">
        <v>12886</v>
      </c>
      <c r="B12887" s="30" t="s">
        <v>1226</v>
      </c>
      <c r="D12887" s="30" t="s">
        <v>2024</v>
      </c>
      <c r="F12887" s="30" t="s">
        <v>2074</v>
      </c>
      <c r="H12887" s="30" t="s">
        <v>2077</v>
      </c>
      <c r="J12887" s="30" t="s">
        <v>278</v>
      </c>
      <c r="L12887" s="30" t="s">
        <v>296</v>
      </c>
      <c r="M12887" s="30" t="s">
        <v>11019</v>
      </c>
      <c r="N12887" s="30" t="s">
        <v>249</v>
      </c>
      <c r="P12887" s="30" t="s">
        <v>17913</v>
      </c>
      <c r="Q12887" t="s">
        <v>621</v>
      </c>
      <c r="R12887" t="s">
        <v>920</v>
      </c>
      <c r="S12887">
        <v>39</v>
      </c>
      <c r="T12887" s="29" t="str">
        <f t="shared" si="537"/>
        <v>2023.003S.Picornaviridae_158sprenamed.zip</v>
      </c>
      <c r="U12887" s="29" t="str">
        <f>HYPERLINK("https://ictv.global/taxonomy/taxondetails?taxnode_id=202307419","ictv.global=202307419")</f>
        <v>ictv.global=202307419</v>
      </c>
    </row>
    <row r="12888" spans="1:21">
      <c r="A12888">
        <v>12887</v>
      </c>
      <c r="B12888" s="30" t="s">
        <v>1226</v>
      </c>
      <c r="D12888" s="30" t="s">
        <v>2024</v>
      </c>
      <c r="F12888" s="30" t="s">
        <v>2074</v>
      </c>
      <c r="H12888" s="30" t="s">
        <v>2077</v>
      </c>
      <c r="J12888" s="30" t="s">
        <v>278</v>
      </c>
      <c r="L12888" s="30" t="s">
        <v>296</v>
      </c>
      <c r="M12888" s="30" t="s">
        <v>11019</v>
      </c>
      <c r="N12888" s="30" t="s">
        <v>544</v>
      </c>
      <c r="P12888" s="30" t="s">
        <v>17914</v>
      </c>
      <c r="Q12888" t="s">
        <v>621</v>
      </c>
      <c r="R12888" t="s">
        <v>920</v>
      </c>
      <c r="S12888">
        <v>39</v>
      </c>
      <c r="T12888" s="29" t="str">
        <f t="shared" si="537"/>
        <v>2023.003S.Picornaviridae_158sprenamed.zip</v>
      </c>
      <c r="U12888" s="29" t="str">
        <f>HYPERLINK("https://ictv.global/taxonomy/taxondetails?taxnode_id=202302043","ictv.global=202302043")</f>
        <v>ictv.global=202302043</v>
      </c>
    </row>
    <row r="12889" spans="1:21">
      <c r="A12889">
        <v>12888</v>
      </c>
      <c r="B12889" s="30" t="s">
        <v>1226</v>
      </c>
      <c r="D12889" s="30" t="s">
        <v>2024</v>
      </c>
      <c r="F12889" s="30" t="s">
        <v>2074</v>
      </c>
      <c r="H12889" s="30" t="s">
        <v>2077</v>
      </c>
      <c r="J12889" s="30" t="s">
        <v>278</v>
      </c>
      <c r="L12889" s="30" t="s">
        <v>296</v>
      </c>
      <c r="M12889" s="30" t="s">
        <v>11019</v>
      </c>
      <c r="N12889" s="30" t="s">
        <v>723</v>
      </c>
      <c r="P12889" s="30" t="s">
        <v>17915</v>
      </c>
      <c r="Q12889" t="s">
        <v>621</v>
      </c>
      <c r="R12889" t="s">
        <v>920</v>
      </c>
      <c r="S12889">
        <v>39</v>
      </c>
      <c r="T12889" s="29" t="str">
        <f t="shared" si="537"/>
        <v>2023.003S.Picornaviridae_158sprenamed.zip</v>
      </c>
      <c r="U12889" s="29" t="str">
        <f>HYPERLINK("https://ictv.global/taxonomy/taxondetails?taxnode_id=202302047","ictv.global=202302047")</f>
        <v>ictv.global=202302047</v>
      </c>
    </row>
    <row r="12890" spans="1:21">
      <c r="A12890">
        <v>12889</v>
      </c>
      <c r="B12890" s="30" t="s">
        <v>1226</v>
      </c>
      <c r="D12890" s="30" t="s">
        <v>2024</v>
      </c>
      <c r="F12890" s="30" t="s">
        <v>2074</v>
      </c>
      <c r="H12890" s="30" t="s">
        <v>2077</v>
      </c>
      <c r="J12890" s="30" t="s">
        <v>278</v>
      </c>
      <c r="L12890" s="30" t="s">
        <v>296</v>
      </c>
      <c r="M12890" s="30" t="s">
        <v>11019</v>
      </c>
      <c r="N12890" s="30" t="s">
        <v>723</v>
      </c>
      <c r="P12890" s="30" t="s">
        <v>17916</v>
      </c>
      <c r="Q12890" t="s">
        <v>621</v>
      </c>
      <c r="R12890" t="s">
        <v>920</v>
      </c>
      <c r="S12890">
        <v>39</v>
      </c>
      <c r="T12890" s="29" t="str">
        <f t="shared" si="537"/>
        <v>2023.003S.Picornaviridae_158sprenamed.zip</v>
      </c>
      <c r="U12890" s="29" t="str">
        <f>HYPERLINK("https://ictv.global/taxonomy/taxondetails?taxnode_id=202307428","ictv.global=202307428")</f>
        <v>ictv.global=202307428</v>
      </c>
    </row>
    <row r="12891" spans="1:21">
      <c r="A12891">
        <v>12890</v>
      </c>
      <c r="B12891" s="30" t="s">
        <v>1226</v>
      </c>
      <c r="D12891" s="30" t="s">
        <v>2024</v>
      </c>
      <c r="F12891" s="30" t="s">
        <v>2074</v>
      </c>
      <c r="H12891" s="30" t="s">
        <v>2077</v>
      </c>
      <c r="J12891" s="30" t="s">
        <v>278</v>
      </c>
      <c r="L12891" s="30" t="s">
        <v>296</v>
      </c>
      <c r="M12891" s="30" t="s">
        <v>11019</v>
      </c>
      <c r="N12891" s="30" t="s">
        <v>961</v>
      </c>
      <c r="P12891" s="30" t="s">
        <v>17917</v>
      </c>
      <c r="Q12891" t="s">
        <v>621</v>
      </c>
      <c r="R12891" t="s">
        <v>920</v>
      </c>
      <c r="S12891">
        <v>39</v>
      </c>
      <c r="T12891" s="29" t="str">
        <f t="shared" si="537"/>
        <v>2023.003S.Picornaviridae_158sprenamed.zip</v>
      </c>
      <c r="U12891" s="29" t="str">
        <f>HYPERLINK("https://ictv.global/taxonomy/taxondetails?taxnode_id=202305606","ictv.global=202305606")</f>
        <v>ictv.global=202305606</v>
      </c>
    </row>
    <row r="12892" spans="1:21">
      <c r="A12892">
        <v>12891</v>
      </c>
      <c r="B12892" s="30" t="s">
        <v>1226</v>
      </c>
      <c r="D12892" s="30" t="s">
        <v>2024</v>
      </c>
      <c r="F12892" s="30" t="s">
        <v>2074</v>
      </c>
      <c r="H12892" s="30" t="s">
        <v>2077</v>
      </c>
      <c r="J12892" s="30" t="s">
        <v>278</v>
      </c>
      <c r="L12892" s="30" t="s">
        <v>296</v>
      </c>
      <c r="N12892" s="30" t="s">
        <v>893</v>
      </c>
      <c r="P12892" s="30" t="s">
        <v>17918</v>
      </c>
      <c r="Q12892" t="s">
        <v>621</v>
      </c>
      <c r="R12892" t="s">
        <v>920</v>
      </c>
      <c r="S12892">
        <v>39</v>
      </c>
      <c r="T12892" s="29" t="str">
        <f t="shared" si="537"/>
        <v>2023.003S.Picornaviridae_158sprenamed.zip</v>
      </c>
      <c r="U12892" s="29" t="str">
        <f>HYPERLINK("https://ictv.global/taxonomy/taxondetails?taxnode_id=202301956","ictv.global=202301956")</f>
        <v>ictv.global=202301956</v>
      </c>
    </row>
    <row r="12893" spans="1:21">
      <c r="A12893">
        <v>12892</v>
      </c>
      <c r="B12893" s="30" t="s">
        <v>1226</v>
      </c>
      <c r="D12893" s="30" t="s">
        <v>2024</v>
      </c>
      <c r="F12893" s="30" t="s">
        <v>2074</v>
      </c>
      <c r="H12893" s="30" t="s">
        <v>2077</v>
      </c>
      <c r="J12893" s="30" t="s">
        <v>278</v>
      </c>
      <c r="L12893" s="30" t="s">
        <v>296</v>
      </c>
      <c r="N12893" s="30" t="s">
        <v>894</v>
      </c>
      <c r="P12893" s="30" t="s">
        <v>17919</v>
      </c>
      <c r="Q12893" t="s">
        <v>621</v>
      </c>
      <c r="R12893" t="s">
        <v>920</v>
      </c>
      <c r="S12893">
        <v>39</v>
      </c>
      <c r="T12893" s="29" t="str">
        <f t="shared" si="537"/>
        <v>2023.003S.Picornaviridae_158sprenamed.zip</v>
      </c>
      <c r="U12893" s="29" t="str">
        <f>HYPERLINK("https://ictv.global/taxonomy/taxondetails?taxnode_id=202302001","ictv.global=202302001")</f>
        <v>ictv.global=202302001</v>
      </c>
    </row>
    <row r="12894" spans="1:21">
      <c r="A12894">
        <v>12893</v>
      </c>
      <c r="B12894" s="30" t="s">
        <v>1226</v>
      </c>
      <c r="D12894" s="30" t="s">
        <v>2024</v>
      </c>
      <c r="F12894" s="30" t="s">
        <v>2074</v>
      </c>
      <c r="H12894" s="30" t="s">
        <v>2077</v>
      </c>
      <c r="J12894" s="30" t="s">
        <v>278</v>
      </c>
      <c r="L12894" s="30" t="s">
        <v>962</v>
      </c>
      <c r="N12894" s="30" t="s">
        <v>963</v>
      </c>
      <c r="P12894" s="30" t="s">
        <v>17920</v>
      </c>
      <c r="Q12894" t="s">
        <v>621</v>
      </c>
      <c r="R12894" t="s">
        <v>920</v>
      </c>
      <c r="S12894">
        <v>39</v>
      </c>
      <c r="T12894" s="29" t="str">
        <f t="shared" ref="T12894:T12907" si="538">HYPERLINK("https://ictv.global/ictv/proposals/2023.008S.Polycipiviridae_14sprenamed.zip","2023.008S.Polycipiviridae_14sprenamed.zip")</f>
        <v>2023.008S.Polycipiviridae_14sprenamed.zip</v>
      </c>
      <c r="U12894" s="29" t="str">
        <f>HYPERLINK("https://ictv.global/taxonomy/taxondetails?taxnode_id=202305608","ictv.global=202305608")</f>
        <v>ictv.global=202305608</v>
      </c>
    </row>
    <row r="12895" spans="1:21">
      <c r="A12895">
        <v>12894</v>
      </c>
      <c r="B12895" s="30" t="s">
        <v>1226</v>
      </c>
      <c r="D12895" s="30" t="s">
        <v>2024</v>
      </c>
      <c r="F12895" s="30" t="s">
        <v>2074</v>
      </c>
      <c r="H12895" s="30" t="s">
        <v>2077</v>
      </c>
      <c r="J12895" s="30" t="s">
        <v>278</v>
      </c>
      <c r="L12895" s="30" t="s">
        <v>962</v>
      </c>
      <c r="N12895" s="30" t="s">
        <v>963</v>
      </c>
      <c r="P12895" s="30" t="s">
        <v>17921</v>
      </c>
      <c r="Q12895" t="s">
        <v>621</v>
      </c>
      <c r="R12895" t="s">
        <v>920</v>
      </c>
      <c r="S12895">
        <v>39</v>
      </c>
      <c r="T12895" s="29" t="str">
        <f t="shared" si="538"/>
        <v>2023.008S.Polycipiviridae_14sprenamed.zip</v>
      </c>
      <c r="U12895" s="29" t="str">
        <f>HYPERLINK("https://ictv.global/taxonomy/taxondetails?taxnode_id=202305609","ictv.global=202305609")</f>
        <v>ictv.global=202305609</v>
      </c>
    </row>
    <row r="12896" spans="1:21">
      <c r="A12896">
        <v>12895</v>
      </c>
      <c r="B12896" s="30" t="s">
        <v>1226</v>
      </c>
      <c r="D12896" s="30" t="s">
        <v>2024</v>
      </c>
      <c r="F12896" s="30" t="s">
        <v>2074</v>
      </c>
      <c r="H12896" s="30" t="s">
        <v>2077</v>
      </c>
      <c r="J12896" s="30" t="s">
        <v>278</v>
      </c>
      <c r="L12896" s="30" t="s">
        <v>962</v>
      </c>
      <c r="N12896" s="30" t="s">
        <v>964</v>
      </c>
      <c r="P12896" s="30" t="s">
        <v>17922</v>
      </c>
      <c r="Q12896" t="s">
        <v>621</v>
      </c>
      <c r="R12896" t="s">
        <v>920</v>
      </c>
      <c r="S12896">
        <v>39</v>
      </c>
      <c r="T12896" s="29" t="str">
        <f t="shared" si="538"/>
        <v>2023.008S.Polycipiviridae_14sprenamed.zip</v>
      </c>
      <c r="U12896" s="29" t="str">
        <f>HYPERLINK("https://ictv.global/taxonomy/taxondetails?taxnode_id=202305611","ictv.global=202305611")</f>
        <v>ictv.global=202305611</v>
      </c>
    </row>
    <row r="12897" spans="1:21">
      <c r="A12897">
        <v>12896</v>
      </c>
      <c r="B12897" s="30" t="s">
        <v>1226</v>
      </c>
      <c r="D12897" s="30" t="s">
        <v>2024</v>
      </c>
      <c r="F12897" s="30" t="s">
        <v>2074</v>
      </c>
      <c r="H12897" s="30" t="s">
        <v>2077</v>
      </c>
      <c r="J12897" s="30" t="s">
        <v>278</v>
      </c>
      <c r="L12897" s="30" t="s">
        <v>962</v>
      </c>
      <c r="N12897" s="30" t="s">
        <v>965</v>
      </c>
      <c r="P12897" s="30" t="s">
        <v>17923</v>
      </c>
      <c r="Q12897" t="s">
        <v>621</v>
      </c>
      <c r="R12897" t="s">
        <v>920</v>
      </c>
      <c r="S12897">
        <v>39</v>
      </c>
      <c r="T12897" s="29" t="str">
        <f t="shared" si="538"/>
        <v>2023.008S.Polycipiviridae_14sprenamed.zip</v>
      </c>
      <c r="U12897" s="29" t="str">
        <f>HYPERLINK("https://ictv.global/taxonomy/taxondetails?taxnode_id=202305621","ictv.global=202305621")</f>
        <v>ictv.global=202305621</v>
      </c>
    </row>
    <row r="12898" spans="1:21">
      <c r="A12898">
        <v>12897</v>
      </c>
      <c r="B12898" s="30" t="s">
        <v>1226</v>
      </c>
      <c r="D12898" s="30" t="s">
        <v>2024</v>
      </c>
      <c r="F12898" s="30" t="s">
        <v>2074</v>
      </c>
      <c r="H12898" s="30" t="s">
        <v>2077</v>
      </c>
      <c r="J12898" s="30" t="s">
        <v>278</v>
      </c>
      <c r="L12898" s="30" t="s">
        <v>962</v>
      </c>
      <c r="N12898" s="30" t="s">
        <v>965</v>
      </c>
      <c r="P12898" s="30" t="s">
        <v>17924</v>
      </c>
      <c r="Q12898" t="s">
        <v>621</v>
      </c>
      <c r="R12898" t="s">
        <v>920</v>
      </c>
      <c r="S12898">
        <v>39</v>
      </c>
      <c r="T12898" s="29" t="str">
        <f t="shared" si="538"/>
        <v>2023.008S.Polycipiviridae_14sprenamed.zip</v>
      </c>
      <c r="U12898" s="29" t="str">
        <f>HYPERLINK("https://ictv.global/taxonomy/taxondetails?taxnode_id=202305615","ictv.global=202305615")</f>
        <v>ictv.global=202305615</v>
      </c>
    </row>
    <row r="12899" spans="1:21">
      <c r="A12899">
        <v>12898</v>
      </c>
      <c r="B12899" s="30" t="s">
        <v>1226</v>
      </c>
      <c r="D12899" s="30" t="s">
        <v>2024</v>
      </c>
      <c r="F12899" s="30" t="s">
        <v>2074</v>
      </c>
      <c r="H12899" s="30" t="s">
        <v>2077</v>
      </c>
      <c r="J12899" s="30" t="s">
        <v>278</v>
      </c>
      <c r="L12899" s="30" t="s">
        <v>962</v>
      </c>
      <c r="N12899" s="30" t="s">
        <v>965</v>
      </c>
      <c r="P12899" s="30" t="s">
        <v>17925</v>
      </c>
      <c r="Q12899" t="s">
        <v>621</v>
      </c>
      <c r="R12899" t="s">
        <v>920</v>
      </c>
      <c r="S12899">
        <v>39</v>
      </c>
      <c r="T12899" s="29" t="str">
        <f t="shared" si="538"/>
        <v>2023.008S.Polycipiviridae_14sprenamed.zip</v>
      </c>
      <c r="U12899" s="29" t="str">
        <f>HYPERLINK("https://ictv.global/taxonomy/taxondetails?taxnode_id=202305619","ictv.global=202305619")</f>
        <v>ictv.global=202305619</v>
      </c>
    </row>
    <row r="12900" spans="1:21">
      <c r="A12900">
        <v>12899</v>
      </c>
      <c r="B12900" s="30" t="s">
        <v>1226</v>
      </c>
      <c r="D12900" s="30" t="s">
        <v>2024</v>
      </c>
      <c r="F12900" s="30" t="s">
        <v>2074</v>
      </c>
      <c r="H12900" s="30" t="s">
        <v>2077</v>
      </c>
      <c r="J12900" s="30" t="s">
        <v>278</v>
      </c>
      <c r="L12900" s="30" t="s">
        <v>962</v>
      </c>
      <c r="N12900" s="30" t="s">
        <v>965</v>
      </c>
      <c r="P12900" s="30" t="s">
        <v>17926</v>
      </c>
      <c r="Q12900" t="s">
        <v>621</v>
      </c>
      <c r="R12900" t="s">
        <v>920</v>
      </c>
      <c r="S12900">
        <v>39</v>
      </c>
      <c r="T12900" s="29" t="str">
        <f t="shared" si="538"/>
        <v>2023.008S.Polycipiviridae_14sprenamed.zip</v>
      </c>
      <c r="U12900" s="29" t="str">
        <f>HYPERLINK("https://ictv.global/taxonomy/taxondetails?taxnode_id=202305623","ictv.global=202305623")</f>
        <v>ictv.global=202305623</v>
      </c>
    </row>
    <row r="12901" spans="1:21">
      <c r="A12901">
        <v>12900</v>
      </c>
      <c r="B12901" s="30" t="s">
        <v>1226</v>
      </c>
      <c r="D12901" s="30" t="s">
        <v>2024</v>
      </c>
      <c r="F12901" s="30" t="s">
        <v>2074</v>
      </c>
      <c r="H12901" s="30" t="s">
        <v>2077</v>
      </c>
      <c r="J12901" s="30" t="s">
        <v>278</v>
      </c>
      <c r="L12901" s="30" t="s">
        <v>962</v>
      </c>
      <c r="N12901" s="30" t="s">
        <v>965</v>
      </c>
      <c r="P12901" s="30" t="s">
        <v>17927</v>
      </c>
      <c r="Q12901" t="s">
        <v>621</v>
      </c>
      <c r="R12901" t="s">
        <v>920</v>
      </c>
      <c r="S12901">
        <v>39</v>
      </c>
      <c r="T12901" s="29" t="str">
        <f t="shared" si="538"/>
        <v>2023.008S.Polycipiviridae_14sprenamed.zip</v>
      </c>
      <c r="U12901" s="29" t="str">
        <f>HYPERLINK("https://ictv.global/taxonomy/taxondetails?taxnode_id=202305613","ictv.global=202305613")</f>
        <v>ictv.global=202305613</v>
      </c>
    </row>
    <row r="12902" spans="1:21">
      <c r="A12902">
        <v>12901</v>
      </c>
      <c r="B12902" s="30" t="s">
        <v>1226</v>
      </c>
      <c r="D12902" s="30" t="s">
        <v>2024</v>
      </c>
      <c r="F12902" s="30" t="s">
        <v>2074</v>
      </c>
      <c r="H12902" s="30" t="s">
        <v>2077</v>
      </c>
      <c r="J12902" s="30" t="s">
        <v>278</v>
      </c>
      <c r="L12902" s="30" t="s">
        <v>962</v>
      </c>
      <c r="N12902" s="30" t="s">
        <v>965</v>
      </c>
      <c r="P12902" s="30" t="s">
        <v>17928</v>
      </c>
      <c r="Q12902" t="s">
        <v>621</v>
      </c>
      <c r="R12902" t="s">
        <v>920</v>
      </c>
      <c r="S12902">
        <v>39</v>
      </c>
      <c r="T12902" s="29" t="str">
        <f t="shared" si="538"/>
        <v>2023.008S.Polycipiviridae_14sprenamed.zip</v>
      </c>
      <c r="U12902" s="29" t="str">
        <f>HYPERLINK("https://ictv.global/taxonomy/taxondetails?taxnode_id=202305616","ictv.global=202305616")</f>
        <v>ictv.global=202305616</v>
      </c>
    </row>
    <row r="12903" spans="1:21">
      <c r="A12903">
        <v>12902</v>
      </c>
      <c r="B12903" s="30" t="s">
        <v>1226</v>
      </c>
      <c r="D12903" s="30" t="s">
        <v>2024</v>
      </c>
      <c r="F12903" s="30" t="s">
        <v>2074</v>
      </c>
      <c r="H12903" s="30" t="s">
        <v>2077</v>
      </c>
      <c r="J12903" s="30" t="s">
        <v>278</v>
      </c>
      <c r="L12903" s="30" t="s">
        <v>962</v>
      </c>
      <c r="N12903" s="30" t="s">
        <v>965</v>
      </c>
      <c r="P12903" s="30" t="s">
        <v>17929</v>
      </c>
      <c r="Q12903" t="s">
        <v>621</v>
      </c>
      <c r="R12903" t="s">
        <v>920</v>
      </c>
      <c r="S12903">
        <v>39</v>
      </c>
      <c r="T12903" s="29" t="str">
        <f t="shared" si="538"/>
        <v>2023.008S.Polycipiviridae_14sprenamed.zip</v>
      </c>
      <c r="U12903" s="29" t="str">
        <f>HYPERLINK("https://ictv.global/taxonomy/taxondetails?taxnode_id=202305614","ictv.global=202305614")</f>
        <v>ictv.global=202305614</v>
      </c>
    </row>
    <row r="12904" spans="1:21">
      <c r="A12904">
        <v>12903</v>
      </c>
      <c r="B12904" s="30" t="s">
        <v>1226</v>
      </c>
      <c r="D12904" s="30" t="s">
        <v>2024</v>
      </c>
      <c r="F12904" s="30" t="s">
        <v>2074</v>
      </c>
      <c r="H12904" s="30" t="s">
        <v>2077</v>
      </c>
      <c r="J12904" s="30" t="s">
        <v>278</v>
      </c>
      <c r="L12904" s="30" t="s">
        <v>962</v>
      </c>
      <c r="N12904" s="30" t="s">
        <v>965</v>
      </c>
      <c r="P12904" s="30" t="s">
        <v>17930</v>
      </c>
      <c r="Q12904" t="s">
        <v>621</v>
      </c>
      <c r="R12904" t="s">
        <v>920</v>
      </c>
      <c r="S12904">
        <v>39</v>
      </c>
      <c r="T12904" s="29" t="str">
        <f t="shared" si="538"/>
        <v>2023.008S.Polycipiviridae_14sprenamed.zip</v>
      </c>
      <c r="U12904" s="29" t="str">
        <f>HYPERLINK("https://ictv.global/taxonomy/taxondetails?taxnode_id=202305617","ictv.global=202305617")</f>
        <v>ictv.global=202305617</v>
      </c>
    </row>
    <row r="12905" spans="1:21">
      <c r="A12905">
        <v>12904</v>
      </c>
      <c r="B12905" s="30" t="s">
        <v>1226</v>
      </c>
      <c r="D12905" s="30" t="s">
        <v>2024</v>
      </c>
      <c r="F12905" s="30" t="s">
        <v>2074</v>
      </c>
      <c r="H12905" s="30" t="s">
        <v>2077</v>
      </c>
      <c r="J12905" s="30" t="s">
        <v>278</v>
      </c>
      <c r="L12905" s="30" t="s">
        <v>962</v>
      </c>
      <c r="N12905" s="30" t="s">
        <v>965</v>
      </c>
      <c r="P12905" s="30" t="s">
        <v>17931</v>
      </c>
      <c r="Q12905" t="s">
        <v>621</v>
      </c>
      <c r="R12905" t="s">
        <v>920</v>
      </c>
      <c r="S12905">
        <v>39</v>
      </c>
      <c r="T12905" s="29" t="str">
        <f t="shared" si="538"/>
        <v>2023.008S.Polycipiviridae_14sprenamed.zip</v>
      </c>
      <c r="U12905" s="29" t="str">
        <f>HYPERLINK("https://ictv.global/taxonomy/taxondetails?taxnode_id=202305618","ictv.global=202305618")</f>
        <v>ictv.global=202305618</v>
      </c>
    </row>
    <row r="12906" spans="1:21">
      <c r="A12906">
        <v>12905</v>
      </c>
      <c r="B12906" s="30" t="s">
        <v>1226</v>
      </c>
      <c r="D12906" s="30" t="s">
        <v>2024</v>
      </c>
      <c r="F12906" s="30" t="s">
        <v>2074</v>
      </c>
      <c r="H12906" s="30" t="s">
        <v>2077</v>
      </c>
      <c r="J12906" s="30" t="s">
        <v>278</v>
      </c>
      <c r="L12906" s="30" t="s">
        <v>962</v>
      </c>
      <c r="N12906" s="30" t="s">
        <v>965</v>
      </c>
      <c r="P12906" s="30" t="s">
        <v>17932</v>
      </c>
      <c r="Q12906" t="s">
        <v>621</v>
      </c>
      <c r="R12906" t="s">
        <v>920</v>
      </c>
      <c r="S12906">
        <v>39</v>
      </c>
      <c r="T12906" s="29" t="str">
        <f t="shared" si="538"/>
        <v>2023.008S.Polycipiviridae_14sprenamed.zip</v>
      </c>
      <c r="U12906" s="29" t="str">
        <f>HYPERLINK("https://ictv.global/taxonomy/taxondetails?taxnode_id=202305620","ictv.global=202305620")</f>
        <v>ictv.global=202305620</v>
      </c>
    </row>
    <row r="12907" spans="1:21">
      <c r="A12907">
        <v>12906</v>
      </c>
      <c r="B12907" s="30" t="s">
        <v>1226</v>
      </c>
      <c r="D12907" s="30" t="s">
        <v>2024</v>
      </c>
      <c r="F12907" s="30" t="s">
        <v>2074</v>
      </c>
      <c r="H12907" s="30" t="s">
        <v>2077</v>
      </c>
      <c r="J12907" s="30" t="s">
        <v>278</v>
      </c>
      <c r="L12907" s="30" t="s">
        <v>962</v>
      </c>
      <c r="N12907" s="30" t="s">
        <v>965</v>
      </c>
      <c r="P12907" s="30" t="s">
        <v>17933</v>
      </c>
      <c r="Q12907" t="s">
        <v>621</v>
      </c>
      <c r="R12907" t="s">
        <v>920</v>
      </c>
      <c r="S12907">
        <v>39</v>
      </c>
      <c r="T12907" s="29" t="str">
        <f t="shared" si="538"/>
        <v>2023.008S.Polycipiviridae_14sprenamed.zip</v>
      </c>
      <c r="U12907" s="29" t="str">
        <f>HYPERLINK("https://ictv.global/taxonomy/taxondetails?taxnode_id=202305622","ictv.global=202305622")</f>
        <v>ictv.global=202305622</v>
      </c>
    </row>
    <row r="12908" spans="1:21">
      <c r="A12908">
        <v>12907</v>
      </c>
      <c r="B12908" s="30" t="s">
        <v>1226</v>
      </c>
      <c r="D12908" s="30" t="s">
        <v>2024</v>
      </c>
      <c r="F12908" s="30" t="s">
        <v>2074</v>
      </c>
      <c r="H12908" s="30" t="s">
        <v>2077</v>
      </c>
      <c r="J12908" s="30" t="s">
        <v>278</v>
      </c>
      <c r="L12908" s="30" t="s">
        <v>468</v>
      </c>
      <c r="M12908" s="30" t="s">
        <v>448</v>
      </c>
      <c r="N12908" s="30" t="s">
        <v>445</v>
      </c>
      <c r="P12908" s="30" t="s">
        <v>11020</v>
      </c>
      <c r="Q12908" t="s">
        <v>621</v>
      </c>
      <c r="R12908" t="s">
        <v>920</v>
      </c>
      <c r="S12908">
        <v>38</v>
      </c>
      <c r="T12908" s="29" t="str">
        <f t="shared" ref="T12908:T12916" si="539">HYPERLINK("https://ictv.global/ictv/proposals/2022.005P.Secoviridae_rename.zip","2022.005P.Secoviridae_rename.zip")</f>
        <v>2022.005P.Secoviridae_rename.zip</v>
      </c>
      <c r="U12908" s="29" t="str">
        <f>HYPERLINK("https://ictv.global/taxonomy/taxondetails?taxnode_id=202302073","ictv.global=202302073")</f>
        <v>ictv.global=202302073</v>
      </c>
    </row>
    <row r="12909" spans="1:21">
      <c r="A12909">
        <v>12908</v>
      </c>
      <c r="B12909" s="30" t="s">
        <v>1226</v>
      </c>
      <c r="D12909" s="30" t="s">
        <v>2024</v>
      </c>
      <c r="F12909" s="30" t="s">
        <v>2074</v>
      </c>
      <c r="H12909" s="30" t="s">
        <v>2077</v>
      </c>
      <c r="J12909" s="30" t="s">
        <v>278</v>
      </c>
      <c r="L12909" s="30" t="s">
        <v>468</v>
      </c>
      <c r="M12909" s="30" t="s">
        <v>448</v>
      </c>
      <c r="N12909" s="30" t="s">
        <v>445</v>
      </c>
      <c r="P12909" s="30" t="s">
        <v>11021</v>
      </c>
      <c r="Q12909" t="s">
        <v>621</v>
      </c>
      <c r="R12909" t="s">
        <v>920</v>
      </c>
      <c r="S12909">
        <v>38</v>
      </c>
      <c r="T12909" s="29" t="str">
        <f t="shared" si="539"/>
        <v>2022.005P.Secoviridae_rename.zip</v>
      </c>
      <c r="U12909" s="29" t="str">
        <f>HYPERLINK("https://ictv.global/taxonomy/taxondetails?taxnode_id=202313819","ictv.global=202313819")</f>
        <v>ictv.global=202313819</v>
      </c>
    </row>
    <row r="12910" spans="1:21">
      <c r="A12910">
        <v>12909</v>
      </c>
      <c r="B12910" s="30" t="s">
        <v>1226</v>
      </c>
      <c r="D12910" s="30" t="s">
        <v>2024</v>
      </c>
      <c r="F12910" s="30" t="s">
        <v>2074</v>
      </c>
      <c r="H12910" s="30" t="s">
        <v>2077</v>
      </c>
      <c r="J12910" s="30" t="s">
        <v>278</v>
      </c>
      <c r="L12910" s="30" t="s">
        <v>468</v>
      </c>
      <c r="M12910" s="30" t="s">
        <v>448</v>
      </c>
      <c r="N12910" s="30" t="s">
        <v>445</v>
      </c>
      <c r="P12910" s="30" t="s">
        <v>11022</v>
      </c>
      <c r="Q12910" t="s">
        <v>621</v>
      </c>
      <c r="R12910" t="s">
        <v>920</v>
      </c>
      <c r="S12910">
        <v>38</v>
      </c>
      <c r="T12910" s="29" t="str">
        <f t="shared" si="539"/>
        <v>2022.005P.Secoviridae_rename.zip</v>
      </c>
      <c r="U12910" s="29" t="str">
        <f>HYPERLINK("https://ictv.global/taxonomy/taxondetails?taxnode_id=202313821","ictv.global=202313821")</f>
        <v>ictv.global=202313821</v>
      </c>
    </row>
    <row r="12911" spans="1:21">
      <c r="A12911">
        <v>12910</v>
      </c>
      <c r="B12911" s="30" t="s">
        <v>1226</v>
      </c>
      <c r="D12911" s="30" t="s">
        <v>2024</v>
      </c>
      <c r="F12911" s="30" t="s">
        <v>2074</v>
      </c>
      <c r="H12911" s="30" t="s">
        <v>2077</v>
      </c>
      <c r="J12911" s="30" t="s">
        <v>278</v>
      </c>
      <c r="L12911" s="30" t="s">
        <v>468</v>
      </c>
      <c r="M12911" s="30" t="s">
        <v>448</v>
      </c>
      <c r="N12911" s="30" t="s">
        <v>445</v>
      </c>
      <c r="P12911" s="30" t="s">
        <v>11023</v>
      </c>
      <c r="Q12911" t="s">
        <v>621</v>
      </c>
      <c r="R12911" t="s">
        <v>920</v>
      </c>
      <c r="S12911">
        <v>38</v>
      </c>
      <c r="T12911" s="29" t="str">
        <f t="shared" si="539"/>
        <v>2022.005P.Secoviridae_rename.zip</v>
      </c>
      <c r="U12911" s="29" t="str">
        <f>HYPERLINK("https://ictv.global/taxonomy/taxondetails?taxnode_id=202302086","ictv.global=202302086")</f>
        <v>ictv.global=202302086</v>
      </c>
    </row>
    <row r="12912" spans="1:21">
      <c r="A12912">
        <v>12911</v>
      </c>
      <c r="B12912" s="30" t="s">
        <v>1226</v>
      </c>
      <c r="D12912" s="30" t="s">
        <v>2024</v>
      </c>
      <c r="F12912" s="30" t="s">
        <v>2074</v>
      </c>
      <c r="H12912" s="30" t="s">
        <v>2077</v>
      </c>
      <c r="J12912" s="30" t="s">
        <v>278</v>
      </c>
      <c r="L12912" s="30" t="s">
        <v>468</v>
      </c>
      <c r="M12912" s="30" t="s">
        <v>448</v>
      </c>
      <c r="N12912" s="30" t="s">
        <v>445</v>
      </c>
      <c r="P12912" s="30" t="s">
        <v>11024</v>
      </c>
      <c r="Q12912" t="s">
        <v>621</v>
      </c>
      <c r="R12912" t="s">
        <v>920</v>
      </c>
      <c r="S12912">
        <v>38</v>
      </c>
      <c r="T12912" s="29" t="str">
        <f t="shared" si="539"/>
        <v>2022.005P.Secoviridae_rename.zip</v>
      </c>
      <c r="U12912" s="29" t="str">
        <f>HYPERLINK("https://ictv.global/taxonomy/taxondetails?taxnode_id=202302077","ictv.global=202302077")</f>
        <v>ictv.global=202302077</v>
      </c>
    </row>
    <row r="12913" spans="1:21">
      <c r="A12913">
        <v>12912</v>
      </c>
      <c r="B12913" s="30" t="s">
        <v>1226</v>
      </c>
      <c r="D12913" s="30" t="s">
        <v>2024</v>
      </c>
      <c r="F12913" s="30" t="s">
        <v>2074</v>
      </c>
      <c r="H12913" s="30" t="s">
        <v>2077</v>
      </c>
      <c r="J12913" s="30" t="s">
        <v>278</v>
      </c>
      <c r="L12913" s="30" t="s">
        <v>468</v>
      </c>
      <c r="M12913" s="30" t="s">
        <v>448</v>
      </c>
      <c r="N12913" s="30" t="s">
        <v>445</v>
      </c>
      <c r="P12913" s="30" t="s">
        <v>11025</v>
      </c>
      <c r="Q12913" t="s">
        <v>621</v>
      </c>
      <c r="R12913" t="s">
        <v>920</v>
      </c>
      <c r="S12913">
        <v>38</v>
      </c>
      <c r="T12913" s="29" t="str">
        <f t="shared" si="539"/>
        <v>2022.005P.Secoviridae_rename.zip</v>
      </c>
      <c r="U12913" s="29" t="str">
        <f>HYPERLINK("https://ictv.global/taxonomy/taxondetails?taxnode_id=202302080","ictv.global=202302080")</f>
        <v>ictv.global=202302080</v>
      </c>
    </row>
    <row r="12914" spans="1:21">
      <c r="A12914">
        <v>12913</v>
      </c>
      <c r="B12914" s="30" t="s">
        <v>1226</v>
      </c>
      <c r="D12914" s="30" t="s">
        <v>2024</v>
      </c>
      <c r="F12914" s="30" t="s">
        <v>2074</v>
      </c>
      <c r="H12914" s="30" t="s">
        <v>2077</v>
      </c>
      <c r="J12914" s="30" t="s">
        <v>278</v>
      </c>
      <c r="L12914" s="30" t="s">
        <v>468</v>
      </c>
      <c r="M12914" s="30" t="s">
        <v>448</v>
      </c>
      <c r="N12914" s="30" t="s">
        <v>445</v>
      </c>
      <c r="P12914" s="30" t="s">
        <v>11026</v>
      </c>
      <c r="Q12914" t="s">
        <v>621</v>
      </c>
      <c r="R12914" t="s">
        <v>920</v>
      </c>
      <c r="S12914">
        <v>38</v>
      </c>
      <c r="T12914" s="29" t="str">
        <f t="shared" si="539"/>
        <v>2022.005P.Secoviridae_rename.zip</v>
      </c>
      <c r="U12914" s="29" t="str">
        <f>HYPERLINK("https://ictv.global/taxonomy/taxondetails?taxnode_id=202302082","ictv.global=202302082")</f>
        <v>ictv.global=202302082</v>
      </c>
    </row>
    <row r="12915" spans="1:21">
      <c r="A12915">
        <v>12914</v>
      </c>
      <c r="B12915" s="30" t="s">
        <v>1226</v>
      </c>
      <c r="D12915" s="30" t="s">
        <v>2024</v>
      </c>
      <c r="F12915" s="30" t="s">
        <v>2074</v>
      </c>
      <c r="H12915" s="30" t="s">
        <v>2077</v>
      </c>
      <c r="J12915" s="30" t="s">
        <v>278</v>
      </c>
      <c r="L12915" s="30" t="s">
        <v>468</v>
      </c>
      <c r="M12915" s="30" t="s">
        <v>448</v>
      </c>
      <c r="N12915" s="30" t="s">
        <v>445</v>
      </c>
      <c r="P12915" s="30" t="s">
        <v>11027</v>
      </c>
      <c r="Q12915" t="s">
        <v>621</v>
      </c>
      <c r="R12915" t="s">
        <v>920</v>
      </c>
      <c r="S12915">
        <v>38</v>
      </c>
      <c r="T12915" s="29" t="str">
        <f t="shared" si="539"/>
        <v>2022.005P.Secoviridae_rename.zip</v>
      </c>
      <c r="U12915" s="29" t="str">
        <f>HYPERLINK("https://ictv.global/taxonomy/taxondetails?taxnode_id=202313820","ictv.global=202313820")</f>
        <v>ictv.global=202313820</v>
      </c>
    </row>
    <row r="12916" spans="1:21">
      <c r="A12916">
        <v>12915</v>
      </c>
      <c r="B12916" s="30" t="s">
        <v>1226</v>
      </c>
      <c r="D12916" s="30" t="s">
        <v>2024</v>
      </c>
      <c r="F12916" s="30" t="s">
        <v>2074</v>
      </c>
      <c r="H12916" s="30" t="s">
        <v>2077</v>
      </c>
      <c r="J12916" s="30" t="s">
        <v>278</v>
      </c>
      <c r="L12916" s="30" t="s">
        <v>468</v>
      </c>
      <c r="M12916" s="30" t="s">
        <v>448</v>
      </c>
      <c r="N12916" s="30" t="s">
        <v>445</v>
      </c>
      <c r="P12916" s="30" t="s">
        <v>11028</v>
      </c>
      <c r="Q12916" t="s">
        <v>621</v>
      </c>
      <c r="R12916" t="s">
        <v>920</v>
      </c>
      <c r="S12916">
        <v>38</v>
      </c>
      <c r="T12916" s="29" t="str">
        <f t="shared" si="539"/>
        <v>2022.005P.Secoviridae_rename.zip</v>
      </c>
      <c r="U12916" s="29" t="str">
        <f>HYPERLINK("https://ictv.global/taxonomy/taxondetails?taxnode_id=202302081","ictv.global=202302081")</f>
        <v>ictv.global=202302081</v>
      </c>
    </row>
    <row r="12917" spans="1:21">
      <c r="A12917">
        <v>12916</v>
      </c>
      <c r="B12917" s="30" t="s">
        <v>1226</v>
      </c>
      <c r="D12917" s="30" t="s">
        <v>2024</v>
      </c>
      <c r="F12917" s="30" t="s">
        <v>2074</v>
      </c>
      <c r="H12917" s="30" t="s">
        <v>2077</v>
      </c>
      <c r="J12917" s="30" t="s">
        <v>278</v>
      </c>
      <c r="L12917" s="30" t="s">
        <v>468</v>
      </c>
      <c r="M12917" s="30" t="s">
        <v>448</v>
      </c>
      <c r="N12917" s="30" t="s">
        <v>445</v>
      </c>
      <c r="P12917" s="30" t="s">
        <v>11029</v>
      </c>
      <c r="Q12917" t="s">
        <v>621</v>
      </c>
      <c r="R12917" t="s">
        <v>917</v>
      </c>
      <c r="S12917">
        <v>38</v>
      </c>
      <c r="T12917" s="29" t="str">
        <f>HYPERLINK("https://ictv.global/ictv/proposals/2022.004P.Secoviridae_8ns.zip","2022.004P.Secoviridae_8ns.zip")</f>
        <v>2022.004P.Secoviridae_8ns.zip</v>
      </c>
      <c r="U12917" s="29" t="str">
        <f>HYPERLINK("https://ictv.global/taxonomy/taxondetails?taxnode_id=202315091","ictv.global=202315091")</f>
        <v>ictv.global=202315091</v>
      </c>
    </row>
    <row r="12918" spans="1:21">
      <c r="A12918">
        <v>12917</v>
      </c>
      <c r="B12918" s="30" t="s">
        <v>1226</v>
      </c>
      <c r="D12918" s="30" t="s">
        <v>2024</v>
      </c>
      <c r="F12918" s="30" t="s">
        <v>2074</v>
      </c>
      <c r="H12918" s="30" t="s">
        <v>2077</v>
      </c>
      <c r="J12918" s="30" t="s">
        <v>278</v>
      </c>
      <c r="L12918" s="30" t="s">
        <v>468</v>
      </c>
      <c r="M12918" s="30" t="s">
        <v>448</v>
      </c>
      <c r="N12918" s="30" t="s">
        <v>445</v>
      </c>
      <c r="P12918" s="30" t="s">
        <v>11030</v>
      </c>
      <c r="Q12918" t="s">
        <v>621</v>
      </c>
      <c r="R12918" t="s">
        <v>920</v>
      </c>
      <c r="S12918">
        <v>38</v>
      </c>
      <c r="T12918" s="29" t="str">
        <f t="shared" ref="T12918:T12927" si="540">HYPERLINK("https://ictv.global/ictv/proposals/2022.005P.Secoviridae_rename.zip","2022.005P.Secoviridae_rename.zip")</f>
        <v>2022.005P.Secoviridae_rename.zip</v>
      </c>
      <c r="U12918" s="29" t="str">
        <f>HYPERLINK("https://ictv.global/taxonomy/taxondetails?taxnode_id=202302084","ictv.global=202302084")</f>
        <v>ictv.global=202302084</v>
      </c>
    </row>
    <row r="12919" spans="1:21">
      <c r="A12919">
        <v>12918</v>
      </c>
      <c r="B12919" s="30" t="s">
        <v>1226</v>
      </c>
      <c r="D12919" s="30" t="s">
        <v>2024</v>
      </c>
      <c r="F12919" s="30" t="s">
        <v>2074</v>
      </c>
      <c r="H12919" s="30" t="s">
        <v>2077</v>
      </c>
      <c r="J12919" s="30" t="s">
        <v>278</v>
      </c>
      <c r="L12919" s="30" t="s">
        <v>468</v>
      </c>
      <c r="M12919" s="30" t="s">
        <v>448</v>
      </c>
      <c r="N12919" s="30" t="s">
        <v>445</v>
      </c>
      <c r="P12919" s="30" t="s">
        <v>11031</v>
      </c>
      <c r="Q12919" t="s">
        <v>621</v>
      </c>
      <c r="R12919" t="s">
        <v>920</v>
      </c>
      <c r="S12919">
        <v>38</v>
      </c>
      <c r="T12919" s="29" t="str">
        <f t="shared" si="540"/>
        <v>2022.005P.Secoviridae_rename.zip</v>
      </c>
      <c r="U12919" s="29" t="str">
        <f>HYPERLINK("https://ictv.global/taxonomy/taxondetails?taxnode_id=202302075","ictv.global=202302075")</f>
        <v>ictv.global=202302075</v>
      </c>
    </row>
    <row r="12920" spans="1:21">
      <c r="A12920">
        <v>12919</v>
      </c>
      <c r="B12920" s="30" t="s">
        <v>1226</v>
      </c>
      <c r="D12920" s="30" t="s">
        <v>2024</v>
      </c>
      <c r="F12920" s="30" t="s">
        <v>2074</v>
      </c>
      <c r="H12920" s="30" t="s">
        <v>2077</v>
      </c>
      <c r="J12920" s="30" t="s">
        <v>278</v>
      </c>
      <c r="L12920" s="30" t="s">
        <v>468</v>
      </c>
      <c r="M12920" s="30" t="s">
        <v>448</v>
      </c>
      <c r="N12920" s="30" t="s">
        <v>445</v>
      </c>
      <c r="P12920" s="30" t="s">
        <v>11032</v>
      </c>
      <c r="Q12920" t="s">
        <v>621</v>
      </c>
      <c r="R12920" t="s">
        <v>920</v>
      </c>
      <c r="S12920">
        <v>38</v>
      </c>
      <c r="T12920" s="29" t="str">
        <f t="shared" si="540"/>
        <v>2022.005P.Secoviridae_rename.zip</v>
      </c>
      <c r="U12920" s="29" t="str">
        <f>HYPERLINK("https://ictv.global/taxonomy/taxondetails?taxnode_id=202302079","ictv.global=202302079")</f>
        <v>ictv.global=202302079</v>
      </c>
    </row>
    <row r="12921" spans="1:21">
      <c r="A12921">
        <v>12920</v>
      </c>
      <c r="B12921" s="30" t="s">
        <v>1226</v>
      </c>
      <c r="D12921" s="30" t="s">
        <v>2024</v>
      </c>
      <c r="F12921" s="30" t="s">
        <v>2074</v>
      </c>
      <c r="H12921" s="30" t="s">
        <v>2077</v>
      </c>
      <c r="J12921" s="30" t="s">
        <v>278</v>
      </c>
      <c r="L12921" s="30" t="s">
        <v>468</v>
      </c>
      <c r="M12921" s="30" t="s">
        <v>448</v>
      </c>
      <c r="N12921" s="30" t="s">
        <v>445</v>
      </c>
      <c r="P12921" s="30" t="s">
        <v>11033</v>
      </c>
      <c r="Q12921" t="s">
        <v>621</v>
      </c>
      <c r="R12921" t="s">
        <v>920</v>
      </c>
      <c r="S12921">
        <v>38</v>
      </c>
      <c r="T12921" s="29" t="str">
        <f t="shared" si="540"/>
        <v>2022.005P.Secoviridae_rename.zip</v>
      </c>
      <c r="U12921" s="29" t="str">
        <f>HYPERLINK("https://ictv.global/taxonomy/taxondetails?taxnode_id=202302074","ictv.global=202302074")</f>
        <v>ictv.global=202302074</v>
      </c>
    </row>
    <row r="12922" spans="1:21">
      <c r="A12922">
        <v>12921</v>
      </c>
      <c r="B12922" s="30" t="s">
        <v>1226</v>
      </c>
      <c r="D12922" s="30" t="s">
        <v>2024</v>
      </c>
      <c r="F12922" s="30" t="s">
        <v>2074</v>
      </c>
      <c r="H12922" s="30" t="s">
        <v>2077</v>
      </c>
      <c r="J12922" s="30" t="s">
        <v>278</v>
      </c>
      <c r="L12922" s="30" t="s">
        <v>468</v>
      </c>
      <c r="M12922" s="30" t="s">
        <v>448</v>
      </c>
      <c r="N12922" s="30" t="s">
        <v>445</v>
      </c>
      <c r="P12922" s="30" t="s">
        <v>11034</v>
      </c>
      <c r="Q12922" t="s">
        <v>621</v>
      </c>
      <c r="R12922" t="s">
        <v>920</v>
      </c>
      <c r="S12922">
        <v>38</v>
      </c>
      <c r="T12922" s="29" t="str">
        <f t="shared" si="540"/>
        <v>2022.005P.Secoviridae_rename.zip</v>
      </c>
      <c r="U12922" s="29" t="str">
        <f>HYPERLINK("https://ictv.global/taxonomy/taxondetails?taxnode_id=202302083","ictv.global=202302083")</f>
        <v>ictv.global=202302083</v>
      </c>
    </row>
    <row r="12923" spans="1:21">
      <c r="A12923">
        <v>12922</v>
      </c>
      <c r="B12923" s="30" t="s">
        <v>1226</v>
      </c>
      <c r="D12923" s="30" t="s">
        <v>2024</v>
      </c>
      <c r="F12923" s="30" t="s">
        <v>2074</v>
      </c>
      <c r="H12923" s="30" t="s">
        <v>2077</v>
      </c>
      <c r="J12923" s="30" t="s">
        <v>278</v>
      </c>
      <c r="L12923" s="30" t="s">
        <v>468</v>
      </c>
      <c r="M12923" s="30" t="s">
        <v>448</v>
      </c>
      <c r="N12923" s="30" t="s">
        <v>445</v>
      </c>
      <c r="P12923" s="30" t="s">
        <v>11035</v>
      </c>
      <c r="Q12923" t="s">
        <v>621</v>
      </c>
      <c r="R12923" t="s">
        <v>920</v>
      </c>
      <c r="S12923">
        <v>38</v>
      </c>
      <c r="T12923" s="29" t="str">
        <f t="shared" si="540"/>
        <v>2022.005P.Secoviridae_rename.zip</v>
      </c>
      <c r="U12923" s="29" t="str">
        <f>HYPERLINK("https://ictv.global/taxonomy/taxondetails?taxnode_id=202302085","ictv.global=202302085")</f>
        <v>ictv.global=202302085</v>
      </c>
    </row>
    <row r="12924" spans="1:21">
      <c r="A12924">
        <v>12923</v>
      </c>
      <c r="B12924" s="30" t="s">
        <v>1226</v>
      </c>
      <c r="D12924" s="30" t="s">
        <v>2024</v>
      </c>
      <c r="F12924" s="30" t="s">
        <v>2074</v>
      </c>
      <c r="H12924" s="30" t="s">
        <v>2077</v>
      </c>
      <c r="J12924" s="30" t="s">
        <v>278</v>
      </c>
      <c r="L12924" s="30" t="s">
        <v>468</v>
      </c>
      <c r="M12924" s="30" t="s">
        <v>448</v>
      </c>
      <c r="N12924" s="30" t="s">
        <v>445</v>
      </c>
      <c r="P12924" s="30" t="s">
        <v>11036</v>
      </c>
      <c r="Q12924" t="s">
        <v>621</v>
      </c>
      <c r="R12924" t="s">
        <v>920</v>
      </c>
      <c r="S12924">
        <v>38</v>
      </c>
      <c r="T12924" s="29" t="str">
        <f t="shared" si="540"/>
        <v>2022.005P.Secoviridae_rename.zip</v>
      </c>
      <c r="U12924" s="29" t="str">
        <f>HYPERLINK("https://ictv.global/taxonomy/taxondetails?taxnode_id=202302087","ictv.global=202302087")</f>
        <v>ictv.global=202302087</v>
      </c>
    </row>
    <row r="12925" spans="1:21">
      <c r="A12925">
        <v>12924</v>
      </c>
      <c r="B12925" s="30" t="s">
        <v>1226</v>
      </c>
      <c r="D12925" s="30" t="s">
        <v>2024</v>
      </c>
      <c r="F12925" s="30" t="s">
        <v>2074</v>
      </c>
      <c r="H12925" s="30" t="s">
        <v>2077</v>
      </c>
      <c r="J12925" s="30" t="s">
        <v>278</v>
      </c>
      <c r="L12925" s="30" t="s">
        <v>468</v>
      </c>
      <c r="M12925" s="30" t="s">
        <v>448</v>
      </c>
      <c r="N12925" s="30" t="s">
        <v>445</v>
      </c>
      <c r="P12925" s="30" t="s">
        <v>11037</v>
      </c>
      <c r="Q12925" t="s">
        <v>621</v>
      </c>
      <c r="R12925" t="s">
        <v>920</v>
      </c>
      <c r="S12925">
        <v>38</v>
      </c>
      <c r="T12925" s="29" t="str">
        <f t="shared" si="540"/>
        <v>2022.005P.Secoviridae_rename.zip</v>
      </c>
      <c r="U12925" s="29" t="str">
        <f>HYPERLINK("https://ictv.global/taxonomy/taxondetails?taxnode_id=202302076","ictv.global=202302076")</f>
        <v>ictv.global=202302076</v>
      </c>
    </row>
    <row r="12926" spans="1:21">
      <c r="A12926">
        <v>12925</v>
      </c>
      <c r="B12926" s="30" t="s">
        <v>1226</v>
      </c>
      <c r="D12926" s="30" t="s">
        <v>2024</v>
      </c>
      <c r="F12926" s="30" t="s">
        <v>2074</v>
      </c>
      <c r="H12926" s="30" t="s">
        <v>2077</v>
      </c>
      <c r="J12926" s="30" t="s">
        <v>278</v>
      </c>
      <c r="L12926" s="30" t="s">
        <v>468</v>
      </c>
      <c r="M12926" s="30" t="s">
        <v>448</v>
      </c>
      <c r="N12926" s="30" t="s">
        <v>445</v>
      </c>
      <c r="P12926" s="30" t="s">
        <v>11038</v>
      </c>
      <c r="Q12926" t="s">
        <v>621</v>
      </c>
      <c r="R12926" t="s">
        <v>920</v>
      </c>
      <c r="S12926">
        <v>38</v>
      </c>
      <c r="T12926" s="29" t="str">
        <f t="shared" si="540"/>
        <v>2022.005P.Secoviridae_rename.zip</v>
      </c>
      <c r="U12926" s="29" t="str">
        <f>HYPERLINK("https://ictv.global/taxonomy/taxondetails?taxnode_id=202302078","ictv.global=202302078")</f>
        <v>ictv.global=202302078</v>
      </c>
    </row>
    <row r="12927" spans="1:21">
      <c r="A12927">
        <v>12926</v>
      </c>
      <c r="B12927" s="30" t="s">
        <v>1226</v>
      </c>
      <c r="D12927" s="30" t="s">
        <v>2024</v>
      </c>
      <c r="F12927" s="30" t="s">
        <v>2074</v>
      </c>
      <c r="H12927" s="30" t="s">
        <v>2077</v>
      </c>
      <c r="J12927" s="30" t="s">
        <v>278</v>
      </c>
      <c r="L12927" s="30" t="s">
        <v>468</v>
      </c>
      <c r="M12927" s="30" t="s">
        <v>448</v>
      </c>
      <c r="N12927" s="30" t="s">
        <v>446</v>
      </c>
      <c r="P12927" s="30" t="s">
        <v>11039</v>
      </c>
      <c r="Q12927" t="s">
        <v>621</v>
      </c>
      <c r="R12927" t="s">
        <v>920</v>
      </c>
      <c r="S12927">
        <v>38</v>
      </c>
      <c r="T12927" s="29" t="str">
        <f t="shared" si="540"/>
        <v>2022.005P.Secoviridae_rename.zip</v>
      </c>
      <c r="U12927" s="29" t="str">
        <f>HYPERLINK("https://ictv.global/taxonomy/taxondetails?taxnode_id=202302089","ictv.global=202302089")</f>
        <v>ictv.global=202302089</v>
      </c>
    </row>
    <row r="12928" spans="1:21">
      <c r="A12928">
        <v>12927</v>
      </c>
      <c r="B12928" s="30" t="s">
        <v>1226</v>
      </c>
      <c r="D12928" s="30" t="s">
        <v>2024</v>
      </c>
      <c r="F12928" s="30" t="s">
        <v>2074</v>
      </c>
      <c r="H12928" s="30" t="s">
        <v>2077</v>
      </c>
      <c r="J12928" s="30" t="s">
        <v>278</v>
      </c>
      <c r="L12928" s="30" t="s">
        <v>468</v>
      </c>
      <c r="M12928" s="30" t="s">
        <v>448</v>
      </c>
      <c r="N12928" s="30" t="s">
        <v>446</v>
      </c>
      <c r="P12928" s="30" t="s">
        <v>17934</v>
      </c>
      <c r="Q12928" t="s">
        <v>621</v>
      </c>
      <c r="R12928" t="s">
        <v>917</v>
      </c>
      <c r="S12928">
        <v>39</v>
      </c>
      <c r="T12928" s="29" t="str">
        <f>HYPERLINK("https://ictv.global/ictv/proposals/2023.018P.Secoviridae_16nsp.zip","2023.018P.Secoviridae_16nsp.zip")</f>
        <v>2023.018P.Secoviridae_16nsp.zip</v>
      </c>
      <c r="U12928" s="29" t="str">
        <f>HYPERLINK("https://ictv.global/taxonomy/taxondetails?taxnode_id=202318389","ictv.global=202318389")</f>
        <v>ictv.global=202318389</v>
      </c>
    </row>
    <row r="12929" spans="1:21">
      <c r="A12929">
        <v>12928</v>
      </c>
      <c r="B12929" s="30" t="s">
        <v>1226</v>
      </c>
      <c r="D12929" s="30" t="s">
        <v>2024</v>
      </c>
      <c r="F12929" s="30" t="s">
        <v>2074</v>
      </c>
      <c r="H12929" s="30" t="s">
        <v>2077</v>
      </c>
      <c r="J12929" s="30" t="s">
        <v>278</v>
      </c>
      <c r="L12929" s="30" t="s">
        <v>468</v>
      </c>
      <c r="M12929" s="30" t="s">
        <v>448</v>
      </c>
      <c r="N12929" s="30" t="s">
        <v>446</v>
      </c>
      <c r="P12929" s="30" t="s">
        <v>11040</v>
      </c>
      <c r="Q12929" t="s">
        <v>621</v>
      </c>
      <c r="R12929" t="s">
        <v>920</v>
      </c>
      <c r="S12929">
        <v>38</v>
      </c>
      <c r="T12929" s="29" t="str">
        <f>HYPERLINK("https://ictv.global/ictv/proposals/2022.005P.Secoviridae_rename.zip","2022.005P.Secoviridae_rename.zip")</f>
        <v>2022.005P.Secoviridae_rename.zip</v>
      </c>
      <c r="U12929" s="29" t="str">
        <f>HYPERLINK("https://ictv.global/taxonomy/taxondetails?taxnode_id=202302090","ictv.global=202302090")</f>
        <v>ictv.global=202302090</v>
      </c>
    </row>
    <row r="12930" spans="1:21">
      <c r="A12930">
        <v>12929</v>
      </c>
      <c r="B12930" s="30" t="s">
        <v>1226</v>
      </c>
      <c r="D12930" s="30" t="s">
        <v>2024</v>
      </c>
      <c r="F12930" s="30" t="s">
        <v>2074</v>
      </c>
      <c r="H12930" s="30" t="s">
        <v>2077</v>
      </c>
      <c r="J12930" s="30" t="s">
        <v>278</v>
      </c>
      <c r="L12930" s="30" t="s">
        <v>468</v>
      </c>
      <c r="M12930" s="30" t="s">
        <v>448</v>
      </c>
      <c r="N12930" s="30" t="s">
        <v>446</v>
      </c>
      <c r="P12930" s="30" t="s">
        <v>11041</v>
      </c>
      <c r="Q12930" t="s">
        <v>621</v>
      </c>
      <c r="R12930" t="s">
        <v>920</v>
      </c>
      <c r="S12930">
        <v>38</v>
      </c>
      <c r="T12930" s="29" t="str">
        <f>HYPERLINK("https://ictv.global/ictv/proposals/2022.005P.Secoviridae_rename.zip","2022.005P.Secoviridae_rename.zip")</f>
        <v>2022.005P.Secoviridae_rename.zip</v>
      </c>
      <c r="U12930" s="29" t="str">
        <f>HYPERLINK("https://ictv.global/taxonomy/taxondetails?taxnode_id=202302091","ictv.global=202302091")</f>
        <v>ictv.global=202302091</v>
      </c>
    </row>
    <row r="12931" spans="1:21">
      <c r="A12931">
        <v>12930</v>
      </c>
      <c r="B12931" s="30" t="s">
        <v>1226</v>
      </c>
      <c r="D12931" s="30" t="s">
        <v>2024</v>
      </c>
      <c r="F12931" s="30" t="s">
        <v>2074</v>
      </c>
      <c r="H12931" s="30" t="s">
        <v>2077</v>
      </c>
      <c r="J12931" s="30" t="s">
        <v>278</v>
      </c>
      <c r="L12931" s="30" t="s">
        <v>468</v>
      </c>
      <c r="M12931" s="30" t="s">
        <v>448</v>
      </c>
      <c r="N12931" s="30" t="s">
        <v>446</v>
      </c>
      <c r="P12931" s="30" t="s">
        <v>11042</v>
      </c>
      <c r="Q12931" t="s">
        <v>621</v>
      </c>
      <c r="R12931" t="s">
        <v>920</v>
      </c>
      <c r="S12931">
        <v>38</v>
      </c>
      <c r="T12931" s="29" t="str">
        <f>HYPERLINK("https://ictv.global/ictv/proposals/2022.005P.Secoviridae_rename.zip","2022.005P.Secoviridae_rename.zip")</f>
        <v>2022.005P.Secoviridae_rename.zip</v>
      </c>
      <c r="U12931" s="29" t="str">
        <f>HYPERLINK("https://ictv.global/taxonomy/taxondetails?taxnode_id=202302092","ictv.global=202302092")</f>
        <v>ictv.global=202302092</v>
      </c>
    </row>
    <row r="12932" spans="1:21">
      <c r="A12932">
        <v>12931</v>
      </c>
      <c r="B12932" s="30" t="s">
        <v>1226</v>
      </c>
      <c r="D12932" s="30" t="s">
        <v>2024</v>
      </c>
      <c r="F12932" s="30" t="s">
        <v>2074</v>
      </c>
      <c r="H12932" s="30" t="s">
        <v>2077</v>
      </c>
      <c r="J12932" s="30" t="s">
        <v>278</v>
      </c>
      <c r="L12932" s="30" t="s">
        <v>468</v>
      </c>
      <c r="M12932" s="30" t="s">
        <v>448</v>
      </c>
      <c r="N12932" s="30" t="s">
        <v>446</v>
      </c>
      <c r="P12932" s="30" t="s">
        <v>17935</v>
      </c>
      <c r="Q12932" t="s">
        <v>621</v>
      </c>
      <c r="R12932" t="s">
        <v>917</v>
      </c>
      <c r="S12932">
        <v>39</v>
      </c>
      <c r="T12932" s="29" t="str">
        <f>HYPERLINK("https://ictv.global/ictv/proposals/2023.018P.Secoviridae_16nsp.zip","2023.018P.Secoviridae_16nsp.zip")</f>
        <v>2023.018P.Secoviridae_16nsp.zip</v>
      </c>
      <c r="U12932" s="29" t="str">
        <f>HYPERLINK("https://ictv.global/taxonomy/taxondetails?taxnode_id=202318387","ictv.global=202318387")</f>
        <v>ictv.global=202318387</v>
      </c>
    </row>
    <row r="12933" spans="1:21">
      <c r="A12933">
        <v>12932</v>
      </c>
      <c r="B12933" s="30" t="s">
        <v>1226</v>
      </c>
      <c r="D12933" s="30" t="s">
        <v>2024</v>
      </c>
      <c r="F12933" s="30" t="s">
        <v>2074</v>
      </c>
      <c r="H12933" s="30" t="s">
        <v>2077</v>
      </c>
      <c r="J12933" s="30" t="s">
        <v>278</v>
      </c>
      <c r="L12933" s="30" t="s">
        <v>468</v>
      </c>
      <c r="M12933" s="30" t="s">
        <v>448</v>
      </c>
      <c r="N12933" s="30" t="s">
        <v>446</v>
      </c>
      <c r="P12933" s="30" t="s">
        <v>11043</v>
      </c>
      <c r="Q12933" t="s">
        <v>621</v>
      </c>
      <c r="R12933" t="s">
        <v>920</v>
      </c>
      <c r="S12933">
        <v>38</v>
      </c>
      <c r="T12933" s="29" t="str">
        <f>HYPERLINK("https://ictv.global/ictv/proposals/2022.005P.Secoviridae_rename.zip","2022.005P.Secoviridae_rename.zip")</f>
        <v>2022.005P.Secoviridae_rename.zip</v>
      </c>
      <c r="U12933" s="29" t="str">
        <f>HYPERLINK("https://ictv.global/taxonomy/taxondetails?taxnode_id=202302093","ictv.global=202302093")</f>
        <v>ictv.global=202302093</v>
      </c>
    </row>
    <row r="12934" spans="1:21">
      <c r="A12934">
        <v>12933</v>
      </c>
      <c r="B12934" s="30" t="s">
        <v>1226</v>
      </c>
      <c r="D12934" s="30" t="s">
        <v>2024</v>
      </c>
      <c r="F12934" s="30" t="s">
        <v>2074</v>
      </c>
      <c r="H12934" s="30" t="s">
        <v>2077</v>
      </c>
      <c r="J12934" s="30" t="s">
        <v>278</v>
      </c>
      <c r="L12934" s="30" t="s">
        <v>468</v>
      </c>
      <c r="M12934" s="30" t="s">
        <v>448</v>
      </c>
      <c r="N12934" s="30" t="s">
        <v>446</v>
      </c>
      <c r="P12934" s="30" t="s">
        <v>11044</v>
      </c>
      <c r="Q12934" t="s">
        <v>621</v>
      </c>
      <c r="R12934" t="s">
        <v>920</v>
      </c>
      <c r="S12934">
        <v>38</v>
      </c>
      <c r="T12934" s="29" t="str">
        <f>HYPERLINK("https://ictv.global/ictv/proposals/2022.005P.Secoviridae_rename.zip","2022.005P.Secoviridae_rename.zip")</f>
        <v>2022.005P.Secoviridae_rename.zip</v>
      </c>
      <c r="U12934" s="29" t="str">
        <f>HYPERLINK("https://ictv.global/taxonomy/taxondetails?taxnode_id=202313818","ictv.global=202313818")</f>
        <v>ictv.global=202313818</v>
      </c>
    </row>
    <row r="12935" spans="1:21">
      <c r="A12935">
        <v>12934</v>
      </c>
      <c r="B12935" s="30" t="s">
        <v>1226</v>
      </c>
      <c r="D12935" s="30" t="s">
        <v>2024</v>
      </c>
      <c r="F12935" s="30" t="s">
        <v>2074</v>
      </c>
      <c r="H12935" s="30" t="s">
        <v>2077</v>
      </c>
      <c r="J12935" s="30" t="s">
        <v>278</v>
      </c>
      <c r="L12935" s="30" t="s">
        <v>468</v>
      </c>
      <c r="M12935" s="30" t="s">
        <v>448</v>
      </c>
      <c r="N12935" s="30" t="s">
        <v>446</v>
      </c>
      <c r="P12935" s="30" t="s">
        <v>11045</v>
      </c>
      <c r="Q12935" t="s">
        <v>621</v>
      </c>
      <c r="R12935" t="s">
        <v>920</v>
      </c>
      <c r="S12935">
        <v>38</v>
      </c>
      <c r="T12935" s="29" t="str">
        <f>HYPERLINK("https://ictv.global/ictv/proposals/2022.005P.Secoviridae_rename.zip","2022.005P.Secoviridae_rename.zip")</f>
        <v>2022.005P.Secoviridae_rename.zip</v>
      </c>
      <c r="U12935" s="29" t="str">
        <f>HYPERLINK("https://ictv.global/taxonomy/taxondetails?taxnode_id=202305627","ictv.global=202305627")</f>
        <v>ictv.global=202305627</v>
      </c>
    </row>
    <row r="12936" spans="1:21">
      <c r="A12936">
        <v>12935</v>
      </c>
      <c r="B12936" s="30" t="s">
        <v>1226</v>
      </c>
      <c r="D12936" s="30" t="s">
        <v>2024</v>
      </c>
      <c r="F12936" s="30" t="s">
        <v>2074</v>
      </c>
      <c r="H12936" s="30" t="s">
        <v>2077</v>
      </c>
      <c r="J12936" s="30" t="s">
        <v>278</v>
      </c>
      <c r="L12936" s="30" t="s">
        <v>468</v>
      </c>
      <c r="M12936" s="30" t="s">
        <v>448</v>
      </c>
      <c r="N12936" s="30" t="s">
        <v>446</v>
      </c>
      <c r="P12936" s="30" t="s">
        <v>11046</v>
      </c>
      <c r="Q12936" t="s">
        <v>621</v>
      </c>
      <c r="R12936" t="s">
        <v>920</v>
      </c>
      <c r="S12936">
        <v>38</v>
      </c>
      <c r="T12936" s="29" t="str">
        <f>HYPERLINK("https://ictv.global/ictv/proposals/2022.005P.Secoviridae_rename.zip","2022.005P.Secoviridae_rename.zip")</f>
        <v>2022.005P.Secoviridae_rename.zip</v>
      </c>
      <c r="U12936" s="29" t="str">
        <f>HYPERLINK("https://ictv.global/taxonomy/taxondetails?taxnode_id=202305626","ictv.global=202305626")</f>
        <v>ictv.global=202305626</v>
      </c>
    </row>
    <row r="12937" spans="1:21">
      <c r="A12937">
        <v>12936</v>
      </c>
      <c r="B12937" s="30" t="s">
        <v>1226</v>
      </c>
      <c r="D12937" s="30" t="s">
        <v>2024</v>
      </c>
      <c r="F12937" s="30" t="s">
        <v>2074</v>
      </c>
      <c r="H12937" s="30" t="s">
        <v>2077</v>
      </c>
      <c r="J12937" s="30" t="s">
        <v>278</v>
      </c>
      <c r="L12937" s="30" t="s">
        <v>468</v>
      </c>
      <c r="M12937" s="30" t="s">
        <v>448</v>
      </c>
      <c r="N12937" s="30" t="s">
        <v>446</v>
      </c>
      <c r="P12937" s="30" t="s">
        <v>17936</v>
      </c>
      <c r="Q12937" t="s">
        <v>621</v>
      </c>
      <c r="R12937" t="s">
        <v>917</v>
      </c>
      <c r="S12937">
        <v>39</v>
      </c>
      <c r="T12937" s="29" t="str">
        <f>HYPERLINK("https://ictv.global/ictv/proposals/2023.018P.Secoviridae_16nsp.zip","2023.018P.Secoviridae_16nsp.zip")</f>
        <v>2023.018P.Secoviridae_16nsp.zip</v>
      </c>
      <c r="U12937" s="29" t="str">
        <f>HYPERLINK("https://ictv.global/taxonomy/taxondetails?taxnode_id=202318388","ictv.global=202318388")</f>
        <v>ictv.global=202318388</v>
      </c>
    </row>
    <row r="12938" spans="1:21">
      <c r="A12938">
        <v>12937</v>
      </c>
      <c r="B12938" s="30" t="s">
        <v>1226</v>
      </c>
      <c r="D12938" s="30" t="s">
        <v>2024</v>
      </c>
      <c r="F12938" s="30" t="s">
        <v>2074</v>
      </c>
      <c r="H12938" s="30" t="s">
        <v>2077</v>
      </c>
      <c r="J12938" s="30" t="s">
        <v>278</v>
      </c>
      <c r="L12938" s="30" t="s">
        <v>468</v>
      </c>
      <c r="M12938" s="30" t="s">
        <v>448</v>
      </c>
      <c r="N12938" s="30" t="s">
        <v>447</v>
      </c>
      <c r="P12938" s="30" t="s">
        <v>11047</v>
      </c>
      <c r="Q12938" t="s">
        <v>621</v>
      </c>
      <c r="R12938" t="s">
        <v>920</v>
      </c>
      <c r="S12938">
        <v>38</v>
      </c>
      <c r="T12938" s="29" t="str">
        <f>HYPERLINK("https://ictv.global/ictv/proposals/2022.005P.Secoviridae_rename.zip","2022.005P.Secoviridae_rename.zip")</f>
        <v>2022.005P.Secoviridae_rename.zip</v>
      </c>
      <c r="U12938" s="29" t="str">
        <f>HYPERLINK("https://ictv.global/taxonomy/taxondetails?taxnode_id=202302099","ictv.global=202302099")</f>
        <v>ictv.global=202302099</v>
      </c>
    </row>
    <row r="12939" spans="1:21">
      <c r="A12939">
        <v>12938</v>
      </c>
      <c r="B12939" s="30" t="s">
        <v>1226</v>
      </c>
      <c r="D12939" s="30" t="s">
        <v>2024</v>
      </c>
      <c r="F12939" s="30" t="s">
        <v>2074</v>
      </c>
      <c r="H12939" s="30" t="s">
        <v>2077</v>
      </c>
      <c r="J12939" s="30" t="s">
        <v>278</v>
      </c>
      <c r="L12939" s="30" t="s">
        <v>468</v>
      </c>
      <c r="M12939" s="30" t="s">
        <v>448</v>
      </c>
      <c r="N12939" s="30" t="s">
        <v>447</v>
      </c>
      <c r="P12939" s="30" t="s">
        <v>11048</v>
      </c>
      <c r="Q12939" t="s">
        <v>621</v>
      </c>
      <c r="R12939" t="s">
        <v>920</v>
      </c>
      <c r="S12939">
        <v>38</v>
      </c>
      <c r="T12939" s="29" t="str">
        <f>HYPERLINK("https://ictv.global/ictv/proposals/2022.005P.Secoviridae_rename.zip","2022.005P.Secoviridae_rename.zip")</f>
        <v>2022.005P.Secoviridae_rename.zip</v>
      </c>
      <c r="U12939" s="29" t="str">
        <f>HYPERLINK("https://ictv.global/taxonomy/taxondetails?taxnode_id=202302095","ictv.global=202302095")</f>
        <v>ictv.global=202302095</v>
      </c>
    </row>
    <row r="12940" spans="1:21">
      <c r="A12940">
        <v>12939</v>
      </c>
      <c r="B12940" s="30" t="s">
        <v>1226</v>
      </c>
      <c r="D12940" s="30" t="s">
        <v>2024</v>
      </c>
      <c r="F12940" s="30" t="s">
        <v>2074</v>
      </c>
      <c r="H12940" s="30" t="s">
        <v>2077</v>
      </c>
      <c r="J12940" s="30" t="s">
        <v>278</v>
      </c>
      <c r="L12940" s="30" t="s">
        <v>468</v>
      </c>
      <c r="M12940" s="30" t="s">
        <v>448</v>
      </c>
      <c r="N12940" s="30" t="s">
        <v>447</v>
      </c>
      <c r="P12940" s="30" t="s">
        <v>17937</v>
      </c>
      <c r="Q12940" t="s">
        <v>621</v>
      </c>
      <c r="R12940" t="s">
        <v>917</v>
      </c>
      <c r="S12940">
        <v>39</v>
      </c>
      <c r="T12940" s="29" t="str">
        <f>HYPERLINK("https://ictv.global/ictv/proposals/2023.018P.Secoviridae_16nsp.zip","2023.018P.Secoviridae_16nsp.zip")</f>
        <v>2023.018P.Secoviridae_16nsp.zip</v>
      </c>
      <c r="U12940" s="29" t="str">
        <f>HYPERLINK("https://ictv.global/taxonomy/taxondetails?taxnode_id=202318382","ictv.global=202318382")</f>
        <v>ictv.global=202318382</v>
      </c>
    </row>
    <row r="12941" spans="1:21">
      <c r="A12941">
        <v>12940</v>
      </c>
      <c r="B12941" s="30" t="s">
        <v>1226</v>
      </c>
      <c r="D12941" s="30" t="s">
        <v>2024</v>
      </c>
      <c r="F12941" s="30" t="s">
        <v>2074</v>
      </c>
      <c r="H12941" s="30" t="s">
        <v>2077</v>
      </c>
      <c r="J12941" s="30" t="s">
        <v>278</v>
      </c>
      <c r="L12941" s="30" t="s">
        <v>468</v>
      </c>
      <c r="M12941" s="30" t="s">
        <v>448</v>
      </c>
      <c r="N12941" s="30" t="s">
        <v>447</v>
      </c>
      <c r="P12941" s="30" t="s">
        <v>11049</v>
      </c>
      <c r="Q12941" t="s">
        <v>621</v>
      </c>
      <c r="R12941" t="s">
        <v>920</v>
      </c>
      <c r="S12941">
        <v>38</v>
      </c>
      <c r="T12941" s="29" t="str">
        <f>HYPERLINK("https://ictv.global/ictv/proposals/2022.005P.Secoviridae_rename.zip","2022.005P.Secoviridae_rename.zip")</f>
        <v>2022.005P.Secoviridae_rename.zip</v>
      </c>
      <c r="U12941" s="29" t="str">
        <f>HYPERLINK("https://ictv.global/taxonomy/taxondetails?taxnode_id=202313817","ictv.global=202313817")</f>
        <v>ictv.global=202313817</v>
      </c>
    </row>
    <row r="12942" spans="1:21">
      <c r="A12942">
        <v>12941</v>
      </c>
      <c r="B12942" s="30" t="s">
        <v>1226</v>
      </c>
      <c r="D12942" s="30" t="s">
        <v>2024</v>
      </c>
      <c r="F12942" s="30" t="s">
        <v>2074</v>
      </c>
      <c r="H12942" s="30" t="s">
        <v>2077</v>
      </c>
      <c r="J12942" s="30" t="s">
        <v>278</v>
      </c>
      <c r="L12942" s="30" t="s">
        <v>468</v>
      </c>
      <c r="M12942" s="30" t="s">
        <v>448</v>
      </c>
      <c r="N12942" s="30" t="s">
        <v>447</v>
      </c>
      <c r="P12942" s="30" t="s">
        <v>11050</v>
      </c>
      <c r="Q12942" t="s">
        <v>621</v>
      </c>
      <c r="R12942" t="s">
        <v>920</v>
      </c>
      <c r="S12942">
        <v>38</v>
      </c>
      <c r="T12942" s="29" t="str">
        <f>HYPERLINK("https://ictv.global/ictv/proposals/2022.005P.Secoviridae_rename.zip","2022.005P.Secoviridae_rename.zip")</f>
        <v>2022.005P.Secoviridae_rename.zip</v>
      </c>
      <c r="U12942" s="29" t="str">
        <f>HYPERLINK("https://ictv.global/taxonomy/taxondetails?taxnode_id=202302106","ictv.global=202302106")</f>
        <v>ictv.global=202302106</v>
      </c>
    </row>
    <row r="12943" spans="1:21">
      <c r="A12943">
        <v>12942</v>
      </c>
      <c r="B12943" s="30" t="s">
        <v>1226</v>
      </c>
      <c r="D12943" s="30" t="s">
        <v>2024</v>
      </c>
      <c r="F12943" s="30" t="s">
        <v>2074</v>
      </c>
      <c r="H12943" s="30" t="s">
        <v>2077</v>
      </c>
      <c r="J12943" s="30" t="s">
        <v>278</v>
      </c>
      <c r="L12943" s="30" t="s">
        <v>468</v>
      </c>
      <c r="M12943" s="30" t="s">
        <v>448</v>
      </c>
      <c r="N12943" s="30" t="s">
        <v>447</v>
      </c>
      <c r="P12943" s="30" t="s">
        <v>11051</v>
      </c>
      <c r="Q12943" t="s">
        <v>621</v>
      </c>
      <c r="R12943" t="s">
        <v>920</v>
      </c>
      <c r="S12943">
        <v>38</v>
      </c>
      <c r="T12943" s="29" t="str">
        <f>HYPERLINK("https://ictv.global/ictv/proposals/2022.005P.Secoviridae_rename.zip","2022.005P.Secoviridae_rename.zip")</f>
        <v>2022.005P.Secoviridae_rename.zip</v>
      </c>
      <c r="U12943" s="29" t="str">
        <f>HYPERLINK("https://ictv.global/taxonomy/taxondetails?taxnode_id=202302113","ictv.global=202302113")</f>
        <v>ictv.global=202302113</v>
      </c>
    </row>
    <row r="12944" spans="1:21">
      <c r="A12944">
        <v>12943</v>
      </c>
      <c r="B12944" s="30" t="s">
        <v>1226</v>
      </c>
      <c r="D12944" s="30" t="s">
        <v>2024</v>
      </c>
      <c r="F12944" s="30" t="s">
        <v>2074</v>
      </c>
      <c r="H12944" s="30" t="s">
        <v>2077</v>
      </c>
      <c r="J12944" s="30" t="s">
        <v>278</v>
      </c>
      <c r="L12944" s="30" t="s">
        <v>468</v>
      </c>
      <c r="M12944" s="30" t="s">
        <v>448</v>
      </c>
      <c r="N12944" s="30" t="s">
        <v>447</v>
      </c>
      <c r="P12944" s="30" t="s">
        <v>11052</v>
      </c>
      <c r="Q12944" t="s">
        <v>621</v>
      </c>
      <c r="R12944" t="s">
        <v>917</v>
      </c>
      <c r="S12944">
        <v>38</v>
      </c>
      <c r="T12944" s="29" t="str">
        <f>HYPERLINK("https://ictv.global/ictv/proposals/2022.004P.Secoviridae_8ns.zip","2022.004P.Secoviridae_8ns.zip")</f>
        <v>2022.004P.Secoviridae_8ns.zip</v>
      </c>
      <c r="U12944" s="29" t="str">
        <f>HYPERLINK("https://ictv.global/taxonomy/taxondetails?taxnode_id=202315093","ictv.global=202315093")</f>
        <v>ictv.global=202315093</v>
      </c>
    </row>
    <row r="12945" spans="1:21">
      <c r="A12945">
        <v>12944</v>
      </c>
      <c r="B12945" s="30" t="s">
        <v>1226</v>
      </c>
      <c r="D12945" s="30" t="s">
        <v>2024</v>
      </c>
      <c r="F12945" s="30" t="s">
        <v>2074</v>
      </c>
      <c r="H12945" s="30" t="s">
        <v>2077</v>
      </c>
      <c r="J12945" s="30" t="s">
        <v>278</v>
      </c>
      <c r="L12945" s="30" t="s">
        <v>468</v>
      </c>
      <c r="M12945" s="30" t="s">
        <v>448</v>
      </c>
      <c r="N12945" s="30" t="s">
        <v>447</v>
      </c>
      <c r="P12945" s="30" t="s">
        <v>11053</v>
      </c>
      <c r="Q12945" t="s">
        <v>621</v>
      </c>
      <c r="R12945" t="s">
        <v>920</v>
      </c>
      <c r="S12945">
        <v>38</v>
      </c>
      <c r="T12945" s="29" t="str">
        <f t="shared" ref="T12945:T12953" si="541">HYPERLINK("https://ictv.global/ictv/proposals/2022.005P.Secoviridae_rename.zip","2022.005P.Secoviridae_rename.zip")</f>
        <v>2022.005P.Secoviridae_rename.zip</v>
      </c>
      <c r="U12945" s="29" t="str">
        <f>HYPERLINK("https://ictv.global/taxonomy/taxondetails?taxnode_id=202302097","ictv.global=202302097")</f>
        <v>ictv.global=202302097</v>
      </c>
    </row>
    <row r="12946" spans="1:21">
      <c r="A12946">
        <v>12945</v>
      </c>
      <c r="B12946" s="30" t="s">
        <v>1226</v>
      </c>
      <c r="D12946" s="30" t="s">
        <v>2024</v>
      </c>
      <c r="F12946" s="30" t="s">
        <v>2074</v>
      </c>
      <c r="H12946" s="30" t="s">
        <v>2077</v>
      </c>
      <c r="J12946" s="30" t="s">
        <v>278</v>
      </c>
      <c r="L12946" s="30" t="s">
        <v>468</v>
      </c>
      <c r="M12946" s="30" t="s">
        <v>448</v>
      </c>
      <c r="N12946" s="30" t="s">
        <v>447</v>
      </c>
      <c r="P12946" s="30" t="s">
        <v>11054</v>
      </c>
      <c r="Q12946" t="s">
        <v>621</v>
      </c>
      <c r="R12946" t="s">
        <v>920</v>
      </c>
      <c r="S12946">
        <v>38</v>
      </c>
      <c r="T12946" s="29" t="str">
        <f t="shared" si="541"/>
        <v>2022.005P.Secoviridae_rename.zip</v>
      </c>
      <c r="U12946" s="29" t="str">
        <f>HYPERLINK("https://ictv.global/taxonomy/taxondetails?taxnode_id=202302096","ictv.global=202302096")</f>
        <v>ictv.global=202302096</v>
      </c>
    </row>
    <row r="12947" spans="1:21">
      <c r="A12947">
        <v>12946</v>
      </c>
      <c r="B12947" s="30" t="s">
        <v>1226</v>
      </c>
      <c r="D12947" s="30" t="s">
        <v>2024</v>
      </c>
      <c r="F12947" s="30" t="s">
        <v>2074</v>
      </c>
      <c r="H12947" s="30" t="s">
        <v>2077</v>
      </c>
      <c r="J12947" s="30" t="s">
        <v>278</v>
      </c>
      <c r="L12947" s="30" t="s">
        <v>468</v>
      </c>
      <c r="M12947" s="30" t="s">
        <v>448</v>
      </c>
      <c r="N12947" s="30" t="s">
        <v>447</v>
      </c>
      <c r="P12947" s="30" t="s">
        <v>11055</v>
      </c>
      <c r="Q12947" t="s">
        <v>621</v>
      </c>
      <c r="R12947" t="s">
        <v>920</v>
      </c>
      <c r="S12947">
        <v>38</v>
      </c>
      <c r="T12947" s="29" t="str">
        <f t="shared" si="541"/>
        <v>2022.005P.Secoviridae_rename.zip</v>
      </c>
      <c r="U12947" s="29" t="str">
        <f>HYPERLINK("https://ictv.global/taxonomy/taxondetails?taxnode_id=202302098","ictv.global=202302098")</f>
        <v>ictv.global=202302098</v>
      </c>
    </row>
    <row r="12948" spans="1:21">
      <c r="A12948">
        <v>12947</v>
      </c>
      <c r="B12948" s="30" t="s">
        <v>1226</v>
      </c>
      <c r="D12948" s="30" t="s">
        <v>2024</v>
      </c>
      <c r="F12948" s="30" t="s">
        <v>2074</v>
      </c>
      <c r="H12948" s="30" t="s">
        <v>2077</v>
      </c>
      <c r="J12948" s="30" t="s">
        <v>278</v>
      </c>
      <c r="L12948" s="30" t="s">
        <v>468</v>
      </c>
      <c r="M12948" s="30" t="s">
        <v>448</v>
      </c>
      <c r="N12948" s="30" t="s">
        <v>447</v>
      </c>
      <c r="P12948" s="30" t="s">
        <v>11056</v>
      </c>
      <c r="Q12948" t="s">
        <v>621</v>
      </c>
      <c r="R12948" t="s">
        <v>920</v>
      </c>
      <c r="S12948">
        <v>38</v>
      </c>
      <c r="T12948" s="29" t="str">
        <f t="shared" si="541"/>
        <v>2022.005P.Secoviridae_rename.zip</v>
      </c>
      <c r="U12948" s="29" t="str">
        <f>HYPERLINK("https://ictv.global/taxonomy/taxondetails?taxnode_id=202302120","ictv.global=202302120")</f>
        <v>ictv.global=202302120</v>
      </c>
    </row>
    <row r="12949" spans="1:21">
      <c r="A12949">
        <v>12948</v>
      </c>
      <c r="B12949" s="30" t="s">
        <v>1226</v>
      </c>
      <c r="D12949" s="30" t="s">
        <v>2024</v>
      </c>
      <c r="F12949" s="30" t="s">
        <v>2074</v>
      </c>
      <c r="H12949" s="30" t="s">
        <v>2077</v>
      </c>
      <c r="J12949" s="30" t="s">
        <v>278</v>
      </c>
      <c r="L12949" s="30" t="s">
        <v>468</v>
      </c>
      <c r="M12949" s="30" t="s">
        <v>448</v>
      </c>
      <c r="N12949" s="30" t="s">
        <v>447</v>
      </c>
      <c r="P12949" s="30" t="s">
        <v>11057</v>
      </c>
      <c r="Q12949" t="s">
        <v>621</v>
      </c>
      <c r="R12949" t="s">
        <v>920</v>
      </c>
      <c r="S12949">
        <v>38</v>
      </c>
      <c r="T12949" s="29" t="str">
        <f t="shared" si="541"/>
        <v>2022.005P.Secoviridae_rename.zip</v>
      </c>
      <c r="U12949" s="29" t="str">
        <f>HYPERLINK("https://ictv.global/taxonomy/taxondetails?taxnode_id=202302108","ictv.global=202302108")</f>
        <v>ictv.global=202302108</v>
      </c>
    </row>
    <row r="12950" spans="1:21">
      <c r="A12950">
        <v>12949</v>
      </c>
      <c r="B12950" s="30" t="s">
        <v>1226</v>
      </c>
      <c r="D12950" s="30" t="s">
        <v>2024</v>
      </c>
      <c r="F12950" s="30" t="s">
        <v>2074</v>
      </c>
      <c r="H12950" s="30" t="s">
        <v>2077</v>
      </c>
      <c r="J12950" s="30" t="s">
        <v>278</v>
      </c>
      <c r="L12950" s="30" t="s">
        <v>468</v>
      </c>
      <c r="M12950" s="30" t="s">
        <v>448</v>
      </c>
      <c r="N12950" s="30" t="s">
        <v>447</v>
      </c>
      <c r="P12950" s="30" t="s">
        <v>11058</v>
      </c>
      <c r="Q12950" t="s">
        <v>621</v>
      </c>
      <c r="R12950" t="s">
        <v>920</v>
      </c>
      <c r="S12950">
        <v>38</v>
      </c>
      <c r="T12950" s="29" t="str">
        <f t="shared" si="541"/>
        <v>2022.005P.Secoviridae_rename.zip</v>
      </c>
      <c r="U12950" s="29" t="str">
        <f>HYPERLINK("https://ictv.global/taxonomy/taxondetails?taxnode_id=202302102","ictv.global=202302102")</f>
        <v>ictv.global=202302102</v>
      </c>
    </row>
    <row r="12951" spans="1:21">
      <c r="A12951">
        <v>12950</v>
      </c>
      <c r="B12951" s="30" t="s">
        <v>1226</v>
      </c>
      <c r="D12951" s="30" t="s">
        <v>2024</v>
      </c>
      <c r="F12951" s="30" t="s">
        <v>2074</v>
      </c>
      <c r="H12951" s="30" t="s">
        <v>2077</v>
      </c>
      <c r="J12951" s="30" t="s">
        <v>278</v>
      </c>
      <c r="L12951" s="30" t="s">
        <v>468</v>
      </c>
      <c r="M12951" s="30" t="s">
        <v>448</v>
      </c>
      <c r="N12951" s="30" t="s">
        <v>447</v>
      </c>
      <c r="P12951" s="30" t="s">
        <v>11059</v>
      </c>
      <c r="Q12951" t="s">
        <v>621</v>
      </c>
      <c r="R12951" t="s">
        <v>920</v>
      </c>
      <c r="S12951">
        <v>38</v>
      </c>
      <c r="T12951" s="29" t="str">
        <f t="shared" si="541"/>
        <v>2022.005P.Secoviridae_rename.zip</v>
      </c>
      <c r="U12951" s="29" t="str">
        <f>HYPERLINK("https://ictv.global/taxonomy/taxondetails?taxnode_id=202305628","ictv.global=202305628")</f>
        <v>ictv.global=202305628</v>
      </c>
    </row>
    <row r="12952" spans="1:21">
      <c r="A12952">
        <v>12951</v>
      </c>
      <c r="B12952" s="30" t="s">
        <v>1226</v>
      </c>
      <c r="D12952" s="30" t="s">
        <v>2024</v>
      </c>
      <c r="F12952" s="30" t="s">
        <v>2074</v>
      </c>
      <c r="H12952" s="30" t="s">
        <v>2077</v>
      </c>
      <c r="J12952" s="30" t="s">
        <v>278</v>
      </c>
      <c r="L12952" s="30" t="s">
        <v>468</v>
      </c>
      <c r="M12952" s="30" t="s">
        <v>448</v>
      </c>
      <c r="N12952" s="30" t="s">
        <v>447</v>
      </c>
      <c r="P12952" s="30" t="s">
        <v>11060</v>
      </c>
      <c r="Q12952" t="s">
        <v>621</v>
      </c>
      <c r="R12952" t="s">
        <v>920</v>
      </c>
      <c r="S12952">
        <v>38</v>
      </c>
      <c r="T12952" s="29" t="str">
        <f t="shared" si="541"/>
        <v>2022.005P.Secoviridae_rename.zip</v>
      </c>
      <c r="U12952" s="29" t="str">
        <f>HYPERLINK("https://ictv.global/taxonomy/taxondetails?taxnode_id=202302114","ictv.global=202302114")</f>
        <v>ictv.global=202302114</v>
      </c>
    </row>
    <row r="12953" spans="1:21">
      <c r="A12953">
        <v>12952</v>
      </c>
      <c r="B12953" s="30" t="s">
        <v>1226</v>
      </c>
      <c r="D12953" s="30" t="s">
        <v>2024</v>
      </c>
      <c r="F12953" s="30" t="s">
        <v>2074</v>
      </c>
      <c r="H12953" s="30" t="s">
        <v>2077</v>
      </c>
      <c r="J12953" s="30" t="s">
        <v>278</v>
      </c>
      <c r="L12953" s="30" t="s">
        <v>468</v>
      </c>
      <c r="M12953" s="30" t="s">
        <v>448</v>
      </c>
      <c r="N12953" s="30" t="s">
        <v>447</v>
      </c>
      <c r="P12953" s="30" t="s">
        <v>11061</v>
      </c>
      <c r="Q12953" t="s">
        <v>621</v>
      </c>
      <c r="R12953" t="s">
        <v>920</v>
      </c>
      <c r="S12953">
        <v>38</v>
      </c>
      <c r="T12953" s="29" t="str">
        <f t="shared" si="541"/>
        <v>2022.005P.Secoviridae_rename.zip</v>
      </c>
      <c r="U12953" s="29" t="str">
        <f>HYPERLINK("https://ictv.global/taxonomy/taxondetails?taxnode_id=202312972","ictv.global=202312972")</f>
        <v>ictv.global=202312972</v>
      </c>
    </row>
    <row r="12954" spans="1:21">
      <c r="A12954">
        <v>12953</v>
      </c>
      <c r="B12954" s="30" t="s">
        <v>1226</v>
      </c>
      <c r="D12954" s="30" t="s">
        <v>2024</v>
      </c>
      <c r="F12954" s="30" t="s">
        <v>2074</v>
      </c>
      <c r="H12954" s="30" t="s">
        <v>2077</v>
      </c>
      <c r="J12954" s="30" t="s">
        <v>278</v>
      </c>
      <c r="L12954" s="30" t="s">
        <v>468</v>
      </c>
      <c r="M12954" s="30" t="s">
        <v>448</v>
      </c>
      <c r="N12954" s="30" t="s">
        <v>447</v>
      </c>
      <c r="P12954" s="30" t="s">
        <v>17938</v>
      </c>
      <c r="Q12954" t="s">
        <v>621</v>
      </c>
      <c r="R12954" t="s">
        <v>917</v>
      </c>
      <c r="S12954">
        <v>39</v>
      </c>
      <c r="T12954" s="29" t="str">
        <f>HYPERLINK("https://ictv.global/ictv/proposals/2023.018P.Secoviridae_16nsp.zip","2023.018P.Secoviridae_16nsp.zip")</f>
        <v>2023.018P.Secoviridae_16nsp.zip</v>
      </c>
      <c r="U12954" s="29" t="str">
        <f>HYPERLINK("https://ictv.global/taxonomy/taxondetails?taxnode_id=202318383","ictv.global=202318383")</f>
        <v>ictv.global=202318383</v>
      </c>
    </row>
    <row r="12955" spans="1:21">
      <c r="A12955">
        <v>12954</v>
      </c>
      <c r="B12955" s="30" t="s">
        <v>1226</v>
      </c>
      <c r="D12955" s="30" t="s">
        <v>2024</v>
      </c>
      <c r="F12955" s="30" t="s">
        <v>2074</v>
      </c>
      <c r="H12955" s="30" t="s">
        <v>2077</v>
      </c>
      <c r="J12955" s="30" t="s">
        <v>278</v>
      </c>
      <c r="L12955" s="30" t="s">
        <v>468</v>
      </c>
      <c r="M12955" s="30" t="s">
        <v>448</v>
      </c>
      <c r="N12955" s="30" t="s">
        <v>447</v>
      </c>
      <c r="P12955" s="30" t="s">
        <v>11062</v>
      </c>
      <c r="Q12955" t="s">
        <v>621</v>
      </c>
      <c r="R12955" t="s">
        <v>920</v>
      </c>
      <c r="S12955">
        <v>38</v>
      </c>
      <c r="T12955" s="29" t="str">
        <f t="shared" ref="T12955:T12962" si="542">HYPERLINK("https://ictv.global/ictv/proposals/2022.005P.Secoviridae_rename.zip","2022.005P.Secoviridae_rename.zip")</f>
        <v>2022.005P.Secoviridae_rename.zip</v>
      </c>
      <c r="U12955" s="29" t="str">
        <f>HYPERLINK("https://ictv.global/taxonomy/taxondetails?taxnode_id=202302124","ictv.global=202302124")</f>
        <v>ictv.global=202302124</v>
      </c>
    </row>
    <row r="12956" spans="1:21">
      <c r="A12956">
        <v>12955</v>
      </c>
      <c r="B12956" s="30" t="s">
        <v>1226</v>
      </c>
      <c r="D12956" s="30" t="s">
        <v>2024</v>
      </c>
      <c r="F12956" s="30" t="s">
        <v>2074</v>
      </c>
      <c r="H12956" s="30" t="s">
        <v>2077</v>
      </c>
      <c r="J12956" s="30" t="s">
        <v>278</v>
      </c>
      <c r="L12956" s="30" t="s">
        <v>468</v>
      </c>
      <c r="M12956" s="30" t="s">
        <v>448</v>
      </c>
      <c r="N12956" s="30" t="s">
        <v>447</v>
      </c>
      <c r="P12956" s="30" t="s">
        <v>11063</v>
      </c>
      <c r="Q12956" t="s">
        <v>621</v>
      </c>
      <c r="R12956" t="s">
        <v>920</v>
      </c>
      <c r="S12956">
        <v>38</v>
      </c>
      <c r="T12956" s="29" t="str">
        <f t="shared" si="542"/>
        <v>2022.005P.Secoviridae_rename.zip</v>
      </c>
      <c r="U12956" s="29" t="str">
        <f>HYPERLINK("https://ictv.global/taxonomy/taxondetails?taxnode_id=202302115","ictv.global=202302115")</f>
        <v>ictv.global=202302115</v>
      </c>
    </row>
    <row r="12957" spans="1:21">
      <c r="A12957">
        <v>12956</v>
      </c>
      <c r="B12957" s="30" t="s">
        <v>1226</v>
      </c>
      <c r="D12957" s="30" t="s">
        <v>2024</v>
      </c>
      <c r="F12957" s="30" t="s">
        <v>2074</v>
      </c>
      <c r="H12957" s="30" t="s">
        <v>2077</v>
      </c>
      <c r="J12957" s="30" t="s">
        <v>278</v>
      </c>
      <c r="L12957" s="30" t="s">
        <v>468</v>
      </c>
      <c r="M12957" s="30" t="s">
        <v>448</v>
      </c>
      <c r="N12957" s="30" t="s">
        <v>447</v>
      </c>
      <c r="P12957" s="30" t="s">
        <v>11064</v>
      </c>
      <c r="Q12957" t="s">
        <v>621</v>
      </c>
      <c r="R12957" t="s">
        <v>920</v>
      </c>
      <c r="S12957">
        <v>38</v>
      </c>
      <c r="T12957" s="29" t="str">
        <f t="shared" si="542"/>
        <v>2022.005P.Secoviridae_rename.zip</v>
      </c>
      <c r="U12957" s="29" t="str">
        <f>HYPERLINK("https://ictv.global/taxonomy/taxondetails?taxnode_id=202302109","ictv.global=202302109")</f>
        <v>ictv.global=202302109</v>
      </c>
    </row>
    <row r="12958" spans="1:21">
      <c r="A12958">
        <v>12957</v>
      </c>
      <c r="B12958" s="30" t="s">
        <v>1226</v>
      </c>
      <c r="D12958" s="30" t="s">
        <v>2024</v>
      </c>
      <c r="F12958" s="30" t="s">
        <v>2074</v>
      </c>
      <c r="H12958" s="30" t="s">
        <v>2077</v>
      </c>
      <c r="J12958" s="30" t="s">
        <v>278</v>
      </c>
      <c r="L12958" s="30" t="s">
        <v>468</v>
      </c>
      <c r="M12958" s="30" t="s">
        <v>448</v>
      </c>
      <c r="N12958" s="30" t="s">
        <v>447</v>
      </c>
      <c r="P12958" s="30" t="s">
        <v>11065</v>
      </c>
      <c r="Q12958" t="s">
        <v>621</v>
      </c>
      <c r="R12958" t="s">
        <v>920</v>
      </c>
      <c r="S12958">
        <v>38</v>
      </c>
      <c r="T12958" s="29" t="str">
        <f t="shared" si="542"/>
        <v>2022.005P.Secoviridae_rename.zip</v>
      </c>
      <c r="U12958" s="29" t="str">
        <f>HYPERLINK("https://ictv.global/taxonomy/taxondetails?taxnode_id=202302121","ictv.global=202302121")</f>
        <v>ictv.global=202302121</v>
      </c>
    </row>
    <row r="12959" spans="1:21">
      <c r="A12959">
        <v>12958</v>
      </c>
      <c r="B12959" s="30" t="s">
        <v>1226</v>
      </c>
      <c r="D12959" s="30" t="s">
        <v>2024</v>
      </c>
      <c r="F12959" s="30" t="s">
        <v>2074</v>
      </c>
      <c r="H12959" s="30" t="s">
        <v>2077</v>
      </c>
      <c r="J12959" s="30" t="s">
        <v>278</v>
      </c>
      <c r="L12959" s="30" t="s">
        <v>468</v>
      </c>
      <c r="M12959" s="30" t="s">
        <v>448</v>
      </c>
      <c r="N12959" s="30" t="s">
        <v>447</v>
      </c>
      <c r="P12959" s="30" t="s">
        <v>11066</v>
      </c>
      <c r="Q12959" t="s">
        <v>621</v>
      </c>
      <c r="R12959" t="s">
        <v>920</v>
      </c>
      <c r="S12959">
        <v>38</v>
      </c>
      <c r="T12959" s="29" t="str">
        <f t="shared" si="542"/>
        <v>2022.005P.Secoviridae_rename.zip</v>
      </c>
      <c r="U12959" s="29" t="str">
        <f>HYPERLINK("https://ictv.global/taxonomy/taxondetails?taxnode_id=202302112","ictv.global=202302112")</f>
        <v>ictv.global=202302112</v>
      </c>
    </row>
    <row r="12960" spans="1:21">
      <c r="A12960">
        <v>12959</v>
      </c>
      <c r="B12960" s="30" t="s">
        <v>1226</v>
      </c>
      <c r="D12960" s="30" t="s">
        <v>2024</v>
      </c>
      <c r="F12960" s="30" t="s">
        <v>2074</v>
      </c>
      <c r="H12960" s="30" t="s">
        <v>2077</v>
      </c>
      <c r="J12960" s="30" t="s">
        <v>278</v>
      </c>
      <c r="L12960" s="30" t="s">
        <v>468</v>
      </c>
      <c r="M12960" s="30" t="s">
        <v>448</v>
      </c>
      <c r="N12960" s="30" t="s">
        <v>447</v>
      </c>
      <c r="P12960" s="30" t="s">
        <v>11067</v>
      </c>
      <c r="Q12960" t="s">
        <v>621</v>
      </c>
      <c r="R12960" t="s">
        <v>920</v>
      </c>
      <c r="S12960">
        <v>38</v>
      </c>
      <c r="T12960" s="29" t="str">
        <f t="shared" si="542"/>
        <v>2022.005P.Secoviridae_rename.zip</v>
      </c>
      <c r="U12960" s="29" t="str">
        <f>HYPERLINK("https://ictv.global/taxonomy/taxondetails?taxnode_id=202302101","ictv.global=202302101")</f>
        <v>ictv.global=202302101</v>
      </c>
    </row>
    <row r="12961" spans="1:21">
      <c r="A12961">
        <v>12960</v>
      </c>
      <c r="B12961" s="30" t="s">
        <v>1226</v>
      </c>
      <c r="D12961" s="30" t="s">
        <v>2024</v>
      </c>
      <c r="F12961" s="30" t="s">
        <v>2074</v>
      </c>
      <c r="H12961" s="30" t="s">
        <v>2077</v>
      </c>
      <c r="J12961" s="30" t="s">
        <v>278</v>
      </c>
      <c r="L12961" s="30" t="s">
        <v>468</v>
      </c>
      <c r="M12961" s="30" t="s">
        <v>448</v>
      </c>
      <c r="N12961" s="30" t="s">
        <v>447</v>
      </c>
      <c r="P12961" s="30" t="s">
        <v>11068</v>
      </c>
      <c r="Q12961" t="s">
        <v>621</v>
      </c>
      <c r="R12961" t="s">
        <v>920</v>
      </c>
      <c r="S12961">
        <v>38</v>
      </c>
      <c r="T12961" s="29" t="str">
        <f t="shared" si="542"/>
        <v>2022.005P.Secoviridae_rename.zip</v>
      </c>
      <c r="U12961" s="29" t="str">
        <f>HYPERLINK("https://ictv.global/taxonomy/taxondetails?taxnode_id=202302116","ictv.global=202302116")</f>
        <v>ictv.global=202302116</v>
      </c>
    </row>
    <row r="12962" spans="1:21">
      <c r="A12962">
        <v>12961</v>
      </c>
      <c r="B12962" s="30" t="s">
        <v>1226</v>
      </c>
      <c r="D12962" s="30" t="s">
        <v>2024</v>
      </c>
      <c r="F12962" s="30" t="s">
        <v>2074</v>
      </c>
      <c r="H12962" s="30" t="s">
        <v>2077</v>
      </c>
      <c r="J12962" s="30" t="s">
        <v>278</v>
      </c>
      <c r="L12962" s="30" t="s">
        <v>468</v>
      </c>
      <c r="M12962" s="30" t="s">
        <v>448</v>
      </c>
      <c r="N12962" s="30" t="s">
        <v>447</v>
      </c>
      <c r="P12962" s="30" t="s">
        <v>11069</v>
      </c>
      <c r="Q12962" t="s">
        <v>621</v>
      </c>
      <c r="R12962" t="s">
        <v>920</v>
      </c>
      <c r="S12962">
        <v>38</v>
      </c>
      <c r="T12962" s="29" t="str">
        <f t="shared" si="542"/>
        <v>2022.005P.Secoviridae_rename.zip</v>
      </c>
      <c r="U12962" s="29" t="str">
        <f>HYPERLINK("https://ictv.global/taxonomy/taxondetails?taxnode_id=202302117","ictv.global=202302117")</f>
        <v>ictv.global=202302117</v>
      </c>
    </row>
    <row r="12963" spans="1:21">
      <c r="A12963">
        <v>12962</v>
      </c>
      <c r="B12963" s="30" t="s">
        <v>1226</v>
      </c>
      <c r="D12963" s="30" t="s">
        <v>2024</v>
      </c>
      <c r="F12963" s="30" t="s">
        <v>2074</v>
      </c>
      <c r="H12963" s="30" t="s">
        <v>2077</v>
      </c>
      <c r="J12963" s="30" t="s">
        <v>278</v>
      </c>
      <c r="L12963" s="30" t="s">
        <v>468</v>
      </c>
      <c r="M12963" s="30" t="s">
        <v>448</v>
      </c>
      <c r="N12963" s="30" t="s">
        <v>447</v>
      </c>
      <c r="P12963" s="30" t="s">
        <v>17939</v>
      </c>
      <c r="Q12963" t="s">
        <v>621</v>
      </c>
      <c r="R12963" t="s">
        <v>917</v>
      </c>
      <c r="S12963">
        <v>39</v>
      </c>
      <c r="T12963" s="29" t="str">
        <f>HYPERLINK("https://ictv.global/ictv/proposals/2023.018P.Secoviridae_16nsp.zip","2023.018P.Secoviridae_16nsp.zip")</f>
        <v>2023.018P.Secoviridae_16nsp.zip</v>
      </c>
      <c r="U12963" s="29" t="str">
        <f>HYPERLINK("https://ictv.global/taxonomy/taxondetails?taxnode_id=202318384","ictv.global=202318384")</f>
        <v>ictv.global=202318384</v>
      </c>
    </row>
    <row r="12964" spans="1:21">
      <c r="A12964">
        <v>12963</v>
      </c>
      <c r="B12964" s="30" t="s">
        <v>1226</v>
      </c>
      <c r="D12964" s="30" t="s">
        <v>2024</v>
      </c>
      <c r="F12964" s="30" t="s">
        <v>2074</v>
      </c>
      <c r="H12964" s="30" t="s">
        <v>2077</v>
      </c>
      <c r="J12964" s="30" t="s">
        <v>278</v>
      </c>
      <c r="L12964" s="30" t="s">
        <v>468</v>
      </c>
      <c r="M12964" s="30" t="s">
        <v>448</v>
      </c>
      <c r="N12964" s="30" t="s">
        <v>447</v>
      </c>
      <c r="P12964" s="30" t="s">
        <v>11070</v>
      </c>
      <c r="Q12964" t="s">
        <v>621</v>
      </c>
      <c r="R12964" t="s">
        <v>920</v>
      </c>
      <c r="S12964">
        <v>38</v>
      </c>
      <c r="T12964" s="29" t="str">
        <f>HYPERLINK("https://ictv.global/ictv/proposals/2022.005P.Secoviridae_rename.zip","2022.005P.Secoviridae_rename.zip")</f>
        <v>2022.005P.Secoviridae_rename.zip</v>
      </c>
      <c r="U12964" s="29" t="str">
        <f>HYPERLINK("https://ictv.global/taxonomy/taxondetails?taxnode_id=202305629","ictv.global=202305629")</f>
        <v>ictv.global=202305629</v>
      </c>
    </row>
    <row r="12965" spans="1:21">
      <c r="A12965">
        <v>12964</v>
      </c>
      <c r="B12965" s="30" t="s">
        <v>1226</v>
      </c>
      <c r="D12965" s="30" t="s">
        <v>2024</v>
      </c>
      <c r="F12965" s="30" t="s">
        <v>2074</v>
      </c>
      <c r="H12965" s="30" t="s">
        <v>2077</v>
      </c>
      <c r="J12965" s="30" t="s">
        <v>278</v>
      </c>
      <c r="L12965" s="30" t="s">
        <v>468</v>
      </c>
      <c r="M12965" s="30" t="s">
        <v>448</v>
      </c>
      <c r="N12965" s="30" t="s">
        <v>447</v>
      </c>
      <c r="P12965" s="30" t="s">
        <v>11071</v>
      </c>
      <c r="Q12965" t="s">
        <v>621</v>
      </c>
      <c r="R12965" t="s">
        <v>920</v>
      </c>
      <c r="S12965">
        <v>38</v>
      </c>
      <c r="T12965" s="29" t="str">
        <f>HYPERLINK("https://ictv.global/ictv/proposals/2022.005P.Secoviridae_rename.zip","2022.005P.Secoviridae_rename.zip")</f>
        <v>2022.005P.Secoviridae_rename.zip</v>
      </c>
      <c r="U12965" s="29" t="str">
        <f>HYPERLINK("https://ictv.global/taxonomy/taxondetails?taxnode_id=202302119","ictv.global=202302119")</f>
        <v>ictv.global=202302119</v>
      </c>
    </row>
    <row r="12966" spans="1:21">
      <c r="A12966">
        <v>12965</v>
      </c>
      <c r="B12966" s="30" t="s">
        <v>1226</v>
      </c>
      <c r="D12966" s="30" t="s">
        <v>2024</v>
      </c>
      <c r="F12966" s="30" t="s">
        <v>2074</v>
      </c>
      <c r="H12966" s="30" t="s">
        <v>2077</v>
      </c>
      <c r="J12966" s="30" t="s">
        <v>278</v>
      </c>
      <c r="L12966" s="30" t="s">
        <v>468</v>
      </c>
      <c r="M12966" s="30" t="s">
        <v>448</v>
      </c>
      <c r="N12966" s="30" t="s">
        <v>447</v>
      </c>
      <c r="P12966" s="30" t="s">
        <v>11072</v>
      </c>
      <c r="Q12966" t="s">
        <v>621</v>
      </c>
      <c r="R12966" t="s">
        <v>920</v>
      </c>
      <c r="S12966">
        <v>38</v>
      </c>
      <c r="T12966" s="29" t="str">
        <f>HYPERLINK("https://ictv.global/ictv/proposals/2022.005P.Secoviridae_rename.zip","2022.005P.Secoviridae_rename.zip")</f>
        <v>2022.005P.Secoviridae_rename.zip</v>
      </c>
      <c r="U12966" s="29" t="str">
        <f>HYPERLINK("https://ictv.global/taxonomy/taxondetails?taxnode_id=202302100","ictv.global=202302100")</f>
        <v>ictv.global=202302100</v>
      </c>
    </row>
    <row r="12967" spans="1:21">
      <c r="A12967">
        <v>12966</v>
      </c>
      <c r="B12967" s="30" t="s">
        <v>1226</v>
      </c>
      <c r="D12967" s="30" t="s">
        <v>2024</v>
      </c>
      <c r="F12967" s="30" t="s">
        <v>2074</v>
      </c>
      <c r="H12967" s="30" t="s">
        <v>2077</v>
      </c>
      <c r="J12967" s="30" t="s">
        <v>278</v>
      </c>
      <c r="L12967" s="30" t="s">
        <v>468</v>
      </c>
      <c r="M12967" s="30" t="s">
        <v>448</v>
      </c>
      <c r="N12967" s="30" t="s">
        <v>447</v>
      </c>
      <c r="P12967" s="30" t="s">
        <v>17940</v>
      </c>
      <c r="Q12967" t="s">
        <v>621</v>
      </c>
      <c r="R12967" t="s">
        <v>917</v>
      </c>
      <c r="S12967">
        <v>39</v>
      </c>
      <c r="T12967" s="29" t="str">
        <f>HYPERLINK("https://ictv.global/ictv/proposals/2023.018P.Secoviridae_16nsp.zip","2023.018P.Secoviridae_16nsp.zip")</f>
        <v>2023.018P.Secoviridae_16nsp.zip</v>
      </c>
      <c r="U12967" s="29" t="str">
        <f>HYPERLINK("https://ictv.global/taxonomy/taxondetails?taxnode_id=202318385","ictv.global=202318385")</f>
        <v>ictv.global=202318385</v>
      </c>
    </row>
    <row r="12968" spans="1:21">
      <c r="A12968">
        <v>12967</v>
      </c>
      <c r="B12968" s="30" t="s">
        <v>1226</v>
      </c>
      <c r="D12968" s="30" t="s">
        <v>2024</v>
      </c>
      <c r="F12968" s="30" t="s">
        <v>2074</v>
      </c>
      <c r="H12968" s="30" t="s">
        <v>2077</v>
      </c>
      <c r="J12968" s="30" t="s">
        <v>278</v>
      </c>
      <c r="L12968" s="30" t="s">
        <v>468</v>
      </c>
      <c r="M12968" s="30" t="s">
        <v>448</v>
      </c>
      <c r="N12968" s="30" t="s">
        <v>447</v>
      </c>
      <c r="P12968" s="30" t="s">
        <v>11073</v>
      </c>
      <c r="Q12968" t="s">
        <v>621</v>
      </c>
      <c r="R12968" t="s">
        <v>920</v>
      </c>
      <c r="S12968">
        <v>38</v>
      </c>
      <c r="T12968" s="29" t="str">
        <f t="shared" ref="T12968:T12983" si="543">HYPERLINK("https://ictv.global/ictv/proposals/2022.005P.Secoviridae_rename.zip","2022.005P.Secoviridae_rename.zip")</f>
        <v>2022.005P.Secoviridae_rename.zip</v>
      </c>
      <c r="U12968" s="29" t="str">
        <f>HYPERLINK("https://ictv.global/taxonomy/taxondetails?taxnode_id=202302132","ictv.global=202302132")</f>
        <v>ictv.global=202302132</v>
      </c>
    </row>
    <row r="12969" spans="1:21">
      <c r="A12969">
        <v>12968</v>
      </c>
      <c r="B12969" s="30" t="s">
        <v>1226</v>
      </c>
      <c r="D12969" s="30" t="s">
        <v>2024</v>
      </c>
      <c r="F12969" s="30" t="s">
        <v>2074</v>
      </c>
      <c r="H12969" s="30" t="s">
        <v>2077</v>
      </c>
      <c r="J12969" s="30" t="s">
        <v>278</v>
      </c>
      <c r="L12969" s="30" t="s">
        <v>468</v>
      </c>
      <c r="M12969" s="30" t="s">
        <v>448</v>
      </c>
      <c r="N12969" s="30" t="s">
        <v>447</v>
      </c>
      <c r="P12969" s="30" t="s">
        <v>11074</v>
      </c>
      <c r="Q12969" t="s">
        <v>621</v>
      </c>
      <c r="R12969" t="s">
        <v>920</v>
      </c>
      <c r="S12969">
        <v>38</v>
      </c>
      <c r="T12969" s="29" t="str">
        <f t="shared" si="543"/>
        <v>2022.005P.Secoviridae_rename.zip</v>
      </c>
      <c r="U12969" s="29" t="str">
        <f>HYPERLINK("https://ictv.global/taxonomy/taxondetails?taxnode_id=202302123","ictv.global=202302123")</f>
        <v>ictv.global=202302123</v>
      </c>
    </row>
    <row r="12970" spans="1:21">
      <c r="A12970">
        <v>12969</v>
      </c>
      <c r="B12970" s="30" t="s">
        <v>1226</v>
      </c>
      <c r="D12970" s="30" t="s">
        <v>2024</v>
      </c>
      <c r="F12970" s="30" t="s">
        <v>2074</v>
      </c>
      <c r="H12970" s="30" t="s">
        <v>2077</v>
      </c>
      <c r="J12970" s="30" t="s">
        <v>278</v>
      </c>
      <c r="L12970" s="30" t="s">
        <v>468</v>
      </c>
      <c r="M12970" s="30" t="s">
        <v>448</v>
      </c>
      <c r="N12970" s="30" t="s">
        <v>447</v>
      </c>
      <c r="P12970" s="30" t="s">
        <v>11075</v>
      </c>
      <c r="Q12970" t="s">
        <v>621</v>
      </c>
      <c r="R12970" t="s">
        <v>920</v>
      </c>
      <c r="S12970">
        <v>38</v>
      </c>
      <c r="T12970" s="29" t="str">
        <f t="shared" si="543"/>
        <v>2022.005P.Secoviridae_rename.zip</v>
      </c>
      <c r="U12970" s="29" t="str">
        <f>HYPERLINK("https://ictv.global/taxonomy/taxondetails?taxnode_id=202302107","ictv.global=202302107")</f>
        <v>ictv.global=202302107</v>
      </c>
    </row>
    <row r="12971" spans="1:21">
      <c r="A12971">
        <v>12970</v>
      </c>
      <c r="B12971" s="30" t="s">
        <v>1226</v>
      </c>
      <c r="D12971" s="30" t="s">
        <v>2024</v>
      </c>
      <c r="F12971" s="30" t="s">
        <v>2074</v>
      </c>
      <c r="H12971" s="30" t="s">
        <v>2077</v>
      </c>
      <c r="J12971" s="30" t="s">
        <v>278</v>
      </c>
      <c r="L12971" s="30" t="s">
        <v>468</v>
      </c>
      <c r="M12971" s="30" t="s">
        <v>448</v>
      </c>
      <c r="N12971" s="30" t="s">
        <v>447</v>
      </c>
      <c r="P12971" s="30" t="s">
        <v>11076</v>
      </c>
      <c r="Q12971" t="s">
        <v>621</v>
      </c>
      <c r="R12971" t="s">
        <v>920</v>
      </c>
      <c r="S12971">
        <v>38</v>
      </c>
      <c r="T12971" s="29" t="str">
        <f t="shared" si="543"/>
        <v>2022.005P.Secoviridae_rename.zip</v>
      </c>
      <c r="U12971" s="29" t="str">
        <f>HYPERLINK("https://ictv.global/taxonomy/taxondetails?taxnode_id=202302122","ictv.global=202302122")</f>
        <v>ictv.global=202302122</v>
      </c>
    </row>
    <row r="12972" spans="1:21">
      <c r="A12972">
        <v>12971</v>
      </c>
      <c r="B12972" s="30" t="s">
        <v>1226</v>
      </c>
      <c r="D12972" s="30" t="s">
        <v>2024</v>
      </c>
      <c r="F12972" s="30" t="s">
        <v>2074</v>
      </c>
      <c r="H12972" s="30" t="s">
        <v>2077</v>
      </c>
      <c r="J12972" s="30" t="s">
        <v>278</v>
      </c>
      <c r="L12972" s="30" t="s">
        <v>468</v>
      </c>
      <c r="M12972" s="30" t="s">
        <v>448</v>
      </c>
      <c r="N12972" s="30" t="s">
        <v>447</v>
      </c>
      <c r="P12972" s="30" t="s">
        <v>11077</v>
      </c>
      <c r="Q12972" t="s">
        <v>621</v>
      </c>
      <c r="R12972" t="s">
        <v>920</v>
      </c>
      <c r="S12972">
        <v>38</v>
      </c>
      <c r="T12972" s="29" t="str">
        <f t="shared" si="543"/>
        <v>2022.005P.Secoviridae_rename.zip</v>
      </c>
      <c r="U12972" s="29" t="str">
        <f>HYPERLINK("https://ictv.global/taxonomy/taxondetails?taxnode_id=202302105","ictv.global=202302105")</f>
        <v>ictv.global=202302105</v>
      </c>
    </row>
    <row r="12973" spans="1:21">
      <c r="A12973">
        <v>12972</v>
      </c>
      <c r="B12973" s="30" t="s">
        <v>1226</v>
      </c>
      <c r="D12973" s="30" t="s">
        <v>2024</v>
      </c>
      <c r="F12973" s="30" t="s">
        <v>2074</v>
      </c>
      <c r="H12973" s="30" t="s">
        <v>2077</v>
      </c>
      <c r="J12973" s="30" t="s">
        <v>278</v>
      </c>
      <c r="L12973" s="30" t="s">
        <v>468</v>
      </c>
      <c r="M12973" s="30" t="s">
        <v>448</v>
      </c>
      <c r="N12973" s="30" t="s">
        <v>447</v>
      </c>
      <c r="P12973" s="30" t="s">
        <v>11078</v>
      </c>
      <c r="Q12973" t="s">
        <v>621</v>
      </c>
      <c r="R12973" t="s">
        <v>920</v>
      </c>
      <c r="S12973">
        <v>38</v>
      </c>
      <c r="T12973" s="29" t="str">
        <f t="shared" si="543"/>
        <v>2022.005P.Secoviridae_rename.zip</v>
      </c>
      <c r="U12973" s="29" t="str">
        <f>HYPERLINK("https://ictv.global/taxonomy/taxondetails?taxnode_id=202302130","ictv.global=202302130")</f>
        <v>ictv.global=202302130</v>
      </c>
    </row>
    <row r="12974" spans="1:21">
      <c r="A12974">
        <v>12973</v>
      </c>
      <c r="B12974" s="30" t="s">
        <v>1226</v>
      </c>
      <c r="D12974" s="30" t="s">
        <v>2024</v>
      </c>
      <c r="F12974" s="30" t="s">
        <v>2074</v>
      </c>
      <c r="H12974" s="30" t="s">
        <v>2077</v>
      </c>
      <c r="J12974" s="30" t="s">
        <v>278</v>
      </c>
      <c r="L12974" s="30" t="s">
        <v>468</v>
      </c>
      <c r="M12974" s="30" t="s">
        <v>448</v>
      </c>
      <c r="N12974" s="30" t="s">
        <v>447</v>
      </c>
      <c r="P12974" s="30" t="s">
        <v>11079</v>
      </c>
      <c r="Q12974" t="s">
        <v>621</v>
      </c>
      <c r="R12974" t="s">
        <v>920</v>
      </c>
      <c r="S12974">
        <v>38</v>
      </c>
      <c r="T12974" s="29" t="str">
        <f t="shared" si="543"/>
        <v>2022.005P.Secoviridae_rename.zip</v>
      </c>
      <c r="U12974" s="29" t="str">
        <f>HYPERLINK("https://ictv.global/taxonomy/taxondetails?taxnode_id=202302131","ictv.global=202302131")</f>
        <v>ictv.global=202302131</v>
      </c>
    </row>
    <row r="12975" spans="1:21">
      <c r="A12975">
        <v>12974</v>
      </c>
      <c r="B12975" s="30" t="s">
        <v>1226</v>
      </c>
      <c r="D12975" s="30" t="s">
        <v>2024</v>
      </c>
      <c r="F12975" s="30" t="s">
        <v>2074</v>
      </c>
      <c r="H12975" s="30" t="s">
        <v>2077</v>
      </c>
      <c r="J12975" s="30" t="s">
        <v>278</v>
      </c>
      <c r="L12975" s="30" t="s">
        <v>468</v>
      </c>
      <c r="M12975" s="30" t="s">
        <v>448</v>
      </c>
      <c r="N12975" s="30" t="s">
        <v>447</v>
      </c>
      <c r="P12975" s="30" t="s">
        <v>11080</v>
      </c>
      <c r="Q12975" t="s">
        <v>621</v>
      </c>
      <c r="R12975" t="s">
        <v>920</v>
      </c>
      <c r="S12975">
        <v>38</v>
      </c>
      <c r="T12975" s="29" t="str">
        <f t="shared" si="543"/>
        <v>2022.005P.Secoviridae_rename.zip</v>
      </c>
      <c r="U12975" s="29" t="str">
        <f>HYPERLINK("https://ictv.global/taxonomy/taxondetails?taxnode_id=202302125","ictv.global=202302125")</f>
        <v>ictv.global=202302125</v>
      </c>
    </row>
    <row r="12976" spans="1:21">
      <c r="A12976">
        <v>12975</v>
      </c>
      <c r="B12976" s="30" t="s">
        <v>1226</v>
      </c>
      <c r="D12976" s="30" t="s">
        <v>2024</v>
      </c>
      <c r="F12976" s="30" t="s">
        <v>2074</v>
      </c>
      <c r="H12976" s="30" t="s">
        <v>2077</v>
      </c>
      <c r="J12976" s="30" t="s">
        <v>278</v>
      </c>
      <c r="L12976" s="30" t="s">
        <v>468</v>
      </c>
      <c r="M12976" s="30" t="s">
        <v>448</v>
      </c>
      <c r="N12976" s="30" t="s">
        <v>447</v>
      </c>
      <c r="P12976" s="30" t="s">
        <v>11081</v>
      </c>
      <c r="Q12976" t="s">
        <v>621</v>
      </c>
      <c r="R12976" t="s">
        <v>920</v>
      </c>
      <c r="S12976">
        <v>38</v>
      </c>
      <c r="T12976" s="29" t="str">
        <f t="shared" si="543"/>
        <v>2022.005P.Secoviridae_rename.zip</v>
      </c>
      <c r="U12976" s="29" t="str">
        <f>HYPERLINK("https://ictv.global/taxonomy/taxondetails?taxnode_id=202302126","ictv.global=202302126")</f>
        <v>ictv.global=202302126</v>
      </c>
    </row>
    <row r="12977" spans="1:21">
      <c r="A12977">
        <v>12976</v>
      </c>
      <c r="B12977" s="30" t="s">
        <v>1226</v>
      </c>
      <c r="D12977" s="30" t="s">
        <v>2024</v>
      </c>
      <c r="F12977" s="30" t="s">
        <v>2074</v>
      </c>
      <c r="H12977" s="30" t="s">
        <v>2077</v>
      </c>
      <c r="J12977" s="30" t="s">
        <v>278</v>
      </c>
      <c r="L12977" s="30" t="s">
        <v>468</v>
      </c>
      <c r="M12977" s="30" t="s">
        <v>448</v>
      </c>
      <c r="N12977" s="30" t="s">
        <v>447</v>
      </c>
      <c r="P12977" s="30" t="s">
        <v>11082</v>
      </c>
      <c r="Q12977" t="s">
        <v>621</v>
      </c>
      <c r="R12977" t="s">
        <v>920</v>
      </c>
      <c r="S12977">
        <v>38</v>
      </c>
      <c r="T12977" s="29" t="str">
        <f t="shared" si="543"/>
        <v>2022.005P.Secoviridae_rename.zip</v>
      </c>
      <c r="U12977" s="29" t="str">
        <f>HYPERLINK("https://ictv.global/taxonomy/taxondetails?taxnode_id=202312969","ictv.global=202312969")</f>
        <v>ictv.global=202312969</v>
      </c>
    </row>
    <row r="12978" spans="1:21">
      <c r="A12978">
        <v>12977</v>
      </c>
      <c r="B12978" s="30" t="s">
        <v>1226</v>
      </c>
      <c r="D12978" s="30" t="s">
        <v>2024</v>
      </c>
      <c r="F12978" s="30" t="s">
        <v>2074</v>
      </c>
      <c r="H12978" s="30" t="s">
        <v>2077</v>
      </c>
      <c r="J12978" s="30" t="s">
        <v>278</v>
      </c>
      <c r="L12978" s="30" t="s">
        <v>468</v>
      </c>
      <c r="M12978" s="30" t="s">
        <v>448</v>
      </c>
      <c r="N12978" s="30" t="s">
        <v>447</v>
      </c>
      <c r="P12978" s="30" t="s">
        <v>11083</v>
      </c>
      <c r="Q12978" t="s">
        <v>621</v>
      </c>
      <c r="R12978" t="s">
        <v>920</v>
      </c>
      <c r="S12978">
        <v>38</v>
      </c>
      <c r="T12978" s="29" t="str">
        <f t="shared" si="543"/>
        <v>2022.005P.Secoviridae_rename.zip</v>
      </c>
      <c r="U12978" s="29" t="str">
        <f>HYPERLINK("https://ictv.global/taxonomy/taxondetails?taxnode_id=202312970","ictv.global=202312970")</f>
        <v>ictv.global=202312970</v>
      </c>
    </row>
    <row r="12979" spans="1:21">
      <c r="A12979">
        <v>12978</v>
      </c>
      <c r="B12979" s="30" t="s">
        <v>1226</v>
      </c>
      <c r="D12979" s="30" t="s">
        <v>2024</v>
      </c>
      <c r="F12979" s="30" t="s">
        <v>2074</v>
      </c>
      <c r="H12979" s="30" t="s">
        <v>2077</v>
      </c>
      <c r="J12979" s="30" t="s">
        <v>278</v>
      </c>
      <c r="L12979" s="30" t="s">
        <v>468</v>
      </c>
      <c r="M12979" s="30" t="s">
        <v>448</v>
      </c>
      <c r="N12979" s="30" t="s">
        <v>447</v>
      </c>
      <c r="P12979" s="30" t="s">
        <v>11084</v>
      </c>
      <c r="Q12979" t="s">
        <v>621</v>
      </c>
      <c r="R12979" t="s">
        <v>920</v>
      </c>
      <c r="S12979">
        <v>38</v>
      </c>
      <c r="T12979" s="29" t="str">
        <f t="shared" si="543"/>
        <v>2022.005P.Secoviridae_rename.zip</v>
      </c>
      <c r="U12979" s="29" t="str">
        <f>HYPERLINK("https://ictv.global/taxonomy/taxondetails?taxnode_id=202312971","ictv.global=202312971")</f>
        <v>ictv.global=202312971</v>
      </c>
    </row>
    <row r="12980" spans="1:21">
      <c r="A12980">
        <v>12979</v>
      </c>
      <c r="B12980" s="30" t="s">
        <v>1226</v>
      </c>
      <c r="D12980" s="30" t="s">
        <v>2024</v>
      </c>
      <c r="F12980" s="30" t="s">
        <v>2074</v>
      </c>
      <c r="H12980" s="30" t="s">
        <v>2077</v>
      </c>
      <c r="J12980" s="30" t="s">
        <v>278</v>
      </c>
      <c r="L12980" s="30" t="s">
        <v>468</v>
      </c>
      <c r="M12980" s="30" t="s">
        <v>448</v>
      </c>
      <c r="N12980" s="30" t="s">
        <v>447</v>
      </c>
      <c r="P12980" s="30" t="s">
        <v>11085</v>
      </c>
      <c r="Q12980" t="s">
        <v>621</v>
      </c>
      <c r="R12980" t="s">
        <v>920</v>
      </c>
      <c r="S12980">
        <v>38</v>
      </c>
      <c r="T12980" s="29" t="str">
        <f t="shared" si="543"/>
        <v>2022.005P.Secoviridae_rename.zip</v>
      </c>
      <c r="U12980" s="29" t="str">
        <f>HYPERLINK("https://ictv.global/taxonomy/taxondetails?taxnode_id=202302103","ictv.global=202302103")</f>
        <v>ictv.global=202302103</v>
      </c>
    </row>
    <row r="12981" spans="1:21">
      <c r="A12981">
        <v>12980</v>
      </c>
      <c r="B12981" s="30" t="s">
        <v>1226</v>
      </c>
      <c r="D12981" s="30" t="s">
        <v>2024</v>
      </c>
      <c r="F12981" s="30" t="s">
        <v>2074</v>
      </c>
      <c r="H12981" s="30" t="s">
        <v>2077</v>
      </c>
      <c r="J12981" s="30" t="s">
        <v>278</v>
      </c>
      <c r="L12981" s="30" t="s">
        <v>468</v>
      </c>
      <c r="M12981" s="30" t="s">
        <v>448</v>
      </c>
      <c r="N12981" s="30" t="s">
        <v>447</v>
      </c>
      <c r="P12981" s="30" t="s">
        <v>11086</v>
      </c>
      <c r="Q12981" t="s">
        <v>621</v>
      </c>
      <c r="R12981" t="s">
        <v>920</v>
      </c>
      <c r="S12981">
        <v>38</v>
      </c>
      <c r="T12981" s="29" t="str">
        <f t="shared" si="543"/>
        <v>2022.005P.Secoviridae_rename.zip</v>
      </c>
      <c r="U12981" s="29" t="str">
        <f>HYPERLINK("https://ictv.global/taxonomy/taxondetails?taxnode_id=202302129","ictv.global=202302129")</f>
        <v>ictv.global=202302129</v>
      </c>
    </row>
    <row r="12982" spans="1:21">
      <c r="A12982">
        <v>12981</v>
      </c>
      <c r="B12982" s="30" t="s">
        <v>1226</v>
      </c>
      <c r="D12982" s="30" t="s">
        <v>2024</v>
      </c>
      <c r="F12982" s="30" t="s">
        <v>2074</v>
      </c>
      <c r="H12982" s="30" t="s">
        <v>2077</v>
      </c>
      <c r="J12982" s="30" t="s">
        <v>278</v>
      </c>
      <c r="L12982" s="30" t="s">
        <v>468</v>
      </c>
      <c r="M12982" s="30" t="s">
        <v>448</v>
      </c>
      <c r="N12982" s="30" t="s">
        <v>447</v>
      </c>
      <c r="P12982" s="30" t="s">
        <v>11087</v>
      </c>
      <c r="Q12982" t="s">
        <v>621</v>
      </c>
      <c r="R12982" t="s">
        <v>920</v>
      </c>
      <c r="S12982">
        <v>38</v>
      </c>
      <c r="T12982" s="29" t="str">
        <f t="shared" si="543"/>
        <v>2022.005P.Secoviridae_rename.zip</v>
      </c>
      <c r="U12982" s="29" t="str">
        <f>HYPERLINK("https://ictv.global/taxonomy/taxondetails?taxnode_id=202313816","ictv.global=202313816")</f>
        <v>ictv.global=202313816</v>
      </c>
    </row>
    <row r="12983" spans="1:21">
      <c r="A12983">
        <v>12982</v>
      </c>
      <c r="B12983" s="30" t="s">
        <v>1226</v>
      </c>
      <c r="D12983" s="30" t="s">
        <v>2024</v>
      </c>
      <c r="F12983" s="30" t="s">
        <v>2074</v>
      </c>
      <c r="H12983" s="30" t="s">
        <v>2077</v>
      </c>
      <c r="J12983" s="30" t="s">
        <v>278</v>
      </c>
      <c r="L12983" s="30" t="s">
        <v>468</v>
      </c>
      <c r="M12983" s="30" t="s">
        <v>448</v>
      </c>
      <c r="N12983" s="30" t="s">
        <v>447</v>
      </c>
      <c r="P12983" s="30" t="s">
        <v>11088</v>
      </c>
      <c r="Q12983" t="s">
        <v>621</v>
      </c>
      <c r="R12983" t="s">
        <v>920</v>
      </c>
      <c r="S12983">
        <v>38</v>
      </c>
      <c r="T12983" s="29" t="str">
        <f t="shared" si="543"/>
        <v>2022.005P.Secoviridae_rename.zip</v>
      </c>
      <c r="U12983" s="29" t="str">
        <f>HYPERLINK("https://ictv.global/taxonomy/taxondetails?taxnode_id=202302127","ictv.global=202302127")</f>
        <v>ictv.global=202302127</v>
      </c>
    </row>
    <row r="12984" spans="1:21">
      <c r="A12984">
        <v>12983</v>
      </c>
      <c r="B12984" s="30" t="s">
        <v>1226</v>
      </c>
      <c r="D12984" s="30" t="s">
        <v>2024</v>
      </c>
      <c r="F12984" s="30" t="s">
        <v>2074</v>
      </c>
      <c r="H12984" s="30" t="s">
        <v>2077</v>
      </c>
      <c r="J12984" s="30" t="s">
        <v>278</v>
      </c>
      <c r="L12984" s="30" t="s">
        <v>468</v>
      </c>
      <c r="M12984" s="30" t="s">
        <v>448</v>
      </c>
      <c r="N12984" s="30" t="s">
        <v>447</v>
      </c>
      <c r="P12984" s="30" t="s">
        <v>11089</v>
      </c>
      <c r="Q12984" t="s">
        <v>621</v>
      </c>
      <c r="R12984" t="s">
        <v>917</v>
      </c>
      <c r="S12984">
        <v>38</v>
      </c>
      <c r="T12984" s="29" t="str">
        <f>HYPERLINK("https://ictv.global/ictv/proposals/2022.004P.Secoviridae_8ns.zip","2022.004P.Secoviridae_8ns.zip")</f>
        <v>2022.004P.Secoviridae_8ns.zip</v>
      </c>
      <c r="U12984" s="29" t="str">
        <f>HYPERLINK("https://ictv.global/taxonomy/taxondetails?taxnode_id=202315092","ictv.global=202315092")</f>
        <v>ictv.global=202315092</v>
      </c>
    </row>
    <row r="12985" spans="1:21">
      <c r="A12985">
        <v>12984</v>
      </c>
      <c r="B12985" s="30" t="s">
        <v>1226</v>
      </c>
      <c r="D12985" s="30" t="s">
        <v>2024</v>
      </c>
      <c r="F12985" s="30" t="s">
        <v>2074</v>
      </c>
      <c r="H12985" s="30" t="s">
        <v>2077</v>
      </c>
      <c r="J12985" s="30" t="s">
        <v>278</v>
      </c>
      <c r="L12985" s="30" t="s">
        <v>468</v>
      </c>
      <c r="M12985" s="30" t="s">
        <v>448</v>
      </c>
      <c r="N12985" s="30" t="s">
        <v>447</v>
      </c>
      <c r="P12985" s="30" t="s">
        <v>11090</v>
      </c>
      <c r="Q12985" t="s">
        <v>621</v>
      </c>
      <c r="R12985" t="s">
        <v>920</v>
      </c>
      <c r="S12985">
        <v>38</v>
      </c>
      <c r="T12985" s="29" t="str">
        <f>HYPERLINK("https://ictv.global/ictv/proposals/2022.005P.Secoviridae_rename.zip","2022.005P.Secoviridae_rename.zip")</f>
        <v>2022.005P.Secoviridae_rename.zip</v>
      </c>
      <c r="U12985" s="29" t="str">
        <f>HYPERLINK("https://ictv.global/taxonomy/taxondetails?taxnode_id=202302110","ictv.global=202302110")</f>
        <v>ictv.global=202302110</v>
      </c>
    </row>
    <row r="12986" spans="1:21">
      <c r="A12986">
        <v>12985</v>
      </c>
      <c r="B12986" s="30" t="s">
        <v>1226</v>
      </c>
      <c r="D12986" s="30" t="s">
        <v>2024</v>
      </c>
      <c r="F12986" s="30" t="s">
        <v>2074</v>
      </c>
      <c r="H12986" s="30" t="s">
        <v>2077</v>
      </c>
      <c r="J12986" s="30" t="s">
        <v>278</v>
      </c>
      <c r="L12986" s="30" t="s">
        <v>468</v>
      </c>
      <c r="M12986" s="30" t="s">
        <v>448</v>
      </c>
      <c r="N12986" s="30" t="s">
        <v>447</v>
      </c>
      <c r="P12986" s="30" t="s">
        <v>11091</v>
      </c>
      <c r="Q12986" t="s">
        <v>621</v>
      </c>
      <c r="R12986" t="s">
        <v>920</v>
      </c>
      <c r="S12986">
        <v>38</v>
      </c>
      <c r="T12986" s="29" t="str">
        <f>HYPERLINK("https://ictv.global/ictv/proposals/2022.005P.Secoviridae_rename.zip","2022.005P.Secoviridae_rename.zip")</f>
        <v>2022.005P.Secoviridae_rename.zip</v>
      </c>
      <c r="U12986" s="29" t="str">
        <f>HYPERLINK("https://ictv.global/taxonomy/taxondetails?taxnode_id=202302111","ictv.global=202302111")</f>
        <v>ictv.global=202302111</v>
      </c>
    </row>
    <row r="12987" spans="1:21">
      <c r="A12987">
        <v>12986</v>
      </c>
      <c r="B12987" s="30" t="s">
        <v>1226</v>
      </c>
      <c r="D12987" s="30" t="s">
        <v>2024</v>
      </c>
      <c r="F12987" s="30" t="s">
        <v>2074</v>
      </c>
      <c r="H12987" s="30" t="s">
        <v>2077</v>
      </c>
      <c r="J12987" s="30" t="s">
        <v>278</v>
      </c>
      <c r="L12987" s="30" t="s">
        <v>468</v>
      </c>
      <c r="M12987" s="30" t="s">
        <v>448</v>
      </c>
      <c r="N12987" s="30" t="s">
        <v>447</v>
      </c>
      <c r="P12987" s="30" t="s">
        <v>11092</v>
      </c>
      <c r="Q12987" t="s">
        <v>621</v>
      </c>
      <c r="R12987" t="s">
        <v>920</v>
      </c>
      <c r="S12987">
        <v>38</v>
      </c>
      <c r="T12987" s="29" t="str">
        <f>HYPERLINK("https://ictv.global/ictv/proposals/2022.005P.Secoviridae_rename.zip","2022.005P.Secoviridae_rename.zip")</f>
        <v>2022.005P.Secoviridae_rename.zip</v>
      </c>
      <c r="U12987" s="29" t="str">
        <f>HYPERLINK("https://ictv.global/taxonomy/taxondetails?taxnode_id=202302118","ictv.global=202302118")</f>
        <v>ictv.global=202302118</v>
      </c>
    </row>
    <row r="12988" spans="1:21">
      <c r="A12988">
        <v>12987</v>
      </c>
      <c r="B12988" s="30" t="s">
        <v>1226</v>
      </c>
      <c r="D12988" s="30" t="s">
        <v>2024</v>
      </c>
      <c r="F12988" s="30" t="s">
        <v>2074</v>
      </c>
      <c r="H12988" s="30" t="s">
        <v>2077</v>
      </c>
      <c r="J12988" s="30" t="s">
        <v>278</v>
      </c>
      <c r="L12988" s="30" t="s">
        <v>468</v>
      </c>
      <c r="M12988" s="30" t="s">
        <v>448</v>
      </c>
      <c r="N12988" s="30" t="s">
        <v>447</v>
      </c>
      <c r="P12988" s="30" t="s">
        <v>11093</v>
      </c>
      <c r="Q12988" t="s">
        <v>621</v>
      </c>
      <c r="R12988" t="s">
        <v>920</v>
      </c>
      <c r="S12988">
        <v>38</v>
      </c>
      <c r="T12988" s="29" t="str">
        <f>HYPERLINK("https://ictv.global/ictv/proposals/2022.005P.Secoviridae_rename.zip","2022.005P.Secoviridae_rename.zip")</f>
        <v>2022.005P.Secoviridae_rename.zip</v>
      </c>
      <c r="U12988" s="29" t="str">
        <f>HYPERLINK("https://ictv.global/taxonomy/taxondetails?taxnode_id=202302128","ictv.global=202302128")</f>
        <v>ictv.global=202302128</v>
      </c>
    </row>
    <row r="12989" spans="1:21">
      <c r="A12989">
        <v>12988</v>
      </c>
      <c r="B12989" s="30" t="s">
        <v>1226</v>
      </c>
      <c r="D12989" s="30" t="s">
        <v>2024</v>
      </c>
      <c r="F12989" s="30" t="s">
        <v>2074</v>
      </c>
      <c r="H12989" s="30" t="s">
        <v>2077</v>
      </c>
      <c r="J12989" s="30" t="s">
        <v>278</v>
      </c>
      <c r="L12989" s="30" t="s">
        <v>468</v>
      </c>
      <c r="M12989" s="30" t="s">
        <v>448</v>
      </c>
      <c r="N12989" s="30" t="s">
        <v>447</v>
      </c>
      <c r="P12989" s="30" t="s">
        <v>11094</v>
      </c>
      <c r="Q12989" t="s">
        <v>621</v>
      </c>
      <c r="R12989" t="s">
        <v>920</v>
      </c>
      <c r="S12989">
        <v>38</v>
      </c>
      <c r="T12989" s="29" t="str">
        <f>HYPERLINK("https://ictv.global/ictv/proposals/2022.005P.Secoviridae_rename.zip","2022.005P.Secoviridae_rename.zip")</f>
        <v>2022.005P.Secoviridae_rename.zip</v>
      </c>
      <c r="U12989" s="29" t="str">
        <f>HYPERLINK("https://ictv.global/taxonomy/taxondetails?taxnode_id=202302104","ictv.global=202302104")</f>
        <v>ictv.global=202302104</v>
      </c>
    </row>
    <row r="12990" spans="1:21">
      <c r="A12990">
        <v>12989</v>
      </c>
      <c r="B12990" s="30" t="s">
        <v>1226</v>
      </c>
      <c r="D12990" s="30" t="s">
        <v>2024</v>
      </c>
      <c r="F12990" s="30" t="s">
        <v>2074</v>
      </c>
      <c r="H12990" s="30" t="s">
        <v>2077</v>
      </c>
      <c r="J12990" s="30" t="s">
        <v>278</v>
      </c>
      <c r="L12990" s="30" t="s">
        <v>468</v>
      </c>
      <c r="M12990" s="30" t="s">
        <v>448</v>
      </c>
      <c r="N12990" s="30" t="s">
        <v>447</v>
      </c>
      <c r="P12990" s="30" t="s">
        <v>17941</v>
      </c>
      <c r="Q12990" t="s">
        <v>621</v>
      </c>
      <c r="R12990" t="s">
        <v>917</v>
      </c>
      <c r="S12990">
        <v>39</v>
      </c>
      <c r="T12990" s="29" t="str">
        <f>HYPERLINK("https://ictv.global/ictv/proposals/2023.018P.Secoviridae_16nsp.zip","2023.018P.Secoviridae_16nsp.zip")</f>
        <v>2023.018P.Secoviridae_16nsp.zip</v>
      </c>
      <c r="U12990" s="29" t="str">
        <f>HYPERLINK("https://ictv.global/taxonomy/taxondetails?taxnode_id=202318386","ictv.global=202318386")</f>
        <v>ictv.global=202318386</v>
      </c>
    </row>
    <row r="12991" spans="1:21">
      <c r="A12991">
        <v>12990</v>
      </c>
      <c r="B12991" s="30" t="s">
        <v>1226</v>
      </c>
      <c r="D12991" s="30" t="s">
        <v>2024</v>
      </c>
      <c r="F12991" s="30" t="s">
        <v>2074</v>
      </c>
      <c r="H12991" s="30" t="s">
        <v>2077</v>
      </c>
      <c r="J12991" s="30" t="s">
        <v>278</v>
      </c>
      <c r="L12991" s="30" t="s">
        <v>468</v>
      </c>
      <c r="N12991" s="30" t="s">
        <v>181</v>
      </c>
      <c r="P12991" s="30" t="s">
        <v>17942</v>
      </c>
      <c r="Q12991" t="s">
        <v>621</v>
      </c>
      <c r="R12991" t="s">
        <v>917</v>
      </c>
      <c r="S12991">
        <v>39</v>
      </c>
      <c r="T12991" s="29" t="str">
        <f>HYPERLINK("https://ictv.global/ictv/proposals/2023.018P.Secoviridae_16nsp.zip","2023.018P.Secoviridae_16nsp.zip")</f>
        <v>2023.018P.Secoviridae_16nsp.zip</v>
      </c>
      <c r="U12991" s="29" t="str">
        <f>HYPERLINK("https://ictv.global/taxonomy/taxondetails?taxnode_id=202318390","ictv.global=202318390")</f>
        <v>ictv.global=202318390</v>
      </c>
    </row>
    <row r="12992" spans="1:21">
      <c r="A12992">
        <v>12991</v>
      </c>
      <c r="B12992" s="30" t="s">
        <v>1226</v>
      </c>
      <c r="D12992" s="30" t="s">
        <v>2024</v>
      </c>
      <c r="F12992" s="30" t="s">
        <v>2074</v>
      </c>
      <c r="H12992" s="30" t="s">
        <v>2077</v>
      </c>
      <c r="J12992" s="30" t="s">
        <v>278</v>
      </c>
      <c r="L12992" s="30" t="s">
        <v>468</v>
      </c>
      <c r="N12992" s="30" t="s">
        <v>181</v>
      </c>
      <c r="P12992" s="30" t="s">
        <v>11095</v>
      </c>
      <c r="Q12992" t="s">
        <v>621</v>
      </c>
      <c r="R12992" t="s">
        <v>920</v>
      </c>
      <c r="S12992">
        <v>38</v>
      </c>
      <c r="T12992" s="29" t="str">
        <f>HYPERLINK("https://ictv.global/ictv/proposals/2022.005P.Secoviridae_rename.zip","2022.005P.Secoviridae_rename.zip")</f>
        <v>2022.005P.Secoviridae_rename.zip</v>
      </c>
      <c r="U12992" s="29" t="str">
        <f>HYPERLINK("https://ictv.global/taxonomy/taxondetails?taxnode_id=202302136","ictv.global=202302136")</f>
        <v>ictv.global=202302136</v>
      </c>
    </row>
    <row r="12993" spans="1:21">
      <c r="A12993">
        <v>12992</v>
      </c>
      <c r="B12993" s="30" t="s">
        <v>1226</v>
      </c>
      <c r="D12993" s="30" t="s">
        <v>2024</v>
      </c>
      <c r="F12993" s="30" t="s">
        <v>2074</v>
      </c>
      <c r="H12993" s="30" t="s">
        <v>2077</v>
      </c>
      <c r="J12993" s="30" t="s">
        <v>278</v>
      </c>
      <c r="L12993" s="30" t="s">
        <v>468</v>
      </c>
      <c r="N12993" s="30" t="s">
        <v>181</v>
      </c>
      <c r="P12993" s="30" t="s">
        <v>11096</v>
      </c>
      <c r="Q12993" t="s">
        <v>621</v>
      </c>
      <c r="R12993" t="s">
        <v>920</v>
      </c>
      <c r="S12993">
        <v>38</v>
      </c>
      <c r="T12993" s="29" t="str">
        <f>HYPERLINK("https://ictv.global/ictv/proposals/2022.005P.Secoviridae_rename.zip","2022.005P.Secoviridae_rename.zip")</f>
        <v>2022.005P.Secoviridae_rename.zip</v>
      </c>
      <c r="U12993" s="29" t="str">
        <f>HYPERLINK("https://ictv.global/taxonomy/taxondetails?taxnode_id=202302137","ictv.global=202302137")</f>
        <v>ictv.global=202302137</v>
      </c>
    </row>
    <row r="12994" spans="1:21">
      <c r="A12994">
        <v>12993</v>
      </c>
      <c r="B12994" s="30" t="s">
        <v>1226</v>
      </c>
      <c r="D12994" s="30" t="s">
        <v>2024</v>
      </c>
      <c r="F12994" s="30" t="s">
        <v>2074</v>
      </c>
      <c r="H12994" s="30" t="s">
        <v>2077</v>
      </c>
      <c r="J12994" s="30" t="s">
        <v>278</v>
      </c>
      <c r="L12994" s="30" t="s">
        <v>468</v>
      </c>
      <c r="N12994" s="30" t="s">
        <v>181</v>
      </c>
      <c r="P12994" s="30" t="s">
        <v>11097</v>
      </c>
      <c r="Q12994" t="s">
        <v>621</v>
      </c>
      <c r="R12994" t="s">
        <v>920</v>
      </c>
      <c r="S12994">
        <v>38</v>
      </c>
      <c r="T12994" s="29" t="str">
        <f>HYPERLINK("https://ictv.global/ictv/proposals/2022.005P.Secoviridae_rename.zip","2022.005P.Secoviridae_rename.zip")</f>
        <v>2022.005P.Secoviridae_rename.zip</v>
      </c>
      <c r="U12994" s="29" t="str">
        <f>HYPERLINK("https://ictv.global/taxonomy/taxondetails?taxnode_id=202302135","ictv.global=202302135")</f>
        <v>ictv.global=202302135</v>
      </c>
    </row>
    <row r="12995" spans="1:21">
      <c r="A12995">
        <v>12994</v>
      </c>
      <c r="B12995" s="30" t="s">
        <v>1226</v>
      </c>
      <c r="D12995" s="30" t="s">
        <v>2024</v>
      </c>
      <c r="F12995" s="30" t="s">
        <v>2074</v>
      </c>
      <c r="H12995" s="30" t="s">
        <v>2077</v>
      </c>
      <c r="J12995" s="30" t="s">
        <v>278</v>
      </c>
      <c r="L12995" s="30" t="s">
        <v>468</v>
      </c>
      <c r="N12995" s="30" t="s">
        <v>181</v>
      </c>
      <c r="P12995" s="30" t="s">
        <v>17943</v>
      </c>
      <c r="Q12995" t="s">
        <v>621</v>
      </c>
      <c r="R12995" t="s">
        <v>917</v>
      </c>
      <c r="S12995">
        <v>39</v>
      </c>
      <c r="T12995" s="29" t="str">
        <f>HYPERLINK("https://ictv.global/ictv/proposals/2023.018P.Secoviridae_16nsp.zip","2023.018P.Secoviridae_16nsp.zip")</f>
        <v>2023.018P.Secoviridae_16nsp.zip</v>
      </c>
      <c r="U12995" s="29" t="str">
        <f>HYPERLINK("https://ictv.global/taxonomy/taxondetails?taxnode_id=202318392","ictv.global=202318392")</f>
        <v>ictv.global=202318392</v>
      </c>
    </row>
    <row r="12996" spans="1:21">
      <c r="A12996">
        <v>12995</v>
      </c>
      <c r="B12996" s="30" t="s">
        <v>1226</v>
      </c>
      <c r="D12996" s="30" t="s">
        <v>2024</v>
      </c>
      <c r="F12996" s="30" t="s">
        <v>2074</v>
      </c>
      <c r="H12996" s="30" t="s">
        <v>2077</v>
      </c>
      <c r="J12996" s="30" t="s">
        <v>278</v>
      </c>
      <c r="L12996" s="30" t="s">
        <v>468</v>
      </c>
      <c r="N12996" s="30" t="s">
        <v>181</v>
      </c>
      <c r="P12996" s="30" t="s">
        <v>11098</v>
      </c>
      <c r="Q12996" t="s">
        <v>621</v>
      </c>
      <c r="R12996" t="s">
        <v>920</v>
      </c>
      <c r="S12996">
        <v>38</v>
      </c>
      <c r="T12996" s="29" t="str">
        <f>HYPERLINK("https://ictv.global/ictv/proposals/2022.005P.Secoviridae_rename.zip","2022.005P.Secoviridae_rename.zip")</f>
        <v>2022.005P.Secoviridae_rename.zip</v>
      </c>
      <c r="U12996" s="29" t="str">
        <f>HYPERLINK("https://ictv.global/taxonomy/taxondetails?taxnode_id=202302139","ictv.global=202302139")</f>
        <v>ictv.global=202302139</v>
      </c>
    </row>
    <row r="12997" spans="1:21">
      <c r="A12997">
        <v>12996</v>
      </c>
      <c r="B12997" s="30" t="s">
        <v>1226</v>
      </c>
      <c r="D12997" s="30" t="s">
        <v>2024</v>
      </c>
      <c r="F12997" s="30" t="s">
        <v>2074</v>
      </c>
      <c r="H12997" s="30" t="s">
        <v>2077</v>
      </c>
      <c r="J12997" s="30" t="s">
        <v>278</v>
      </c>
      <c r="L12997" s="30" t="s">
        <v>468</v>
      </c>
      <c r="N12997" s="30" t="s">
        <v>181</v>
      </c>
      <c r="P12997" s="30" t="s">
        <v>11099</v>
      </c>
      <c r="Q12997" t="s">
        <v>621</v>
      </c>
      <c r="R12997" t="s">
        <v>920</v>
      </c>
      <c r="S12997">
        <v>38</v>
      </c>
      <c r="T12997" s="29" t="str">
        <f>HYPERLINK("https://ictv.global/ictv/proposals/2022.005P.Secoviridae_rename.zip","2022.005P.Secoviridae_rename.zip")</f>
        <v>2022.005P.Secoviridae_rename.zip</v>
      </c>
      <c r="U12997" s="29" t="str">
        <f>HYPERLINK("https://ictv.global/taxonomy/taxondetails?taxnode_id=202302138","ictv.global=202302138")</f>
        <v>ictv.global=202302138</v>
      </c>
    </row>
    <row r="12998" spans="1:21">
      <c r="A12998">
        <v>12997</v>
      </c>
      <c r="B12998" s="30" t="s">
        <v>1226</v>
      </c>
      <c r="D12998" s="30" t="s">
        <v>2024</v>
      </c>
      <c r="F12998" s="30" t="s">
        <v>2074</v>
      </c>
      <c r="H12998" s="30" t="s">
        <v>2077</v>
      </c>
      <c r="J12998" s="30" t="s">
        <v>278</v>
      </c>
      <c r="L12998" s="30" t="s">
        <v>468</v>
      </c>
      <c r="N12998" s="30" t="s">
        <v>181</v>
      </c>
      <c r="P12998" s="30" t="s">
        <v>17944</v>
      </c>
      <c r="Q12998" t="s">
        <v>621</v>
      </c>
      <c r="R12998" t="s">
        <v>917</v>
      </c>
      <c r="S12998">
        <v>39</v>
      </c>
      <c r="T12998" s="29" t="str">
        <f>HYPERLINK("https://ictv.global/ictv/proposals/2023.018P.Secoviridae_16nsp.zip","2023.018P.Secoviridae_16nsp.zip")</f>
        <v>2023.018P.Secoviridae_16nsp.zip</v>
      </c>
      <c r="U12998" s="29" t="str">
        <f>HYPERLINK("https://ictv.global/taxonomy/taxondetails?taxnode_id=202318391","ictv.global=202318391")</f>
        <v>ictv.global=202318391</v>
      </c>
    </row>
    <row r="12999" spans="1:21">
      <c r="A12999">
        <v>12998</v>
      </c>
      <c r="B12999" s="30" t="s">
        <v>1226</v>
      </c>
      <c r="D12999" s="30" t="s">
        <v>2024</v>
      </c>
      <c r="F12999" s="30" t="s">
        <v>2074</v>
      </c>
      <c r="H12999" s="30" t="s">
        <v>2077</v>
      </c>
      <c r="J12999" s="30" t="s">
        <v>278</v>
      </c>
      <c r="L12999" s="30" t="s">
        <v>468</v>
      </c>
      <c r="N12999" s="30" t="s">
        <v>425</v>
      </c>
      <c r="O12999" s="30" t="s">
        <v>2122</v>
      </c>
      <c r="P12999" s="30" t="s">
        <v>11100</v>
      </c>
      <c r="Q12999" t="s">
        <v>621</v>
      </c>
      <c r="R12999" t="s">
        <v>920</v>
      </c>
      <c r="S12999">
        <v>38</v>
      </c>
      <c r="T12999" s="29" t="str">
        <f>HYPERLINK("https://ictv.global/ictv/proposals/2022.005P.Secoviridae_rename.zip","2022.005P.Secoviridae_rename.zip")</f>
        <v>2022.005P.Secoviridae_rename.zip</v>
      </c>
      <c r="U12999" s="29" t="str">
        <f>HYPERLINK("https://ictv.global/taxonomy/taxondetails?taxnode_id=202313822","ictv.global=202313822")</f>
        <v>ictv.global=202313822</v>
      </c>
    </row>
    <row r="13000" spans="1:21">
      <c r="A13000">
        <v>12999</v>
      </c>
      <c r="B13000" s="30" t="s">
        <v>1226</v>
      </c>
      <c r="D13000" s="30" t="s">
        <v>2024</v>
      </c>
      <c r="F13000" s="30" t="s">
        <v>2074</v>
      </c>
      <c r="H13000" s="30" t="s">
        <v>2077</v>
      </c>
      <c r="J13000" s="30" t="s">
        <v>278</v>
      </c>
      <c r="L13000" s="30" t="s">
        <v>468</v>
      </c>
      <c r="N13000" s="30" t="s">
        <v>425</v>
      </c>
      <c r="O13000" s="30" t="s">
        <v>2122</v>
      </c>
      <c r="P13000" s="30" t="s">
        <v>11101</v>
      </c>
      <c r="Q13000" t="s">
        <v>621</v>
      </c>
      <c r="R13000" t="s">
        <v>917</v>
      </c>
      <c r="S13000">
        <v>38</v>
      </c>
      <c r="T13000" s="29" t="str">
        <f>HYPERLINK("https://ictv.global/ictv/proposals/2022.004P.Secoviridae_8ns.zip","2022.004P.Secoviridae_8ns.zip")</f>
        <v>2022.004P.Secoviridae_8ns.zip</v>
      </c>
      <c r="U13000" s="29" t="str">
        <f>HYPERLINK("https://ictv.global/taxonomy/taxondetails?taxnode_id=202315094","ictv.global=202315094")</f>
        <v>ictv.global=202315094</v>
      </c>
    </row>
    <row r="13001" spans="1:21">
      <c r="A13001">
        <v>13000</v>
      </c>
      <c r="B13001" s="30" t="s">
        <v>1226</v>
      </c>
      <c r="D13001" s="30" t="s">
        <v>2024</v>
      </c>
      <c r="F13001" s="30" t="s">
        <v>2074</v>
      </c>
      <c r="H13001" s="30" t="s">
        <v>2077</v>
      </c>
      <c r="J13001" s="30" t="s">
        <v>278</v>
      </c>
      <c r="L13001" s="30" t="s">
        <v>468</v>
      </c>
      <c r="N13001" s="30" t="s">
        <v>425</v>
      </c>
      <c r="O13001" s="30" t="s">
        <v>2122</v>
      </c>
      <c r="P13001" s="30" t="s">
        <v>11102</v>
      </c>
      <c r="Q13001" t="s">
        <v>621</v>
      </c>
      <c r="R13001" t="s">
        <v>920</v>
      </c>
      <c r="S13001">
        <v>38</v>
      </c>
      <c r="T13001" s="29" t="str">
        <f>HYPERLINK("https://ictv.global/ictv/proposals/2022.005P.Secoviridae_rename.zip","2022.005P.Secoviridae_rename.zip")</f>
        <v>2022.005P.Secoviridae_rename.zip</v>
      </c>
      <c r="U13001" s="29" t="str">
        <f>HYPERLINK("https://ictv.global/taxonomy/taxondetails?taxnode_id=202305630","ictv.global=202305630")</f>
        <v>ictv.global=202305630</v>
      </c>
    </row>
    <row r="13002" spans="1:21">
      <c r="A13002">
        <v>13001</v>
      </c>
      <c r="B13002" s="30" t="s">
        <v>1226</v>
      </c>
      <c r="D13002" s="30" t="s">
        <v>2024</v>
      </c>
      <c r="F13002" s="30" t="s">
        <v>2074</v>
      </c>
      <c r="H13002" s="30" t="s">
        <v>2077</v>
      </c>
      <c r="J13002" s="30" t="s">
        <v>278</v>
      </c>
      <c r="L13002" s="30" t="s">
        <v>468</v>
      </c>
      <c r="N13002" s="30" t="s">
        <v>425</v>
      </c>
      <c r="O13002" s="30" t="s">
        <v>2122</v>
      </c>
      <c r="P13002" s="30" t="s">
        <v>11103</v>
      </c>
      <c r="Q13002" t="s">
        <v>621</v>
      </c>
      <c r="R13002" t="s">
        <v>920</v>
      </c>
      <c r="S13002">
        <v>38</v>
      </c>
      <c r="T13002" s="29" t="str">
        <f>HYPERLINK("https://ictv.global/ictv/proposals/2022.005P.Secoviridae_rename.zip","2022.005P.Secoviridae_rename.zip")</f>
        <v>2022.005P.Secoviridae_rename.zip</v>
      </c>
      <c r="U13002" s="29" t="str">
        <f>HYPERLINK("https://ictv.global/taxonomy/taxondetails?taxnode_id=202302155","ictv.global=202302155")</f>
        <v>ictv.global=202302155</v>
      </c>
    </row>
    <row r="13003" spans="1:21">
      <c r="A13003">
        <v>13002</v>
      </c>
      <c r="B13003" s="30" t="s">
        <v>1226</v>
      </c>
      <c r="D13003" s="30" t="s">
        <v>2024</v>
      </c>
      <c r="F13003" s="30" t="s">
        <v>2074</v>
      </c>
      <c r="H13003" s="30" t="s">
        <v>2077</v>
      </c>
      <c r="J13003" s="30" t="s">
        <v>278</v>
      </c>
      <c r="L13003" s="30" t="s">
        <v>468</v>
      </c>
      <c r="N13003" s="30" t="s">
        <v>425</v>
      </c>
      <c r="O13003" s="30" t="s">
        <v>2122</v>
      </c>
      <c r="P13003" s="30" t="s">
        <v>17945</v>
      </c>
      <c r="Q13003" t="s">
        <v>621</v>
      </c>
      <c r="R13003" t="s">
        <v>917</v>
      </c>
      <c r="S13003">
        <v>39</v>
      </c>
      <c r="T13003" s="29" t="str">
        <f>HYPERLINK("https://ictv.global/ictv/proposals/2023.018P.Secoviridae_16nsp.zip","2023.018P.Secoviridae_16nsp.zip")</f>
        <v>2023.018P.Secoviridae_16nsp.zip</v>
      </c>
      <c r="U13003" s="29" t="str">
        <f>HYPERLINK("https://ictv.global/taxonomy/taxondetails?taxnode_id=202318393","ictv.global=202318393")</f>
        <v>ictv.global=202318393</v>
      </c>
    </row>
    <row r="13004" spans="1:21">
      <c r="A13004">
        <v>13003</v>
      </c>
      <c r="B13004" s="30" t="s">
        <v>1226</v>
      </c>
      <c r="D13004" s="30" t="s">
        <v>2024</v>
      </c>
      <c r="F13004" s="30" t="s">
        <v>2074</v>
      </c>
      <c r="H13004" s="30" t="s">
        <v>2077</v>
      </c>
      <c r="J13004" s="30" t="s">
        <v>278</v>
      </c>
      <c r="L13004" s="30" t="s">
        <v>468</v>
      </c>
      <c r="N13004" s="30" t="s">
        <v>425</v>
      </c>
      <c r="O13004" s="30" t="s">
        <v>2123</v>
      </c>
      <c r="P13004" s="30" t="s">
        <v>11104</v>
      </c>
      <c r="Q13004" t="s">
        <v>621</v>
      </c>
      <c r="R13004" t="s">
        <v>920</v>
      </c>
      <c r="S13004">
        <v>38</v>
      </c>
      <c r="T13004" s="29" t="str">
        <f>HYPERLINK("https://ictv.global/ictv/proposals/2022.005P.Secoviridae_rename.zip","2022.005P.Secoviridae_rename.zip")</f>
        <v>2022.005P.Secoviridae_rename.zip</v>
      </c>
      <c r="U13004" s="29" t="str">
        <f>HYPERLINK("https://ictv.global/taxonomy/taxondetails?taxnode_id=202302141","ictv.global=202302141")</f>
        <v>ictv.global=202302141</v>
      </c>
    </row>
    <row r="13005" spans="1:21">
      <c r="A13005">
        <v>13004</v>
      </c>
      <c r="B13005" s="30" t="s">
        <v>1226</v>
      </c>
      <c r="D13005" s="30" t="s">
        <v>2024</v>
      </c>
      <c r="F13005" s="30" t="s">
        <v>2074</v>
      </c>
      <c r="H13005" s="30" t="s">
        <v>2077</v>
      </c>
      <c r="J13005" s="30" t="s">
        <v>278</v>
      </c>
      <c r="L13005" s="30" t="s">
        <v>468</v>
      </c>
      <c r="N13005" s="30" t="s">
        <v>425</v>
      </c>
      <c r="O13005" s="30" t="s">
        <v>2124</v>
      </c>
      <c r="P13005" s="30" t="s">
        <v>11105</v>
      </c>
      <c r="Q13005" t="s">
        <v>621</v>
      </c>
      <c r="R13005" t="s">
        <v>917</v>
      </c>
      <c r="S13005">
        <v>38</v>
      </c>
      <c r="T13005" s="29" t="str">
        <f>HYPERLINK("https://ictv.global/ictv/proposals/2022.004P.Secoviridae_8ns.zip","2022.004P.Secoviridae_8ns.zip")</f>
        <v>2022.004P.Secoviridae_8ns.zip</v>
      </c>
      <c r="U13005" s="29" t="str">
        <f>HYPERLINK("https://ictv.global/taxonomy/taxondetails?taxnode_id=202315095","ictv.global=202315095")</f>
        <v>ictv.global=202315095</v>
      </c>
    </row>
    <row r="13006" spans="1:21">
      <c r="A13006">
        <v>13005</v>
      </c>
      <c r="B13006" s="30" t="s">
        <v>1226</v>
      </c>
      <c r="D13006" s="30" t="s">
        <v>2024</v>
      </c>
      <c r="F13006" s="30" t="s">
        <v>2074</v>
      </c>
      <c r="H13006" s="30" t="s">
        <v>2077</v>
      </c>
      <c r="J13006" s="30" t="s">
        <v>278</v>
      </c>
      <c r="L13006" s="30" t="s">
        <v>468</v>
      </c>
      <c r="N13006" s="30" t="s">
        <v>425</v>
      </c>
      <c r="O13006" s="30" t="s">
        <v>2124</v>
      </c>
      <c r="P13006" s="30" t="s">
        <v>11106</v>
      </c>
      <c r="Q13006" t="s">
        <v>621</v>
      </c>
      <c r="R13006" t="s">
        <v>920</v>
      </c>
      <c r="S13006">
        <v>38</v>
      </c>
      <c r="T13006" s="29" t="str">
        <f t="shared" ref="T13006:T13012" si="544">HYPERLINK("https://ictv.global/ictv/proposals/2022.005P.Secoviridae_rename.zip","2022.005P.Secoviridae_rename.zip")</f>
        <v>2022.005P.Secoviridae_rename.zip</v>
      </c>
      <c r="U13006" s="29" t="str">
        <f>HYPERLINK("https://ictv.global/taxonomy/taxondetails?taxnode_id=202302157","ictv.global=202302157")</f>
        <v>ictv.global=202302157</v>
      </c>
    </row>
    <row r="13007" spans="1:21">
      <c r="A13007">
        <v>13006</v>
      </c>
      <c r="B13007" s="30" t="s">
        <v>1226</v>
      </c>
      <c r="D13007" s="30" t="s">
        <v>2024</v>
      </c>
      <c r="F13007" s="30" t="s">
        <v>2074</v>
      </c>
      <c r="H13007" s="30" t="s">
        <v>2077</v>
      </c>
      <c r="J13007" s="30" t="s">
        <v>278</v>
      </c>
      <c r="L13007" s="30" t="s">
        <v>468</v>
      </c>
      <c r="N13007" s="30" t="s">
        <v>425</v>
      </c>
      <c r="O13007" s="30" t="s">
        <v>2124</v>
      </c>
      <c r="P13007" s="30" t="s">
        <v>11107</v>
      </c>
      <c r="Q13007" t="s">
        <v>621</v>
      </c>
      <c r="R13007" t="s">
        <v>920</v>
      </c>
      <c r="S13007">
        <v>38</v>
      </c>
      <c r="T13007" s="29" t="str">
        <f t="shared" si="544"/>
        <v>2022.005P.Secoviridae_rename.zip</v>
      </c>
      <c r="U13007" s="29" t="str">
        <f>HYPERLINK("https://ictv.global/taxonomy/taxondetails?taxnode_id=202313823","ictv.global=202313823")</f>
        <v>ictv.global=202313823</v>
      </c>
    </row>
    <row r="13008" spans="1:21">
      <c r="A13008">
        <v>13007</v>
      </c>
      <c r="B13008" s="30" t="s">
        <v>1226</v>
      </c>
      <c r="D13008" s="30" t="s">
        <v>2024</v>
      </c>
      <c r="F13008" s="30" t="s">
        <v>2074</v>
      </c>
      <c r="H13008" s="30" t="s">
        <v>2077</v>
      </c>
      <c r="J13008" s="30" t="s">
        <v>278</v>
      </c>
      <c r="L13008" s="30" t="s">
        <v>468</v>
      </c>
      <c r="N13008" s="30" t="s">
        <v>425</v>
      </c>
      <c r="O13008" s="30" t="s">
        <v>2124</v>
      </c>
      <c r="P13008" s="30" t="s">
        <v>11108</v>
      </c>
      <c r="Q13008" t="s">
        <v>621</v>
      </c>
      <c r="R13008" t="s">
        <v>920</v>
      </c>
      <c r="S13008">
        <v>38</v>
      </c>
      <c r="T13008" s="29" t="str">
        <f t="shared" si="544"/>
        <v>2022.005P.Secoviridae_rename.zip</v>
      </c>
      <c r="U13008" s="29" t="str">
        <f>HYPERLINK("https://ictv.global/taxonomy/taxondetails?taxnode_id=202302154","ictv.global=202302154")</f>
        <v>ictv.global=202302154</v>
      </c>
    </row>
    <row r="13009" spans="1:21">
      <c r="A13009">
        <v>13008</v>
      </c>
      <c r="B13009" s="30" t="s">
        <v>1226</v>
      </c>
      <c r="D13009" s="30" t="s">
        <v>2024</v>
      </c>
      <c r="F13009" s="30" t="s">
        <v>2074</v>
      </c>
      <c r="H13009" s="30" t="s">
        <v>2077</v>
      </c>
      <c r="J13009" s="30" t="s">
        <v>278</v>
      </c>
      <c r="L13009" s="30" t="s">
        <v>468</v>
      </c>
      <c r="N13009" s="30" t="s">
        <v>180</v>
      </c>
      <c r="P13009" s="30" t="s">
        <v>11109</v>
      </c>
      <c r="Q13009" t="s">
        <v>621</v>
      </c>
      <c r="R13009" t="s">
        <v>920</v>
      </c>
      <c r="S13009">
        <v>38</v>
      </c>
      <c r="T13009" s="29" t="str">
        <f t="shared" si="544"/>
        <v>2022.005P.Secoviridae_rename.zip</v>
      </c>
      <c r="U13009" s="29" t="str">
        <f>HYPERLINK("https://ictv.global/taxonomy/taxondetails?taxnode_id=202302143","ictv.global=202302143")</f>
        <v>ictv.global=202302143</v>
      </c>
    </row>
    <row r="13010" spans="1:21">
      <c r="A13010">
        <v>13009</v>
      </c>
      <c r="B13010" s="30" t="s">
        <v>1226</v>
      </c>
      <c r="D13010" s="30" t="s">
        <v>2024</v>
      </c>
      <c r="F13010" s="30" t="s">
        <v>2074</v>
      </c>
      <c r="H13010" s="30" t="s">
        <v>2077</v>
      </c>
      <c r="J13010" s="30" t="s">
        <v>278</v>
      </c>
      <c r="L13010" s="30" t="s">
        <v>468</v>
      </c>
      <c r="N13010" s="30" t="s">
        <v>180</v>
      </c>
      <c r="P13010" s="30" t="s">
        <v>11110</v>
      </c>
      <c r="Q13010" t="s">
        <v>621</v>
      </c>
      <c r="R13010" t="s">
        <v>920</v>
      </c>
      <c r="S13010">
        <v>38</v>
      </c>
      <c r="T13010" s="29" t="str">
        <f t="shared" si="544"/>
        <v>2022.005P.Secoviridae_rename.zip</v>
      </c>
      <c r="U13010" s="29" t="str">
        <f>HYPERLINK("https://ictv.global/taxonomy/taxondetails?taxnode_id=202302145","ictv.global=202302145")</f>
        <v>ictv.global=202302145</v>
      </c>
    </row>
    <row r="13011" spans="1:21">
      <c r="A13011">
        <v>13010</v>
      </c>
      <c r="B13011" s="30" t="s">
        <v>1226</v>
      </c>
      <c r="D13011" s="30" t="s">
        <v>2024</v>
      </c>
      <c r="F13011" s="30" t="s">
        <v>2074</v>
      </c>
      <c r="H13011" s="30" t="s">
        <v>2077</v>
      </c>
      <c r="J13011" s="30" t="s">
        <v>278</v>
      </c>
      <c r="L13011" s="30" t="s">
        <v>468</v>
      </c>
      <c r="N13011" s="30" t="s">
        <v>180</v>
      </c>
      <c r="P13011" s="30" t="s">
        <v>11111</v>
      </c>
      <c r="Q13011" t="s">
        <v>621</v>
      </c>
      <c r="R13011" t="s">
        <v>920</v>
      </c>
      <c r="S13011">
        <v>38</v>
      </c>
      <c r="T13011" s="29" t="str">
        <f t="shared" si="544"/>
        <v>2022.005P.Secoviridae_rename.zip</v>
      </c>
      <c r="U13011" s="29" t="str">
        <f>HYPERLINK("https://ictv.global/taxonomy/taxondetails?taxnode_id=202313824","ictv.global=202313824")</f>
        <v>ictv.global=202313824</v>
      </c>
    </row>
    <row r="13012" spans="1:21">
      <c r="A13012">
        <v>13011</v>
      </c>
      <c r="B13012" s="30" t="s">
        <v>1226</v>
      </c>
      <c r="D13012" s="30" t="s">
        <v>2024</v>
      </c>
      <c r="F13012" s="30" t="s">
        <v>2074</v>
      </c>
      <c r="H13012" s="30" t="s">
        <v>2077</v>
      </c>
      <c r="J13012" s="30" t="s">
        <v>278</v>
      </c>
      <c r="L13012" s="30" t="s">
        <v>468</v>
      </c>
      <c r="N13012" s="30" t="s">
        <v>180</v>
      </c>
      <c r="P13012" s="30" t="s">
        <v>11112</v>
      </c>
      <c r="Q13012" t="s">
        <v>621</v>
      </c>
      <c r="R13012" t="s">
        <v>920</v>
      </c>
      <c r="S13012">
        <v>38</v>
      </c>
      <c r="T13012" s="29" t="str">
        <f t="shared" si="544"/>
        <v>2022.005P.Secoviridae_rename.zip</v>
      </c>
      <c r="U13012" s="29" t="str">
        <f>HYPERLINK("https://ictv.global/taxonomy/taxondetails?taxnode_id=202302144","ictv.global=202302144")</f>
        <v>ictv.global=202302144</v>
      </c>
    </row>
    <row r="13013" spans="1:21">
      <c r="A13013">
        <v>13012</v>
      </c>
      <c r="B13013" s="30" t="s">
        <v>1226</v>
      </c>
      <c r="D13013" s="30" t="s">
        <v>2024</v>
      </c>
      <c r="F13013" s="30" t="s">
        <v>2074</v>
      </c>
      <c r="H13013" s="30" t="s">
        <v>2077</v>
      </c>
      <c r="J13013" s="30" t="s">
        <v>278</v>
      </c>
      <c r="L13013" s="30" t="s">
        <v>468</v>
      </c>
      <c r="N13013" s="30" t="s">
        <v>11113</v>
      </c>
      <c r="P13013" s="30" t="s">
        <v>17946</v>
      </c>
      <c r="Q13013" t="s">
        <v>621</v>
      </c>
      <c r="R13013" t="s">
        <v>917</v>
      </c>
      <c r="S13013">
        <v>39</v>
      </c>
      <c r="T13013" s="29" t="str">
        <f>HYPERLINK("https://ictv.global/ictv/proposals/2023.018P.Secoviridae_16nsp.zip","2023.018P.Secoviridae_16nsp.zip")</f>
        <v>2023.018P.Secoviridae_16nsp.zip</v>
      </c>
      <c r="U13013" s="29" t="str">
        <f>HYPERLINK("https://ictv.global/taxonomy/taxondetails?taxnode_id=202318394","ictv.global=202318394")</f>
        <v>ictv.global=202318394</v>
      </c>
    </row>
    <row r="13014" spans="1:21">
      <c r="A13014">
        <v>13013</v>
      </c>
      <c r="B13014" s="30" t="s">
        <v>1226</v>
      </c>
      <c r="D13014" s="30" t="s">
        <v>2024</v>
      </c>
      <c r="F13014" s="30" t="s">
        <v>2074</v>
      </c>
      <c r="H13014" s="30" t="s">
        <v>2077</v>
      </c>
      <c r="J13014" s="30" t="s">
        <v>278</v>
      </c>
      <c r="L13014" s="30" t="s">
        <v>468</v>
      </c>
      <c r="N13014" s="30" t="s">
        <v>11113</v>
      </c>
      <c r="P13014" s="30" t="s">
        <v>11114</v>
      </c>
      <c r="Q13014" t="s">
        <v>621</v>
      </c>
      <c r="R13014" t="s">
        <v>920</v>
      </c>
      <c r="S13014">
        <v>38</v>
      </c>
      <c r="T13014" s="29" t="str">
        <f>HYPERLINK("https://ictv.global/ictv/proposals/2022.005P.Secoviridae_rename.zip","2022.005P.Secoviridae_rename.zip")</f>
        <v>2022.005P.Secoviridae_rename.zip</v>
      </c>
      <c r="U13014" s="29" t="str">
        <f>HYPERLINK("https://ictv.global/taxonomy/taxondetails?taxnode_id=202302156","ictv.global=202302156")</f>
        <v>ictv.global=202302156</v>
      </c>
    </row>
    <row r="13015" spans="1:21">
      <c r="A13015">
        <v>13014</v>
      </c>
      <c r="B13015" s="30" t="s">
        <v>1226</v>
      </c>
      <c r="D13015" s="30" t="s">
        <v>2024</v>
      </c>
      <c r="F13015" s="30" t="s">
        <v>2074</v>
      </c>
      <c r="H13015" s="30" t="s">
        <v>2077</v>
      </c>
      <c r="J13015" s="30" t="s">
        <v>278</v>
      </c>
      <c r="L13015" s="30" t="s">
        <v>468</v>
      </c>
      <c r="N13015" s="30" t="s">
        <v>11113</v>
      </c>
      <c r="P13015" s="30" t="s">
        <v>11115</v>
      </c>
      <c r="Q13015" t="s">
        <v>621</v>
      </c>
      <c r="R13015" t="s">
        <v>920</v>
      </c>
      <c r="S13015">
        <v>38</v>
      </c>
      <c r="T13015" s="29" t="str">
        <f>HYPERLINK("https://ictv.global/ictv/proposals/2022.005P.Secoviridae_rename.zip","2022.005P.Secoviridae_rename.zip")</f>
        <v>2022.005P.Secoviridae_rename.zip</v>
      </c>
      <c r="U13015" s="29" t="str">
        <f>HYPERLINK("https://ictv.global/taxonomy/taxondetails?taxnode_id=202312968","ictv.global=202312968")</f>
        <v>ictv.global=202312968</v>
      </c>
    </row>
    <row r="13016" spans="1:21">
      <c r="A13016">
        <v>13015</v>
      </c>
      <c r="B13016" s="30" t="s">
        <v>1226</v>
      </c>
      <c r="D13016" s="30" t="s">
        <v>2024</v>
      </c>
      <c r="F13016" s="30" t="s">
        <v>2074</v>
      </c>
      <c r="H13016" s="30" t="s">
        <v>2077</v>
      </c>
      <c r="J13016" s="30" t="s">
        <v>278</v>
      </c>
      <c r="L13016" s="30" t="s">
        <v>468</v>
      </c>
      <c r="N13016" s="30" t="s">
        <v>467</v>
      </c>
      <c r="P13016" s="30" t="s">
        <v>11116</v>
      </c>
      <c r="Q13016" t="s">
        <v>621</v>
      </c>
      <c r="R13016" t="s">
        <v>920</v>
      </c>
      <c r="S13016">
        <v>38</v>
      </c>
      <c r="T13016" s="29" t="str">
        <f>HYPERLINK("https://ictv.global/ictv/proposals/2022.005P.Secoviridae_rename.zip","2022.005P.Secoviridae_rename.zip")</f>
        <v>2022.005P.Secoviridae_rename.zip</v>
      </c>
      <c r="U13016" s="29" t="str">
        <f>HYPERLINK("https://ictv.global/taxonomy/taxondetails?taxnode_id=202302149","ictv.global=202302149")</f>
        <v>ictv.global=202302149</v>
      </c>
    </row>
    <row r="13017" spans="1:21">
      <c r="A13017">
        <v>13016</v>
      </c>
      <c r="B13017" s="30" t="s">
        <v>1226</v>
      </c>
      <c r="D13017" s="30" t="s">
        <v>2024</v>
      </c>
      <c r="F13017" s="30" t="s">
        <v>2074</v>
      </c>
      <c r="H13017" s="30" t="s">
        <v>2077</v>
      </c>
      <c r="J13017" s="30" t="s">
        <v>278</v>
      </c>
      <c r="L13017" s="30" t="s">
        <v>468</v>
      </c>
      <c r="N13017" s="30" t="s">
        <v>467</v>
      </c>
      <c r="P13017" s="30" t="s">
        <v>11117</v>
      </c>
      <c r="Q13017" t="s">
        <v>621</v>
      </c>
      <c r="R13017" t="s">
        <v>920</v>
      </c>
      <c r="S13017">
        <v>38</v>
      </c>
      <c r="T13017" s="29" t="str">
        <f>HYPERLINK("https://ictv.global/ictv/proposals/2022.005P.Secoviridae_rename.zip","2022.005P.Secoviridae_rename.zip")</f>
        <v>2022.005P.Secoviridae_rename.zip</v>
      </c>
      <c r="U13017" s="29" t="str">
        <f>HYPERLINK("https://ictv.global/taxonomy/taxondetails?taxnode_id=202302147","ictv.global=202302147")</f>
        <v>ictv.global=202302147</v>
      </c>
    </row>
    <row r="13018" spans="1:21">
      <c r="A13018">
        <v>13017</v>
      </c>
      <c r="B13018" s="30" t="s">
        <v>1226</v>
      </c>
      <c r="D13018" s="30" t="s">
        <v>2024</v>
      </c>
      <c r="F13018" s="30" t="s">
        <v>2074</v>
      </c>
      <c r="H13018" s="30" t="s">
        <v>2077</v>
      </c>
      <c r="J13018" s="30" t="s">
        <v>278</v>
      </c>
      <c r="L13018" s="30" t="s">
        <v>468</v>
      </c>
      <c r="N13018" s="30" t="s">
        <v>467</v>
      </c>
      <c r="P13018" s="30" t="s">
        <v>11118</v>
      </c>
      <c r="Q13018" t="s">
        <v>621</v>
      </c>
      <c r="R13018" t="s">
        <v>917</v>
      </c>
      <c r="S13018">
        <v>38</v>
      </c>
      <c r="T13018" s="29" t="str">
        <f>HYPERLINK("https://ictv.global/ictv/proposals/2022.004P.Secoviridae_8ns.zip","2022.004P.Secoviridae_8ns.zip")</f>
        <v>2022.004P.Secoviridae_8ns.zip</v>
      </c>
      <c r="U13018" s="29" t="str">
        <f>HYPERLINK("https://ictv.global/taxonomy/taxondetails?taxnode_id=202315097","ictv.global=202315097")</f>
        <v>ictv.global=202315097</v>
      </c>
    </row>
    <row r="13019" spans="1:21">
      <c r="A13019">
        <v>13018</v>
      </c>
      <c r="B13019" s="30" t="s">
        <v>1226</v>
      </c>
      <c r="D13019" s="30" t="s">
        <v>2024</v>
      </c>
      <c r="F13019" s="30" t="s">
        <v>2074</v>
      </c>
      <c r="H13019" s="30" t="s">
        <v>2077</v>
      </c>
      <c r="J13019" s="30" t="s">
        <v>278</v>
      </c>
      <c r="L13019" s="30" t="s">
        <v>468</v>
      </c>
      <c r="N13019" s="30" t="s">
        <v>467</v>
      </c>
      <c r="P13019" s="30" t="s">
        <v>11119</v>
      </c>
      <c r="Q13019" t="s">
        <v>621</v>
      </c>
      <c r="R13019" t="s">
        <v>920</v>
      </c>
      <c r="S13019">
        <v>38</v>
      </c>
      <c r="T13019" s="29" t="str">
        <f>HYPERLINK("https://ictv.global/ictv/proposals/2022.005P.Secoviridae_rename.zip","2022.005P.Secoviridae_rename.zip")</f>
        <v>2022.005P.Secoviridae_rename.zip</v>
      </c>
      <c r="U13019" s="29" t="str">
        <f>HYPERLINK("https://ictv.global/taxonomy/taxondetails?taxnode_id=202302150","ictv.global=202302150")</f>
        <v>ictv.global=202302150</v>
      </c>
    </row>
    <row r="13020" spans="1:21">
      <c r="A13020">
        <v>13019</v>
      </c>
      <c r="B13020" s="30" t="s">
        <v>1226</v>
      </c>
      <c r="D13020" s="30" t="s">
        <v>2024</v>
      </c>
      <c r="F13020" s="30" t="s">
        <v>2074</v>
      </c>
      <c r="H13020" s="30" t="s">
        <v>2077</v>
      </c>
      <c r="J13020" s="30" t="s">
        <v>278</v>
      </c>
      <c r="L13020" s="30" t="s">
        <v>468</v>
      </c>
      <c r="N13020" s="30" t="s">
        <v>467</v>
      </c>
      <c r="P13020" s="30" t="s">
        <v>17947</v>
      </c>
      <c r="Q13020" t="s">
        <v>621</v>
      </c>
      <c r="R13020" t="s">
        <v>917</v>
      </c>
      <c r="S13020">
        <v>39</v>
      </c>
      <c r="T13020" s="29" t="str">
        <f>HYPERLINK("https://ictv.global/ictv/proposals/2023.018P.Secoviridae_16nsp.zip","2023.018P.Secoviridae_16nsp.zip")</f>
        <v>2023.018P.Secoviridae_16nsp.zip</v>
      </c>
      <c r="U13020" s="29" t="str">
        <f>HYPERLINK("https://ictv.global/taxonomy/taxondetails?taxnode_id=202318395","ictv.global=202318395")</f>
        <v>ictv.global=202318395</v>
      </c>
    </row>
    <row r="13021" spans="1:21">
      <c r="A13021">
        <v>13020</v>
      </c>
      <c r="B13021" s="30" t="s">
        <v>1226</v>
      </c>
      <c r="D13021" s="30" t="s">
        <v>2024</v>
      </c>
      <c r="F13021" s="30" t="s">
        <v>2074</v>
      </c>
      <c r="H13021" s="30" t="s">
        <v>2077</v>
      </c>
      <c r="J13021" s="30" t="s">
        <v>278</v>
      </c>
      <c r="L13021" s="30" t="s">
        <v>468</v>
      </c>
      <c r="N13021" s="30" t="s">
        <v>467</v>
      </c>
      <c r="P13021" s="30" t="s">
        <v>11120</v>
      </c>
      <c r="Q13021" t="s">
        <v>621</v>
      </c>
      <c r="R13021" t="s">
        <v>920</v>
      </c>
      <c r="S13021">
        <v>38</v>
      </c>
      <c r="T13021" s="29" t="str">
        <f>HYPERLINK("https://ictv.global/ictv/proposals/2022.005P.Secoviridae_rename.zip","2022.005P.Secoviridae_rename.zip")</f>
        <v>2022.005P.Secoviridae_rename.zip</v>
      </c>
      <c r="U13021" s="29" t="str">
        <f>HYPERLINK("https://ictv.global/taxonomy/taxondetails?taxnode_id=202302148","ictv.global=202302148")</f>
        <v>ictv.global=202302148</v>
      </c>
    </row>
    <row r="13022" spans="1:21">
      <c r="A13022">
        <v>13021</v>
      </c>
      <c r="B13022" s="30" t="s">
        <v>1226</v>
      </c>
      <c r="D13022" s="30" t="s">
        <v>2024</v>
      </c>
      <c r="F13022" s="30" t="s">
        <v>2074</v>
      </c>
      <c r="H13022" s="30" t="s">
        <v>2077</v>
      </c>
      <c r="J13022" s="30" t="s">
        <v>278</v>
      </c>
      <c r="L13022" s="30" t="s">
        <v>468</v>
      </c>
      <c r="N13022" s="30" t="s">
        <v>467</v>
      </c>
      <c r="P13022" s="30" t="s">
        <v>11121</v>
      </c>
      <c r="Q13022" t="s">
        <v>621</v>
      </c>
      <c r="R13022" t="s">
        <v>920</v>
      </c>
      <c r="S13022">
        <v>38</v>
      </c>
      <c r="T13022" s="29" t="str">
        <f>HYPERLINK("https://ictv.global/ictv/proposals/2022.005P.Secoviridae_rename.zip","2022.005P.Secoviridae_rename.zip")</f>
        <v>2022.005P.Secoviridae_rename.zip</v>
      </c>
      <c r="U13022" s="29" t="str">
        <f>HYPERLINK("https://ictv.global/taxonomy/taxondetails?taxnode_id=202302152","ictv.global=202302152")</f>
        <v>ictv.global=202302152</v>
      </c>
    </row>
    <row r="13023" spans="1:21">
      <c r="A13023">
        <v>13022</v>
      </c>
      <c r="B13023" s="30" t="s">
        <v>1226</v>
      </c>
      <c r="D13023" s="30" t="s">
        <v>2024</v>
      </c>
      <c r="F13023" s="30" t="s">
        <v>2074</v>
      </c>
      <c r="H13023" s="30" t="s">
        <v>2077</v>
      </c>
      <c r="J13023" s="30" t="s">
        <v>278</v>
      </c>
      <c r="L13023" s="30" t="s">
        <v>468</v>
      </c>
      <c r="N13023" s="30" t="s">
        <v>467</v>
      </c>
      <c r="P13023" s="30" t="s">
        <v>11122</v>
      </c>
      <c r="Q13023" t="s">
        <v>621</v>
      </c>
      <c r="R13023" t="s">
        <v>917</v>
      </c>
      <c r="S13023">
        <v>38</v>
      </c>
      <c r="T13023" s="29" t="str">
        <f>HYPERLINK("https://ictv.global/ictv/proposals/2022.004P.Secoviridae_8ns.zip","2022.004P.Secoviridae_8ns.zip")</f>
        <v>2022.004P.Secoviridae_8ns.zip</v>
      </c>
      <c r="U13023" s="29" t="str">
        <f>HYPERLINK("https://ictv.global/taxonomy/taxondetails?taxnode_id=202315096","ictv.global=202315096")</f>
        <v>ictv.global=202315096</v>
      </c>
    </row>
    <row r="13024" spans="1:21">
      <c r="A13024">
        <v>13023</v>
      </c>
      <c r="B13024" s="30" t="s">
        <v>1226</v>
      </c>
      <c r="D13024" s="30" t="s">
        <v>2024</v>
      </c>
      <c r="F13024" s="30" t="s">
        <v>2074</v>
      </c>
      <c r="H13024" s="30" t="s">
        <v>2077</v>
      </c>
      <c r="J13024" s="30" t="s">
        <v>278</v>
      </c>
      <c r="L13024" s="30" t="s">
        <v>468</v>
      </c>
      <c r="N13024" s="30" t="s">
        <v>467</v>
      </c>
      <c r="P13024" s="30" t="s">
        <v>11123</v>
      </c>
      <c r="Q13024" t="s">
        <v>621</v>
      </c>
      <c r="R13024" t="s">
        <v>920</v>
      </c>
      <c r="S13024">
        <v>38</v>
      </c>
      <c r="T13024" s="29" t="str">
        <f>HYPERLINK("https://ictv.global/ictv/proposals/2022.005P.Secoviridae_rename.zip","2022.005P.Secoviridae_rename.zip")</f>
        <v>2022.005P.Secoviridae_rename.zip</v>
      </c>
      <c r="U13024" s="29" t="str">
        <f>HYPERLINK("https://ictv.global/taxonomy/taxondetails?taxnode_id=202302151","ictv.global=202302151")</f>
        <v>ictv.global=202302151</v>
      </c>
    </row>
    <row r="13025" spans="1:21">
      <c r="A13025">
        <v>13024</v>
      </c>
      <c r="B13025" s="30" t="s">
        <v>1226</v>
      </c>
      <c r="D13025" s="30" t="s">
        <v>2024</v>
      </c>
      <c r="F13025" s="30" t="s">
        <v>2074</v>
      </c>
      <c r="H13025" s="30" t="s">
        <v>2077</v>
      </c>
      <c r="J13025" s="30" t="s">
        <v>278</v>
      </c>
      <c r="L13025" s="30" t="s">
        <v>468</v>
      </c>
      <c r="N13025" s="30" t="s">
        <v>444</v>
      </c>
      <c r="P13025" s="30" t="s">
        <v>11124</v>
      </c>
      <c r="Q13025" t="s">
        <v>621</v>
      </c>
      <c r="R13025" t="s">
        <v>920</v>
      </c>
      <c r="S13025">
        <v>38</v>
      </c>
      <c r="T13025" s="29" t="str">
        <f>HYPERLINK("https://ictv.global/ictv/proposals/2022.005P.Secoviridae_rename.zip","2022.005P.Secoviridae_rename.zip")</f>
        <v>2022.005P.Secoviridae_rename.zip</v>
      </c>
      <c r="U13025" s="29" t="str">
        <f>HYPERLINK("https://ictv.global/taxonomy/taxondetails?taxnode_id=202313829","ictv.global=202313829")</f>
        <v>ictv.global=202313829</v>
      </c>
    </row>
    <row r="13026" spans="1:21">
      <c r="A13026">
        <v>13025</v>
      </c>
      <c r="B13026" s="30" t="s">
        <v>1226</v>
      </c>
      <c r="D13026" s="30" t="s">
        <v>2024</v>
      </c>
      <c r="F13026" s="30" t="s">
        <v>2074</v>
      </c>
      <c r="H13026" s="30" t="s">
        <v>2077</v>
      </c>
      <c r="J13026" s="30" t="s">
        <v>278</v>
      </c>
      <c r="L13026" s="30" t="s">
        <v>468</v>
      </c>
      <c r="N13026" s="30" t="s">
        <v>444</v>
      </c>
      <c r="P13026" s="30" t="s">
        <v>11125</v>
      </c>
      <c r="Q13026" t="s">
        <v>621</v>
      </c>
      <c r="R13026" t="s">
        <v>920</v>
      </c>
      <c r="S13026">
        <v>38</v>
      </c>
      <c r="T13026" s="29" t="str">
        <f>HYPERLINK("https://ictv.global/ictv/proposals/2022.005P.Secoviridae_rename.zip","2022.005P.Secoviridae_rename.zip")</f>
        <v>2022.005P.Secoviridae_rename.zip</v>
      </c>
      <c r="U13026" s="29" t="str">
        <f>HYPERLINK("https://ictv.global/taxonomy/taxondetails?taxnode_id=202302159","ictv.global=202302159")</f>
        <v>ictv.global=202302159</v>
      </c>
    </row>
    <row r="13027" spans="1:21">
      <c r="A13027">
        <v>13026</v>
      </c>
      <c r="B13027" s="30" t="s">
        <v>1226</v>
      </c>
      <c r="D13027" s="30" t="s">
        <v>2024</v>
      </c>
      <c r="F13027" s="30" t="s">
        <v>2074</v>
      </c>
      <c r="H13027" s="30" t="s">
        <v>2077</v>
      </c>
      <c r="J13027" s="30" t="s">
        <v>278</v>
      </c>
      <c r="L13027" s="30" t="s">
        <v>468</v>
      </c>
      <c r="N13027" s="30" t="s">
        <v>444</v>
      </c>
      <c r="P13027" s="30" t="s">
        <v>11126</v>
      </c>
      <c r="Q13027" t="s">
        <v>621</v>
      </c>
      <c r="R13027" t="s">
        <v>920</v>
      </c>
      <c r="S13027">
        <v>38</v>
      </c>
      <c r="T13027" s="29" t="str">
        <f>HYPERLINK("https://ictv.global/ictv/proposals/2022.005P.Secoviridae_rename.zip","2022.005P.Secoviridae_rename.zip")</f>
        <v>2022.005P.Secoviridae_rename.zip</v>
      </c>
      <c r="U13027" s="29" t="str">
        <f>HYPERLINK("https://ictv.global/taxonomy/taxondetails?taxnode_id=202313827","ictv.global=202313827")</f>
        <v>ictv.global=202313827</v>
      </c>
    </row>
    <row r="13028" spans="1:21">
      <c r="A13028">
        <v>13027</v>
      </c>
      <c r="B13028" s="30" t="s">
        <v>1226</v>
      </c>
      <c r="D13028" s="30" t="s">
        <v>2024</v>
      </c>
      <c r="F13028" s="30" t="s">
        <v>2074</v>
      </c>
      <c r="H13028" s="30" t="s">
        <v>2077</v>
      </c>
      <c r="J13028" s="30" t="s">
        <v>278</v>
      </c>
      <c r="L13028" s="30" t="s">
        <v>468</v>
      </c>
      <c r="N13028" s="30" t="s">
        <v>444</v>
      </c>
      <c r="P13028" s="30" t="s">
        <v>11127</v>
      </c>
      <c r="Q13028" t="s">
        <v>621</v>
      </c>
      <c r="R13028" t="s">
        <v>917</v>
      </c>
      <c r="S13028">
        <v>38</v>
      </c>
      <c r="T13028" s="29" t="str">
        <f>HYPERLINK("https://ictv.global/ictv/proposals/2022.004P.Secoviridae_8ns.zip","2022.004P.Secoviridae_8ns.zip")</f>
        <v>2022.004P.Secoviridae_8ns.zip</v>
      </c>
      <c r="U13028" s="29" t="str">
        <f>HYPERLINK("https://ictv.global/taxonomy/taxondetails?taxnode_id=202315098","ictv.global=202315098")</f>
        <v>ictv.global=202315098</v>
      </c>
    </row>
    <row r="13029" spans="1:21">
      <c r="A13029">
        <v>13028</v>
      </c>
      <c r="B13029" s="30" t="s">
        <v>1226</v>
      </c>
      <c r="D13029" s="30" t="s">
        <v>2024</v>
      </c>
      <c r="F13029" s="30" t="s">
        <v>2074</v>
      </c>
      <c r="H13029" s="30" t="s">
        <v>2077</v>
      </c>
      <c r="J13029" s="30" t="s">
        <v>278</v>
      </c>
      <c r="L13029" s="30" t="s">
        <v>468</v>
      </c>
      <c r="N13029" s="30" t="s">
        <v>444</v>
      </c>
      <c r="P13029" s="30" t="s">
        <v>11128</v>
      </c>
      <c r="Q13029" t="s">
        <v>621</v>
      </c>
      <c r="R13029" t="s">
        <v>920</v>
      </c>
      <c r="S13029">
        <v>38</v>
      </c>
      <c r="T13029" s="29" t="str">
        <f>HYPERLINK("https://ictv.global/ictv/proposals/2022.005P.Secoviridae_rename.zip","2022.005P.Secoviridae_rename.zip")</f>
        <v>2022.005P.Secoviridae_rename.zip</v>
      </c>
      <c r="U13029" s="29" t="str">
        <f>HYPERLINK("https://ictv.global/taxonomy/taxondetails?taxnode_id=202302160","ictv.global=202302160")</f>
        <v>ictv.global=202302160</v>
      </c>
    </row>
    <row r="13030" spans="1:21">
      <c r="A13030">
        <v>13029</v>
      </c>
      <c r="B13030" s="30" t="s">
        <v>1226</v>
      </c>
      <c r="D13030" s="30" t="s">
        <v>2024</v>
      </c>
      <c r="F13030" s="30" t="s">
        <v>2074</v>
      </c>
      <c r="H13030" s="30" t="s">
        <v>2077</v>
      </c>
      <c r="J13030" s="30" t="s">
        <v>278</v>
      </c>
      <c r="L13030" s="30" t="s">
        <v>468</v>
      </c>
      <c r="N13030" s="30" t="s">
        <v>444</v>
      </c>
      <c r="P13030" s="30" t="s">
        <v>11129</v>
      </c>
      <c r="Q13030" t="s">
        <v>621</v>
      </c>
      <c r="R13030" t="s">
        <v>920</v>
      </c>
      <c r="S13030">
        <v>38</v>
      </c>
      <c r="T13030" s="29" t="str">
        <f>HYPERLINK("https://ictv.global/ictv/proposals/2022.005P.Secoviridae_rename.zip","2022.005P.Secoviridae_rename.zip")</f>
        <v>2022.005P.Secoviridae_rename.zip</v>
      </c>
      <c r="U13030" s="29" t="str">
        <f>HYPERLINK("https://ictv.global/taxonomy/taxondetails?taxnode_id=202313825","ictv.global=202313825")</f>
        <v>ictv.global=202313825</v>
      </c>
    </row>
    <row r="13031" spans="1:21">
      <c r="A13031">
        <v>13030</v>
      </c>
      <c r="B13031" s="30" t="s">
        <v>1226</v>
      </c>
      <c r="D13031" s="30" t="s">
        <v>2024</v>
      </c>
      <c r="F13031" s="30" t="s">
        <v>2074</v>
      </c>
      <c r="H13031" s="30" t="s">
        <v>2077</v>
      </c>
      <c r="J13031" s="30" t="s">
        <v>278</v>
      </c>
      <c r="L13031" s="30" t="s">
        <v>468</v>
      </c>
      <c r="N13031" s="30" t="s">
        <v>444</v>
      </c>
      <c r="P13031" s="30" t="s">
        <v>17948</v>
      </c>
      <c r="Q13031" t="s">
        <v>621</v>
      </c>
      <c r="R13031" t="s">
        <v>917</v>
      </c>
      <c r="S13031">
        <v>39</v>
      </c>
      <c r="T13031" s="29" t="str">
        <f>HYPERLINK("https://ictv.global/ictv/proposals/2023.018P.Secoviridae_16nsp.zip","2023.018P.Secoviridae_16nsp.zip")</f>
        <v>2023.018P.Secoviridae_16nsp.zip</v>
      </c>
      <c r="U13031" s="29" t="str">
        <f>HYPERLINK("https://ictv.global/taxonomy/taxondetails?taxnode_id=202318396","ictv.global=202318396")</f>
        <v>ictv.global=202318396</v>
      </c>
    </row>
    <row r="13032" spans="1:21">
      <c r="A13032">
        <v>13031</v>
      </c>
      <c r="B13032" s="30" t="s">
        <v>1226</v>
      </c>
      <c r="D13032" s="30" t="s">
        <v>2024</v>
      </c>
      <c r="F13032" s="30" t="s">
        <v>2074</v>
      </c>
      <c r="H13032" s="30" t="s">
        <v>2077</v>
      </c>
      <c r="J13032" s="30" t="s">
        <v>278</v>
      </c>
      <c r="L13032" s="30" t="s">
        <v>468</v>
      </c>
      <c r="N13032" s="30" t="s">
        <v>444</v>
      </c>
      <c r="P13032" s="30" t="s">
        <v>11130</v>
      </c>
      <c r="Q13032" t="s">
        <v>621</v>
      </c>
      <c r="R13032" t="s">
        <v>920</v>
      </c>
      <c r="S13032">
        <v>38</v>
      </c>
      <c r="T13032" s="29" t="str">
        <f>HYPERLINK("https://ictv.global/ictv/proposals/2022.005P.Secoviridae_rename.zip","2022.005P.Secoviridae_rename.zip")</f>
        <v>2022.005P.Secoviridae_rename.zip</v>
      </c>
      <c r="U13032" s="29" t="str">
        <f>HYPERLINK("https://ictv.global/taxonomy/taxondetails?taxnode_id=202313830","ictv.global=202313830")</f>
        <v>ictv.global=202313830</v>
      </c>
    </row>
    <row r="13033" spans="1:21">
      <c r="A13033">
        <v>13032</v>
      </c>
      <c r="B13033" s="30" t="s">
        <v>1226</v>
      </c>
      <c r="D13033" s="30" t="s">
        <v>2024</v>
      </c>
      <c r="F13033" s="30" t="s">
        <v>2074</v>
      </c>
      <c r="H13033" s="30" t="s">
        <v>2077</v>
      </c>
      <c r="J13033" s="30" t="s">
        <v>278</v>
      </c>
      <c r="L13033" s="30" t="s">
        <v>468</v>
      </c>
      <c r="N13033" s="30" t="s">
        <v>444</v>
      </c>
      <c r="P13033" s="30" t="s">
        <v>11131</v>
      </c>
      <c r="Q13033" t="s">
        <v>621</v>
      </c>
      <c r="R13033" t="s">
        <v>920</v>
      </c>
      <c r="S13033">
        <v>38</v>
      </c>
      <c r="T13033" s="29" t="str">
        <f>HYPERLINK("https://ictv.global/ictv/proposals/2022.005P.Secoviridae_rename.zip","2022.005P.Secoviridae_rename.zip")</f>
        <v>2022.005P.Secoviridae_rename.zip</v>
      </c>
      <c r="U13033" s="29" t="str">
        <f>HYPERLINK("https://ictv.global/taxonomy/taxondetails?taxnode_id=202302162","ictv.global=202302162")</f>
        <v>ictv.global=202302162</v>
      </c>
    </row>
    <row r="13034" spans="1:21">
      <c r="A13034">
        <v>13033</v>
      </c>
      <c r="B13034" s="30" t="s">
        <v>1226</v>
      </c>
      <c r="D13034" s="30" t="s">
        <v>2024</v>
      </c>
      <c r="F13034" s="30" t="s">
        <v>2074</v>
      </c>
      <c r="H13034" s="30" t="s">
        <v>2077</v>
      </c>
      <c r="J13034" s="30" t="s">
        <v>278</v>
      </c>
      <c r="L13034" s="30" t="s">
        <v>468</v>
      </c>
      <c r="N13034" s="30" t="s">
        <v>444</v>
      </c>
      <c r="P13034" s="30" t="s">
        <v>17949</v>
      </c>
      <c r="Q13034" t="s">
        <v>621</v>
      </c>
      <c r="R13034" t="s">
        <v>917</v>
      </c>
      <c r="S13034">
        <v>39</v>
      </c>
      <c r="T13034" s="29" t="str">
        <f>HYPERLINK("https://ictv.global/ictv/proposals/2023.018P.Secoviridae_16nsp.zip","2023.018P.Secoviridae_16nsp.zip")</f>
        <v>2023.018P.Secoviridae_16nsp.zip</v>
      </c>
      <c r="U13034" s="29" t="str">
        <f>HYPERLINK("https://ictv.global/taxonomy/taxondetails?taxnode_id=202318397","ictv.global=202318397")</f>
        <v>ictv.global=202318397</v>
      </c>
    </row>
    <row r="13035" spans="1:21">
      <c r="A13035">
        <v>13034</v>
      </c>
      <c r="B13035" s="30" t="s">
        <v>1226</v>
      </c>
      <c r="D13035" s="30" t="s">
        <v>2024</v>
      </c>
      <c r="F13035" s="30" t="s">
        <v>2074</v>
      </c>
      <c r="H13035" s="30" t="s">
        <v>2077</v>
      </c>
      <c r="J13035" s="30" t="s">
        <v>278</v>
      </c>
      <c r="L13035" s="30" t="s">
        <v>468</v>
      </c>
      <c r="N13035" s="30" t="s">
        <v>444</v>
      </c>
      <c r="P13035" s="30" t="s">
        <v>11132</v>
      </c>
      <c r="Q13035" t="s">
        <v>621</v>
      </c>
      <c r="R13035" t="s">
        <v>920</v>
      </c>
      <c r="S13035">
        <v>38</v>
      </c>
      <c r="T13035" s="29" t="str">
        <f>HYPERLINK("https://ictv.global/ictv/proposals/2022.005P.Secoviridae_rename.zip","2022.005P.Secoviridae_rename.zip")</f>
        <v>2022.005P.Secoviridae_rename.zip</v>
      </c>
      <c r="U13035" s="29" t="str">
        <f>HYPERLINK("https://ictv.global/taxonomy/taxondetails?taxnode_id=202313828","ictv.global=202313828")</f>
        <v>ictv.global=202313828</v>
      </c>
    </row>
    <row r="13036" spans="1:21">
      <c r="A13036">
        <v>13035</v>
      </c>
      <c r="B13036" s="30" t="s">
        <v>1226</v>
      </c>
      <c r="D13036" s="30" t="s">
        <v>2024</v>
      </c>
      <c r="F13036" s="30" t="s">
        <v>2074</v>
      </c>
      <c r="H13036" s="30" t="s">
        <v>2077</v>
      </c>
      <c r="J13036" s="30" t="s">
        <v>278</v>
      </c>
      <c r="L13036" s="30" t="s">
        <v>468</v>
      </c>
      <c r="N13036" s="30" t="s">
        <v>444</v>
      </c>
      <c r="P13036" s="30" t="s">
        <v>11133</v>
      </c>
      <c r="Q13036" t="s">
        <v>621</v>
      </c>
      <c r="R13036" t="s">
        <v>917</v>
      </c>
      <c r="S13036">
        <v>38</v>
      </c>
      <c r="T13036" s="29" t="str">
        <f>HYPERLINK("https://ictv.global/ictv/proposals/2022.003P.Secoviridae_1ns.zip","2022.003P.Secoviridae_1ns.zip")</f>
        <v>2022.003P.Secoviridae_1ns.zip</v>
      </c>
      <c r="U13036" s="29" t="str">
        <f>HYPERLINK("https://ictv.global/taxonomy/taxondetails?taxnode_id=202315090","ictv.global=202315090")</f>
        <v>ictv.global=202315090</v>
      </c>
    </row>
    <row r="13037" spans="1:21">
      <c r="A13037">
        <v>13036</v>
      </c>
      <c r="B13037" s="30" t="s">
        <v>1226</v>
      </c>
      <c r="D13037" s="30" t="s">
        <v>2024</v>
      </c>
      <c r="F13037" s="30" t="s">
        <v>2074</v>
      </c>
      <c r="H13037" s="30" t="s">
        <v>2077</v>
      </c>
      <c r="J13037" s="30" t="s">
        <v>278</v>
      </c>
      <c r="L13037" s="30" t="s">
        <v>468</v>
      </c>
      <c r="N13037" s="30" t="s">
        <v>444</v>
      </c>
      <c r="P13037" s="30" t="s">
        <v>11134</v>
      </c>
      <c r="Q13037" t="s">
        <v>621</v>
      </c>
      <c r="R13037" t="s">
        <v>920</v>
      </c>
      <c r="S13037">
        <v>38</v>
      </c>
      <c r="T13037" s="29" t="str">
        <f>HYPERLINK("https://ictv.global/ictv/proposals/2022.005P.Secoviridae_rename.zip","2022.005P.Secoviridae_rename.zip")</f>
        <v>2022.005P.Secoviridae_rename.zip</v>
      </c>
      <c r="U13037" s="29" t="str">
        <f>HYPERLINK("https://ictv.global/taxonomy/taxondetails?taxnode_id=202313826","ictv.global=202313826")</f>
        <v>ictv.global=202313826</v>
      </c>
    </row>
    <row r="13038" spans="1:21">
      <c r="A13038">
        <v>13037</v>
      </c>
      <c r="B13038" s="30" t="s">
        <v>1226</v>
      </c>
      <c r="D13038" s="30" t="s">
        <v>2024</v>
      </c>
      <c r="F13038" s="30" t="s">
        <v>2074</v>
      </c>
      <c r="H13038" s="30" t="s">
        <v>2077</v>
      </c>
      <c r="J13038" s="30" t="s">
        <v>278</v>
      </c>
      <c r="L13038" s="30" t="s">
        <v>468</v>
      </c>
      <c r="N13038" s="30" t="s">
        <v>444</v>
      </c>
      <c r="P13038" s="30" t="s">
        <v>11135</v>
      </c>
      <c r="Q13038" t="s">
        <v>621</v>
      </c>
      <c r="R13038" t="s">
        <v>920</v>
      </c>
      <c r="S13038">
        <v>38</v>
      </c>
      <c r="T13038" s="29" t="str">
        <f>HYPERLINK("https://ictv.global/ictv/proposals/2022.005P.Secoviridae_rename.zip","2022.005P.Secoviridae_rename.zip")</f>
        <v>2022.005P.Secoviridae_rename.zip</v>
      </c>
      <c r="U13038" s="29" t="str">
        <f>HYPERLINK("https://ictv.global/taxonomy/taxondetails?taxnode_id=202302161","ictv.global=202302161")</f>
        <v>ictv.global=202302161</v>
      </c>
    </row>
    <row r="13039" spans="1:21">
      <c r="A13039">
        <v>13038</v>
      </c>
      <c r="B13039" s="30" t="s">
        <v>1226</v>
      </c>
      <c r="D13039" s="30" t="s">
        <v>2024</v>
      </c>
      <c r="F13039" s="30" t="s">
        <v>2074</v>
      </c>
      <c r="H13039" s="30" t="s">
        <v>2077</v>
      </c>
      <c r="J13039" s="30" t="s">
        <v>278</v>
      </c>
      <c r="L13039" s="30" t="s">
        <v>909</v>
      </c>
      <c r="N13039" s="30" t="s">
        <v>910</v>
      </c>
      <c r="P13039" s="30" t="s">
        <v>17950</v>
      </c>
      <c r="Q13039" t="s">
        <v>621</v>
      </c>
      <c r="R13039" t="s">
        <v>920</v>
      </c>
      <c r="S13039">
        <v>39</v>
      </c>
      <c r="T13039" s="29" t="str">
        <f>HYPERLINK("https://ictv.global/ictv/proposals/2023.007S.Solinviviridae_2sprenamed.zip","2023.007S.Solinviviridae_2sprenamed.zip")</f>
        <v>2023.007S.Solinviviridae_2sprenamed.zip</v>
      </c>
      <c r="U13039" s="29" t="str">
        <f>HYPERLINK("https://ictv.global/taxonomy/taxondetails?taxnode_id=202305051","ictv.global=202305051")</f>
        <v>ictv.global=202305051</v>
      </c>
    </row>
    <row r="13040" spans="1:21">
      <c r="A13040">
        <v>13039</v>
      </c>
      <c r="B13040" s="30" t="s">
        <v>1226</v>
      </c>
      <c r="D13040" s="30" t="s">
        <v>2024</v>
      </c>
      <c r="F13040" s="30" t="s">
        <v>2074</v>
      </c>
      <c r="H13040" s="30" t="s">
        <v>2077</v>
      </c>
      <c r="J13040" s="30" t="s">
        <v>278</v>
      </c>
      <c r="L13040" s="30" t="s">
        <v>909</v>
      </c>
      <c r="N13040" s="30" t="s">
        <v>911</v>
      </c>
      <c r="P13040" s="30" t="s">
        <v>17951</v>
      </c>
      <c r="Q13040" t="s">
        <v>621</v>
      </c>
      <c r="R13040" t="s">
        <v>920</v>
      </c>
      <c r="S13040">
        <v>39</v>
      </c>
      <c r="T13040" s="29" t="str">
        <f>HYPERLINK("https://ictv.global/ictv/proposals/2023.007S.Solinviviridae_2sprenamed.zip","2023.007S.Solinviviridae_2sprenamed.zip")</f>
        <v>2023.007S.Solinviviridae_2sprenamed.zip</v>
      </c>
      <c r="U13040" s="29" t="str">
        <f>HYPERLINK("https://ictv.global/taxonomy/taxondetails?taxnode_id=202305053","ictv.global=202305053")</f>
        <v>ictv.global=202305053</v>
      </c>
    </row>
    <row r="13041" spans="1:21">
      <c r="A13041">
        <v>13040</v>
      </c>
      <c r="B13041" s="30" t="s">
        <v>1226</v>
      </c>
      <c r="D13041" s="30" t="s">
        <v>2024</v>
      </c>
      <c r="F13041" s="30" t="s">
        <v>2074</v>
      </c>
      <c r="H13041" s="30" t="s">
        <v>2077</v>
      </c>
      <c r="J13041" s="30" t="s">
        <v>2125</v>
      </c>
      <c r="L13041" s="30" t="s">
        <v>10</v>
      </c>
      <c r="N13041" s="30" t="s">
        <v>11</v>
      </c>
      <c r="P13041" s="30" t="s">
        <v>12</v>
      </c>
      <c r="Q13041" t="s">
        <v>621</v>
      </c>
      <c r="R13041" t="s">
        <v>3894</v>
      </c>
      <c r="S13041">
        <v>36</v>
      </c>
      <c r="T13041" s="29" t="str">
        <f>HYPERLINK("https://ictv.global/ictv/proposals/2020.001G.R.Abolish_type_species.pdf","2020.001G.R.Abolish_type_species.pdf")</f>
        <v>2020.001G.R.Abolish_type_species.pdf</v>
      </c>
      <c r="U13041" s="29" t="str">
        <f>HYPERLINK("https://ictv.global/taxonomy/taxondetails?taxnode_id=202302473","ictv.global=202302473")</f>
        <v>ictv.global=202302473</v>
      </c>
    </row>
    <row r="13042" spans="1:21">
      <c r="A13042">
        <v>13041</v>
      </c>
      <c r="B13042" s="30" t="s">
        <v>1226</v>
      </c>
      <c r="D13042" s="30" t="s">
        <v>2024</v>
      </c>
      <c r="F13042" s="30" t="s">
        <v>2074</v>
      </c>
      <c r="H13042" s="30" t="s">
        <v>2077</v>
      </c>
      <c r="J13042" s="30" t="s">
        <v>2125</v>
      </c>
      <c r="L13042" s="30" t="s">
        <v>419</v>
      </c>
      <c r="N13042" s="30" t="s">
        <v>420</v>
      </c>
      <c r="P13042" s="30" t="s">
        <v>421</v>
      </c>
      <c r="Q13042" t="s">
        <v>621</v>
      </c>
      <c r="R13042" t="s">
        <v>3894</v>
      </c>
      <c r="S13042">
        <v>36</v>
      </c>
      <c r="T13042" s="29" t="str">
        <f>HYPERLINK("https://ictv.global/ictv/proposals/2020.001G.R.Abolish_type_species.pdf","2020.001G.R.Abolish_type_species.pdf")</f>
        <v>2020.001G.R.Abolish_type_species.pdf</v>
      </c>
      <c r="U13042" s="29" t="str">
        <f>HYPERLINK("https://ictv.global/taxonomy/taxondetails?taxnode_id=202302729","ictv.global=202302729")</f>
        <v>ictv.global=202302729</v>
      </c>
    </row>
    <row r="13043" spans="1:21">
      <c r="A13043">
        <v>13042</v>
      </c>
      <c r="B13043" s="30" t="s">
        <v>1226</v>
      </c>
      <c r="D13043" s="30" t="s">
        <v>2024</v>
      </c>
      <c r="F13043" s="30" t="s">
        <v>2074</v>
      </c>
      <c r="H13043" s="30" t="s">
        <v>2077</v>
      </c>
      <c r="J13043" s="30" t="s">
        <v>2125</v>
      </c>
      <c r="L13043" s="30" t="s">
        <v>1027</v>
      </c>
      <c r="N13043" s="30" t="s">
        <v>299</v>
      </c>
      <c r="P13043" s="30" t="s">
        <v>17952</v>
      </c>
      <c r="Q13043" t="s">
        <v>621</v>
      </c>
      <c r="R13043" t="s">
        <v>920</v>
      </c>
      <c r="S13043">
        <v>39</v>
      </c>
      <c r="T13043" s="29" t="str">
        <f>HYPERLINK("https://ictv.global/ictv/proposals/2023.019P.Solemoviridae_rename_sp.zip","2023.019P.Solemoviridae_rename_sp.zip")</f>
        <v>2023.019P.Solemoviridae_rename_sp.zip</v>
      </c>
      <c r="U13043" s="29" t="str">
        <f>HYPERLINK("https://ictv.global/taxonomy/taxondetails?taxnode_id=202303762","ictv.global=202303762")</f>
        <v>ictv.global=202303762</v>
      </c>
    </row>
    <row r="13044" spans="1:21">
      <c r="A13044">
        <v>13043</v>
      </c>
      <c r="B13044" s="30" t="s">
        <v>1226</v>
      </c>
      <c r="D13044" s="30" t="s">
        <v>2024</v>
      </c>
      <c r="F13044" s="30" t="s">
        <v>2074</v>
      </c>
      <c r="H13044" s="30" t="s">
        <v>2077</v>
      </c>
      <c r="J13044" s="30" t="s">
        <v>2125</v>
      </c>
      <c r="L13044" s="30" t="s">
        <v>1027</v>
      </c>
      <c r="N13044" s="30" t="s">
        <v>299</v>
      </c>
      <c r="P13044" s="30" t="s">
        <v>17953</v>
      </c>
      <c r="Q13044" t="s">
        <v>621</v>
      </c>
      <c r="R13044" t="s">
        <v>917</v>
      </c>
      <c r="S13044">
        <v>39</v>
      </c>
      <c r="T13044" s="29" t="str">
        <f>HYPERLINK("https://ictv.global/ictv/proposals/2023.020P.Enamovirus_10nsp.zip","2023.020P.Enamovirus_10nsp.zip")</f>
        <v>2023.020P.Enamovirus_10nsp.zip</v>
      </c>
      <c r="U13044" s="29" t="str">
        <f>HYPERLINK("https://ictv.global/taxonomy/taxondetails?taxnode_id=202318491","ictv.global=202318491")</f>
        <v>ictv.global=202318491</v>
      </c>
    </row>
    <row r="13045" spans="1:21">
      <c r="A13045">
        <v>13044</v>
      </c>
      <c r="B13045" s="30" t="s">
        <v>1226</v>
      </c>
      <c r="D13045" s="30" t="s">
        <v>2024</v>
      </c>
      <c r="F13045" s="30" t="s">
        <v>2074</v>
      </c>
      <c r="H13045" s="30" t="s">
        <v>2077</v>
      </c>
      <c r="J13045" s="30" t="s">
        <v>2125</v>
      </c>
      <c r="L13045" s="30" t="s">
        <v>1027</v>
      </c>
      <c r="N13045" s="30" t="s">
        <v>299</v>
      </c>
      <c r="P13045" s="30" t="s">
        <v>17954</v>
      </c>
      <c r="Q13045" t="s">
        <v>621</v>
      </c>
      <c r="R13045" t="s">
        <v>917</v>
      </c>
      <c r="S13045">
        <v>39</v>
      </c>
      <c r="T13045" s="29" t="str">
        <f>HYPERLINK("https://ictv.global/ictv/proposals/2023.020P.Enamovirus_10nsp.zip","2023.020P.Enamovirus_10nsp.zip")</f>
        <v>2023.020P.Enamovirus_10nsp.zip</v>
      </c>
      <c r="U13045" s="29" t="str">
        <f>HYPERLINK("https://ictv.global/taxonomy/taxondetails?taxnode_id=202318492","ictv.global=202318492")</f>
        <v>ictv.global=202318492</v>
      </c>
    </row>
    <row r="13046" spans="1:21">
      <c r="A13046">
        <v>13045</v>
      </c>
      <c r="B13046" s="30" t="s">
        <v>1226</v>
      </c>
      <c r="D13046" s="30" t="s">
        <v>2024</v>
      </c>
      <c r="F13046" s="30" t="s">
        <v>2074</v>
      </c>
      <c r="H13046" s="30" t="s">
        <v>2077</v>
      </c>
      <c r="J13046" s="30" t="s">
        <v>2125</v>
      </c>
      <c r="L13046" s="30" t="s">
        <v>1027</v>
      </c>
      <c r="N13046" s="30" t="s">
        <v>299</v>
      </c>
      <c r="P13046" s="30" t="s">
        <v>17955</v>
      </c>
      <c r="Q13046" t="s">
        <v>621</v>
      </c>
      <c r="R13046" t="s">
        <v>917</v>
      </c>
      <c r="S13046">
        <v>39</v>
      </c>
      <c r="T13046" s="29" t="str">
        <f>HYPERLINK("https://ictv.global/ictv/proposals/2023.020P.Enamovirus_10nsp.zip","2023.020P.Enamovirus_10nsp.zip")</f>
        <v>2023.020P.Enamovirus_10nsp.zip</v>
      </c>
      <c r="U13046" s="29" t="str">
        <f>HYPERLINK("https://ictv.global/taxonomy/taxondetails?taxnode_id=202318493","ictv.global=202318493")</f>
        <v>ictv.global=202318493</v>
      </c>
    </row>
    <row r="13047" spans="1:21">
      <c r="A13047">
        <v>13046</v>
      </c>
      <c r="B13047" s="30" t="s">
        <v>1226</v>
      </c>
      <c r="D13047" s="30" t="s">
        <v>2024</v>
      </c>
      <c r="F13047" s="30" t="s">
        <v>2074</v>
      </c>
      <c r="H13047" s="30" t="s">
        <v>2077</v>
      </c>
      <c r="J13047" s="30" t="s">
        <v>2125</v>
      </c>
      <c r="L13047" s="30" t="s">
        <v>1027</v>
      </c>
      <c r="N13047" s="30" t="s">
        <v>299</v>
      </c>
      <c r="P13047" s="30" t="s">
        <v>17956</v>
      </c>
      <c r="Q13047" t="s">
        <v>621</v>
      </c>
      <c r="R13047" t="s">
        <v>920</v>
      </c>
      <c r="S13047">
        <v>39</v>
      </c>
      <c r="T13047" s="29" t="str">
        <f>HYPERLINK("https://ictv.global/ictv/proposals/2023.019P.Solemoviridae_rename_sp.zip","2023.019P.Solemoviridae_rename_sp.zip")</f>
        <v>2023.019P.Solemoviridae_rename_sp.zip</v>
      </c>
      <c r="U13047" s="29" t="str">
        <f>HYPERLINK("https://ictv.global/taxonomy/taxondetails?taxnode_id=202307408","ictv.global=202307408")</f>
        <v>ictv.global=202307408</v>
      </c>
    </row>
    <row r="13048" spans="1:21">
      <c r="A13048">
        <v>13047</v>
      </c>
      <c r="B13048" s="30" t="s">
        <v>1226</v>
      </c>
      <c r="D13048" s="30" t="s">
        <v>2024</v>
      </c>
      <c r="F13048" s="30" t="s">
        <v>2074</v>
      </c>
      <c r="H13048" s="30" t="s">
        <v>2077</v>
      </c>
      <c r="J13048" s="30" t="s">
        <v>2125</v>
      </c>
      <c r="L13048" s="30" t="s">
        <v>1027</v>
      </c>
      <c r="N13048" s="30" t="s">
        <v>299</v>
      </c>
      <c r="P13048" s="30" t="s">
        <v>17957</v>
      </c>
      <c r="Q13048" t="s">
        <v>621</v>
      </c>
      <c r="R13048" t="s">
        <v>917</v>
      </c>
      <c r="S13048">
        <v>39</v>
      </c>
      <c r="T13048" s="29" t="str">
        <f>HYPERLINK("https://ictv.global/ictv/proposals/2023.020P.Enamovirus_10nsp.zip","2023.020P.Enamovirus_10nsp.zip")</f>
        <v>2023.020P.Enamovirus_10nsp.zip</v>
      </c>
      <c r="U13048" s="29" t="str">
        <f>HYPERLINK("https://ictv.global/taxonomy/taxondetails?taxnode_id=202318494","ictv.global=202318494")</f>
        <v>ictv.global=202318494</v>
      </c>
    </row>
    <row r="13049" spans="1:21">
      <c r="A13049">
        <v>13048</v>
      </c>
      <c r="B13049" s="30" t="s">
        <v>1226</v>
      </c>
      <c r="D13049" s="30" t="s">
        <v>2024</v>
      </c>
      <c r="F13049" s="30" t="s">
        <v>2074</v>
      </c>
      <c r="H13049" s="30" t="s">
        <v>2077</v>
      </c>
      <c r="J13049" s="30" t="s">
        <v>2125</v>
      </c>
      <c r="L13049" s="30" t="s">
        <v>1027</v>
      </c>
      <c r="N13049" s="30" t="s">
        <v>299</v>
      </c>
      <c r="P13049" s="30" t="s">
        <v>17958</v>
      </c>
      <c r="Q13049" t="s">
        <v>621</v>
      </c>
      <c r="R13049" t="s">
        <v>917</v>
      </c>
      <c r="S13049">
        <v>39</v>
      </c>
      <c r="T13049" s="29" t="str">
        <f>HYPERLINK("https://ictv.global/ictv/proposals/2023.020P.Enamovirus_10nsp.zip","2023.020P.Enamovirus_10nsp.zip")</f>
        <v>2023.020P.Enamovirus_10nsp.zip</v>
      </c>
      <c r="U13049" s="29" t="str">
        <f>HYPERLINK("https://ictv.global/taxonomy/taxondetails?taxnode_id=202318495","ictv.global=202318495")</f>
        <v>ictv.global=202318495</v>
      </c>
    </row>
    <row r="13050" spans="1:21">
      <c r="A13050">
        <v>13049</v>
      </c>
      <c r="B13050" s="30" t="s">
        <v>1226</v>
      </c>
      <c r="D13050" s="30" t="s">
        <v>2024</v>
      </c>
      <c r="F13050" s="30" t="s">
        <v>2074</v>
      </c>
      <c r="H13050" s="30" t="s">
        <v>2077</v>
      </c>
      <c r="J13050" s="30" t="s">
        <v>2125</v>
      </c>
      <c r="L13050" s="30" t="s">
        <v>1027</v>
      </c>
      <c r="N13050" s="30" t="s">
        <v>299</v>
      </c>
      <c r="P13050" s="30" t="s">
        <v>17959</v>
      </c>
      <c r="Q13050" t="s">
        <v>621</v>
      </c>
      <c r="R13050" t="s">
        <v>920</v>
      </c>
      <c r="S13050">
        <v>39</v>
      </c>
      <c r="T13050" s="29" t="str">
        <f>HYPERLINK("https://ictv.global/ictv/proposals/2023.019P.Solemoviridae_rename_sp.zip","2023.019P.Solemoviridae_rename_sp.zip")</f>
        <v>2023.019P.Solemoviridae_rename_sp.zip</v>
      </c>
      <c r="U13050" s="29" t="str">
        <f>HYPERLINK("https://ictv.global/taxonomy/taxondetails?taxnode_id=202306590","ictv.global=202306590")</f>
        <v>ictv.global=202306590</v>
      </c>
    </row>
    <row r="13051" spans="1:21">
      <c r="A13051">
        <v>13050</v>
      </c>
      <c r="B13051" s="30" t="s">
        <v>1226</v>
      </c>
      <c r="D13051" s="30" t="s">
        <v>2024</v>
      </c>
      <c r="F13051" s="30" t="s">
        <v>2074</v>
      </c>
      <c r="H13051" s="30" t="s">
        <v>2077</v>
      </c>
      <c r="J13051" s="30" t="s">
        <v>2125</v>
      </c>
      <c r="L13051" s="30" t="s">
        <v>1027</v>
      </c>
      <c r="N13051" s="30" t="s">
        <v>299</v>
      </c>
      <c r="P13051" s="30" t="s">
        <v>17960</v>
      </c>
      <c r="Q13051" t="s">
        <v>621</v>
      </c>
      <c r="R13051" t="s">
        <v>920</v>
      </c>
      <c r="S13051">
        <v>39</v>
      </c>
      <c r="T13051" s="29" t="str">
        <f>HYPERLINK("https://ictv.global/ictv/proposals/2023.019P.Solemoviridae_rename_sp.zip","2023.019P.Solemoviridae_rename_sp.zip")</f>
        <v>2023.019P.Solemoviridae_rename_sp.zip</v>
      </c>
      <c r="U13051" s="29" t="str">
        <f>HYPERLINK("https://ictv.global/taxonomy/taxondetails?taxnode_id=202306585","ictv.global=202306585")</f>
        <v>ictv.global=202306585</v>
      </c>
    </row>
    <row r="13052" spans="1:21">
      <c r="A13052">
        <v>13051</v>
      </c>
      <c r="B13052" s="30" t="s">
        <v>1226</v>
      </c>
      <c r="D13052" s="30" t="s">
        <v>2024</v>
      </c>
      <c r="F13052" s="30" t="s">
        <v>2074</v>
      </c>
      <c r="H13052" s="30" t="s">
        <v>2077</v>
      </c>
      <c r="J13052" s="30" t="s">
        <v>2125</v>
      </c>
      <c r="L13052" s="30" t="s">
        <v>1027</v>
      </c>
      <c r="N13052" s="30" t="s">
        <v>299</v>
      </c>
      <c r="P13052" s="30" t="s">
        <v>17961</v>
      </c>
      <c r="Q13052" t="s">
        <v>621</v>
      </c>
      <c r="R13052" t="s">
        <v>917</v>
      </c>
      <c r="S13052">
        <v>39</v>
      </c>
      <c r="T13052" s="29" t="str">
        <f>HYPERLINK("https://ictv.global/ictv/proposals/2023.020P.Enamovirus_10nsp.zip","2023.020P.Enamovirus_10nsp.zip")</f>
        <v>2023.020P.Enamovirus_10nsp.zip</v>
      </c>
      <c r="U13052" s="29" t="str">
        <f>HYPERLINK("https://ictv.global/taxonomy/taxondetails?taxnode_id=202318496","ictv.global=202318496")</f>
        <v>ictv.global=202318496</v>
      </c>
    </row>
    <row r="13053" spans="1:21">
      <c r="A13053">
        <v>13052</v>
      </c>
      <c r="B13053" s="30" t="s">
        <v>1226</v>
      </c>
      <c r="D13053" s="30" t="s">
        <v>2024</v>
      </c>
      <c r="F13053" s="30" t="s">
        <v>2074</v>
      </c>
      <c r="H13053" s="30" t="s">
        <v>2077</v>
      </c>
      <c r="J13053" s="30" t="s">
        <v>2125</v>
      </c>
      <c r="L13053" s="30" t="s">
        <v>1027</v>
      </c>
      <c r="N13053" s="30" t="s">
        <v>299</v>
      </c>
      <c r="P13053" s="30" t="s">
        <v>17962</v>
      </c>
      <c r="Q13053" t="s">
        <v>621</v>
      </c>
      <c r="R13053" t="s">
        <v>917</v>
      </c>
      <c r="S13053">
        <v>39</v>
      </c>
      <c r="T13053" s="29" t="str">
        <f>HYPERLINK("https://ictv.global/ictv/proposals/2023.020P.Enamovirus_10nsp.zip","2023.020P.Enamovirus_10nsp.zip")</f>
        <v>2023.020P.Enamovirus_10nsp.zip</v>
      </c>
      <c r="U13053" s="29" t="str">
        <f>HYPERLINK("https://ictv.global/taxonomy/taxondetails?taxnode_id=202318497","ictv.global=202318497")</f>
        <v>ictv.global=202318497</v>
      </c>
    </row>
    <row r="13054" spans="1:21">
      <c r="A13054">
        <v>13053</v>
      </c>
      <c r="B13054" s="30" t="s">
        <v>1226</v>
      </c>
      <c r="D13054" s="30" t="s">
        <v>2024</v>
      </c>
      <c r="F13054" s="30" t="s">
        <v>2074</v>
      </c>
      <c r="H13054" s="30" t="s">
        <v>2077</v>
      </c>
      <c r="J13054" s="30" t="s">
        <v>2125</v>
      </c>
      <c r="L13054" s="30" t="s">
        <v>1027</v>
      </c>
      <c r="N13054" s="30" t="s">
        <v>299</v>
      </c>
      <c r="P13054" s="30" t="s">
        <v>17963</v>
      </c>
      <c r="Q13054" t="s">
        <v>621</v>
      </c>
      <c r="R13054" t="s">
        <v>917</v>
      </c>
      <c r="S13054">
        <v>39</v>
      </c>
      <c r="T13054" s="29" t="str">
        <f>HYPERLINK("https://ictv.global/ictv/proposals/2023.020P.Enamovirus_10nsp.zip","2023.020P.Enamovirus_10nsp.zip")</f>
        <v>2023.020P.Enamovirus_10nsp.zip</v>
      </c>
      <c r="U13054" s="29" t="str">
        <f>HYPERLINK("https://ictv.global/taxonomy/taxondetails?taxnode_id=202318498","ictv.global=202318498")</f>
        <v>ictv.global=202318498</v>
      </c>
    </row>
    <row r="13055" spans="1:21">
      <c r="A13055">
        <v>13054</v>
      </c>
      <c r="B13055" s="30" t="s">
        <v>1226</v>
      </c>
      <c r="D13055" s="30" t="s">
        <v>2024</v>
      </c>
      <c r="F13055" s="30" t="s">
        <v>2074</v>
      </c>
      <c r="H13055" s="30" t="s">
        <v>2077</v>
      </c>
      <c r="J13055" s="30" t="s">
        <v>2125</v>
      </c>
      <c r="L13055" s="30" t="s">
        <v>1027</v>
      </c>
      <c r="N13055" s="30" t="s">
        <v>299</v>
      </c>
      <c r="P13055" s="30" t="s">
        <v>17964</v>
      </c>
      <c r="Q13055" t="s">
        <v>621</v>
      </c>
      <c r="R13055" t="s">
        <v>920</v>
      </c>
      <c r="S13055">
        <v>39</v>
      </c>
      <c r="T13055" s="29" t="str">
        <f>HYPERLINK("https://ictv.global/ictv/proposals/2023.019P.Solemoviridae_rename_sp.zip","2023.019P.Solemoviridae_rename_sp.zip")</f>
        <v>2023.019P.Solemoviridae_rename_sp.zip</v>
      </c>
      <c r="U13055" s="29" t="str">
        <f>HYPERLINK("https://ictv.global/taxonomy/taxondetails?taxnode_id=202303763","ictv.global=202303763")</f>
        <v>ictv.global=202303763</v>
      </c>
    </row>
    <row r="13056" spans="1:21">
      <c r="A13056">
        <v>13055</v>
      </c>
      <c r="B13056" s="30" t="s">
        <v>1226</v>
      </c>
      <c r="D13056" s="30" t="s">
        <v>2024</v>
      </c>
      <c r="F13056" s="30" t="s">
        <v>2074</v>
      </c>
      <c r="H13056" s="30" t="s">
        <v>2077</v>
      </c>
      <c r="J13056" s="30" t="s">
        <v>2125</v>
      </c>
      <c r="L13056" s="30" t="s">
        <v>1027</v>
      </c>
      <c r="N13056" s="30" t="s">
        <v>299</v>
      </c>
      <c r="P13056" s="30" t="s">
        <v>17965</v>
      </c>
      <c r="Q13056" t="s">
        <v>621</v>
      </c>
      <c r="R13056" t="s">
        <v>917</v>
      </c>
      <c r="S13056">
        <v>39</v>
      </c>
      <c r="T13056" s="29" t="str">
        <f>HYPERLINK("https://ictv.global/ictv/proposals/2023.020P.Enamovirus_10nsp.zip","2023.020P.Enamovirus_10nsp.zip")</f>
        <v>2023.020P.Enamovirus_10nsp.zip</v>
      </c>
      <c r="U13056" s="29" t="str">
        <f>HYPERLINK("https://ictv.global/taxonomy/taxondetails?taxnode_id=202318499","ictv.global=202318499")</f>
        <v>ictv.global=202318499</v>
      </c>
    </row>
    <row r="13057" spans="1:21">
      <c r="A13057">
        <v>13056</v>
      </c>
      <c r="B13057" s="30" t="s">
        <v>1226</v>
      </c>
      <c r="D13057" s="30" t="s">
        <v>2024</v>
      </c>
      <c r="F13057" s="30" t="s">
        <v>2074</v>
      </c>
      <c r="H13057" s="30" t="s">
        <v>2077</v>
      </c>
      <c r="J13057" s="30" t="s">
        <v>2125</v>
      </c>
      <c r="L13057" s="30" t="s">
        <v>1027</v>
      </c>
      <c r="N13057" s="30" t="s">
        <v>299</v>
      </c>
      <c r="P13057" s="30" t="s">
        <v>17966</v>
      </c>
      <c r="Q13057" t="s">
        <v>621</v>
      </c>
      <c r="R13057" t="s">
        <v>917</v>
      </c>
      <c r="S13057">
        <v>39</v>
      </c>
      <c r="T13057" s="29" t="str">
        <f>HYPERLINK("https://ictv.global/ictv/proposals/2023.020P.Enamovirus_10nsp.zip","2023.020P.Enamovirus_10nsp.zip")</f>
        <v>2023.020P.Enamovirus_10nsp.zip</v>
      </c>
      <c r="U13057" s="29" t="str">
        <f>HYPERLINK("https://ictv.global/taxonomy/taxondetails?taxnode_id=202318500","ictv.global=202318500")</f>
        <v>ictv.global=202318500</v>
      </c>
    </row>
    <row r="13058" spans="1:21">
      <c r="A13058">
        <v>13057</v>
      </c>
      <c r="B13058" s="30" t="s">
        <v>1226</v>
      </c>
      <c r="D13058" s="30" t="s">
        <v>2024</v>
      </c>
      <c r="F13058" s="30" t="s">
        <v>2074</v>
      </c>
      <c r="H13058" s="30" t="s">
        <v>2077</v>
      </c>
      <c r="J13058" s="30" t="s">
        <v>2125</v>
      </c>
      <c r="L13058" s="30" t="s">
        <v>1027</v>
      </c>
      <c r="N13058" s="30" t="s">
        <v>17967</v>
      </c>
      <c r="P13058" s="30" t="s">
        <v>17968</v>
      </c>
      <c r="Q13058" t="s">
        <v>621</v>
      </c>
      <c r="R13058" t="s">
        <v>917</v>
      </c>
      <c r="S13058">
        <v>39</v>
      </c>
      <c r="T13058" s="29" t="str">
        <f>HYPERLINK("https://ictv.global/ictv/proposals/2023.029P.Hubsclerovirus_1ng_1nsp.zip","2023.029P.Hubsclerovirus_1ng_1nsp.zip")</f>
        <v>2023.029P.Hubsclerovirus_1ng_1nsp.zip</v>
      </c>
      <c r="U13058" s="29" t="str">
        <f>HYPERLINK("https://ictv.global/taxonomy/taxondetails?taxnode_id=202319055","ictv.global=202319055")</f>
        <v>ictv.global=202319055</v>
      </c>
    </row>
    <row r="13059" spans="1:21">
      <c r="A13059">
        <v>13058</v>
      </c>
      <c r="B13059" s="30" t="s">
        <v>1226</v>
      </c>
      <c r="D13059" s="30" t="s">
        <v>2024</v>
      </c>
      <c r="F13059" s="30" t="s">
        <v>2074</v>
      </c>
      <c r="H13059" s="30" t="s">
        <v>2077</v>
      </c>
      <c r="J13059" s="30" t="s">
        <v>2125</v>
      </c>
      <c r="L13059" s="30" t="s">
        <v>1027</v>
      </c>
      <c r="N13059" s="30" t="s">
        <v>148</v>
      </c>
      <c r="P13059" s="30" t="s">
        <v>17969</v>
      </c>
      <c r="Q13059" t="s">
        <v>621</v>
      </c>
      <c r="R13059" t="s">
        <v>920</v>
      </c>
      <c r="S13059">
        <v>39</v>
      </c>
      <c r="T13059" s="29" t="str">
        <f>HYPERLINK("https://ictv.global/ictv/proposals/2023.019P.Solemoviridae_rename_sp.zip","2023.019P.Solemoviridae_rename_sp.zip")</f>
        <v>2023.019P.Solemoviridae_rename_sp.zip</v>
      </c>
      <c r="U13059" s="29" t="str">
        <f>HYPERLINK("https://ictv.global/taxonomy/taxondetails?taxnode_id=202305362","ictv.global=202305362")</f>
        <v>ictv.global=202305362</v>
      </c>
    </row>
    <row r="13060" spans="1:21">
      <c r="A13060">
        <v>13059</v>
      </c>
      <c r="B13060" s="30" t="s">
        <v>1226</v>
      </c>
      <c r="D13060" s="30" t="s">
        <v>2024</v>
      </c>
      <c r="F13060" s="30" t="s">
        <v>2074</v>
      </c>
      <c r="H13060" s="30" t="s">
        <v>2077</v>
      </c>
      <c r="J13060" s="30" t="s">
        <v>2125</v>
      </c>
      <c r="L13060" s="30" t="s">
        <v>1027</v>
      </c>
      <c r="N13060" s="30" t="s">
        <v>395</v>
      </c>
      <c r="P13060" s="30" t="s">
        <v>17970</v>
      </c>
      <c r="Q13060" t="s">
        <v>621</v>
      </c>
      <c r="R13060" t="s">
        <v>917</v>
      </c>
      <c r="S13060">
        <v>39</v>
      </c>
      <c r="T13060" s="29" t="str">
        <f>HYPERLINK("https://ictv.global/ictv/proposals/2023.022P.Polerovirus_47nsp.zip","2023.022P.Polerovirus_47nsp.zip")</f>
        <v>2023.022P.Polerovirus_47nsp.zip</v>
      </c>
      <c r="U13060" s="29" t="str">
        <f>HYPERLINK("https://ictv.global/taxonomy/taxondetails?taxnode_id=202318622","ictv.global=202318622")</f>
        <v>ictv.global=202318622</v>
      </c>
    </row>
    <row r="13061" spans="1:21">
      <c r="A13061">
        <v>13060</v>
      </c>
      <c r="B13061" s="30" t="s">
        <v>1226</v>
      </c>
      <c r="D13061" s="30" t="s">
        <v>2024</v>
      </c>
      <c r="F13061" s="30" t="s">
        <v>2074</v>
      </c>
      <c r="H13061" s="30" t="s">
        <v>2077</v>
      </c>
      <c r="J13061" s="30" t="s">
        <v>2125</v>
      </c>
      <c r="L13061" s="30" t="s">
        <v>1027</v>
      </c>
      <c r="N13061" s="30" t="s">
        <v>395</v>
      </c>
      <c r="P13061" s="30" t="s">
        <v>17971</v>
      </c>
      <c r="Q13061" t="s">
        <v>621</v>
      </c>
      <c r="R13061" t="s">
        <v>917</v>
      </c>
      <c r="S13061">
        <v>39</v>
      </c>
      <c r="T13061" s="29" t="str">
        <f>HYPERLINK("https://ictv.global/ictv/proposals/2023.022P.Polerovirus_47nsp.zip","2023.022P.Polerovirus_47nsp.zip")</f>
        <v>2023.022P.Polerovirus_47nsp.zip</v>
      </c>
      <c r="U13061" s="29" t="str">
        <f>HYPERLINK("https://ictv.global/taxonomy/taxondetails?taxnode_id=202318623","ictv.global=202318623")</f>
        <v>ictv.global=202318623</v>
      </c>
    </row>
    <row r="13062" spans="1:21">
      <c r="A13062">
        <v>13061</v>
      </c>
      <c r="B13062" s="30" t="s">
        <v>1226</v>
      </c>
      <c r="D13062" s="30" t="s">
        <v>2024</v>
      </c>
      <c r="F13062" s="30" t="s">
        <v>2074</v>
      </c>
      <c r="H13062" s="30" t="s">
        <v>2077</v>
      </c>
      <c r="J13062" s="30" t="s">
        <v>2125</v>
      </c>
      <c r="L13062" s="30" t="s">
        <v>1027</v>
      </c>
      <c r="N13062" s="30" t="s">
        <v>395</v>
      </c>
      <c r="P13062" s="30" t="s">
        <v>17972</v>
      </c>
      <c r="Q13062" t="s">
        <v>621</v>
      </c>
      <c r="R13062" t="s">
        <v>917</v>
      </c>
      <c r="S13062">
        <v>39</v>
      </c>
      <c r="T13062" s="29" t="str">
        <f>HYPERLINK("https://ictv.global/ictv/proposals/2023.022P.Polerovirus_47nsp.zip","2023.022P.Polerovirus_47nsp.zip")</f>
        <v>2023.022P.Polerovirus_47nsp.zip</v>
      </c>
      <c r="U13062" s="29" t="str">
        <f>HYPERLINK("https://ictv.global/taxonomy/taxondetails?taxnode_id=202318624","ictv.global=202318624")</f>
        <v>ictv.global=202318624</v>
      </c>
    </row>
    <row r="13063" spans="1:21">
      <c r="A13063">
        <v>13062</v>
      </c>
      <c r="B13063" s="30" t="s">
        <v>1226</v>
      </c>
      <c r="D13063" s="30" t="s">
        <v>2024</v>
      </c>
      <c r="F13063" s="30" t="s">
        <v>2074</v>
      </c>
      <c r="H13063" s="30" t="s">
        <v>2077</v>
      </c>
      <c r="J13063" s="30" t="s">
        <v>2125</v>
      </c>
      <c r="L13063" s="30" t="s">
        <v>1027</v>
      </c>
      <c r="N13063" s="30" t="s">
        <v>395</v>
      </c>
      <c r="P13063" s="30" t="s">
        <v>17973</v>
      </c>
      <c r="Q13063" t="s">
        <v>621</v>
      </c>
      <c r="R13063" t="s">
        <v>920</v>
      </c>
      <c r="S13063">
        <v>39</v>
      </c>
      <c r="T13063" s="29" t="str">
        <f>HYPERLINK("https://ictv.global/ictv/proposals/2023.019P.Solemoviridae_rename_sp.zip","2023.019P.Solemoviridae_rename_sp.zip")</f>
        <v>2023.019P.Solemoviridae_rename_sp.zip</v>
      </c>
      <c r="U13063" s="29" t="str">
        <f>HYPERLINK("https://ictv.global/taxonomy/taxondetails?taxnode_id=202303774","ictv.global=202303774")</f>
        <v>ictv.global=202303774</v>
      </c>
    </row>
    <row r="13064" spans="1:21">
      <c r="A13064">
        <v>13063</v>
      </c>
      <c r="B13064" s="30" t="s">
        <v>1226</v>
      </c>
      <c r="D13064" s="30" t="s">
        <v>2024</v>
      </c>
      <c r="F13064" s="30" t="s">
        <v>2074</v>
      </c>
      <c r="H13064" s="30" t="s">
        <v>2077</v>
      </c>
      <c r="J13064" s="30" t="s">
        <v>2125</v>
      </c>
      <c r="L13064" s="30" t="s">
        <v>1027</v>
      </c>
      <c r="N13064" s="30" t="s">
        <v>395</v>
      </c>
      <c r="P13064" s="30" t="s">
        <v>17974</v>
      </c>
      <c r="Q13064" t="s">
        <v>621</v>
      </c>
      <c r="R13064" t="s">
        <v>917</v>
      </c>
      <c r="S13064">
        <v>39</v>
      </c>
      <c r="T13064" s="29" t="str">
        <f>HYPERLINK("https://ictv.global/ictv/proposals/2023.022P.Polerovirus_47nsp.zip","2023.022P.Polerovirus_47nsp.zip")</f>
        <v>2023.022P.Polerovirus_47nsp.zip</v>
      </c>
      <c r="U13064" s="29" t="str">
        <f>HYPERLINK("https://ictv.global/taxonomy/taxondetails?taxnode_id=202318627","ictv.global=202318627")</f>
        <v>ictv.global=202318627</v>
      </c>
    </row>
    <row r="13065" spans="1:21">
      <c r="A13065">
        <v>13064</v>
      </c>
      <c r="B13065" s="30" t="s">
        <v>1226</v>
      </c>
      <c r="D13065" s="30" t="s">
        <v>2024</v>
      </c>
      <c r="F13065" s="30" t="s">
        <v>2074</v>
      </c>
      <c r="H13065" s="30" t="s">
        <v>2077</v>
      </c>
      <c r="J13065" s="30" t="s">
        <v>2125</v>
      </c>
      <c r="L13065" s="30" t="s">
        <v>1027</v>
      </c>
      <c r="N13065" s="30" t="s">
        <v>395</v>
      </c>
      <c r="P13065" s="30" t="s">
        <v>17975</v>
      </c>
      <c r="Q13065" t="s">
        <v>621</v>
      </c>
      <c r="R13065" t="s">
        <v>920</v>
      </c>
      <c r="S13065">
        <v>39</v>
      </c>
      <c r="T13065" s="29" t="str">
        <f>HYPERLINK("https://ictv.global/ictv/proposals/2023.019P.Solemoviridae_rename_sp.zip","2023.019P.Solemoviridae_rename_sp.zip")</f>
        <v>2023.019P.Solemoviridae_rename_sp.zip</v>
      </c>
      <c r="U13065" s="29" t="str">
        <f>HYPERLINK("https://ictv.global/taxonomy/taxondetails?taxnode_id=202303775","ictv.global=202303775")</f>
        <v>ictv.global=202303775</v>
      </c>
    </row>
    <row r="13066" spans="1:21">
      <c r="A13066">
        <v>13065</v>
      </c>
      <c r="B13066" s="30" t="s">
        <v>1226</v>
      </c>
      <c r="D13066" s="30" t="s">
        <v>2024</v>
      </c>
      <c r="F13066" s="30" t="s">
        <v>2074</v>
      </c>
      <c r="H13066" s="30" t="s">
        <v>2077</v>
      </c>
      <c r="J13066" s="30" t="s">
        <v>2125</v>
      </c>
      <c r="L13066" s="30" t="s">
        <v>1027</v>
      </c>
      <c r="N13066" s="30" t="s">
        <v>395</v>
      </c>
      <c r="P13066" s="30" t="s">
        <v>17976</v>
      </c>
      <c r="Q13066" t="s">
        <v>621</v>
      </c>
      <c r="R13066" t="s">
        <v>917</v>
      </c>
      <c r="S13066">
        <v>39</v>
      </c>
      <c r="T13066" s="29" t="str">
        <f>HYPERLINK("https://ictv.global/ictv/proposals/2023.022P.Polerovirus_47nsp.zip","2023.022P.Polerovirus_47nsp.zip")</f>
        <v>2023.022P.Polerovirus_47nsp.zip</v>
      </c>
      <c r="U13066" s="29" t="str">
        <f>HYPERLINK("https://ictv.global/taxonomy/taxondetails?taxnode_id=202318625","ictv.global=202318625")</f>
        <v>ictv.global=202318625</v>
      </c>
    </row>
    <row r="13067" spans="1:21">
      <c r="A13067">
        <v>13066</v>
      </c>
      <c r="B13067" s="30" t="s">
        <v>1226</v>
      </c>
      <c r="D13067" s="30" t="s">
        <v>2024</v>
      </c>
      <c r="F13067" s="30" t="s">
        <v>2074</v>
      </c>
      <c r="H13067" s="30" t="s">
        <v>2077</v>
      </c>
      <c r="J13067" s="30" t="s">
        <v>2125</v>
      </c>
      <c r="L13067" s="30" t="s">
        <v>1027</v>
      </c>
      <c r="N13067" s="30" t="s">
        <v>395</v>
      </c>
      <c r="P13067" s="30" t="s">
        <v>17977</v>
      </c>
      <c r="Q13067" t="s">
        <v>621</v>
      </c>
      <c r="R13067" t="s">
        <v>917</v>
      </c>
      <c r="S13067">
        <v>39</v>
      </c>
      <c r="T13067" s="29" t="str">
        <f>HYPERLINK("https://ictv.global/ictv/proposals/2023.022P.Polerovirus_47nsp.zip","2023.022P.Polerovirus_47nsp.zip")</f>
        <v>2023.022P.Polerovirus_47nsp.zip</v>
      </c>
      <c r="U13067" s="29" t="str">
        <f>HYPERLINK("https://ictv.global/taxonomy/taxondetails?taxnode_id=202318626","ictv.global=202318626")</f>
        <v>ictv.global=202318626</v>
      </c>
    </row>
    <row r="13068" spans="1:21">
      <c r="A13068">
        <v>13067</v>
      </c>
      <c r="B13068" s="30" t="s">
        <v>1226</v>
      </c>
      <c r="D13068" s="30" t="s">
        <v>2024</v>
      </c>
      <c r="F13068" s="30" t="s">
        <v>2074</v>
      </c>
      <c r="H13068" s="30" t="s">
        <v>2077</v>
      </c>
      <c r="J13068" s="30" t="s">
        <v>2125</v>
      </c>
      <c r="L13068" s="30" t="s">
        <v>1027</v>
      </c>
      <c r="N13068" s="30" t="s">
        <v>395</v>
      </c>
      <c r="P13068" s="30" t="s">
        <v>17978</v>
      </c>
      <c r="Q13068" t="s">
        <v>621</v>
      </c>
      <c r="R13068" t="s">
        <v>920</v>
      </c>
      <c r="S13068">
        <v>39</v>
      </c>
      <c r="T13068" s="29" t="str">
        <f>HYPERLINK("https://ictv.global/ictv/proposals/2023.019P.Solemoviridae_rename_sp.zip","2023.019P.Solemoviridae_rename_sp.zip")</f>
        <v>2023.019P.Solemoviridae_rename_sp.zip</v>
      </c>
      <c r="U13068" s="29" t="str">
        <f>HYPERLINK("https://ictv.global/taxonomy/taxondetails?taxnode_id=202303776","ictv.global=202303776")</f>
        <v>ictv.global=202303776</v>
      </c>
    </row>
    <row r="13069" spans="1:21">
      <c r="A13069">
        <v>13068</v>
      </c>
      <c r="B13069" s="30" t="s">
        <v>1226</v>
      </c>
      <c r="D13069" s="30" t="s">
        <v>2024</v>
      </c>
      <c r="F13069" s="30" t="s">
        <v>2074</v>
      </c>
      <c r="H13069" s="30" t="s">
        <v>2077</v>
      </c>
      <c r="J13069" s="30" t="s">
        <v>2125</v>
      </c>
      <c r="L13069" s="30" t="s">
        <v>1027</v>
      </c>
      <c r="N13069" s="30" t="s">
        <v>395</v>
      </c>
      <c r="P13069" s="30" t="s">
        <v>17979</v>
      </c>
      <c r="Q13069" t="s">
        <v>621</v>
      </c>
      <c r="R13069" t="s">
        <v>920</v>
      </c>
      <c r="S13069">
        <v>39</v>
      </c>
      <c r="T13069" s="29" t="str">
        <f>HYPERLINK("https://ictv.global/ictv/proposals/2023.019P.Solemoviridae_rename_sp.zip","2023.019P.Solemoviridae_rename_sp.zip")</f>
        <v>2023.019P.Solemoviridae_rename_sp.zip</v>
      </c>
      <c r="U13069" s="29" t="str">
        <f>HYPERLINK("https://ictv.global/taxonomy/taxondetails?taxnode_id=202303782","ictv.global=202303782")</f>
        <v>ictv.global=202303782</v>
      </c>
    </row>
    <row r="13070" spans="1:21">
      <c r="A13070">
        <v>13069</v>
      </c>
      <c r="B13070" s="30" t="s">
        <v>1226</v>
      </c>
      <c r="D13070" s="30" t="s">
        <v>2024</v>
      </c>
      <c r="F13070" s="30" t="s">
        <v>2074</v>
      </c>
      <c r="H13070" s="30" t="s">
        <v>2077</v>
      </c>
      <c r="J13070" s="30" t="s">
        <v>2125</v>
      </c>
      <c r="L13070" s="30" t="s">
        <v>1027</v>
      </c>
      <c r="N13070" s="30" t="s">
        <v>395</v>
      </c>
      <c r="P13070" s="30" t="s">
        <v>17980</v>
      </c>
      <c r="Q13070" t="s">
        <v>621</v>
      </c>
      <c r="R13070" t="s">
        <v>917</v>
      </c>
      <c r="S13070">
        <v>39</v>
      </c>
      <c r="T13070" s="29" t="str">
        <f>HYPERLINK("https://ictv.global/ictv/proposals/2023.022P.Polerovirus_47nsp.zip","2023.022P.Polerovirus_47nsp.zip")</f>
        <v>2023.022P.Polerovirus_47nsp.zip</v>
      </c>
      <c r="U13070" s="29" t="str">
        <f>HYPERLINK("https://ictv.global/taxonomy/taxondetails?taxnode_id=202318632","ictv.global=202318632")</f>
        <v>ictv.global=202318632</v>
      </c>
    </row>
    <row r="13071" spans="1:21">
      <c r="A13071">
        <v>13070</v>
      </c>
      <c r="B13071" s="30" t="s">
        <v>1226</v>
      </c>
      <c r="D13071" s="30" t="s">
        <v>2024</v>
      </c>
      <c r="F13071" s="30" t="s">
        <v>2074</v>
      </c>
      <c r="H13071" s="30" t="s">
        <v>2077</v>
      </c>
      <c r="J13071" s="30" t="s">
        <v>2125</v>
      </c>
      <c r="L13071" s="30" t="s">
        <v>1027</v>
      </c>
      <c r="N13071" s="30" t="s">
        <v>395</v>
      </c>
      <c r="P13071" s="30" t="s">
        <v>17981</v>
      </c>
      <c r="Q13071" t="s">
        <v>621</v>
      </c>
      <c r="R13071" t="s">
        <v>917</v>
      </c>
      <c r="S13071">
        <v>39</v>
      </c>
      <c r="T13071" s="29" t="str">
        <f>HYPERLINK("https://ictv.global/ictv/proposals/2023.022P.Polerovirus_47nsp.zip","2023.022P.Polerovirus_47nsp.zip")</f>
        <v>2023.022P.Polerovirus_47nsp.zip</v>
      </c>
      <c r="U13071" s="29" t="str">
        <f>HYPERLINK("https://ictv.global/taxonomy/taxondetails?taxnode_id=202318633","ictv.global=202318633")</f>
        <v>ictv.global=202318633</v>
      </c>
    </row>
    <row r="13072" spans="1:21">
      <c r="A13072">
        <v>13071</v>
      </c>
      <c r="B13072" s="30" t="s">
        <v>1226</v>
      </c>
      <c r="D13072" s="30" t="s">
        <v>2024</v>
      </c>
      <c r="F13072" s="30" t="s">
        <v>2074</v>
      </c>
      <c r="H13072" s="30" t="s">
        <v>2077</v>
      </c>
      <c r="J13072" s="30" t="s">
        <v>2125</v>
      </c>
      <c r="L13072" s="30" t="s">
        <v>1027</v>
      </c>
      <c r="N13072" s="30" t="s">
        <v>395</v>
      </c>
      <c r="P13072" s="30" t="s">
        <v>17982</v>
      </c>
      <c r="Q13072" t="s">
        <v>621</v>
      </c>
      <c r="R13072" t="s">
        <v>917</v>
      </c>
      <c r="S13072">
        <v>39</v>
      </c>
      <c r="T13072" s="29" t="str">
        <f>HYPERLINK("https://ictv.global/ictv/proposals/2023.022P.Polerovirus_47nsp.zip","2023.022P.Polerovirus_47nsp.zip")</f>
        <v>2023.022P.Polerovirus_47nsp.zip</v>
      </c>
      <c r="U13072" s="29" t="str">
        <f>HYPERLINK("https://ictv.global/taxonomy/taxondetails?taxnode_id=202318628","ictv.global=202318628")</f>
        <v>ictv.global=202318628</v>
      </c>
    </row>
    <row r="13073" spans="1:21">
      <c r="A13073">
        <v>13072</v>
      </c>
      <c r="B13073" s="30" t="s">
        <v>1226</v>
      </c>
      <c r="D13073" s="30" t="s">
        <v>2024</v>
      </c>
      <c r="F13073" s="30" t="s">
        <v>2074</v>
      </c>
      <c r="H13073" s="30" t="s">
        <v>2077</v>
      </c>
      <c r="J13073" s="30" t="s">
        <v>2125</v>
      </c>
      <c r="L13073" s="30" t="s">
        <v>1027</v>
      </c>
      <c r="N13073" s="30" t="s">
        <v>395</v>
      </c>
      <c r="P13073" s="30" t="s">
        <v>17983</v>
      </c>
      <c r="Q13073" t="s">
        <v>621</v>
      </c>
      <c r="R13073" t="s">
        <v>2275</v>
      </c>
      <c r="S13073">
        <v>39</v>
      </c>
      <c r="T13073" s="29" t="str">
        <f>HYPERLINK("https://ictv.global/ictv/proposals/2023.019P.Solemoviridae_rename_sp.zip","2023.019P.Solemoviridae_rename_sp.zip")</f>
        <v>2023.019P.Solemoviridae_rename_sp.zip</v>
      </c>
      <c r="U13073" s="29" t="str">
        <f>HYPERLINK("https://ictv.global/taxonomy/taxondetails?taxnode_id=202303781","ictv.global=202303781")</f>
        <v>ictv.global=202303781</v>
      </c>
    </row>
    <row r="13074" spans="1:21">
      <c r="A13074">
        <v>13073</v>
      </c>
      <c r="B13074" s="30" t="s">
        <v>1226</v>
      </c>
      <c r="D13074" s="30" t="s">
        <v>2024</v>
      </c>
      <c r="F13074" s="30" t="s">
        <v>2074</v>
      </c>
      <c r="H13074" s="30" t="s">
        <v>2077</v>
      </c>
      <c r="J13074" s="30" t="s">
        <v>2125</v>
      </c>
      <c r="L13074" s="30" t="s">
        <v>1027</v>
      </c>
      <c r="N13074" s="30" t="s">
        <v>395</v>
      </c>
      <c r="P13074" s="30" t="s">
        <v>17984</v>
      </c>
      <c r="Q13074" t="s">
        <v>621</v>
      </c>
      <c r="R13074" t="s">
        <v>917</v>
      </c>
      <c r="S13074">
        <v>39</v>
      </c>
      <c r="T13074" s="29" t="str">
        <f>HYPERLINK("https://ictv.global/ictv/proposals/2023.022P.Polerovirus_47nsp.zip","2023.022P.Polerovirus_47nsp.zip")</f>
        <v>2023.022P.Polerovirus_47nsp.zip</v>
      </c>
      <c r="U13074" s="29" t="str">
        <f>HYPERLINK("https://ictv.global/taxonomy/taxondetails?taxnode_id=202318631","ictv.global=202318631")</f>
        <v>ictv.global=202318631</v>
      </c>
    </row>
    <row r="13075" spans="1:21">
      <c r="A13075">
        <v>13074</v>
      </c>
      <c r="B13075" s="30" t="s">
        <v>1226</v>
      </c>
      <c r="D13075" s="30" t="s">
        <v>2024</v>
      </c>
      <c r="F13075" s="30" t="s">
        <v>2074</v>
      </c>
      <c r="H13075" s="30" t="s">
        <v>2077</v>
      </c>
      <c r="J13075" s="30" t="s">
        <v>2125</v>
      </c>
      <c r="L13075" s="30" t="s">
        <v>1027</v>
      </c>
      <c r="N13075" s="30" t="s">
        <v>395</v>
      </c>
      <c r="P13075" s="30" t="s">
        <v>17985</v>
      </c>
      <c r="Q13075" t="s">
        <v>621</v>
      </c>
      <c r="R13075" t="s">
        <v>920</v>
      </c>
      <c r="S13075">
        <v>39</v>
      </c>
      <c r="T13075" s="29" t="str">
        <f>HYPERLINK("https://ictv.global/ictv/proposals/2023.019P.Solemoviridae_rename_sp.zip","2023.019P.Solemoviridae_rename_sp.zip")</f>
        <v>2023.019P.Solemoviridae_rename_sp.zip</v>
      </c>
      <c r="U13075" s="29" t="str">
        <f>HYPERLINK("https://ictv.global/taxonomy/taxondetails?taxnode_id=202303780","ictv.global=202303780")</f>
        <v>ictv.global=202303780</v>
      </c>
    </row>
    <row r="13076" spans="1:21">
      <c r="A13076">
        <v>13075</v>
      </c>
      <c r="B13076" s="30" t="s">
        <v>1226</v>
      </c>
      <c r="D13076" s="30" t="s">
        <v>2024</v>
      </c>
      <c r="F13076" s="30" t="s">
        <v>2074</v>
      </c>
      <c r="H13076" s="30" t="s">
        <v>2077</v>
      </c>
      <c r="J13076" s="30" t="s">
        <v>2125</v>
      </c>
      <c r="L13076" s="30" t="s">
        <v>1027</v>
      </c>
      <c r="N13076" s="30" t="s">
        <v>395</v>
      </c>
      <c r="P13076" s="30" t="s">
        <v>17986</v>
      </c>
      <c r="Q13076" t="s">
        <v>621</v>
      </c>
      <c r="R13076" t="s">
        <v>917</v>
      </c>
      <c r="S13076">
        <v>39</v>
      </c>
      <c r="T13076" s="29" t="str">
        <f>HYPERLINK("https://ictv.global/ictv/proposals/2023.022P.Polerovirus_47nsp.zip","2023.022P.Polerovirus_47nsp.zip")</f>
        <v>2023.022P.Polerovirus_47nsp.zip</v>
      </c>
      <c r="U13076" s="29" t="str">
        <f>HYPERLINK("https://ictv.global/taxonomy/taxondetails?taxnode_id=202318630","ictv.global=202318630")</f>
        <v>ictv.global=202318630</v>
      </c>
    </row>
    <row r="13077" spans="1:21">
      <c r="A13077">
        <v>13076</v>
      </c>
      <c r="B13077" s="30" t="s">
        <v>1226</v>
      </c>
      <c r="D13077" s="30" t="s">
        <v>2024</v>
      </c>
      <c r="F13077" s="30" t="s">
        <v>2074</v>
      </c>
      <c r="H13077" s="30" t="s">
        <v>2077</v>
      </c>
      <c r="J13077" s="30" t="s">
        <v>2125</v>
      </c>
      <c r="L13077" s="30" t="s">
        <v>1027</v>
      </c>
      <c r="N13077" s="30" t="s">
        <v>395</v>
      </c>
      <c r="P13077" s="30" t="s">
        <v>17987</v>
      </c>
      <c r="Q13077" t="s">
        <v>621</v>
      </c>
      <c r="R13077" t="s">
        <v>917</v>
      </c>
      <c r="S13077">
        <v>39</v>
      </c>
      <c r="T13077" s="29" t="str">
        <f>HYPERLINK("https://ictv.global/ictv/proposals/2023.022P.Polerovirus_47nsp.zip","2023.022P.Polerovirus_47nsp.zip")</f>
        <v>2023.022P.Polerovirus_47nsp.zip</v>
      </c>
      <c r="U13077" s="29" t="str">
        <f>HYPERLINK("https://ictv.global/taxonomy/taxondetails?taxnode_id=202318634","ictv.global=202318634")</f>
        <v>ictv.global=202318634</v>
      </c>
    </row>
    <row r="13078" spans="1:21">
      <c r="A13078">
        <v>13077</v>
      </c>
      <c r="B13078" s="30" t="s">
        <v>1226</v>
      </c>
      <c r="D13078" s="30" t="s">
        <v>2024</v>
      </c>
      <c r="F13078" s="30" t="s">
        <v>2074</v>
      </c>
      <c r="H13078" s="30" t="s">
        <v>2077</v>
      </c>
      <c r="J13078" s="30" t="s">
        <v>2125</v>
      </c>
      <c r="L13078" s="30" t="s">
        <v>1027</v>
      </c>
      <c r="N13078" s="30" t="s">
        <v>395</v>
      </c>
      <c r="P13078" s="30" t="s">
        <v>17988</v>
      </c>
      <c r="Q13078" t="s">
        <v>621</v>
      </c>
      <c r="R13078" t="s">
        <v>917</v>
      </c>
      <c r="S13078">
        <v>39</v>
      </c>
      <c r="T13078" s="29" t="str">
        <f>HYPERLINK("https://ictv.global/ictv/proposals/2023.022P.Polerovirus_47nsp.zip","2023.022P.Polerovirus_47nsp.zip")</f>
        <v>2023.022P.Polerovirus_47nsp.zip</v>
      </c>
      <c r="U13078" s="29" t="str">
        <f>HYPERLINK("https://ictv.global/taxonomy/taxondetails?taxnode_id=202318635","ictv.global=202318635")</f>
        <v>ictv.global=202318635</v>
      </c>
    </row>
    <row r="13079" spans="1:21">
      <c r="A13079">
        <v>13078</v>
      </c>
      <c r="B13079" s="30" t="s">
        <v>1226</v>
      </c>
      <c r="D13079" s="30" t="s">
        <v>2024</v>
      </c>
      <c r="F13079" s="30" t="s">
        <v>2074</v>
      </c>
      <c r="H13079" s="30" t="s">
        <v>2077</v>
      </c>
      <c r="J13079" s="30" t="s">
        <v>2125</v>
      </c>
      <c r="L13079" s="30" t="s">
        <v>1027</v>
      </c>
      <c r="N13079" s="30" t="s">
        <v>395</v>
      </c>
      <c r="P13079" s="30" t="s">
        <v>17989</v>
      </c>
      <c r="Q13079" t="s">
        <v>621</v>
      </c>
      <c r="R13079" t="s">
        <v>917</v>
      </c>
      <c r="S13079">
        <v>39</v>
      </c>
      <c r="T13079" s="29" t="str">
        <f>HYPERLINK("https://ictv.global/ictv/proposals/2023.022P.Polerovirus_47nsp.zip","2023.022P.Polerovirus_47nsp.zip")</f>
        <v>2023.022P.Polerovirus_47nsp.zip</v>
      </c>
      <c r="U13079" s="29" t="str">
        <f>HYPERLINK("https://ictv.global/taxonomy/taxondetails?taxnode_id=202318629","ictv.global=202318629")</f>
        <v>ictv.global=202318629</v>
      </c>
    </row>
    <row r="13080" spans="1:21">
      <c r="A13080">
        <v>13079</v>
      </c>
      <c r="B13080" s="30" t="s">
        <v>1226</v>
      </c>
      <c r="D13080" s="30" t="s">
        <v>2024</v>
      </c>
      <c r="F13080" s="30" t="s">
        <v>2074</v>
      </c>
      <c r="H13080" s="30" t="s">
        <v>2077</v>
      </c>
      <c r="J13080" s="30" t="s">
        <v>2125</v>
      </c>
      <c r="L13080" s="30" t="s">
        <v>1027</v>
      </c>
      <c r="N13080" s="30" t="s">
        <v>395</v>
      </c>
      <c r="P13080" s="30" t="s">
        <v>17990</v>
      </c>
      <c r="Q13080" t="s">
        <v>621</v>
      </c>
      <c r="R13080" t="s">
        <v>920</v>
      </c>
      <c r="S13080">
        <v>39</v>
      </c>
      <c r="T13080" s="29" t="str">
        <f>HYPERLINK("https://ictv.global/ictv/proposals/2023.019P.Solemoviridae_rename_sp.zip","2023.019P.Solemoviridae_rename_sp.zip")</f>
        <v>2023.019P.Solemoviridae_rename_sp.zip</v>
      </c>
      <c r="U13080" s="29" t="str">
        <f>HYPERLINK("https://ictv.global/taxonomy/taxondetails?taxnode_id=202303777","ictv.global=202303777")</f>
        <v>ictv.global=202303777</v>
      </c>
    </row>
    <row r="13081" spans="1:21">
      <c r="A13081">
        <v>13080</v>
      </c>
      <c r="B13081" s="30" t="s">
        <v>1226</v>
      </c>
      <c r="D13081" s="30" t="s">
        <v>2024</v>
      </c>
      <c r="F13081" s="30" t="s">
        <v>2074</v>
      </c>
      <c r="H13081" s="30" t="s">
        <v>2077</v>
      </c>
      <c r="J13081" s="30" t="s">
        <v>2125</v>
      </c>
      <c r="L13081" s="30" t="s">
        <v>1027</v>
      </c>
      <c r="N13081" s="30" t="s">
        <v>395</v>
      </c>
      <c r="P13081" s="30" t="s">
        <v>17991</v>
      </c>
      <c r="Q13081" t="s">
        <v>621</v>
      </c>
      <c r="R13081" t="s">
        <v>920</v>
      </c>
      <c r="S13081">
        <v>39</v>
      </c>
      <c r="T13081" s="29" t="str">
        <f>HYPERLINK("https://ictv.global/ictv/proposals/2023.019P.Solemoviridae_rename_sp.zip","2023.019P.Solemoviridae_rename_sp.zip")</f>
        <v>2023.019P.Solemoviridae_rename_sp.zip</v>
      </c>
      <c r="U13081" s="29" t="str">
        <f>HYPERLINK("https://ictv.global/taxonomy/taxondetails?taxnode_id=202303778","ictv.global=202303778")</f>
        <v>ictv.global=202303778</v>
      </c>
    </row>
    <row r="13082" spans="1:21">
      <c r="A13082">
        <v>13081</v>
      </c>
      <c r="B13082" s="30" t="s">
        <v>1226</v>
      </c>
      <c r="D13082" s="30" t="s">
        <v>2024</v>
      </c>
      <c r="F13082" s="30" t="s">
        <v>2074</v>
      </c>
      <c r="H13082" s="30" t="s">
        <v>2077</v>
      </c>
      <c r="J13082" s="30" t="s">
        <v>2125</v>
      </c>
      <c r="L13082" s="30" t="s">
        <v>1027</v>
      </c>
      <c r="N13082" s="30" t="s">
        <v>395</v>
      </c>
      <c r="P13082" s="30" t="s">
        <v>17992</v>
      </c>
      <c r="Q13082" t="s">
        <v>621</v>
      </c>
      <c r="R13082" t="s">
        <v>918</v>
      </c>
      <c r="S13082">
        <v>39</v>
      </c>
      <c r="T13082" s="29" t="str">
        <f>HYPERLINK("https://ictv.global/ictv/proposals/2023.019P.Solemoviridae_rename_sp.zip","2023.019P.Solemoviridae_rename_sp.zip")</f>
        <v>2023.019P.Solemoviridae_rename_sp.zip</v>
      </c>
      <c r="U13082" s="29" t="str">
        <f>HYPERLINK("https://ictv.global/taxonomy/taxondetails?taxnode_id=202303779","ictv.global=202303779")</f>
        <v>ictv.global=202303779</v>
      </c>
    </row>
    <row r="13083" spans="1:21">
      <c r="A13083">
        <v>13082</v>
      </c>
      <c r="B13083" s="30" t="s">
        <v>1226</v>
      </c>
      <c r="D13083" s="30" t="s">
        <v>2024</v>
      </c>
      <c r="F13083" s="30" t="s">
        <v>2074</v>
      </c>
      <c r="H13083" s="30" t="s">
        <v>2077</v>
      </c>
      <c r="J13083" s="30" t="s">
        <v>2125</v>
      </c>
      <c r="L13083" s="30" t="s">
        <v>1027</v>
      </c>
      <c r="N13083" s="30" t="s">
        <v>395</v>
      </c>
      <c r="P13083" s="30" t="s">
        <v>17993</v>
      </c>
      <c r="Q13083" t="s">
        <v>621</v>
      </c>
      <c r="R13083" t="s">
        <v>917</v>
      </c>
      <c r="S13083">
        <v>39</v>
      </c>
      <c r="T13083" s="29" t="str">
        <f>HYPERLINK("https://ictv.global/ictv/proposals/2023.022P.Polerovirus_47nsp.zip","2023.022P.Polerovirus_47nsp.zip")</f>
        <v>2023.022P.Polerovirus_47nsp.zip</v>
      </c>
      <c r="U13083" s="29" t="str">
        <f>HYPERLINK("https://ictv.global/taxonomy/taxondetails?taxnode_id=202318636","ictv.global=202318636")</f>
        <v>ictv.global=202318636</v>
      </c>
    </row>
    <row r="13084" spans="1:21">
      <c r="A13084">
        <v>13083</v>
      </c>
      <c r="B13084" s="30" t="s">
        <v>1226</v>
      </c>
      <c r="D13084" s="30" t="s">
        <v>2024</v>
      </c>
      <c r="F13084" s="30" t="s">
        <v>2074</v>
      </c>
      <c r="H13084" s="30" t="s">
        <v>2077</v>
      </c>
      <c r="J13084" s="30" t="s">
        <v>2125</v>
      </c>
      <c r="L13084" s="30" t="s">
        <v>1027</v>
      </c>
      <c r="N13084" s="30" t="s">
        <v>395</v>
      </c>
      <c r="P13084" s="30" t="s">
        <v>17994</v>
      </c>
      <c r="Q13084" t="s">
        <v>621</v>
      </c>
      <c r="R13084" t="s">
        <v>920</v>
      </c>
      <c r="S13084">
        <v>39</v>
      </c>
      <c r="T13084" s="29" t="str">
        <f>HYPERLINK("https://ictv.global/ictv/proposals/2023.019P.Solemoviridae_rename_sp.zip","2023.019P.Solemoviridae_rename_sp.zip")</f>
        <v>2023.019P.Solemoviridae_rename_sp.zip</v>
      </c>
      <c r="U13084" s="29" t="str">
        <f>HYPERLINK("https://ictv.global/taxonomy/taxondetails?taxnode_id=202307417","ictv.global=202307417")</f>
        <v>ictv.global=202307417</v>
      </c>
    </row>
    <row r="13085" spans="1:21">
      <c r="A13085">
        <v>13084</v>
      </c>
      <c r="B13085" s="30" t="s">
        <v>1226</v>
      </c>
      <c r="D13085" s="30" t="s">
        <v>2024</v>
      </c>
      <c r="F13085" s="30" t="s">
        <v>2074</v>
      </c>
      <c r="H13085" s="30" t="s">
        <v>2077</v>
      </c>
      <c r="J13085" s="30" t="s">
        <v>2125</v>
      </c>
      <c r="L13085" s="30" t="s">
        <v>1027</v>
      </c>
      <c r="N13085" s="30" t="s">
        <v>395</v>
      </c>
      <c r="P13085" s="30" t="s">
        <v>17995</v>
      </c>
      <c r="Q13085" t="s">
        <v>621</v>
      </c>
      <c r="R13085" t="s">
        <v>917</v>
      </c>
      <c r="S13085">
        <v>39</v>
      </c>
      <c r="T13085" s="29" t="str">
        <f>HYPERLINK("https://ictv.global/ictv/proposals/2023.022P.Polerovirus_47nsp.zip","2023.022P.Polerovirus_47nsp.zip")</f>
        <v>2023.022P.Polerovirus_47nsp.zip</v>
      </c>
      <c r="U13085" s="29" t="str">
        <f>HYPERLINK("https://ictv.global/taxonomy/taxondetails?taxnode_id=202318637","ictv.global=202318637")</f>
        <v>ictv.global=202318637</v>
      </c>
    </row>
    <row r="13086" spans="1:21">
      <c r="A13086">
        <v>13085</v>
      </c>
      <c r="B13086" s="30" t="s">
        <v>1226</v>
      </c>
      <c r="D13086" s="30" t="s">
        <v>2024</v>
      </c>
      <c r="F13086" s="30" t="s">
        <v>2074</v>
      </c>
      <c r="H13086" s="30" t="s">
        <v>2077</v>
      </c>
      <c r="J13086" s="30" t="s">
        <v>2125</v>
      </c>
      <c r="L13086" s="30" t="s">
        <v>1027</v>
      </c>
      <c r="N13086" s="30" t="s">
        <v>395</v>
      </c>
      <c r="P13086" s="30" t="s">
        <v>17996</v>
      </c>
      <c r="Q13086" t="s">
        <v>621</v>
      </c>
      <c r="R13086" t="s">
        <v>917</v>
      </c>
      <c r="S13086">
        <v>39</v>
      </c>
      <c r="T13086" s="29" t="str">
        <f>HYPERLINK("https://ictv.global/ictv/proposals/2023.022P.Polerovirus_47nsp.zip","2023.022P.Polerovirus_47nsp.zip")</f>
        <v>2023.022P.Polerovirus_47nsp.zip</v>
      </c>
      <c r="U13086" s="29" t="str">
        <f>HYPERLINK("https://ictv.global/taxonomy/taxondetails?taxnode_id=202318638","ictv.global=202318638")</f>
        <v>ictv.global=202318638</v>
      </c>
    </row>
    <row r="13087" spans="1:21">
      <c r="A13087">
        <v>13086</v>
      </c>
      <c r="B13087" s="30" t="s">
        <v>1226</v>
      </c>
      <c r="D13087" s="30" t="s">
        <v>2024</v>
      </c>
      <c r="F13087" s="30" t="s">
        <v>2074</v>
      </c>
      <c r="H13087" s="30" t="s">
        <v>2077</v>
      </c>
      <c r="J13087" s="30" t="s">
        <v>2125</v>
      </c>
      <c r="L13087" s="30" t="s">
        <v>1027</v>
      </c>
      <c r="N13087" s="30" t="s">
        <v>395</v>
      </c>
      <c r="P13087" s="30" t="s">
        <v>17997</v>
      </c>
      <c r="Q13087" t="s">
        <v>621</v>
      </c>
      <c r="R13087" t="s">
        <v>918</v>
      </c>
      <c r="S13087">
        <v>39</v>
      </c>
      <c r="T13087" s="29" t="str">
        <f>HYPERLINK("https://ictv.global/ictv/proposals/2023.019P.Solemoviridae_rename_sp.zip","2023.019P.Solemoviridae_rename_sp.zip")</f>
        <v>2023.019P.Solemoviridae_rename_sp.zip</v>
      </c>
      <c r="U13087" s="29" t="str">
        <f>HYPERLINK("https://ictv.global/taxonomy/taxondetails?taxnode_id=202303795","ictv.global=202303795")</f>
        <v>ictv.global=202303795</v>
      </c>
    </row>
    <row r="13088" spans="1:21">
      <c r="A13088">
        <v>13087</v>
      </c>
      <c r="B13088" s="30" t="s">
        <v>1226</v>
      </c>
      <c r="D13088" s="30" t="s">
        <v>2024</v>
      </c>
      <c r="F13088" s="30" t="s">
        <v>2074</v>
      </c>
      <c r="H13088" s="30" t="s">
        <v>2077</v>
      </c>
      <c r="J13088" s="30" t="s">
        <v>2125</v>
      </c>
      <c r="L13088" s="30" t="s">
        <v>1027</v>
      </c>
      <c r="N13088" s="30" t="s">
        <v>395</v>
      </c>
      <c r="P13088" s="30" t="s">
        <v>17998</v>
      </c>
      <c r="Q13088" t="s">
        <v>621</v>
      </c>
      <c r="R13088" t="s">
        <v>917</v>
      </c>
      <c r="S13088">
        <v>39</v>
      </c>
      <c r="T13088" s="29" t="str">
        <f>HYPERLINK("https://ictv.global/ictv/proposals/2023.022P.Polerovirus_47nsp.zip","2023.022P.Polerovirus_47nsp.zip")</f>
        <v>2023.022P.Polerovirus_47nsp.zip</v>
      </c>
      <c r="U13088" s="29" t="str">
        <f>HYPERLINK("https://ictv.global/taxonomy/taxondetails?taxnode_id=202318639","ictv.global=202318639")</f>
        <v>ictv.global=202318639</v>
      </c>
    </row>
    <row r="13089" spans="1:21">
      <c r="A13089">
        <v>13088</v>
      </c>
      <c r="B13089" s="30" t="s">
        <v>1226</v>
      </c>
      <c r="D13089" s="30" t="s">
        <v>2024</v>
      </c>
      <c r="F13089" s="30" t="s">
        <v>2074</v>
      </c>
      <c r="H13089" s="30" t="s">
        <v>2077</v>
      </c>
      <c r="J13089" s="30" t="s">
        <v>2125</v>
      </c>
      <c r="L13089" s="30" t="s">
        <v>1027</v>
      </c>
      <c r="N13089" s="30" t="s">
        <v>395</v>
      </c>
      <c r="P13089" s="30" t="s">
        <v>17999</v>
      </c>
      <c r="Q13089" t="s">
        <v>621</v>
      </c>
      <c r="R13089" t="s">
        <v>917</v>
      </c>
      <c r="S13089">
        <v>39</v>
      </c>
      <c r="T13089" s="29" t="str">
        <f>HYPERLINK("https://ictv.global/ictv/proposals/2023.022P.Polerovirus_47nsp.zip","2023.022P.Polerovirus_47nsp.zip")</f>
        <v>2023.022P.Polerovirus_47nsp.zip</v>
      </c>
      <c r="U13089" s="29" t="str">
        <f>HYPERLINK("https://ictv.global/taxonomy/taxondetails?taxnode_id=202318640","ictv.global=202318640")</f>
        <v>ictv.global=202318640</v>
      </c>
    </row>
    <row r="13090" spans="1:21">
      <c r="A13090">
        <v>13089</v>
      </c>
      <c r="B13090" s="30" t="s">
        <v>1226</v>
      </c>
      <c r="D13090" s="30" t="s">
        <v>2024</v>
      </c>
      <c r="F13090" s="30" t="s">
        <v>2074</v>
      </c>
      <c r="H13090" s="30" t="s">
        <v>2077</v>
      </c>
      <c r="J13090" s="30" t="s">
        <v>2125</v>
      </c>
      <c r="L13090" s="30" t="s">
        <v>1027</v>
      </c>
      <c r="N13090" s="30" t="s">
        <v>395</v>
      </c>
      <c r="P13090" s="30" t="s">
        <v>18000</v>
      </c>
      <c r="Q13090" t="s">
        <v>621</v>
      </c>
      <c r="R13090" t="s">
        <v>917</v>
      </c>
      <c r="S13090">
        <v>39</v>
      </c>
      <c r="T13090" s="29" t="str">
        <f>HYPERLINK("https://ictv.global/ictv/proposals/2023.022P.Polerovirus_47nsp.zip","2023.022P.Polerovirus_47nsp.zip")</f>
        <v>2023.022P.Polerovirus_47nsp.zip</v>
      </c>
      <c r="U13090" s="29" t="str">
        <f>HYPERLINK("https://ictv.global/taxonomy/taxondetails?taxnode_id=202318641","ictv.global=202318641")</f>
        <v>ictv.global=202318641</v>
      </c>
    </row>
    <row r="13091" spans="1:21">
      <c r="A13091">
        <v>13090</v>
      </c>
      <c r="B13091" s="30" t="s">
        <v>1226</v>
      </c>
      <c r="D13091" s="30" t="s">
        <v>2024</v>
      </c>
      <c r="F13091" s="30" t="s">
        <v>2074</v>
      </c>
      <c r="H13091" s="30" t="s">
        <v>2077</v>
      </c>
      <c r="J13091" s="30" t="s">
        <v>2125</v>
      </c>
      <c r="L13091" s="30" t="s">
        <v>1027</v>
      </c>
      <c r="N13091" s="30" t="s">
        <v>395</v>
      </c>
      <c r="P13091" s="30" t="s">
        <v>18001</v>
      </c>
      <c r="Q13091" t="s">
        <v>621</v>
      </c>
      <c r="R13091" t="s">
        <v>920</v>
      </c>
      <c r="S13091">
        <v>39</v>
      </c>
      <c r="T13091" s="29" t="str">
        <f>HYPERLINK("https://ictv.global/ictv/proposals/2023.019P.Solemoviridae_rename_sp.zip","2023.019P.Solemoviridae_rename_sp.zip")</f>
        <v>2023.019P.Solemoviridae_rename_sp.zip</v>
      </c>
      <c r="U13091" s="29" t="str">
        <f>HYPERLINK("https://ictv.global/taxonomy/taxondetails?taxnode_id=202303784","ictv.global=202303784")</f>
        <v>ictv.global=202303784</v>
      </c>
    </row>
    <row r="13092" spans="1:21">
      <c r="A13092">
        <v>13091</v>
      </c>
      <c r="B13092" s="30" t="s">
        <v>1226</v>
      </c>
      <c r="D13092" s="30" t="s">
        <v>2024</v>
      </c>
      <c r="F13092" s="30" t="s">
        <v>2074</v>
      </c>
      <c r="H13092" s="30" t="s">
        <v>2077</v>
      </c>
      <c r="J13092" s="30" t="s">
        <v>2125</v>
      </c>
      <c r="L13092" s="30" t="s">
        <v>1027</v>
      </c>
      <c r="N13092" s="30" t="s">
        <v>395</v>
      </c>
      <c r="P13092" s="30" t="s">
        <v>18002</v>
      </c>
      <c r="Q13092" t="s">
        <v>621</v>
      </c>
      <c r="R13092" t="s">
        <v>920</v>
      </c>
      <c r="S13092">
        <v>39</v>
      </c>
      <c r="T13092" s="29" t="str">
        <f>HYPERLINK("https://ictv.global/ictv/proposals/2023.019P.Solemoviridae_rename_sp.zip","2023.019P.Solemoviridae_rename_sp.zip")</f>
        <v>2023.019P.Solemoviridae_rename_sp.zip</v>
      </c>
      <c r="U13092" s="29" t="str">
        <f>HYPERLINK("https://ictv.global/taxonomy/taxondetails?taxnode_id=202305862","ictv.global=202305862")</f>
        <v>ictv.global=202305862</v>
      </c>
    </row>
    <row r="13093" spans="1:21">
      <c r="A13093">
        <v>13092</v>
      </c>
      <c r="B13093" s="30" t="s">
        <v>1226</v>
      </c>
      <c r="D13093" s="30" t="s">
        <v>2024</v>
      </c>
      <c r="F13093" s="30" t="s">
        <v>2074</v>
      </c>
      <c r="H13093" s="30" t="s">
        <v>2077</v>
      </c>
      <c r="J13093" s="30" t="s">
        <v>2125</v>
      </c>
      <c r="L13093" s="30" t="s">
        <v>1027</v>
      </c>
      <c r="N13093" s="30" t="s">
        <v>395</v>
      </c>
      <c r="P13093" s="30" t="s">
        <v>18003</v>
      </c>
      <c r="Q13093" t="s">
        <v>621</v>
      </c>
      <c r="R13093" t="s">
        <v>917</v>
      </c>
      <c r="S13093">
        <v>39</v>
      </c>
      <c r="T13093" s="29" t="str">
        <f>HYPERLINK("https://ictv.global/ictv/proposals/2023.022P.Polerovirus_47nsp.zip","2023.022P.Polerovirus_47nsp.zip")</f>
        <v>2023.022P.Polerovirus_47nsp.zip</v>
      </c>
      <c r="U13093" s="29" t="str">
        <f>HYPERLINK("https://ictv.global/taxonomy/taxondetails?taxnode_id=202318642","ictv.global=202318642")</f>
        <v>ictv.global=202318642</v>
      </c>
    </row>
    <row r="13094" spans="1:21">
      <c r="A13094">
        <v>13093</v>
      </c>
      <c r="B13094" s="30" t="s">
        <v>1226</v>
      </c>
      <c r="D13094" s="30" t="s">
        <v>2024</v>
      </c>
      <c r="F13094" s="30" t="s">
        <v>2074</v>
      </c>
      <c r="H13094" s="30" t="s">
        <v>2077</v>
      </c>
      <c r="J13094" s="30" t="s">
        <v>2125</v>
      </c>
      <c r="L13094" s="30" t="s">
        <v>1027</v>
      </c>
      <c r="N13094" s="30" t="s">
        <v>395</v>
      </c>
      <c r="P13094" s="30" t="s">
        <v>18004</v>
      </c>
      <c r="Q13094" t="s">
        <v>621</v>
      </c>
      <c r="R13094" t="s">
        <v>918</v>
      </c>
      <c r="S13094">
        <v>39</v>
      </c>
      <c r="T13094" s="29" t="str">
        <f>HYPERLINK("https://ictv.global/ictv/proposals/2023.019P.Solemoviridae_rename_sp.zip","2023.019P.Solemoviridae_rename_sp.zip")</f>
        <v>2023.019P.Solemoviridae_rename_sp.zip</v>
      </c>
      <c r="U13094" s="29" t="str">
        <f>HYPERLINK("https://ictv.global/taxonomy/taxondetails?taxnode_id=202303783","ictv.global=202303783")</f>
        <v>ictv.global=202303783</v>
      </c>
    </row>
    <row r="13095" spans="1:21">
      <c r="A13095">
        <v>13094</v>
      </c>
      <c r="B13095" s="30" t="s">
        <v>1226</v>
      </c>
      <c r="D13095" s="30" t="s">
        <v>2024</v>
      </c>
      <c r="F13095" s="30" t="s">
        <v>2074</v>
      </c>
      <c r="H13095" s="30" t="s">
        <v>2077</v>
      </c>
      <c r="J13095" s="30" t="s">
        <v>2125</v>
      </c>
      <c r="L13095" s="30" t="s">
        <v>1027</v>
      </c>
      <c r="N13095" s="30" t="s">
        <v>395</v>
      </c>
      <c r="P13095" s="30" t="s">
        <v>18005</v>
      </c>
      <c r="Q13095" t="s">
        <v>621</v>
      </c>
      <c r="R13095" t="s">
        <v>917</v>
      </c>
      <c r="S13095">
        <v>39</v>
      </c>
      <c r="T13095" s="29" t="str">
        <f>HYPERLINK("https://ictv.global/ictv/proposals/2023.022P.Polerovirus_47nsp.zip","2023.022P.Polerovirus_47nsp.zip")</f>
        <v>2023.022P.Polerovirus_47nsp.zip</v>
      </c>
      <c r="U13095" s="29" t="str">
        <f>HYPERLINK("https://ictv.global/taxonomy/taxondetails?taxnode_id=202318643","ictv.global=202318643")</f>
        <v>ictv.global=202318643</v>
      </c>
    </row>
    <row r="13096" spans="1:21">
      <c r="A13096">
        <v>13095</v>
      </c>
      <c r="B13096" s="30" t="s">
        <v>1226</v>
      </c>
      <c r="D13096" s="30" t="s">
        <v>2024</v>
      </c>
      <c r="F13096" s="30" t="s">
        <v>2074</v>
      </c>
      <c r="H13096" s="30" t="s">
        <v>2077</v>
      </c>
      <c r="J13096" s="30" t="s">
        <v>2125</v>
      </c>
      <c r="L13096" s="30" t="s">
        <v>1027</v>
      </c>
      <c r="N13096" s="30" t="s">
        <v>395</v>
      </c>
      <c r="P13096" s="30" t="s">
        <v>18006</v>
      </c>
      <c r="Q13096" t="s">
        <v>621</v>
      </c>
      <c r="R13096" t="s">
        <v>917</v>
      </c>
      <c r="S13096">
        <v>39</v>
      </c>
      <c r="T13096" s="29" t="str">
        <f>HYPERLINK("https://ictv.global/ictv/proposals/2023.022P.Polerovirus_47nsp.zip","2023.022P.Polerovirus_47nsp.zip")</f>
        <v>2023.022P.Polerovirus_47nsp.zip</v>
      </c>
      <c r="U13096" s="29" t="str">
        <f>HYPERLINK("https://ictv.global/taxonomy/taxondetails?taxnode_id=202318644","ictv.global=202318644")</f>
        <v>ictv.global=202318644</v>
      </c>
    </row>
    <row r="13097" spans="1:21">
      <c r="A13097">
        <v>13096</v>
      </c>
      <c r="B13097" s="30" t="s">
        <v>1226</v>
      </c>
      <c r="D13097" s="30" t="s">
        <v>2024</v>
      </c>
      <c r="F13097" s="30" t="s">
        <v>2074</v>
      </c>
      <c r="H13097" s="30" t="s">
        <v>2077</v>
      </c>
      <c r="J13097" s="30" t="s">
        <v>2125</v>
      </c>
      <c r="L13097" s="30" t="s">
        <v>1027</v>
      </c>
      <c r="N13097" s="30" t="s">
        <v>395</v>
      </c>
      <c r="P13097" s="30" t="s">
        <v>18007</v>
      </c>
      <c r="Q13097" t="s">
        <v>621</v>
      </c>
      <c r="R13097" t="s">
        <v>920</v>
      </c>
      <c r="S13097">
        <v>39</v>
      </c>
      <c r="T13097" s="29" t="str">
        <f>HYPERLINK("https://ictv.global/ictv/proposals/2023.019P.Solemoviridae_rename_sp.zip","2023.019P.Solemoviridae_rename_sp.zip")</f>
        <v>2023.019P.Solemoviridae_rename_sp.zip</v>
      </c>
      <c r="U13097" s="29" t="str">
        <f>HYPERLINK("https://ictv.global/taxonomy/taxondetails?taxnode_id=202305863","ictv.global=202305863")</f>
        <v>ictv.global=202305863</v>
      </c>
    </row>
    <row r="13098" spans="1:21">
      <c r="A13098">
        <v>13097</v>
      </c>
      <c r="B13098" s="30" t="s">
        <v>1226</v>
      </c>
      <c r="D13098" s="30" t="s">
        <v>2024</v>
      </c>
      <c r="F13098" s="30" t="s">
        <v>2074</v>
      </c>
      <c r="H13098" s="30" t="s">
        <v>2077</v>
      </c>
      <c r="J13098" s="30" t="s">
        <v>2125</v>
      </c>
      <c r="L13098" s="30" t="s">
        <v>1027</v>
      </c>
      <c r="N13098" s="30" t="s">
        <v>395</v>
      </c>
      <c r="P13098" s="30" t="s">
        <v>18008</v>
      </c>
      <c r="Q13098" t="s">
        <v>621</v>
      </c>
      <c r="R13098" t="s">
        <v>917</v>
      </c>
      <c r="S13098">
        <v>39</v>
      </c>
      <c r="T13098" s="29" t="str">
        <f>HYPERLINK("https://ictv.global/ictv/proposals/2023.022P.Polerovirus_47nsp.zip","2023.022P.Polerovirus_47nsp.zip")</f>
        <v>2023.022P.Polerovirus_47nsp.zip</v>
      </c>
      <c r="U13098" s="29" t="str">
        <f>HYPERLINK("https://ictv.global/taxonomy/taxondetails?taxnode_id=202318650","ictv.global=202318650")</f>
        <v>ictv.global=202318650</v>
      </c>
    </row>
    <row r="13099" spans="1:21">
      <c r="A13099">
        <v>13098</v>
      </c>
      <c r="B13099" s="30" t="s">
        <v>1226</v>
      </c>
      <c r="D13099" s="30" t="s">
        <v>2024</v>
      </c>
      <c r="F13099" s="30" t="s">
        <v>2074</v>
      </c>
      <c r="H13099" s="30" t="s">
        <v>2077</v>
      </c>
      <c r="J13099" s="30" t="s">
        <v>2125</v>
      </c>
      <c r="L13099" s="30" t="s">
        <v>1027</v>
      </c>
      <c r="N13099" s="30" t="s">
        <v>395</v>
      </c>
      <c r="P13099" s="30" t="s">
        <v>18009</v>
      </c>
      <c r="Q13099" t="s">
        <v>621</v>
      </c>
      <c r="R13099" t="s">
        <v>917</v>
      </c>
      <c r="S13099">
        <v>39</v>
      </c>
      <c r="T13099" s="29" t="str">
        <f>HYPERLINK("https://ictv.global/ictv/proposals/2023.022P.Polerovirus_47nsp.zip","2023.022P.Polerovirus_47nsp.zip")</f>
        <v>2023.022P.Polerovirus_47nsp.zip</v>
      </c>
      <c r="U13099" s="29" t="str">
        <f>HYPERLINK("https://ictv.global/taxonomy/taxondetails?taxnode_id=202318645","ictv.global=202318645")</f>
        <v>ictv.global=202318645</v>
      </c>
    </row>
    <row r="13100" spans="1:21">
      <c r="A13100">
        <v>13099</v>
      </c>
      <c r="B13100" s="30" t="s">
        <v>1226</v>
      </c>
      <c r="D13100" s="30" t="s">
        <v>2024</v>
      </c>
      <c r="F13100" s="30" t="s">
        <v>2074</v>
      </c>
      <c r="H13100" s="30" t="s">
        <v>2077</v>
      </c>
      <c r="J13100" s="30" t="s">
        <v>2125</v>
      </c>
      <c r="L13100" s="30" t="s">
        <v>1027</v>
      </c>
      <c r="N13100" s="30" t="s">
        <v>395</v>
      </c>
      <c r="P13100" s="30" t="s">
        <v>18010</v>
      </c>
      <c r="Q13100" t="s">
        <v>621</v>
      </c>
      <c r="R13100" t="s">
        <v>917</v>
      </c>
      <c r="S13100">
        <v>39</v>
      </c>
      <c r="T13100" s="29" t="str">
        <f>HYPERLINK("https://ictv.global/ictv/proposals/2023.022P.Polerovirus_47nsp.zip","2023.022P.Polerovirus_47nsp.zip")</f>
        <v>2023.022P.Polerovirus_47nsp.zip</v>
      </c>
      <c r="U13100" s="29" t="str">
        <f>HYPERLINK("https://ictv.global/taxonomy/taxondetails?taxnode_id=202318647","ictv.global=202318647")</f>
        <v>ictv.global=202318647</v>
      </c>
    </row>
    <row r="13101" spans="1:21">
      <c r="A13101">
        <v>13100</v>
      </c>
      <c r="B13101" s="30" t="s">
        <v>1226</v>
      </c>
      <c r="D13101" s="30" t="s">
        <v>2024</v>
      </c>
      <c r="F13101" s="30" t="s">
        <v>2074</v>
      </c>
      <c r="H13101" s="30" t="s">
        <v>2077</v>
      </c>
      <c r="J13101" s="30" t="s">
        <v>2125</v>
      </c>
      <c r="L13101" s="30" t="s">
        <v>1027</v>
      </c>
      <c r="N13101" s="30" t="s">
        <v>395</v>
      </c>
      <c r="P13101" s="30" t="s">
        <v>18011</v>
      </c>
      <c r="Q13101" t="s">
        <v>621</v>
      </c>
      <c r="R13101" t="s">
        <v>920</v>
      </c>
      <c r="S13101">
        <v>39</v>
      </c>
      <c r="T13101" s="29" t="str">
        <f t="shared" ref="T13101:T13106" si="545">HYPERLINK("https://ictv.global/ictv/proposals/2023.019P.Solemoviridae_rename_sp.zip","2023.019P.Solemoviridae_rename_sp.zip")</f>
        <v>2023.019P.Solemoviridae_rename_sp.zip</v>
      </c>
      <c r="U13101" s="29" t="str">
        <f>HYPERLINK("https://ictv.global/taxonomy/taxondetails?taxnode_id=202303785","ictv.global=202303785")</f>
        <v>ictv.global=202303785</v>
      </c>
    </row>
    <row r="13102" spans="1:21">
      <c r="A13102">
        <v>13101</v>
      </c>
      <c r="B13102" s="30" t="s">
        <v>1226</v>
      </c>
      <c r="D13102" s="30" t="s">
        <v>2024</v>
      </c>
      <c r="F13102" s="30" t="s">
        <v>2074</v>
      </c>
      <c r="H13102" s="30" t="s">
        <v>2077</v>
      </c>
      <c r="J13102" s="30" t="s">
        <v>2125</v>
      </c>
      <c r="L13102" s="30" t="s">
        <v>1027</v>
      </c>
      <c r="N13102" s="30" t="s">
        <v>395</v>
      </c>
      <c r="P13102" s="30" t="s">
        <v>18012</v>
      </c>
      <c r="Q13102" t="s">
        <v>621</v>
      </c>
      <c r="R13102" t="s">
        <v>920</v>
      </c>
      <c r="S13102">
        <v>39</v>
      </c>
      <c r="T13102" s="29" t="str">
        <f t="shared" si="545"/>
        <v>2023.019P.Solemoviridae_rename_sp.zip</v>
      </c>
      <c r="U13102" s="29" t="str">
        <f>HYPERLINK("https://ictv.global/taxonomy/taxondetails?taxnode_id=202306621","ictv.global=202306621")</f>
        <v>ictv.global=202306621</v>
      </c>
    </row>
    <row r="13103" spans="1:21">
      <c r="A13103">
        <v>13102</v>
      </c>
      <c r="B13103" s="30" t="s">
        <v>1226</v>
      </c>
      <c r="D13103" s="30" t="s">
        <v>2024</v>
      </c>
      <c r="F13103" s="30" t="s">
        <v>2074</v>
      </c>
      <c r="H13103" s="30" t="s">
        <v>2077</v>
      </c>
      <c r="J13103" s="30" t="s">
        <v>2125</v>
      </c>
      <c r="L13103" s="30" t="s">
        <v>1027</v>
      </c>
      <c r="N13103" s="30" t="s">
        <v>395</v>
      </c>
      <c r="P13103" s="30" t="s">
        <v>18013</v>
      </c>
      <c r="Q13103" t="s">
        <v>621</v>
      </c>
      <c r="R13103" t="s">
        <v>920</v>
      </c>
      <c r="S13103">
        <v>39</v>
      </c>
      <c r="T13103" s="29" t="str">
        <f t="shared" si="545"/>
        <v>2023.019P.Solemoviridae_rename_sp.zip</v>
      </c>
      <c r="U13103" s="29" t="str">
        <f>HYPERLINK("https://ictv.global/taxonomy/taxondetails?taxnode_id=202306622","ictv.global=202306622")</f>
        <v>ictv.global=202306622</v>
      </c>
    </row>
    <row r="13104" spans="1:21">
      <c r="A13104">
        <v>13103</v>
      </c>
      <c r="B13104" s="30" t="s">
        <v>1226</v>
      </c>
      <c r="D13104" s="30" t="s">
        <v>2024</v>
      </c>
      <c r="F13104" s="30" t="s">
        <v>2074</v>
      </c>
      <c r="H13104" s="30" t="s">
        <v>2077</v>
      </c>
      <c r="J13104" s="30" t="s">
        <v>2125</v>
      </c>
      <c r="L13104" s="30" t="s">
        <v>1027</v>
      </c>
      <c r="N13104" s="30" t="s">
        <v>395</v>
      </c>
      <c r="P13104" s="30" t="s">
        <v>18014</v>
      </c>
      <c r="Q13104" t="s">
        <v>621</v>
      </c>
      <c r="R13104" t="s">
        <v>920</v>
      </c>
      <c r="S13104">
        <v>39</v>
      </c>
      <c r="T13104" s="29" t="str">
        <f t="shared" si="545"/>
        <v>2023.019P.Solemoviridae_rename_sp.zip</v>
      </c>
      <c r="U13104" s="29" t="str">
        <f>HYPERLINK("https://ictv.global/taxonomy/taxondetails?taxnode_id=202306623","ictv.global=202306623")</f>
        <v>ictv.global=202306623</v>
      </c>
    </row>
    <row r="13105" spans="1:21">
      <c r="A13105">
        <v>13104</v>
      </c>
      <c r="B13105" s="30" t="s">
        <v>1226</v>
      </c>
      <c r="D13105" s="30" t="s">
        <v>2024</v>
      </c>
      <c r="F13105" s="30" t="s">
        <v>2074</v>
      </c>
      <c r="H13105" s="30" t="s">
        <v>2077</v>
      </c>
      <c r="J13105" s="30" t="s">
        <v>2125</v>
      </c>
      <c r="L13105" s="30" t="s">
        <v>1027</v>
      </c>
      <c r="N13105" s="30" t="s">
        <v>395</v>
      </c>
      <c r="P13105" s="30" t="s">
        <v>18015</v>
      </c>
      <c r="Q13105" t="s">
        <v>621</v>
      </c>
      <c r="R13105" t="s">
        <v>920</v>
      </c>
      <c r="S13105">
        <v>39</v>
      </c>
      <c r="T13105" s="29" t="str">
        <f t="shared" si="545"/>
        <v>2023.019P.Solemoviridae_rename_sp.zip</v>
      </c>
      <c r="U13105" s="29" t="str">
        <f>HYPERLINK("https://ictv.global/taxonomy/taxondetails?taxnode_id=202306624","ictv.global=202306624")</f>
        <v>ictv.global=202306624</v>
      </c>
    </row>
    <row r="13106" spans="1:21">
      <c r="A13106">
        <v>13105</v>
      </c>
      <c r="B13106" s="30" t="s">
        <v>1226</v>
      </c>
      <c r="D13106" s="30" t="s">
        <v>2024</v>
      </c>
      <c r="F13106" s="30" t="s">
        <v>2074</v>
      </c>
      <c r="H13106" s="30" t="s">
        <v>2077</v>
      </c>
      <c r="J13106" s="30" t="s">
        <v>2125</v>
      </c>
      <c r="L13106" s="30" t="s">
        <v>1027</v>
      </c>
      <c r="N13106" s="30" t="s">
        <v>395</v>
      </c>
      <c r="P13106" s="30" t="s">
        <v>18016</v>
      </c>
      <c r="Q13106" t="s">
        <v>621</v>
      </c>
      <c r="R13106" t="s">
        <v>920</v>
      </c>
      <c r="S13106">
        <v>39</v>
      </c>
      <c r="T13106" s="29" t="str">
        <f t="shared" si="545"/>
        <v>2023.019P.Solemoviridae_rename_sp.zip</v>
      </c>
      <c r="U13106" s="29" t="str">
        <f>HYPERLINK("https://ictv.global/taxonomy/taxondetails?taxnode_id=202306625","ictv.global=202306625")</f>
        <v>ictv.global=202306625</v>
      </c>
    </row>
    <row r="13107" spans="1:21">
      <c r="A13107">
        <v>13106</v>
      </c>
      <c r="B13107" s="30" t="s">
        <v>1226</v>
      </c>
      <c r="D13107" s="30" t="s">
        <v>2024</v>
      </c>
      <c r="F13107" s="30" t="s">
        <v>2074</v>
      </c>
      <c r="H13107" s="30" t="s">
        <v>2077</v>
      </c>
      <c r="J13107" s="30" t="s">
        <v>2125</v>
      </c>
      <c r="L13107" s="30" t="s">
        <v>1027</v>
      </c>
      <c r="N13107" s="30" t="s">
        <v>395</v>
      </c>
      <c r="P13107" s="30" t="s">
        <v>18017</v>
      </c>
      <c r="Q13107" t="s">
        <v>621</v>
      </c>
      <c r="R13107" t="s">
        <v>917</v>
      </c>
      <c r="S13107">
        <v>39</v>
      </c>
      <c r="T13107" s="29" t="str">
        <f>HYPERLINK("https://ictv.global/ictv/proposals/2023.022P.Polerovirus_47nsp.zip","2023.022P.Polerovirus_47nsp.zip")</f>
        <v>2023.022P.Polerovirus_47nsp.zip</v>
      </c>
      <c r="U13107" s="29" t="str">
        <f>HYPERLINK("https://ictv.global/taxonomy/taxondetails?taxnode_id=202318648","ictv.global=202318648")</f>
        <v>ictv.global=202318648</v>
      </c>
    </row>
    <row r="13108" spans="1:21">
      <c r="A13108">
        <v>13107</v>
      </c>
      <c r="B13108" s="30" t="s">
        <v>1226</v>
      </c>
      <c r="D13108" s="30" t="s">
        <v>2024</v>
      </c>
      <c r="F13108" s="30" t="s">
        <v>2074</v>
      </c>
      <c r="H13108" s="30" t="s">
        <v>2077</v>
      </c>
      <c r="J13108" s="30" t="s">
        <v>2125</v>
      </c>
      <c r="L13108" s="30" t="s">
        <v>1027</v>
      </c>
      <c r="N13108" s="30" t="s">
        <v>395</v>
      </c>
      <c r="P13108" s="30" t="s">
        <v>18018</v>
      </c>
      <c r="Q13108" t="s">
        <v>621</v>
      </c>
      <c r="R13108" t="s">
        <v>917</v>
      </c>
      <c r="S13108">
        <v>39</v>
      </c>
      <c r="T13108" s="29" t="str">
        <f>HYPERLINK("https://ictv.global/ictv/proposals/2023.022P.Polerovirus_47nsp.zip","2023.022P.Polerovirus_47nsp.zip")</f>
        <v>2023.022P.Polerovirus_47nsp.zip</v>
      </c>
      <c r="U13108" s="29" t="str">
        <f>HYPERLINK("https://ictv.global/taxonomy/taxondetails?taxnode_id=202318652","ictv.global=202318652")</f>
        <v>ictv.global=202318652</v>
      </c>
    </row>
    <row r="13109" spans="1:21">
      <c r="A13109">
        <v>13108</v>
      </c>
      <c r="B13109" s="30" t="s">
        <v>1226</v>
      </c>
      <c r="D13109" s="30" t="s">
        <v>2024</v>
      </c>
      <c r="F13109" s="30" t="s">
        <v>2074</v>
      </c>
      <c r="H13109" s="30" t="s">
        <v>2077</v>
      </c>
      <c r="J13109" s="30" t="s">
        <v>2125</v>
      </c>
      <c r="L13109" s="30" t="s">
        <v>1027</v>
      </c>
      <c r="N13109" s="30" t="s">
        <v>395</v>
      </c>
      <c r="P13109" s="30" t="s">
        <v>18019</v>
      </c>
      <c r="Q13109" t="s">
        <v>621</v>
      </c>
      <c r="R13109" t="s">
        <v>920</v>
      </c>
      <c r="S13109">
        <v>39</v>
      </c>
      <c r="T13109" s="29" t="str">
        <f>HYPERLINK("https://ictv.global/ictv/proposals/2023.019P.Solemoviridae_rename_sp.zip","2023.019P.Solemoviridae_rename_sp.zip")</f>
        <v>2023.019P.Solemoviridae_rename_sp.zip</v>
      </c>
      <c r="U13109" s="29" t="str">
        <f>HYPERLINK("https://ictv.global/taxonomy/taxondetails?taxnode_id=202303786","ictv.global=202303786")</f>
        <v>ictv.global=202303786</v>
      </c>
    </row>
    <row r="13110" spans="1:21">
      <c r="A13110">
        <v>13109</v>
      </c>
      <c r="B13110" s="30" t="s">
        <v>1226</v>
      </c>
      <c r="D13110" s="30" t="s">
        <v>2024</v>
      </c>
      <c r="F13110" s="30" t="s">
        <v>2074</v>
      </c>
      <c r="H13110" s="30" t="s">
        <v>2077</v>
      </c>
      <c r="J13110" s="30" t="s">
        <v>2125</v>
      </c>
      <c r="L13110" s="30" t="s">
        <v>1027</v>
      </c>
      <c r="N13110" s="30" t="s">
        <v>395</v>
      </c>
      <c r="P13110" s="30" t="s">
        <v>18020</v>
      </c>
      <c r="Q13110" t="s">
        <v>621</v>
      </c>
      <c r="R13110" t="s">
        <v>917</v>
      </c>
      <c r="S13110">
        <v>39</v>
      </c>
      <c r="T13110" s="29" t="str">
        <f>HYPERLINK("https://ictv.global/ictv/proposals/2023.022P.Polerovirus_47nsp.zip","2023.022P.Polerovirus_47nsp.zip")</f>
        <v>2023.022P.Polerovirus_47nsp.zip</v>
      </c>
      <c r="U13110" s="29" t="str">
        <f>HYPERLINK("https://ictv.global/taxonomy/taxondetails?taxnode_id=202318651","ictv.global=202318651")</f>
        <v>ictv.global=202318651</v>
      </c>
    </row>
    <row r="13111" spans="1:21">
      <c r="A13111">
        <v>13110</v>
      </c>
      <c r="B13111" s="30" t="s">
        <v>1226</v>
      </c>
      <c r="D13111" s="30" t="s">
        <v>2024</v>
      </c>
      <c r="F13111" s="30" t="s">
        <v>2074</v>
      </c>
      <c r="H13111" s="30" t="s">
        <v>2077</v>
      </c>
      <c r="J13111" s="30" t="s">
        <v>2125</v>
      </c>
      <c r="L13111" s="30" t="s">
        <v>1027</v>
      </c>
      <c r="N13111" s="30" t="s">
        <v>395</v>
      </c>
      <c r="P13111" s="30" t="s">
        <v>18021</v>
      </c>
      <c r="Q13111" t="s">
        <v>621</v>
      </c>
      <c r="R13111" t="s">
        <v>917</v>
      </c>
      <c r="S13111">
        <v>39</v>
      </c>
      <c r="T13111" s="29" t="str">
        <f>HYPERLINK("https://ictv.global/ictv/proposals/2023.022P.Polerovirus_47nsp.zip","2023.022P.Polerovirus_47nsp.zip")</f>
        <v>2023.022P.Polerovirus_47nsp.zip</v>
      </c>
      <c r="U13111" s="29" t="str">
        <f>HYPERLINK("https://ictv.global/taxonomy/taxondetails?taxnode_id=202318646","ictv.global=202318646")</f>
        <v>ictv.global=202318646</v>
      </c>
    </row>
    <row r="13112" spans="1:21">
      <c r="A13112">
        <v>13111</v>
      </c>
      <c r="B13112" s="30" t="s">
        <v>1226</v>
      </c>
      <c r="D13112" s="30" t="s">
        <v>2024</v>
      </c>
      <c r="F13112" s="30" t="s">
        <v>2074</v>
      </c>
      <c r="H13112" s="30" t="s">
        <v>2077</v>
      </c>
      <c r="J13112" s="30" t="s">
        <v>2125</v>
      </c>
      <c r="L13112" s="30" t="s">
        <v>1027</v>
      </c>
      <c r="N13112" s="30" t="s">
        <v>395</v>
      </c>
      <c r="P13112" s="30" t="s">
        <v>18022</v>
      </c>
      <c r="Q13112" t="s">
        <v>621</v>
      </c>
      <c r="R13112" t="s">
        <v>917</v>
      </c>
      <c r="S13112">
        <v>39</v>
      </c>
      <c r="T13112" s="29" t="str">
        <f>HYPERLINK("https://ictv.global/ictv/proposals/2023.022P.Polerovirus_47nsp.zip","2023.022P.Polerovirus_47nsp.zip")</f>
        <v>2023.022P.Polerovirus_47nsp.zip</v>
      </c>
      <c r="U13112" s="29" t="str">
        <f>HYPERLINK("https://ictv.global/taxonomy/taxondetails?taxnode_id=202318653","ictv.global=202318653")</f>
        <v>ictv.global=202318653</v>
      </c>
    </row>
    <row r="13113" spans="1:21">
      <c r="A13113">
        <v>13112</v>
      </c>
      <c r="B13113" s="30" t="s">
        <v>1226</v>
      </c>
      <c r="D13113" s="30" t="s">
        <v>2024</v>
      </c>
      <c r="F13113" s="30" t="s">
        <v>2074</v>
      </c>
      <c r="H13113" s="30" t="s">
        <v>2077</v>
      </c>
      <c r="J13113" s="30" t="s">
        <v>2125</v>
      </c>
      <c r="L13113" s="30" t="s">
        <v>1027</v>
      </c>
      <c r="N13113" s="30" t="s">
        <v>395</v>
      </c>
      <c r="P13113" s="30" t="s">
        <v>18023</v>
      </c>
      <c r="Q13113" t="s">
        <v>621</v>
      </c>
      <c r="R13113" t="s">
        <v>917</v>
      </c>
      <c r="S13113">
        <v>39</v>
      </c>
      <c r="T13113" s="29" t="str">
        <f>HYPERLINK("https://ictv.global/ictv/proposals/2023.022P.Polerovirus_47nsp.zip","2023.022P.Polerovirus_47nsp.zip")</f>
        <v>2023.022P.Polerovirus_47nsp.zip</v>
      </c>
      <c r="U13113" s="29" t="str">
        <f>HYPERLINK("https://ictv.global/taxonomy/taxondetails?taxnode_id=202318649","ictv.global=202318649")</f>
        <v>ictv.global=202318649</v>
      </c>
    </row>
    <row r="13114" spans="1:21">
      <c r="A13114">
        <v>13113</v>
      </c>
      <c r="B13114" s="30" t="s">
        <v>1226</v>
      </c>
      <c r="D13114" s="30" t="s">
        <v>2024</v>
      </c>
      <c r="F13114" s="30" t="s">
        <v>2074</v>
      </c>
      <c r="H13114" s="30" t="s">
        <v>2077</v>
      </c>
      <c r="J13114" s="30" t="s">
        <v>2125</v>
      </c>
      <c r="L13114" s="30" t="s">
        <v>1027</v>
      </c>
      <c r="N13114" s="30" t="s">
        <v>395</v>
      </c>
      <c r="P13114" s="30" t="s">
        <v>18024</v>
      </c>
      <c r="Q13114" t="s">
        <v>621</v>
      </c>
      <c r="R13114" t="s">
        <v>917</v>
      </c>
      <c r="S13114">
        <v>39</v>
      </c>
      <c r="T13114" s="29" t="str">
        <f>HYPERLINK("https://ictv.global/ictv/proposals/2023.022P.Polerovirus_47nsp.zip","2023.022P.Polerovirus_47nsp.zip")</f>
        <v>2023.022P.Polerovirus_47nsp.zip</v>
      </c>
      <c r="U13114" s="29" t="str">
        <f>HYPERLINK("https://ictv.global/taxonomy/taxondetails?taxnode_id=202318654","ictv.global=202318654")</f>
        <v>ictv.global=202318654</v>
      </c>
    </row>
    <row r="13115" spans="1:21">
      <c r="A13115">
        <v>13114</v>
      </c>
      <c r="B13115" s="30" t="s">
        <v>1226</v>
      </c>
      <c r="D13115" s="30" t="s">
        <v>2024</v>
      </c>
      <c r="F13115" s="30" t="s">
        <v>2074</v>
      </c>
      <c r="H13115" s="30" t="s">
        <v>2077</v>
      </c>
      <c r="J13115" s="30" t="s">
        <v>2125</v>
      </c>
      <c r="L13115" s="30" t="s">
        <v>1027</v>
      </c>
      <c r="N13115" s="30" t="s">
        <v>395</v>
      </c>
      <c r="P13115" s="30" t="s">
        <v>18025</v>
      </c>
      <c r="Q13115" t="s">
        <v>621</v>
      </c>
      <c r="R13115" t="s">
        <v>920</v>
      </c>
      <c r="S13115">
        <v>39</v>
      </c>
      <c r="T13115" s="29" t="str">
        <f>HYPERLINK("https://ictv.global/ictv/proposals/2023.019P.Solemoviridae_rename_sp.zip","2023.019P.Solemoviridae_rename_sp.zip")</f>
        <v>2023.019P.Solemoviridae_rename_sp.zip</v>
      </c>
      <c r="U13115" s="29" t="str">
        <f>HYPERLINK("https://ictv.global/taxonomy/taxondetails?taxnode_id=202307553","ictv.global=202307553")</f>
        <v>ictv.global=202307553</v>
      </c>
    </row>
    <row r="13116" spans="1:21">
      <c r="A13116">
        <v>13115</v>
      </c>
      <c r="B13116" s="30" t="s">
        <v>1226</v>
      </c>
      <c r="D13116" s="30" t="s">
        <v>2024</v>
      </c>
      <c r="F13116" s="30" t="s">
        <v>2074</v>
      </c>
      <c r="H13116" s="30" t="s">
        <v>2077</v>
      </c>
      <c r="J13116" s="30" t="s">
        <v>2125</v>
      </c>
      <c r="L13116" s="30" t="s">
        <v>1027</v>
      </c>
      <c r="N13116" s="30" t="s">
        <v>395</v>
      </c>
      <c r="P13116" s="30" t="s">
        <v>18026</v>
      </c>
      <c r="Q13116" t="s">
        <v>621</v>
      </c>
      <c r="R13116" t="s">
        <v>920</v>
      </c>
      <c r="S13116">
        <v>39</v>
      </c>
      <c r="T13116" s="29" t="str">
        <f>HYPERLINK("https://ictv.global/ictv/proposals/2023.019P.Solemoviridae_rename_sp.zip","2023.019P.Solemoviridae_rename_sp.zip")</f>
        <v>2023.019P.Solemoviridae_rename_sp.zip</v>
      </c>
      <c r="U13116" s="29" t="str">
        <f>HYPERLINK("https://ictv.global/taxonomy/taxondetails?taxnode_id=202303787","ictv.global=202303787")</f>
        <v>ictv.global=202303787</v>
      </c>
    </row>
    <row r="13117" spans="1:21">
      <c r="A13117">
        <v>13116</v>
      </c>
      <c r="B13117" s="30" t="s">
        <v>1226</v>
      </c>
      <c r="D13117" s="30" t="s">
        <v>2024</v>
      </c>
      <c r="F13117" s="30" t="s">
        <v>2074</v>
      </c>
      <c r="H13117" s="30" t="s">
        <v>2077</v>
      </c>
      <c r="J13117" s="30" t="s">
        <v>2125</v>
      </c>
      <c r="L13117" s="30" t="s">
        <v>1027</v>
      </c>
      <c r="N13117" s="30" t="s">
        <v>395</v>
      </c>
      <c r="P13117" s="30" t="s">
        <v>18027</v>
      </c>
      <c r="Q13117" t="s">
        <v>621</v>
      </c>
      <c r="R13117" t="s">
        <v>917</v>
      </c>
      <c r="S13117">
        <v>39</v>
      </c>
      <c r="T13117" s="29" t="str">
        <f>HYPERLINK("https://ictv.global/ictv/proposals/2023.022P.Polerovirus_47nsp.zip","2023.022P.Polerovirus_47nsp.zip")</f>
        <v>2023.022P.Polerovirus_47nsp.zip</v>
      </c>
      <c r="U13117" s="29" t="str">
        <f>HYPERLINK("https://ictv.global/taxonomy/taxondetails?taxnode_id=202318655","ictv.global=202318655")</f>
        <v>ictv.global=202318655</v>
      </c>
    </row>
    <row r="13118" spans="1:21">
      <c r="A13118">
        <v>13117</v>
      </c>
      <c r="B13118" s="30" t="s">
        <v>1226</v>
      </c>
      <c r="D13118" s="30" t="s">
        <v>2024</v>
      </c>
      <c r="F13118" s="30" t="s">
        <v>2074</v>
      </c>
      <c r="H13118" s="30" t="s">
        <v>2077</v>
      </c>
      <c r="J13118" s="30" t="s">
        <v>2125</v>
      </c>
      <c r="L13118" s="30" t="s">
        <v>1027</v>
      </c>
      <c r="N13118" s="30" t="s">
        <v>395</v>
      </c>
      <c r="P13118" s="30" t="s">
        <v>18028</v>
      </c>
      <c r="Q13118" t="s">
        <v>621</v>
      </c>
      <c r="R13118" t="s">
        <v>917</v>
      </c>
      <c r="S13118">
        <v>39</v>
      </c>
      <c r="T13118" s="29" t="str">
        <f>HYPERLINK("https://ictv.global/ictv/proposals/2023.022P.Polerovirus_47nsp.zip","2023.022P.Polerovirus_47nsp.zip")</f>
        <v>2023.022P.Polerovirus_47nsp.zip</v>
      </c>
      <c r="U13118" s="29" t="str">
        <f>HYPERLINK("https://ictv.global/taxonomy/taxondetails?taxnode_id=202318657","ictv.global=202318657")</f>
        <v>ictv.global=202318657</v>
      </c>
    </row>
    <row r="13119" spans="1:21">
      <c r="A13119">
        <v>13118</v>
      </c>
      <c r="B13119" s="30" t="s">
        <v>1226</v>
      </c>
      <c r="D13119" s="30" t="s">
        <v>2024</v>
      </c>
      <c r="F13119" s="30" t="s">
        <v>2074</v>
      </c>
      <c r="H13119" s="30" t="s">
        <v>2077</v>
      </c>
      <c r="J13119" s="30" t="s">
        <v>2125</v>
      </c>
      <c r="L13119" s="30" t="s">
        <v>1027</v>
      </c>
      <c r="N13119" s="30" t="s">
        <v>395</v>
      </c>
      <c r="P13119" s="30" t="s">
        <v>18029</v>
      </c>
      <c r="Q13119" t="s">
        <v>621</v>
      </c>
      <c r="R13119" t="s">
        <v>920</v>
      </c>
      <c r="S13119">
        <v>39</v>
      </c>
      <c r="T13119" s="29" t="str">
        <f>HYPERLINK("https://ictv.global/ictv/proposals/2023.019P.Solemoviridae_rename_sp.zip","2023.019P.Solemoviridae_rename_sp.zip")</f>
        <v>2023.019P.Solemoviridae_rename_sp.zip</v>
      </c>
      <c r="U13119" s="29" t="str">
        <f>HYPERLINK("https://ictv.global/taxonomy/taxondetails?taxnode_id=202303788","ictv.global=202303788")</f>
        <v>ictv.global=202303788</v>
      </c>
    </row>
    <row r="13120" spans="1:21">
      <c r="A13120">
        <v>13119</v>
      </c>
      <c r="B13120" s="30" t="s">
        <v>1226</v>
      </c>
      <c r="D13120" s="30" t="s">
        <v>2024</v>
      </c>
      <c r="F13120" s="30" t="s">
        <v>2074</v>
      </c>
      <c r="H13120" s="30" t="s">
        <v>2077</v>
      </c>
      <c r="J13120" s="30" t="s">
        <v>2125</v>
      </c>
      <c r="L13120" s="30" t="s">
        <v>1027</v>
      </c>
      <c r="N13120" s="30" t="s">
        <v>395</v>
      </c>
      <c r="P13120" s="30" t="s">
        <v>18030</v>
      </c>
      <c r="Q13120" t="s">
        <v>621</v>
      </c>
      <c r="R13120" t="s">
        <v>917</v>
      </c>
      <c r="S13120">
        <v>39</v>
      </c>
      <c r="T13120" s="29" t="str">
        <f>HYPERLINK("https://ictv.global/ictv/proposals/2023.022P.Polerovirus_47nsp.zip","2023.022P.Polerovirus_47nsp.zip")</f>
        <v>2023.022P.Polerovirus_47nsp.zip</v>
      </c>
      <c r="U13120" s="29" t="str">
        <f>HYPERLINK("https://ictv.global/taxonomy/taxondetails?taxnode_id=202318656","ictv.global=202318656")</f>
        <v>ictv.global=202318656</v>
      </c>
    </row>
    <row r="13121" spans="1:21">
      <c r="A13121">
        <v>13120</v>
      </c>
      <c r="B13121" s="30" t="s">
        <v>1226</v>
      </c>
      <c r="D13121" s="30" t="s">
        <v>2024</v>
      </c>
      <c r="F13121" s="30" t="s">
        <v>2074</v>
      </c>
      <c r="H13121" s="30" t="s">
        <v>2077</v>
      </c>
      <c r="J13121" s="30" t="s">
        <v>2125</v>
      </c>
      <c r="L13121" s="30" t="s">
        <v>1027</v>
      </c>
      <c r="N13121" s="30" t="s">
        <v>395</v>
      </c>
      <c r="P13121" s="30" t="s">
        <v>18031</v>
      </c>
      <c r="Q13121" t="s">
        <v>621</v>
      </c>
      <c r="R13121" t="s">
        <v>918</v>
      </c>
      <c r="S13121">
        <v>39</v>
      </c>
      <c r="T13121" s="29" t="str">
        <f>HYPERLINK("https://ictv.global/ictv/proposals/2023.019P.Solemoviridae_rename_sp.zip","2023.019P.Solemoviridae_rename_sp.zip")</f>
        <v>2023.019P.Solemoviridae_rename_sp.zip</v>
      </c>
      <c r="U13121" s="29" t="str">
        <f>HYPERLINK("https://ictv.global/taxonomy/taxondetails?taxnode_id=202303797","ictv.global=202303797")</f>
        <v>ictv.global=202303797</v>
      </c>
    </row>
    <row r="13122" spans="1:21">
      <c r="A13122">
        <v>13121</v>
      </c>
      <c r="B13122" s="30" t="s">
        <v>1226</v>
      </c>
      <c r="D13122" s="30" t="s">
        <v>2024</v>
      </c>
      <c r="F13122" s="30" t="s">
        <v>2074</v>
      </c>
      <c r="H13122" s="30" t="s">
        <v>2077</v>
      </c>
      <c r="J13122" s="30" t="s">
        <v>2125</v>
      </c>
      <c r="L13122" s="30" t="s">
        <v>1027</v>
      </c>
      <c r="N13122" s="30" t="s">
        <v>395</v>
      </c>
      <c r="P13122" s="30" t="s">
        <v>18032</v>
      </c>
      <c r="Q13122" t="s">
        <v>621</v>
      </c>
      <c r="R13122" t="s">
        <v>917</v>
      </c>
      <c r="S13122">
        <v>39</v>
      </c>
      <c r="T13122" s="29" t="str">
        <f>HYPERLINK("https://ictv.global/ictv/proposals/2023.022P.Polerovirus_47nsp.zip","2023.022P.Polerovirus_47nsp.zip")</f>
        <v>2023.022P.Polerovirus_47nsp.zip</v>
      </c>
      <c r="U13122" s="29" t="str">
        <f>HYPERLINK("https://ictv.global/taxonomy/taxondetails?taxnode_id=202318658","ictv.global=202318658")</f>
        <v>ictv.global=202318658</v>
      </c>
    </row>
    <row r="13123" spans="1:21">
      <c r="A13123">
        <v>13122</v>
      </c>
      <c r="B13123" s="30" t="s">
        <v>1226</v>
      </c>
      <c r="D13123" s="30" t="s">
        <v>2024</v>
      </c>
      <c r="F13123" s="30" t="s">
        <v>2074</v>
      </c>
      <c r="H13123" s="30" t="s">
        <v>2077</v>
      </c>
      <c r="J13123" s="30" t="s">
        <v>2125</v>
      </c>
      <c r="L13123" s="30" t="s">
        <v>1027</v>
      </c>
      <c r="N13123" s="30" t="s">
        <v>395</v>
      </c>
      <c r="P13123" s="30" t="s">
        <v>18033</v>
      </c>
      <c r="Q13123" t="s">
        <v>621</v>
      </c>
      <c r="R13123" t="s">
        <v>917</v>
      </c>
      <c r="S13123">
        <v>39</v>
      </c>
      <c r="T13123" s="29" t="str">
        <f>HYPERLINK("https://ictv.global/ictv/proposals/2023.022P.Polerovirus_47nsp.zip","2023.022P.Polerovirus_47nsp.zip")</f>
        <v>2023.022P.Polerovirus_47nsp.zip</v>
      </c>
      <c r="U13123" s="29" t="str">
        <f>HYPERLINK("https://ictv.global/taxonomy/taxondetails?taxnode_id=202318659","ictv.global=202318659")</f>
        <v>ictv.global=202318659</v>
      </c>
    </row>
    <row r="13124" spans="1:21">
      <c r="A13124">
        <v>13123</v>
      </c>
      <c r="B13124" s="30" t="s">
        <v>1226</v>
      </c>
      <c r="D13124" s="30" t="s">
        <v>2024</v>
      </c>
      <c r="F13124" s="30" t="s">
        <v>2074</v>
      </c>
      <c r="H13124" s="30" t="s">
        <v>2077</v>
      </c>
      <c r="J13124" s="30" t="s">
        <v>2125</v>
      </c>
      <c r="L13124" s="30" t="s">
        <v>1027</v>
      </c>
      <c r="N13124" s="30" t="s">
        <v>395</v>
      </c>
      <c r="P13124" s="30" t="s">
        <v>18034</v>
      </c>
      <c r="Q13124" t="s">
        <v>621</v>
      </c>
      <c r="R13124" t="s">
        <v>917</v>
      </c>
      <c r="S13124">
        <v>39</v>
      </c>
      <c r="T13124" s="29" t="str">
        <f>HYPERLINK("https://ictv.global/ictv/proposals/2023.022P.Polerovirus_47nsp.zip","2023.022P.Polerovirus_47nsp.zip")</f>
        <v>2023.022P.Polerovirus_47nsp.zip</v>
      </c>
      <c r="U13124" s="29" t="str">
        <f>HYPERLINK("https://ictv.global/taxonomy/taxondetails?taxnode_id=202318663","ictv.global=202318663")</f>
        <v>ictv.global=202318663</v>
      </c>
    </row>
    <row r="13125" spans="1:21">
      <c r="A13125">
        <v>13124</v>
      </c>
      <c r="B13125" s="30" t="s">
        <v>1226</v>
      </c>
      <c r="D13125" s="30" t="s">
        <v>2024</v>
      </c>
      <c r="F13125" s="30" t="s">
        <v>2074</v>
      </c>
      <c r="H13125" s="30" t="s">
        <v>2077</v>
      </c>
      <c r="J13125" s="30" t="s">
        <v>2125</v>
      </c>
      <c r="L13125" s="30" t="s">
        <v>1027</v>
      </c>
      <c r="N13125" s="30" t="s">
        <v>395</v>
      </c>
      <c r="P13125" s="30" t="s">
        <v>18035</v>
      </c>
      <c r="Q13125" t="s">
        <v>621</v>
      </c>
      <c r="R13125" t="s">
        <v>917</v>
      </c>
      <c r="S13125">
        <v>39</v>
      </c>
      <c r="T13125" s="29" t="str">
        <f>HYPERLINK("https://ictv.global/ictv/proposals/2023.022P.Polerovirus_47nsp.zip","2023.022P.Polerovirus_47nsp.zip")</f>
        <v>2023.022P.Polerovirus_47nsp.zip</v>
      </c>
      <c r="U13125" s="29" t="str">
        <f>HYPERLINK("https://ictv.global/taxonomy/taxondetails?taxnode_id=202318662","ictv.global=202318662")</f>
        <v>ictv.global=202318662</v>
      </c>
    </row>
    <row r="13126" spans="1:21">
      <c r="A13126">
        <v>13125</v>
      </c>
      <c r="B13126" s="30" t="s">
        <v>1226</v>
      </c>
      <c r="D13126" s="30" t="s">
        <v>2024</v>
      </c>
      <c r="F13126" s="30" t="s">
        <v>2074</v>
      </c>
      <c r="H13126" s="30" t="s">
        <v>2077</v>
      </c>
      <c r="J13126" s="30" t="s">
        <v>2125</v>
      </c>
      <c r="L13126" s="30" t="s">
        <v>1027</v>
      </c>
      <c r="N13126" s="30" t="s">
        <v>395</v>
      </c>
      <c r="P13126" s="30" t="s">
        <v>18036</v>
      </c>
      <c r="Q13126" t="s">
        <v>621</v>
      </c>
      <c r="R13126" t="s">
        <v>918</v>
      </c>
      <c r="S13126">
        <v>39</v>
      </c>
      <c r="T13126" s="29" t="str">
        <f>HYPERLINK("https://ictv.global/ictv/proposals/2023.019P.Solemoviridae_rename_sp.zip","2023.019P.Solemoviridae_rename_sp.zip")</f>
        <v>2023.019P.Solemoviridae_rename_sp.zip</v>
      </c>
      <c r="U13126" s="29" t="str">
        <f>HYPERLINK("https://ictv.global/taxonomy/taxondetails?taxnode_id=202303798","ictv.global=202303798")</f>
        <v>ictv.global=202303798</v>
      </c>
    </row>
    <row r="13127" spans="1:21">
      <c r="A13127">
        <v>13126</v>
      </c>
      <c r="B13127" s="30" t="s">
        <v>1226</v>
      </c>
      <c r="D13127" s="30" t="s">
        <v>2024</v>
      </c>
      <c r="F13127" s="30" t="s">
        <v>2074</v>
      </c>
      <c r="H13127" s="30" t="s">
        <v>2077</v>
      </c>
      <c r="J13127" s="30" t="s">
        <v>2125</v>
      </c>
      <c r="L13127" s="30" t="s">
        <v>1027</v>
      </c>
      <c r="N13127" s="30" t="s">
        <v>395</v>
      </c>
      <c r="P13127" s="30" t="s">
        <v>18037</v>
      </c>
      <c r="Q13127" t="s">
        <v>621</v>
      </c>
      <c r="R13127" t="s">
        <v>917</v>
      </c>
      <c r="S13127">
        <v>39</v>
      </c>
      <c r="T13127" s="29" t="str">
        <f>HYPERLINK("https://ictv.global/ictv/proposals/2023.022P.Polerovirus_47nsp.zip","2023.022P.Polerovirus_47nsp.zip")</f>
        <v>2023.022P.Polerovirus_47nsp.zip</v>
      </c>
      <c r="U13127" s="29" t="str">
        <f>HYPERLINK("https://ictv.global/taxonomy/taxondetails?taxnode_id=202318660","ictv.global=202318660")</f>
        <v>ictv.global=202318660</v>
      </c>
    </row>
    <row r="13128" spans="1:21">
      <c r="A13128">
        <v>13127</v>
      </c>
      <c r="B13128" s="30" t="s">
        <v>1226</v>
      </c>
      <c r="D13128" s="30" t="s">
        <v>2024</v>
      </c>
      <c r="F13128" s="30" t="s">
        <v>2074</v>
      </c>
      <c r="H13128" s="30" t="s">
        <v>2077</v>
      </c>
      <c r="J13128" s="30" t="s">
        <v>2125</v>
      </c>
      <c r="L13128" s="30" t="s">
        <v>1027</v>
      </c>
      <c r="N13128" s="30" t="s">
        <v>395</v>
      </c>
      <c r="P13128" s="30" t="s">
        <v>18038</v>
      </c>
      <c r="Q13128" t="s">
        <v>621</v>
      </c>
      <c r="R13128" t="s">
        <v>917</v>
      </c>
      <c r="S13128">
        <v>39</v>
      </c>
      <c r="T13128" s="29" t="str">
        <f>HYPERLINK("https://ictv.global/ictv/proposals/2023.022P.Polerovirus_47nsp.zip","2023.022P.Polerovirus_47nsp.zip")</f>
        <v>2023.022P.Polerovirus_47nsp.zip</v>
      </c>
      <c r="U13128" s="29" t="str">
        <f>HYPERLINK("https://ictv.global/taxonomy/taxondetails?taxnode_id=202318661","ictv.global=202318661")</f>
        <v>ictv.global=202318661</v>
      </c>
    </row>
    <row r="13129" spans="1:21">
      <c r="A13129">
        <v>13128</v>
      </c>
      <c r="B13129" s="30" t="s">
        <v>1226</v>
      </c>
      <c r="D13129" s="30" t="s">
        <v>2024</v>
      </c>
      <c r="F13129" s="30" t="s">
        <v>2074</v>
      </c>
      <c r="H13129" s="30" t="s">
        <v>2077</v>
      </c>
      <c r="J13129" s="30" t="s">
        <v>2125</v>
      </c>
      <c r="L13129" s="30" t="s">
        <v>1027</v>
      </c>
      <c r="N13129" s="30" t="s">
        <v>395</v>
      </c>
      <c r="P13129" s="30" t="s">
        <v>18039</v>
      </c>
      <c r="Q13129" t="s">
        <v>621</v>
      </c>
      <c r="R13129" t="s">
        <v>917</v>
      </c>
      <c r="S13129">
        <v>39</v>
      </c>
      <c r="T13129" s="29" t="str">
        <f>HYPERLINK("https://ictv.global/ictv/proposals/2023.022P.Polerovirus_47nsp.zip","2023.022P.Polerovirus_47nsp.zip")</f>
        <v>2023.022P.Polerovirus_47nsp.zip</v>
      </c>
      <c r="U13129" s="29" t="str">
        <f>HYPERLINK("https://ictv.global/taxonomy/taxondetails?taxnode_id=202318664","ictv.global=202318664")</f>
        <v>ictv.global=202318664</v>
      </c>
    </row>
    <row r="13130" spans="1:21">
      <c r="A13130">
        <v>13129</v>
      </c>
      <c r="B13130" s="30" t="s">
        <v>1226</v>
      </c>
      <c r="D13130" s="30" t="s">
        <v>2024</v>
      </c>
      <c r="F13130" s="30" t="s">
        <v>2074</v>
      </c>
      <c r="H13130" s="30" t="s">
        <v>2077</v>
      </c>
      <c r="J13130" s="30" t="s">
        <v>2125</v>
      </c>
      <c r="L13130" s="30" t="s">
        <v>1027</v>
      </c>
      <c r="N13130" s="30" t="s">
        <v>395</v>
      </c>
      <c r="P13130" s="30" t="s">
        <v>18040</v>
      </c>
      <c r="Q13130" t="s">
        <v>621</v>
      </c>
      <c r="R13130" t="s">
        <v>920</v>
      </c>
      <c r="S13130">
        <v>39</v>
      </c>
      <c r="T13130" s="29" t="str">
        <f>HYPERLINK("https://ictv.global/ictv/proposals/2023.019P.Solemoviridae_rename_sp.zip","2023.019P.Solemoviridae_rename_sp.zip")</f>
        <v>2023.019P.Solemoviridae_rename_sp.zip</v>
      </c>
      <c r="U13130" s="29" t="str">
        <f>HYPERLINK("https://ictv.global/taxonomy/taxondetails?taxnode_id=202303790","ictv.global=202303790")</f>
        <v>ictv.global=202303790</v>
      </c>
    </row>
    <row r="13131" spans="1:21">
      <c r="A13131">
        <v>13130</v>
      </c>
      <c r="B13131" s="30" t="s">
        <v>1226</v>
      </c>
      <c r="D13131" s="30" t="s">
        <v>2024</v>
      </c>
      <c r="F13131" s="30" t="s">
        <v>2074</v>
      </c>
      <c r="H13131" s="30" t="s">
        <v>2077</v>
      </c>
      <c r="J13131" s="30" t="s">
        <v>2125</v>
      </c>
      <c r="L13131" s="30" t="s">
        <v>1027</v>
      </c>
      <c r="N13131" s="30" t="s">
        <v>395</v>
      </c>
      <c r="P13131" s="30" t="s">
        <v>18041</v>
      </c>
      <c r="Q13131" t="s">
        <v>621</v>
      </c>
      <c r="R13131" t="s">
        <v>920</v>
      </c>
      <c r="S13131">
        <v>39</v>
      </c>
      <c r="T13131" s="29" t="str">
        <f>HYPERLINK("https://ictv.global/ictv/proposals/2023.019P.Solemoviridae_rename_sp.zip","2023.019P.Solemoviridae_rename_sp.zip")</f>
        <v>2023.019P.Solemoviridae_rename_sp.zip</v>
      </c>
      <c r="U13131" s="29" t="str">
        <f>HYPERLINK("https://ictv.global/taxonomy/taxondetails?taxnode_id=202303789","ictv.global=202303789")</f>
        <v>ictv.global=202303789</v>
      </c>
    </row>
    <row r="13132" spans="1:21">
      <c r="A13132">
        <v>13131</v>
      </c>
      <c r="B13132" s="30" t="s">
        <v>1226</v>
      </c>
      <c r="D13132" s="30" t="s">
        <v>2024</v>
      </c>
      <c r="F13132" s="30" t="s">
        <v>2074</v>
      </c>
      <c r="H13132" s="30" t="s">
        <v>2077</v>
      </c>
      <c r="J13132" s="30" t="s">
        <v>2125</v>
      </c>
      <c r="L13132" s="30" t="s">
        <v>1027</v>
      </c>
      <c r="N13132" s="30" t="s">
        <v>395</v>
      </c>
      <c r="P13132" s="30" t="s">
        <v>18042</v>
      </c>
      <c r="Q13132" t="s">
        <v>621</v>
      </c>
      <c r="R13132" t="s">
        <v>917</v>
      </c>
      <c r="S13132">
        <v>39</v>
      </c>
      <c r="T13132" s="29" t="str">
        <f>HYPERLINK("https://ictv.global/ictv/proposals/2023.022P.Polerovirus_47nsp.zip","2023.022P.Polerovirus_47nsp.zip")</f>
        <v>2023.022P.Polerovirus_47nsp.zip</v>
      </c>
      <c r="U13132" s="29" t="str">
        <f>HYPERLINK("https://ictv.global/taxonomy/taxondetails?taxnode_id=202318665","ictv.global=202318665")</f>
        <v>ictv.global=202318665</v>
      </c>
    </row>
    <row r="13133" spans="1:21">
      <c r="A13133">
        <v>13132</v>
      </c>
      <c r="B13133" s="30" t="s">
        <v>1226</v>
      </c>
      <c r="D13133" s="30" t="s">
        <v>2024</v>
      </c>
      <c r="F13133" s="30" t="s">
        <v>2074</v>
      </c>
      <c r="H13133" s="30" t="s">
        <v>2077</v>
      </c>
      <c r="J13133" s="30" t="s">
        <v>2125</v>
      </c>
      <c r="L13133" s="30" t="s">
        <v>1027</v>
      </c>
      <c r="N13133" s="30" t="s">
        <v>395</v>
      </c>
      <c r="P13133" s="30" t="s">
        <v>18043</v>
      </c>
      <c r="Q13133" t="s">
        <v>621</v>
      </c>
      <c r="R13133" t="s">
        <v>917</v>
      </c>
      <c r="S13133">
        <v>39</v>
      </c>
      <c r="T13133" s="29" t="str">
        <f>HYPERLINK("https://ictv.global/ictv/proposals/2023.022P.Polerovirus_47nsp.zip","2023.022P.Polerovirus_47nsp.zip")</f>
        <v>2023.022P.Polerovirus_47nsp.zip</v>
      </c>
      <c r="U13133" s="29" t="str">
        <f>HYPERLINK("https://ictv.global/taxonomy/taxondetails?taxnode_id=202318667","ictv.global=202318667")</f>
        <v>ictv.global=202318667</v>
      </c>
    </row>
    <row r="13134" spans="1:21">
      <c r="A13134">
        <v>13133</v>
      </c>
      <c r="B13134" s="30" t="s">
        <v>1226</v>
      </c>
      <c r="D13134" s="30" t="s">
        <v>2024</v>
      </c>
      <c r="F13134" s="30" t="s">
        <v>2074</v>
      </c>
      <c r="H13134" s="30" t="s">
        <v>2077</v>
      </c>
      <c r="J13134" s="30" t="s">
        <v>2125</v>
      </c>
      <c r="L13134" s="30" t="s">
        <v>1027</v>
      </c>
      <c r="N13134" s="30" t="s">
        <v>395</v>
      </c>
      <c r="P13134" s="30" t="s">
        <v>18044</v>
      </c>
      <c r="Q13134" t="s">
        <v>621</v>
      </c>
      <c r="R13134" t="s">
        <v>917</v>
      </c>
      <c r="S13134">
        <v>39</v>
      </c>
      <c r="T13134" s="29" t="str">
        <f>HYPERLINK("https://ictv.global/ictv/proposals/2023.022P.Polerovirus_47nsp.zip","2023.022P.Polerovirus_47nsp.zip")</f>
        <v>2023.022P.Polerovirus_47nsp.zip</v>
      </c>
      <c r="U13134" s="29" t="str">
        <f>HYPERLINK("https://ictv.global/taxonomy/taxondetails?taxnode_id=202318666","ictv.global=202318666")</f>
        <v>ictv.global=202318666</v>
      </c>
    </row>
    <row r="13135" spans="1:21">
      <c r="A13135">
        <v>13134</v>
      </c>
      <c r="B13135" s="30" t="s">
        <v>1226</v>
      </c>
      <c r="D13135" s="30" t="s">
        <v>2024</v>
      </c>
      <c r="F13135" s="30" t="s">
        <v>2074</v>
      </c>
      <c r="H13135" s="30" t="s">
        <v>2077</v>
      </c>
      <c r="J13135" s="30" t="s">
        <v>2125</v>
      </c>
      <c r="L13135" s="30" t="s">
        <v>1027</v>
      </c>
      <c r="N13135" s="30" t="s">
        <v>395</v>
      </c>
      <c r="P13135" s="30" t="s">
        <v>18045</v>
      </c>
      <c r="Q13135" t="s">
        <v>621</v>
      </c>
      <c r="R13135" t="s">
        <v>918</v>
      </c>
      <c r="S13135">
        <v>39</v>
      </c>
      <c r="T13135" s="29" t="str">
        <f>HYPERLINK("https://ictv.global/ictv/proposals/2023.019P.Solemoviridae_rename_sp.zip","2023.019P.Solemoviridae_rename_sp.zip")</f>
        <v>2023.019P.Solemoviridae_rename_sp.zip</v>
      </c>
      <c r="U13135" s="29" t="str">
        <f>HYPERLINK("https://ictv.global/taxonomy/taxondetails?taxnode_id=202303792","ictv.global=202303792")</f>
        <v>ictv.global=202303792</v>
      </c>
    </row>
    <row r="13136" spans="1:21">
      <c r="A13136">
        <v>13135</v>
      </c>
      <c r="B13136" s="30" t="s">
        <v>1226</v>
      </c>
      <c r="D13136" s="30" t="s">
        <v>2024</v>
      </c>
      <c r="F13136" s="30" t="s">
        <v>2074</v>
      </c>
      <c r="H13136" s="30" t="s">
        <v>2077</v>
      </c>
      <c r="J13136" s="30" t="s">
        <v>2125</v>
      </c>
      <c r="L13136" s="30" t="s">
        <v>1027</v>
      </c>
      <c r="N13136" s="30" t="s">
        <v>395</v>
      </c>
      <c r="P13136" s="30" t="s">
        <v>18046</v>
      </c>
      <c r="Q13136" t="s">
        <v>621</v>
      </c>
      <c r="R13136" t="s">
        <v>917</v>
      </c>
      <c r="S13136">
        <v>39</v>
      </c>
      <c r="T13136" s="29" t="str">
        <f>HYPERLINK("https://ictv.global/ictv/proposals/2023.022P.Polerovirus_47nsp.zip","2023.022P.Polerovirus_47nsp.zip")</f>
        <v>2023.022P.Polerovirus_47nsp.zip</v>
      </c>
      <c r="U13136" s="29" t="str">
        <f>HYPERLINK("https://ictv.global/taxonomy/taxondetails?taxnode_id=202318668","ictv.global=202318668")</f>
        <v>ictv.global=202318668</v>
      </c>
    </row>
    <row r="13137" spans="1:21">
      <c r="A13137">
        <v>13136</v>
      </c>
      <c r="B13137" s="30" t="s">
        <v>1226</v>
      </c>
      <c r="D13137" s="30" t="s">
        <v>2024</v>
      </c>
      <c r="F13137" s="30" t="s">
        <v>2074</v>
      </c>
      <c r="H13137" s="30" t="s">
        <v>2077</v>
      </c>
      <c r="J13137" s="30" t="s">
        <v>2125</v>
      </c>
      <c r="L13137" s="30" t="s">
        <v>1027</v>
      </c>
      <c r="N13137" s="30" t="s">
        <v>258</v>
      </c>
      <c r="P13137" s="30" t="s">
        <v>259</v>
      </c>
      <c r="Q13137" t="s">
        <v>621</v>
      </c>
      <c r="R13137" t="s">
        <v>919</v>
      </c>
      <c r="S13137">
        <v>35</v>
      </c>
      <c r="T13137" s="29" t="str">
        <f>HYPERLINK("https://ictv.global/ictv/proposals/2019.006G.zip","2019.006G.zip")</f>
        <v>2019.006G.zip</v>
      </c>
      <c r="U13137" s="29" t="str">
        <f>HYPERLINK("https://ictv.global/taxonomy/taxondetails?taxnode_id=202305373","ictv.global=202305373")</f>
        <v>ictv.global=202305373</v>
      </c>
    </row>
    <row r="13138" spans="1:21">
      <c r="A13138">
        <v>13137</v>
      </c>
      <c r="B13138" s="30" t="s">
        <v>1226</v>
      </c>
      <c r="D13138" s="30" t="s">
        <v>2024</v>
      </c>
      <c r="F13138" s="30" t="s">
        <v>2074</v>
      </c>
      <c r="H13138" s="30" t="s">
        <v>2077</v>
      </c>
      <c r="J13138" s="30" t="s">
        <v>2125</v>
      </c>
      <c r="L13138" s="30" t="s">
        <v>1027</v>
      </c>
      <c r="N13138" s="30" t="s">
        <v>258</v>
      </c>
      <c r="P13138" s="30" t="s">
        <v>18047</v>
      </c>
      <c r="Q13138" t="s">
        <v>621</v>
      </c>
      <c r="R13138" t="s">
        <v>920</v>
      </c>
      <c r="S13138">
        <v>39</v>
      </c>
      <c r="T13138" s="29" t="str">
        <f>HYPERLINK("https://ictv.global/ictv/proposals/2023.019P.Solemoviridae_rename_sp.zip","2023.019P.Solemoviridae_rename_sp.zip")</f>
        <v>2023.019P.Solemoviridae_rename_sp.zip</v>
      </c>
      <c r="U13138" s="29" t="str">
        <f>HYPERLINK("https://ictv.global/taxonomy/taxondetails?taxnode_id=202305371","ictv.global=202305371")</f>
        <v>ictv.global=202305371</v>
      </c>
    </row>
    <row r="13139" spans="1:21">
      <c r="A13139">
        <v>13138</v>
      </c>
      <c r="B13139" s="30" t="s">
        <v>1226</v>
      </c>
      <c r="D13139" s="30" t="s">
        <v>2024</v>
      </c>
      <c r="F13139" s="30" t="s">
        <v>2074</v>
      </c>
      <c r="H13139" s="30" t="s">
        <v>2077</v>
      </c>
      <c r="J13139" s="30" t="s">
        <v>2125</v>
      </c>
      <c r="L13139" s="30" t="s">
        <v>1027</v>
      </c>
      <c r="N13139" s="30" t="s">
        <v>258</v>
      </c>
      <c r="P13139" s="30" t="s">
        <v>18048</v>
      </c>
      <c r="Q13139" t="s">
        <v>621</v>
      </c>
      <c r="R13139" t="s">
        <v>920</v>
      </c>
      <c r="S13139">
        <v>39</v>
      </c>
      <c r="T13139" s="29" t="str">
        <f>HYPERLINK("https://ictv.global/ictv/proposals/2023.019P.Solemoviridae_rename_sp.zip","2023.019P.Solemoviridae_rename_sp.zip")</f>
        <v>2023.019P.Solemoviridae_rename_sp.zip</v>
      </c>
      <c r="U13139" s="29" t="str">
        <f>HYPERLINK("https://ictv.global/taxonomy/taxondetails?taxnode_id=202305372","ictv.global=202305372")</f>
        <v>ictv.global=202305372</v>
      </c>
    </row>
    <row r="13140" spans="1:21">
      <c r="A13140">
        <v>13139</v>
      </c>
      <c r="B13140" s="30" t="s">
        <v>1226</v>
      </c>
      <c r="D13140" s="30" t="s">
        <v>2024</v>
      </c>
      <c r="F13140" s="30" t="s">
        <v>2074</v>
      </c>
      <c r="H13140" s="30" t="s">
        <v>2077</v>
      </c>
      <c r="J13140" s="30" t="s">
        <v>2125</v>
      </c>
      <c r="L13140" s="30" t="s">
        <v>1027</v>
      </c>
      <c r="N13140" s="30" t="s">
        <v>258</v>
      </c>
      <c r="P13140" s="30" t="s">
        <v>18049</v>
      </c>
      <c r="Q13140" t="s">
        <v>621</v>
      </c>
      <c r="R13140" t="s">
        <v>917</v>
      </c>
      <c r="S13140">
        <v>39</v>
      </c>
      <c r="T13140" s="29" t="str">
        <f>HYPERLINK("https://ictv.global/ictv/proposals/2023.021P.Sobemovirus_5nsp.zip","2023.021P.Sobemovirus_5nsp.zip")</f>
        <v>2023.021P.Sobemovirus_5nsp.zip</v>
      </c>
      <c r="U13140" s="29" t="str">
        <f>HYPERLINK("https://ictv.global/taxonomy/taxondetails?taxnode_id=202318561","ictv.global=202318561")</f>
        <v>ictv.global=202318561</v>
      </c>
    </row>
    <row r="13141" spans="1:21">
      <c r="A13141">
        <v>13140</v>
      </c>
      <c r="B13141" s="30" t="s">
        <v>1226</v>
      </c>
      <c r="D13141" s="30" t="s">
        <v>2024</v>
      </c>
      <c r="F13141" s="30" t="s">
        <v>2074</v>
      </c>
      <c r="H13141" s="30" t="s">
        <v>2077</v>
      </c>
      <c r="J13141" s="30" t="s">
        <v>2125</v>
      </c>
      <c r="L13141" s="30" t="s">
        <v>1027</v>
      </c>
      <c r="N13141" s="30" t="s">
        <v>258</v>
      </c>
      <c r="P13141" s="30" t="s">
        <v>18050</v>
      </c>
      <c r="Q13141" t="s">
        <v>621</v>
      </c>
      <c r="R13141" t="s">
        <v>920</v>
      </c>
      <c r="S13141">
        <v>39</v>
      </c>
      <c r="T13141" s="29" t="str">
        <f>HYPERLINK("https://ictv.global/ictv/proposals/2023.019P.Solemoviridae_rename_sp.zip","2023.019P.Solemoviridae_rename_sp.zip")</f>
        <v>2023.019P.Solemoviridae_rename_sp.zip</v>
      </c>
      <c r="U13141" s="29" t="str">
        <f>HYPERLINK("https://ictv.global/taxonomy/taxondetails?taxnode_id=202305374","ictv.global=202305374")</f>
        <v>ictv.global=202305374</v>
      </c>
    </row>
    <row r="13142" spans="1:21">
      <c r="A13142">
        <v>13141</v>
      </c>
      <c r="B13142" s="30" t="s">
        <v>1226</v>
      </c>
      <c r="D13142" s="30" t="s">
        <v>2024</v>
      </c>
      <c r="F13142" s="30" t="s">
        <v>2074</v>
      </c>
      <c r="H13142" s="30" t="s">
        <v>2077</v>
      </c>
      <c r="J13142" s="30" t="s">
        <v>2125</v>
      </c>
      <c r="L13142" s="30" t="s">
        <v>1027</v>
      </c>
      <c r="N13142" s="30" t="s">
        <v>258</v>
      </c>
      <c r="P13142" s="30" t="s">
        <v>18051</v>
      </c>
      <c r="Q13142" t="s">
        <v>621</v>
      </c>
      <c r="R13142" t="s">
        <v>920</v>
      </c>
      <c r="S13142">
        <v>39</v>
      </c>
      <c r="T13142" s="29" t="str">
        <f>HYPERLINK("https://ictv.global/ictv/proposals/2023.019P.Solemoviridae_rename_sp.zip","2023.019P.Solemoviridae_rename_sp.zip")</f>
        <v>2023.019P.Solemoviridae_rename_sp.zip</v>
      </c>
      <c r="U13142" s="29" t="str">
        <f>HYPERLINK("https://ictv.global/taxonomy/taxondetails?taxnode_id=202305375","ictv.global=202305375")</f>
        <v>ictv.global=202305375</v>
      </c>
    </row>
    <row r="13143" spans="1:21">
      <c r="A13143">
        <v>13142</v>
      </c>
      <c r="B13143" s="30" t="s">
        <v>1226</v>
      </c>
      <c r="D13143" s="30" t="s">
        <v>2024</v>
      </c>
      <c r="F13143" s="30" t="s">
        <v>2074</v>
      </c>
      <c r="H13143" s="30" t="s">
        <v>2077</v>
      </c>
      <c r="J13143" s="30" t="s">
        <v>2125</v>
      </c>
      <c r="L13143" s="30" t="s">
        <v>1027</v>
      </c>
      <c r="N13143" s="30" t="s">
        <v>258</v>
      </c>
      <c r="P13143" s="30" t="s">
        <v>18052</v>
      </c>
      <c r="Q13143" t="s">
        <v>621</v>
      </c>
      <c r="R13143" t="s">
        <v>920</v>
      </c>
      <c r="S13143">
        <v>39</v>
      </c>
      <c r="T13143" s="29" t="str">
        <f>HYPERLINK("https://ictv.global/ictv/proposals/2023.019P.Solemoviridae_rename_sp.zip","2023.019P.Solemoviridae_rename_sp.zip")</f>
        <v>2023.019P.Solemoviridae_rename_sp.zip</v>
      </c>
      <c r="U13143" s="29" t="str">
        <f>HYPERLINK("https://ictv.global/taxonomy/taxondetails?taxnode_id=202305376","ictv.global=202305376")</f>
        <v>ictv.global=202305376</v>
      </c>
    </row>
    <row r="13144" spans="1:21">
      <c r="A13144">
        <v>13143</v>
      </c>
      <c r="B13144" s="30" t="s">
        <v>1226</v>
      </c>
      <c r="D13144" s="30" t="s">
        <v>2024</v>
      </c>
      <c r="F13144" s="30" t="s">
        <v>2074</v>
      </c>
      <c r="H13144" s="30" t="s">
        <v>2077</v>
      </c>
      <c r="J13144" s="30" t="s">
        <v>2125</v>
      </c>
      <c r="L13144" s="30" t="s">
        <v>1027</v>
      </c>
      <c r="N13144" s="30" t="s">
        <v>258</v>
      </c>
      <c r="P13144" s="30" t="s">
        <v>18053</v>
      </c>
      <c r="Q13144" t="s">
        <v>621</v>
      </c>
      <c r="R13144" t="s">
        <v>917</v>
      </c>
      <c r="S13144">
        <v>39</v>
      </c>
      <c r="T13144" s="29" t="str">
        <f>HYPERLINK("https://ictv.global/ictv/proposals/2023.021P.Sobemovirus_5nsp.zip","2023.021P.Sobemovirus_5nsp.zip")</f>
        <v>2023.021P.Sobemovirus_5nsp.zip</v>
      </c>
      <c r="U13144" s="29" t="str">
        <f>HYPERLINK("https://ictv.global/taxonomy/taxondetails?taxnode_id=202318562","ictv.global=202318562")</f>
        <v>ictv.global=202318562</v>
      </c>
    </row>
    <row r="13145" spans="1:21">
      <c r="A13145">
        <v>13144</v>
      </c>
      <c r="B13145" s="30" t="s">
        <v>1226</v>
      </c>
      <c r="D13145" s="30" t="s">
        <v>2024</v>
      </c>
      <c r="F13145" s="30" t="s">
        <v>2074</v>
      </c>
      <c r="H13145" s="30" t="s">
        <v>2077</v>
      </c>
      <c r="J13145" s="30" t="s">
        <v>2125</v>
      </c>
      <c r="L13145" s="30" t="s">
        <v>1027</v>
      </c>
      <c r="N13145" s="30" t="s">
        <v>258</v>
      </c>
      <c r="P13145" s="30" t="s">
        <v>18054</v>
      </c>
      <c r="Q13145" t="s">
        <v>621</v>
      </c>
      <c r="R13145" t="s">
        <v>920</v>
      </c>
      <c r="S13145">
        <v>39</v>
      </c>
      <c r="T13145" s="29" t="str">
        <f>HYPERLINK("https://ictv.global/ictv/proposals/2023.019P.Solemoviridae_rename_sp.zip","2023.019P.Solemoviridae_rename_sp.zip")</f>
        <v>2023.019P.Solemoviridae_rename_sp.zip</v>
      </c>
      <c r="U13145" s="29" t="str">
        <f>HYPERLINK("https://ictv.global/taxonomy/taxondetails?taxnode_id=202309704","ictv.global=202309704")</f>
        <v>ictv.global=202309704</v>
      </c>
    </row>
    <row r="13146" spans="1:21">
      <c r="A13146">
        <v>13145</v>
      </c>
      <c r="B13146" s="30" t="s">
        <v>1226</v>
      </c>
      <c r="D13146" s="30" t="s">
        <v>2024</v>
      </c>
      <c r="F13146" s="30" t="s">
        <v>2074</v>
      </c>
      <c r="H13146" s="30" t="s">
        <v>2077</v>
      </c>
      <c r="J13146" s="30" t="s">
        <v>2125</v>
      </c>
      <c r="L13146" s="30" t="s">
        <v>1027</v>
      </c>
      <c r="N13146" s="30" t="s">
        <v>258</v>
      </c>
      <c r="P13146" s="30" t="s">
        <v>18055</v>
      </c>
      <c r="Q13146" t="s">
        <v>621</v>
      </c>
      <c r="R13146" t="s">
        <v>917</v>
      </c>
      <c r="S13146">
        <v>39</v>
      </c>
      <c r="T13146" s="29" t="str">
        <f>HYPERLINK("https://ictv.global/ictv/proposals/2023.021P.Sobemovirus_5nsp.zip","2023.021P.Sobemovirus_5nsp.zip")</f>
        <v>2023.021P.Sobemovirus_5nsp.zip</v>
      </c>
      <c r="U13146" s="29" t="str">
        <f>HYPERLINK("https://ictv.global/taxonomy/taxondetails?taxnode_id=202318563","ictv.global=202318563")</f>
        <v>ictv.global=202318563</v>
      </c>
    </row>
    <row r="13147" spans="1:21">
      <c r="A13147">
        <v>13146</v>
      </c>
      <c r="B13147" s="30" t="s">
        <v>1226</v>
      </c>
      <c r="D13147" s="30" t="s">
        <v>2024</v>
      </c>
      <c r="F13147" s="30" t="s">
        <v>2074</v>
      </c>
      <c r="H13147" s="30" t="s">
        <v>2077</v>
      </c>
      <c r="J13147" s="30" t="s">
        <v>2125</v>
      </c>
      <c r="L13147" s="30" t="s">
        <v>1027</v>
      </c>
      <c r="N13147" s="30" t="s">
        <v>258</v>
      </c>
      <c r="P13147" s="30" t="s">
        <v>18056</v>
      </c>
      <c r="Q13147" t="s">
        <v>621</v>
      </c>
      <c r="R13147" t="s">
        <v>917</v>
      </c>
      <c r="S13147">
        <v>39</v>
      </c>
      <c r="T13147" s="29" t="str">
        <f>HYPERLINK("https://ictv.global/ictv/proposals/2023.021P.Sobemovirus_5nsp.zip","2023.021P.Sobemovirus_5nsp.zip")</f>
        <v>2023.021P.Sobemovirus_5nsp.zip</v>
      </c>
      <c r="U13147" s="29" t="str">
        <f>HYPERLINK("https://ictv.global/taxonomy/taxondetails?taxnode_id=202318564","ictv.global=202318564")</f>
        <v>ictv.global=202318564</v>
      </c>
    </row>
    <row r="13148" spans="1:21">
      <c r="A13148">
        <v>13147</v>
      </c>
      <c r="B13148" s="30" t="s">
        <v>1226</v>
      </c>
      <c r="D13148" s="30" t="s">
        <v>2024</v>
      </c>
      <c r="F13148" s="30" t="s">
        <v>2074</v>
      </c>
      <c r="H13148" s="30" t="s">
        <v>2077</v>
      </c>
      <c r="J13148" s="30" t="s">
        <v>2125</v>
      </c>
      <c r="L13148" s="30" t="s">
        <v>1027</v>
      </c>
      <c r="N13148" s="30" t="s">
        <v>258</v>
      </c>
      <c r="P13148" s="30" t="s">
        <v>18057</v>
      </c>
      <c r="Q13148" t="s">
        <v>621</v>
      </c>
      <c r="R13148" t="s">
        <v>920</v>
      </c>
      <c r="S13148">
        <v>39</v>
      </c>
      <c r="T13148" s="29" t="str">
        <f t="shared" ref="T13148:T13155" si="546">HYPERLINK("https://ictv.global/ictv/proposals/2023.019P.Solemoviridae_rename_sp.zip","2023.019P.Solemoviridae_rename_sp.zip")</f>
        <v>2023.019P.Solemoviridae_rename_sp.zip</v>
      </c>
      <c r="U13148" s="29" t="str">
        <f>HYPERLINK("https://ictv.global/taxonomy/taxondetails?taxnode_id=202305377","ictv.global=202305377")</f>
        <v>ictv.global=202305377</v>
      </c>
    </row>
    <row r="13149" spans="1:21">
      <c r="A13149">
        <v>13148</v>
      </c>
      <c r="B13149" s="30" t="s">
        <v>1226</v>
      </c>
      <c r="D13149" s="30" t="s">
        <v>2024</v>
      </c>
      <c r="F13149" s="30" t="s">
        <v>2074</v>
      </c>
      <c r="H13149" s="30" t="s">
        <v>2077</v>
      </c>
      <c r="J13149" s="30" t="s">
        <v>2125</v>
      </c>
      <c r="L13149" s="30" t="s">
        <v>1027</v>
      </c>
      <c r="N13149" s="30" t="s">
        <v>258</v>
      </c>
      <c r="P13149" s="30" t="s">
        <v>18058</v>
      </c>
      <c r="Q13149" t="s">
        <v>621</v>
      </c>
      <c r="R13149" t="s">
        <v>920</v>
      </c>
      <c r="S13149">
        <v>39</v>
      </c>
      <c r="T13149" s="29" t="str">
        <f t="shared" si="546"/>
        <v>2023.019P.Solemoviridae_rename_sp.zip</v>
      </c>
      <c r="U13149" s="29" t="str">
        <f>HYPERLINK("https://ictv.global/taxonomy/taxondetails?taxnode_id=202305380","ictv.global=202305380")</f>
        <v>ictv.global=202305380</v>
      </c>
    </row>
    <row r="13150" spans="1:21">
      <c r="A13150">
        <v>13149</v>
      </c>
      <c r="B13150" s="30" t="s">
        <v>1226</v>
      </c>
      <c r="D13150" s="30" t="s">
        <v>2024</v>
      </c>
      <c r="F13150" s="30" t="s">
        <v>2074</v>
      </c>
      <c r="H13150" s="30" t="s">
        <v>2077</v>
      </c>
      <c r="J13150" s="30" t="s">
        <v>2125</v>
      </c>
      <c r="L13150" s="30" t="s">
        <v>1027</v>
      </c>
      <c r="N13150" s="30" t="s">
        <v>258</v>
      </c>
      <c r="P13150" s="30" t="s">
        <v>18059</v>
      </c>
      <c r="Q13150" t="s">
        <v>621</v>
      </c>
      <c r="R13150" t="s">
        <v>920</v>
      </c>
      <c r="S13150">
        <v>39</v>
      </c>
      <c r="T13150" s="29" t="str">
        <f t="shared" si="546"/>
        <v>2023.019P.Solemoviridae_rename_sp.zip</v>
      </c>
      <c r="U13150" s="29" t="str">
        <f>HYPERLINK("https://ictv.global/taxonomy/taxondetails?taxnode_id=202305379","ictv.global=202305379")</f>
        <v>ictv.global=202305379</v>
      </c>
    </row>
    <row r="13151" spans="1:21">
      <c r="A13151">
        <v>13150</v>
      </c>
      <c r="B13151" s="30" t="s">
        <v>1226</v>
      </c>
      <c r="D13151" s="30" t="s">
        <v>2024</v>
      </c>
      <c r="F13151" s="30" t="s">
        <v>2074</v>
      </c>
      <c r="H13151" s="30" t="s">
        <v>2077</v>
      </c>
      <c r="J13151" s="30" t="s">
        <v>2125</v>
      </c>
      <c r="L13151" s="30" t="s">
        <v>1027</v>
      </c>
      <c r="N13151" s="30" t="s">
        <v>258</v>
      </c>
      <c r="P13151" s="30" t="s">
        <v>18060</v>
      </c>
      <c r="Q13151" t="s">
        <v>621</v>
      </c>
      <c r="R13151" t="s">
        <v>920</v>
      </c>
      <c r="S13151">
        <v>39</v>
      </c>
      <c r="T13151" s="29" t="str">
        <f t="shared" si="546"/>
        <v>2023.019P.Solemoviridae_rename_sp.zip</v>
      </c>
      <c r="U13151" s="29" t="str">
        <f>HYPERLINK("https://ictv.global/taxonomy/taxondetails?taxnode_id=202305378","ictv.global=202305378")</f>
        <v>ictv.global=202305378</v>
      </c>
    </row>
    <row r="13152" spans="1:21">
      <c r="A13152">
        <v>13151</v>
      </c>
      <c r="B13152" s="30" t="s">
        <v>1226</v>
      </c>
      <c r="D13152" s="30" t="s">
        <v>2024</v>
      </c>
      <c r="F13152" s="30" t="s">
        <v>2074</v>
      </c>
      <c r="H13152" s="30" t="s">
        <v>2077</v>
      </c>
      <c r="J13152" s="30" t="s">
        <v>2125</v>
      </c>
      <c r="L13152" s="30" t="s">
        <v>1027</v>
      </c>
      <c r="N13152" s="30" t="s">
        <v>258</v>
      </c>
      <c r="P13152" s="30" t="s">
        <v>18061</v>
      </c>
      <c r="Q13152" t="s">
        <v>621</v>
      </c>
      <c r="R13152" t="s">
        <v>920</v>
      </c>
      <c r="S13152">
        <v>39</v>
      </c>
      <c r="T13152" s="29" t="str">
        <f t="shared" si="546"/>
        <v>2023.019P.Solemoviridae_rename_sp.zip</v>
      </c>
      <c r="U13152" s="29" t="str">
        <f>HYPERLINK("https://ictv.global/taxonomy/taxondetails?taxnode_id=202305383","ictv.global=202305383")</f>
        <v>ictv.global=202305383</v>
      </c>
    </row>
    <row r="13153" spans="1:21">
      <c r="A13153">
        <v>13152</v>
      </c>
      <c r="B13153" s="30" t="s">
        <v>1226</v>
      </c>
      <c r="D13153" s="30" t="s">
        <v>2024</v>
      </c>
      <c r="F13153" s="30" t="s">
        <v>2074</v>
      </c>
      <c r="H13153" s="30" t="s">
        <v>2077</v>
      </c>
      <c r="J13153" s="30" t="s">
        <v>2125</v>
      </c>
      <c r="L13153" s="30" t="s">
        <v>1027</v>
      </c>
      <c r="N13153" s="30" t="s">
        <v>258</v>
      </c>
      <c r="P13153" s="30" t="s">
        <v>18062</v>
      </c>
      <c r="Q13153" t="s">
        <v>621</v>
      </c>
      <c r="R13153" t="s">
        <v>920</v>
      </c>
      <c r="S13153">
        <v>39</v>
      </c>
      <c r="T13153" s="29" t="str">
        <f t="shared" si="546"/>
        <v>2023.019P.Solemoviridae_rename_sp.zip</v>
      </c>
      <c r="U13153" s="29" t="str">
        <f>HYPERLINK("https://ictv.global/taxonomy/taxondetails?taxnode_id=202305387","ictv.global=202305387")</f>
        <v>ictv.global=202305387</v>
      </c>
    </row>
    <row r="13154" spans="1:21">
      <c r="A13154">
        <v>13153</v>
      </c>
      <c r="B13154" s="30" t="s">
        <v>1226</v>
      </c>
      <c r="D13154" s="30" t="s">
        <v>2024</v>
      </c>
      <c r="F13154" s="30" t="s">
        <v>2074</v>
      </c>
      <c r="H13154" s="30" t="s">
        <v>2077</v>
      </c>
      <c r="J13154" s="30" t="s">
        <v>2125</v>
      </c>
      <c r="L13154" s="30" t="s">
        <v>1027</v>
      </c>
      <c r="N13154" s="30" t="s">
        <v>258</v>
      </c>
      <c r="P13154" s="30" t="s">
        <v>18063</v>
      </c>
      <c r="Q13154" t="s">
        <v>621</v>
      </c>
      <c r="R13154" t="s">
        <v>920</v>
      </c>
      <c r="S13154">
        <v>39</v>
      </c>
      <c r="T13154" s="29" t="str">
        <f t="shared" si="546"/>
        <v>2023.019P.Solemoviridae_rename_sp.zip</v>
      </c>
      <c r="U13154" s="29" t="str">
        <f>HYPERLINK("https://ictv.global/taxonomy/taxondetails?taxnode_id=202305384","ictv.global=202305384")</f>
        <v>ictv.global=202305384</v>
      </c>
    </row>
    <row r="13155" spans="1:21">
      <c r="A13155">
        <v>13154</v>
      </c>
      <c r="B13155" s="30" t="s">
        <v>1226</v>
      </c>
      <c r="D13155" s="30" t="s">
        <v>2024</v>
      </c>
      <c r="F13155" s="30" t="s">
        <v>2074</v>
      </c>
      <c r="H13155" s="30" t="s">
        <v>2077</v>
      </c>
      <c r="J13155" s="30" t="s">
        <v>2125</v>
      </c>
      <c r="L13155" s="30" t="s">
        <v>1027</v>
      </c>
      <c r="N13155" s="30" t="s">
        <v>258</v>
      </c>
      <c r="P13155" s="30" t="s">
        <v>18064</v>
      </c>
      <c r="Q13155" t="s">
        <v>621</v>
      </c>
      <c r="R13155" t="s">
        <v>920</v>
      </c>
      <c r="S13155">
        <v>39</v>
      </c>
      <c r="T13155" s="29" t="str">
        <f t="shared" si="546"/>
        <v>2023.019P.Solemoviridae_rename_sp.zip</v>
      </c>
      <c r="U13155" s="29" t="str">
        <f>HYPERLINK("https://ictv.global/taxonomy/taxondetails?taxnode_id=202305381","ictv.global=202305381")</f>
        <v>ictv.global=202305381</v>
      </c>
    </row>
    <row r="13156" spans="1:21">
      <c r="A13156">
        <v>13155</v>
      </c>
      <c r="B13156" s="30" t="s">
        <v>1226</v>
      </c>
      <c r="D13156" s="30" t="s">
        <v>2024</v>
      </c>
      <c r="F13156" s="30" t="s">
        <v>2074</v>
      </c>
      <c r="H13156" s="30" t="s">
        <v>2077</v>
      </c>
      <c r="J13156" s="30" t="s">
        <v>2125</v>
      </c>
      <c r="L13156" s="30" t="s">
        <v>1027</v>
      </c>
      <c r="N13156" s="30" t="s">
        <v>258</v>
      </c>
      <c r="P13156" s="30" t="s">
        <v>11136</v>
      </c>
      <c r="Q13156" t="s">
        <v>621</v>
      </c>
      <c r="R13156" t="s">
        <v>917</v>
      </c>
      <c r="S13156">
        <v>37</v>
      </c>
      <c r="T13156" s="29" t="str">
        <f>HYPERLINK("https://ictv.global/ictv/proposals/2021.009P.R.Sobemovirus_1ns.zip","2021.009P.R.Sobemovirus_1ns.zip")</f>
        <v>2021.009P.R.Sobemovirus_1ns.zip</v>
      </c>
      <c r="U13156" s="29" t="str">
        <f>HYPERLINK("https://ictv.global/taxonomy/taxondetails?taxnode_id=202313863","ictv.global=202313863")</f>
        <v>ictv.global=202313863</v>
      </c>
    </row>
    <row r="13157" spans="1:21">
      <c r="A13157">
        <v>13156</v>
      </c>
      <c r="B13157" s="30" t="s">
        <v>1226</v>
      </c>
      <c r="D13157" s="30" t="s">
        <v>2024</v>
      </c>
      <c r="F13157" s="30" t="s">
        <v>2074</v>
      </c>
      <c r="H13157" s="30" t="s">
        <v>2077</v>
      </c>
      <c r="J13157" s="30" t="s">
        <v>2125</v>
      </c>
      <c r="L13157" s="30" t="s">
        <v>1027</v>
      </c>
      <c r="N13157" s="30" t="s">
        <v>258</v>
      </c>
      <c r="P13157" s="30" t="s">
        <v>18065</v>
      </c>
      <c r="Q13157" t="s">
        <v>621</v>
      </c>
      <c r="R13157" t="s">
        <v>920</v>
      </c>
      <c r="S13157">
        <v>39</v>
      </c>
      <c r="T13157" s="29" t="str">
        <f>HYPERLINK("https://ictv.global/ictv/proposals/2023.019P.Solemoviridae_rename_sp.zip","2023.019P.Solemoviridae_rename_sp.zip")</f>
        <v>2023.019P.Solemoviridae_rename_sp.zip</v>
      </c>
      <c r="U13157" s="29" t="str">
        <f>HYPERLINK("https://ictv.global/taxonomy/taxondetails?taxnode_id=202305382","ictv.global=202305382")</f>
        <v>ictv.global=202305382</v>
      </c>
    </row>
    <row r="13158" spans="1:21">
      <c r="A13158">
        <v>13157</v>
      </c>
      <c r="B13158" s="30" t="s">
        <v>1226</v>
      </c>
      <c r="D13158" s="30" t="s">
        <v>2024</v>
      </c>
      <c r="F13158" s="30" t="s">
        <v>2074</v>
      </c>
      <c r="H13158" s="30" t="s">
        <v>2077</v>
      </c>
      <c r="J13158" s="30" t="s">
        <v>2125</v>
      </c>
      <c r="L13158" s="30" t="s">
        <v>1027</v>
      </c>
      <c r="N13158" s="30" t="s">
        <v>258</v>
      </c>
      <c r="P13158" s="30" t="s">
        <v>18066</v>
      </c>
      <c r="Q13158" t="s">
        <v>621</v>
      </c>
      <c r="R13158" t="s">
        <v>920</v>
      </c>
      <c r="S13158">
        <v>39</v>
      </c>
      <c r="T13158" s="29" t="str">
        <f>HYPERLINK("https://ictv.global/ictv/proposals/2023.019P.Solemoviridae_rename_sp.zip","2023.019P.Solemoviridae_rename_sp.zip")</f>
        <v>2023.019P.Solemoviridae_rename_sp.zip</v>
      </c>
      <c r="U13158" s="29" t="str">
        <f>HYPERLINK("https://ictv.global/taxonomy/taxondetails?taxnode_id=202305385","ictv.global=202305385")</f>
        <v>ictv.global=202305385</v>
      </c>
    </row>
    <row r="13159" spans="1:21">
      <c r="A13159">
        <v>13158</v>
      </c>
      <c r="B13159" s="30" t="s">
        <v>1226</v>
      </c>
      <c r="D13159" s="30" t="s">
        <v>2024</v>
      </c>
      <c r="F13159" s="30" t="s">
        <v>2074</v>
      </c>
      <c r="H13159" s="30" t="s">
        <v>2077</v>
      </c>
      <c r="J13159" s="30" t="s">
        <v>2125</v>
      </c>
      <c r="L13159" s="30" t="s">
        <v>1027</v>
      </c>
      <c r="N13159" s="30" t="s">
        <v>258</v>
      </c>
      <c r="P13159" s="30" t="s">
        <v>18067</v>
      </c>
      <c r="Q13159" t="s">
        <v>621</v>
      </c>
      <c r="R13159" t="s">
        <v>920</v>
      </c>
      <c r="S13159">
        <v>39</v>
      </c>
      <c r="T13159" s="29" t="str">
        <f>HYPERLINK("https://ictv.global/ictv/proposals/2023.019P.Solemoviridae_rename_sp.zip","2023.019P.Solemoviridae_rename_sp.zip")</f>
        <v>2023.019P.Solemoviridae_rename_sp.zip</v>
      </c>
      <c r="U13159" s="29" t="str">
        <f>HYPERLINK("https://ictv.global/taxonomy/taxondetails?taxnode_id=202305386","ictv.global=202305386")</f>
        <v>ictv.global=202305386</v>
      </c>
    </row>
    <row r="13160" spans="1:21">
      <c r="A13160">
        <v>13159</v>
      </c>
      <c r="B13160" s="30" t="s">
        <v>1226</v>
      </c>
      <c r="D13160" s="30" t="s">
        <v>2024</v>
      </c>
      <c r="F13160" s="30" t="s">
        <v>2074</v>
      </c>
      <c r="H13160" s="30" t="s">
        <v>2077</v>
      </c>
      <c r="J13160" s="30" t="s">
        <v>2125</v>
      </c>
      <c r="L13160" s="30" t="s">
        <v>1027</v>
      </c>
      <c r="N13160" s="30" t="s">
        <v>258</v>
      </c>
      <c r="P13160" s="30" t="s">
        <v>18068</v>
      </c>
      <c r="Q13160" t="s">
        <v>621</v>
      </c>
      <c r="R13160" t="s">
        <v>920</v>
      </c>
      <c r="S13160">
        <v>39</v>
      </c>
      <c r="T13160" s="29" t="str">
        <f>HYPERLINK("https://ictv.global/ictv/proposals/2023.019P.Solemoviridae_rename_sp.zip","2023.019P.Solemoviridae_rename_sp.zip")</f>
        <v>2023.019P.Solemoviridae_rename_sp.zip</v>
      </c>
      <c r="U13160" s="29" t="str">
        <f>HYPERLINK("https://ictv.global/taxonomy/taxondetails?taxnode_id=202305388","ictv.global=202305388")</f>
        <v>ictv.global=202305388</v>
      </c>
    </row>
    <row r="13161" spans="1:21">
      <c r="A13161">
        <v>13160</v>
      </c>
      <c r="B13161" s="30" t="s">
        <v>1226</v>
      </c>
      <c r="D13161" s="30" t="s">
        <v>2024</v>
      </c>
      <c r="F13161" s="30" t="s">
        <v>2074</v>
      </c>
      <c r="H13161" s="30" t="s">
        <v>2077</v>
      </c>
      <c r="J13161" s="30" t="s">
        <v>2125</v>
      </c>
      <c r="L13161" s="30" t="s">
        <v>1027</v>
      </c>
      <c r="N13161" s="30" t="s">
        <v>258</v>
      </c>
      <c r="P13161" s="30" t="s">
        <v>18069</v>
      </c>
      <c r="Q13161" t="s">
        <v>621</v>
      </c>
      <c r="R13161" t="s">
        <v>920</v>
      </c>
      <c r="S13161">
        <v>39</v>
      </c>
      <c r="T13161" s="29" t="str">
        <f>HYPERLINK("https://ictv.global/ictv/proposals/2023.019P.Solemoviridae_rename_sp.zip","2023.019P.Solemoviridae_rename_sp.zip")</f>
        <v>2023.019P.Solemoviridae_rename_sp.zip</v>
      </c>
      <c r="U13161" s="29" t="str">
        <f>HYPERLINK("https://ictv.global/taxonomy/taxondetails?taxnode_id=202305389","ictv.global=202305389")</f>
        <v>ictv.global=202305389</v>
      </c>
    </row>
    <row r="13162" spans="1:21">
      <c r="A13162">
        <v>13161</v>
      </c>
      <c r="B13162" s="30" t="s">
        <v>1226</v>
      </c>
      <c r="D13162" s="30" t="s">
        <v>2024</v>
      </c>
      <c r="F13162" s="30" t="s">
        <v>2074</v>
      </c>
      <c r="H13162" s="30" t="s">
        <v>2077</v>
      </c>
      <c r="J13162" s="30" t="s">
        <v>2125</v>
      </c>
      <c r="L13162" s="30" t="s">
        <v>1027</v>
      </c>
      <c r="N13162" s="30" t="s">
        <v>258</v>
      </c>
      <c r="P13162" s="30" t="s">
        <v>18070</v>
      </c>
      <c r="Q13162" t="s">
        <v>621</v>
      </c>
      <c r="R13162" t="s">
        <v>917</v>
      </c>
      <c r="S13162">
        <v>39</v>
      </c>
      <c r="T13162" s="29" t="str">
        <f>HYPERLINK("https://ictv.global/ictv/proposals/2023.021P.Sobemovirus_5nsp.zip","2023.021P.Sobemovirus_5nsp.zip")</f>
        <v>2023.021P.Sobemovirus_5nsp.zip</v>
      </c>
      <c r="U13162" s="29" t="str">
        <f>HYPERLINK("https://ictv.global/taxonomy/taxondetails?taxnode_id=202318565","ictv.global=202318565")</f>
        <v>ictv.global=202318565</v>
      </c>
    </row>
    <row r="13163" spans="1:21">
      <c r="A13163">
        <v>13162</v>
      </c>
      <c r="B13163" s="30" t="s">
        <v>1226</v>
      </c>
      <c r="D13163" s="30" t="s">
        <v>2024</v>
      </c>
      <c r="F13163" s="30" t="s">
        <v>2074</v>
      </c>
      <c r="H13163" s="30" t="s">
        <v>2126</v>
      </c>
      <c r="J13163" s="30" t="s">
        <v>2127</v>
      </c>
      <c r="L13163" s="30" t="s">
        <v>161</v>
      </c>
      <c r="N13163" s="30" t="s">
        <v>2128</v>
      </c>
      <c r="P13163" s="30" t="s">
        <v>18071</v>
      </c>
      <c r="Q13163" t="s">
        <v>621</v>
      </c>
      <c r="R13163" t="s">
        <v>920</v>
      </c>
      <c r="S13163">
        <v>39</v>
      </c>
      <c r="T13163" s="29" t="str">
        <f t="shared" ref="T13163:T13182" si="547">HYPERLINK("https://ictv.global/ictv/proposals/2023.013P.Potyviridae_rename_sp.zip","2023.013P.Potyviridae_rename_sp.zip")</f>
        <v>2023.013P.Potyviridae_rename_sp.zip</v>
      </c>
      <c r="U13163" s="29" t="str">
        <f>HYPERLINK("https://ictv.global/taxonomy/taxondetails?taxnode_id=202307457","ictv.global=202307457")</f>
        <v>ictv.global=202307457</v>
      </c>
    </row>
    <row r="13164" spans="1:21">
      <c r="A13164">
        <v>13163</v>
      </c>
      <c r="B13164" s="30" t="s">
        <v>1226</v>
      </c>
      <c r="D13164" s="30" t="s">
        <v>2024</v>
      </c>
      <c r="F13164" s="30" t="s">
        <v>2074</v>
      </c>
      <c r="H13164" s="30" t="s">
        <v>2126</v>
      </c>
      <c r="J13164" s="30" t="s">
        <v>2127</v>
      </c>
      <c r="L13164" s="30" t="s">
        <v>161</v>
      </c>
      <c r="N13164" s="30" t="s">
        <v>2128</v>
      </c>
      <c r="P13164" s="30" t="s">
        <v>18072</v>
      </c>
      <c r="Q13164" t="s">
        <v>621</v>
      </c>
      <c r="R13164" t="s">
        <v>920</v>
      </c>
      <c r="S13164">
        <v>39</v>
      </c>
      <c r="T13164" s="29" t="str">
        <f t="shared" si="547"/>
        <v>2023.013P.Potyviridae_rename_sp.zip</v>
      </c>
      <c r="U13164" s="29" t="str">
        <f>HYPERLINK("https://ictv.global/taxonomy/taxondetails?taxnode_id=202307456","ictv.global=202307456")</f>
        <v>ictv.global=202307456</v>
      </c>
    </row>
    <row r="13165" spans="1:21">
      <c r="A13165">
        <v>13164</v>
      </c>
      <c r="B13165" s="30" t="s">
        <v>1226</v>
      </c>
      <c r="D13165" s="30" t="s">
        <v>2024</v>
      </c>
      <c r="F13165" s="30" t="s">
        <v>2074</v>
      </c>
      <c r="H13165" s="30" t="s">
        <v>2126</v>
      </c>
      <c r="J13165" s="30" t="s">
        <v>2127</v>
      </c>
      <c r="L13165" s="30" t="s">
        <v>161</v>
      </c>
      <c r="N13165" s="30" t="s">
        <v>1018</v>
      </c>
      <c r="P13165" s="30" t="s">
        <v>18073</v>
      </c>
      <c r="Q13165" t="s">
        <v>621</v>
      </c>
      <c r="R13165" t="s">
        <v>920</v>
      </c>
      <c r="S13165">
        <v>39</v>
      </c>
      <c r="T13165" s="29" t="str">
        <f t="shared" si="547"/>
        <v>2023.013P.Potyviridae_rename_sp.zip</v>
      </c>
      <c r="U13165" s="29" t="str">
        <f>HYPERLINK("https://ictv.global/taxonomy/taxondetails?taxnode_id=202305915","ictv.global=202305915")</f>
        <v>ictv.global=202305915</v>
      </c>
    </row>
    <row r="13166" spans="1:21">
      <c r="A13166">
        <v>13165</v>
      </c>
      <c r="B13166" s="30" t="s">
        <v>1226</v>
      </c>
      <c r="D13166" s="30" t="s">
        <v>2024</v>
      </c>
      <c r="F13166" s="30" t="s">
        <v>2074</v>
      </c>
      <c r="H13166" s="30" t="s">
        <v>2126</v>
      </c>
      <c r="J13166" s="30" t="s">
        <v>2127</v>
      </c>
      <c r="L13166" s="30" t="s">
        <v>161</v>
      </c>
      <c r="N13166" s="30" t="s">
        <v>166</v>
      </c>
      <c r="P13166" s="30" t="s">
        <v>18074</v>
      </c>
      <c r="Q13166" t="s">
        <v>621</v>
      </c>
      <c r="R13166" t="s">
        <v>920</v>
      </c>
      <c r="S13166">
        <v>39</v>
      </c>
      <c r="T13166" s="29" t="str">
        <f t="shared" si="547"/>
        <v>2023.013P.Potyviridae_rename_sp.zip</v>
      </c>
      <c r="U13166" s="29" t="str">
        <f>HYPERLINK("https://ictv.global/taxonomy/taxondetails?taxnode_id=202304534","ictv.global=202304534")</f>
        <v>ictv.global=202304534</v>
      </c>
    </row>
    <row r="13167" spans="1:21">
      <c r="A13167">
        <v>13166</v>
      </c>
      <c r="B13167" s="30" t="s">
        <v>1226</v>
      </c>
      <c r="D13167" s="30" t="s">
        <v>2024</v>
      </c>
      <c r="F13167" s="30" t="s">
        <v>2074</v>
      </c>
      <c r="H13167" s="30" t="s">
        <v>2126</v>
      </c>
      <c r="J13167" s="30" t="s">
        <v>2127</v>
      </c>
      <c r="L13167" s="30" t="s">
        <v>161</v>
      </c>
      <c r="N13167" s="30" t="s">
        <v>162</v>
      </c>
      <c r="P13167" s="30" t="s">
        <v>18075</v>
      </c>
      <c r="Q13167" t="s">
        <v>621</v>
      </c>
      <c r="R13167" t="s">
        <v>920</v>
      </c>
      <c r="S13167">
        <v>39</v>
      </c>
      <c r="T13167" s="29" t="str">
        <f t="shared" si="547"/>
        <v>2023.013P.Potyviridae_rename_sp.zip</v>
      </c>
      <c r="U13167" s="29" t="str">
        <f>HYPERLINK("https://ictv.global/taxonomy/taxondetails?taxnode_id=202304538","ictv.global=202304538")</f>
        <v>ictv.global=202304538</v>
      </c>
    </row>
    <row r="13168" spans="1:21">
      <c r="A13168">
        <v>13167</v>
      </c>
      <c r="B13168" s="30" t="s">
        <v>1226</v>
      </c>
      <c r="D13168" s="30" t="s">
        <v>2024</v>
      </c>
      <c r="F13168" s="30" t="s">
        <v>2074</v>
      </c>
      <c r="H13168" s="30" t="s">
        <v>2126</v>
      </c>
      <c r="J13168" s="30" t="s">
        <v>2127</v>
      </c>
      <c r="L13168" s="30" t="s">
        <v>161</v>
      </c>
      <c r="N13168" s="30" t="s">
        <v>162</v>
      </c>
      <c r="P13168" s="30" t="s">
        <v>18076</v>
      </c>
      <c r="Q13168" t="s">
        <v>621</v>
      </c>
      <c r="R13168" t="s">
        <v>920</v>
      </c>
      <c r="S13168">
        <v>39</v>
      </c>
      <c r="T13168" s="29" t="str">
        <f t="shared" si="547"/>
        <v>2023.013P.Potyviridae_rename_sp.zip</v>
      </c>
      <c r="U13168" s="29" t="str">
        <f>HYPERLINK("https://ictv.global/taxonomy/taxondetails?taxnode_id=202304536","ictv.global=202304536")</f>
        <v>ictv.global=202304536</v>
      </c>
    </row>
    <row r="13169" spans="1:21">
      <c r="A13169">
        <v>13168</v>
      </c>
      <c r="B13169" s="30" t="s">
        <v>1226</v>
      </c>
      <c r="D13169" s="30" t="s">
        <v>2024</v>
      </c>
      <c r="F13169" s="30" t="s">
        <v>2074</v>
      </c>
      <c r="H13169" s="30" t="s">
        <v>2126</v>
      </c>
      <c r="J13169" s="30" t="s">
        <v>2127</v>
      </c>
      <c r="L13169" s="30" t="s">
        <v>161</v>
      </c>
      <c r="N13169" s="30" t="s">
        <v>162</v>
      </c>
      <c r="P13169" s="30" t="s">
        <v>18077</v>
      </c>
      <c r="Q13169" t="s">
        <v>621</v>
      </c>
      <c r="R13169" t="s">
        <v>920</v>
      </c>
      <c r="S13169">
        <v>39</v>
      </c>
      <c r="T13169" s="29" t="str">
        <f t="shared" si="547"/>
        <v>2023.013P.Potyviridae_rename_sp.zip</v>
      </c>
      <c r="U13169" s="29" t="str">
        <f>HYPERLINK("https://ictv.global/taxonomy/taxondetails?taxnode_id=202304537","ictv.global=202304537")</f>
        <v>ictv.global=202304537</v>
      </c>
    </row>
    <row r="13170" spans="1:21">
      <c r="A13170">
        <v>13169</v>
      </c>
      <c r="B13170" s="30" t="s">
        <v>1226</v>
      </c>
      <c r="D13170" s="30" t="s">
        <v>2024</v>
      </c>
      <c r="F13170" s="30" t="s">
        <v>2074</v>
      </c>
      <c r="H13170" s="30" t="s">
        <v>2126</v>
      </c>
      <c r="J13170" s="30" t="s">
        <v>2127</v>
      </c>
      <c r="L13170" s="30" t="s">
        <v>161</v>
      </c>
      <c r="N13170" s="30" t="s">
        <v>162</v>
      </c>
      <c r="P13170" s="30" t="s">
        <v>18078</v>
      </c>
      <c r="Q13170" t="s">
        <v>621</v>
      </c>
      <c r="R13170" t="s">
        <v>920</v>
      </c>
      <c r="S13170">
        <v>39</v>
      </c>
      <c r="T13170" s="29" t="str">
        <f t="shared" si="547"/>
        <v>2023.013P.Potyviridae_rename_sp.zip</v>
      </c>
      <c r="U13170" s="29" t="str">
        <f>HYPERLINK("https://ictv.global/taxonomy/taxondetails?taxnode_id=202304539","ictv.global=202304539")</f>
        <v>ictv.global=202304539</v>
      </c>
    </row>
    <row r="13171" spans="1:21">
      <c r="A13171">
        <v>13170</v>
      </c>
      <c r="B13171" s="30" t="s">
        <v>1226</v>
      </c>
      <c r="D13171" s="30" t="s">
        <v>2024</v>
      </c>
      <c r="F13171" s="30" t="s">
        <v>2074</v>
      </c>
      <c r="H13171" s="30" t="s">
        <v>2126</v>
      </c>
      <c r="J13171" s="30" t="s">
        <v>2127</v>
      </c>
      <c r="L13171" s="30" t="s">
        <v>161</v>
      </c>
      <c r="N13171" s="30" t="s">
        <v>162</v>
      </c>
      <c r="P13171" s="30" t="s">
        <v>18079</v>
      </c>
      <c r="Q13171" t="s">
        <v>621</v>
      </c>
      <c r="R13171" t="s">
        <v>920</v>
      </c>
      <c r="S13171">
        <v>39</v>
      </c>
      <c r="T13171" s="29" t="str">
        <f t="shared" si="547"/>
        <v>2023.013P.Potyviridae_rename_sp.zip</v>
      </c>
      <c r="U13171" s="29" t="str">
        <f>HYPERLINK("https://ictv.global/taxonomy/taxondetails?taxnode_id=202304540","ictv.global=202304540")</f>
        <v>ictv.global=202304540</v>
      </c>
    </row>
    <row r="13172" spans="1:21">
      <c r="A13172">
        <v>13171</v>
      </c>
      <c r="B13172" s="30" t="s">
        <v>1226</v>
      </c>
      <c r="D13172" s="30" t="s">
        <v>2024</v>
      </c>
      <c r="F13172" s="30" t="s">
        <v>2074</v>
      </c>
      <c r="H13172" s="30" t="s">
        <v>2126</v>
      </c>
      <c r="J13172" s="30" t="s">
        <v>2127</v>
      </c>
      <c r="L13172" s="30" t="s">
        <v>161</v>
      </c>
      <c r="N13172" s="30" t="s">
        <v>162</v>
      </c>
      <c r="P13172" s="30" t="s">
        <v>18080</v>
      </c>
      <c r="Q13172" t="s">
        <v>621</v>
      </c>
      <c r="R13172" t="s">
        <v>920</v>
      </c>
      <c r="S13172">
        <v>39</v>
      </c>
      <c r="T13172" s="29" t="str">
        <f t="shared" si="547"/>
        <v>2023.013P.Potyviridae_rename_sp.zip</v>
      </c>
      <c r="U13172" s="29" t="str">
        <f>HYPERLINK("https://ictv.global/taxonomy/taxondetails?taxnode_id=202304541","ictv.global=202304541")</f>
        <v>ictv.global=202304541</v>
      </c>
    </row>
    <row r="13173" spans="1:21">
      <c r="A13173">
        <v>13172</v>
      </c>
      <c r="B13173" s="30" t="s">
        <v>1226</v>
      </c>
      <c r="D13173" s="30" t="s">
        <v>2024</v>
      </c>
      <c r="F13173" s="30" t="s">
        <v>2074</v>
      </c>
      <c r="H13173" s="30" t="s">
        <v>2126</v>
      </c>
      <c r="J13173" s="30" t="s">
        <v>2127</v>
      </c>
      <c r="L13173" s="30" t="s">
        <v>161</v>
      </c>
      <c r="N13173" s="30" t="s">
        <v>2129</v>
      </c>
      <c r="P13173" s="30" t="s">
        <v>18081</v>
      </c>
      <c r="Q13173" t="s">
        <v>621</v>
      </c>
      <c r="R13173" t="s">
        <v>920</v>
      </c>
      <c r="S13173">
        <v>39</v>
      </c>
      <c r="T13173" s="29" t="str">
        <f t="shared" si="547"/>
        <v>2023.013P.Potyviridae_rename_sp.zip</v>
      </c>
      <c r="U13173" s="29" t="str">
        <f>HYPERLINK("https://ictv.global/taxonomy/taxondetails?taxnode_id=202307463","ictv.global=202307463")</f>
        <v>ictv.global=202307463</v>
      </c>
    </row>
    <row r="13174" spans="1:21">
      <c r="A13174">
        <v>13173</v>
      </c>
      <c r="B13174" s="30" t="s">
        <v>1226</v>
      </c>
      <c r="D13174" s="30" t="s">
        <v>2024</v>
      </c>
      <c r="F13174" s="30" t="s">
        <v>2074</v>
      </c>
      <c r="H13174" s="30" t="s">
        <v>2126</v>
      </c>
      <c r="J13174" s="30" t="s">
        <v>2127</v>
      </c>
      <c r="L13174" s="30" t="s">
        <v>161</v>
      </c>
      <c r="N13174" s="30" t="s">
        <v>228</v>
      </c>
      <c r="P13174" s="30" t="s">
        <v>18082</v>
      </c>
      <c r="Q13174" t="s">
        <v>621</v>
      </c>
      <c r="R13174" t="s">
        <v>920</v>
      </c>
      <c r="S13174">
        <v>39</v>
      </c>
      <c r="T13174" s="29" t="str">
        <f t="shared" si="547"/>
        <v>2023.013P.Potyviridae_rename_sp.zip</v>
      </c>
      <c r="U13174" s="29" t="str">
        <f>HYPERLINK("https://ictv.global/taxonomy/taxondetails?taxnode_id=202304543","ictv.global=202304543")</f>
        <v>ictv.global=202304543</v>
      </c>
    </row>
    <row r="13175" spans="1:21">
      <c r="A13175">
        <v>13174</v>
      </c>
      <c r="B13175" s="30" t="s">
        <v>1226</v>
      </c>
      <c r="D13175" s="30" t="s">
        <v>2024</v>
      </c>
      <c r="F13175" s="30" t="s">
        <v>2074</v>
      </c>
      <c r="H13175" s="30" t="s">
        <v>2126</v>
      </c>
      <c r="J13175" s="30" t="s">
        <v>2127</v>
      </c>
      <c r="L13175" s="30" t="s">
        <v>161</v>
      </c>
      <c r="N13175" s="30" t="s">
        <v>228</v>
      </c>
      <c r="P13175" s="30" t="s">
        <v>18083</v>
      </c>
      <c r="Q13175" t="s">
        <v>621</v>
      </c>
      <c r="R13175" t="s">
        <v>920</v>
      </c>
      <c r="S13175">
        <v>39</v>
      </c>
      <c r="T13175" s="29" t="str">
        <f t="shared" si="547"/>
        <v>2023.013P.Potyviridae_rename_sp.zip</v>
      </c>
      <c r="U13175" s="29" t="str">
        <f>HYPERLINK("https://ictv.global/taxonomy/taxondetails?taxnode_id=202305917","ictv.global=202305917")</f>
        <v>ictv.global=202305917</v>
      </c>
    </row>
    <row r="13176" spans="1:21">
      <c r="A13176">
        <v>13175</v>
      </c>
      <c r="B13176" s="30" t="s">
        <v>1226</v>
      </c>
      <c r="D13176" s="30" t="s">
        <v>2024</v>
      </c>
      <c r="F13176" s="30" t="s">
        <v>2074</v>
      </c>
      <c r="H13176" s="30" t="s">
        <v>2126</v>
      </c>
      <c r="J13176" s="30" t="s">
        <v>2127</v>
      </c>
      <c r="L13176" s="30" t="s">
        <v>161</v>
      </c>
      <c r="N13176" s="30" t="s">
        <v>228</v>
      </c>
      <c r="P13176" s="30" t="s">
        <v>18084</v>
      </c>
      <c r="Q13176" t="s">
        <v>621</v>
      </c>
      <c r="R13176" t="s">
        <v>920</v>
      </c>
      <c r="S13176">
        <v>39</v>
      </c>
      <c r="T13176" s="29" t="str">
        <f t="shared" si="547"/>
        <v>2023.013P.Potyviridae_rename_sp.zip</v>
      </c>
      <c r="U13176" s="29" t="str">
        <f>HYPERLINK("https://ictv.global/taxonomy/taxondetails?taxnode_id=202304544","ictv.global=202304544")</f>
        <v>ictv.global=202304544</v>
      </c>
    </row>
    <row r="13177" spans="1:21">
      <c r="A13177">
        <v>13176</v>
      </c>
      <c r="B13177" s="30" t="s">
        <v>1226</v>
      </c>
      <c r="D13177" s="30" t="s">
        <v>2024</v>
      </c>
      <c r="F13177" s="30" t="s">
        <v>2074</v>
      </c>
      <c r="H13177" s="30" t="s">
        <v>2126</v>
      </c>
      <c r="J13177" s="30" t="s">
        <v>2127</v>
      </c>
      <c r="L13177" s="30" t="s">
        <v>161</v>
      </c>
      <c r="N13177" s="30" t="s">
        <v>228</v>
      </c>
      <c r="P13177" s="30" t="s">
        <v>18085</v>
      </c>
      <c r="Q13177" t="s">
        <v>621</v>
      </c>
      <c r="R13177" t="s">
        <v>920</v>
      </c>
      <c r="S13177">
        <v>39</v>
      </c>
      <c r="T13177" s="29" t="str">
        <f t="shared" si="547"/>
        <v>2023.013P.Potyviridae_rename_sp.zip</v>
      </c>
      <c r="U13177" s="29" t="str">
        <f>HYPERLINK("https://ictv.global/taxonomy/taxondetails?taxnode_id=202304545","ictv.global=202304545")</f>
        <v>ictv.global=202304545</v>
      </c>
    </row>
    <row r="13178" spans="1:21">
      <c r="A13178">
        <v>13177</v>
      </c>
      <c r="B13178" s="30" t="s">
        <v>1226</v>
      </c>
      <c r="D13178" s="30" t="s">
        <v>2024</v>
      </c>
      <c r="F13178" s="30" t="s">
        <v>2074</v>
      </c>
      <c r="H13178" s="30" t="s">
        <v>2126</v>
      </c>
      <c r="J13178" s="30" t="s">
        <v>2127</v>
      </c>
      <c r="L13178" s="30" t="s">
        <v>161</v>
      </c>
      <c r="N13178" s="30" t="s">
        <v>228</v>
      </c>
      <c r="P13178" s="30" t="s">
        <v>18086</v>
      </c>
      <c r="Q13178" t="s">
        <v>621</v>
      </c>
      <c r="R13178" t="s">
        <v>920</v>
      </c>
      <c r="S13178">
        <v>39</v>
      </c>
      <c r="T13178" s="29" t="str">
        <f t="shared" si="547"/>
        <v>2023.013P.Potyviridae_rename_sp.zip</v>
      </c>
      <c r="U13178" s="29" t="str">
        <f>HYPERLINK("https://ictv.global/taxonomy/taxondetails?taxnode_id=202304546","ictv.global=202304546")</f>
        <v>ictv.global=202304546</v>
      </c>
    </row>
    <row r="13179" spans="1:21">
      <c r="A13179">
        <v>13178</v>
      </c>
      <c r="B13179" s="30" t="s">
        <v>1226</v>
      </c>
      <c r="D13179" s="30" t="s">
        <v>2024</v>
      </c>
      <c r="F13179" s="30" t="s">
        <v>2074</v>
      </c>
      <c r="H13179" s="30" t="s">
        <v>2126</v>
      </c>
      <c r="J13179" s="30" t="s">
        <v>2127</v>
      </c>
      <c r="L13179" s="30" t="s">
        <v>161</v>
      </c>
      <c r="N13179" s="30" t="s">
        <v>228</v>
      </c>
      <c r="P13179" s="30" t="s">
        <v>18087</v>
      </c>
      <c r="Q13179" t="s">
        <v>621</v>
      </c>
      <c r="R13179" t="s">
        <v>920</v>
      </c>
      <c r="S13179">
        <v>39</v>
      </c>
      <c r="T13179" s="29" t="str">
        <f t="shared" si="547"/>
        <v>2023.013P.Potyviridae_rename_sp.zip</v>
      </c>
      <c r="U13179" s="29" t="str">
        <f>HYPERLINK("https://ictv.global/taxonomy/taxondetails?taxnode_id=202304547","ictv.global=202304547")</f>
        <v>ictv.global=202304547</v>
      </c>
    </row>
    <row r="13180" spans="1:21">
      <c r="A13180">
        <v>13179</v>
      </c>
      <c r="B13180" s="30" t="s">
        <v>1226</v>
      </c>
      <c r="D13180" s="30" t="s">
        <v>2024</v>
      </c>
      <c r="F13180" s="30" t="s">
        <v>2074</v>
      </c>
      <c r="H13180" s="30" t="s">
        <v>2126</v>
      </c>
      <c r="J13180" s="30" t="s">
        <v>2127</v>
      </c>
      <c r="L13180" s="30" t="s">
        <v>161</v>
      </c>
      <c r="N13180" s="30" t="s">
        <v>228</v>
      </c>
      <c r="P13180" s="30" t="s">
        <v>18088</v>
      </c>
      <c r="Q13180" t="s">
        <v>621</v>
      </c>
      <c r="R13180" t="s">
        <v>920</v>
      </c>
      <c r="S13180">
        <v>39</v>
      </c>
      <c r="T13180" s="29" t="str">
        <f t="shared" si="547"/>
        <v>2023.013P.Potyviridae_rename_sp.zip</v>
      </c>
      <c r="U13180" s="29" t="str">
        <f>HYPERLINK("https://ictv.global/taxonomy/taxondetails?taxnode_id=202304548","ictv.global=202304548")</f>
        <v>ictv.global=202304548</v>
      </c>
    </row>
    <row r="13181" spans="1:21">
      <c r="A13181">
        <v>13180</v>
      </c>
      <c r="B13181" s="30" t="s">
        <v>1226</v>
      </c>
      <c r="D13181" s="30" t="s">
        <v>2024</v>
      </c>
      <c r="F13181" s="30" t="s">
        <v>2074</v>
      </c>
      <c r="H13181" s="30" t="s">
        <v>2126</v>
      </c>
      <c r="J13181" s="30" t="s">
        <v>2127</v>
      </c>
      <c r="L13181" s="30" t="s">
        <v>161</v>
      </c>
      <c r="N13181" s="30" t="s">
        <v>241</v>
      </c>
      <c r="P13181" s="30" t="s">
        <v>18089</v>
      </c>
      <c r="Q13181" t="s">
        <v>621</v>
      </c>
      <c r="R13181" t="s">
        <v>920</v>
      </c>
      <c r="S13181">
        <v>39</v>
      </c>
      <c r="T13181" s="29" t="str">
        <f t="shared" si="547"/>
        <v>2023.013P.Potyviridae_rename_sp.zip</v>
      </c>
      <c r="U13181" s="29" t="str">
        <f>HYPERLINK("https://ictv.global/taxonomy/taxondetails?taxnode_id=202307443","ictv.global=202307443")</f>
        <v>ictv.global=202307443</v>
      </c>
    </row>
    <row r="13182" spans="1:21">
      <c r="A13182">
        <v>13181</v>
      </c>
      <c r="B13182" s="30" t="s">
        <v>1226</v>
      </c>
      <c r="D13182" s="30" t="s">
        <v>2024</v>
      </c>
      <c r="F13182" s="30" t="s">
        <v>2074</v>
      </c>
      <c r="H13182" s="30" t="s">
        <v>2126</v>
      </c>
      <c r="J13182" s="30" t="s">
        <v>2127</v>
      </c>
      <c r="L13182" s="30" t="s">
        <v>161</v>
      </c>
      <c r="N13182" s="30" t="s">
        <v>241</v>
      </c>
      <c r="P13182" s="30" t="s">
        <v>18090</v>
      </c>
      <c r="Q13182" t="s">
        <v>621</v>
      </c>
      <c r="R13182" t="s">
        <v>920</v>
      </c>
      <c r="S13182">
        <v>39</v>
      </c>
      <c r="T13182" s="29" t="str">
        <f t="shared" si="547"/>
        <v>2023.013P.Potyviridae_rename_sp.zip</v>
      </c>
      <c r="U13182" s="29" t="str">
        <f>HYPERLINK("https://ictv.global/taxonomy/taxondetails?taxnode_id=202304550","ictv.global=202304550")</f>
        <v>ictv.global=202304550</v>
      </c>
    </row>
    <row r="13183" spans="1:21">
      <c r="A13183">
        <v>13182</v>
      </c>
      <c r="B13183" s="30" t="s">
        <v>1226</v>
      </c>
      <c r="D13183" s="30" t="s">
        <v>2024</v>
      </c>
      <c r="F13183" s="30" t="s">
        <v>2074</v>
      </c>
      <c r="H13183" s="30" t="s">
        <v>2126</v>
      </c>
      <c r="J13183" s="30" t="s">
        <v>2127</v>
      </c>
      <c r="L13183" s="30" t="s">
        <v>161</v>
      </c>
      <c r="N13183" s="30" t="s">
        <v>241</v>
      </c>
      <c r="P13183" s="30" t="s">
        <v>11137</v>
      </c>
      <c r="Q13183" t="s">
        <v>621</v>
      </c>
      <c r="R13183" t="s">
        <v>917</v>
      </c>
      <c r="S13183">
        <v>38</v>
      </c>
      <c r="T13183" s="29" t="str">
        <f>HYPERLINK("https://ictv.global/ictv/proposals/2022.010P.Potyviridae_7ns.zip","2022.010P.Potyviridae_7ns.zip")</f>
        <v>2022.010P.Potyviridae_7ns.zip</v>
      </c>
      <c r="U13183" s="29" t="str">
        <f>HYPERLINK("https://ictv.global/taxonomy/taxondetails?taxnode_id=202315108","ictv.global=202315108")</f>
        <v>ictv.global=202315108</v>
      </c>
    </row>
    <row r="13184" spans="1:21">
      <c r="A13184">
        <v>13183</v>
      </c>
      <c r="B13184" s="30" t="s">
        <v>1226</v>
      </c>
      <c r="D13184" s="30" t="s">
        <v>2024</v>
      </c>
      <c r="F13184" s="30" t="s">
        <v>2074</v>
      </c>
      <c r="H13184" s="30" t="s">
        <v>2126</v>
      </c>
      <c r="J13184" s="30" t="s">
        <v>2127</v>
      </c>
      <c r="L13184" s="30" t="s">
        <v>161</v>
      </c>
      <c r="N13184" s="30" t="s">
        <v>241</v>
      </c>
      <c r="P13184" s="30" t="s">
        <v>18091</v>
      </c>
      <c r="Q13184" t="s">
        <v>621</v>
      </c>
      <c r="R13184" t="s">
        <v>920</v>
      </c>
      <c r="S13184">
        <v>39</v>
      </c>
      <c r="T13184" s="29" t="str">
        <f t="shared" ref="T13184:T13194" si="548">HYPERLINK("https://ictv.global/ictv/proposals/2023.013P.Potyviridae_rename_sp.zip","2023.013P.Potyviridae_rename_sp.zip")</f>
        <v>2023.013P.Potyviridae_rename_sp.zip</v>
      </c>
      <c r="U13184" s="29" t="str">
        <f>HYPERLINK("https://ictv.global/taxonomy/taxondetails?taxnode_id=202304553","ictv.global=202304553")</f>
        <v>ictv.global=202304553</v>
      </c>
    </row>
    <row r="13185" spans="1:21">
      <c r="A13185">
        <v>13184</v>
      </c>
      <c r="B13185" s="30" t="s">
        <v>1226</v>
      </c>
      <c r="D13185" s="30" t="s">
        <v>2024</v>
      </c>
      <c r="F13185" s="30" t="s">
        <v>2074</v>
      </c>
      <c r="H13185" s="30" t="s">
        <v>2126</v>
      </c>
      <c r="J13185" s="30" t="s">
        <v>2127</v>
      </c>
      <c r="L13185" s="30" t="s">
        <v>161</v>
      </c>
      <c r="N13185" s="30" t="s">
        <v>241</v>
      </c>
      <c r="P13185" s="30" t="s">
        <v>18092</v>
      </c>
      <c r="Q13185" t="s">
        <v>621</v>
      </c>
      <c r="R13185" t="s">
        <v>920</v>
      </c>
      <c r="S13185">
        <v>39</v>
      </c>
      <c r="T13185" s="29" t="str">
        <f t="shared" si="548"/>
        <v>2023.013P.Potyviridae_rename_sp.zip</v>
      </c>
      <c r="U13185" s="29" t="str">
        <f>HYPERLINK("https://ictv.global/taxonomy/taxondetails?taxnode_id=202304554","ictv.global=202304554")</f>
        <v>ictv.global=202304554</v>
      </c>
    </row>
    <row r="13186" spans="1:21">
      <c r="A13186">
        <v>13185</v>
      </c>
      <c r="B13186" s="30" t="s">
        <v>1226</v>
      </c>
      <c r="D13186" s="30" t="s">
        <v>2024</v>
      </c>
      <c r="F13186" s="30" t="s">
        <v>2074</v>
      </c>
      <c r="H13186" s="30" t="s">
        <v>2126</v>
      </c>
      <c r="J13186" s="30" t="s">
        <v>2127</v>
      </c>
      <c r="L13186" s="30" t="s">
        <v>161</v>
      </c>
      <c r="N13186" s="30" t="s">
        <v>241</v>
      </c>
      <c r="P13186" s="30" t="s">
        <v>18093</v>
      </c>
      <c r="Q13186" t="s">
        <v>621</v>
      </c>
      <c r="R13186" t="s">
        <v>920</v>
      </c>
      <c r="S13186">
        <v>39</v>
      </c>
      <c r="T13186" s="29" t="str">
        <f t="shared" si="548"/>
        <v>2023.013P.Potyviridae_rename_sp.zip</v>
      </c>
      <c r="U13186" s="29" t="str">
        <f>HYPERLINK("https://ictv.global/taxonomy/taxondetails?taxnode_id=202307444","ictv.global=202307444")</f>
        <v>ictv.global=202307444</v>
      </c>
    </row>
    <row r="13187" spans="1:21">
      <c r="A13187">
        <v>13186</v>
      </c>
      <c r="B13187" s="30" t="s">
        <v>1226</v>
      </c>
      <c r="D13187" s="30" t="s">
        <v>2024</v>
      </c>
      <c r="F13187" s="30" t="s">
        <v>2074</v>
      </c>
      <c r="H13187" s="30" t="s">
        <v>2126</v>
      </c>
      <c r="J13187" s="30" t="s">
        <v>2127</v>
      </c>
      <c r="L13187" s="30" t="s">
        <v>161</v>
      </c>
      <c r="N13187" s="30" t="s">
        <v>241</v>
      </c>
      <c r="P13187" s="30" t="s">
        <v>18094</v>
      </c>
      <c r="Q13187" t="s">
        <v>621</v>
      </c>
      <c r="R13187" t="s">
        <v>920</v>
      </c>
      <c r="S13187">
        <v>39</v>
      </c>
      <c r="T13187" s="29" t="str">
        <f t="shared" si="548"/>
        <v>2023.013P.Potyviridae_rename_sp.zip</v>
      </c>
      <c r="U13187" s="29" t="str">
        <f>HYPERLINK("https://ictv.global/taxonomy/taxondetails?taxnode_id=202304557","ictv.global=202304557")</f>
        <v>ictv.global=202304557</v>
      </c>
    </row>
    <row r="13188" spans="1:21">
      <c r="A13188">
        <v>13187</v>
      </c>
      <c r="B13188" s="30" t="s">
        <v>1226</v>
      </c>
      <c r="D13188" s="30" t="s">
        <v>2024</v>
      </c>
      <c r="F13188" s="30" t="s">
        <v>2074</v>
      </c>
      <c r="H13188" s="30" t="s">
        <v>2126</v>
      </c>
      <c r="J13188" s="30" t="s">
        <v>2127</v>
      </c>
      <c r="L13188" s="30" t="s">
        <v>161</v>
      </c>
      <c r="N13188" s="30" t="s">
        <v>241</v>
      </c>
      <c r="P13188" s="30" t="s">
        <v>18095</v>
      </c>
      <c r="Q13188" t="s">
        <v>621</v>
      </c>
      <c r="R13188" t="s">
        <v>920</v>
      </c>
      <c r="S13188">
        <v>39</v>
      </c>
      <c r="T13188" s="29" t="str">
        <f t="shared" si="548"/>
        <v>2023.013P.Potyviridae_rename_sp.zip</v>
      </c>
      <c r="U13188" s="29" t="str">
        <f>HYPERLINK("https://ictv.global/taxonomy/taxondetails?taxnode_id=202304555","ictv.global=202304555")</f>
        <v>ictv.global=202304555</v>
      </c>
    </row>
    <row r="13189" spans="1:21">
      <c r="A13189">
        <v>13188</v>
      </c>
      <c r="B13189" s="30" t="s">
        <v>1226</v>
      </c>
      <c r="D13189" s="30" t="s">
        <v>2024</v>
      </c>
      <c r="F13189" s="30" t="s">
        <v>2074</v>
      </c>
      <c r="H13189" s="30" t="s">
        <v>2126</v>
      </c>
      <c r="J13189" s="30" t="s">
        <v>2127</v>
      </c>
      <c r="L13189" s="30" t="s">
        <v>161</v>
      </c>
      <c r="N13189" s="30" t="s">
        <v>241</v>
      </c>
      <c r="P13189" s="30" t="s">
        <v>18096</v>
      </c>
      <c r="Q13189" t="s">
        <v>621</v>
      </c>
      <c r="R13189" t="s">
        <v>920</v>
      </c>
      <c r="S13189">
        <v>39</v>
      </c>
      <c r="T13189" s="29" t="str">
        <f t="shared" si="548"/>
        <v>2023.013P.Potyviridae_rename_sp.zip</v>
      </c>
      <c r="U13189" s="29" t="str">
        <f>HYPERLINK("https://ictv.global/taxonomy/taxondetails?taxnode_id=202304556","ictv.global=202304556")</f>
        <v>ictv.global=202304556</v>
      </c>
    </row>
    <row r="13190" spans="1:21">
      <c r="A13190">
        <v>13189</v>
      </c>
      <c r="B13190" s="30" t="s">
        <v>1226</v>
      </c>
      <c r="D13190" s="30" t="s">
        <v>2024</v>
      </c>
      <c r="F13190" s="30" t="s">
        <v>2074</v>
      </c>
      <c r="H13190" s="30" t="s">
        <v>2126</v>
      </c>
      <c r="J13190" s="30" t="s">
        <v>2127</v>
      </c>
      <c r="L13190" s="30" t="s">
        <v>161</v>
      </c>
      <c r="N13190" s="30" t="s">
        <v>241</v>
      </c>
      <c r="P13190" s="30" t="s">
        <v>18097</v>
      </c>
      <c r="Q13190" t="s">
        <v>621</v>
      </c>
      <c r="R13190" t="s">
        <v>920</v>
      </c>
      <c r="S13190">
        <v>39</v>
      </c>
      <c r="T13190" s="29" t="str">
        <f t="shared" si="548"/>
        <v>2023.013P.Potyviridae_rename_sp.zip</v>
      </c>
      <c r="U13190" s="29" t="str">
        <f>HYPERLINK("https://ictv.global/taxonomy/taxondetails?taxnode_id=202304552","ictv.global=202304552")</f>
        <v>ictv.global=202304552</v>
      </c>
    </row>
    <row r="13191" spans="1:21">
      <c r="A13191">
        <v>13190</v>
      </c>
      <c r="B13191" s="30" t="s">
        <v>1226</v>
      </c>
      <c r="D13191" s="30" t="s">
        <v>2024</v>
      </c>
      <c r="F13191" s="30" t="s">
        <v>2074</v>
      </c>
      <c r="H13191" s="30" t="s">
        <v>2126</v>
      </c>
      <c r="J13191" s="30" t="s">
        <v>2127</v>
      </c>
      <c r="L13191" s="30" t="s">
        <v>161</v>
      </c>
      <c r="N13191" s="30" t="s">
        <v>241</v>
      </c>
      <c r="P13191" s="30" t="s">
        <v>18098</v>
      </c>
      <c r="Q13191" t="s">
        <v>621</v>
      </c>
      <c r="R13191" t="s">
        <v>920</v>
      </c>
      <c r="S13191">
        <v>39</v>
      </c>
      <c r="T13191" s="29" t="str">
        <f t="shared" si="548"/>
        <v>2023.013P.Potyviridae_rename_sp.zip</v>
      </c>
      <c r="U13191" s="29" t="str">
        <f>HYPERLINK("https://ictv.global/taxonomy/taxondetails?taxnode_id=202304551","ictv.global=202304551")</f>
        <v>ictv.global=202304551</v>
      </c>
    </row>
    <row r="13192" spans="1:21">
      <c r="A13192">
        <v>13191</v>
      </c>
      <c r="B13192" s="30" t="s">
        <v>1226</v>
      </c>
      <c r="D13192" s="30" t="s">
        <v>2024</v>
      </c>
      <c r="F13192" s="30" t="s">
        <v>2074</v>
      </c>
      <c r="H13192" s="30" t="s">
        <v>2126</v>
      </c>
      <c r="J13192" s="30" t="s">
        <v>2127</v>
      </c>
      <c r="L13192" s="30" t="s">
        <v>161</v>
      </c>
      <c r="N13192" s="30" t="s">
        <v>113</v>
      </c>
      <c r="P13192" s="30" t="s">
        <v>18099</v>
      </c>
      <c r="Q13192" t="s">
        <v>621</v>
      </c>
      <c r="R13192" t="s">
        <v>920</v>
      </c>
      <c r="S13192">
        <v>39</v>
      </c>
      <c r="T13192" s="29" t="str">
        <f t="shared" si="548"/>
        <v>2023.013P.Potyviridae_rename_sp.zip</v>
      </c>
      <c r="U13192" s="29" t="str">
        <f>HYPERLINK("https://ictv.global/taxonomy/taxondetails?taxnode_id=202304559","ictv.global=202304559")</f>
        <v>ictv.global=202304559</v>
      </c>
    </row>
    <row r="13193" spans="1:21">
      <c r="A13193">
        <v>13192</v>
      </c>
      <c r="B13193" s="30" t="s">
        <v>1226</v>
      </c>
      <c r="D13193" s="30" t="s">
        <v>2024</v>
      </c>
      <c r="F13193" s="30" t="s">
        <v>2074</v>
      </c>
      <c r="H13193" s="30" t="s">
        <v>2126</v>
      </c>
      <c r="J13193" s="30" t="s">
        <v>2127</v>
      </c>
      <c r="L13193" s="30" t="s">
        <v>161</v>
      </c>
      <c r="N13193" s="30" t="s">
        <v>113</v>
      </c>
      <c r="P13193" s="30" t="s">
        <v>18100</v>
      </c>
      <c r="Q13193" t="s">
        <v>621</v>
      </c>
      <c r="R13193" t="s">
        <v>920</v>
      </c>
      <c r="S13193">
        <v>39</v>
      </c>
      <c r="T13193" s="29" t="str">
        <f t="shared" si="548"/>
        <v>2023.013P.Potyviridae_rename_sp.zip</v>
      </c>
      <c r="U13193" s="29" t="str">
        <f>HYPERLINK("https://ictv.global/taxonomy/taxondetails?taxnode_id=202304560","ictv.global=202304560")</f>
        <v>ictv.global=202304560</v>
      </c>
    </row>
    <row r="13194" spans="1:21">
      <c r="A13194">
        <v>13193</v>
      </c>
      <c r="B13194" s="30" t="s">
        <v>1226</v>
      </c>
      <c r="D13194" s="30" t="s">
        <v>2024</v>
      </c>
      <c r="F13194" s="30" t="s">
        <v>2074</v>
      </c>
      <c r="H13194" s="30" t="s">
        <v>2126</v>
      </c>
      <c r="J13194" s="30" t="s">
        <v>2127</v>
      </c>
      <c r="L13194" s="30" t="s">
        <v>161</v>
      </c>
      <c r="N13194" s="30" t="s">
        <v>113</v>
      </c>
      <c r="P13194" s="30" t="s">
        <v>18101</v>
      </c>
      <c r="Q13194" t="s">
        <v>621</v>
      </c>
      <c r="R13194" t="s">
        <v>920</v>
      </c>
      <c r="S13194">
        <v>39</v>
      </c>
      <c r="T13194" s="29" t="str">
        <f t="shared" si="548"/>
        <v>2023.013P.Potyviridae_rename_sp.zip</v>
      </c>
      <c r="U13194" s="29" t="str">
        <f>HYPERLINK("https://ictv.global/taxonomy/taxondetails?taxnode_id=202304561","ictv.global=202304561")</f>
        <v>ictv.global=202304561</v>
      </c>
    </row>
    <row r="13195" spans="1:21">
      <c r="A13195">
        <v>13194</v>
      </c>
      <c r="B13195" s="30" t="s">
        <v>1226</v>
      </c>
      <c r="D13195" s="30" t="s">
        <v>2024</v>
      </c>
      <c r="F13195" s="30" t="s">
        <v>2074</v>
      </c>
      <c r="H13195" s="30" t="s">
        <v>2126</v>
      </c>
      <c r="J13195" s="30" t="s">
        <v>2127</v>
      </c>
      <c r="L13195" s="30" t="s">
        <v>161</v>
      </c>
      <c r="N13195" s="30" t="s">
        <v>174</v>
      </c>
      <c r="P13195" s="30" t="s">
        <v>11138</v>
      </c>
      <c r="Q13195" t="s">
        <v>621</v>
      </c>
      <c r="R13195" t="s">
        <v>917</v>
      </c>
      <c r="S13195">
        <v>37</v>
      </c>
      <c r="T13195" s="29" t="str">
        <f>HYPERLINK("https://ictv.global/ictv/proposals/2021.006P.R.Potyvirus_5ns_3as.zip","2021.006P.R.Potyvirus_5ns_3as.zip")</f>
        <v>2021.006P.R.Potyvirus_5ns_3as.zip</v>
      </c>
      <c r="U13195" s="29" t="str">
        <f>HYPERLINK("https://ictv.global/taxonomy/taxondetails?taxnode_id=202313835","ictv.global=202313835")</f>
        <v>ictv.global=202313835</v>
      </c>
    </row>
    <row r="13196" spans="1:21">
      <c r="A13196">
        <v>13195</v>
      </c>
      <c r="B13196" s="30" t="s">
        <v>1226</v>
      </c>
      <c r="D13196" s="30" t="s">
        <v>2024</v>
      </c>
      <c r="F13196" s="30" t="s">
        <v>2074</v>
      </c>
      <c r="H13196" s="30" t="s">
        <v>2126</v>
      </c>
      <c r="J13196" s="30" t="s">
        <v>2127</v>
      </c>
      <c r="L13196" s="30" t="s">
        <v>161</v>
      </c>
      <c r="N13196" s="30" t="s">
        <v>174</v>
      </c>
      <c r="P13196" s="30" t="s">
        <v>18102</v>
      </c>
      <c r="Q13196" t="s">
        <v>621</v>
      </c>
      <c r="R13196" t="s">
        <v>920</v>
      </c>
      <c r="S13196">
        <v>39</v>
      </c>
      <c r="T13196" s="29" t="str">
        <f t="shared" ref="T13196:T13202" si="549">HYPERLINK("https://ictv.global/ictv/proposals/2023.013P.Potyviridae_rename_sp.zip","2023.013P.Potyviridae_rename_sp.zip")</f>
        <v>2023.013P.Potyviridae_rename_sp.zip</v>
      </c>
      <c r="U13196" s="29" t="str">
        <f>HYPERLINK("https://ictv.global/taxonomy/taxondetails?taxnode_id=202304609","ictv.global=202304609")</f>
        <v>ictv.global=202304609</v>
      </c>
    </row>
    <row r="13197" spans="1:21">
      <c r="A13197">
        <v>13196</v>
      </c>
      <c r="B13197" s="30" t="s">
        <v>1226</v>
      </c>
      <c r="D13197" s="30" t="s">
        <v>2024</v>
      </c>
      <c r="F13197" s="30" t="s">
        <v>2074</v>
      </c>
      <c r="H13197" s="30" t="s">
        <v>2126</v>
      </c>
      <c r="J13197" s="30" t="s">
        <v>2127</v>
      </c>
      <c r="L13197" s="30" t="s">
        <v>161</v>
      </c>
      <c r="N13197" s="30" t="s">
        <v>174</v>
      </c>
      <c r="P13197" s="30" t="s">
        <v>18103</v>
      </c>
      <c r="Q13197" t="s">
        <v>621</v>
      </c>
      <c r="R13197" t="s">
        <v>920</v>
      </c>
      <c r="S13197">
        <v>39</v>
      </c>
      <c r="T13197" s="29" t="str">
        <f t="shared" si="549"/>
        <v>2023.013P.Potyviridae_rename_sp.zip</v>
      </c>
      <c r="U13197" s="29" t="str">
        <f>HYPERLINK("https://ictv.global/taxonomy/taxondetails?taxnode_id=202304563","ictv.global=202304563")</f>
        <v>ictv.global=202304563</v>
      </c>
    </row>
    <row r="13198" spans="1:21">
      <c r="A13198">
        <v>13197</v>
      </c>
      <c r="B13198" s="30" t="s">
        <v>1226</v>
      </c>
      <c r="D13198" s="30" t="s">
        <v>2024</v>
      </c>
      <c r="F13198" s="30" t="s">
        <v>2074</v>
      </c>
      <c r="H13198" s="30" t="s">
        <v>2126</v>
      </c>
      <c r="J13198" s="30" t="s">
        <v>2127</v>
      </c>
      <c r="L13198" s="30" t="s">
        <v>161</v>
      </c>
      <c r="N13198" s="30" t="s">
        <v>174</v>
      </c>
      <c r="P13198" s="30" t="s">
        <v>18104</v>
      </c>
      <c r="Q13198" t="s">
        <v>621</v>
      </c>
      <c r="R13198" t="s">
        <v>920</v>
      </c>
      <c r="S13198">
        <v>39</v>
      </c>
      <c r="T13198" s="29" t="str">
        <f t="shared" si="549"/>
        <v>2023.013P.Potyviridae_rename_sp.zip</v>
      </c>
      <c r="U13198" s="29" t="str">
        <f>HYPERLINK("https://ictv.global/taxonomy/taxondetails?taxnode_id=202305925","ictv.global=202305925")</f>
        <v>ictv.global=202305925</v>
      </c>
    </row>
    <row r="13199" spans="1:21">
      <c r="A13199">
        <v>13198</v>
      </c>
      <c r="B13199" s="30" t="s">
        <v>1226</v>
      </c>
      <c r="D13199" s="30" t="s">
        <v>2024</v>
      </c>
      <c r="F13199" s="30" t="s">
        <v>2074</v>
      </c>
      <c r="H13199" s="30" t="s">
        <v>2126</v>
      </c>
      <c r="J13199" s="30" t="s">
        <v>2127</v>
      </c>
      <c r="L13199" s="30" t="s">
        <v>161</v>
      </c>
      <c r="N13199" s="30" t="s">
        <v>174</v>
      </c>
      <c r="P13199" s="30" t="s">
        <v>18105</v>
      </c>
      <c r="Q13199" t="s">
        <v>621</v>
      </c>
      <c r="R13199" t="s">
        <v>920</v>
      </c>
      <c r="S13199">
        <v>39</v>
      </c>
      <c r="T13199" s="29" t="str">
        <f t="shared" si="549"/>
        <v>2023.013P.Potyviridae_rename_sp.zip</v>
      </c>
      <c r="U13199" s="29" t="str">
        <f>HYPERLINK("https://ictv.global/taxonomy/taxondetails?taxnode_id=202304565","ictv.global=202304565")</f>
        <v>ictv.global=202304565</v>
      </c>
    </row>
    <row r="13200" spans="1:21">
      <c r="A13200">
        <v>13199</v>
      </c>
      <c r="B13200" s="30" t="s">
        <v>1226</v>
      </c>
      <c r="D13200" s="30" t="s">
        <v>2024</v>
      </c>
      <c r="F13200" s="30" t="s">
        <v>2074</v>
      </c>
      <c r="H13200" s="30" t="s">
        <v>2126</v>
      </c>
      <c r="J13200" s="30" t="s">
        <v>2127</v>
      </c>
      <c r="L13200" s="30" t="s">
        <v>161</v>
      </c>
      <c r="N13200" s="30" t="s">
        <v>174</v>
      </c>
      <c r="P13200" s="30" t="s">
        <v>18106</v>
      </c>
      <c r="Q13200" t="s">
        <v>621</v>
      </c>
      <c r="R13200" t="s">
        <v>920</v>
      </c>
      <c r="S13200">
        <v>39</v>
      </c>
      <c r="T13200" s="29" t="str">
        <f t="shared" si="549"/>
        <v>2023.013P.Potyviridae_rename_sp.zip</v>
      </c>
      <c r="U13200" s="29" t="str">
        <f>HYPERLINK("https://ictv.global/taxonomy/taxondetails?taxnode_id=202304564","ictv.global=202304564")</f>
        <v>ictv.global=202304564</v>
      </c>
    </row>
    <row r="13201" spans="1:21">
      <c r="A13201">
        <v>13200</v>
      </c>
      <c r="B13201" s="30" t="s">
        <v>1226</v>
      </c>
      <c r="D13201" s="30" t="s">
        <v>2024</v>
      </c>
      <c r="F13201" s="30" t="s">
        <v>2074</v>
      </c>
      <c r="H13201" s="30" t="s">
        <v>2126</v>
      </c>
      <c r="J13201" s="30" t="s">
        <v>2127</v>
      </c>
      <c r="L13201" s="30" t="s">
        <v>161</v>
      </c>
      <c r="N13201" s="30" t="s">
        <v>174</v>
      </c>
      <c r="P13201" s="30" t="s">
        <v>18107</v>
      </c>
      <c r="Q13201" t="s">
        <v>621</v>
      </c>
      <c r="R13201" t="s">
        <v>920</v>
      </c>
      <c r="S13201">
        <v>39</v>
      </c>
      <c r="T13201" s="29" t="str">
        <f t="shared" si="549"/>
        <v>2023.013P.Potyviridae_rename_sp.zip</v>
      </c>
      <c r="U13201" s="29" t="str">
        <f>HYPERLINK("https://ictv.global/taxonomy/taxondetails?taxnode_id=202304566","ictv.global=202304566")</f>
        <v>ictv.global=202304566</v>
      </c>
    </row>
    <row r="13202" spans="1:21">
      <c r="A13202">
        <v>13201</v>
      </c>
      <c r="B13202" s="30" t="s">
        <v>1226</v>
      </c>
      <c r="D13202" s="30" t="s">
        <v>2024</v>
      </c>
      <c r="F13202" s="30" t="s">
        <v>2074</v>
      </c>
      <c r="H13202" s="30" t="s">
        <v>2126</v>
      </c>
      <c r="J13202" s="30" t="s">
        <v>2127</v>
      </c>
      <c r="L13202" s="30" t="s">
        <v>161</v>
      </c>
      <c r="N13202" s="30" t="s">
        <v>174</v>
      </c>
      <c r="P13202" s="30" t="s">
        <v>18108</v>
      </c>
      <c r="Q13202" t="s">
        <v>621</v>
      </c>
      <c r="R13202" t="s">
        <v>920</v>
      </c>
      <c r="S13202">
        <v>39</v>
      </c>
      <c r="T13202" s="29" t="str">
        <f t="shared" si="549"/>
        <v>2023.013P.Potyviridae_rename_sp.zip</v>
      </c>
      <c r="U13202" s="29" t="str">
        <f>HYPERLINK("https://ictv.global/taxonomy/taxondetails?taxnode_id=202304631","ictv.global=202304631")</f>
        <v>ictv.global=202304631</v>
      </c>
    </row>
    <row r="13203" spans="1:21">
      <c r="A13203">
        <v>13202</v>
      </c>
      <c r="B13203" s="30" t="s">
        <v>1226</v>
      </c>
      <c r="D13203" s="30" t="s">
        <v>2024</v>
      </c>
      <c r="F13203" s="30" t="s">
        <v>2074</v>
      </c>
      <c r="H13203" s="30" t="s">
        <v>2126</v>
      </c>
      <c r="J13203" s="30" t="s">
        <v>2127</v>
      </c>
      <c r="L13203" s="30" t="s">
        <v>161</v>
      </c>
      <c r="N13203" s="30" t="s">
        <v>174</v>
      </c>
      <c r="P13203" s="30" t="s">
        <v>11139</v>
      </c>
      <c r="Q13203" t="s">
        <v>621</v>
      </c>
      <c r="R13203" t="s">
        <v>917</v>
      </c>
      <c r="S13203">
        <v>38</v>
      </c>
      <c r="T13203" s="29" t="str">
        <f>HYPERLINK("https://ictv.global/ictv/proposals/2022.010P.Potyviridae_7ns.zip","2022.010P.Potyviridae_7ns.zip")</f>
        <v>2022.010P.Potyviridae_7ns.zip</v>
      </c>
      <c r="U13203" s="29" t="str">
        <f>HYPERLINK("https://ictv.global/taxonomy/taxondetails?taxnode_id=202315109","ictv.global=202315109")</f>
        <v>ictv.global=202315109</v>
      </c>
    </row>
    <row r="13204" spans="1:21">
      <c r="A13204">
        <v>13203</v>
      </c>
      <c r="B13204" s="30" t="s">
        <v>1226</v>
      </c>
      <c r="D13204" s="30" t="s">
        <v>2024</v>
      </c>
      <c r="F13204" s="30" t="s">
        <v>2074</v>
      </c>
      <c r="H13204" s="30" t="s">
        <v>2126</v>
      </c>
      <c r="J13204" s="30" t="s">
        <v>2127</v>
      </c>
      <c r="L13204" s="30" t="s">
        <v>161</v>
      </c>
      <c r="N13204" s="30" t="s">
        <v>174</v>
      </c>
      <c r="P13204" s="30" t="s">
        <v>18109</v>
      </c>
      <c r="Q13204" t="s">
        <v>621</v>
      </c>
      <c r="R13204" t="s">
        <v>920</v>
      </c>
      <c r="S13204">
        <v>39</v>
      </c>
      <c r="T13204" s="29" t="str">
        <f t="shared" ref="T13204:T13212" si="550">HYPERLINK("https://ictv.global/ictv/proposals/2023.013P.Potyviridae_rename_sp.zip","2023.013P.Potyviridae_rename_sp.zip")</f>
        <v>2023.013P.Potyviridae_rename_sp.zip</v>
      </c>
      <c r="U13204" s="29" t="str">
        <f>HYPERLINK("https://ictv.global/taxonomy/taxondetails?taxnode_id=202304568","ictv.global=202304568")</f>
        <v>ictv.global=202304568</v>
      </c>
    </row>
    <row r="13205" spans="1:21">
      <c r="A13205">
        <v>13204</v>
      </c>
      <c r="B13205" s="30" t="s">
        <v>1226</v>
      </c>
      <c r="D13205" s="30" t="s">
        <v>2024</v>
      </c>
      <c r="F13205" s="30" t="s">
        <v>2074</v>
      </c>
      <c r="H13205" s="30" t="s">
        <v>2126</v>
      </c>
      <c r="J13205" s="30" t="s">
        <v>2127</v>
      </c>
      <c r="L13205" s="30" t="s">
        <v>161</v>
      </c>
      <c r="N13205" s="30" t="s">
        <v>174</v>
      </c>
      <c r="P13205" s="30" t="s">
        <v>18110</v>
      </c>
      <c r="Q13205" t="s">
        <v>621</v>
      </c>
      <c r="R13205" t="s">
        <v>920</v>
      </c>
      <c r="S13205">
        <v>39</v>
      </c>
      <c r="T13205" s="29" t="str">
        <f t="shared" si="550"/>
        <v>2023.013P.Potyviridae_rename_sp.zip</v>
      </c>
      <c r="U13205" s="29" t="str">
        <f>HYPERLINK("https://ictv.global/taxonomy/taxondetails?taxnode_id=202304569","ictv.global=202304569")</f>
        <v>ictv.global=202304569</v>
      </c>
    </row>
    <row r="13206" spans="1:21">
      <c r="A13206">
        <v>13205</v>
      </c>
      <c r="B13206" s="30" t="s">
        <v>1226</v>
      </c>
      <c r="D13206" s="30" t="s">
        <v>2024</v>
      </c>
      <c r="F13206" s="30" t="s">
        <v>2074</v>
      </c>
      <c r="H13206" s="30" t="s">
        <v>2126</v>
      </c>
      <c r="J13206" s="30" t="s">
        <v>2127</v>
      </c>
      <c r="L13206" s="30" t="s">
        <v>161</v>
      </c>
      <c r="N13206" s="30" t="s">
        <v>174</v>
      </c>
      <c r="P13206" s="30" t="s">
        <v>18111</v>
      </c>
      <c r="Q13206" t="s">
        <v>621</v>
      </c>
      <c r="R13206" t="s">
        <v>920</v>
      </c>
      <c r="S13206">
        <v>39</v>
      </c>
      <c r="T13206" s="29" t="str">
        <f t="shared" si="550"/>
        <v>2023.013P.Potyviridae_rename_sp.zip</v>
      </c>
      <c r="U13206" s="29" t="str">
        <f>HYPERLINK("https://ictv.global/taxonomy/taxondetails?taxnode_id=202304592","ictv.global=202304592")</f>
        <v>ictv.global=202304592</v>
      </c>
    </row>
    <row r="13207" spans="1:21">
      <c r="A13207">
        <v>13206</v>
      </c>
      <c r="B13207" s="30" t="s">
        <v>1226</v>
      </c>
      <c r="D13207" s="30" t="s">
        <v>2024</v>
      </c>
      <c r="F13207" s="30" t="s">
        <v>2074</v>
      </c>
      <c r="H13207" s="30" t="s">
        <v>2126</v>
      </c>
      <c r="J13207" s="30" t="s">
        <v>2127</v>
      </c>
      <c r="L13207" s="30" t="s">
        <v>161</v>
      </c>
      <c r="N13207" s="30" t="s">
        <v>174</v>
      </c>
      <c r="P13207" s="30" t="s">
        <v>18112</v>
      </c>
      <c r="Q13207" t="s">
        <v>621</v>
      </c>
      <c r="R13207" t="s">
        <v>920</v>
      </c>
      <c r="S13207">
        <v>39</v>
      </c>
      <c r="T13207" s="29" t="str">
        <f t="shared" si="550"/>
        <v>2023.013P.Potyviridae_rename_sp.zip</v>
      </c>
      <c r="U13207" s="29" t="str">
        <f>HYPERLINK("https://ictv.global/taxonomy/taxondetails?taxnode_id=202304657","ictv.global=202304657")</f>
        <v>ictv.global=202304657</v>
      </c>
    </row>
    <row r="13208" spans="1:21">
      <c r="A13208">
        <v>13207</v>
      </c>
      <c r="B13208" s="30" t="s">
        <v>1226</v>
      </c>
      <c r="D13208" s="30" t="s">
        <v>2024</v>
      </c>
      <c r="F13208" s="30" t="s">
        <v>2074</v>
      </c>
      <c r="H13208" s="30" t="s">
        <v>2126</v>
      </c>
      <c r="J13208" s="30" t="s">
        <v>2127</v>
      </c>
      <c r="L13208" s="30" t="s">
        <v>161</v>
      </c>
      <c r="N13208" s="30" t="s">
        <v>174</v>
      </c>
      <c r="P13208" s="30" t="s">
        <v>18113</v>
      </c>
      <c r="Q13208" t="s">
        <v>621</v>
      </c>
      <c r="R13208" t="s">
        <v>920</v>
      </c>
      <c r="S13208">
        <v>39</v>
      </c>
      <c r="T13208" s="29" t="str">
        <f t="shared" si="550"/>
        <v>2023.013P.Potyviridae_rename_sp.zip</v>
      </c>
      <c r="U13208" s="29" t="str">
        <f>HYPERLINK("https://ictv.global/taxonomy/taxondetails?taxnode_id=202304570","ictv.global=202304570")</f>
        <v>ictv.global=202304570</v>
      </c>
    </row>
    <row r="13209" spans="1:21">
      <c r="A13209">
        <v>13208</v>
      </c>
      <c r="B13209" s="30" t="s">
        <v>1226</v>
      </c>
      <c r="D13209" s="30" t="s">
        <v>2024</v>
      </c>
      <c r="F13209" s="30" t="s">
        <v>2074</v>
      </c>
      <c r="H13209" s="30" t="s">
        <v>2126</v>
      </c>
      <c r="J13209" s="30" t="s">
        <v>2127</v>
      </c>
      <c r="L13209" s="30" t="s">
        <v>161</v>
      </c>
      <c r="N13209" s="30" t="s">
        <v>174</v>
      </c>
      <c r="P13209" s="30" t="s">
        <v>18114</v>
      </c>
      <c r="Q13209" t="s">
        <v>621</v>
      </c>
      <c r="R13209" t="s">
        <v>920</v>
      </c>
      <c r="S13209">
        <v>39</v>
      </c>
      <c r="T13209" s="29" t="str">
        <f t="shared" si="550"/>
        <v>2023.013P.Potyviridae_rename_sp.zip</v>
      </c>
      <c r="U13209" s="29" t="str">
        <f>HYPERLINK("https://ictv.global/taxonomy/taxondetails?taxnode_id=202304571","ictv.global=202304571")</f>
        <v>ictv.global=202304571</v>
      </c>
    </row>
    <row r="13210" spans="1:21">
      <c r="A13210">
        <v>13209</v>
      </c>
      <c r="B13210" s="30" t="s">
        <v>1226</v>
      </c>
      <c r="D13210" s="30" t="s">
        <v>2024</v>
      </c>
      <c r="F13210" s="30" t="s">
        <v>2074</v>
      </c>
      <c r="H13210" s="30" t="s">
        <v>2126</v>
      </c>
      <c r="J13210" s="30" t="s">
        <v>2127</v>
      </c>
      <c r="L13210" s="30" t="s">
        <v>161</v>
      </c>
      <c r="N13210" s="30" t="s">
        <v>174</v>
      </c>
      <c r="P13210" s="30" t="s">
        <v>18115</v>
      </c>
      <c r="Q13210" t="s">
        <v>621</v>
      </c>
      <c r="R13210" t="s">
        <v>920</v>
      </c>
      <c r="S13210">
        <v>39</v>
      </c>
      <c r="T13210" s="29" t="str">
        <f t="shared" si="550"/>
        <v>2023.013P.Potyviridae_rename_sp.zip</v>
      </c>
      <c r="U13210" s="29" t="str">
        <f>HYPERLINK("https://ictv.global/taxonomy/taxondetails?taxnode_id=202304596","ictv.global=202304596")</f>
        <v>ictv.global=202304596</v>
      </c>
    </row>
    <row r="13211" spans="1:21">
      <c r="A13211">
        <v>13210</v>
      </c>
      <c r="B13211" s="30" t="s">
        <v>1226</v>
      </c>
      <c r="D13211" s="30" t="s">
        <v>2024</v>
      </c>
      <c r="F13211" s="30" t="s">
        <v>2074</v>
      </c>
      <c r="H13211" s="30" t="s">
        <v>2126</v>
      </c>
      <c r="J13211" s="30" t="s">
        <v>2127</v>
      </c>
      <c r="L13211" s="30" t="s">
        <v>161</v>
      </c>
      <c r="N13211" s="30" t="s">
        <v>174</v>
      </c>
      <c r="P13211" s="30" t="s">
        <v>18116</v>
      </c>
      <c r="Q13211" t="s">
        <v>621</v>
      </c>
      <c r="R13211" t="s">
        <v>920</v>
      </c>
      <c r="S13211">
        <v>39</v>
      </c>
      <c r="T13211" s="29" t="str">
        <f t="shared" si="550"/>
        <v>2023.013P.Potyviridae_rename_sp.zip</v>
      </c>
      <c r="U13211" s="29" t="str">
        <f>HYPERLINK("https://ictv.global/taxonomy/taxondetails?taxnode_id=202304677","ictv.global=202304677")</f>
        <v>ictv.global=202304677</v>
      </c>
    </row>
    <row r="13212" spans="1:21">
      <c r="A13212">
        <v>13211</v>
      </c>
      <c r="B13212" s="30" t="s">
        <v>1226</v>
      </c>
      <c r="D13212" s="30" t="s">
        <v>2024</v>
      </c>
      <c r="F13212" s="30" t="s">
        <v>2074</v>
      </c>
      <c r="H13212" s="30" t="s">
        <v>2126</v>
      </c>
      <c r="J13212" s="30" t="s">
        <v>2127</v>
      </c>
      <c r="L13212" s="30" t="s">
        <v>161</v>
      </c>
      <c r="N13212" s="30" t="s">
        <v>174</v>
      </c>
      <c r="P13212" s="30" t="s">
        <v>18117</v>
      </c>
      <c r="Q13212" t="s">
        <v>621</v>
      </c>
      <c r="R13212" t="s">
        <v>920</v>
      </c>
      <c r="S13212">
        <v>39</v>
      </c>
      <c r="T13212" s="29" t="str">
        <f t="shared" si="550"/>
        <v>2023.013P.Potyviridae_rename_sp.zip</v>
      </c>
      <c r="U13212" s="29" t="str">
        <f>HYPERLINK("https://ictv.global/taxonomy/taxondetails?taxnode_id=202304676","ictv.global=202304676")</f>
        <v>ictv.global=202304676</v>
      </c>
    </row>
    <row r="13213" spans="1:21">
      <c r="A13213">
        <v>13212</v>
      </c>
      <c r="B13213" s="30" t="s">
        <v>1226</v>
      </c>
      <c r="D13213" s="30" t="s">
        <v>2024</v>
      </c>
      <c r="F13213" s="30" t="s">
        <v>2074</v>
      </c>
      <c r="H13213" s="30" t="s">
        <v>2126</v>
      </c>
      <c r="J13213" s="30" t="s">
        <v>2127</v>
      </c>
      <c r="L13213" s="30" t="s">
        <v>161</v>
      </c>
      <c r="N13213" s="30" t="s">
        <v>174</v>
      </c>
      <c r="P13213" s="30" t="s">
        <v>11140</v>
      </c>
      <c r="Q13213" t="s">
        <v>621</v>
      </c>
      <c r="R13213" t="s">
        <v>917</v>
      </c>
      <c r="S13213">
        <v>37</v>
      </c>
      <c r="T13213" s="29" t="str">
        <f>HYPERLINK("https://ictv.global/ictv/proposals/2021.006P.R.Potyvirus_5ns_3as.zip","2021.006P.R.Potyvirus_5ns_3as.zip")</f>
        <v>2021.006P.R.Potyvirus_5ns_3as.zip</v>
      </c>
      <c r="U13213" s="29" t="str">
        <f>HYPERLINK("https://ictv.global/taxonomy/taxondetails?taxnode_id=202313836","ictv.global=202313836")</f>
        <v>ictv.global=202313836</v>
      </c>
    </row>
    <row r="13214" spans="1:21">
      <c r="A13214">
        <v>13213</v>
      </c>
      <c r="B13214" s="30" t="s">
        <v>1226</v>
      </c>
      <c r="D13214" s="30" t="s">
        <v>2024</v>
      </c>
      <c r="F13214" s="30" t="s">
        <v>2074</v>
      </c>
      <c r="H13214" s="30" t="s">
        <v>2126</v>
      </c>
      <c r="J13214" s="30" t="s">
        <v>2127</v>
      </c>
      <c r="L13214" s="30" t="s">
        <v>161</v>
      </c>
      <c r="N13214" s="30" t="s">
        <v>174</v>
      </c>
      <c r="P13214" s="30" t="s">
        <v>18118</v>
      </c>
      <c r="Q13214" t="s">
        <v>621</v>
      </c>
      <c r="R13214" t="s">
        <v>920</v>
      </c>
      <c r="S13214">
        <v>39</v>
      </c>
      <c r="T13214" s="29" t="str">
        <f t="shared" ref="T13214:T13249" si="551">HYPERLINK("https://ictv.global/ictv/proposals/2023.013P.Potyviridae_rename_sp.zip","2023.013P.Potyviridae_rename_sp.zip")</f>
        <v>2023.013P.Potyviridae_rename_sp.zip</v>
      </c>
      <c r="U13214" s="29" t="str">
        <f>HYPERLINK("https://ictv.global/taxonomy/taxondetails?taxnode_id=202304572","ictv.global=202304572")</f>
        <v>ictv.global=202304572</v>
      </c>
    </row>
    <row r="13215" spans="1:21">
      <c r="A13215">
        <v>13214</v>
      </c>
      <c r="B13215" s="30" t="s">
        <v>1226</v>
      </c>
      <c r="D13215" s="30" t="s">
        <v>2024</v>
      </c>
      <c r="F13215" s="30" t="s">
        <v>2074</v>
      </c>
      <c r="H13215" s="30" t="s">
        <v>2126</v>
      </c>
      <c r="J13215" s="30" t="s">
        <v>2127</v>
      </c>
      <c r="L13215" s="30" t="s">
        <v>161</v>
      </c>
      <c r="N13215" s="30" t="s">
        <v>174</v>
      </c>
      <c r="P13215" s="30" t="s">
        <v>18119</v>
      </c>
      <c r="Q13215" t="s">
        <v>621</v>
      </c>
      <c r="R13215" t="s">
        <v>920</v>
      </c>
      <c r="S13215">
        <v>39</v>
      </c>
      <c r="T13215" s="29" t="str">
        <f t="shared" si="551"/>
        <v>2023.013P.Potyviridae_rename_sp.zip</v>
      </c>
      <c r="U13215" s="29" t="str">
        <f>HYPERLINK("https://ictv.global/taxonomy/taxondetails?taxnode_id=202304668","ictv.global=202304668")</f>
        <v>ictv.global=202304668</v>
      </c>
    </row>
    <row r="13216" spans="1:21">
      <c r="A13216">
        <v>13215</v>
      </c>
      <c r="B13216" s="30" t="s">
        <v>1226</v>
      </c>
      <c r="D13216" s="30" t="s">
        <v>2024</v>
      </c>
      <c r="F13216" s="30" t="s">
        <v>2074</v>
      </c>
      <c r="H13216" s="30" t="s">
        <v>2126</v>
      </c>
      <c r="J13216" s="30" t="s">
        <v>2127</v>
      </c>
      <c r="L13216" s="30" t="s">
        <v>161</v>
      </c>
      <c r="N13216" s="30" t="s">
        <v>174</v>
      </c>
      <c r="P13216" s="30" t="s">
        <v>18120</v>
      </c>
      <c r="Q13216" t="s">
        <v>621</v>
      </c>
      <c r="R13216" t="s">
        <v>920</v>
      </c>
      <c r="S13216">
        <v>39</v>
      </c>
      <c r="T13216" s="29" t="str">
        <f t="shared" si="551"/>
        <v>2023.013P.Potyviridae_rename_sp.zip</v>
      </c>
      <c r="U13216" s="29" t="str">
        <f>HYPERLINK("https://ictv.global/taxonomy/taxondetails?taxnode_id=202305918","ictv.global=202305918")</f>
        <v>ictv.global=202305918</v>
      </c>
    </row>
    <row r="13217" spans="1:21">
      <c r="A13217">
        <v>13216</v>
      </c>
      <c r="B13217" s="30" t="s">
        <v>1226</v>
      </c>
      <c r="D13217" s="30" t="s">
        <v>2024</v>
      </c>
      <c r="F13217" s="30" t="s">
        <v>2074</v>
      </c>
      <c r="H13217" s="30" t="s">
        <v>2126</v>
      </c>
      <c r="J13217" s="30" t="s">
        <v>2127</v>
      </c>
      <c r="L13217" s="30" t="s">
        <v>161</v>
      </c>
      <c r="N13217" s="30" t="s">
        <v>174</v>
      </c>
      <c r="P13217" s="30" t="s">
        <v>18121</v>
      </c>
      <c r="Q13217" t="s">
        <v>621</v>
      </c>
      <c r="R13217" t="s">
        <v>920</v>
      </c>
      <c r="S13217">
        <v>39</v>
      </c>
      <c r="T13217" s="29" t="str">
        <f t="shared" si="551"/>
        <v>2023.013P.Potyviridae_rename_sp.zip</v>
      </c>
      <c r="U13217" s="29" t="str">
        <f>HYPERLINK("https://ictv.global/taxonomy/taxondetails?taxnode_id=202304574","ictv.global=202304574")</f>
        <v>ictv.global=202304574</v>
      </c>
    </row>
    <row r="13218" spans="1:21">
      <c r="A13218">
        <v>13217</v>
      </c>
      <c r="B13218" s="30" t="s">
        <v>1226</v>
      </c>
      <c r="D13218" s="30" t="s">
        <v>2024</v>
      </c>
      <c r="F13218" s="30" t="s">
        <v>2074</v>
      </c>
      <c r="H13218" s="30" t="s">
        <v>2126</v>
      </c>
      <c r="J13218" s="30" t="s">
        <v>2127</v>
      </c>
      <c r="L13218" s="30" t="s">
        <v>161</v>
      </c>
      <c r="N13218" s="30" t="s">
        <v>174</v>
      </c>
      <c r="P13218" s="30" t="s">
        <v>18122</v>
      </c>
      <c r="Q13218" t="s">
        <v>621</v>
      </c>
      <c r="R13218" t="s">
        <v>920</v>
      </c>
      <c r="S13218">
        <v>39</v>
      </c>
      <c r="T13218" s="29" t="str">
        <f t="shared" si="551"/>
        <v>2023.013P.Potyviridae_rename_sp.zip</v>
      </c>
      <c r="U13218" s="29" t="str">
        <f>HYPERLINK("https://ictv.global/taxonomy/taxondetails?taxnode_id=202304686","ictv.global=202304686")</f>
        <v>ictv.global=202304686</v>
      </c>
    </row>
    <row r="13219" spans="1:21">
      <c r="A13219">
        <v>13218</v>
      </c>
      <c r="B13219" s="30" t="s">
        <v>1226</v>
      </c>
      <c r="D13219" s="30" t="s">
        <v>2024</v>
      </c>
      <c r="F13219" s="30" t="s">
        <v>2074</v>
      </c>
      <c r="H13219" s="30" t="s">
        <v>2126</v>
      </c>
      <c r="J13219" s="30" t="s">
        <v>2127</v>
      </c>
      <c r="L13219" s="30" t="s">
        <v>161</v>
      </c>
      <c r="N13219" s="30" t="s">
        <v>174</v>
      </c>
      <c r="P13219" s="30" t="s">
        <v>18123</v>
      </c>
      <c r="Q13219" t="s">
        <v>621</v>
      </c>
      <c r="R13219" t="s">
        <v>920</v>
      </c>
      <c r="S13219">
        <v>39</v>
      </c>
      <c r="T13219" s="29" t="str">
        <f t="shared" si="551"/>
        <v>2023.013P.Potyviridae_rename_sp.zip</v>
      </c>
      <c r="U13219" s="29" t="str">
        <f>HYPERLINK("https://ictv.global/taxonomy/taxondetails?taxnode_id=202304687","ictv.global=202304687")</f>
        <v>ictv.global=202304687</v>
      </c>
    </row>
    <row r="13220" spans="1:21">
      <c r="A13220">
        <v>13219</v>
      </c>
      <c r="B13220" s="30" t="s">
        <v>1226</v>
      </c>
      <c r="D13220" s="30" t="s">
        <v>2024</v>
      </c>
      <c r="F13220" s="30" t="s">
        <v>2074</v>
      </c>
      <c r="H13220" s="30" t="s">
        <v>2126</v>
      </c>
      <c r="J13220" s="30" t="s">
        <v>2127</v>
      </c>
      <c r="L13220" s="30" t="s">
        <v>161</v>
      </c>
      <c r="N13220" s="30" t="s">
        <v>174</v>
      </c>
      <c r="P13220" s="30" t="s">
        <v>18124</v>
      </c>
      <c r="Q13220" t="s">
        <v>621</v>
      </c>
      <c r="R13220" t="s">
        <v>920</v>
      </c>
      <c r="S13220">
        <v>39</v>
      </c>
      <c r="T13220" s="29" t="str">
        <f t="shared" si="551"/>
        <v>2023.013P.Potyviridae_rename_sp.zip</v>
      </c>
      <c r="U13220" s="29" t="str">
        <f>HYPERLINK("https://ictv.global/taxonomy/taxondetails?taxnode_id=202304685","ictv.global=202304685")</f>
        <v>ictv.global=202304685</v>
      </c>
    </row>
    <row r="13221" spans="1:21">
      <c r="A13221">
        <v>13220</v>
      </c>
      <c r="B13221" s="30" t="s">
        <v>1226</v>
      </c>
      <c r="D13221" s="30" t="s">
        <v>2024</v>
      </c>
      <c r="F13221" s="30" t="s">
        <v>2074</v>
      </c>
      <c r="H13221" s="30" t="s">
        <v>2126</v>
      </c>
      <c r="J13221" s="30" t="s">
        <v>2127</v>
      </c>
      <c r="L13221" s="30" t="s">
        <v>161</v>
      </c>
      <c r="N13221" s="30" t="s">
        <v>174</v>
      </c>
      <c r="P13221" s="30" t="s">
        <v>18125</v>
      </c>
      <c r="Q13221" t="s">
        <v>621</v>
      </c>
      <c r="R13221" t="s">
        <v>920</v>
      </c>
      <c r="S13221">
        <v>39</v>
      </c>
      <c r="T13221" s="29" t="str">
        <f t="shared" si="551"/>
        <v>2023.013P.Potyviridae_rename_sp.zip</v>
      </c>
      <c r="U13221" s="29" t="str">
        <f>HYPERLINK("https://ictv.global/taxonomy/taxondetails?taxnode_id=202309669","ictv.global=202309669")</f>
        <v>ictv.global=202309669</v>
      </c>
    </row>
    <row r="13222" spans="1:21">
      <c r="A13222">
        <v>13221</v>
      </c>
      <c r="B13222" s="30" t="s">
        <v>1226</v>
      </c>
      <c r="D13222" s="30" t="s">
        <v>2024</v>
      </c>
      <c r="F13222" s="30" t="s">
        <v>2074</v>
      </c>
      <c r="H13222" s="30" t="s">
        <v>2126</v>
      </c>
      <c r="J13222" s="30" t="s">
        <v>2127</v>
      </c>
      <c r="L13222" s="30" t="s">
        <v>161</v>
      </c>
      <c r="N13222" s="30" t="s">
        <v>174</v>
      </c>
      <c r="P13222" s="30" t="s">
        <v>18126</v>
      </c>
      <c r="Q13222" t="s">
        <v>621</v>
      </c>
      <c r="R13222" t="s">
        <v>920</v>
      </c>
      <c r="S13222">
        <v>39</v>
      </c>
      <c r="T13222" s="29" t="str">
        <f t="shared" si="551"/>
        <v>2023.013P.Potyviridae_rename_sp.zip</v>
      </c>
      <c r="U13222" s="29" t="str">
        <f>HYPERLINK("https://ictv.global/taxonomy/taxondetails?taxnode_id=202304578","ictv.global=202304578")</f>
        <v>ictv.global=202304578</v>
      </c>
    </row>
    <row r="13223" spans="1:21">
      <c r="A13223">
        <v>13222</v>
      </c>
      <c r="B13223" s="30" t="s">
        <v>1226</v>
      </c>
      <c r="D13223" s="30" t="s">
        <v>2024</v>
      </c>
      <c r="F13223" s="30" t="s">
        <v>2074</v>
      </c>
      <c r="H13223" s="30" t="s">
        <v>2126</v>
      </c>
      <c r="J13223" s="30" t="s">
        <v>2127</v>
      </c>
      <c r="L13223" s="30" t="s">
        <v>161</v>
      </c>
      <c r="N13223" s="30" t="s">
        <v>174</v>
      </c>
      <c r="P13223" s="30" t="s">
        <v>18127</v>
      </c>
      <c r="Q13223" t="s">
        <v>621</v>
      </c>
      <c r="R13223" t="s">
        <v>920</v>
      </c>
      <c r="S13223">
        <v>39</v>
      </c>
      <c r="T13223" s="29" t="str">
        <f t="shared" si="551"/>
        <v>2023.013P.Potyviridae_rename_sp.zip</v>
      </c>
      <c r="U13223" s="29" t="str">
        <f>HYPERLINK("https://ictv.global/taxonomy/taxondetails?taxnode_id=202304691","ictv.global=202304691")</f>
        <v>ictv.global=202304691</v>
      </c>
    </row>
    <row r="13224" spans="1:21">
      <c r="A13224">
        <v>13223</v>
      </c>
      <c r="B13224" s="30" t="s">
        <v>1226</v>
      </c>
      <c r="D13224" s="30" t="s">
        <v>2024</v>
      </c>
      <c r="F13224" s="30" t="s">
        <v>2074</v>
      </c>
      <c r="H13224" s="30" t="s">
        <v>2126</v>
      </c>
      <c r="J13224" s="30" t="s">
        <v>2127</v>
      </c>
      <c r="L13224" s="30" t="s">
        <v>161</v>
      </c>
      <c r="N13224" s="30" t="s">
        <v>174</v>
      </c>
      <c r="P13224" s="30" t="s">
        <v>18128</v>
      </c>
      <c r="Q13224" t="s">
        <v>621</v>
      </c>
      <c r="R13224" t="s">
        <v>920</v>
      </c>
      <c r="S13224">
        <v>39</v>
      </c>
      <c r="T13224" s="29" t="str">
        <f t="shared" si="551"/>
        <v>2023.013P.Potyviridae_rename_sp.zip</v>
      </c>
      <c r="U13224" s="29" t="str">
        <f>HYPERLINK("https://ictv.global/taxonomy/taxondetails?taxnode_id=202304579","ictv.global=202304579")</f>
        <v>ictv.global=202304579</v>
      </c>
    </row>
    <row r="13225" spans="1:21">
      <c r="A13225">
        <v>13224</v>
      </c>
      <c r="B13225" s="30" t="s">
        <v>1226</v>
      </c>
      <c r="D13225" s="30" t="s">
        <v>2024</v>
      </c>
      <c r="F13225" s="30" t="s">
        <v>2074</v>
      </c>
      <c r="H13225" s="30" t="s">
        <v>2126</v>
      </c>
      <c r="J13225" s="30" t="s">
        <v>2127</v>
      </c>
      <c r="L13225" s="30" t="s">
        <v>161</v>
      </c>
      <c r="N13225" s="30" t="s">
        <v>174</v>
      </c>
      <c r="P13225" s="30" t="s">
        <v>18129</v>
      </c>
      <c r="Q13225" t="s">
        <v>621</v>
      </c>
      <c r="R13225" t="s">
        <v>920</v>
      </c>
      <c r="S13225">
        <v>39</v>
      </c>
      <c r="T13225" s="29" t="str">
        <f t="shared" si="551"/>
        <v>2023.013P.Potyviridae_rename_sp.zip</v>
      </c>
      <c r="U13225" s="29" t="str">
        <f>HYPERLINK("https://ictv.global/taxonomy/taxondetails?taxnode_id=202304580","ictv.global=202304580")</f>
        <v>ictv.global=202304580</v>
      </c>
    </row>
    <row r="13226" spans="1:21">
      <c r="A13226">
        <v>13225</v>
      </c>
      <c r="B13226" s="30" t="s">
        <v>1226</v>
      </c>
      <c r="D13226" s="30" t="s">
        <v>2024</v>
      </c>
      <c r="F13226" s="30" t="s">
        <v>2074</v>
      </c>
      <c r="H13226" s="30" t="s">
        <v>2126</v>
      </c>
      <c r="J13226" s="30" t="s">
        <v>2127</v>
      </c>
      <c r="L13226" s="30" t="s">
        <v>161</v>
      </c>
      <c r="N13226" s="30" t="s">
        <v>174</v>
      </c>
      <c r="P13226" s="30" t="s">
        <v>18130</v>
      </c>
      <c r="Q13226" t="s">
        <v>621</v>
      </c>
      <c r="R13226" t="s">
        <v>920</v>
      </c>
      <c r="S13226">
        <v>39</v>
      </c>
      <c r="T13226" s="29" t="str">
        <f t="shared" si="551"/>
        <v>2023.013P.Potyviridae_rename_sp.zip</v>
      </c>
      <c r="U13226" s="29" t="str">
        <f>HYPERLINK("https://ictv.global/taxonomy/taxondetails?taxnode_id=202304582","ictv.global=202304582")</f>
        <v>ictv.global=202304582</v>
      </c>
    </row>
    <row r="13227" spans="1:21">
      <c r="A13227">
        <v>13226</v>
      </c>
      <c r="B13227" s="30" t="s">
        <v>1226</v>
      </c>
      <c r="D13227" s="30" t="s">
        <v>2024</v>
      </c>
      <c r="F13227" s="30" t="s">
        <v>2074</v>
      </c>
      <c r="H13227" s="30" t="s">
        <v>2126</v>
      </c>
      <c r="J13227" s="30" t="s">
        <v>2127</v>
      </c>
      <c r="L13227" s="30" t="s">
        <v>161</v>
      </c>
      <c r="N13227" s="30" t="s">
        <v>174</v>
      </c>
      <c r="P13227" s="30" t="s">
        <v>18131</v>
      </c>
      <c r="Q13227" t="s">
        <v>621</v>
      </c>
      <c r="R13227" t="s">
        <v>920</v>
      </c>
      <c r="S13227">
        <v>39</v>
      </c>
      <c r="T13227" s="29" t="str">
        <f t="shared" si="551"/>
        <v>2023.013P.Potyviridae_rename_sp.zip</v>
      </c>
      <c r="U13227" s="29" t="str">
        <f>HYPERLINK("https://ictv.global/taxonomy/taxondetails?taxnode_id=202305919","ictv.global=202305919")</f>
        <v>ictv.global=202305919</v>
      </c>
    </row>
    <row r="13228" spans="1:21">
      <c r="A13228">
        <v>13227</v>
      </c>
      <c r="B13228" s="30" t="s">
        <v>1226</v>
      </c>
      <c r="D13228" s="30" t="s">
        <v>2024</v>
      </c>
      <c r="F13228" s="30" t="s">
        <v>2074</v>
      </c>
      <c r="H13228" s="30" t="s">
        <v>2126</v>
      </c>
      <c r="J13228" s="30" t="s">
        <v>2127</v>
      </c>
      <c r="L13228" s="30" t="s">
        <v>161</v>
      </c>
      <c r="N13228" s="30" t="s">
        <v>174</v>
      </c>
      <c r="P13228" s="30" t="s">
        <v>18132</v>
      </c>
      <c r="Q13228" t="s">
        <v>621</v>
      </c>
      <c r="R13228" t="s">
        <v>920</v>
      </c>
      <c r="S13228">
        <v>39</v>
      </c>
      <c r="T13228" s="29" t="str">
        <f t="shared" si="551"/>
        <v>2023.013P.Potyviridae_rename_sp.zip</v>
      </c>
      <c r="U13228" s="29" t="str">
        <f>HYPERLINK("https://ictv.global/taxonomy/taxondetails?taxnode_id=202304585","ictv.global=202304585")</f>
        <v>ictv.global=202304585</v>
      </c>
    </row>
    <row r="13229" spans="1:21">
      <c r="A13229">
        <v>13228</v>
      </c>
      <c r="B13229" s="30" t="s">
        <v>1226</v>
      </c>
      <c r="D13229" s="30" t="s">
        <v>2024</v>
      </c>
      <c r="F13229" s="30" t="s">
        <v>2074</v>
      </c>
      <c r="H13229" s="30" t="s">
        <v>2126</v>
      </c>
      <c r="J13229" s="30" t="s">
        <v>2127</v>
      </c>
      <c r="L13229" s="30" t="s">
        <v>161</v>
      </c>
      <c r="N13229" s="30" t="s">
        <v>174</v>
      </c>
      <c r="P13229" s="30" t="s">
        <v>18133</v>
      </c>
      <c r="Q13229" t="s">
        <v>621</v>
      </c>
      <c r="R13229" t="s">
        <v>920</v>
      </c>
      <c r="S13229">
        <v>39</v>
      </c>
      <c r="T13229" s="29" t="str">
        <f t="shared" si="551"/>
        <v>2023.013P.Potyviridae_rename_sp.zip</v>
      </c>
      <c r="U13229" s="29" t="str">
        <f>HYPERLINK("https://ictv.global/taxonomy/taxondetails?taxnode_id=202304587","ictv.global=202304587")</f>
        <v>ictv.global=202304587</v>
      </c>
    </row>
    <row r="13230" spans="1:21">
      <c r="A13230">
        <v>13229</v>
      </c>
      <c r="B13230" s="30" t="s">
        <v>1226</v>
      </c>
      <c r="D13230" s="30" t="s">
        <v>2024</v>
      </c>
      <c r="F13230" s="30" t="s">
        <v>2074</v>
      </c>
      <c r="H13230" s="30" t="s">
        <v>2126</v>
      </c>
      <c r="J13230" s="30" t="s">
        <v>2127</v>
      </c>
      <c r="L13230" s="30" t="s">
        <v>161</v>
      </c>
      <c r="N13230" s="30" t="s">
        <v>174</v>
      </c>
      <c r="P13230" s="30" t="s">
        <v>18134</v>
      </c>
      <c r="Q13230" t="s">
        <v>621</v>
      </c>
      <c r="R13230" t="s">
        <v>920</v>
      </c>
      <c r="S13230">
        <v>39</v>
      </c>
      <c r="T13230" s="29" t="str">
        <f t="shared" si="551"/>
        <v>2023.013P.Potyviridae_rename_sp.zip</v>
      </c>
      <c r="U13230" s="29" t="str">
        <f>HYPERLINK("https://ictv.global/taxonomy/taxondetails?taxnode_id=202304594","ictv.global=202304594")</f>
        <v>ictv.global=202304594</v>
      </c>
    </row>
    <row r="13231" spans="1:21">
      <c r="A13231">
        <v>13230</v>
      </c>
      <c r="B13231" s="30" t="s">
        <v>1226</v>
      </c>
      <c r="D13231" s="30" t="s">
        <v>2024</v>
      </c>
      <c r="F13231" s="30" t="s">
        <v>2074</v>
      </c>
      <c r="H13231" s="30" t="s">
        <v>2126</v>
      </c>
      <c r="J13231" s="30" t="s">
        <v>2127</v>
      </c>
      <c r="L13231" s="30" t="s">
        <v>161</v>
      </c>
      <c r="N13231" s="30" t="s">
        <v>174</v>
      </c>
      <c r="P13231" s="30" t="s">
        <v>18135</v>
      </c>
      <c r="Q13231" t="s">
        <v>621</v>
      </c>
      <c r="R13231" t="s">
        <v>920</v>
      </c>
      <c r="S13231">
        <v>39</v>
      </c>
      <c r="T13231" s="29" t="str">
        <f t="shared" si="551"/>
        <v>2023.013P.Potyviridae_rename_sp.zip</v>
      </c>
      <c r="U13231" s="29" t="str">
        <f>HYPERLINK("https://ictv.global/taxonomy/taxondetails?taxnode_id=202304662","ictv.global=202304662")</f>
        <v>ictv.global=202304662</v>
      </c>
    </row>
    <row r="13232" spans="1:21">
      <c r="A13232">
        <v>13231</v>
      </c>
      <c r="B13232" s="30" t="s">
        <v>1226</v>
      </c>
      <c r="D13232" s="30" t="s">
        <v>2024</v>
      </c>
      <c r="F13232" s="30" t="s">
        <v>2074</v>
      </c>
      <c r="H13232" s="30" t="s">
        <v>2126</v>
      </c>
      <c r="J13232" s="30" t="s">
        <v>2127</v>
      </c>
      <c r="L13232" s="30" t="s">
        <v>161</v>
      </c>
      <c r="N13232" s="30" t="s">
        <v>174</v>
      </c>
      <c r="P13232" s="30" t="s">
        <v>18136</v>
      </c>
      <c r="Q13232" t="s">
        <v>621</v>
      </c>
      <c r="R13232" t="s">
        <v>920</v>
      </c>
      <c r="S13232">
        <v>39</v>
      </c>
      <c r="T13232" s="29" t="str">
        <f t="shared" si="551"/>
        <v>2023.013P.Potyviridae_rename_sp.zip</v>
      </c>
      <c r="U13232" s="29" t="str">
        <f>HYPERLINK("https://ictv.global/taxonomy/taxondetails?taxnode_id=202304659","ictv.global=202304659")</f>
        <v>ictv.global=202304659</v>
      </c>
    </row>
    <row r="13233" spans="1:21">
      <c r="A13233">
        <v>13232</v>
      </c>
      <c r="B13233" s="30" t="s">
        <v>1226</v>
      </c>
      <c r="D13233" s="30" t="s">
        <v>2024</v>
      </c>
      <c r="F13233" s="30" t="s">
        <v>2074</v>
      </c>
      <c r="H13233" s="30" t="s">
        <v>2126</v>
      </c>
      <c r="J13233" s="30" t="s">
        <v>2127</v>
      </c>
      <c r="L13233" s="30" t="s">
        <v>161</v>
      </c>
      <c r="N13233" s="30" t="s">
        <v>174</v>
      </c>
      <c r="P13233" s="30" t="s">
        <v>18137</v>
      </c>
      <c r="Q13233" t="s">
        <v>621</v>
      </c>
      <c r="R13233" t="s">
        <v>920</v>
      </c>
      <c r="S13233">
        <v>39</v>
      </c>
      <c r="T13233" s="29" t="str">
        <f t="shared" si="551"/>
        <v>2023.013P.Potyviridae_rename_sp.zip</v>
      </c>
      <c r="U13233" s="29" t="str">
        <f>HYPERLINK("https://ictv.global/taxonomy/taxondetails?taxnode_id=202304660","ictv.global=202304660")</f>
        <v>ictv.global=202304660</v>
      </c>
    </row>
    <row r="13234" spans="1:21">
      <c r="A13234">
        <v>13233</v>
      </c>
      <c r="B13234" s="30" t="s">
        <v>1226</v>
      </c>
      <c r="D13234" s="30" t="s">
        <v>2024</v>
      </c>
      <c r="F13234" s="30" t="s">
        <v>2074</v>
      </c>
      <c r="H13234" s="30" t="s">
        <v>2126</v>
      </c>
      <c r="J13234" s="30" t="s">
        <v>2127</v>
      </c>
      <c r="L13234" s="30" t="s">
        <v>161</v>
      </c>
      <c r="N13234" s="30" t="s">
        <v>174</v>
      </c>
      <c r="P13234" s="30" t="s">
        <v>18138</v>
      </c>
      <c r="Q13234" t="s">
        <v>621</v>
      </c>
      <c r="R13234" t="s">
        <v>920</v>
      </c>
      <c r="S13234">
        <v>39</v>
      </c>
      <c r="T13234" s="29" t="str">
        <f t="shared" si="551"/>
        <v>2023.013P.Potyviridae_rename_sp.zip</v>
      </c>
      <c r="U13234" s="29" t="str">
        <f>HYPERLINK("https://ictv.global/taxonomy/taxondetails?taxnode_id=202304661","ictv.global=202304661")</f>
        <v>ictv.global=202304661</v>
      </c>
    </row>
    <row r="13235" spans="1:21">
      <c r="A13235">
        <v>13234</v>
      </c>
      <c r="B13235" s="30" t="s">
        <v>1226</v>
      </c>
      <c r="D13235" s="30" t="s">
        <v>2024</v>
      </c>
      <c r="F13235" s="30" t="s">
        <v>2074</v>
      </c>
      <c r="H13235" s="30" t="s">
        <v>2126</v>
      </c>
      <c r="J13235" s="30" t="s">
        <v>2127</v>
      </c>
      <c r="L13235" s="30" t="s">
        <v>161</v>
      </c>
      <c r="N13235" s="30" t="s">
        <v>174</v>
      </c>
      <c r="P13235" s="30" t="s">
        <v>18139</v>
      </c>
      <c r="Q13235" t="s">
        <v>621</v>
      </c>
      <c r="R13235" t="s">
        <v>920</v>
      </c>
      <c r="S13235">
        <v>39</v>
      </c>
      <c r="T13235" s="29" t="str">
        <f t="shared" si="551"/>
        <v>2023.013P.Potyviridae_rename_sp.zip</v>
      </c>
      <c r="U13235" s="29" t="str">
        <f>HYPERLINK("https://ictv.global/taxonomy/taxondetails?taxnode_id=202304595","ictv.global=202304595")</f>
        <v>ictv.global=202304595</v>
      </c>
    </row>
    <row r="13236" spans="1:21">
      <c r="A13236">
        <v>13235</v>
      </c>
      <c r="B13236" s="30" t="s">
        <v>1226</v>
      </c>
      <c r="D13236" s="30" t="s">
        <v>2024</v>
      </c>
      <c r="F13236" s="30" t="s">
        <v>2074</v>
      </c>
      <c r="H13236" s="30" t="s">
        <v>2126</v>
      </c>
      <c r="J13236" s="30" t="s">
        <v>2127</v>
      </c>
      <c r="L13236" s="30" t="s">
        <v>161</v>
      </c>
      <c r="N13236" s="30" t="s">
        <v>174</v>
      </c>
      <c r="P13236" s="30" t="s">
        <v>18140</v>
      </c>
      <c r="Q13236" t="s">
        <v>621</v>
      </c>
      <c r="R13236" t="s">
        <v>920</v>
      </c>
      <c r="S13236">
        <v>39</v>
      </c>
      <c r="T13236" s="29" t="str">
        <f t="shared" si="551"/>
        <v>2023.013P.Potyviridae_rename_sp.zip</v>
      </c>
      <c r="U13236" s="29" t="str">
        <f>HYPERLINK("https://ictv.global/taxonomy/taxondetails?taxnode_id=202304651","ictv.global=202304651")</f>
        <v>ictv.global=202304651</v>
      </c>
    </row>
    <row r="13237" spans="1:21">
      <c r="A13237">
        <v>13236</v>
      </c>
      <c r="B13237" s="30" t="s">
        <v>1226</v>
      </c>
      <c r="D13237" s="30" t="s">
        <v>2024</v>
      </c>
      <c r="F13237" s="30" t="s">
        <v>2074</v>
      </c>
      <c r="H13237" s="30" t="s">
        <v>2126</v>
      </c>
      <c r="J13237" s="30" t="s">
        <v>2127</v>
      </c>
      <c r="L13237" s="30" t="s">
        <v>161</v>
      </c>
      <c r="N13237" s="30" t="s">
        <v>174</v>
      </c>
      <c r="P13237" s="30" t="s">
        <v>18141</v>
      </c>
      <c r="Q13237" t="s">
        <v>621</v>
      </c>
      <c r="R13237" t="s">
        <v>920</v>
      </c>
      <c r="S13237">
        <v>39</v>
      </c>
      <c r="T13237" s="29" t="str">
        <f t="shared" si="551"/>
        <v>2023.013P.Potyviridae_rename_sp.zip</v>
      </c>
      <c r="U13237" s="29" t="str">
        <f>HYPERLINK("https://ictv.global/taxonomy/taxondetails?taxnode_id=202304590","ictv.global=202304590")</f>
        <v>ictv.global=202304590</v>
      </c>
    </row>
    <row r="13238" spans="1:21">
      <c r="A13238">
        <v>13237</v>
      </c>
      <c r="B13238" s="30" t="s">
        <v>1226</v>
      </c>
      <c r="D13238" s="30" t="s">
        <v>2024</v>
      </c>
      <c r="F13238" s="30" t="s">
        <v>2074</v>
      </c>
      <c r="H13238" s="30" t="s">
        <v>2126</v>
      </c>
      <c r="J13238" s="30" t="s">
        <v>2127</v>
      </c>
      <c r="L13238" s="30" t="s">
        <v>161</v>
      </c>
      <c r="N13238" s="30" t="s">
        <v>174</v>
      </c>
      <c r="P13238" s="30" t="s">
        <v>18142</v>
      </c>
      <c r="Q13238" t="s">
        <v>621</v>
      </c>
      <c r="R13238" t="s">
        <v>920</v>
      </c>
      <c r="S13238">
        <v>39</v>
      </c>
      <c r="T13238" s="29" t="str">
        <f t="shared" si="551"/>
        <v>2023.013P.Potyviridae_rename_sp.zip</v>
      </c>
      <c r="U13238" s="29" t="str">
        <f>HYPERLINK("https://ictv.global/taxonomy/taxondetails?taxnode_id=202304589","ictv.global=202304589")</f>
        <v>ictv.global=202304589</v>
      </c>
    </row>
    <row r="13239" spans="1:21">
      <c r="A13239">
        <v>13238</v>
      </c>
      <c r="B13239" s="30" t="s">
        <v>1226</v>
      </c>
      <c r="D13239" s="30" t="s">
        <v>2024</v>
      </c>
      <c r="F13239" s="30" t="s">
        <v>2074</v>
      </c>
      <c r="H13239" s="30" t="s">
        <v>2126</v>
      </c>
      <c r="J13239" s="30" t="s">
        <v>2127</v>
      </c>
      <c r="L13239" s="30" t="s">
        <v>161</v>
      </c>
      <c r="N13239" s="30" t="s">
        <v>174</v>
      </c>
      <c r="P13239" s="30" t="s">
        <v>18143</v>
      </c>
      <c r="Q13239" t="s">
        <v>621</v>
      </c>
      <c r="R13239" t="s">
        <v>920</v>
      </c>
      <c r="S13239">
        <v>39</v>
      </c>
      <c r="T13239" s="29" t="str">
        <f t="shared" si="551"/>
        <v>2023.013P.Potyviridae_rename_sp.zip</v>
      </c>
      <c r="U13239" s="29" t="str">
        <f>HYPERLINK("https://ictv.global/taxonomy/taxondetails?taxnode_id=202305922","ictv.global=202305922")</f>
        <v>ictv.global=202305922</v>
      </c>
    </row>
    <row r="13240" spans="1:21">
      <c r="A13240">
        <v>13239</v>
      </c>
      <c r="B13240" s="30" t="s">
        <v>1226</v>
      </c>
      <c r="D13240" s="30" t="s">
        <v>2024</v>
      </c>
      <c r="F13240" s="30" t="s">
        <v>2074</v>
      </c>
      <c r="H13240" s="30" t="s">
        <v>2126</v>
      </c>
      <c r="J13240" s="30" t="s">
        <v>2127</v>
      </c>
      <c r="L13240" s="30" t="s">
        <v>161</v>
      </c>
      <c r="N13240" s="30" t="s">
        <v>174</v>
      </c>
      <c r="P13240" s="30" t="s">
        <v>18144</v>
      </c>
      <c r="Q13240" t="s">
        <v>621</v>
      </c>
      <c r="R13240" t="s">
        <v>920</v>
      </c>
      <c r="S13240">
        <v>39</v>
      </c>
      <c r="T13240" s="29" t="str">
        <f t="shared" si="551"/>
        <v>2023.013P.Potyviridae_rename_sp.zip</v>
      </c>
      <c r="U13240" s="29" t="str">
        <f>HYPERLINK("https://ictv.global/taxonomy/taxondetails?taxnode_id=202304591","ictv.global=202304591")</f>
        <v>ictv.global=202304591</v>
      </c>
    </row>
    <row r="13241" spans="1:21">
      <c r="A13241">
        <v>13240</v>
      </c>
      <c r="B13241" s="30" t="s">
        <v>1226</v>
      </c>
      <c r="D13241" s="30" t="s">
        <v>2024</v>
      </c>
      <c r="F13241" s="30" t="s">
        <v>2074</v>
      </c>
      <c r="H13241" s="30" t="s">
        <v>2126</v>
      </c>
      <c r="J13241" s="30" t="s">
        <v>2127</v>
      </c>
      <c r="L13241" s="30" t="s">
        <v>161</v>
      </c>
      <c r="N13241" s="30" t="s">
        <v>174</v>
      </c>
      <c r="P13241" s="30" t="s">
        <v>18145</v>
      </c>
      <c r="Q13241" t="s">
        <v>621</v>
      </c>
      <c r="R13241" t="s">
        <v>920</v>
      </c>
      <c r="S13241">
        <v>39</v>
      </c>
      <c r="T13241" s="29" t="str">
        <f t="shared" si="551"/>
        <v>2023.013P.Potyviridae_rename_sp.zip</v>
      </c>
      <c r="U13241" s="29" t="str">
        <f>HYPERLINK("https://ictv.global/taxonomy/taxondetails?taxnode_id=202304689","ictv.global=202304689")</f>
        <v>ictv.global=202304689</v>
      </c>
    </row>
    <row r="13242" spans="1:21">
      <c r="A13242">
        <v>13241</v>
      </c>
      <c r="B13242" s="30" t="s">
        <v>1226</v>
      </c>
      <c r="D13242" s="30" t="s">
        <v>2024</v>
      </c>
      <c r="F13242" s="30" t="s">
        <v>2074</v>
      </c>
      <c r="H13242" s="30" t="s">
        <v>2126</v>
      </c>
      <c r="J13242" s="30" t="s">
        <v>2127</v>
      </c>
      <c r="L13242" s="30" t="s">
        <v>161</v>
      </c>
      <c r="N13242" s="30" t="s">
        <v>174</v>
      </c>
      <c r="P13242" s="30" t="s">
        <v>18146</v>
      </c>
      <c r="Q13242" t="s">
        <v>621</v>
      </c>
      <c r="R13242" t="s">
        <v>920</v>
      </c>
      <c r="S13242">
        <v>39</v>
      </c>
      <c r="T13242" s="29" t="str">
        <f t="shared" si="551"/>
        <v>2023.013P.Potyviridae_rename_sp.zip</v>
      </c>
      <c r="U13242" s="29" t="str">
        <f>HYPERLINK("https://ictv.global/taxonomy/taxondetails?taxnode_id=202304646","ictv.global=202304646")</f>
        <v>ictv.global=202304646</v>
      </c>
    </row>
    <row r="13243" spans="1:21">
      <c r="A13243">
        <v>13242</v>
      </c>
      <c r="B13243" s="30" t="s">
        <v>1226</v>
      </c>
      <c r="D13243" s="30" t="s">
        <v>2024</v>
      </c>
      <c r="F13243" s="30" t="s">
        <v>2074</v>
      </c>
      <c r="H13243" s="30" t="s">
        <v>2126</v>
      </c>
      <c r="J13243" s="30" t="s">
        <v>2127</v>
      </c>
      <c r="L13243" s="30" t="s">
        <v>161</v>
      </c>
      <c r="N13243" s="30" t="s">
        <v>174</v>
      </c>
      <c r="P13243" s="30" t="s">
        <v>18147</v>
      </c>
      <c r="Q13243" t="s">
        <v>621</v>
      </c>
      <c r="R13243" t="s">
        <v>920</v>
      </c>
      <c r="S13243">
        <v>39</v>
      </c>
      <c r="T13243" s="29" t="str">
        <f t="shared" si="551"/>
        <v>2023.013P.Potyviridae_rename_sp.zip</v>
      </c>
      <c r="U13243" s="29" t="str">
        <f>HYPERLINK("https://ictv.global/taxonomy/taxondetails?taxnode_id=202304593","ictv.global=202304593")</f>
        <v>ictv.global=202304593</v>
      </c>
    </row>
    <row r="13244" spans="1:21">
      <c r="A13244">
        <v>13243</v>
      </c>
      <c r="B13244" s="30" t="s">
        <v>1226</v>
      </c>
      <c r="D13244" s="30" t="s">
        <v>2024</v>
      </c>
      <c r="F13244" s="30" t="s">
        <v>2074</v>
      </c>
      <c r="H13244" s="30" t="s">
        <v>2126</v>
      </c>
      <c r="J13244" s="30" t="s">
        <v>2127</v>
      </c>
      <c r="L13244" s="30" t="s">
        <v>161</v>
      </c>
      <c r="N13244" s="30" t="s">
        <v>174</v>
      </c>
      <c r="P13244" s="30" t="s">
        <v>18148</v>
      </c>
      <c r="Q13244" t="s">
        <v>621</v>
      </c>
      <c r="R13244" t="s">
        <v>920</v>
      </c>
      <c r="S13244">
        <v>39</v>
      </c>
      <c r="T13244" s="29" t="str">
        <f t="shared" si="551"/>
        <v>2023.013P.Potyviridae_rename_sp.zip</v>
      </c>
      <c r="U13244" s="29" t="str">
        <f>HYPERLINK("https://ictv.global/taxonomy/taxondetails?taxnode_id=202304581","ictv.global=202304581")</f>
        <v>ictv.global=202304581</v>
      </c>
    </row>
    <row r="13245" spans="1:21">
      <c r="A13245">
        <v>13244</v>
      </c>
      <c r="B13245" s="30" t="s">
        <v>1226</v>
      </c>
      <c r="D13245" s="30" t="s">
        <v>2024</v>
      </c>
      <c r="F13245" s="30" t="s">
        <v>2074</v>
      </c>
      <c r="H13245" s="30" t="s">
        <v>2126</v>
      </c>
      <c r="J13245" s="30" t="s">
        <v>2127</v>
      </c>
      <c r="L13245" s="30" t="s">
        <v>161</v>
      </c>
      <c r="N13245" s="30" t="s">
        <v>174</v>
      </c>
      <c r="P13245" s="30" t="s">
        <v>18149</v>
      </c>
      <c r="Q13245" t="s">
        <v>621</v>
      </c>
      <c r="R13245" t="s">
        <v>920</v>
      </c>
      <c r="S13245">
        <v>39</v>
      </c>
      <c r="T13245" s="29" t="str">
        <f t="shared" si="551"/>
        <v>2023.013P.Potyviridae_rename_sp.zip</v>
      </c>
      <c r="U13245" s="29" t="str">
        <f>HYPERLINK("https://ictv.global/taxonomy/taxondetails?taxnode_id=202304611","ictv.global=202304611")</f>
        <v>ictv.global=202304611</v>
      </c>
    </row>
    <row r="13246" spans="1:21">
      <c r="A13246">
        <v>13245</v>
      </c>
      <c r="B13246" s="30" t="s">
        <v>1226</v>
      </c>
      <c r="D13246" s="30" t="s">
        <v>2024</v>
      </c>
      <c r="F13246" s="30" t="s">
        <v>2074</v>
      </c>
      <c r="H13246" s="30" t="s">
        <v>2126</v>
      </c>
      <c r="J13246" s="30" t="s">
        <v>2127</v>
      </c>
      <c r="L13246" s="30" t="s">
        <v>161</v>
      </c>
      <c r="N13246" s="30" t="s">
        <v>174</v>
      </c>
      <c r="P13246" s="30" t="s">
        <v>18150</v>
      </c>
      <c r="Q13246" t="s">
        <v>621</v>
      </c>
      <c r="R13246" t="s">
        <v>920</v>
      </c>
      <c r="S13246">
        <v>39</v>
      </c>
      <c r="T13246" s="29" t="str">
        <f t="shared" si="551"/>
        <v>2023.013P.Potyviridae_rename_sp.zip</v>
      </c>
      <c r="U13246" s="29" t="str">
        <f>HYPERLINK("https://ictv.global/taxonomy/taxondetails?taxnode_id=202304710","ictv.global=202304710")</f>
        <v>ictv.global=202304710</v>
      </c>
    </row>
    <row r="13247" spans="1:21">
      <c r="A13247">
        <v>13246</v>
      </c>
      <c r="B13247" s="30" t="s">
        <v>1226</v>
      </c>
      <c r="D13247" s="30" t="s">
        <v>2024</v>
      </c>
      <c r="F13247" s="30" t="s">
        <v>2074</v>
      </c>
      <c r="H13247" s="30" t="s">
        <v>2126</v>
      </c>
      <c r="J13247" s="30" t="s">
        <v>2127</v>
      </c>
      <c r="L13247" s="30" t="s">
        <v>161</v>
      </c>
      <c r="N13247" s="30" t="s">
        <v>174</v>
      </c>
      <c r="P13247" s="30" t="s">
        <v>18151</v>
      </c>
      <c r="Q13247" t="s">
        <v>621</v>
      </c>
      <c r="R13247" t="s">
        <v>920</v>
      </c>
      <c r="S13247">
        <v>39</v>
      </c>
      <c r="T13247" s="29" t="str">
        <f t="shared" si="551"/>
        <v>2023.013P.Potyviridae_rename_sp.zip</v>
      </c>
      <c r="U13247" s="29" t="str">
        <f>HYPERLINK("https://ictv.global/taxonomy/taxondetails?taxnode_id=202304640","ictv.global=202304640")</f>
        <v>ictv.global=202304640</v>
      </c>
    </row>
    <row r="13248" spans="1:21">
      <c r="A13248">
        <v>13247</v>
      </c>
      <c r="B13248" s="30" t="s">
        <v>1226</v>
      </c>
      <c r="D13248" s="30" t="s">
        <v>2024</v>
      </c>
      <c r="F13248" s="30" t="s">
        <v>2074</v>
      </c>
      <c r="H13248" s="30" t="s">
        <v>2126</v>
      </c>
      <c r="J13248" s="30" t="s">
        <v>2127</v>
      </c>
      <c r="L13248" s="30" t="s">
        <v>161</v>
      </c>
      <c r="N13248" s="30" t="s">
        <v>174</v>
      </c>
      <c r="P13248" s="30" t="s">
        <v>18152</v>
      </c>
      <c r="Q13248" t="s">
        <v>621</v>
      </c>
      <c r="R13248" t="s">
        <v>920</v>
      </c>
      <c r="S13248">
        <v>39</v>
      </c>
      <c r="T13248" s="29" t="str">
        <f t="shared" si="551"/>
        <v>2023.013P.Potyviridae_rename_sp.zip</v>
      </c>
      <c r="U13248" s="29" t="str">
        <f>HYPERLINK("https://ictv.global/taxonomy/taxondetails?taxnode_id=202304709","ictv.global=202304709")</f>
        <v>ictv.global=202304709</v>
      </c>
    </row>
    <row r="13249" spans="1:21">
      <c r="A13249">
        <v>13248</v>
      </c>
      <c r="B13249" s="30" t="s">
        <v>1226</v>
      </c>
      <c r="D13249" s="30" t="s">
        <v>2024</v>
      </c>
      <c r="F13249" s="30" t="s">
        <v>2074</v>
      </c>
      <c r="H13249" s="30" t="s">
        <v>2126</v>
      </c>
      <c r="J13249" s="30" t="s">
        <v>2127</v>
      </c>
      <c r="L13249" s="30" t="s">
        <v>161</v>
      </c>
      <c r="N13249" s="30" t="s">
        <v>174</v>
      </c>
      <c r="P13249" s="30" t="s">
        <v>18153</v>
      </c>
      <c r="Q13249" t="s">
        <v>621</v>
      </c>
      <c r="R13249" t="s">
        <v>920</v>
      </c>
      <c r="S13249">
        <v>39</v>
      </c>
      <c r="T13249" s="29" t="str">
        <f t="shared" si="551"/>
        <v>2023.013P.Potyviridae_rename_sp.zip</v>
      </c>
      <c r="U13249" s="29" t="str">
        <f>HYPERLINK("https://ictv.global/taxonomy/taxondetails?taxnode_id=202304597","ictv.global=202304597")</f>
        <v>ictv.global=202304597</v>
      </c>
    </row>
    <row r="13250" spans="1:21">
      <c r="A13250">
        <v>13249</v>
      </c>
      <c r="B13250" s="30" t="s">
        <v>1226</v>
      </c>
      <c r="D13250" s="30" t="s">
        <v>2024</v>
      </c>
      <c r="F13250" s="30" t="s">
        <v>2074</v>
      </c>
      <c r="H13250" s="30" t="s">
        <v>2126</v>
      </c>
      <c r="J13250" s="30" t="s">
        <v>2127</v>
      </c>
      <c r="L13250" s="30" t="s">
        <v>161</v>
      </c>
      <c r="N13250" s="30" t="s">
        <v>174</v>
      </c>
      <c r="P13250" s="30" t="s">
        <v>11141</v>
      </c>
      <c r="Q13250" t="s">
        <v>621</v>
      </c>
      <c r="R13250" t="s">
        <v>917</v>
      </c>
      <c r="S13250">
        <v>38</v>
      </c>
      <c r="T13250" s="29" t="str">
        <f>HYPERLINK("https://ictv.global/ictv/proposals/2022.010P.Potyviridae_7ns.zip","2022.010P.Potyviridae_7ns.zip")</f>
        <v>2022.010P.Potyviridae_7ns.zip</v>
      </c>
      <c r="U13250" s="29" t="str">
        <f>HYPERLINK("https://ictv.global/taxonomy/taxondetails?taxnode_id=202315110","ictv.global=202315110")</f>
        <v>ictv.global=202315110</v>
      </c>
    </row>
    <row r="13251" spans="1:21">
      <c r="A13251">
        <v>13250</v>
      </c>
      <c r="B13251" s="30" t="s">
        <v>1226</v>
      </c>
      <c r="D13251" s="30" t="s">
        <v>2024</v>
      </c>
      <c r="F13251" s="30" t="s">
        <v>2074</v>
      </c>
      <c r="H13251" s="30" t="s">
        <v>2126</v>
      </c>
      <c r="J13251" s="30" t="s">
        <v>2127</v>
      </c>
      <c r="L13251" s="30" t="s">
        <v>161</v>
      </c>
      <c r="N13251" s="30" t="s">
        <v>174</v>
      </c>
      <c r="P13251" s="30" t="s">
        <v>18154</v>
      </c>
      <c r="Q13251" t="s">
        <v>621</v>
      </c>
      <c r="R13251" t="s">
        <v>920</v>
      </c>
      <c r="S13251">
        <v>39</v>
      </c>
      <c r="T13251" s="29" t="str">
        <f t="shared" ref="T13251:T13271" si="552">HYPERLINK("https://ictv.global/ictv/proposals/2023.013P.Potyviridae_rename_sp.zip","2023.013P.Potyviridae_rename_sp.zip")</f>
        <v>2023.013P.Potyviridae_rename_sp.zip</v>
      </c>
      <c r="U13251" s="29" t="str">
        <f>HYPERLINK("https://ictv.global/taxonomy/taxondetails?taxnode_id=202304639","ictv.global=202304639")</f>
        <v>ictv.global=202304639</v>
      </c>
    </row>
    <row r="13252" spans="1:21">
      <c r="A13252">
        <v>13251</v>
      </c>
      <c r="B13252" s="30" t="s">
        <v>1226</v>
      </c>
      <c r="D13252" s="30" t="s">
        <v>2024</v>
      </c>
      <c r="F13252" s="30" t="s">
        <v>2074</v>
      </c>
      <c r="H13252" s="30" t="s">
        <v>2126</v>
      </c>
      <c r="J13252" s="30" t="s">
        <v>2127</v>
      </c>
      <c r="L13252" s="30" t="s">
        <v>161</v>
      </c>
      <c r="N13252" s="30" t="s">
        <v>174</v>
      </c>
      <c r="P13252" s="30" t="s">
        <v>18155</v>
      </c>
      <c r="Q13252" t="s">
        <v>621</v>
      </c>
      <c r="R13252" t="s">
        <v>920</v>
      </c>
      <c r="S13252">
        <v>39</v>
      </c>
      <c r="T13252" s="29" t="str">
        <f t="shared" si="552"/>
        <v>2023.013P.Potyviridae_rename_sp.zip</v>
      </c>
      <c r="U13252" s="29" t="str">
        <f>HYPERLINK("https://ictv.global/taxonomy/taxondetails?taxnode_id=202304601","ictv.global=202304601")</f>
        <v>ictv.global=202304601</v>
      </c>
    </row>
    <row r="13253" spans="1:21">
      <c r="A13253">
        <v>13252</v>
      </c>
      <c r="B13253" s="30" t="s">
        <v>1226</v>
      </c>
      <c r="D13253" s="30" t="s">
        <v>2024</v>
      </c>
      <c r="F13253" s="30" t="s">
        <v>2074</v>
      </c>
      <c r="H13253" s="30" t="s">
        <v>2126</v>
      </c>
      <c r="J13253" s="30" t="s">
        <v>2127</v>
      </c>
      <c r="L13253" s="30" t="s">
        <v>161</v>
      </c>
      <c r="N13253" s="30" t="s">
        <v>174</v>
      </c>
      <c r="P13253" s="30" t="s">
        <v>18156</v>
      </c>
      <c r="Q13253" t="s">
        <v>621</v>
      </c>
      <c r="R13253" t="s">
        <v>920</v>
      </c>
      <c r="S13253">
        <v>39</v>
      </c>
      <c r="T13253" s="29" t="str">
        <f t="shared" si="552"/>
        <v>2023.013P.Potyviridae_rename_sp.zip</v>
      </c>
      <c r="U13253" s="29" t="str">
        <f>HYPERLINK("https://ictv.global/taxonomy/taxondetails?taxnode_id=202306676","ictv.global=202306676")</f>
        <v>ictv.global=202306676</v>
      </c>
    </row>
    <row r="13254" spans="1:21">
      <c r="A13254">
        <v>13253</v>
      </c>
      <c r="B13254" s="30" t="s">
        <v>1226</v>
      </c>
      <c r="D13254" s="30" t="s">
        <v>2024</v>
      </c>
      <c r="F13254" s="30" t="s">
        <v>2074</v>
      </c>
      <c r="H13254" s="30" t="s">
        <v>2126</v>
      </c>
      <c r="J13254" s="30" t="s">
        <v>2127</v>
      </c>
      <c r="L13254" s="30" t="s">
        <v>161</v>
      </c>
      <c r="N13254" s="30" t="s">
        <v>174</v>
      </c>
      <c r="P13254" s="30" t="s">
        <v>18157</v>
      </c>
      <c r="Q13254" t="s">
        <v>621</v>
      </c>
      <c r="R13254" t="s">
        <v>920</v>
      </c>
      <c r="S13254">
        <v>39</v>
      </c>
      <c r="T13254" s="29" t="str">
        <f t="shared" si="552"/>
        <v>2023.013P.Potyviridae_rename_sp.zip</v>
      </c>
      <c r="U13254" s="29" t="str">
        <f>HYPERLINK("https://ictv.global/taxonomy/taxondetails?taxnode_id=202309670","ictv.global=202309670")</f>
        <v>ictv.global=202309670</v>
      </c>
    </row>
    <row r="13255" spans="1:21">
      <c r="A13255">
        <v>13254</v>
      </c>
      <c r="B13255" s="30" t="s">
        <v>1226</v>
      </c>
      <c r="D13255" s="30" t="s">
        <v>2024</v>
      </c>
      <c r="F13255" s="30" t="s">
        <v>2074</v>
      </c>
      <c r="H13255" s="30" t="s">
        <v>2126</v>
      </c>
      <c r="J13255" s="30" t="s">
        <v>2127</v>
      </c>
      <c r="L13255" s="30" t="s">
        <v>161</v>
      </c>
      <c r="N13255" s="30" t="s">
        <v>174</v>
      </c>
      <c r="P13255" s="30" t="s">
        <v>18158</v>
      </c>
      <c r="Q13255" t="s">
        <v>621</v>
      </c>
      <c r="R13255" t="s">
        <v>920</v>
      </c>
      <c r="S13255">
        <v>39</v>
      </c>
      <c r="T13255" s="29" t="str">
        <f t="shared" si="552"/>
        <v>2023.013P.Potyviridae_rename_sp.zip</v>
      </c>
      <c r="U13255" s="29" t="str">
        <f>HYPERLINK("https://ictv.global/taxonomy/taxondetails?taxnode_id=202306675","ictv.global=202306675")</f>
        <v>ictv.global=202306675</v>
      </c>
    </row>
    <row r="13256" spans="1:21">
      <c r="A13256">
        <v>13255</v>
      </c>
      <c r="B13256" s="30" t="s">
        <v>1226</v>
      </c>
      <c r="D13256" s="30" t="s">
        <v>2024</v>
      </c>
      <c r="F13256" s="30" t="s">
        <v>2074</v>
      </c>
      <c r="H13256" s="30" t="s">
        <v>2126</v>
      </c>
      <c r="J13256" s="30" t="s">
        <v>2127</v>
      </c>
      <c r="L13256" s="30" t="s">
        <v>161</v>
      </c>
      <c r="N13256" s="30" t="s">
        <v>174</v>
      </c>
      <c r="P13256" s="30" t="s">
        <v>18159</v>
      </c>
      <c r="Q13256" t="s">
        <v>621</v>
      </c>
      <c r="R13256" t="s">
        <v>920</v>
      </c>
      <c r="S13256">
        <v>39</v>
      </c>
      <c r="T13256" s="29" t="str">
        <f t="shared" si="552"/>
        <v>2023.013P.Potyviridae_rename_sp.zip</v>
      </c>
      <c r="U13256" s="29" t="str">
        <f>HYPERLINK("https://ictv.global/taxonomy/taxondetails?taxnode_id=202306672","ictv.global=202306672")</f>
        <v>ictv.global=202306672</v>
      </c>
    </row>
    <row r="13257" spans="1:21">
      <c r="A13257">
        <v>13256</v>
      </c>
      <c r="B13257" s="30" t="s">
        <v>1226</v>
      </c>
      <c r="D13257" s="30" t="s">
        <v>2024</v>
      </c>
      <c r="F13257" s="30" t="s">
        <v>2074</v>
      </c>
      <c r="H13257" s="30" t="s">
        <v>2126</v>
      </c>
      <c r="J13257" s="30" t="s">
        <v>2127</v>
      </c>
      <c r="L13257" s="30" t="s">
        <v>161</v>
      </c>
      <c r="N13257" s="30" t="s">
        <v>174</v>
      </c>
      <c r="P13257" s="30" t="s">
        <v>18160</v>
      </c>
      <c r="Q13257" t="s">
        <v>621</v>
      </c>
      <c r="R13257" t="s">
        <v>920</v>
      </c>
      <c r="S13257">
        <v>39</v>
      </c>
      <c r="T13257" s="29" t="str">
        <f t="shared" si="552"/>
        <v>2023.013P.Potyviridae_rename_sp.zip</v>
      </c>
      <c r="U13257" s="29" t="str">
        <f>HYPERLINK("https://ictv.global/taxonomy/taxondetails?taxnode_id=202304722","ictv.global=202304722")</f>
        <v>ictv.global=202304722</v>
      </c>
    </row>
    <row r="13258" spans="1:21">
      <c r="A13258">
        <v>13257</v>
      </c>
      <c r="B13258" s="30" t="s">
        <v>1226</v>
      </c>
      <c r="D13258" s="30" t="s">
        <v>2024</v>
      </c>
      <c r="F13258" s="30" t="s">
        <v>2074</v>
      </c>
      <c r="H13258" s="30" t="s">
        <v>2126</v>
      </c>
      <c r="J13258" s="30" t="s">
        <v>2127</v>
      </c>
      <c r="L13258" s="30" t="s">
        <v>161</v>
      </c>
      <c r="N13258" s="30" t="s">
        <v>174</v>
      </c>
      <c r="P13258" s="30" t="s">
        <v>18161</v>
      </c>
      <c r="Q13258" t="s">
        <v>621</v>
      </c>
      <c r="R13258" t="s">
        <v>920</v>
      </c>
      <c r="S13258">
        <v>39</v>
      </c>
      <c r="T13258" s="29" t="str">
        <f t="shared" si="552"/>
        <v>2023.013P.Potyviridae_rename_sp.zip</v>
      </c>
      <c r="U13258" s="29" t="str">
        <f>HYPERLINK("https://ictv.global/taxonomy/taxondetails?taxnode_id=202304629","ictv.global=202304629")</f>
        <v>ictv.global=202304629</v>
      </c>
    </row>
    <row r="13259" spans="1:21">
      <c r="A13259">
        <v>13258</v>
      </c>
      <c r="B13259" s="30" t="s">
        <v>1226</v>
      </c>
      <c r="D13259" s="30" t="s">
        <v>2024</v>
      </c>
      <c r="F13259" s="30" t="s">
        <v>2074</v>
      </c>
      <c r="H13259" s="30" t="s">
        <v>2126</v>
      </c>
      <c r="J13259" s="30" t="s">
        <v>2127</v>
      </c>
      <c r="L13259" s="30" t="s">
        <v>161</v>
      </c>
      <c r="N13259" s="30" t="s">
        <v>174</v>
      </c>
      <c r="P13259" s="30" t="s">
        <v>18162</v>
      </c>
      <c r="Q13259" t="s">
        <v>621</v>
      </c>
      <c r="R13259" t="s">
        <v>920</v>
      </c>
      <c r="S13259">
        <v>39</v>
      </c>
      <c r="T13259" s="29" t="str">
        <f t="shared" si="552"/>
        <v>2023.013P.Potyviridae_rename_sp.zip</v>
      </c>
      <c r="U13259" s="29" t="str">
        <f>HYPERLINK("https://ictv.global/taxonomy/taxondetails?taxnode_id=202304603","ictv.global=202304603")</f>
        <v>ictv.global=202304603</v>
      </c>
    </row>
    <row r="13260" spans="1:21">
      <c r="A13260">
        <v>13259</v>
      </c>
      <c r="B13260" s="30" t="s">
        <v>1226</v>
      </c>
      <c r="D13260" s="30" t="s">
        <v>2024</v>
      </c>
      <c r="F13260" s="30" t="s">
        <v>2074</v>
      </c>
      <c r="H13260" s="30" t="s">
        <v>2126</v>
      </c>
      <c r="J13260" s="30" t="s">
        <v>2127</v>
      </c>
      <c r="L13260" s="30" t="s">
        <v>161</v>
      </c>
      <c r="N13260" s="30" t="s">
        <v>174</v>
      </c>
      <c r="P13260" s="30" t="s">
        <v>18163</v>
      </c>
      <c r="Q13260" t="s">
        <v>621</v>
      </c>
      <c r="R13260" t="s">
        <v>920</v>
      </c>
      <c r="S13260">
        <v>39</v>
      </c>
      <c r="T13260" s="29" t="str">
        <f t="shared" si="552"/>
        <v>2023.013P.Potyviridae_rename_sp.zip</v>
      </c>
      <c r="U13260" s="29" t="str">
        <f>HYPERLINK("https://ictv.global/taxonomy/taxondetails?taxnode_id=202304604","ictv.global=202304604")</f>
        <v>ictv.global=202304604</v>
      </c>
    </row>
    <row r="13261" spans="1:21">
      <c r="A13261">
        <v>13260</v>
      </c>
      <c r="B13261" s="30" t="s">
        <v>1226</v>
      </c>
      <c r="D13261" s="30" t="s">
        <v>2024</v>
      </c>
      <c r="F13261" s="30" t="s">
        <v>2074</v>
      </c>
      <c r="H13261" s="30" t="s">
        <v>2126</v>
      </c>
      <c r="J13261" s="30" t="s">
        <v>2127</v>
      </c>
      <c r="L13261" s="30" t="s">
        <v>161</v>
      </c>
      <c r="N13261" s="30" t="s">
        <v>174</v>
      </c>
      <c r="P13261" s="30" t="s">
        <v>18164</v>
      </c>
      <c r="Q13261" t="s">
        <v>621</v>
      </c>
      <c r="R13261" t="s">
        <v>920</v>
      </c>
      <c r="S13261">
        <v>39</v>
      </c>
      <c r="T13261" s="29" t="str">
        <f t="shared" si="552"/>
        <v>2023.013P.Potyviridae_rename_sp.zip</v>
      </c>
      <c r="U13261" s="29" t="str">
        <f>HYPERLINK("https://ictv.global/taxonomy/taxondetails?taxnode_id=202304599","ictv.global=202304599")</f>
        <v>ictv.global=202304599</v>
      </c>
    </row>
    <row r="13262" spans="1:21">
      <c r="A13262">
        <v>13261</v>
      </c>
      <c r="B13262" s="30" t="s">
        <v>1226</v>
      </c>
      <c r="D13262" s="30" t="s">
        <v>2024</v>
      </c>
      <c r="F13262" s="30" t="s">
        <v>2074</v>
      </c>
      <c r="H13262" s="30" t="s">
        <v>2126</v>
      </c>
      <c r="J13262" s="30" t="s">
        <v>2127</v>
      </c>
      <c r="L13262" s="30" t="s">
        <v>161</v>
      </c>
      <c r="N13262" s="30" t="s">
        <v>174</v>
      </c>
      <c r="P13262" s="30" t="s">
        <v>18165</v>
      </c>
      <c r="Q13262" t="s">
        <v>621</v>
      </c>
      <c r="R13262" t="s">
        <v>920</v>
      </c>
      <c r="S13262">
        <v>39</v>
      </c>
      <c r="T13262" s="29" t="str">
        <f t="shared" si="552"/>
        <v>2023.013P.Potyviridae_rename_sp.zip</v>
      </c>
      <c r="U13262" s="29" t="str">
        <f>HYPERLINK("https://ictv.global/taxonomy/taxondetails?taxnode_id=202304605","ictv.global=202304605")</f>
        <v>ictv.global=202304605</v>
      </c>
    </row>
    <row r="13263" spans="1:21">
      <c r="A13263">
        <v>13262</v>
      </c>
      <c r="B13263" s="30" t="s">
        <v>1226</v>
      </c>
      <c r="D13263" s="30" t="s">
        <v>2024</v>
      </c>
      <c r="F13263" s="30" t="s">
        <v>2074</v>
      </c>
      <c r="H13263" s="30" t="s">
        <v>2126</v>
      </c>
      <c r="J13263" s="30" t="s">
        <v>2127</v>
      </c>
      <c r="L13263" s="30" t="s">
        <v>161</v>
      </c>
      <c r="N13263" s="30" t="s">
        <v>174</v>
      </c>
      <c r="P13263" s="30" t="s">
        <v>18166</v>
      </c>
      <c r="Q13263" t="s">
        <v>621</v>
      </c>
      <c r="R13263" t="s">
        <v>920</v>
      </c>
      <c r="S13263">
        <v>39</v>
      </c>
      <c r="T13263" s="29" t="str">
        <f t="shared" si="552"/>
        <v>2023.013P.Potyviridae_rename_sp.zip</v>
      </c>
      <c r="U13263" s="29" t="str">
        <f>HYPERLINK("https://ictv.global/taxonomy/taxondetails?taxnode_id=202304606","ictv.global=202304606")</f>
        <v>ictv.global=202304606</v>
      </c>
    </row>
    <row r="13264" spans="1:21">
      <c r="A13264">
        <v>13263</v>
      </c>
      <c r="B13264" s="30" t="s">
        <v>1226</v>
      </c>
      <c r="D13264" s="30" t="s">
        <v>2024</v>
      </c>
      <c r="F13264" s="30" t="s">
        <v>2074</v>
      </c>
      <c r="H13264" s="30" t="s">
        <v>2126</v>
      </c>
      <c r="J13264" s="30" t="s">
        <v>2127</v>
      </c>
      <c r="L13264" s="30" t="s">
        <v>161</v>
      </c>
      <c r="N13264" s="30" t="s">
        <v>174</v>
      </c>
      <c r="P13264" s="30" t="s">
        <v>18167</v>
      </c>
      <c r="Q13264" t="s">
        <v>621</v>
      </c>
      <c r="R13264" t="s">
        <v>920</v>
      </c>
      <c r="S13264">
        <v>39</v>
      </c>
      <c r="T13264" s="29" t="str">
        <f t="shared" si="552"/>
        <v>2023.013P.Potyviridae_rename_sp.zip</v>
      </c>
      <c r="U13264" s="29" t="str">
        <f>HYPERLINK("https://ictv.global/taxonomy/taxondetails?taxnode_id=202304607","ictv.global=202304607")</f>
        <v>ictv.global=202304607</v>
      </c>
    </row>
    <row r="13265" spans="1:21">
      <c r="A13265">
        <v>13264</v>
      </c>
      <c r="B13265" s="30" t="s">
        <v>1226</v>
      </c>
      <c r="D13265" s="30" t="s">
        <v>2024</v>
      </c>
      <c r="F13265" s="30" t="s">
        <v>2074</v>
      </c>
      <c r="H13265" s="30" t="s">
        <v>2126</v>
      </c>
      <c r="J13265" s="30" t="s">
        <v>2127</v>
      </c>
      <c r="L13265" s="30" t="s">
        <v>161</v>
      </c>
      <c r="N13265" s="30" t="s">
        <v>174</v>
      </c>
      <c r="P13265" s="30" t="s">
        <v>18168</v>
      </c>
      <c r="Q13265" t="s">
        <v>621</v>
      </c>
      <c r="R13265" t="s">
        <v>920</v>
      </c>
      <c r="S13265">
        <v>39</v>
      </c>
      <c r="T13265" s="29" t="str">
        <f t="shared" si="552"/>
        <v>2023.013P.Potyviridae_rename_sp.zip</v>
      </c>
      <c r="U13265" s="29" t="str">
        <f>HYPERLINK("https://ictv.global/taxonomy/taxondetails?taxnode_id=202307431","ictv.global=202307431")</f>
        <v>ictv.global=202307431</v>
      </c>
    </row>
    <row r="13266" spans="1:21">
      <c r="A13266">
        <v>13265</v>
      </c>
      <c r="B13266" s="30" t="s">
        <v>1226</v>
      </c>
      <c r="D13266" s="30" t="s">
        <v>2024</v>
      </c>
      <c r="F13266" s="30" t="s">
        <v>2074</v>
      </c>
      <c r="H13266" s="30" t="s">
        <v>2126</v>
      </c>
      <c r="J13266" s="30" t="s">
        <v>2127</v>
      </c>
      <c r="L13266" s="30" t="s">
        <v>161</v>
      </c>
      <c r="N13266" s="30" t="s">
        <v>174</v>
      </c>
      <c r="P13266" s="30" t="s">
        <v>18169</v>
      </c>
      <c r="Q13266" t="s">
        <v>621</v>
      </c>
      <c r="R13266" t="s">
        <v>920</v>
      </c>
      <c r="S13266">
        <v>39</v>
      </c>
      <c r="T13266" s="29" t="str">
        <f t="shared" si="552"/>
        <v>2023.013P.Potyviridae_rename_sp.zip</v>
      </c>
      <c r="U13266" s="29" t="str">
        <f>HYPERLINK("https://ictv.global/taxonomy/taxondetails?taxnode_id=202304588","ictv.global=202304588")</f>
        <v>ictv.global=202304588</v>
      </c>
    </row>
    <row r="13267" spans="1:21">
      <c r="A13267">
        <v>13266</v>
      </c>
      <c r="B13267" s="30" t="s">
        <v>1226</v>
      </c>
      <c r="D13267" s="30" t="s">
        <v>2024</v>
      </c>
      <c r="F13267" s="30" t="s">
        <v>2074</v>
      </c>
      <c r="H13267" s="30" t="s">
        <v>2126</v>
      </c>
      <c r="J13267" s="30" t="s">
        <v>2127</v>
      </c>
      <c r="L13267" s="30" t="s">
        <v>161</v>
      </c>
      <c r="N13267" s="30" t="s">
        <v>174</v>
      </c>
      <c r="P13267" s="30" t="s">
        <v>18170</v>
      </c>
      <c r="Q13267" t="s">
        <v>621</v>
      </c>
      <c r="R13267" t="s">
        <v>920</v>
      </c>
      <c r="S13267">
        <v>39</v>
      </c>
      <c r="T13267" s="29" t="str">
        <f t="shared" si="552"/>
        <v>2023.013P.Potyviridae_rename_sp.zip</v>
      </c>
      <c r="U13267" s="29" t="str">
        <f>HYPERLINK("https://ictv.global/taxonomy/taxondetails?taxnode_id=202307432","ictv.global=202307432")</f>
        <v>ictv.global=202307432</v>
      </c>
    </row>
    <row r="13268" spans="1:21">
      <c r="A13268">
        <v>13267</v>
      </c>
      <c r="B13268" s="30" t="s">
        <v>1226</v>
      </c>
      <c r="D13268" s="30" t="s">
        <v>2024</v>
      </c>
      <c r="F13268" s="30" t="s">
        <v>2074</v>
      </c>
      <c r="H13268" s="30" t="s">
        <v>2126</v>
      </c>
      <c r="J13268" s="30" t="s">
        <v>2127</v>
      </c>
      <c r="L13268" s="30" t="s">
        <v>161</v>
      </c>
      <c r="N13268" s="30" t="s">
        <v>174</v>
      </c>
      <c r="P13268" s="30" t="s">
        <v>18171</v>
      </c>
      <c r="Q13268" t="s">
        <v>621</v>
      </c>
      <c r="R13268" t="s">
        <v>920</v>
      </c>
      <c r="S13268">
        <v>39</v>
      </c>
      <c r="T13268" s="29" t="str">
        <f t="shared" si="552"/>
        <v>2023.013P.Potyviridae_rename_sp.zip</v>
      </c>
      <c r="U13268" s="29" t="str">
        <f>HYPERLINK("https://ictv.global/taxonomy/taxondetails?taxnode_id=202304688","ictv.global=202304688")</f>
        <v>ictv.global=202304688</v>
      </c>
    </row>
    <row r="13269" spans="1:21">
      <c r="A13269">
        <v>13268</v>
      </c>
      <c r="B13269" s="30" t="s">
        <v>1226</v>
      </c>
      <c r="D13269" s="30" t="s">
        <v>2024</v>
      </c>
      <c r="F13269" s="30" t="s">
        <v>2074</v>
      </c>
      <c r="H13269" s="30" t="s">
        <v>2126</v>
      </c>
      <c r="J13269" s="30" t="s">
        <v>2127</v>
      </c>
      <c r="L13269" s="30" t="s">
        <v>161</v>
      </c>
      <c r="N13269" s="30" t="s">
        <v>174</v>
      </c>
      <c r="P13269" s="30" t="s">
        <v>18172</v>
      </c>
      <c r="Q13269" t="s">
        <v>621</v>
      </c>
      <c r="R13269" t="s">
        <v>920</v>
      </c>
      <c r="S13269">
        <v>39</v>
      </c>
      <c r="T13269" s="29" t="str">
        <f t="shared" si="552"/>
        <v>2023.013P.Potyviridae_rename_sp.zip</v>
      </c>
      <c r="U13269" s="29" t="str">
        <f>HYPERLINK("https://ictv.global/taxonomy/taxondetails?taxnode_id=202304698","ictv.global=202304698")</f>
        <v>ictv.global=202304698</v>
      </c>
    </row>
    <row r="13270" spans="1:21">
      <c r="A13270">
        <v>13269</v>
      </c>
      <c r="B13270" s="30" t="s">
        <v>1226</v>
      </c>
      <c r="D13270" s="30" t="s">
        <v>2024</v>
      </c>
      <c r="F13270" s="30" t="s">
        <v>2074</v>
      </c>
      <c r="H13270" s="30" t="s">
        <v>2126</v>
      </c>
      <c r="J13270" s="30" t="s">
        <v>2127</v>
      </c>
      <c r="L13270" s="30" t="s">
        <v>161</v>
      </c>
      <c r="N13270" s="30" t="s">
        <v>174</v>
      </c>
      <c r="P13270" s="30" t="s">
        <v>18173</v>
      </c>
      <c r="Q13270" t="s">
        <v>621</v>
      </c>
      <c r="R13270" t="s">
        <v>920</v>
      </c>
      <c r="S13270">
        <v>39</v>
      </c>
      <c r="T13270" s="29" t="str">
        <f t="shared" si="552"/>
        <v>2023.013P.Potyviridae_rename_sp.zip</v>
      </c>
      <c r="U13270" s="29" t="str">
        <f>HYPERLINK("https://ictv.global/taxonomy/taxondetails?taxnode_id=202304567","ictv.global=202304567")</f>
        <v>ictv.global=202304567</v>
      </c>
    </row>
    <row r="13271" spans="1:21">
      <c r="A13271">
        <v>13270</v>
      </c>
      <c r="B13271" s="30" t="s">
        <v>1226</v>
      </c>
      <c r="D13271" s="30" t="s">
        <v>2024</v>
      </c>
      <c r="F13271" s="30" t="s">
        <v>2074</v>
      </c>
      <c r="H13271" s="30" t="s">
        <v>2126</v>
      </c>
      <c r="J13271" s="30" t="s">
        <v>2127</v>
      </c>
      <c r="L13271" s="30" t="s">
        <v>161</v>
      </c>
      <c r="N13271" s="30" t="s">
        <v>174</v>
      </c>
      <c r="P13271" s="30" t="s">
        <v>18174</v>
      </c>
      <c r="Q13271" t="s">
        <v>621</v>
      </c>
      <c r="R13271" t="s">
        <v>920</v>
      </c>
      <c r="S13271">
        <v>39</v>
      </c>
      <c r="T13271" s="29" t="str">
        <f t="shared" si="552"/>
        <v>2023.013P.Potyviridae_rename_sp.zip</v>
      </c>
      <c r="U13271" s="29" t="str">
        <f>HYPERLINK("https://ictv.global/taxonomy/taxondetails?taxnode_id=202304612","ictv.global=202304612")</f>
        <v>ictv.global=202304612</v>
      </c>
    </row>
    <row r="13272" spans="1:21">
      <c r="A13272">
        <v>13271</v>
      </c>
      <c r="B13272" s="30" t="s">
        <v>1226</v>
      </c>
      <c r="D13272" s="30" t="s">
        <v>2024</v>
      </c>
      <c r="F13272" s="30" t="s">
        <v>2074</v>
      </c>
      <c r="H13272" s="30" t="s">
        <v>2126</v>
      </c>
      <c r="J13272" s="30" t="s">
        <v>2127</v>
      </c>
      <c r="L13272" s="30" t="s">
        <v>161</v>
      </c>
      <c r="N13272" s="30" t="s">
        <v>174</v>
      </c>
      <c r="P13272" s="30" t="s">
        <v>11142</v>
      </c>
      <c r="Q13272" t="s">
        <v>621</v>
      </c>
      <c r="R13272" t="s">
        <v>917</v>
      </c>
      <c r="S13272">
        <v>37</v>
      </c>
      <c r="T13272" s="29" t="str">
        <f>HYPERLINK("https://ictv.global/ictv/proposals/2021.006P.R.Potyvirus_5ns_3as.zip","2021.006P.R.Potyvirus_5ns_3as.zip")</f>
        <v>2021.006P.R.Potyvirus_5ns_3as.zip</v>
      </c>
      <c r="U13272" s="29" t="str">
        <f>HYPERLINK("https://ictv.global/taxonomy/taxondetails?taxnode_id=202313838","ictv.global=202313838")</f>
        <v>ictv.global=202313838</v>
      </c>
    </row>
    <row r="13273" spans="1:21">
      <c r="A13273">
        <v>13272</v>
      </c>
      <c r="B13273" s="30" t="s">
        <v>1226</v>
      </c>
      <c r="D13273" s="30" t="s">
        <v>2024</v>
      </c>
      <c r="F13273" s="30" t="s">
        <v>2074</v>
      </c>
      <c r="H13273" s="30" t="s">
        <v>2126</v>
      </c>
      <c r="J13273" s="30" t="s">
        <v>2127</v>
      </c>
      <c r="L13273" s="30" t="s">
        <v>161</v>
      </c>
      <c r="N13273" s="30" t="s">
        <v>174</v>
      </c>
      <c r="P13273" s="30" t="s">
        <v>18175</v>
      </c>
      <c r="Q13273" t="s">
        <v>621</v>
      </c>
      <c r="R13273" t="s">
        <v>920</v>
      </c>
      <c r="S13273">
        <v>39</v>
      </c>
      <c r="T13273" s="29" t="str">
        <f>HYPERLINK("https://ictv.global/ictv/proposals/2023.013P.Potyviridae_rename_sp.zip","2023.013P.Potyviridae_rename_sp.zip")</f>
        <v>2023.013P.Potyviridae_rename_sp.zip</v>
      </c>
      <c r="U13273" s="29" t="str">
        <f>HYPERLINK("https://ictv.global/taxonomy/taxondetails?taxnode_id=202304613","ictv.global=202304613")</f>
        <v>ictv.global=202304613</v>
      </c>
    </row>
    <row r="13274" spans="1:21">
      <c r="A13274">
        <v>13273</v>
      </c>
      <c r="B13274" s="30" t="s">
        <v>1226</v>
      </c>
      <c r="D13274" s="30" t="s">
        <v>2024</v>
      </c>
      <c r="F13274" s="30" t="s">
        <v>2074</v>
      </c>
      <c r="H13274" s="30" t="s">
        <v>2126</v>
      </c>
      <c r="J13274" s="30" t="s">
        <v>2127</v>
      </c>
      <c r="L13274" s="30" t="s">
        <v>161</v>
      </c>
      <c r="N13274" s="30" t="s">
        <v>174</v>
      </c>
      <c r="P13274" s="30" t="s">
        <v>18176</v>
      </c>
      <c r="Q13274" t="s">
        <v>621</v>
      </c>
      <c r="R13274" t="s">
        <v>920</v>
      </c>
      <c r="S13274">
        <v>39</v>
      </c>
      <c r="T13274" s="29" t="str">
        <f>HYPERLINK("https://ictv.global/ictv/proposals/2023.013P.Potyviridae_rename_sp.zip","2023.013P.Potyviridae_rename_sp.zip")</f>
        <v>2023.013P.Potyviridae_rename_sp.zip</v>
      </c>
      <c r="U13274" s="29" t="str">
        <f>HYPERLINK("https://ictv.global/taxonomy/taxondetails?taxnode_id=202304614","ictv.global=202304614")</f>
        <v>ictv.global=202304614</v>
      </c>
    </row>
    <row r="13275" spans="1:21">
      <c r="A13275">
        <v>13274</v>
      </c>
      <c r="B13275" s="30" t="s">
        <v>1226</v>
      </c>
      <c r="D13275" s="30" t="s">
        <v>2024</v>
      </c>
      <c r="F13275" s="30" t="s">
        <v>2074</v>
      </c>
      <c r="H13275" s="30" t="s">
        <v>2126</v>
      </c>
      <c r="J13275" s="30" t="s">
        <v>2127</v>
      </c>
      <c r="L13275" s="30" t="s">
        <v>161</v>
      </c>
      <c r="N13275" s="30" t="s">
        <v>174</v>
      </c>
      <c r="P13275" s="30" t="s">
        <v>18177</v>
      </c>
      <c r="Q13275" t="s">
        <v>621</v>
      </c>
      <c r="R13275" t="s">
        <v>920</v>
      </c>
      <c r="S13275">
        <v>39</v>
      </c>
      <c r="T13275" s="29" t="str">
        <f>HYPERLINK("https://ictv.global/ictv/proposals/2023.013P.Potyviridae_rename_sp.zip","2023.013P.Potyviridae_rename_sp.zip")</f>
        <v>2023.013P.Potyviridae_rename_sp.zip</v>
      </c>
      <c r="U13275" s="29" t="str">
        <f>HYPERLINK("https://ictv.global/taxonomy/taxondetails?taxnode_id=202304690","ictv.global=202304690")</f>
        <v>ictv.global=202304690</v>
      </c>
    </row>
    <row r="13276" spans="1:21">
      <c r="A13276">
        <v>13275</v>
      </c>
      <c r="B13276" s="30" t="s">
        <v>1226</v>
      </c>
      <c r="D13276" s="30" t="s">
        <v>2024</v>
      </c>
      <c r="F13276" s="30" t="s">
        <v>2074</v>
      </c>
      <c r="H13276" s="30" t="s">
        <v>2126</v>
      </c>
      <c r="J13276" s="30" t="s">
        <v>2127</v>
      </c>
      <c r="L13276" s="30" t="s">
        <v>161</v>
      </c>
      <c r="N13276" s="30" t="s">
        <v>174</v>
      </c>
      <c r="P13276" s="30" t="s">
        <v>11143</v>
      </c>
      <c r="Q13276" t="s">
        <v>621</v>
      </c>
      <c r="R13276" t="s">
        <v>917</v>
      </c>
      <c r="S13276">
        <v>38</v>
      </c>
      <c r="T13276" s="29" t="str">
        <f>HYPERLINK("https://ictv.global/ictv/proposals/2022.010P.Potyviridae_7ns.zip","2022.010P.Potyviridae_7ns.zip")</f>
        <v>2022.010P.Potyviridae_7ns.zip</v>
      </c>
      <c r="U13276" s="29" t="str">
        <f>HYPERLINK("https://ictv.global/taxonomy/taxondetails?taxnode_id=202315111","ictv.global=202315111")</f>
        <v>ictv.global=202315111</v>
      </c>
    </row>
    <row r="13277" spans="1:21">
      <c r="A13277">
        <v>13276</v>
      </c>
      <c r="B13277" s="30" t="s">
        <v>1226</v>
      </c>
      <c r="D13277" s="30" t="s">
        <v>2024</v>
      </c>
      <c r="F13277" s="30" t="s">
        <v>2074</v>
      </c>
      <c r="H13277" s="30" t="s">
        <v>2126</v>
      </c>
      <c r="J13277" s="30" t="s">
        <v>2127</v>
      </c>
      <c r="L13277" s="30" t="s">
        <v>161</v>
      </c>
      <c r="N13277" s="30" t="s">
        <v>174</v>
      </c>
      <c r="P13277" s="30" t="s">
        <v>18178</v>
      </c>
      <c r="Q13277" t="s">
        <v>621</v>
      </c>
      <c r="R13277" t="s">
        <v>920</v>
      </c>
      <c r="S13277">
        <v>39</v>
      </c>
      <c r="T13277" s="29" t="str">
        <f t="shared" ref="T13277:T13306" si="553">HYPERLINK("https://ictv.global/ictv/proposals/2023.013P.Potyviridae_rename_sp.zip","2023.013P.Potyviridae_rename_sp.zip")</f>
        <v>2023.013P.Potyviridae_rename_sp.zip</v>
      </c>
      <c r="U13277" s="29" t="str">
        <f>HYPERLINK("https://ictv.global/taxonomy/taxondetails?taxnode_id=202304615","ictv.global=202304615")</f>
        <v>ictv.global=202304615</v>
      </c>
    </row>
    <row r="13278" spans="1:21">
      <c r="A13278">
        <v>13277</v>
      </c>
      <c r="B13278" s="30" t="s">
        <v>1226</v>
      </c>
      <c r="D13278" s="30" t="s">
        <v>2024</v>
      </c>
      <c r="F13278" s="30" t="s">
        <v>2074</v>
      </c>
      <c r="H13278" s="30" t="s">
        <v>2126</v>
      </c>
      <c r="J13278" s="30" t="s">
        <v>2127</v>
      </c>
      <c r="L13278" s="30" t="s">
        <v>161</v>
      </c>
      <c r="N13278" s="30" t="s">
        <v>174</v>
      </c>
      <c r="P13278" s="30" t="s">
        <v>18179</v>
      </c>
      <c r="Q13278" t="s">
        <v>621</v>
      </c>
      <c r="R13278" t="s">
        <v>920</v>
      </c>
      <c r="S13278">
        <v>39</v>
      </c>
      <c r="T13278" s="29" t="str">
        <f t="shared" si="553"/>
        <v>2023.013P.Potyviridae_rename_sp.zip</v>
      </c>
      <c r="U13278" s="29" t="str">
        <f>HYPERLINK("https://ictv.global/taxonomy/taxondetails?taxnode_id=202304679","ictv.global=202304679")</f>
        <v>ictv.global=202304679</v>
      </c>
    </row>
    <row r="13279" spans="1:21">
      <c r="A13279">
        <v>13278</v>
      </c>
      <c r="B13279" s="30" t="s">
        <v>1226</v>
      </c>
      <c r="D13279" s="30" t="s">
        <v>2024</v>
      </c>
      <c r="F13279" s="30" t="s">
        <v>2074</v>
      </c>
      <c r="H13279" s="30" t="s">
        <v>2126</v>
      </c>
      <c r="J13279" s="30" t="s">
        <v>2127</v>
      </c>
      <c r="L13279" s="30" t="s">
        <v>161</v>
      </c>
      <c r="N13279" s="30" t="s">
        <v>174</v>
      </c>
      <c r="P13279" s="30" t="s">
        <v>18180</v>
      </c>
      <c r="Q13279" t="s">
        <v>621</v>
      </c>
      <c r="R13279" t="s">
        <v>920</v>
      </c>
      <c r="S13279">
        <v>39</v>
      </c>
      <c r="T13279" s="29" t="str">
        <f t="shared" si="553"/>
        <v>2023.013P.Potyviridae_rename_sp.zip</v>
      </c>
      <c r="U13279" s="29" t="str">
        <f>HYPERLINK("https://ictv.global/taxonomy/taxondetails?taxnode_id=202307434","ictv.global=202307434")</f>
        <v>ictv.global=202307434</v>
      </c>
    </row>
    <row r="13280" spans="1:21">
      <c r="A13280">
        <v>13279</v>
      </c>
      <c r="B13280" s="30" t="s">
        <v>1226</v>
      </c>
      <c r="D13280" s="30" t="s">
        <v>2024</v>
      </c>
      <c r="F13280" s="30" t="s">
        <v>2074</v>
      </c>
      <c r="H13280" s="30" t="s">
        <v>2126</v>
      </c>
      <c r="J13280" s="30" t="s">
        <v>2127</v>
      </c>
      <c r="L13280" s="30" t="s">
        <v>161</v>
      </c>
      <c r="N13280" s="30" t="s">
        <v>174</v>
      </c>
      <c r="P13280" s="30" t="s">
        <v>18181</v>
      </c>
      <c r="Q13280" t="s">
        <v>621</v>
      </c>
      <c r="R13280" t="s">
        <v>920</v>
      </c>
      <c r="S13280">
        <v>39</v>
      </c>
      <c r="T13280" s="29" t="str">
        <f t="shared" si="553"/>
        <v>2023.013P.Potyviridae_rename_sp.zip</v>
      </c>
      <c r="U13280" s="29" t="str">
        <f>HYPERLINK("https://ictv.global/taxonomy/taxondetails?taxnode_id=202304616","ictv.global=202304616")</f>
        <v>ictv.global=202304616</v>
      </c>
    </row>
    <row r="13281" spans="1:21">
      <c r="A13281">
        <v>13280</v>
      </c>
      <c r="B13281" s="30" t="s">
        <v>1226</v>
      </c>
      <c r="D13281" s="30" t="s">
        <v>2024</v>
      </c>
      <c r="F13281" s="30" t="s">
        <v>2074</v>
      </c>
      <c r="H13281" s="30" t="s">
        <v>2126</v>
      </c>
      <c r="J13281" s="30" t="s">
        <v>2127</v>
      </c>
      <c r="L13281" s="30" t="s">
        <v>161</v>
      </c>
      <c r="N13281" s="30" t="s">
        <v>174</v>
      </c>
      <c r="P13281" s="30" t="s">
        <v>18182</v>
      </c>
      <c r="Q13281" t="s">
        <v>621</v>
      </c>
      <c r="R13281" t="s">
        <v>920</v>
      </c>
      <c r="S13281">
        <v>39</v>
      </c>
      <c r="T13281" s="29" t="str">
        <f t="shared" si="553"/>
        <v>2023.013P.Potyviridae_rename_sp.zip</v>
      </c>
      <c r="U13281" s="29" t="str">
        <f>HYPERLINK("https://ictv.global/taxonomy/taxondetails?taxnode_id=202304627","ictv.global=202304627")</f>
        <v>ictv.global=202304627</v>
      </c>
    </row>
    <row r="13282" spans="1:21">
      <c r="A13282">
        <v>13281</v>
      </c>
      <c r="B13282" s="30" t="s">
        <v>1226</v>
      </c>
      <c r="D13282" s="30" t="s">
        <v>2024</v>
      </c>
      <c r="F13282" s="30" t="s">
        <v>2074</v>
      </c>
      <c r="H13282" s="30" t="s">
        <v>2126</v>
      </c>
      <c r="J13282" s="30" t="s">
        <v>2127</v>
      </c>
      <c r="L13282" s="30" t="s">
        <v>161</v>
      </c>
      <c r="N13282" s="30" t="s">
        <v>174</v>
      </c>
      <c r="P13282" s="30" t="s">
        <v>18183</v>
      </c>
      <c r="Q13282" t="s">
        <v>621</v>
      </c>
      <c r="R13282" t="s">
        <v>920</v>
      </c>
      <c r="S13282">
        <v>39</v>
      </c>
      <c r="T13282" s="29" t="str">
        <f t="shared" si="553"/>
        <v>2023.013P.Potyviridae_rename_sp.zip</v>
      </c>
      <c r="U13282" s="29" t="str">
        <f>HYPERLINK("https://ictv.global/taxonomy/taxondetails?taxnode_id=202304617","ictv.global=202304617")</f>
        <v>ictv.global=202304617</v>
      </c>
    </row>
    <row r="13283" spans="1:21">
      <c r="A13283">
        <v>13282</v>
      </c>
      <c r="B13283" s="30" t="s">
        <v>1226</v>
      </c>
      <c r="D13283" s="30" t="s">
        <v>2024</v>
      </c>
      <c r="F13283" s="30" t="s">
        <v>2074</v>
      </c>
      <c r="H13283" s="30" t="s">
        <v>2126</v>
      </c>
      <c r="J13283" s="30" t="s">
        <v>2127</v>
      </c>
      <c r="L13283" s="30" t="s">
        <v>161</v>
      </c>
      <c r="N13283" s="30" t="s">
        <v>174</v>
      </c>
      <c r="P13283" s="30" t="s">
        <v>18184</v>
      </c>
      <c r="Q13283" t="s">
        <v>621</v>
      </c>
      <c r="R13283" t="s">
        <v>920</v>
      </c>
      <c r="S13283">
        <v>39</v>
      </c>
      <c r="T13283" s="29" t="str">
        <f t="shared" si="553"/>
        <v>2023.013P.Potyviridae_rename_sp.zip</v>
      </c>
      <c r="U13283" s="29" t="str">
        <f>HYPERLINK("https://ictv.global/taxonomy/taxondetails?taxnode_id=202305923","ictv.global=202305923")</f>
        <v>ictv.global=202305923</v>
      </c>
    </row>
    <row r="13284" spans="1:21">
      <c r="A13284">
        <v>13283</v>
      </c>
      <c r="B13284" s="30" t="s">
        <v>1226</v>
      </c>
      <c r="D13284" s="30" t="s">
        <v>2024</v>
      </c>
      <c r="F13284" s="30" t="s">
        <v>2074</v>
      </c>
      <c r="H13284" s="30" t="s">
        <v>2126</v>
      </c>
      <c r="J13284" s="30" t="s">
        <v>2127</v>
      </c>
      <c r="L13284" s="30" t="s">
        <v>161</v>
      </c>
      <c r="N13284" s="30" t="s">
        <v>174</v>
      </c>
      <c r="P13284" s="30" t="s">
        <v>18185</v>
      </c>
      <c r="Q13284" t="s">
        <v>621</v>
      </c>
      <c r="R13284" t="s">
        <v>920</v>
      </c>
      <c r="S13284">
        <v>39</v>
      </c>
      <c r="T13284" s="29" t="str">
        <f t="shared" si="553"/>
        <v>2023.013P.Potyviridae_rename_sp.zip</v>
      </c>
      <c r="U13284" s="29" t="str">
        <f>HYPERLINK("https://ictv.global/taxonomy/taxondetails?taxnode_id=202304682","ictv.global=202304682")</f>
        <v>ictv.global=202304682</v>
      </c>
    </row>
    <row r="13285" spans="1:21">
      <c r="A13285">
        <v>13284</v>
      </c>
      <c r="B13285" s="30" t="s">
        <v>1226</v>
      </c>
      <c r="D13285" s="30" t="s">
        <v>2024</v>
      </c>
      <c r="F13285" s="30" t="s">
        <v>2074</v>
      </c>
      <c r="H13285" s="30" t="s">
        <v>2126</v>
      </c>
      <c r="J13285" s="30" t="s">
        <v>2127</v>
      </c>
      <c r="L13285" s="30" t="s">
        <v>161</v>
      </c>
      <c r="N13285" s="30" t="s">
        <v>174</v>
      </c>
      <c r="P13285" s="30" t="s">
        <v>18186</v>
      </c>
      <c r="Q13285" t="s">
        <v>621</v>
      </c>
      <c r="R13285" t="s">
        <v>920</v>
      </c>
      <c r="S13285">
        <v>39</v>
      </c>
      <c r="T13285" s="29" t="str">
        <f t="shared" si="553"/>
        <v>2023.013P.Potyviridae_rename_sp.zip</v>
      </c>
      <c r="U13285" s="29" t="str">
        <f>HYPERLINK("https://ictv.global/taxonomy/taxondetails?taxnode_id=202304683","ictv.global=202304683")</f>
        <v>ictv.global=202304683</v>
      </c>
    </row>
    <row r="13286" spans="1:21">
      <c r="A13286">
        <v>13285</v>
      </c>
      <c r="B13286" s="30" t="s">
        <v>1226</v>
      </c>
      <c r="D13286" s="30" t="s">
        <v>2024</v>
      </c>
      <c r="F13286" s="30" t="s">
        <v>2074</v>
      </c>
      <c r="H13286" s="30" t="s">
        <v>2126</v>
      </c>
      <c r="J13286" s="30" t="s">
        <v>2127</v>
      </c>
      <c r="L13286" s="30" t="s">
        <v>161</v>
      </c>
      <c r="N13286" s="30" t="s">
        <v>174</v>
      </c>
      <c r="P13286" s="30" t="s">
        <v>18187</v>
      </c>
      <c r="Q13286" t="s">
        <v>621</v>
      </c>
      <c r="R13286" t="s">
        <v>920</v>
      </c>
      <c r="S13286">
        <v>39</v>
      </c>
      <c r="T13286" s="29" t="str">
        <f t="shared" si="553"/>
        <v>2023.013P.Potyviridae_rename_sp.zip</v>
      </c>
      <c r="U13286" s="29" t="str">
        <f>HYPERLINK("https://ictv.global/taxonomy/taxondetails?taxnode_id=202304684","ictv.global=202304684")</f>
        <v>ictv.global=202304684</v>
      </c>
    </row>
    <row r="13287" spans="1:21">
      <c r="A13287">
        <v>13286</v>
      </c>
      <c r="B13287" s="30" t="s">
        <v>1226</v>
      </c>
      <c r="D13287" s="30" t="s">
        <v>2024</v>
      </c>
      <c r="F13287" s="30" t="s">
        <v>2074</v>
      </c>
      <c r="H13287" s="30" t="s">
        <v>2126</v>
      </c>
      <c r="J13287" s="30" t="s">
        <v>2127</v>
      </c>
      <c r="L13287" s="30" t="s">
        <v>161</v>
      </c>
      <c r="N13287" s="30" t="s">
        <v>174</v>
      </c>
      <c r="P13287" s="30" t="s">
        <v>18188</v>
      </c>
      <c r="Q13287" t="s">
        <v>621</v>
      </c>
      <c r="R13287" t="s">
        <v>920</v>
      </c>
      <c r="S13287">
        <v>39</v>
      </c>
      <c r="T13287" s="29" t="str">
        <f t="shared" si="553"/>
        <v>2023.013P.Potyviridae_rename_sp.zip</v>
      </c>
      <c r="U13287" s="29" t="str">
        <f>HYPERLINK("https://ictv.global/taxonomy/taxondetails?taxnode_id=202304618","ictv.global=202304618")</f>
        <v>ictv.global=202304618</v>
      </c>
    </row>
    <row r="13288" spans="1:21">
      <c r="A13288">
        <v>13287</v>
      </c>
      <c r="B13288" s="30" t="s">
        <v>1226</v>
      </c>
      <c r="D13288" s="30" t="s">
        <v>2024</v>
      </c>
      <c r="F13288" s="30" t="s">
        <v>2074</v>
      </c>
      <c r="H13288" s="30" t="s">
        <v>2126</v>
      </c>
      <c r="J13288" s="30" t="s">
        <v>2127</v>
      </c>
      <c r="L13288" s="30" t="s">
        <v>161</v>
      </c>
      <c r="N13288" s="30" t="s">
        <v>174</v>
      </c>
      <c r="P13288" s="30" t="s">
        <v>18189</v>
      </c>
      <c r="Q13288" t="s">
        <v>621</v>
      </c>
      <c r="R13288" t="s">
        <v>920</v>
      </c>
      <c r="S13288">
        <v>39</v>
      </c>
      <c r="T13288" s="29" t="str">
        <f t="shared" si="553"/>
        <v>2023.013P.Potyviridae_rename_sp.zip</v>
      </c>
      <c r="U13288" s="29" t="str">
        <f>HYPERLINK("https://ictv.global/taxonomy/taxondetails?taxnode_id=202304619","ictv.global=202304619")</f>
        <v>ictv.global=202304619</v>
      </c>
    </row>
    <row r="13289" spans="1:21">
      <c r="A13289">
        <v>13288</v>
      </c>
      <c r="B13289" s="30" t="s">
        <v>1226</v>
      </c>
      <c r="D13289" s="30" t="s">
        <v>2024</v>
      </c>
      <c r="F13289" s="30" t="s">
        <v>2074</v>
      </c>
      <c r="H13289" s="30" t="s">
        <v>2126</v>
      </c>
      <c r="J13289" s="30" t="s">
        <v>2127</v>
      </c>
      <c r="L13289" s="30" t="s">
        <v>161</v>
      </c>
      <c r="N13289" s="30" t="s">
        <v>174</v>
      </c>
      <c r="P13289" s="30" t="s">
        <v>18190</v>
      </c>
      <c r="Q13289" t="s">
        <v>621</v>
      </c>
      <c r="R13289" t="s">
        <v>920</v>
      </c>
      <c r="S13289">
        <v>39</v>
      </c>
      <c r="T13289" s="29" t="str">
        <f t="shared" si="553"/>
        <v>2023.013P.Potyviridae_rename_sp.zip</v>
      </c>
      <c r="U13289" s="29" t="str">
        <f>HYPERLINK("https://ictv.global/taxonomy/taxondetails?taxnode_id=202305920","ictv.global=202305920")</f>
        <v>ictv.global=202305920</v>
      </c>
    </row>
    <row r="13290" spans="1:21">
      <c r="A13290">
        <v>13289</v>
      </c>
      <c r="B13290" s="30" t="s">
        <v>1226</v>
      </c>
      <c r="D13290" s="30" t="s">
        <v>2024</v>
      </c>
      <c r="F13290" s="30" t="s">
        <v>2074</v>
      </c>
      <c r="H13290" s="30" t="s">
        <v>2126</v>
      </c>
      <c r="J13290" s="30" t="s">
        <v>2127</v>
      </c>
      <c r="L13290" s="30" t="s">
        <v>161</v>
      </c>
      <c r="N13290" s="30" t="s">
        <v>174</v>
      </c>
      <c r="P13290" s="30" t="s">
        <v>18191</v>
      </c>
      <c r="Q13290" t="s">
        <v>621</v>
      </c>
      <c r="R13290" t="s">
        <v>920</v>
      </c>
      <c r="S13290">
        <v>39</v>
      </c>
      <c r="T13290" s="29" t="str">
        <f t="shared" si="553"/>
        <v>2023.013P.Potyviridae_rename_sp.zip</v>
      </c>
      <c r="U13290" s="29" t="str">
        <f>HYPERLINK("https://ictv.global/taxonomy/taxondetails?taxnode_id=202304620","ictv.global=202304620")</f>
        <v>ictv.global=202304620</v>
      </c>
    </row>
    <row r="13291" spans="1:21">
      <c r="A13291">
        <v>13290</v>
      </c>
      <c r="B13291" s="30" t="s">
        <v>1226</v>
      </c>
      <c r="D13291" s="30" t="s">
        <v>2024</v>
      </c>
      <c r="F13291" s="30" t="s">
        <v>2074</v>
      </c>
      <c r="H13291" s="30" t="s">
        <v>2126</v>
      </c>
      <c r="J13291" s="30" t="s">
        <v>2127</v>
      </c>
      <c r="L13291" s="30" t="s">
        <v>161</v>
      </c>
      <c r="N13291" s="30" t="s">
        <v>174</v>
      </c>
      <c r="P13291" s="30" t="s">
        <v>18192</v>
      </c>
      <c r="Q13291" t="s">
        <v>621</v>
      </c>
      <c r="R13291" t="s">
        <v>920</v>
      </c>
      <c r="S13291">
        <v>39</v>
      </c>
      <c r="T13291" s="29" t="str">
        <f t="shared" si="553"/>
        <v>2023.013P.Potyviridae_rename_sp.zip</v>
      </c>
      <c r="U13291" s="29" t="str">
        <f>HYPERLINK("https://ictv.global/taxonomy/taxondetails?taxnode_id=202304621","ictv.global=202304621")</f>
        <v>ictv.global=202304621</v>
      </c>
    </row>
    <row r="13292" spans="1:21">
      <c r="A13292">
        <v>13291</v>
      </c>
      <c r="B13292" s="30" t="s">
        <v>1226</v>
      </c>
      <c r="D13292" s="30" t="s">
        <v>2024</v>
      </c>
      <c r="F13292" s="30" t="s">
        <v>2074</v>
      </c>
      <c r="H13292" s="30" t="s">
        <v>2126</v>
      </c>
      <c r="J13292" s="30" t="s">
        <v>2127</v>
      </c>
      <c r="L13292" s="30" t="s">
        <v>161</v>
      </c>
      <c r="N13292" s="30" t="s">
        <v>174</v>
      </c>
      <c r="P13292" s="30" t="s">
        <v>18193</v>
      </c>
      <c r="Q13292" t="s">
        <v>621</v>
      </c>
      <c r="R13292" t="s">
        <v>920</v>
      </c>
      <c r="S13292">
        <v>39</v>
      </c>
      <c r="T13292" s="29" t="str">
        <f t="shared" si="553"/>
        <v>2023.013P.Potyviridae_rename_sp.zip</v>
      </c>
      <c r="U13292" s="29" t="str">
        <f>HYPERLINK("https://ictv.global/taxonomy/taxondetails?taxnode_id=202305921","ictv.global=202305921")</f>
        <v>ictv.global=202305921</v>
      </c>
    </row>
    <row r="13293" spans="1:21">
      <c r="A13293">
        <v>13292</v>
      </c>
      <c r="B13293" s="30" t="s">
        <v>1226</v>
      </c>
      <c r="D13293" s="30" t="s">
        <v>2024</v>
      </c>
      <c r="F13293" s="30" t="s">
        <v>2074</v>
      </c>
      <c r="H13293" s="30" t="s">
        <v>2126</v>
      </c>
      <c r="J13293" s="30" t="s">
        <v>2127</v>
      </c>
      <c r="L13293" s="30" t="s">
        <v>161</v>
      </c>
      <c r="N13293" s="30" t="s">
        <v>174</v>
      </c>
      <c r="P13293" s="30" t="s">
        <v>18194</v>
      </c>
      <c r="Q13293" t="s">
        <v>621</v>
      </c>
      <c r="R13293" t="s">
        <v>920</v>
      </c>
      <c r="S13293">
        <v>39</v>
      </c>
      <c r="T13293" s="29" t="str">
        <f t="shared" si="553"/>
        <v>2023.013P.Potyviridae_rename_sp.zip</v>
      </c>
      <c r="U13293" s="29" t="str">
        <f>HYPERLINK("https://ictv.global/taxonomy/taxondetails?taxnode_id=202304622","ictv.global=202304622")</f>
        <v>ictv.global=202304622</v>
      </c>
    </row>
    <row r="13294" spans="1:21">
      <c r="A13294">
        <v>13293</v>
      </c>
      <c r="B13294" s="30" t="s">
        <v>1226</v>
      </c>
      <c r="D13294" s="30" t="s">
        <v>2024</v>
      </c>
      <c r="F13294" s="30" t="s">
        <v>2074</v>
      </c>
      <c r="H13294" s="30" t="s">
        <v>2126</v>
      </c>
      <c r="J13294" s="30" t="s">
        <v>2127</v>
      </c>
      <c r="L13294" s="30" t="s">
        <v>161</v>
      </c>
      <c r="N13294" s="30" t="s">
        <v>174</v>
      </c>
      <c r="P13294" s="30" t="s">
        <v>18195</v>
      </c>
      <c r="Q13294" t="s">
        <v>621</v>
      </c>
      <c r="R13294" t="s">
        <v>920</v>
      </c>
      <c r="S13294">
        <v>39</v>
      </c>
      <c r="T13294" s="29" t="str">
        <f t="shared" si="553"/>
        <v>2023.013P.Potyviridae_rename_sp.zip</v>
      </c>
      <c r="U13294" s="29" t="str">
        <f>HYPERLINK("https://ictv.global/taxonomy/taxondetails?taxnode_id=202304624","ictv.global=202304624")</f>
        <v>ictv.global=202304624</v>
      </c>
    </row>
    <row r="13295" spans="1:21">
      <c r="A13295">
        <v>13294</v>
      </c>
      <c r="B13295" s="30" t="s">
        <v>1226</v>
      </c>
      <c r="D13295" s="30" t="s">
        <v>2024</v>
      </c>
      <c r="F13295" s="30" t="s">
        <v>2074</v>
      </c>
      <c r="H13295" s="30" t="s">
        <v>2126</v>
      </c>
      <c r="J13295" s="30" t="s">
        <v>2127</v>
      </c>
      <c r="L13295" s="30" t="s">
        <v>161</v>
      </c>
      <c r="N13295" s="30" t="s">
        <v>174</v>
      </c>
      <c r="P13295" s="30" t="s">
        <v>18196</v>
      </c>
      <c r="Q13295" t="s">
        <v>621</v>
      </c>
      <c r="R13295" t="s">
        <v>920</v>
      </c>
      <c r="S13295">
        <v>39</v>
      </c>
      <c r="T13295" s="29" t="str">
        <f t="shared" si="553"/>
        <v>2023.013P.Potyviridae_rename_sp.zip</v>
      </c>
      <c r="U13295" s="29" t="str">
        <f>HYPERLINK("https://ictv.global/taxonomy/taxondetails?taxnode_id=202304623","ictv.global=202304623")</f>
        <v>ictv.global=202304623</v>
      </c>
    </row>
    <row r="13296" spans="1:21">
      <c r="A13296">
        <v>13295</v>
      </c>
      <c r="B13296" s="30" t="s">
        <v>1226</v>
      </c>
      <c r="D13296" s="30" t="s">
        <v>2024</v>
      </c>
      <c r="F13296" s="30" t="s">
        <v>2074</v>
      </c>
      <c r="H13296" s="30" t="s">
        <v>2126</v>
      </c>
      <c r="J13296" s="30" t="s">
        <v>2127</v>
      </c>
      <c r="L13296" s="30" t="s">
        <v>161</v>
      </c>
      <c r="N13296" s="30" t="s">
        <v>174</v>
      </c>
      <c r="P13296" s="30" t="s">
        <v>18197</v>
      </c>
      <c r="Q13296" t="s">
        <v>621</v>
      </c>
      <c r="R13296" t="s">
        <v>920</v>
      </c>
      <c r="S13296">
        <v>39</v>
      </c>
      <c r="T13296" s="29" t="str">
        <f t="shared" si="553"/>
        <v>2023.013P.Potyviridae_rename_sp.zip</v>
      </c>
      <c r="U13296" s="29" t="str">
        <f>HYPERLINK("https://ictv.global/taxonomy/taxondetails?taxnode_id=202304626","ictv.global=202304626")</f>
        <v>ictv.global=202304626</v>
      </c>
    </row>
    <row r="13297" spans="1:21">
      <c r="A13297">
        <v>13296</v>
      </c>
      <c r="B13297" s="30" t="s">
        <v>1226</v>
      </c>
      <c r="D13297" s="30" t="s">
        <v>2024</v>
      </c>
      <c r="F13297" s="30" t="s">
        <v>2074</v>
      </c>
      <c r="H13297" s="30" t="s">
        <v>2126</v>
      </c>
      <c r="J13297" s="30" t="s">
        <v>2127</v>
      </c>
      <c r="L13297" s="30" t="s">
        <v>161</v>
      </c>
      <c r="N13297" s="30" t="s">
        <v>174</v>
      </c>
      <c r="P13297" s="30" t="s">
        <v>18198</v>
      </c>
      <c r="Q13297" t="s">
        <v>621</v>
      </c>
      <c r="R13297" t="s">
        <v>920</v>
      </c>
      <c r="S13297">
        <v>39</v>
      </c>
      <c r="T13297" s="29" t="str">
        <f t="shared" si="553"/>
        <v>2023.013P.Potyviridae_rename_sp.zip</v>
      </c>
      <c r="U13297" s="29" t="str">
        <f>HYPERLINK("https://ictv.global/taxonomy/taxondetails?taxnode_id=202304628","ictv.global=202304628")</f>
        <v>ictv.global=202304628</v>
      </c>
    </row>
    <row r="13298" spans="1:21">
      <c r="A13298">
        <v>13297</v>
      </c>
      <c r="B13298" s="30" t="s">
        <v>1226</v>
      </c>
      <c r="D13298" s="30" t="s">
        <v>2024</v>
      </c>
      <c r="F13298" s="30" t="s">
        <v>2074</v>
      </c>
      <c r="H13298" s="30" t="s">
        <v>2126</v>
      </c>
      <c r="J13298" s="30" t="s">
        <v>2127</v>
      </c>
      <c r="L13298" s="30" t="s">
        <v>161</v>
      </c>
      <c r="N13298" s="30" t="s">
        <v>174</v>
      </c>
      <c r="P13298" s="30" t="s">
        <v>18199</v>
      </c>
      <c r="Q13298" t="s">
        <v>621</v>
      </c>
      <c r="R13298" t="s">
        <v>920</v>
      </c>
      <c r="S13298">
        <v>39</v>
      </c>
      <c r="T13298" s="29" t="str">
        <f t="shared" si="553"/>
        <v>2023.013P.Potyviridae_rename_sp.zip</v>
      </c>
      <c r="U13298" s="29" t="str">
        <f>HYPERLINK("https://ictv.global/taxonomy/taxondetails?taxnode_id=202304630","ictv.global=202304630")</f>
        <v>ictv.global=202304630</v>
      </c>
    </row>
    <row r="13299" spans="1:21">
      <c r="A13299">
        <v>13298</v>
      </c>
      <c r="B13299" s="30" t="s">
        <v>1226</v>
      </c>
      <c r="D13299" s="30" t="s">
        <v>2024</v>
      </c>
      <c r="F13299" s="30" t="s">
        <v>2074</v>
      </c>
      <c r="H13299" s="30" t="s">
        <v>2126</v>
      </c>
      <c r="J13299" s="30" t="s">
        <v>2127</v>
      </c>
      <c r="L13299" s="30" t="s">
        <v>161</v>
      </c>
      <c r="N13299" s="30" t="s">
        <v>174</v>
      </c>
      <c r="P13299" s="30" t="s">
        <v>18200</v>
      </c>
      <c r="Q13299" t="s">
        <v>621</v>
      </c>
      <c r="R13299" t="s">
        <v>920</v>
      </c>
      <c r="S13299">
        <v>39</v>
      </c>
      <c r="T13299" s="29" t="str">
        <f t="shared" si="553"/>
        <v>2023.013P.Potyviridae_rename_sp.zip</v>
      </c>
      <c r="U13299" s="29" t="str">
        <f>HYPERLINK("https://ictv.global/taxonomy/taxondetails?taxnode_id=202304633","ictv.global=202304633")</f>
        <v>ictv.global=202304633</v>
      </c>
    </row>
    <row r="13300" spans="1:21">
      <c r="A13300">
        <v>13299</v>
      </c>
      <c r="B13300" s="30" t="s">
        <v>1226</v>
      </c>
      <c r="D13300" s="30" t="s">
        <v>2024</v>
      </c>
      <c r="F13300" s="30" t="s">
        <v>2074</v>
      </c>
      <c r="H13300" s="30" t="s">
        <v>2126</v>
      </c>
      <c r="J13300" s="30" t="s">
        <v>2127</v>
      </c>
      <c r="L13300" s="30" t="s">
        <v>161</v>
      </c>
      <c r="N13300" s="30" t="s">
        <v>174</v>
      </c>
      <c r="P13300" s="30" t="s">
        <v>18201</v>
      </c>
      <c r="Q13300" t="s">
        <v>621</v>
      </c>
      <c r="R13300" t="s">
        <v>920</v>
      </c>
      <c r="S13300">
        <v>39</v>
      </c>
      <c r="T13300" s="29" t="str">
        <f t="shared" si="553"/>
        <v>2023.013P.Potyviridae_rename_sp.zip</v>
      </c>
      <c r="U13300" s="29" t="str">
        <f>HYPERLINK("https://ictv.global/taxonomy/taxondetails?taxnode_id=202304632","ictv.global=202304632")</f>
        <v>ictv.global=202304632</v>
      </c>
    </row>
    <row r="13301" spans="1:21">
      <c r="A13301">
        <v>13300</v>
      </c>
      <c r="B13301" s="30" t="s">
        <v>1226</v>
      </c>
      <c r="D13301" s="30" t="s">
        <v>2024</v>
      </c>
      <c r="F13301" s="30" t="s">
        <v>2074</v>
      </c>
      <c r="H13301" s="30" t="s">
        <v>2126</v>
      </c>
      <c r="J13301" s="30" t="s">
        <v>2127</v>
      </c>
      <c r="L13301" s="30" t="s">
        <v>161</v>
      </c>
      <c r="N13301" s="30" t="s">
        <v>174</v>
      </c>
      <c r="P13301" s="30" t="s">
        <v>18202</v>
      </c>
      <c r="Q13301" t="s">
        <v>621</v>
      </c>
      <c r="R13301" t="s">
        <v>920</v>
      </c>
      <c r="S13301">
        <v>39</v>
      </c>
      <c r="T13301" s="29" t="str">
        <f t="shared" si="553"/>
        <v>2023.013P.Potyviridae_rename_sp.zip</v>
      </c>
      <c r="U13301" s="29" t="str">
        <f>HYPERLINK("https://ictv.global/taxonomy/taxondetails?taxnode_id=202304634","ictv.global=202304634")</f>
        <v>ictv.global=202304634</v>
      </c>
    </row>
    <row r="13302" spans="1:21">
      <c r="A13302">
        <v>13301</v>
      </c>
      <c r="B13302" s="30" t="s">
        <v>1226</v>
      </c>
      <c r="D13302" s="30" t="s">
        <v>2024</v>
      </c>
      <c r="F13302" s="30" t="s">
        <v>2074</v>
      </c>
      <c r="H13302" s="30" t="s">
        <v>2126</v>
      </c>
      <c r="J13302" s="30" t="s">
        <v>2127</v>
      </c>
      <c r="L13302" s="30" t="s">
        <v>161</v>
      </c>
      <c r="N13302" s="30" t="s">
        <v>174</v>
      </c>
      <c r="P13302" s="30" t="s">
        <v>18203</v>
      </c>
      <c r="Q13302" t="s">
        <v>621</v>
      </c>
      <c r="R13302" t="s">
        <v>920</v>
      </c>
      <c r="S13302">
        <v>39</v>
      </c>
      <c r="T13302" s="29" t="str">
        <f t="shared" si="553"/>
        <v>2023.013P.Potyviridae_rename_sp.zip</v>
      </c>
      <c r="U13302" s="29" t="str">
        <f>HYPERLINK("https://ictv.global/taxonomy/taxondetails?taxnode_id=202304635","ictv.global=202304635")</f>
        <v>ictv.global=202304635</v>
      </c>
    </row>
    <row r="13303" spans="1:21">
      <c r="A13303">
        <v>13302</v>
      </c>
      <c r="B13303" s="30" t="s">
        <v>1226</v>
      </c>
      <c r="D13303" s="30" t="s">
        <v>2024</v>
      </c>
      <c r="F13303" s="30" t="s">
        <v>2074</v>
      </c>
      <c r="H13303" s="30" t="s">
        <v>2126</v>
      </c>
      <c r="J13303" s="30" t="s">
        <v>2127</v>
      </c>
      <c r="L13303" s="30" t="s">
        <v>161</v>
      </c>
      <c r="N13303" s="30" t="s">
        <v>174</v>
      </c>
      <c r="P13303" s="30" t="s">
        <v>18204</v>
      </c>
      <c r="Q13303" t="s">
        <v>621</v>
      </c>
      <c r="R13303" t="s">
        <v>920</v>
      </c>
      <c r="S13303">
        <v>39</v>
      </c>
      <c r="T13303" s="29" t="str">
        <f t="shared" si="553"/>
        <v>2023.013P.Potyviridae_rename_sp.zip</v>
      </c>
      <c r="U13303" s="29" t="str">
        <f>HYPERLINK("https://ictv.global/taxonomy/taxondetails?taxnode_id=202304636","ictv.global=202304636")</f>
        <v>ictv.global=202304636</v>
      </c>
    </row>
    <row r="13304" spans="1:21">
      <c r="A13304">
        <v>13303</v>
      </c>
      <c r="B13304" s="30" t="s">
        <v>1226</v>
      </c>
      <c r="D13304" s="30" t="s">
        <v>2024</v>
      </c>
      <c r="F13304" s="30" t="s">
        <v>2074</v>
      </c>
      <c r="H13304" s="30" t="s">
        <v>2126</v>
      </c>
      <c r="J13304" s="30" t="s">
        <v>2127</v>
      </c>
      <c r="L13304" s="30" t="s">
        <v>161</v>
      </c>
      <c r="N13304" s="30" t="s">
        <v>174</v>
      </c>
      <c r="P13304" s="30" t="s">
        <v>18205</v>
      </c>
      <c r="Q13304" t="s">
        <v>621</v>
      </c>
      <c r="R13304" t="s">
        <v>920</v>
      </c>
      <c r="S13304">
        <v>39</v>
      </c>
      <c r="T13304" s="29" t="str">
        <f t="shared" si="553"/>
        <v>2023.013P.Potyviridae_rename_sp.zip</v>
      </c>
      <c r="U13304" s="29" t="str">
        <f>HYPERLINK("https://ictv.global/taxonomy/taxondetails?taxnode_id=202304638","ictv.global=202304638")</f>
        <v>ictv.global=202304638</v>
      </c>
    </row>
    <row r="13305" spans="1:21">
      <c r="A13305">
        <v>13304</v>
      </c>
      <c r="B13305" s="30" t="s">
        <v>1226</v>
      </c>
      <c r="D13305" s="30" t="s">
        <v>2024</v>
      </c>
      <c r="F13305" s="30" t="s">
        <v>2074</v>
      </c>
      <c r="H13305" s="30" t="s">
        <v>2126</v>
      </c>
      <c r="J13305" s="30" t="s">
        <v>2127</v>
      </c>
      <c r="L13305" s="30" t="s">
        <v>161</v>
      </c>
      <c r="N13305" s="30" t="s">
        <v>174</v>
      </c>
      <c r="P13305" s="30" t="s">
        <v>18206</v>
      </c>
      <c r="Q13305" t="s">
        <v>621</v>
      </c>
      <c r="R13305" t="s">
        <v>920</v>
      </c>
      <c r="S13305">
        <v>39</v>
      </c>
      <c r="T13305" s="29" t="str">
        <f t="shared" si="553"/>
        <v>2023.013P.Potyviridae_rename_sp.zip</v>
      </c>
      <c r="U13305" s="29" t="str">
        <f>HYPERLINK("https://ictv.global/taxonomy/taxondetails?taxnode_id=202306671","ictv.global=202306671")</f>
        <v>ictv.global=202306671</v>
      </c>
    </row>
    <row r="13306" spans="1:21">
      <c r="A13306">
        <v>13305</v>
      </c>
      <c r="B13306" s="30" t="s">
        <v>1226</v>
      </c>
      <c r="D13306" s="30" t="s">
        <v>2024</v>
      </c>
      <c r="F13306" s="30" t="s">
        <v>2074</v>
      </c>
      <c r="H13306" s="30" t="s">
        <v>2126</v>
      </c>
      <c r="J13306" s="30" t="s">
        <v>2127</v>
      </c>
      <c r="L13306" s="30" t="s">
        <v>161</v>
      </c>
      <c r="N13306" s="30" t="s">
        <v>174</v>
      </c>
      <c r="P13306" s="30" t="s">
        <v>18207</v>
      </c>
      <c r="Q13306" t="s">
        <v>621</v>
      </c>
      <c r="R13306" t="s">
        <v>920</v>
      </c>
      <c r="S13306">
        <v>39</v>
      </c>
      <c r="T13306" s="29" t="str">
        <f t="shared" si="553"/>
        <v>2023.013P.Potyviridae_rename_sp.zip</v>
      </c>
      <c r="U13306" s="29" t="str">
        <f>HYPERLINK("https://ictv.global/taxonomy/taxondetails?taxnode_id=202306677","ictv.global=202306677")</f>
        <v>ictv.global=202306677</v>
      </c>
    </row>
    <row r="13307" spans="1:21">
      <c r="A13307">
        <v>13306</v>
      </c>
      <c r="B13307" s="30" t="s">
        <v>1226</v>
      </c>
      <c r="D13307" s="30" t="s">
        <v>2024</v>
      </c>
      <c r="F13307" s="30" t="s">
        <v>2074</v>
      </c>
      <c r="H13307" s="30" t="s">
        <v>2126</v>
      </c>
      <c r="J13307" s="30" t="s">
        <v>2127</v>
      </c>
      <c r="L13307" s="30" t="s">
        <v>161</v>
      </c>
      <c r="N13307" s="30" t="s">
        <v>174</v>
      </c>
      <c r="P13307" s="30" t="s">
        <v>11144</v>
      </c>
      <c r="Q13307" t="s">
        <v>621</v>
      </c>
      <c r="R13307" t="s">
        <v>917</v>
      </c>
      <c r="S13307">
        <v>37</v>
      </c>
      <c r="T13307" s="29" t="str">
        <f>HYPERLINK("https://ictv.global/ictv/proposals/2021.006P.R.Potyvirus_5ns_3as.zip","2021.006P.R.Potyvirus_5ns_3as.zip")</f>
        <v>2021.006P.R.Potyvirus_5ns_3as.zip</v>
      </c>
      <c r="U13307" s="29" t="str">
        <f>HYPERLINK("https://ictv.global/taxonomy/taxondetails?taxnode_id=202313837","ictv.global=202313837")</f>
        <v>ictv.global=202313837</v>
      </c>
    </row>
    <row r="13308" spans="1:21">
      <c r="A13308">
        <v>13307</v>
      </c>
      <c r="B13308" s="30" t="s">
        <v>1226</v>
      </c>
      <c r="D13308" s="30" t="s">
        <v>2024</v>
      </c>
      <c r="F13308" s="30" t="s">
        <v>2074</v>
      </c>
      <c r="H13308" s="30" t="s">
        <v>2126</v>
      </c>
      <c r="J13308" s="30" t="s">
        <v>2127</v>
      </c>
      <c r="L13308" s="30" t="s">
        <v>161</v>
      </c>
      <c r="N13308" s="30" t="s">
        <v>174</v>
      </c>
      <c r="P13308" s="30" t="s">
        <v>18208</v>
      </c>
      <c r="Q13308" t="s">
        <v>621</v>
      </c>
      <c r="R13308" t="s">
        <v>917</v>
      </c>
      <c r="S13308">
        <v>39</v>
      </c>
      <c r="T13308" s="29" t="str">
        <f>HYPERLINK("https://ictv.global/ictv/proposals/2023.012P.Potyviridae_5nsp.zip","2023.012P.Potyviridae_5nsp.zip")</f>
        <v>2023.012P.Potyviridae_5nsp.zip</v>
      </c>
      <c r="U13308" s="29" t="str">
        <f>HYPERLINK("https://ictv.global/taxonomy/taxondetails?taxnode_id=202318060","ictv.global=202318060")</f>
        <v>ictv.global=202318060</v>
      </c>
    </row>
    <row r="13309" spans="1:21">
      <c r="A13309">
        <v>13308</v>
      </c>
      <c r="B13309" s="30" t="s">
        <v>1226</v>
      </c>
      <c r="D13309" s="30" t="s">
        <v>2024</v>
      </c>
      <c r="F13309" s="30" t="s">
        <v>2074</v>
      </c>
      <c r="H13309" s="30" t="s">
        <v>2126</v>
      </c>
      <c r="J13309" s="30" t="s">
        <v>2127</v>
      </c>
      <c r="L13309" s="30" t="s">
        <v>161</v>
      </c>
      <c r="N13309" s="30" t="s">
        <v>174</v>
      </c>
      <c r="P13309" s="30" t="s">
        <v>18209</v>
      </c>
      <c r="Q13309" t="s">
        <v>621</v>
      </c>
      <c r="R13309" t="s">
        <v>920</v>
      </c>
      <c r="S13309">
        <v>39</v>
      </c>
      <c r="T13309" s="29" t="str">
        <f t="shared" ref="T13309:T13334" si="554">HYPERLINK("https://ictv.global/ictv/proposals/2023.013P.Potyviridae_rename_sp.zip","2023.013P.Potyviridae_rename_sp.zip")</f>
        <v>2023.013P.Potyviridae_rename_sp.zip</v>
      </c>
      <c r="U13309" s="29" t="str">
        <f>HYPERLINK("https://ictv.global/taxonomy/taxondetails?taxnode_id=202309671","ictv.global=202309671")</f>
        <v>ictv.global=202309671</v>
      </c>
    </row>
    <row r="13310" spans="1:21">
      <c r="A13310">
        <v>13309</v>
      </c>
      <c r="B13310" s="30" t="s">
        <v>1226</v>
      </c>
      <c r="D13310" s="30" t="s">
        <v>2024</v>
      </c>
      <c r="F13310" s="30" t="s">
        <v>2074</v>
      </c>
      <c r="H13310" s="30" t="s">
        <v>2126</v>
      </c>
      <c r="J13310" s="30" t="s">
        <v>2127</v>
      </c>
      <c r="L13310" s="30" t="s">
        <v>161</v>
      </c>
      <c r="N13310" s="30" t="s">
        <v>174</v>
      </c>
      <c r="P13310" s="30" t="s">
        <v>18210</v>
      </c>
      <c r="Q13310" t="s">
        <v>621</v>
      </c>
      <c r="R13310" t="s">
        <v>920</v>
      </c>
      <c r="S13310">
        <v>39</v>
      </c>
      <c r="T13310" s="29" t="str">
        <f t="shared" si="554"/>
        <v>2023.013P.Potyviridae_rename_sp.zip</v>
      </c>
      <c r="U13310" s="29" t="str">
        <f>HYPERLINK("https://ictv.global/taxonomy/taxondetails?taxnode_id=202304711","ictv.global=202304711")</f>
        <v>ictv.global=202304711</v>
      </c>
    </row>
    <row r="13311" spans="1:21">
      <c r="A13311">
        <v>13310</v>
      </c>
      <c r="B13311" s="30" t="s">
        <v>1226</v>
      </c>
      <c r="D13311" s="30" t="s">
        <v>2024</v>
      </c>
      <c r="F13311" s="30" t="s">
        <v>2074</v>
      </c>
      <c r="H13311" s="30" t="s">
        <v>2126</v>
      </c>
      <c r="J13311" s="30" t="s">
        <v>2127</v>
      </c>
      <c r="L13311" s="30" t="s">
        <v>161</v>
      </c>
      <c r="N13311" s="30" t="s">
        <v>174</v>
      </c>
      <c r="P13311" s="30" t="s">
        <v>18211</v>
      </c>
      <c r="Q13311" t="s">
        <v>621</v>
      </c>
      <c r="R13311" t="s">
        <v>920</v>
      </c>
      <c r="S13311">
        <v>39</v>
      </c>
      <c r="T13311" s="29" t="str">
        <f t="shared" si="554"/>
        <v>2023.013P.Potyviridae_rename_sp.zip</v>
      </c>
      <c r="U13311" s="29" t="str">
        <f>HYPERLINK("https://ictv.global/taxonomy/taxondetails?taxnode_id=202304573","ictv.global=202304573")</f>
        <v>ictv.global=202304573</v>
      </c>
    </row>
    <row r="13312" spans="1:21">
      <c r="A13312">
        <v>13311</v>
      </c>
      <c r="B13312" s="30" t="s">
        <v>1226</v>
      </c>
      <c r="D13312" s="30" t="s">
        <v>2024</v>
      </c>
      <c r="F13312" s="30" t="s">
        <v>2074</v>
      </c>
      <c r="H13312" s="30" t="s">
        <v>2126</v>
      </c>
      <c r="J13312" s="30" t="s">
        <v>2127</v>
      </c>
      <c r="L13312" s="30" t="s">
        <v>161</v>
      </c>
      <c r="N13312" s="30" t="s">
        <v>174</v>
      </c>
      <c r="P13312" s="30" t="s">
        <v>18212</v>
      </c>
      <c r="Q13312" t="s">
        <v>621</v>
      </c>
      <c r="R13312" t="s">
        <v>920</v>
      </c>
      <c r="S13312">
        <v>39</v>
      </c>
      <c r="T13312" s="29" t="str">
        <f t="shared" si="554"/>
        <v>2023.013P.Potyviridae_rename_sp.zip</v>
      </c>
      <c r="U13312" s="29" t="str">
        <f>HYPERLINK("https://ictv.global/taxonomy/taxondetails?taxnode_id=202304643","ictv.global=202304643")</f>
        <v>ictv.global=202304643</v>
      </c>
    </row>
    <row r="13313" spans="1:21">
      <c r="A13313">
        <v>13312</v>
      </c>
      <c r="B13313" s="30" t="s">
        <v>1226</v>
      </c>
      <c r="D13313" s="30" t="s">
        <v>2024</v>
      </c>
      <c r="F13313" s="30" t="s">
        <v>2074</v>
      </c>
      <c r="H13313" s="30" t="s">
        <v>2126</v>
      </c>
      <c r="J13313" s="30" t="s">
        <v>2127</v>
      </c>
      <c r="L13313" s="30" t="s">
        <v>161</v>
      </c>
      <c r="N13313" s="30" t="s">
        <v>174</v>
      </c>
      <c r="P13313" s="30" t="s">
        <v>18213</v>
      </c>
      <c r="Q13313" t="s">
        <v>621</v>
      </c>
      <c r="R13313" t="s">
        <v>920</v>
      </c>
      <c r="S13313">
        <v>39</v>
      </c>
      <c r="T13313" s="29" t="str">
        <f t="shared" si="554"/>
        <v>2023.013P.Potyviridae_rename_sp.zip</v>
      </c>
      <c r="U13313" s="29" t="str">
        <f>HYPERLINK("https://ictv.global/taxonomy/taxondetails?taxnode_id=202304641","ictv.global=202304641")</f>
        <v>ictv.global=202304641</v>
      </c>
    </row>
    <row r="13314" spans="1:21">
      <c r="A13314">
        <v>13313</v>
      </c>
      <c r="B13314" s="30" t="s">
        <v>1226</v>
      </c>
      <c r="D13314" s="30" t="s">
        <v>2024</v>
      </c>
      <c r="F13314" s="30" t="s">
        <v>2074</v>
      </c>
      <c r="H13314" s="30" t="s">
        <v>2126</v>
      </c>
      <c r="J13314" s="30" t="s">
        <v>2127</v>
      </c>
      <c r="L13314" s="30" t="s">
        <v>161</v>
      </c>
      <c r="N13314" s="30" t="s">
        <v>174</v>
      </c>
      <c r="P13314" s="30" t="s">
        <v>18214</v>
      </c>
      <c r="Q13314" t="s">
        <v>621</v>
      </c>
      <c r="R13314" t="s">
        <v>920</v>
      </c>
      <c r="S13314">
        <v>39</v>
      </c>
      <c r="T13314" s="29" t="str">
        <f t="shared" si="554"/>
        <v>2023.013P.Potyviridae_rename_sp.zip</v>
      </c>
      <c r="U13314" s="29" t="str">
        <f>HYPERLINK("https://ictv.global/taxonomy/taxondetails?taxnode_id=202304642","ictv.global=202304642")</f>
        <v>ictv.global=202304642</v>
      </c>
    </row>
    <row r="13315" spans="1:21">
      <c r="A13315">
        <v>13314</v>
      </c>
      <c r="B13315" s="30" t="s">
        <v>1226</v>
      </c>
      <c r="D13315" s="30" t="s">
        <v>2024</v>
      </c>
      <c r="F13315" s="30" t="s">
        <v>2074</v>
      </c>
      <c r="H13315" s="30" t="s">
        <v>2126</v>
      </c>
      <c r="J13315" s="30" t="s">
        <v>2127</v>
      </c>
      <c r="L13315" s="30" t="s">
        <v>161</v>
      </c>
      <c r="N13315" s="30" t="s">
        <v>174</v>
      </c>
      <c r="P13315" s="30" t="s">
        <v>18215</v>
      </c>
      <c r="Q13315" t="s">
        <v>621</v>
      </c>
      <c r="R13315" t="s">
        <v>920</v>
      </c>
      <c r="S13315">
        <v>39</v>
      </c>
      <c r="T13315" s="29" t="str">
        <f t="shared" si="554"/>
        <v>2023.013P.Potyviridae_rename_sp.zip</v>
      </c>
      <c r="U13315" s="29" t="str">
        <f>HYPERLINK("https://ictv.global/taxonomy/taxondetails?taxnode_id=202304644","ictv.global=202304644")</f>
        <v>ictv.global=202304644</v>
      </c>
    </row>
    <row r="13316" spans="1:21">
      <c r="A13316">
        <v>13315</v>
      </c>
      <c r="B13316" s="30" t="s">
        <v>1226</v>
      </c>
      <c r="D13316" s="30" t="s">
        <v>2024</v>
      </c>
      <c r="F13316" s="30" t="s">
        <v>2074</v>
      </c>
      <c r="H13316" s="30" t="s">
        <v>2126</v>
      </c>
      <c r="J13316" s="30" t="s">
        <v>2127</v>
      </c>
      <c r="L13316" s="30" t="s">
        <v>161</v>
      </c>
      <c r="N13316" s="30" t="s">
        <v>174</v>
      </c>
      <c r="P13316" s="30" t="s">
        <v>18216</v>
      </c>
      <c r="Q13316" t="s">
        <v>621</v>
      </c>
      <c r="R13316" t="s">
        <v>920</v>
      </c>
      <c r="S13316">
        <v>39</v>
      </c>
      <c r="T13316" s="29" t="str">
        <f t="shared" si="554"/>
        <v>2023.013P.Potyviridae_rename_sp.zip</v>
      </c>
      <c r="U13316" s="29" t="str">
        <f>HYPERLINK("https://ictv.global/taxonomy/taxondetails?taxnode_id=202304695","ictv.global=202304695")</f>
        <v>ictv.global=202304695</v>
      </c>
    </row>
    <row r="13317" spans="1:21">
      <c r="A13317">
        <v>13316</v>
      </c>
      <c r="B13317" s="30" t="s">
        <v>1226</v>
      </c>
      <c r="D13317" s="30" t="s">
        <v>2024</v>
      </c>
      <c r="F13317" s="30" t="s">
        <v>2074</v>
      </c>
      <c r="H13317" s="30" t="s">
        <v>2126</v>
      </c>
      <c r="J13317" s="30" t="s">
        <v>2127</v>
      </c>
      <c r="L13317" s="30" t="s">
        <v>161</v>
      </c>
      <c r="N13317" s="30" t="s">
        <v>174</v>
      </c>
      <c r="P13317" s="30" t="s">
        <v>18217</v>
      </c>
      <c r="Q13317" t="s">
        <v>621</v>
      </c>
      <c r="R13317" t="s">
        <v>920</v>
      </c>
      <c r="S13317">
        <v>39</v>
      </c>
      <c r="T13317" s="29" t="str">
        <f t="shared" si="554"/>
        <v>2023.013P.Potyviridae_rename_sp.zip</v>
      </c>
      <c r="U13317" s="29" t="str">
        <f>HYPERLINK("https://ictv.global/taxonomy/taxondetails?taxnode_id=202305924","ictv.global=202305924")</f>
        <v>ictv.global=202305924</v>
      </c>
    </row>
    <row r="13318" spans="1:21">
      <c r="A13318">
        <v>13317</v>
      </c>
      <c r="B13318" s="30" t="s">
        <v>1226</v>
      </c>
      <c r="D13318" s="30" t="s">
        <v>2024</v>
      </c>
      <c r="F13318" s="30" t="s">
        <v>2074</v>
      </c>
      <c r="H13318" s="30" t="s">
        <v>2126</v>
      </c>
      <c r="J13318" s="30" t="s">
        <v>2127</v>
      </c>
      <c r="L13318" s="30" t="s">
        <v>161</v>
      </c>
      <c r="N13318" s="30" t="s">
        <v>174</v>
      </c>
      <c r="P13318" s="30" t="s">
        <v>18218</v>
      </c>
      <c r="Q13318" t="s">
        <v>621</v>
      </c>
      <c r="R13318" t="s">
        <v>920</v>
      </c>
      <c r="S13318">
        <v>39</v>
      </c>
      <c r="T13318" s="29" t="str">
        <f t="shared" si="554"/>
        <v>2023.013P.Potyviridae_rename_sp.zip</v>
      </c>
      <c r="U13318" s="29" t="str">
        <f>HYPERLINK("https://ictv.global/taxonomy/taxondetails?taxnode_id=202304697","ictv.global=202304697")</f>
        <v>ictv.global=202304697</v>
      </c>
    </row>
    <row r="13319" spans="1:21">
      <c r="A13319">
        <v>13318</v>
      </c>
      <c r="B13319" s="30" t="s">
        <v>1226</v>
      </c>
      <c r="D13319" s="30" t="s">
        <v>2024</v>
      </c>
      <c r="F13319" s="30" t="s">
        <v>2074</v>
      </c>
      <c r="H13319" s="30" t="s">
        <v>2126</v>
      </c>
      <c r="J13319" s="30" t="s">
        <v>2127</v>
      </c>
      <c r="L13319" s="30" t="s">
        <v>161</v>
      </c>
      <c r="N13319" s="30" t="s">
        <v>174</v>
      </c>
      <c r="P13319" s="30" t="s">
        <v>18219</v>
      </c>
      <c r="Q13319" t="s">
        <v>621</v>
      </c>
      <c r="R13319" t="s">
        <v>920</v>
      </c>
      <c r="S13319">
        <v>39</v>
      </c>
      <c r="T13319" s="29" t="str">
        <f t="shared" si="554"/>
        <v>2023.013P.Potyviridae_rename_sp.zip</v>
      </c>
      <c r="U13319" s="29" t="str">
        <f>HYPERLINK("https://ictv.global/taxonomy/taxondetails?taxnode_id=202304696","ictv.global=202304696")</f>
        <v>ictv.global=202304696</v>
      </c>
    </row>
    <row r="13320" spans="1:21">
      <c r="A13320">
        <v>13319</v>
      </c>
      <c r="B13320" s="30" t="s">
        <v>1226</v>
      </c>
      <c r="D13320" s="30" t="s">
        <v>2024</v>
      </c>
      <c r="F13320" s="30" t="s">
        <v>2074</v>
      </c>
      <c r="H13320" s="30" t="s">
        <v>2126</v>
      </c>
      <c r="J13320" s="30" t="s">
        <v>2127</v>
      </c>
      <c r="L13320" s="30" t="s">
        <v>161</v>
      </c>
      <c r="N13320" s="30" t="s">
        <v>174</v>
      </c>
      <c r="P13320" s="30" t="s">
        <v>18220</v>
      </c>
      <c r="Q13320" t="s">
        <v>621</v>
      </c>
      <c r="R13320" t="s">
        <v>920</v>
      </c>
      <c r="S13320">
        <v>39</v>
      </c>
      <c r="T13320" s="29" t="str">
        <f t="shared" si="554"/>
        <v>2023.013P.Potyviridae_rename_sp.zip</v>
      </c>
      <c r="U13320" s="29" t="str">
        <f>HYPERLINK("https://ictv.global/taxonomy/taxondetails?taxnode_id=202304625","ictv.global=202304625")</f>
        <v>ictv.global=202304625</v>
      </c>
    </row>
    <row r="13321" spans="1:21">
      <c r="A13321">
        <v>13320</v>
      </c>
      <c r="B13321" s="30" t="s">
        <v>1226</v>
      </c>
      <c r="D13321" s="30" t="s">
        <v>2024</v>
      </c>
      <c r="F13321" s="30" t="s">
        <v>2074</v>
      </c>
      <c r="H13321" s="30" t="s">
        <v>2126</v>
      </c>
      <c r="J13321" s="30" t="s">
        <v>2127</v>
      </c>
      <c r="L13321" s="30" t="s">
        <v>161</v>
      </c>
      <c r="N13321" s="30" t="s">
        <v>174</v>
      </c>
      <c r="P13321" s="30" t="s">
        <v>18221</v>
      </c>
      <c r="Q13321" t="s">
        <v>621</v>
      </c>
      <c r="R13321" t="s">
        <v>920</v>
      </c>
      <c r="S13321">
        <v>39</v>
      </c>
      <c r="T13321" s="29" t="str">
        <f t="shared" si="554"/>
        <v>2023.013P.Potyviridae_rename_sp.zip</v>
      </c>
      <c r="U13321" s="29" t="str">
        <f>HYPERLINK("https://ictv.global/taxonomy/taxondetails?taxnode_id=202304645","ictv.global=202304645")</f>
        <v>ictv.global=202304645</v>
      </c>
    </row>
    <row r="13322" spans="1:21">
      <c r="A13322">
        <v>13321</v>
      </c>
      <c r="B13322" s="30" t="s">
        <v>1226</v>
      </c>
      <c r="D13322" s="30" t="s">
        <v>2024</v>
      </c>
      <c r="F13322" s="30" t="s">
        <v>2074</v>
      </c>
      <c r="H13322" s="30" t="s">
        <v>2126</v>
      </c>
      <c r="J13322" s="30" t="s">
        <v>2127</v>
      </c>
      <c r="L13322" s="30" t="s">
        <v>161</v>
      </c>
      <c r="N13322" s="30" t="s">
        <v>174</v>
      </c>
      <c r="P13322" s="30" t="s">
        <v>18222</v>
      </c>
      <c r="Q13322" t="s">
        <v>621</v>
      </c>
      <c r="R13322" t="s">
        <v>920</v>
      </c>
      <c r="S13322">
        <v>39</v>
      </c>
      <c r="T13322" s="29" t="str">
        <f t="shared" si="554"/>
        <v>2023.013P.Potyviridae_rename_sp.zip</v>
      </c>
      <c r="U13322" s="29" t="str">
        <f>HYPERLINK("https://ictv.global/taxonomy/taxondetails?taxnode_id=202304610","ictv.global=202304610")</f>
        <v>ictv.global=202304610</v>
      </c>
    </row>
    <row r="13323" spans="1:21">
      <c r="A13323">
        <v>13322</v>
      </c>
      <c r="B13323" s="30" t="s">
        <v>1226</v>
      </c>
      <c r="D13323" s="30" t="s">
        <v>2024</v>
      </c>
      <c r="F13323" s="30" t="s">
        <v>2074</v>
      </c>
      <c r="H13323" s="30" t="s">
        <v>2126</v>
      </c>
      <c r="J13323" s="30" t="s">
        <v>2127</v>
      </c>
      <c r="L13323" s="30" t="s">
        <v>161</v>
      </c>
      <c r="N13323" s="30" t="s">
        <v>174</v>
      </c>
      <c r="P13323" s="30" t="s">
        <v>18223</v>
      </c>
      <c r="Q13323" t="s">
        <v>621</v>
      </c>
      <c r="R13323" t="s">
        <v>920</v>
      </c>
      <c r="S13323">
        <v>39</v>
      </c>
      <c r="T13323" s="29" t="str">
        <f t="shared" si="554"/>
        <v>2023.013P.Potyviridae_rename_sp.zip</v>
      </c>
      <c r="U13323" s="29" t="str">
        <f>HYPERLINK("https://ictv.global/taxonomy/taxondetails?taxnode_id=202304648","ictv.global=202304648")</f>
        <v>ictv.global=202304648</v>
      </c>
    </row>
    <row r="13324" spans="1:21">
      <c r="A13324">
        <v>13323</v>
      </c>
      <c r="B13324" s="30" t="s">
        <v>1226</v>
      </c>
      <c r="D13324" s="30" t="s">
        <v>2024</v>
      </c>
      <c r="F13324" s="30" t="s">
        <v>2074</v>
      </c>
      <c r="H13324" s="30" t="s">
        <v>2126</v>
      </c>
      <c r="J13324" s="30" t="s">
        <v>2127</v>
      </c>
      <c r="L13324" s="30" t="s">
        <v>161</v>
      </c>
      <c r="N13324" s="30" t="s">
        <v>174</v>
      </c>
      <c r="P13324" s="30" t="s">
        <v>18224</v>
      </c>
      <c r="Q13324" t="s">
        <v>621</v>
      </c>
      <c r="R13324" t="s">
        <v>920</v>
      </c>
      <c r="S13324">
        <v>39</v>
      </c>
      <c r="T13324" s="29" t="str">
        <f t="shared" si="554"/>
        <v>2023.013P.Potyviridae_rename_sp.zip</v>
      </c>
      <c r="U13324" s="29" t="str">
        <f>HYPERLINK("https://ictv.global/taxonomy/taxondetails?taxnode_id=202304647","ictv.global=202304647")</f>
        <v>ictv.global=202304647</v>
      </c>
    </row>
    <row r="13325" spans="1:21">
      <c r="A13325">
        <v>13324</v>
      </c>
      <c r="B13325" s="30" t="s">
        <v>1226</v>
      </c>
      <c r="D13325" s="30" t="s">
        <v>2024</v>
      </c>
      <c r="F13325" s="30" t="s">
        <v>2074</v>
      </c>
      <c r="H13325" s="30" t="s">
        <v>2126</v>
      </c>
      <c r="J13325" s="30" t="s">
        <v>2127</v>
      </c>
      <c r="L13325" s="30" t="s">
        <v>161</v>
      </c>
      <c r="N13325" s="30" t="s">
        <v>174</v>
      </c>
      <c r="P13325" s="30" t="s">
        <v>18225</v>
      </c>
      <c r="Q13325" t="s">
        <v>621</v>
      </c>
      <c r="R13325" t="s">
        <v>920</v>
      </c>
      <c r="S13325">
        <v>39</v>
      </c>
      <c r="T13325" s="29" t="str">
        <f t="shared" si="554"/>
        <v>2023.013P.Potyviridae_rename_sp.zip</v>
      </c>
      <c r="U13325" s="29" t="str">
        <f>HYPERLINK("https://ictv.global/taxonomy/taxondetails?taxnode_id=202304716","ictv.global=202304716")</f>
        <v>ictv.global=202304716</v>
      </c>
    </row>
    <row r="13326" spans="1:21">
      <c r="A13326">
        <v>13325</v>
      </c>
      <c r="B13326" s="30" t="s">
        <v>1226</v>
      </c>
      <c r="D13326" s="30" t="s">
        <v>2024</v>
      </c>
      <c r="F13326" s="30" t="s">
        <v>2074</v>
      </c>
      <c r="H13326" s="30" t="s">
        <v>2126</v>
      </c>
      <c r="J13326" s="30" t="s">
        <v>2127</v>
      </c>
      <c r="L13326" s="30" t="s">
        <v>161</v>
      </c>
      <c r="N13326" s="30" t="s">
        <v>174</v>
      </c>
      <c r="P13326" s="30" t="s">
        <v>18226</v>
      </c>
      <c r="Q13326" t="s">
        <v>621</v>
      </c>
      <c r="R13326" t="s">
        <v>920</v>
      </c>
      <c r="S13326">
        <v>39</v>
      </c>
      <c r="T13326" s="29" t="str">
        <f t="shared" si="554"/>
        <v>2023.013P.Potyviridae_rename_sp.zip</v>
      </c>
      <c r="U13326" s="29" t="str">
        <f>HYPERLINK("https://ictv.global/taxonomy/taxondetails?taxnode_id=202304650","ictv.global=202304650")</f>
        <v>ictv.global=202304650</v>
      </c>
    </row>
    <row r="13327" spans="1:21">
      <c r="A13327">
        <v>13326</v>
      </c>
      <c r="B13327" s="30" t="s">
        <v>1226</v>
      </c>
      <c r="D13327" s="30" t="s">
        <v>2024</v>
      </c>
      <c r="F13327" s="30" t="s">
        <v>2074</v>
      </c>
      <c r="H13327" s="30" t="s">
        <v>2126</v>
      </c>
      <c r="J13327" s="30" t="s">
        <v>2127</v>
      </c>
      <c r="L13327" s="30" t="s">
        <v>161</v>
      </c>
      <c r="N13327" s="30" t="s">
        <v>174</v>
      </c>
      <c r="P13327" s="30" t="s">
        <v>18227</v>
      </c>
      <c r="Q13327" t="s">
        <v>621</v>
      </c>
      <c r="R13327" t="s">
        <v>920</v>
      </c>
      <c r="S13327">
        <v>39</v>
      </c>
      <c r="T13327" s="29" t="str">
        <f t="shared" si="554"/>
        <v>2023.013P.Potyviridae_rename_sp.zip</v>
      </c>
      <c r="U13327" s="29" t="str">
        <f>HYPERLINK("https://ictv.global/taxonomy/taxondetails?taxnode_id=202304652","ictv.global=202304652")</f>
        <v>ictv.global=202304652</v>
      </c>
    </row>
    <row r="13328" spans="1:21">
      <c r="A13328">
        <v>13327</v>
      </c>
      <c r="B13328" s="30" t="s">
        <v>1226</v>
      </c>
      <c r="D13328" s="30" t="s">
        <v>2024</v>
      </c>
      <c r="F13328" s="30" t="s">
        <v>2074</v>
      </c>
      <c r="H13328" s="30" t="s">
        <v>2126</v>
      </c>
      <c r="J13328" s="30" t="s">
        <v>2127</v>
      </c>
      <c r="L13328" s="30" t="s">
        <v>161</v>
      </c>
      <c r="N13328" s="30" t="s">
        <v>174</v>
      </c>
      <c r="P13328" s="30" t="s">
        <v>18228</v>
      </c>
      <c r="Q13328" t="s">
        <v>621</v>
      </c>
      <c r="R13328" t="s">
        <v>920</v>
      </c>
      <c r="S13328">
        <v>39</v>
      </c>
      <c r="T13328" s="29" t="str">
        <f t="shared" si="554"/>
        <v>2023.013P.Potyviridae_rename_sp.zip</v>
      </c>
      <c r="U13328" s="29" t="str">
        <f>HYPERLINK("https://ictv.global/taxonomy/taxondetails?taxnode_id=202309672","ictv.global=202309672")</f>
        <v>ictv.global=202309672</v>
      </c>
    </row>
    <row r="13329" spans="1:21">
      <c r="A13329">
        <v>13328</v>
      </c>
      <c r="B13329" s="30" t="s">
        <v>1226</v>
      </c>
      <c r="D13329" s="30" t="s">
        <v>2024</v>
      </c>
      <c r="F13329" s="30" t="s">
        <v>2074</v>
      </c>
      <c r="H13329" s="30" t="s">
        <v>2126</v>
      </c>
      <c r="J13329" s="30" t="s">
        <v>2127</v>
      </c>
      <c r="L13329" s="30" t="s">
        <v>161</v>
      </c>
      <c r="N13329" s="30" t="s">
        <v>174</v>
      </c>
      <c r="P13329" s="30" t="s">
        <v>18229</v>
      </c>
      <c r="Q13329" t="s">
        <v>621</v>
      </c>
      <c r="R13329" t="s">
        <v>920</v>
      </c>
      <c r="S13329">
        <v>39</v>
      </c>
      <c r="T13329" s="29" t="str">
        <f t="shared" si="554"/>
        <v>2023.013P.Potyviridae_rename_sp.zip</v>
      </c>
      <c r="U13329" s="29" t="str">
        <f>HYPERLINK("https://ictv.global/taxonomy/taxondetails?taxnode_id=202306674","ictv.global=202306674")</f>
        <v>ictv.global=202306674</v>
      </c>
    </row>
    <row r="13330" spans="1:21">
      <c r="A13330">
        <v>13329</v>
      </c>
      <c r="B13330" s="30" t="s">
        <v>1226</v>
      </c>
      <c r="D13330" s="30" t="s">
        <v>2024</v>
      </c>
      <c r="F13330" s="30" t="s">
        <v>2074</v>
      </c>
      <c r="H13330" s="30" t="s">
        <v>2126</v>
      </c>
      <c r="J13330" s="30" t="s">
        <v>2127</v>
      </c>
      <c r="L13330" s="30" t="s">
        <v>161</v>
      </c>
      <c r="N13330" s="30" t="s">
        <v>174</v>
      </c>
      <c r="P13330" s="30" t="s">
        <v>18230</v>
      </c>
      <c r="Q13330" t="s">
        <v>621</v>
      </c>
      <c r="R13330" t="s">
        <v>920</v>
      </c>
      <c r="S13330">
        <v>39</v>
      </c>
      <c r="T13330" s="29" t="str">
        <f t="shared" si="554"/>
        <v>2023.013P.Potyviridae_rename_sp.zip</v>
      </c>
      <c r="U13330" s="29" t="str">
        <f>HYPERLINK("https://ictv.global/taxonomy/taxondetails?taxnode_id=202307433","ictv.global=202307433")</f>
        <v>ictv.global=202307433</v>
      </c>
    </row>
    <row r="13331" spans="1:21">
      <c r="A13331">
        <v>13330</v>
      </c>
      <c r="B13331" s="30" t="s">
        <v>1226</v>
      </c>
      <c r="D13331" s="30" t="s">
        <v>2024</v>
      </c>
      <c r="F13331" s="30" t="s">
        <v>2074</v>
      </c>
      <c r="H13331" s="30" t="s">
        <v>2126</v>
      </c>
      <c r="J13331" s="30" t="s">
        <v>2127</v>
      </c>
      <c r="L13331" s="30" t="s">
        <v>161</v>
      </c>
      <c r="N13331" s="30" t="s">
        <v>174</v>
      </c>
      <c r="P13331" s="30" t="s">
        <v>18231</v>
      </c>
      <c r="Q13331" t="s">
        <v>621</v>
      </c>
      <c r="R13331" t="s">
        <v>920</v>
      </c>
      <c r="S13331">
        <v>39</v>
      </c>
      <c r="T13331" s="29" t="str">
        <f t="shared" si="554"/>
        <v>2023.013P.Potyviridae_rename_sp.zip</v>
      </c>
      <c r="U13331" s="29" t="str">
        <f>HYPERLINK("https://ictv.global/taxonomy/taxondetails?taxnode_id=202304655","ictv.global=202304655")</f>
        <v>ictv.global=202304655</v>
      </c>
    </row>
    <row r="13332" spans="1:21">
      <c r="A13332">
        <v>13331</v>
      </c>
      <c r="B13332" s="30" t="s">
        <v>1226</v>
      </c>
      <c r="D13332" s="30" t="s">
        <v>2024</v>
      </c>
      <c r="F13332" s="30" t="s">
        <v>2074</v>
      </c>
      <c r="H13332" s="30" t="s">
        <v>2126</v>
      </c>
      <c r="J13332" s="30" t="s">
        <v>2127</v>
      </c>
      <c r="L13332" s="30" t="s">
        <v>161</v>
      </c>
      <c r="N13332" s="30" t="s">
        <v>174</v>
      </c>
      <c r="P13332" s="30" t="s">
        <v>18232</v>
      </c>
      <c r="Q13332" t="s">
        <v>621</v>
      </c>
      <c r="R13332" t="s">
        <v>920</v>
      </c>
      <c r="S13332">
        <v>39</v>
      </c>
      <c r="T13332" s="29" t="str">
        <f t="shared" si="554"/>
        <v>2023.013P.Potyviridae_rename_sp.zip</v>
      </c>
      <c r="U13332" s="29" t="str">
        <f>HYPERLINK("https://ictv.global/taxonomy/taxondetails?taxnode_id=202304654","ictv.global=202304654")</f>
        <v>ictv.global=202304654</v>
      </c>
    </row>
    <row r="13333" spans="1:21">
      <c r="A13333">
        <v>13332</v>
      </c>
      <c r="B13333" s="30" t="s">
        <v>1226</v>
      </c>
      <c r="D13333" s="30" t="s">
        <v>2024</v>
      </c>
      <c r="F13333" s="30" t="s">
        <v>2074</v>
      </c>
      <c r="H13333" s="30" t="s">
        <v>2126</v>
      </c>
      <c r="J13333" s="30" t="s">
        <v>2127</v>
      </c>
      <c r="L13333" s="30" t="s">
        <v>161</v>
      </c>
      <c r="N13333" s="30" t="s">
        <v>174</v>
      </c>
      <c r="P13333" s="30" t="s">
        <v>18233</v>
      </c>
      <c r="Q13333" t="s">
        <v>621</v>
      </c>
      <c r="R13333" t="s">
        <v>920</v>
      </c>
      <c r="S13333">
        <v>39</v>
      </c>
      <c r="T13333" s="29" t="str">
        <f t="shared" si="554"/>
        <v>2023.013P.Potyviridae_rename_sp.zip</v>
      </c>
      <c r="U13333" s="29" t="str">
        <f>HYPERLINK("https://ictv.global/taxonomy/taxondetails?taxnode_id=202309675","ictv.global=202309675")</f>
        <v>ictv.global=202309675</v>
      </c>
    </row>
    <row r="13334" spans="1:21">
      <c r="A13334">
        <v>13333</v>
      </c>
      <c r="B13334" s="30" t="s">
        <v>1226</v>
      </c>
      <c r="D13334" s="30" t="s">
        <v>2024</v>
      </c>
      <c r="F13334" s="30" t="s">
        <v>2074</v>
      </c>
      <c r="H13334" s="30" t="s">
        <v>2126</v>
      </c>
      <c r="J13334" s="30" t="s">
        <v>2127</v>
      </c>
      <c r="L13334" s="30" t="s">
        <v>161</v>
      </c>
      <c r="N13334" s="30" t="s">
        <v>174</v>
      </c>
      <c r="P13334" s="30" t="s">
        <v>18234</v>
      </c>
      <c r="Q13334" t="s">
        <v>621</v>
      </c>
      <c r="R13334" t="s">
        <v>920</v>
      </c>
      <c r="S13334">
        <v>39</v>
      </c>
      <c r="T13334" s="29" t="str">
        <f t="shared" si="554"/>
        <v>2023.013P.Potyviridae_rename_sp.zip</v>
      </c>
      <c r="U13334" s="29" t="str">
        <f>HYPERLINK("https://ictv.global/taxonomy/taxondetails?taxnode_id=202309673","ictv.global=202309673")</f>
        <v>ictv.global=202309673</v>
      </c>
    </row>
    <row r="13335" spans="1:21">
      <c r="A13335">
        <v>13334</v>
      </c>
      <c r="B13335" s="30" t="s">
        <v>1226</v>
      </c>
      <c r="D13335" s="30" t="s">
        <v>2024</v>
      </c>
      <c r="F13335" s="30" t="s">
        <v>2074</v>
      </c>
      <c r="H13335" s="30" t="s">
        <v>2126</v>
      </c>
      <c r="J13335" s="30" t="s">
        <v>2127</v>
      </c>
      <c r="L13335" s="30" t="s">
        <v>161</v>
      </c>
      <c r="N13335" s="30" t="s">
        <v>174</v>
      </c>
      <c r="P13335" s="30" t="s">
        <v>18235</v>
      </c>
      <c r="Q13335" t="s">
        <v>621</v>
      </c>
      <c r="R13335" t="s">
        <v>917</v>
      </c>
      <c r="S13335">
        <v>39</v>
      </c>
      <c r="T13335" s="29" t="str">
        <f>HYPERLINK("https://ictv.global/ictv/proposals/2023.012P.Potyviridae_5nsp.zip","2023.012P.Potyviridae_5nsp.zip")</f>
        <v>2023.012P.Potyviridae_5nsp.zip</v>
      </c>
      <c r="U13335" s="29" t="str">
        <f>HYPERLINK("https://ictv.global/taxonomy/taxondetails?taxnode_id=202318062","ictv.global=202318062")</f>
        <v>ictv.global=202318062</v>
      </c>
    </row>
    <row r="13336" spans="1:21">
      <c r="A13336">
        <v>13335</v>
      </c>
      <c r="B13336" s="30" t="s">
        <v>1226</v>
      </c>
      <c r="D13336" s="30" t="s">
        <v>2024</v>
      </c>
      <c r="F13336" s="30" t="s">
        <v>2074</v>
      </c>
      <c r="H13336" s="30" t="s">
        <v>2126</v>
      </c>
      <c r="J13336" s="30" t="s">
        <v>2127</v>
      </c>
      <c r="L13336" s="30" t="s">
        <v>161</v>
      </c>
      <c r="N13336" s="30" t="s">
        <v>174</v>
      </c>
      <c r="P13336" s="30" t="s">
        <v>18236</v>
      </c>
      <c r="Q13336" t="s">
        <v>621</v>
      </c>
      <c r="R13336" t="s">
        <v>920</v>
      </c>
      <c r="S13336">
        <v>39</v>
      </c>
      <c r="T13336" s="29" t="str">
        <f t="shared" ref="T13336:T13348" si="555">HYPERLINK("https://ictv.global/ictv/proposals/2023.013P.Potyviridae_rename_sp.zip","2023.013P.Potyviridae_rename_sp.zip")</f>
        <v>2023.013P.Potyviridae_rename_sp.zip</v>
      </c>
      <c r="U13336" s="29" t="str">
        <f>HYPERLINK("https://ictv.global/taxonomy/taxondetails?taxnode_id=202304653","ictv.global=202304653")</f>
        <v>ictv.global=202304653</v>
      </c>
    </row>
    <row r="13337" spans="1:21">
      <c r="A13337">
        <v>13336</v>
      </c>
      <c r="B13337" s="30" t="s">
        <v>1226</v>
      </c>
      <c r="D13337" s="30" t="s">
        <v>2024</v>
      </c>
      <c r="F13337" s="30" t="s">
        <v>2074</v>
      </c>
      <c r="H13337" s="30" t="s">
        <v>2126</v>
      </c>
      <c r="J13337" s="30" t="s">
        <v>2127</v>
      </c>
      <c r="L13337" s="30" t="s">
        <v>161</v>
      </c>
      <c r="N13337" s="30" t="s">
        <v>174</v>
      </c>
      <c r="P13337" s="30" t="s">
        <v>18237</v>
      </c>
      <c r="Q13337" t="s">
        <v>621</v>
      </c>
      <c r="R13337" t="s">
        <v>920</v>
      </c>
      <c r="S13337">
        <v>39</v>
      </c>
      <c r="T13337" s="29" t="str">
        <f t="shared" si="555"/>
        <v>2023.013P.Potyviridae_rename_sp.zip</v>
      </c>
      <c r="U13337" s="29" t="str">
        <f>HYPERLINK("https://ictv.global/taxonomy/taxondetails?taxnode_id=202304658","ictv.global=202304658")</f>
        <v>ictv.global=202304658</v>
      </c>
    </row>
    <row r="13338" spans="1:21">
      <c r="A13338">
        <v>13337</v>
      </c>
      <c r="B13338" s="30" t="s">
        <v>1226</v>
      </c>
      <c r="D13338" s="30" t="s">
        <v>2024</v>
      </c>
      <c r="F13338" s="30" t="s">
        <v>2074</v>
      </c>
      <c r="H13338" s="30" t="s">
        <v>2126</v>
      </c>
      <c r="J13338" s="30" t="s">
        <v>2127</v>
      </c>
      <c r="L13338" s="30" t="s">
        <v>161</v>
      </c>
      <c r="N13338" s="30" t="s">
        <v>174</v>
      </c>
      <c r="P13338" s="30" t="s">
        <v>18238</v>
      </c>
      <c r="Q13338" t="s">
        <v>621</v>
      </c>
      <c r="R13338" t="s">
        <v>920</v>
      </c>
      <c r="S13338">
        <v>39</v>
      </c>
      <c r="T13338" s="29" t="str">
        <f t="shared" si="555"/>
        <v>2023.013P.Potyviridae_rename_sp.zip</v>
      </c>
      <c r="U13338" s="29" t="str">
        <f>HYPERLINK("https://ictv.global/taxonomy/taxondetails?taxnode_id=202304721","ictv.global=202304721")</f>
        <v>ictv.global=202304721</v>
      </c>
    </row>
    <row r="13339" spans="1:21">
      <c r="A13339">
        <v>13338</v>
      </c>
      <c r="B13339" s="30" t="s">
        <v>1226</v>
      </c>
      <c r="D13339" s="30" t="s">
        <v>2024</v>
      </c>
      <c r="F13339" s="30" t="s">
        <v>2074</v>
      </c>
      <c r="H13339" s="30" t="s">
        <v>2126</v>
      </c>
      <c r="J13339" s="30" t="s">
        <v>2127</v>
      </c>
      <c r="L13339" s="30" t="s">
        <v>161</v>
      </c>
      <c r="N13339" s="30" t="s">
        <v>174</v>
      </c>
      <c r="P13339" s="30" t="s">
        <v>18239</v>
      </c>
      <c r="Q13339" t="s">
        <v>621</v>
      </c>
      <c r="R13339" t="s">
        <v>920</v>
      </c>
      <c r="S13339">
        <v>39</v>
      </c>
      <c r="T13339" s="29" t="str">
        <f t="shared" si="555"/>
        <v>2023.013P.Potyviridae_rename_sp.zip</v>
      </c>
      <c r="U13339" s="29" t="str">
        <f>HYPERLINK("https://ictv.global/taxonomy/taxondetails?taxnode_id=202304719","ictv.global=202304719")</f>
        <v>ictv.global=202304719</v>
      </c>
    </row>
    <row r="13340" spans="1:21">
      <c r="A13340">
        <v>13339</v>
      </c>
      <c r="B13340" s="30" t="s">
        <v>1226</v>
      </c>
      <c r="D13340" s="30" t="s">
        <v>2024</v>
      </c>
      <c r="F13340" s="30" t="s">
        <v>2074</v>
      </c>
      <c r="H13340" s="30" t="s">
        <v>2126</v>
      </c>
      <c r="J13340" s="30" t="s">
        <v>2127</v>
      </c>
      <c r="L13340" s="30" t="s">
        <v>161</v>
      </c>
      <c r="N13340" s="30" t="s">
        <v>174</v>
      </c>
      <c r="P13340" s="30" t="s">
        <v>18240</v>
      </c>
      <c r="Q13340" t="s">
        <v>621</v>
      </c>
      <c r="R13340" t="s">
        <v>920</v>
      </c>
      <c r="S13340">
        <v>39</v>
      </c>
      <c r="T13340" s="29" t="str">
        <f t="shared" si="555"/>
        <v>2023.013P.Potyviridae_rename_sp.zip</v>
      </c>
      <c r="U13340" s="29" t="str">
        <f>HYPERLINK("https://ictv.global/taxonomy/taxondetails?taxnode_id=202304720","ictv.global=202304720")</f>
        <v>ictv.global=202304720</v>
      </c>
    </row>
    <row r="13341" spans="1:21">
      <c r="A13341">
        <v>13340</v>
      </c>
      <c r="B13341" s="30" t="s">
        <v>1226</v>
      </c>
      <c r="D13341" s="30" t="s">
        <v>2024</v>
      </c>
      <c r="F13341" s="30" t="s">
        <v>2074</v>
      </c>
      <c r="H13341" s="30" t="s">
        <v>2126</v>
      </c>
      <c r="J13341" s="30" t="s">
        <v>2127</v>
      </c>
      <c r="L13341" s="30" t="s">
        <v>161</v>
      </c>
      <c r="N13341" s="30" t="s">
        <v>174</v>
      </c>
      <c r="P13341" s="30" t="s">
        <v>18241</v>
      </c>
      <c r="Q13341" t="s">
        <v>621</v>
      </c>
      <c r="R13341" t="s">
        <v>920</v>
      </c>
      <c r="S13341">
        <v>39</v>
      </c>
      <c r="T13341" s="29" t="str">
        <f t="shared" si="555"/>
        <v>2023.013P.Potyviridae_rename_sp.zip</v>
      </c>
      <c r="U13341" s="29" t="str">
        <f>HYPERLINK("https://ictv.global/taxonomy/taxondetails?taxnode_id=202304663","ictv.global=202304663")</f>
        <v>ictv.global=202304663</v>
      </c>
    </row>
    <row r="13342" spans="1:21">
      <c r="A13342">
        <v>13341</v>
      </c>
      <c r="B13342" s="30" t="s">
        <v>1226</v>
      </c>
      <c r="D13342" s="30" t="s">
        <v>2024</v>
      </c>
      <c r="F13342" s="30" t="s">
        <v>2074</v>
      </c>
      <c r="H13342" s="30" t="s">
        <v>2126</v>
      </c>
      <c r="J13342" s="30" t="s">
        <v>2127</v>
      </c>
      <c r="L13342" s="30" t="s">
        <v>161</v>
      </c>
      <c r="N13342" s="30" t="s">
        <v>174</v>
      </c>
      <c r="P13342" s="30" t="s">
        <v>18242</v>
      </c>
      <c r="Q13342" t="s">
        <v>621</v>
      </c>
      <c r="R13342" t="s">
        <v>920</v>
      </c>
      <c r="S13342">
        <v>39</v>
      </c>
      <c r="T13342" s="29" t="str">
        <f t="shared" si="555"/>
        <v>2023.013P.Potyviridae_rename_sp.zip</v>
      </c>
      <c r="U13342" s="29" t="str">
        <f>HYPERLINK("https://ictv.global/taxonomy/taxondetails?taxnode_id=202304664","ictv.global=202304664")</f>
        <v>ictv.global=202304664</v>
      </c>
    </row>
    <row r="13343" spans="1:21">
      <c r="A13343">
        <v>13342</v>
      </c>
      <c r="B13343" s="30" t="s">
        <v>1226</v>
      </c>
      <c r="D13343" s="30" t="s">
        <v>2024</v>
      </c>
      <c r="F13343" s="30" t="s">
        <v>2074</v>
      </c>
      <c r="H13343" s="30" t="s">
        <v>2126</v>
      </c>
      <c r="J13343" s="30" t="s">
        <v>2127</v>
      </c>
      <c r="L13343" s="30" t="s">
        <v>161</v>
      </c>
      <c r="N13343" s="30" t="s">
        <v>174</v>
      </c>
      <c r="P13343" s="30" t="s">
        <v>18243</v>
      </c>
      <c r="Q13343" t="s">
        <v>621</v>
      </c>
      <c r="R13343" t="s">
        <v>920</v>
      </c>
      <c r="S13343">
        <v>39</v>
      </c>
      <c r="T13343" s="29" t="str">
        <f t="shared" si="555"/>
        <v>2023.013P.Potyviridae_rename_sp.zip</v>
      </c>
      <c r="U13343" s="29" t="str">
        <f>HYPERLINK("https://ictv.global/taxonomy/taxondetails?taxnode_id=202304575","ictv.global=202304575")</f>
        <v>ictv.global=202304575</v>
      </c>
    </row>
    <row r="13344" spans="1:21">
      <c r="A13344">
        <v>13343</v>
      </c>
      <c r="B13344" s="30" t="s">
        <v>1226</v>
      </c>
      <c r="D13344" s="30" t="s">
        <v>2024</v>
      </c>
      <c r="F13344" s="30" t="s">
        <v>2074</v>
      </c>
      <c r="H13344" s="30" t="s">
        <v>2126</v>
      </c>
      <c r="J13344" s="30" t="s">
        <v>2127</v>
      </c>
      <c r="L13344" s="30" t="s">
        <v>161</v>
      </c>
      <c r="N13344" s="30" t="s">
        <v>174</v>
      </c>
      <c r="P13344" s="30" t="s">
        <v>18244</v>
      </c>
      <c r="Q13344" t="s">
        <v>621</v>
      </c>
      <c r="R13344" t="s">
        <v>920</v>
      </c>
      <c r="S13344">
        <v>39</v>
      </c>
      <c r="T13344" s="29" t="str">
        <f t="shared" si="555"/>
        <v>2023.013P.Potyviridae_rename_sp.zip</v>
      </c>
      <c r="U13344" s="29" t="str">
        <f>HYPERLINK("https://ictv.global/taxonomy/taxondetails?taxnode_id=202304577","ictv.global=202304577")</f>
        <v>ictv.global=202304577</v>
      </c>
    </row>
    <row r="13345" spans="1:21">
      <c r="A13345">
        <v>13344</v>
      </c>
      <c r="B13345" s="30" t="s">
        <v>1226</v>
      </c>
      <c r="D13345" s="30" t="s">
        <v>2024</v>
      </c>
      <c r="F13345" s="30" t="s">
        <v>2074</v>
      </c>
      <c r="H13345" s="30" t="s">
        <v>2126</v>
      </c>
      <c r="J13345" s="30" t="s">
        <v>2127</v>
      </c>
      <c r="L13345" s="30" t="s">
        <v>161</v>
      </c>
      <c r="N13345" s="30" t="s">
        <v>174</v>
      </c>
      <c r="P13345" s="30" t="s">
        <v>18245</v>
      </c>
      <c r="Q13345" t="s">
        <v>621</v>
      </c>
      <c r="R13345" t="s">
        <v>920</v>
      </c>
      <c r="S13345">
        <v>39</v>
      </c>
      <c r="T13345" s="29" t="str">
        <f t="shared" si="555"/>
        <v>2023.013P.Potyviridae_rename_sp.zip</v>
      </c>
      <c r="U13345" s="29" t="str">
        <f>HYPERLINK("https://ictv.global/taxonomy/taxondetails?taxnode_id=202304576","ictv.global=202304576")</f>
        <v>ictv.global=202304576</v>
      </c>
    </row>
    <row r="13346" spans="1:21">
      <c r="A13346">
        <v>13345</v>
      </c>
      <c r="B13346" s="30" t="s">
        <v>1226</v>
      </c>
      <c r="D13346" s="30" t="s">
        <v>2024</v>
      </c>
      <c r="F13346" s="30" t="s">
        <v>2074</v>
      </c>
      <c r="H13346" s="30" t="s">
        <v>2126</v>
      </c>
      <c r="J13346" s="30" t="s">
        <v>2127</v>
      </c>
      <c r="L13346" s="30" t="s">
        <v>161</v>
      </c>
      <c r="N13346" s="30" t="s">
        <v>174</v>
      </c>
      <c r="P13346" s="30" t="s">
        <v>18246</v>
      </c>
      <c r="Q13346" t="s">
        <v>621</v>
      </c>
      <c r="R13346" t="s">
        <v>920</v>
      </c>
      <c r="S13346">
        <v>39</v>
      </c>
      <c r="T13346" s="29" t="str">
        <f t="shared" si="555"/>
        <v>2023.013P.Potyviridae_rename_sp.zip</v>
      </c>
      <c r="U13346" s="29" t="str">
        <f>HYPERLINK("https://ictv.global/taxonomy/taxondetails?taxnode_id=202304667","ictv.global=202304667")</f>
        <v>ictv.global=202304667</v>
      </c>
    </row>
    <row r="13347" spans="1:21">
      <c r="A13347">
        <v>13346</v>
      </c>
      <c r="B13347" s="30" t="s">
        <v>1226</v>
      </c>
      <c r="D13347" s="30" t="s">
        <v>2024</v>
      </c>
      <c r="F13347" s="30" t="s">
        <v>2074</v>
      </c>
      <c r="H13347" s="30" t="s">
        <v>2126</v>
      </c>
      <c r="J13347" s="30" t="s">
        <v>2127</v>
      </c>
      <c r="L13347" s="30" t="s">
        <v>161</v>
      </c>
      <c r="N13347" s="30" t="s">
        <v>174</v>
      </c>
      <c r="P13347" s="30" t="s">
        <v>18247</v>
      </c>
      <c r="Q13347" t="s">
        <v>621</v>
      </c>
      <c r="R13347" t="s">
        <v>920</v>
      </c>
      <c r="S13347">
        <v>39</v>
      </c>
      <c r="T13347" s="29" t="str">
        <f t="shared" si="555"/>
        <v>2023.013P.Potyviridae_rename_sp.zip</v>
      </c>
      <c r="U13347" s="29" t="str">
        <f>HYPERLINK("https://ictv.global/taxonomy/taxondetails?taxnode_id=202304656","ictv.global=202304656")</f>
        <v>ictv.global=202304656</v>
      </c>
    </row>
    <row r="13348" spans="1:21">
      <c r="A13348">
        <v>13347</v>
      </c>
      <c r="B13348" s="30" t="s">
        <v>1226</v>
      </c>
      <c r="D13348" s="30" t="s">
        <v>2024</v>
      </c>
      <c r="F13348" s="30" t="s">
        <v>2074</v>
      </c>
      <c r="H13348" s="30" t="s">
        <v>2126</v>
      </c>
      <c r="J13348" s="30" t="s">
        <v>2127</v>
      </c>
      <c r="L13348" s="30" t="s">
        <v>161</v>
      </c>
      <c r="N13348" s="30" t="s">
        <v>174</v>
      </c>
      <c r="P13348" s="30" t="s">
        <v>18248</v>
      </c>
      <c r="Q13348" t="s">
        <v>621</v>
      </c>
      <c r="R13348" t="s">
        <v>920</v>
      </c>
      <c r="S13348">
        <v>39</v>
      </c>
      <c r="T13348" s="29" t="str">
        <f t="shared" si="555"/>
        <v>2023.013P.Potyviridae_rename_sp.zip</v>
      </c>
      <c r="U13348" s="29" t="str">
        <f>HYPERLINK("https://ictv.global/taxonomy/taxondetails?taxnode_id=202307437","ictv.global=202307437")</f>
        <v>ictv.global=202307437</v>
      </c>
    </row>
    <row r="13349" spans="1:21">
      <c r="A13349">
        <v>13348</v>
      </c>
      <c r="B13349" s="30" t="s">
        <v>1226</v>
      </c>
      <c r="D13349" s="30" t="s">
        <v>2024</v>
      </c>
      <c r="F13349" s="30" t="s">
        <v>2074</v>
      </c>
      <c r="H13349" s="30" t="s">
        <v>2126</v>
      </c>
      <c r="J13349" s="30" t="s">
        <v>2127</v>
      </c>
      <c r="L13349" s="30" t="s">
        <v>161</v>
      </c>
      <c r="N13349" s="30" t="s">
        <v>174</v>
      </c>
      <c r="P13349" s="30" t="s">
        <v>11145</v>
      </c>
      <c r="Q13349" t="s">
        <v>621</v>
      </c>
      <c r="R13349" t="s">
        <v>917</v>
      </c>
      <c r="S13349">
        <v>37</v>
      </c>
      <c r="T13349" s="29" t="str">
        <f>HYPERLINK("https://ictv.global/ictv/proposals/2021.006P.R.Potyvirus_5ns_3as.zip","2021.006P.R.Potyvirus_5ns_3as.zip")</f>
        <v>2021.006P.R.Potyvirus_5ns_3as.zip</v>
      </c>
      <c r="U13349" s="29" t="str">
        <f>HYPERLINK("https://ictv.global/taxonomy/taxondetails?taxnode_id=202313839","ictv.global=202313839")</f>
        <v>ictv.global=202313839</v>
      </c>
    </row>
    <row r="13350" spans="1:21">
      <c r="A13350">
        <v>13349</v>
      </c>
      <c r="B13350" s="30" t="s">
        <v>1226</v>
      </c>
      <c r="D13350" s="30" t="s">
        <v>2024</v>
      </c>
      <c r="F13350" s="30" t="s">
        <v>2074</v>
      </c>
      <c r="H13350" s="30" t="s">
        <v>2126</v>
      </c>
      <c r="J13350" s="30" t="s">
        <v>2127</v>
      </c>
      <c r="L13350" s="30" t="s">
        <v>161</v>
      </c>
      <c r="N13350" s="30" t="s">
        <v>174</v>
      </c>
      <c r="P13350" s="30" t="s">
        <v>18249</v>
      </c>
      <c r="Q13350" t="s">
        <v>621</v>
      </c>
      <c r="R13350" t="s">
        <v>920</v>
      </c>
      <c r="S13350">
        <v>39</v>
      </c>
      <c r="T13350" s="29" t="str">
        <f>HYPERLINK("https://ictv.global/ictv/proposals/2023.013P.Potyviridae_rename_sp.zip","2023.013P.Potyviridae_rename_sp.zip")</f>
        <v>2023.013P.Potyviridae_rename_sp.zip</v>
      </c>
      <c r="U13350" s="29" t="str">
        <f>HYPERLINK("https://ictv.global/taxonomy/taxondetails?taxnode_id=202309674","ictv.global=202309674")</f>
        <v>ictv.global=202309674</v>
      </c>
    </row>
    <row r="13351" spans="1:21">
      <c r="A13351">
        <v>13350</v>
      </c>
      <c r="B13351" s="30" t="s">
        <v>1226</v>
      </c>
      <c r="D13351" s="30" t="s">
        <v>2024</v>
      </c>
      <c r="F13351" s="30" t="s">
        <v>2074</v>
      </c>
      <c r="H13351" s="30" t="s">
        <v>2126</v>
      </c>
      <c r="J13351" s="30" t="s">
        <v>2127</v>
      </c>
      <c r="L13351" s="30" t="s">
        <v>161</v>
      </c>
      <c r="N13351" s="30" t="s">
        <v>174</v>
      </c>
      <c r="P13351" s="30" t="s">
        <v>18250</v>
      </c>
      <c r="Q13351" t="s">
        <v>621</v>
      </c>
      <c r="R13351" t="s">
        <v>920</v>
      </c>
      <c r="S13351">
        <v>39</v>
      </c>
      <c r="T13351" s="29" t="str">
        <f>HYPERLINK("https://ictv.global/ictv/proposals/2023.013P.Potyviridae_rename_sp.zip","2023.013P.Potyviridae_rename_sp.zip")</f>
        <v>2023.013P.Potyviridae_rename_sp.zip</v>
      </c>
      <c r="U13351" s="29" t="str">
        <f>HYPERLINK("https://ictv.global/taxonomy/taxondetails?taxnode_id=202304666","ictv.global=202304666")</f>
        <v>ictv.global=202304666</v>
      </c>
    </row>
    <row r="13352" spans="1:21">
      <c r="A13352">
        <v>13351</v>
      </c>
      <c r="B13352" s="30" t="s">
        <v>1226</v>
      </c>
      <c r="D13352" s="30" t="s">
        <v>2024</v>
      </c>
      <c r="F13352" s="30" t="s">
        <v>2074</v>
      </c>
      <c r="H13352" s="30" t="s">
        <v>2126</v>
      </c>
      <c r="J13352" s="30" t="s">
        <v>2127</v>
      </c>
      <c r="L13352" s="30" t="s">
        <v>161</v>
      </c>
      <c r="N13352" s="30" t="s">
        <v>174</v>
      </c>
      <c r="P13352" s="30" t="s">
        <v>18251</v>
      </c>
      <c r="Q13352" t="s">
        <v>621</v>
      </c>
      <c r="R13352" t="s">
        <v>920</v>
      </c>
      <c r="S13352">
        <v>39</v>
      </c>
      <c r="T13352" s="29" t="str">
        <f>HYPERLINK("https://ictv.global/ictv/proposals/2023.013P.Potyviridae_rename_sp.zip","2023.013P.Potyviridae_rename_sp.zip")</f>
        <v>2023.013P.Potyviridae_rename_sp.zip</v>
      </c>
      <c r="U13352" s="29" t="str">
        <f>HYPERLINK("https://ictv.global/taxonomy/taxondetails?taxnode_id=202304700","ictv.global=202304700")</f>
        <v>ictv.global=202304700</v>
      </c>
    </row>
    <row r="13353" spans="1:21">
      <c r="A13353">
        <v>13352</v>
      </c>
      <c r="B13353" s="30" t="s">
        <v>1226</v>
      </c>
      <c r="D13353" s="30" t="s">
        <v>2024</v>
      </c>
      <c r="F13353" s="30" t="s">
        <v>2074</v>
      </c>
      <c r="H13353" s="30" t="s">
        <v>2126</v>
      </c>
      <c r="J13353" s="30" t="s">
        <v>2127</v>
      </c>
      <c r="L13353" s="30" t="s">
        <v>161</v>
      </c>
      <c r="N13353" s="30" t="s">
        <v>174</v>
      </c>
      <c r="P13353" s="30" t="s">
        <v>18252</v>
      </c>
      <c r="Q13353" t="s">
        <v>621</v>
      </c>
      <c r="R13353" t="s">
        <v>920</v>
      </c>
      <c r="S13353">
        <v>39</v>
      </c>
      <c r="T13353" s="29" t="str">
        <f>HYPERLINK("https://ictv.global/ictv/proposals/2023.013P.Potyviridae_rename_sp.zip","2023.013P.Potyviridae_rename_sp.zip")</f>
        <v>2023.013P.Potyviridae_rename_sp.zip</v>
      </c>
      <c r="U13353" s="29" t="str">
        <f>HYPERLINK("https://ictv.global/taxonomy/taxondetails?taxnode_id=202304701","ictv.global=202304701")</f>
        <v>ictv.global=202304701</v>
      </c>
    </row>
    <row r="13354" spans="1:21">
      <c r="A13354">
        <v>13353</v>
      </c>
      <c r="B13354" s="30" t="s">
        <v>1226</v>
      </c>
      <c r="D13354" s="30" t="s">
        <v>2024</v>
      </c>
      <c r="F13354" s="30" t="s">
        <v>2074</v>
      </c>
      <c r="H13354" s="30" t="s">
        <v>2126</v>
      </c>
      <c r="J13354" s="30" t="s">
        <v>2127</v>
      </c>
      <c r="L13354" s="30" t="s">
        <v>161</v>
      </c>
      <c r="N13354" s="30" t="s">
        <v>174</v>
      </c>
      <c r="P13354" s="30" t="s">
        <v>18253</v>
      </c>
      <c r="Q13354" t="s">
        <v>621</v>
      </c>
      <c r="R13354" t="s">
        <v>917</v>
      </c>
      <c r="S13354">
        <v>39</v>
      </c>
      <c r="T13354" s="29" t="str">
        <f>HYPERLINK("https://ictv.global/ictv/proposals/2023.012P.Potyviridae_5nsp.zip","2023.012P.Potyviridae_5nsp.zip")</f>
        <v>2023.012P.Potyviridae_5nsp.zip</v>
      </c>
      <c r="U13354" s="29" t="str">
        <f>HYPERLINK("https://ictv.global/taxonomy/taxondetails?taxnode_id=202318063","ictv.global=202318063")</f>
        <v>ictv.global=202318063</v>
      </c>
    </row>
    <row r="13355" spans="1:21">
      <c r="A13355">
        <v>13354</v>
      </c>
      <c r="B13355" s="30" t="s">
        <v>1226</v>
      </c>
      <c r="D13355" s="30" t="s">
        <v>2024</v>
      </c>
      <c r="F13355" s="30" t="s">
        <v>2074</v>
      </c>
      <c r="H13355" s="30" t="s">
        <v>2126</v>
      </c>
      <c r="J13355" s="30" t="s">
        <v>2127</v>
      </c>
      <c r="L13355" s="30" t="s">
        <v>161</v>
      </c>
      <c r="N13355" s="30" t="s">
        <v>174</v>
      </c>
      <c r="P13355" s="30" t="s">
        <v>18254</v>
      </c>
      <c r="Q13355" t="s">
        <v>621</v>
      </c>
      <c r="R13355" t="s">
        <v>920</v>
      </c>
      <c r="S13355">
        <v>39</v>
      </c>
      <c r="T13355" s="29" t="str">
        <f t="shared" ref="T13355:T13363" si="556">HYPERLINK("https://ictv.global/ictv/proposals/2023.013P.Potyviridae_rename_sp.zip","2023.013P.Potyviridae_rename_sp.zip")</f>
        <v>2023.013P.Potyviridae_rename_sp.zip</v>
      </c>
      <c r="U13355" s="29" t="str">
        <f>HYPERLINK("https://ictv.global/taxonomy/taxondetails?taxnode_id=202304673","ictv.global=202304673")</f>
        <v>ictv.global=202304673</v>
      </c>
    </row>
    <row r="13356" spans="1:21">
      <c r="A13356">
        <v>13355</v>
      </c>
      <c r="B13356" s="30" t="s">
        <v>1226</v>
      </c>
      <c r="D13356" s="30" t="s">
        <v>2024</v>
      </c>
      <c r="F13356" s="30" t="s">
        <v>2074</v>
      </c>
      <c r="H13356" s="30" t="s">
        <v>2126</v>
      </c>
      <c r="J13356" s="30" t="s">
        <v>2127</v>
      </c>
      <c r="L13356" s="30" t="s">
        <v>161</v>
      </c>
      <c r="N13356" s="30" t="s">
        <v>174</v>
      </c>
      <c r="P13356" s="30" t="s">
        <v>18255</v>
      </c>
      <c r="Q13356" t="s">
        <v>621</v>
      </c>
      <c r="R13356" t="s">
        <v>920</v>
      </c>
      <c r="S13356">
        <v>39</v>
      </c>
      <c r="T13356" s="29" t="str">
        <f t="shared" si="556"/>
        <v>2023.013P.Potyviridae_rename_sp.zip</v>
      </c>
      <c r="U13356" s="29" t="str">
        <f>HYPERLINK("https://ictv.global/taxonomy/taxondetails?taxnode_id=202304671","ictv.global=202304671")</f>
        <v>ictv.global=202304671</v>
      </c>
    </row>
    <row r="13357" spans="1:21">
      <c r="A13357">
        <v>13356</v>
      </c>
      <c r="B13357" s="30" t="s">
        <v>1226</v>
      </c>
      <c r="D13357" s="30" t="s">
        <v>2024</v>
      </c>
      <c r="F13357" s="30" t="s">
        <v>2074</v>
      </c>
      <c r="H13357" s="30" t="s">
        <v>2126</v>
      </c>
      <c r="J13357" s="30" t="s">
        <v>2127</v>
      </c>
      <c r="L13357" s="30" t="s">
        <v>161</v>
      </c>
      <c r="N13357" s="30" t="s">
        <v>174</v>
      </c>
      <c r="P13357" s="30" t="s">
        <v>18256</v>
      </c>
      <c r="Q13357" t="s">
        <v>621</v>
      </c>
      <c r="R13357" t="s">
        <v>920</v>
      </c>
      <c r="S13357">
        <v>39</v>
      </c>
      <c r="T13357" s="29" t="str">
        <f t="shared" si="556"/>
        <v>2023.013P.Potyviridae_rename_sp.zip</v>
      </c>
      <c r="U13357" s="29" t="str">
        <f>HYPERLINK("https://ictv.global/taxonomy/taxondetails?taxnode_id=202304672","ictv.global=202304672")</f>
        <v>ictv.global=202304672</v>
      </c>
    </row>
    <row r="13358" spans="1:21">
      <c r="A13358">
        <v>13357</v>
      </c>
      <c r="B13358" s="30" t="s">
        <v>1226</v>
      </c>
      <c r="D13358" s="30" t="s">
        <v>2024</v>
      </c>
      <c r="F13358" s="30" t="s">
        <v>2074</v>
      </c>
      <c r="H13358" s="30" t="s">
        <v>2126</v>
      </c>
      <c r="J13358" s="30" t="s">
        <v>2127</v>
      </c>
      <c r="L13358" s="30" t="s">
        <v>161</v>
      </c>
      <c r="N13358" s="30" t="s">
        <v>174</v>
      </c>
      <c r="P13358" s="30" t="s">
        <v>18257</v>
      </c>
      <c r="Q13358" t="s">
        <v>621</v>
      </c>
      <c r="R13358" t="s">
        <v>920</v>
      </c>
      <c r="S13358">
        <v>39</v>
      </c>
      <c r="T13358" s="29" t="str">
        <f t="shared" si="556"/>
        <v>2023.013P.Potyviridae_rename_sp.zip</v>
      </c>
      <c r="U13358" s="29" t="str">
        <f>HYPERLINK("https://ictv.global/taxonomy/taxondetails?taxnode_id=202304704","ictv.global=202304704")</f>
        <v>ictv.global=202304704</v>
      </c>
    </row>
    <row r="13359" spans="1:21">
      <c r="A13359">
        <v>13358</v>
      </c>
      <c r="B13359" s="30" t="s">
        <v>1226</v>
      </c>
      <c r="D13359" s="30" t="s">
        <v>2024</v>
      </c>
      <c r="F13359" s="30" t="s">
        <v>2074</v>
      </c>
      <c r="H13359" s="30" t="s">
        <v>2126</v>
      </c>
      <c r="J13359" s="30" t="s">
        <v>2127</v>
      </c>
      <c r="L13359" s="30" t="s">
        <v>161</v>
      </c>
      <c r="N13359" s="30" t="s">
        <v>174</v>
      </c>
      <c r="P13359" s="30" t="s">
        <v>18258</v>
      </c>
      <c r="Q13359" t="s">
        <v>621</v>
      </c>
      <c r="R13359" t="s">
        <v>920</v>
      </c>
      <c r="S13359">
        <v>39</v>
      </c>
      <c r="T13359" s="29" t="str">
        <f t="shared" si="556"/>
        <v>2023.013P.Potyviridae_rename_sp.zip</v>
      </c>
      <c r="U13359" s="29" t="str">
        <f>HYPERLINK("https://ictv.global/taxonomy/taxondetails?taxnode_id=202304674","ictv.global=202304674")</f>
        <v>ictv.global=202304674</v>
      </c>
    </row>
    <row r="13360" spans="1:21">
      <c r="A13360">
        <v>13359</v>
      </c>
      <c r="B13360" s="30" t="s">
        <v>1226</v>
      </c>
      <c r="D13360" s="30" t="s">
        <v>2024</v>
      </c>
      <c r="F13360" s="30" t="s">
        <v>2074</v>
      </c>
      <c r="H13360" s="30" t="s">
        <v>2126</v>
      </c>
      <c r="J13360" s="30" t="s">
        <v>2127</v>
      </c>
      <c r="L13360" s="30" t="s">
        <v>161</v>
      </c>
      <c r="N13360" s="30" t="s">
        <v>174</v>
      </c>
      <c r="P13360" s="30" t="s">
        <v>18259</v>
      </c>
      <c r="Q13360" t="s">
        <v>621</v>
      </c>
      <c r="R13360" t="s">
        <v>920</v>
      </c>
      <c r="S13360">
        <v>39</v>
      </c>
      <c r="T13360" s="29" t="str">
        <f t="shared" si="556"/>
        <v>2023.013P.Potyviridae_rename_sp.zip</v>
      </c>
      <c r="U13360" s="29" t="str">
        <f>HYPERLINK("https://ictv.global/taxonomy/taxondetails?taxnode_id=202306673","ictv.global=202306673")</f>
        <v>ictv.global=202306673</v>
      </c>
    </row>
    <row r="13361" spans="1:21">
      <c r="A13361">
        <v>13360</v>
      </c>
      <c r="B13361" s="30" t="s">
        <v>1226</v>
      </c>
      <c r="D13361" s="30" t="s">
        <v>2024</v>
      </c>
      <c r="F13361" s="30" t="s">
        <v>2074</v>
      </c>
      <c r="H13361" s="30" t="s">
        <v>2126</v>
      </c>
      <c r="J13361" s="30" t="s">
        <v>2127</v>
      </c>
      <c r="L13361" s="30" t="s">
        <v>161</v>
      </c>
      <c r="N13361" s="30" t="s">
        <v>174</v>
      </c>
      <c r="P13361" s="30" t="s">
        <v>18260</v>
      </c>
      <c r="Q13361" t="s">
        <v>621</v>
      </c>
      <c r="R13361" t="s">
        <v>920</v>
      </c>
      <c r="S13361">
        <v>39</v>
      </c>
      <c r="T13361" s="29" t="str">
        <f t="shared" si="556"/>
        <v>2023.013P.Potyviridae_rename_sp.zip</v>
      </c>
      <c r="U13361" s="29" t="str">
        <f>HYPERLINK("https://ictv.global/taxonomy/taxondetails?taxnode_id=202304681","ictv.global=202304681")</f>
        <v>ictv.global=202304681</v>
      </c>
    </row>
    <row r="13362" spans="1:21">
      <c r="A13362">
        <v>13361</v>
      </c>
      <c r="B13362" s="30" t="s">
        <v>1226</v>
      </c>
      <c r="D13362" s="30" t="s">
        <v>2024</v>
      </c>
      <c r="F13362" s="30" t="s">
        <v>2074</v>
      </c>
      <c r="H13362" s="30" t="s">
        <v>2126</v>
      </c>
      <c r="J13362" s="30" t="s">
        <v>2127</v>
      </c>
      <c r="L13362" s="30" t="s">
        <v>161</v>
      </c>
      <c r="N13362" s="30" t="s">
        <v>174</v>
      </c>
      <c r="P13362" s="30" t="s">
        <v>18261</v>
      </c>
      <c r="Q13362" t="s">
        <v>621</v>
      </c>
      <c r="R13362" t="s">
        <v>920</v>
      </c>
      <c r="S13362">
        <v>39</v>
      </c>
      <c r="T13362" s="29" t="str">
        <f t="shared" si="556"/>
        <v>2023.013P.Potyviridae_rename_sp.zip</v>
      </c>
      <c r="U13362" s="29" t="str">
        <f>HYPERLINK("https://ictv.global/taxonomy/taxondetails?taxnode_id=202304675","ictv.global=202304675")</f>
        <v>ictv.global=202304675</v>
      </c>
    </row>
    <row r="13363" spans="1:21">
      <c r="A13363">
        <v>13362</v>
      </c>
      <c r="B13363" s="30" t="s">
        <v>1226</v>
      </c>
      <c r="D13363" s="30" t="s">
        <v>2024</v>
      </c>
      <c r="F13363" s="30" t="s">
        <v>2074</v>
      </c>
      <c r="H13363" s="30" t="s">
        <v>2126</v>
      </c>
      <c r="J13363" s="30" t="s">
        <v>2127</v>
      </c>
      <c r="L13363" s="30" t="s">
        <v>161</v>
      </c>
      <c r="N13363" s="30" t="s">
        <v>174</v>
      </c>
      <c r="P13363" s="30" t="s">
        <v>18262</v>
      </c>
      <c r="Q13363" t="s">
        <v>621</v>
      </c>
      <c r="R13363" t="s">
        <v>920</v>
      </c>
      <c r="S13363">
        <v>39</v>
      </c>
      <c r="T13363" s="29" t="str">
        <f t="shared" si="556"/>
        <v>2023.013P.Potyviridae_rename_sp.zip</v>
      </c>
      <c r="U13363" s="29" t="str">
        <f>HYPERLINK("https://ictv.global/taxonomy/taxondetails?taxnode_id=202304584","ictv.global=202304584")</f>
        <v>ictv.global=202304584</v>
      </c>
    </row>
    <row r="13364" spans="1:21">
      <c r="A13364">
        <v>13363</v>
      </c>
      <c r="B13364" s="30" t="s">
        <v>1226</v>
      </c>
      <c r="D13364" s="30" t="s">
        <v>2024</v>
      </c>
      <c r="F13364" s="30" t="s">
        <v>2074</v>
      </c>
      <c r="H13364" s="30" t="s">
        <v>2126</v>
      </c>
      <c r="J13364" s="30" t="s">
        <v>2127</v>
      </c>
      <c r="L13364" s="30" t="s">
        <v>161</v>
      </c>
      <c r="N13364" s="30" t="s">
        <v>174</v>
      </c>
      <c r="P13364" s="30" t="s">
        <v>11146</v>
      </c>
      <c r="Q13364" t="s">
        <v>621</v>
      </c>
      <c r="R13364" t="s">
        <v>917</v>
      </c>
      <c r="S13364">
        <v>38</v>
      </c>
      <c r="T13364" s="29" t="str">
        <f>HYPERLINK("https://ictv.global/ictv/proposals/2022.010P.Potyviridae_7ns.zip","2022.010P.Potyviridae_7ns.zip")</f>
        <v>2022.010P.Potyviridae_7ns.zip</v>
      </c>
      <c r="U13364" s="29" t="str">
        <f>HYPERLINK("https://ictv.global/taxonomy/taxondetails?taxnode_id=202315113","ictv.global=202315113")</f>
        <v>ictv.global=202315113</v>
      </c>
    </row>
    <row r="13365" spans="1:21">
      <c r="A13365">
        <v>13364</v>
      </c>
      <c r="B13365" s="30" t="s">
        <v>1226</v>
      </c>
      <c r="D13365" s="30" t="s">
        <v>2024</v>
      </c>
      <c r="F13365" s="30" t="s">
        <v>2074</v>
      </c>
      <c r="H13365" s="30" t="s">
        <v>2126</v>
      </c>
      <c r="J13365" s="30" t="s">
        <v>2127</v>
      </c>
      <c r="L13365" s="30" t="s">
        <v>161</v>
      </c>
      <c r="N13365" s="30" t="s">
        <v>174</v>
      </c>
      <c r="P13365" s="30" t="s">
        <v>18263</v>
      </c>
      <c r="Q13365" t="s">
        <v>621</v>
      </c>
      <c r="R13365" t="s">
        <v>920</v>
      </c>
      <c r="S13365">
        <v>39</v>
      </c>
      <c r="T13365" s="29" t="str">
        <f>HYPERLINK("https://ictv.global/ictv/proposals/2023.013P.Potyviridae_rename_sp.zip","2023.013P.Potyviridae_rename_sp.zip")</f>
        <v>2023.013P.Potyviridae_rename_sp.zip</v>
      </c>
      <c r="U13365" s="29" t="str">
        <f>HYPERLINK("https://ictv.global/taxonomy/taxondetails?taxnode_id=202304678","ictv.global=202304678")</f>
        <v>ictv.global=202304678</v>
      </c>
    </row>
    <row r="13366" spans="1:21">
      <c r="A13366">
        <v>13365</v>
      </c>
      <c r="B13366" s="30" t="s">
        <v>1226</v>
      </c>
      <c r="D13366" s="30" t="s">
        <v>2024</v>
      </c>
      <c r="F13366" s="30" t="s">
        <v>2074</v>
      </c>
      <c r="H13366" s="30" t="s">
        <v>2126</v>
      </c>
      <c r="J13366" s="30" t="s">
        <v>2127</v>
      </c>
      <c r="L13366" s="30" t="s">
        <v>161</v>
      </c>
      <c r="N13366" s="30" t="s">
        <v>174</v>
      </c>
      <c r="P13366" s="30" t="s">
        <v>18264</v>
      </c>
      <c r="Q13366" t="s">
        <v>621</v>
      </c>
      <c r="R13366" t="s">
        <v>920</v>
      </c>
      <c r="S13366">
        <v>39</v>
      </c>
      <c r="T13366" s="29" t="str">
        <f>HYPERLINK("https://ictv.global/ictv/proposals/2023.013P.Potyviridae_rename_sp.zip","2023.013P.Potyviridae_rename_sp.zip")</f>
        <v>2023.013P.Potyviridae_rename_sp.zip</v>
      </c>
      <c r="U13366" s="29" t="str">
        <f>HYPERLINK("https://ictv.global/taxonomy/taxondetails?taxnode_id=202304680","ictv.global=202304680")</f>
        <v>ictv.global=202304680</v>
      </c>
    </row>
    <row r="13367" spans="1:21">
      <c r="A13367">
        <v>13366</v>
      </c>
      <c r="B13367" s="30" t="s">
        <v>1226</v>
      </c>
      <c r="D13367" s="30" t="s">
        <v>2024</v>
      </c>
      <c r="F13367" s="30" t="s">
        <v>2074</v>
      </c>
      <c r="H13367" s="30" t="s">
        <v>2126</v>
      </c>
      <c r="J13367" s="30" t="s">
        <v>2127</v>
      </c>
      <c r="L13367" s="30" t="s">
        <v>161</v>
      </c>
      <c r="N13367" s="30" t="s">
        <v>174</v>
      </c>
      <c r="P13367" s="30" t="s">
        <v>18265</v>
      </c>
      <c r="Q13367" t="s">
        <v>621</v>
      </c>
      <c r="R13367" t="s">
        <v>920</v>
      </c>
      <c r="S13367">
        <v>39</v>
      </c>
      <c r="T13367" s="29" t="str">
        <f>HYPERLINK("https://ictv.global/ictv/proposals/2023.013P.Potyviridae_rename_sp.zip","2023.013P.Potyviridae_rename_sp.zip")</f>
        <v>2023.013P.Potyviridae_rename_sp.zip</v>
      </c>
      <c r="U13367" s="29" t="str">
        <f>HYPERLINK("https://ictv.global/taxonomy/taxondetails?taxnode_id=202304705","ictv.global=202304705")</f>
        <v>ictv.global=202304705</v>
      </c>
    </row>
    <row r="13368" spans="1:21">
      <c r="A13368">
        <v>13367</v>
      </c>
      <c r="B13368" s="30" t="s">
        <v>1226</v>
      </c>
      <c r="D13368" s="30" t="s">
        <v>2024</v>
      </c>
      <c r="F13368" s="30" t="s">
        <v>2074</v>
      </c>
      <c r="H13368" s="30" t="s">
        <v>2126</v>
      </c>
      <c r="J13368" s="30" t="s">
        <v>2127</v>
      </c>
      <c r="L13368" s="30" t="s">
        <v>161</v>
      </c>
      <c r="N13368" s="30" t="s">
        <v>174</v>
      </c>
      <c r="P13368" s="30" t="s">
        <v>18266</v>
      </c>
      <c r="Q13368" t="s">
        <v>621</v>
      </c>
      <c r="R13368" t="s">
        <v>920</v>
      </c>
      <c r="S13368">
        <v>39</v>
      </c>
      <c r="T13368" s="29" t="str">
        <f>HYPERLINK("https://ictv.global/ictv/proposals/2023.013P.Potyviridae_rename_sp.zip","2023.013P.Potyviridae_rename_sp.zip")</f>
        <v>2023.013P.Potyviridae_rename_sp.zip</v>
      </c>
      <c r="U13368" s="29" t="str">
        <f>HYPERLINK("https://ictv.global/taxonomy/taxondetails?taxnode_id=202304583","ictv.global=202304583")</f>
        <v>ictv.global=202304583</v>
      </c>
    </row>
    <row r="13369" spans="1:21">
      <c r="A13369">
        <v>13368</v>
      </c>
      <c r="B13369" s="30" t="s">
        <v>1226</v>
      </c>
      <c r="D13369" s="30" t="s">
        <v>2024</v>
      </c>
      <c r="F13369" s="30" t="s">
        <v>2074</v>
      </c>
      <c r="H13369" s="30" t="s">
        <v>2126</v>
      </c>
      <c r="J13369" s="30" t="s">
        <v>2127</v>
      </c>
      <c r="L13369" s="30" t="s">
        <v>161</v>
      </c>
      <c r="N13369" s="30" t="s">
        <v>174</v>
      </c>
      <c r="P13369" s="30" t="s">
        <v>11147</v>
      </c>
      <c r="Q13369" t="s">
        <v>621</v>
      </c>
      <c r="R13369" t="s">
        <v>917</v>
      </c>
      <c r="S13369">
        <v>38</v>
      </c>
      <c r="T13369" s="29" t="str">
        <f>HYPERLINK("https://ictv.global/ictv/proposals/2022.010P.Potyviridae_7ns.zip","2022.010P.Potyviridae_7ns.zip")</f>
        <v>2022.010P.Potyviridae_7ns.zip</v>
      </c>
      <c r="U13369" s="29" t="str">
        <f>HYPERLINK("https://ictv.global/taxonomy/taxondetails?taxnode_id=202315112","ictv.global=202315112")</f>
        <v>ictv.global=202315112</v>
      </c>
    </row>
    <row r="13370" spans="1:21">
      <c r="A13370">
        <v>13369</v>
      </c>
      <c r="B13370" s="30" t="s">
        <v>1226</v>
      </c>
      <c r="D13370" s="30" t="s">
        <v>2024</v>
      </c>
      <c r="F13370" s="30" t="s">
        <v>2074</v>
      </c>
      <c r="H13370" s="30" t="s">
        <v>2126</v>
      </c>
      <c r="J13370" s="30" t="s">
        <v>2127</v>
      </c>
      <c r="L13370" s="30" t="s">
        <v>161</v>
      </c>
      <c r="N13370" s="30" t="s">
        <v>174</v>
      </c>
      <c r="P13370" s="30" t="s">
        <v>18267</v>
      </c>
      <c r="Q13370" t="s">
        <v>621</v>
      </c>
      <c r="R13370" t="s">
        <v>920</v>
      </c>
      <c r="S13370">
        <v>39</v>
      </c>
      <c r="T13370" s="29" t="str">
        <f>HYPERLINK("https://ictv.global/ictv/proposals/2023.013P.Potyviridae_rename_sp.zip","2023.013P.Potyviridae_rename_sp.zip")</f>
        <v>2023.013P.Potyviridae_rename_sp.zip</v>
      </c>
      <c r="U13370" s="29" t="str">
        <f>HYPERLINK("https://ictv.global/taxonomy/taxondetails?taxnode_id=202304692","ictv.global=202304692")</f>
        <v>ictv.global=202304692</v>
      </c>
    </row>
    <row r="13371" spans="1:21">
      <c r="A13371">
        <v>13370</v>
      </c>
      <c r="B13371" s="30" t="s">
        <v>1226</v>
      </c>
      <c r="D13371" s="30" t="s">
        <v>2024</v>
      </c>
      <c r="F13371" s="30" t="s">
        <v>2074</v>
      </c>
      <c r="H13371" s="30" t="s">
        <v>2126</v>
      </c>
      <c r="J13371" s="30" t="s">
        <v>2127</v>
      </c>
      <c r="L13371" s="30" t="s">
        <v>161</v>
      </c>
      <c r="N13371" s="30" t="s">
        <v>174</v>
      </c>
      <c r="P13371" s="30" t="s">
        <v>18268</v>
      </c>
      <c r="Q13371" t="s">
        <v>621</v>
      </c>
      <c r="R13371" t="s">
        <v>920</v>
      </c>
      <c r="S13371">
        <v>39</v>
      </c>
      <c r="T13371" s="29" t="str">
        <f>HYPERLINK("https://ictv.global/ictv/proposals/2023.013P.Potyviridae_rename_sp.zip","2023.013P.Potyviridae_rename_sp.zip")</f>
        <v>2023.013P.Potyviridae_rename_sp.zip</v>
      </c>
      <c r="U13371" s="29" t="str">
        <f>HYPERLINK("https://ictv.global/taxonomy/taxondetails?taxnode_id=202304693","ictv.global=202304693")</f>
        <v>ictv.global=202304693</v>
      </c>
    </row>
    <row r="13372" spans="1:21">
      <c r="A13372">
        <v>13371</v>
      </c>
      <c r="B13372" s="30" t="s">
        <v>1226</v>
      </c>
      <c r="D13372" s="30" t="s">
        <v>2024</v>
      </c>
      <c r="F13372" s="30" t="s">
        <v>2074</v>
      </c>
      <c r="H13372" s="30" t="s">
        <v>2126</v>
      </c>
      <c r="J13372" s="30" t="s">
        <v>2127</v>
      </c>
      <c r="L13372" s="30" t="s">
        <v>161</v>
      </c>
      <c r="N13372" s="30" t="s">
        <v>174</v>
      </c>
      <c r="P13372" s="30" t="s">
        <v>18269</v>
      </c>
      <c r="Q13372" t="s">
        <v>621</v>
      </c>
      <c r="R13372" t="s">
        <v>917</v>
      </c>
      <c r="S13372">
        <v>39</v>
      </c>
      <c r="T13372" s="29" t="str">
        <f>HYPERLINK("https://ictv.global/ictv/proposals/2023.012P.Potyviridae_5nsp.zip","2023.012P.Potyviridae_5nsp.zip")</f>
        <v>2023.012P.Potyviridae_5nsp.zip</v>
      </c>
      <c r="U13372" s="29" t="str">
        <f>HYPERLINK("https://ictv.global/taxonomy/taxondetails?taxnode_id=202318061","ictv.global=202318061")</f>
        <v>ictv.global=202318061</v>
      </c>
    </row>
    <row r="13373" spans="1:21">
      <c r="A13373">
        <v>13372</v>
      </c>
      <c r="B13373" s="30" t="s">
        <v>1226</v>
      </c>
      <c r="D13373" s="30" t="s">
        <v>2024</v>
      </c>
      <c r="F13373" s="30" t="s">
        <v>2074</v>
      </c>
      <c r="H13373" s="30" t="s">
        <v>2126</v>
      </c>
      <c r="J13373" s="30" t="s">
        <v>2127</v>
      </c>
      <c r="L13373" s="30" t="s">
        <v>161</v>
      </c>
      <c r="N13373" s="30" t="s">
        <v>174</v>
      </c>
      <c r="P13373" s="30" t="s">
        <v>18270</v>
      </c>
      <c r="Q13373" t="s">
        <v>621</v>
      </c>
      <c r="R13373" t="s">
        <v>917</v>
      </c>
      <c r="S13373">
        <v>39</v>
      </c>
      <c r="T13373" s="29" t="str">
        <f>HYPERLINK("https://ictv.global/ictv/proposals/2023.012P.Potyviridae_5nsp.zip","2023.012P.Potyviridae_5nsp.zip")</f>
        <v>2023.012P.Potyviridae_5nsp.zip</v>
      </c>
      <c r="U13373" s="29" t="str">
        <f>HYPERLINK("https://ictv.global/taxonomy/taxondetails?taxnode_id=202318064","ictv.global=202318064")</f>
        <v>ictv.global=202318064</v>
      </c>
    </row>
    <row r="13374" spans="1:21">
      <c r="A13374">
        <v>13373</v>
      </c>
      <c r="B13374" s="30" t="s">
        <v>1226</v>
      </c>
      <c r="D13374" s="30" t="s">
        <v>2024</v>
      </c>
      <c r="F13374" s="30" t="s">
        <v>2074</v>
      </c>
      <c r="H13374" s="30" t="s">
        <v>2126</v>
      </c>
      <c r="J13374" s="30" t="s">
        <v>2127</v>
      </c>
      <c r="L13374" s="30" t="s">
        <v>161</v>
      </c>
      <c r="N13374" s="30" t="s">
        <v>174</v>
      </c>
      <c r="P13374" s="30" t="s">
        <v>11148</v>
      </c>
      <c r="Q13374" t="s">
        <v>621</v>
      </c>
      <c r="R13374" t="s">
        <v>917</v>
      </c>
      <c r="S13374">
        <v>38</v>
      </c>
      <c r="T13374" s="29" t="str">
        <f>HYPERLINK("https://ictv.global/ictv/proposals/2022.010P.Potyviridae_7ns.zip","2022.010P.Potyviridae_7ns.zip")</f>
        <v>2022.010P.Potyviridae_7ns.zip</v>
      </c>
      <c r="U13374" s="29" t="str">
        <f>HYPERLINK("https://ictv.global/taxonomy/taxondetails?taxnode_id=202315114","ictv.global=202315114")</f>
        <v>ictv.global=202315114</v>
      </c>
    </row>
    <row r="13375" spans="1:21">
      <c r="A13375">
        <v>13374</v>
      </c>
      <c r="B13375" s="30" t="s">
        <v>1226</v>
      </c>
      <c r="D13375" s="30" t="s">
        <v>2024</v>
      </c>
      <c r="F13375" s="30" t="s">
        <v>2074</v>
      </c>
      <c r="H13375" s="30" t="s">
        <v>2126</v>
      </c>
      <c r="J13375" s="30" t="s">
        <v>2127</v>
      </c>
      <c r="L13375" s="30" t="s">
        <v>161</v>
      </c>
      <c r="N13375" s="30" t="s">
        <v>174</v>
      </c>
      <c r="P13375" s="30" t="s">
        <v>18271</v>
      </c>
      <c r="Q13375" t="s">
        <v>621</v>
      </c>
      <c r="R13375" t="s">
        <v>920</v>
      </c>
      <c r="S13375">
        <v>39</v>
      </c>
      <c r="T13375" s="29" t="str">
        <f t="shared" ref="T13375:T13411" si="557">HYPERLINK("https://ictv.global/ictv/proposals/2023.013P.Potyviridae_rename_sp.zip","2023.013P.Potyviridae_rename_sp.zip")</f>
        <v>2023.013P.Potyviridae_rename_sp.zip</v>
      </c>
      <c r="U13375" s="29" t="str">
        <f>HYPERLINK("https://ictv.global/taxonomy/taxondetails?taxnode_id=202304694","ictv.global=202304694")</f>
        <v>ictv.global=202304694</v>
      </c>
    </row>
    <row r="13376" spans="1:21">
      <c r="A13376">
        <v>13375</v>
      </c>
      <c r="B13376" s="30" t="s">
        <v>1226</v>
      </c>
      <c r="D13376" s="30" t="s">
        <v>2024</v>
      </c>
      <c r="F13376" s="30" t="s">
        <v>2074</v>
      </c>
      <c r="H13376" s="30" t="s">
        <v>2126</v>
      </c>
      <c r="J13376" s="30" t="s">
        <v>2127</v>
      </c>
      <c r="L13376" s="30" t="s">
        <v>161</v>
      </c>
      <c r="N13376" s="30" t="s">
        <v>174</v>
      </c>
      <c r="P13376" s="30" t="s">
        <v>18272</v>
      </c>
      <c r="Q13376" t="s">
        <v>621</v>
      </c>
      <c r="R13376" t="s">
        <v>920</v>
      </c>
      <c r="S13376">
        <v>39</v>
      </c>
      <c r="T13376" s="29" t="str">
        <f t="shared" si="557"/>
        <v>2023.013P.Potyviridae_rename_sp.zip</v>
      </c>
      <c r="U13376" s="29" t="str">
        <f>HYPERLINK("https://ictv.global/taxonomy/taxondetails?taxnode_id=202304712","ictv.global=202304712")</f>
        <v>ictv.global=202304712</v>
      </c>
    </row>
    <row r="13377" spans="1:21">
      <c r="A13377">
        <v>13376</v>
      </c>
      <c r="B13377" s="30" t="s">
        <v>1226</v>
      </c>
      <c r="D13377" s="30" t="s">
        <v>2024</v>
      </c>
      <c r="F13377" s="30" t="s">
        <v>2074</v>
      </c>
      <c r="H13377" s="30" t="s">
        <v>2126</v>
      </c>
      <c r="J13377" s="30" t="s">
        <v>2127</v>
      </c>
      <c r="L13377" s="30" t="s">
        <v>161</v>
      </c>
      <c r="N13377" s="30" t="s">
        <v>174</v>
      </c>
      <c r="P13377" s="30" t="s">
        <v>18273</v>
      </c>
      <c r="Q13377" t="s">
        <v>621</v>
      </c>
      <c r="R13377" t="s">
        <v>920</v>
      </c>
      <c r="S13377">
        <v>39</v>
      </c>
      <c r="T13377" s="29" t="str">
        <f t="shared" si="557"/>
        <v>2023.013P.Potyviridae_rename_sp.zip</v>
      </c>
      <c r="U13377" s="29" t="str">
        <f>HYPERLINK("https://ictv.global/taxonomy/taxondetails?taxnode_id=202304699","ictv.global=202304699")</f>
        <v>ictv.global=202304699</v>
      </c>
    </row>
    <row r="13378" spans="1:21">
      <c r="A13378">
        <v>13377</v>
      </c>
      <c r="B13378" s="30" t="s">
        <v>1226</v>
      </c>
      <c r="D13378" s="30" t="s">
        <v>2024</v>
      </c>
      <c r="F13378" s="30" t="s">
        <v>2074</v>
      </c>
      <c r="H13378" s="30" t="s">
        <v>2126</v>
      </c>
      <c r="J13378" s="30" t="s">
        <v>2127</v>
      </c>
      <c r="L13378" s="30" t="s">
        <v>161</v>
      </c>
      <c r="N13378" s="30" t="s">
        <v>174</v>
      </c>
      <c r="P13378" s="30" t="s">
        <v>18274</v>
      </c>
      <c r="Q13378" t="s">
        <v>621</v>
      </c>
      <c r="R13378" t="s">
        <v>920</v>
      </c>
      <c r="S13378">
        <v>39</v>
      </c>
      <c r="T13378" s="29" t="str">
        <f t="shared" si="557"/>
        <v>2023.013P.Potyviridae_rename_sp.zip</v>
      </c>
      <c r="U13378" s="29" t="str">
        <f>HYPERLINK("https://ictv.global/taxonomy/taxondetails?taxnode_id=202304598","ictv.global=202304598")</f>
        <v>ictv.global=202304598</v>
      </c>
    </row>
    <row r="13379" spans="1:21">
      <c r="A13379">
        <v>13378</v>
      </c>
      <c r="B13379" s="30" t="s">
        <v>1226</v>
      </c>
      <c r="D13379" s="30" t="s">
        <v>2024</v>
      </c>
      <c r="F13379" s="30" t="s">
        <v>2074</v>
      </c>
      <c r="H13379" s="30" t="s">
        <v>2126</v>
      </c>
      <c r="J13379" s="30" t="s">
        <v>2127</v>
      </c>
      <c r="L13379" s="30" t="s">
        <v>161</v>
      </c>
      <c r="N13379" s="30" t="s">
        <v>174</v>
      </c>
      <c r="P13379" s="30" t="s">
        <v>18275</v>
      </c>
      <c r="Q13379" t="s">
        <v>621</v>
      </c>
      <c r="R13379" t="s">
        <v>920</v>
      </c>
      <c r="S13379">
        <v>39</v>
      </c>
      <c r="T13379" s="29" t="str">
        <f t="shared" si="557"/>
        <v>2023.013P.Potyviridae_rename_sp.zip</v>
      </c>
      <c r="U13379" s="29" t="str">
        <f>HYPERLINK("https://ictv.global/taxonomy/taxondetails?taxnode_id=202304600","ictv.global=202304600")</f>
        <v>ictv.global=202304600</v>
      </c>
    </row>
    <row r="13380" spans="1:21">
      <c r="A13380">
        <v>13379</v>
      </c>
      <c r="B13380" s="30" t="s">
        <v>1226</v>
      </c>
      <c r="D13380" s="30" t="s">
        <v>2024</v>
      </c>
      <c r="F13380" s="30" t="s">
        <v>2074</v>
      </c>
      <c r="H13380" s="30" t="s">
        <v>2126</v>
      </c>
      <c r="J13380" s="30" t="s">
        <v>2127</v>
      </c>
      <c r="L13380" s="30" t="s">
        <v>161</v>
      </c>
      <c r="N13380" s="30" t="s">
        <v>174</v>
      </c>
      <c r="P13380" s="30" t="s">
        <v>18276</v>
      </c>
      <c r="Q13380" t="s">
        <v>621</v>
      </c>
      <c r="R13380" t="s">
        <v>920</v>
      </c>
      <c r="S13380">
        <v>39</v>
      </c>
      <c r="T13380" s="29" t="str">
        <f t="shared" si="557"/>
        <v>2023.013P.Potyviridae_rename_sp.zip</v>
      </c>
      <c r="U13380" s="29" t="str">
        <f>HYPERLINK("https://ictv.global/taxonomy/taxondetails?taxnode_id=202307436","ictv.global=202307436")</f>
        <v>ictv.global=202307436</v>
      </c>
    </row>
    <row r="13381" spans="1:21">
      <c r="A13381">
        <v>13380</v>
      </c>
      <c r="B13381" s="30" t="s">
        <v>1226</v>
      </c>
      <c r="D13381" s="30" t="s">
        <v>2024</v>
      </c>
      <c r="F13381" s="30" t="s">
        <v>2074</v>
      </c>
      <c r="H13381" s="30" t="s">
        <v>2126</v>
      </c>
      <c r="J13381" s="30" t="s">
        <v>2127</v>
      </c>
      <c r="L13381" s="30" t="s">
        <v>161</v>
      </c>
      <c r="N13381" s="30" t="s">
        <v>174</v>
      </c>
      <c r="P13381" s="30" t="s">
        <v>18277</v>
      </c>
      <c r="Q13381" t="s">
        <v>621</v>
      </c>
      <c r="R13381" t="s">
        <v>920</v>
      </c>
      <c r="S13381">
        <v>39</v>
      </c>
      <c r="T13381" s="29" t="str">
        <f t="shared" si="557"/>
        <v>2023.013P.Potyviridae_rename_sp.zip</v>
      </c>
      <c r="U13381" s="29" t="str">
        <f>HYPERLINK("https://ictv.global/taxonomy/taxondetails?taxnode_id=202307438","ictv.global=202307438")</f>
        <v>ictv.global=202307438</v>
      </c>
    </row>
    <row r="13382" spans="1:21">
      <c r="A13382">
        <v>13381</v>
      </c>
      <c r="B13382" s="30" t="s">
        <v>1226</v>
      </c>
      <c r="D13382" s="30" t="s">
        <v>2024</v>
      </c>
      <c r="F13382" s="30" t="s">
        <v>2074</v>
      </c>
      <c r="H13382" s="30" t="s">
        <v>2126</v>
      </c>
      <c r="J13382" s="30" t="s">
        <v>2127</v>
      </c>
      <c r="L13382" s="30" t="s">
        <v>161</v>
      </c>
      <c r="N13382" s="30" t="s">
        <v>174</v>
      </c>
      <c r="P13382" s="30" t="s">
        <v>18278</v>
      </c>
      <c r="Q13382" t="s">
        <v>621</v>
      </c>
      <c r="R13382" t="s">
        <v>920</v>
      </c>
      <c r="S13382">
        <v>39</v>
      </c>
      <c r="T13382" s="29" t="str">
        <f t="shared" si="557"/>
        <v>2023.013P.Potyviridae_rename_sp.zip</v>
      </c>
      <c r="U13382" s="29" t="str">
        <f>HYPERLINK("https://ictv.global/taxonomy/taxondetails?taxnode_id=202304702","ictv.global=202304702")</f>
        <v>ictv.global=202304702</v>
      </c>
    </row>
    <row r="13383" spans="1:21">
      <c r="A13383">
        <v>13382</v>
      </c>
      <c r="B13383" s="30" t="s">
        <v>1226</v>
      </c>
      <c r="D13383" s="30" t="s">
        <v>2024</v>
      </c>
      <c r="F13383" s="30" t="s">
        <v>2074</v>
      </c>
      <c r="H13383" s="30" t="s">
        <v>2126</v>
      </c>
      <c r="J13383" s="30" t="s">
        <v>2127</v>
      </c>
      <c r="L13383" s="30" t="s">
        <v>161</v>
      </c>
      <c r="N13383" s="30" t="s">
        <v>174</v>
      </c>
      <c r="P13383" s="30" t="s">
        <v>18279</v>
      </c>
      <c r="Q13383" t="s">
        <v>621</v>
      </c>
      <c r="R13383" t="s">
        <v>920</v>
      </c>
      <c r="S13383">
        <v>39</v>
      </c>
      <c r="T13383" s="29" t="str">
        <f t="shared" si="557"/>
        <v>2023.013P.Potyviridae_rename_sp.zip</v>
      </c>
      <c r="U13383" s="29" t="str">
        <f>HYPERLINK("https://ictv.global/taxonomy/taxondetails?taxnode_id=202304703","ictv.global=202304703")</f>
        <v>ictv.global=202304703</v>
      </c>
    </row>
    <row r="13384" spans="1:21">
      <c r="A13384">
        <v>13383</v>
      </c>
      <c r="B13384" s="30" t="s">
        <v>1226</v>
      </c>
      <c r="D13384" s="30" t="s">
        <v>2024</v>
      </c>
      <c r="F13384" s="30" t="s">
        <v>2074</v>
      </c>
      <c r="H13384" s="30" t="s">
        <v>2126</v>
      </c>
      <c r="J13384" s="30" t="s">
        <v>2127</v>
      </c>
      <c r="L13384" s="30" t="s">
        <v>161</v>
      </c>
      <c r="N13384" s="30" t="s">
        <v>174</v>
      </c>
      <c r="P13384" s="30" t="s">
        <v>18280</v>
      </c>
      <c r="Q13384" t="s">
        <v>621</v>
      </c>
      <c r="R13384" t="s">
        <v>920</v>
      </c>
      <c r="S13384">
        <v>39</v>
      </c>
      <c r="T13384" s="29" t="str">
        <f t="shared" si="557"/>
        <v>2023.013P.Potyviridae_rename_sp.zip</v>
      </c>
      <c r="U13384" s="29" t="str">
        <f>HYPERLINK("https://ictv.global/taxonomy/taxondetails?taxnode_id=202304706","ictv.global=202304706")</f>
        <v>ictv.global=202304706</v>
      </c>
    </row>
    <row r="13385" spans="1:21">
      <c r="A13385">
        <v>13384</v>
      </c>
      <c r="B13385" s="30" t="s">
        <v>1226</v>
      </c>
      <c r="D13385" s="30" t="s">
        <v>2024</v>
      </c>
      <c r="F13385" s="30" t="s">
        <v>2074</v>
      </c>
      <c r="H13385" s="30" t="s">
        <v>2126</v>
      </c>
      <c r="J13385" s="30" t="s">
        <v>2127</v>
      </c>
      <c r="L13385" s="30" t="s">
        <v>161</v>
      </c>
      <c r="N13385" s="30" t="s">
        <v>174</v>
      </c>
      <c r="P13385" s="30" t="s">
        <v>18281</v>
      </c>
      <c r="Q13385" t="s">
        <v>621</v>
      </c>
      <c r="R13385" t="s">
        <v>920</v>
      </c>
      <c r="S13385">
        <v>39</v>
      </c>
      <c r="T13385" s="29" t="str">
        <f t="shared" si="557"/>
        <v>2023.013P.Potyviridae_rename_sp.zip</v>
      </c>
      <c r="U13385" s="29" t="str">
        <f>HYPERLINK("https://ictv.global/taxonomy/taxondetails?taxnode_id=202304707","ictv.global=202304707")</f>
        <v>ictv.global=202304707</v>
      </c>
    </row>
    <row r="13386" spans="1:21">
      <c r="A13386">
        <v>13385</v>
      </c>
      <c r="B13386" s="30" t="s">
        <v>1226</v>
      </c>
      <c r="D13386" s="30" t="s">
        <v>2024</v>
      </c>
      <c r="F13386" s="30" t="s">
        <v>2074</v>
      </c>
      <c r="H13386" s="30" t="s">
        <v>2126</v>
      </c>
      <c r="J13386" s="30" t="s">
        <v>2127</v>
      </c>
      <c r="L13386" s="30" t="s">
        <v>161</v>
      </c>
      <c r="N13386" s="30" t="s">
        <v>174</v>
      </c>
      <c r="P13386" s="30" t="s">
        <v>18282</v>
      </c>
      <c r="Q13386" t="s">
        <v>621</v>
      </c>
      <c r="R13386" t="s">
        <v>920</v>
      </c>
      <c r="S13386">
        <v>39</v>
      </c>
      <c r="T13386" s="29" t="str">
        <f t="shared" si="557"/>
        <v>2023.013P.Potyviridae_rename_sp.zip</v>
      </c>
      <c r="U13386" s="29" t="str">
        <f>HYPERLINK("https://ictv.global/taxonomy/taxondetails?taxnode_id=202304708","ictv.global=202304708")</f>
        <v>ictv.global=202304708</v>
      </c>
    </row>
    <row r="13387" spans="1:21">
      <c r="A13387">
        <v>13386</v>
      </c>
      <c r="B13387" s="30" t="s">
        <v>1226</v>
      </c>
      <c r="D13387" s="30" t="s">
        <v>2024</v>
      </c>
      <c r="F13387" s="30" t="s">
        <v>2074</v>
      </c>
      <c r="H13387" s="30" t="s">
        <v>2126</v>
      </c>
      <c r="J13387" s="30" t="s">
        <v>2127</v>
      </c>
      <c r="L13387" s="30" t="s">
        <v>161</v>
      </c>
      <c r="N13387" s="30" t="s">
        <v>174</v>
      </c>
      <c r="P13387" s="30" t="s">
        <v>18283</v>
      </c>
      <c r="Q13387" t="s">
        <v>621</v>
      </c>
      <c r="R13387" t="s">
        <v>920</v>
      </c>
      <c r="S13387">
        <v>39</v>
      </c>
      <c r="T13387" s="29" t="str">
        <f t="shared" si="557"/>
        <v>2023.013P.Potyviridae_rename_sp.zip</v>
      </c>
      <c r="U13387" s="29" t="str">
        <f>HYPERLINK("https://ictv.global/taxonomy/taxondetails?taxnode_id=202304669","ictv.global=202304669")</f>
        <v>ictv.global=202304669</v>
      </c>
    </row>
    <row r="13388" spans="1:21">
      <c r="A13388">
        <v>13387</v>
      </c>
      <c r="B13388" s="30" t="s">
        <v>1226</v>
      </c>
      <c r="D13388" s="30" t="s">
        <v>2024</v>
      </c>
      <c r="F13388" s="30" t="s">
        <v>2074</v>
      </c>
      <c r="H13388" s="30" t="s">
        <v>2126</v>
      </c>
      <c r="J13388" s="30" t="s">
        <v>2127</v>
      </c>
      <c r="L13388" s="30" t="s">
        <v>161</v>
      </c>
      <c r="N13388" s="30" t="s">
        <v>174</v>
      </c>
      <c r="P13388" s="30" t="s">
        <v>18284</v>
      </c>
      <c r="Q13388" t="s">
        <v>621</v>
      </c>
      <c r="R13388" t="s">
        <v>920</v>
      </c>
      <c r="S13388">
        <v>39</v>
      </c>
      <c r="T13388" s="29" t="str">
        <f t="shared" si="557"/>
        <v>2023.013P.Potyviridae_rename_sp.zip</v>
      </c>
      <c r="U13388" s="29" t="str">
        <f>HYPERLINK("https://ictv.global/taxonomy/taxondetails?taxnode_id=202304602","ictv.global=202304602")</f>
        <v>ictv.global=202304602</v>
      </c>
    </row>
    <row r="13389" spans="1:21">
      <c r="A13389">
        <v>13388</v>
      </c>
      <c r="B13389" s="30" t="s">
        <v>1226</v>
      </c>
      <c r="D13389" s="30" t="s">
        <v>2024</v>
      </c>
      <c r="F13389" s="30" t="s">
        <v>2074</v>
      </c>
      <c r="H13389" s="30" t="s">
        <v>2126</v>
      </c>
      <c r="J13389" s="30" t="s">
        <v>2127</v>
      </c>
      <c r="L13389" s="30" t="s">
        <v>161</v>
      </c>
      <c r="N13389" s="30" t="s">
        <v>174</v>
      </c>
      <c r="P13389" s="30" t="s">
        <v>18285</v>
      </c>
      <c r="Q13389" t="s">
        <v>621</v>
      </c>
      <c r="R13389" t="s">
        <v>920</v>
      </c>
      <c r="S13389">
        <v>39</v>
      </c>
      <c r="T13389" s="29" t="str">
        <f t="shared" si="557"/>
        <v>2023.013P.Potyviridae_rename_sp.zip</v>
      </c>
      <c r="U13389" s="29" t="str">
        <f>HYPERLINK("https://ictv.global/taxonomy/taxondetails?taxnode_id=202304713","ictv.global=202304713")</f>
        <v>ictv.global=202304713</v>
      </c>
    </row>
    <row r="13390" spans="1:21">
      <c r="A13390">
        <v>13389</v>
      </c>
      <c r="B13390" s="30" t="s">
        <v>1226</v>
      </c>
      <c r="D13390" s="30" t="s">
        <v>2024</v>
      </c>
      <c r="F13390" s="30" t="s">
        <v>2074</v>
      </c>
      <c r="H13390" s="30" t="s">
        <v>2126</v>
      </c>
      <c r="J13390" s="30" t="s">
        <v>2127</v>
      </c>
      <c r="L13390" s="30" t="s">
        <v>161</v>
      </c>
      <c r="N13390" s="30" t="s">
        <v>174</v>
      </c>
      <c r="P13390" s="30" t="s">
        <v>18286</v>
      </c>
      <c r="Q13390" t="s">
        <v>621</v>
      </c>
      <c r="R13390" t="s">
        <v>920</v>
      </c>
      <c r="S13390">
        <v>39</v>
      </c>
      <c r="T13390" s="29" t="str">
        <f t="shared" si="557"/>
        <v>2023.013P.Potyviridae_rename_sp.zip</v>
      </c>
      <c r="U13390" s="29" t="str">
        <f>HYPERLINK("https://ictv.global/taxonomy/taxondetails?taxnode_id=202304714","ictv.global=202304714")</f>
        <v>ictv.global=202304714</v>
      </c>
    </row>
    <row r="13391" spans="1:21">
      <c r="A13391">
        <v>13390</v>
      </c>
      <c r="B13391" s="30" t="s">
        <v>1226</v>
      </c>
      <c r="D13391" s="30" t="s">
        <v>2024</v>
      </c>
      <c r="F13391" s="30" t="s">
        <v>2074</v>
      </c>
      <c r="H13391" s="30" t="s">
        <v>2126</v>
      </c>
      <c r="J13391" s="30" t="s">
        <v>2127</v>
      </c>
      <c r="L13391" s="30" t="s">
        <v>161</v>
      </c>
      <c r="N13391" s="30" t="s">
        <v>174</v>
      </c>
      <c r="P13391" s="30" t="s">
        <v>18287</v>
      </c>
      <c r="Q13391" t="s">
        <v>621</v>
      </c>
      <c r="R13391" t="s">
        <v>920</v>
      </c>
      <c r="S13391">
        <v>39</v>
      </c>
      <c r="T13391" s="29" t="str">
        <f t="shared" si="557"/>
        <v>2023.013P.Potyviridae_rename_sp.zip</v>
      </c>
      <c r="U13391" s="29" t="str">
        <f>HYPERLINK("https://ictv.global/taxonomy/taxondetails?taxnode_id=202304715","ictv.global=202304715")</f>
        <v>ictv.global=202304715</v>
      </c>
    </row>
    <row r="13392" spans="1:21">
      <c r="A13392">
        <v>13391</v>
      </c>
      <c r="B13392" s="30" t="s">
        <v>1226</v>
      </c>
      <c r="D13392" s="30" t="s">
        <v>2024</v>
      </c>
      <c r="F13392" s="30" t="s">
        <v>2074</v>
      </c>
      <c r="H13392" s="30" t="s">
        <v>2126</v>
      </c>
      <c r="J13392" s="30" t="s">
        <v>2127</v>
      </c>
      <c r="L13392" s="30" t="s">
        <v>161</v>
      </c>
      <c r="N13392" s="30" t="s">
        <v>174</v>
      </c>
      <c r="P13392" s="30" t="s">
        <v>18288</v>
      </c>
      <c r="Q13392" t="s">
        <v>621</v>
      </c>
      <c r="R13392" t="s">
        <v>920</v>
      </c>
      <c r="S13392">
        <v>39</v>
      </c>
      <c r="T13392" s="29" t="str">
        <f t="shared" si="557"/>
        <v>2023.013P.Potyviridae_rename_sp.zip</v>
      </c>
      <c r="U13392" s="29" t="str">
        <f>HYPERLINK("https://ictv.global/taxonomy/taxondetails?taxnode_id=202304608","ictv.global=202304608")</f>
        <v>ictv.global=202304608</v>
      </c>
    </row>
    <row r="13393" spans="1:21">
      <c r="A13393">
        <v>13392</v>
      </c>
      <c r="B13393" s="30" t="s">
        <v>1226</v>
      </c>
      <c r="D13393" s="30" t="s">
        <v>2024</v>
      </c>
      <c r="F13393" s="30" t="s">
        <v>2074</v>
      </c>
      <c r="H13393" s="30" t="s">
        <v>2126</v>
      </c>
      <c r="J13393" s="30" t="s">
        <v>2127</v>
      </c>
      <c r="L13393" s="30" t="s">
        <v>161</v>
      </c>
      <c r="N13393" s="30" t="s">
        <v>174</v>
      </c>
      <c r="P13393" s="30" t="s">
        <v>18289</v>
      </c>
      <c r="Q13393" t="s">
        <v>621</v>
      </c>
      <c r="R13393" t="s">
        <v>920</v>
      </c>
      <c r="S13393">
        <v>39</v>
      </c>
      <c r="T13393" s="29" t="str">
        <f t="shared" si="557"/>
        <v>2023.013P.Potyviridae_rename_sp.zip</v>
      </c>
      <c r="U13393" s="29" t="str">
        <f>HYPERLINK("https://ictv.global/taxonomy/taxondetails?taxnode_id=202307435","ictv.global=202307435")</f>
        <v>ictv.global=202307435</v>
      </c>
    </row>
    <row r="13394" spans="1:21">
      <c r="A13394">
        <v>13393</v>
      </c>
      <c r="B13394" s="30" t="s">
        <v>1226</v>
      </c>
      <c r="D13394" s="30" t="s">
        <v>2024</v>
      </c>
      <c r="F13394" s="30" t="s">
        <v>2074</v>
      </c>
      <c r="H13394" s="30" t="s">
        <v>2126</v>
      </c>
      <c r="J13394" s="30" t="s">
        <v>2127</v>
      </c>
      <c r="L13394" s="30" t="s">
        <v>161</v>
      </c>
      <c r="N13394" s="30" t="s">
        <v>174</v>
      </c>
      <c r="P13394" s="30" t="s">
        <v>18290</v>
      </c>
      <c r="Q13394" t="s">
        <v>621</v>
      </c>
      <c r="R13394" t="s">
        <v>920</v>
      </c>
      <c r="S13394">
        <v>39</v>
      </c>
      <c r="T13394" s="29" t="str">
        <f t="shared" si="557"/>
        <v>2023.013P.Potyviridae_rename_sp.zip</v>
      </c>
      <c r="U13394" s="29" t="str">
        <f>HYPERLINK("https://ictv.global/taxonomy/taxondetails?taxnode_id=202304649","ictv.global=202304649")</f>
        <v>ictv.global=202304649</v>
      </c>
    </row>
    <row r="13395" spans="1:21">
      <c r="A13395">
        <v>13394</v>
      </c>
      <c r="B13395" s="30" t="s">
        <v>1226</v>
      </c>
      <c r="D13395" s="30" t="s">
        <v>2024</v>
      </c>
      <c r="F13395" s="30" t="s">
        <v>2074</v>
      </c>
      <c r="H13395" s="30" t="s">
        <v>2126</v>
      </c>
      <c r="J13395" s="30" t="s">
        <v>2127</v>
      </c>
      <c r="L13395" s="30" t="s">
        <v>161</v>
      </c>
      <c r="N13395" s="30" t="s">
        <v>174</v>
      </c>
      <c r="P13395" s="30" t="s">
        <v>18291</v>
      </c>
      <c r="Q13395" t="s">
        <v>621</v>
      </c>
      <c r="R13395" t="s">
        <v>920</v>
      </c>
      <c r="S13395">
        <v>39</v>
      </c>
      <c r="T13395" s="29" t="str">
        <f t="shared" si="557"/>
        <v>2023.013P.Potyviridae_rename_sp.zip</v>
      </c>
      <c r="U13395" s="29" t="str">
        <f>HYPERLINK("https://ictv.global/taxonomy/taxondetails?taxnode_id=202304665","ictv.global=202304665")</f>
        <v>ictv.global=202304665</v>
      </c>
    </row>
    <row r="13396" spans="1:21">
      <c r="A13396">
        <v>13395</v>
      </c>
      <c r="B13396" s="30" t="s">
        <v>1226</v>
      </c>
      <c r="D13396" s="30" t="s">
        <v>2024</v>
      </c>
      <c r="F13396" s="30" t="s">
        <v>2074</v>
      </c>
      <c r="H13396" s="30" t="s">
        <v>2126</v>
      </c>
      <c r="J13396" s="30" t="s">
        <v>2127</v>
      </c>
      <c r="L13396" s="30" t="s">
        <v>161</v>
      </c>
      <c r="N13396" s="30" t="s">
        <v>174</v>
      </c>
      <c r="P13396" s="30" t="s">
        <v>18292</v>
      </c>
      <c r="Q13396" t="s">
        <v>621</v>
      </c>
      <c r="R13396" t="s">
        <v>920</v>
      </c>
      <c r="S13396">
        <v>39</v>
      </c>
      <c r="T13396" s="29" t="str">
        <f t="shared" si="557"/>
        <v>2023.013P.Potyviridae_rename_sp.zip</v>
      </c>
      <c r="U13396" s="29" t="str">
        <f>HYPERLINK("https://ictv.global/taxonomy/taxondetails?taxnode_id=202304670","ictv.global=202304670")</f>
        <v>ictv.global=202304670</v>
      </c>
    </row>
    <row r="13397" spans="1:21">
      <c r="A13397">
        <v>13396</v>
      </c>
      <c r="B13397" s="30" t="s">
        <v>1226</v>
      </c>
      <c r="D13397" s="30" t="s">
        <v>2024</v>
      </c>
      <c r="F13397" s="30" t="s">
        <v>2074</v>
      </c>
      <c r="H13397" s="30" t="s">
        <v>2126</v>
      </c>
      <c r="J13397" s="30" t="s">
        <v>2127</v>
      </c>
      <c r="L13397" s="30" t="s">
        <v>161</v>
      </c>
      <c r="N13397" s="30" t="s">
        <v>174</v>
      </c>
      <c r="P13397" s="30" t="s">
        <v>18293</v>
      </c>
      <c r="Q13397" t="s">
        <v>621</v>
      </c>
      <c r="R13397" t="s">
        <v>920</v>
      </c>
      <c r="S13397">
        <v>39</v>
      </c>
      <c r="T13397" s="29" t="str">
        <f t="shared" si="557"/>
        <v>2023.013P.Potyviridae_rename_sp.zip</v>
      </c>
      <c r="U13397" s="29" t="str">
        <f>HYPERLINK("https://ictv.global/taxonomy/taxondetails?taxnode_id=202304586","ictv.global=202304586")</f>
        <v>ictv.global=202304586</v>
      </c>
    </row>
    <row r="13398" spans="1:21">
      <c r="A13398">
        <v>13397</v>
      </c>
      <c r="B13398" s="30" t="s">
        <v>1226</v>
      </c>
      <c r="D13398" s="30" t="s">
        <v>2024</v>
      </c>
      <c r="F13398" s="30" t="s">
        <v>2074</v>
      </c>
      <c r="H13398" s="30" t="s">
        <v>2126</v>
      </c>
      <c r="J13398" s="30" t="s">
        <v>2127</v>
      </c>
      <c r="L13398" s="30" t="s">
        <v>161</v>
      </c>
      <c r="N13398" s="30" t="s">
        <v>174</v>
      </c>
      <c r="P13398" s="30" t="s">
        <v>18294</v>
      </c>
      <c r="Q13398" t="s">
        <v>621</v>
      </c>
      <c r="R13398" t="s">
        <v>920</v>
      </c>
      <c r="S13398">
        <v>39</v>
      </c>
      <c r="T13398" s="29" t="str">
        <f t="shared" si="557"/>
        <v>2023.013P.Potyviridae_rename_sp.zip</v>
      </c>
      <c r="U13398" s="29" t="str">
        <f>HYPERLINK("https://ictv.global/taxonomy/taxondetails?taxnode_id=202304717","ictv.global=202304717")</f>
        <v>ictv.global=202304717</v>
      </c>
    </row>
    <row r="13399" spans="1:21">
      <c r="A13399">
        <v>13398</v>
      </c>
      <c r="B13399" s="30" t="s">
        <v>1226</v>
      </c>
      <c r="D13399" s="30" t="s">
        <v>2024</v>
      </c>
      <c r="F13399" s="30" t="s">
        <v>2074</v>
      </c>
      <c r="H13399" s="30" t="s">
        <v>2126</v>
      </c>
      <c r="J13399" s="30" t="s">
        <v>2127</v>
      </c>
      <c r="L13399" s="30" t="s">
        <v>161</v>
      </c>
      <c r="N13399" s="30" t="s">
        <v>174</v>
      </c>
      <c r="P13399" s="30" t="s">
        <v>18295</v>
      </c>
      <c r="Q13399" t="s">
        <v>621</v>
      </c>
      <c r="R13399" t="s">
        <v>920</v>
      </c>
      <c r="S13399">
        <v>39</v>
      </c>
      <c r="T13399" s="29" t="str">
        <f t="shared" si="557"/>
        <v>2023.013P.Potyviridae_rename_sp.zip</v>
      </c>
      <c r="U13399" s="29" t="str">
        <f>HYPERLINK("https://ictv.global/taxonomy/taxondetails?taxnode_id=202304637","ictv.global=202304637")</f>
        <v>ictv.global=202304637</v>
      </c>
    </row>
    <row r="13400" spans="1:21">
      <c r="A13400">
        <v>13399</v>
      </c>
      <c r="B13400" s="30" t="s">
        <v>1226</v>
      </c>
      <c r="D13400" s="30" t="s">
        <v>2024</v>
      </c>
      <c r="F13400" s="30" t="s">
        <v>2074</v>
      </c>
      <c r="H13400" s="30" t="s">
        <v>2126</v>
      </c>
      <c r="J13400" s="30" t="s">
        <v>2127</v>
      </c>
      <c r="L13400" s="30" t="s">
        <v>161</v>
      </c>
      <c r="N13400" s="30" t="s">
        <v>174</v>
      </c>
      <c r="P13400" s="30" t="s">
        <v>18296</v>
      </c>
      <c r="Q13400" t="s">
        <v>621</v>
      </c>
      <c r="R13400" t="s">
        <v>920</v>
      </c>
      <c r="S13400">
        <v>39</v>
      </c>
      <c r="T13400" s="29" t="str">
        <f t="shared" si="557"/>
        <v>2023.013P.Potyviridae_rename_sp.zip</v>
      </c>
      <c r="U13400" s="29" t="str">
        <f>HYPERLINK("https://ictv.global/taxonomy/taxondetails?taxnode_id=202304718","ictv.global=202304718")</f>
        <v>ictv.global=202304718</v>
      </c>
    </row>
    <row r="13401" spans="1:21">
      <c r="A13401">
        <v>13400</v>
      </c>
      <c r="B13401" s="30" t="s">
        <v>1226</v>
      </c>
      <c r="D13401" s="30" t="s">
        <v>2024</v>
      </c>
      <c r="F13401" s="30" t="s">
        <v>2074</v>
      </c>
      <c r="H13401" s="30" t="s">
        <v>2126</v>
      </c>
      <c r="J13401" s="30" t="s">
        <v>2127</v>
      </c>
      <c r="L13401" s="30" t="s">
        <v>161</v>
      </c>
      <c r="N13401" s="30" t="s">
        <v>1019</v>
      </c>
      <c r="P13401" s="30" t="s">
        <v>18297</v>
      </c>
      <c r="Q13401" t="s">
        <v>621</v>
      </c>
      <c r="R13401" t="s">
        <v>920</v>
      </c>
      <c r="S13401">
        <v>39</v>
      </c>
      <c r="T13401" s="29" t="str">
        <f t="shared" si="557"/>
        <v>2023.013P.Potyviridae_rename_sp.zip</v>
      </c>
      <c r="U13401" s="29" t="str">
        <f>HYPERLINK("https://ictv.global/taxonomy/taxondetails?taxnode_id=202307450","ictv.global=202307450")</f>
        <v>ictv.global=202307450</v>
      </c>
    </row>
    <row r="13402" spans="1:21">
      <c r="A13402">
        <v>13401</v>
      </c>
      <c r="B13402" s="30" t="s">
        <v>1226</v>
      </c>
      <c r="D13402" s="30" t="s">
        <v>2024</v>
      </c>
      <c r="F13402" s="30" t="s">
        <v>2074</v>
      </c>
      <c r="H13402" s="30" t="s">
        <v>2126</v>
      </c>
      <c r="J13402" s="30" t="s">
        <v>2127</v>
      </c>
      <c r="L13402" s="30" t="s">
        <v>161</v>
      </c>
      <c r="N13402" s="30" t="s">
        <v>1019</v>
      </c>
      <c r="P13402" s="30" t="s">
        <v>18298</v>
      </c>
      <c r="Q13402" t="s">
        <v>621</v>
      </c>
      <c r="R13402" t="s">
        <v>920</v>
      </c>
      <c r="S13402">
        <v>39</v>
      </c>
      <c r="T13402" s="29" t="str">
        <f t="shared" si="557"/>
        <v>2023.013P.Potyviridae_rename_sp.zip</v>
      </c>
      <c r="U13402" s="29" t="str">
        <f>HYPERLINK("https://ictv.global/taxonomy/taxondetails?taxnode_id=202304735","ictv.global=202304735")</f>
        <v>ictv.global=202304735</v>
      </c>
    </row>
    <row r="13403" spans="1:21">
      <c r="A13403">
        <v>13402</v>
      </c>
      <c r="B13403" s="30" t="s">
        <v>1226</v>
      </c>
      <c r="D13403" s="30" t="s">
        <v>2024</v>
      </c>
      <c r="F13403" s="30" t="s">
        <v>2074</v>
      </c>
      <c r="H13403" s="30" t="s">
        <v>2126</v>
      </c>
      <c r="J13403" s="30" t="s">
        <v>2127</v>
      </c>
      <c r="L13403" s="30" t="s">
        <v>161</v>
      </c>
      <c r="N13403" s="30" t="s">
        <v>383</v>
      </c>
      <c r="P13403" s="30" t="s">
        <v>18299</v>
      </c>
      <c r="Q13403" t="s">
        <v>621</v>
      </c>
      <c r="R13403" t="s">
        <v>920</v>
      </c>
      <c r="S13403">
        <v>39</v>
      </c>
      <c r="T13403" s="29" t="str">
        <f t="shared" si="557"/>
        <v>2023.013P.Potyviridae_rename_sp.zip</v>
      </c>
      <c r="U13403" s="29" t="str">
        <f>HYPERLINK("https://ictv.global/taxonomy/taxondetails?taxnode_id=202304724","ictv.global=202304724")</f>
        <v>ictv.global=202304724</v>
      </c>
    </row>
    <row r="13404" spans="1:21">
      <c r="A13404">
        <v>13403</v>
      </c>
      <c r="B13404" s="30" t="s">
        <v>1226</v>
      </c>
      <c r="D13404" s="30" t="s">
        <v>2024</v>
      </c>
      <c r="F13404" s="30" t="s">
        <v>2074</v>
      </c>
      <c r="H13404" s="30" t="s">
        <v>2126</v>
      </c>
      <c r="J13404" s="30" t="s">
        <v>2127</v>
      </c>
      <c r="L13404" s="30" t="s">
        <v>161</v>
      </c>
      <c r="N13404" s="30" t="s">
        <v>383</v>
      </c>
      <c r="P13404" s="30" t="s">
        <v>18300</v>
      </c>
      <c r="Q13404" t="s">
        <v>621</v>
      </c>
      <c r="R13404" t="s">
        <v>920</v>
      </c>
      <c r="S13404">
        <v>39</v>
      </c>
      <c r="T13404" s="29" t="str">
        <f t="shared" si="557"/>
        <v>2023.013P.Potyviridae_rename_sp.zip</v>
      </c>
      <c r="U13404" s="29" t="str">
        <f>HYPERLINK("https://ictv.global/taxonomy/taxondetails?taxnode_id=202304725","ictv.global=202304725")</f>
        <v>ictv.global=202304725</v>
      </c>
    </row>
    <row r="13405" spans="1:21">
      <c r="A13405">
        <v>13404</v>
      </c>
      <c r="B13405" s="30" t="s">
        <v>1226</v>
      </c>
      <c r="D13405" s="30" t="s">
        <v>2024</v>
      </c>
      <c r="F13405" s="30" t="s">
        <v>2074</v>
      </c>
      <c r="H13405" s="30" t="s">
        <v>2126</v>
      </c>
      <c r="J13405" s="30" t="s">
        <v>2127</v>
      </c>
      <c r="L13405" s="30" t="s">
        <v>161</v>
      </c>
      <c r="N13405" s="30" t="s">
        <v>383</v>
      </c>
      <c r="P13405" s="30" t="s">
        <v>18301</v>
      </c>
      <c r="Q13405" t="s">
        <v>621</v>
      </c>
      <c r="R13405" t="s">
        <v>920</v>
      </c>
      <c r="S13405">
        <v>39</v>
      </c>
      <c r="T13405" s="29" t="str">
        <f t="shared" si="557"/>
        <v>2023.013P.Potyviridae_rename_sp.zip</v>
      </c>
      <c r="U13405" s="29" t="str">
        <f>HYPERLINK("https://ictv.global/taxonomy/taxondetails?taxnode_id=202304726","ictv.global=202304726")</f>
        <v>ictv.global=202304726</v>
      </c>
    </row>
    <row r="13406" spans="1:21">
      <c r="A13406">
        <v>13405</v>
      </c>
      <c r="B13406" s="30" t="s">
        <v>1226</v>
      </c>
      <c r="D13406" s="30" t="s">
        <v>2024</v>
      </c>
      <c r="F13406" s="30" t="s">
        <v>2074</v>
      </c>
      <c r="H13406" s="30" t="s">
        <v>2126</v>
      </c>
      <c r="J13406" s="30" t="s">
        <v>2127</v>
      </c>
      <c r="L13406" s="30" t="s">
        <v>161</v>
      </c>
      <c r="N13406" s="30" t="s">
        <v>384</v>
      </c>
      <c r="P13406" s="30" t="s">
        <v>18302</v>
      </c>
      <c r="Q13406" t="s">
        <v>621</v>
      </c>
      <c r="R13406" t="s">
        <v>920</v>
      </c>
      <c r="S13406">
        <v>39</v>
      </c>
      <c r="T13406" s="29" t="str">
        <f t="shared" si="557"/>
        <v>2023.013P.Potyviridae_rename_sp.zip</v>
      </c>
      <c r="U13406" s="29" t="str">
        <f>HYPERLINK("https://ictv.global/taxonomy/taxondetails?taxnode_id=202304730","ictv.global=202304730")</f>
        <v>ictv.global=202304730</v>
      </c>
    </row>
    <row r="13407" spans="1:21">
      <c r="A13407">
        <v>13406</v>
      </c>
      <c r="B13407" s="30" t="s">
        <v>1226</v>
      </c>
      <c r="D13407" s="30" t="s">
        <v>2024</v>
      </c>
      <c r="F13407" s="30" t="s">
        <v>2074</v>
      </c>
      <c r="H13407" s="30" t="s">
        <v>2126</v>
      </c>
      <c r="J13407" s="30" t="s">
        <v>2127</v>
      </c>
      <c r="L13407" s="30" t="s">
        <v>161</v>
      </c>
      <c r="N13407" s="30" t="s">
        <v>384</v>
      </c>
      <c r="P13407" s="30" t="s">
        <v>18303</v>
      </c>
      <c r="Q13407" t="s">
        <v>621</v>
      </c>
      <c r="R13407" t="s">
        <v>920</v>
      </c>
      <c r="S13407">
        <v>39</v>
      </c>
      <c r="T13407" s="29" t="str">
        <f t="shared" si="557"/>
        <v>2023.013P.Potyviridae_rename_sp.zip</v>
      </c>
      <c r="U13407" s="29" t="str">
        <f>HYPERLINK("https://ictv.global/taxonomy/taxondetails?taxnode_id=202304729","ictv.global=202304729")</f>
        <v>ictv.global=202304729</v>
      </c>
    </row>
    <row r="13408" spans="1:21">
      <c r="A13408">
        <v>13407</v>
      </c>
      <c r="B13408" s="30" t="s">
        <v>1226</v>
      </c>
      <c r="D13408" s="30" t="s">
        <v>2024</v>
      </c>
      <c r="F13408" s="30" t="s">
        <v>2074</v>
      </c>
      <c r="H13408" s="30" t="s">
        <v>2126</v>
      </c>
      <c r="J13408" s="30" t="s">
        <v>2127</v>
      </c>
      <c r="L13408" s="30" t="s">
        <v>161</v>
      </c>
      <c r="N13408" s="30" t="s">
        <v>384</v>
      </c>
      <c r="P13408" s="30" t="s">
        <v>18304</v>
      </c>
      <c r="Q13408" t="s">
        <v>621</v>
      </c>
      <c r="R13408" t="s">
        <v>920</v>
      </c>
      <c r="S13408">
        <v>39</v>
      </c>
      <c r="T13408" s="29" t="str">
        <f t="shared" si="557"/>
        <v>2023.013P.Potyviridae_rename_sp.zip</v>
      </c>
      <c r="U13408" s="29" t="str">
        <f>HYPERLINK("https://ictv.global/taxonomy/taxondetails?taxnode_id=202304728","ictv.global=202304728")</f>
        <v>ictv.global=202304728</v>
      </c>
    </row>
    <row r="13409" spans="1:21">
      <c r="A13409">
        <v>13408</v>
      </c>
      <c r="B13409" s="30" t="s">
        <v>1226</v>
      </c>
      <c r="D13409" s="30" t="s">
        <v>2024</v>
      </c>
      <c r="F13409" s="30" t="s">
        <v>2074</v>
      </c>
      <c r="H13409" s="30" t="s">
        <v>2126</v>
      </c>
      <c r="J13409" s="30" t="s">
        <v>2127</v>
      </c>
      <c r="L13409" s="30" t="s">
        <v>161</v>
      </c>
      <c r="N13409" s="30" t="s">
        <v>384</v>
      </c>
      <c r="P13409" s="30" t="s">
        <v>18305</v>
      </c>
      <c r="Q13409" t="s">
        <v>621</v>
      </c>
      <c r="R13409" t="s">
        <v>920</v>
      </c>
      <c r="S13409">
        <v>39</v>
      </c>
      <c r="T13409" s="29" t="str">
        <f t="shared" si="557"/>
        <v>2023.013P.Potyviridae_rename_sp.zip</v>
      </c>
      <c r="U13409" s="29" t="str">
        <f>HYPERLINK("https://ictv.global/taxonomy/taxondetails?taxnode_id=202304731","ictv.global=202304731")</f>
        <v>ictv.global=202304731</v>
      </c>
    </row>
    <row r="13410" spans="1:21">
      <c r="A13410">
        <v>13409</v>
      </c>
      <c r="B13410" s="30" t="s">
        <v>1226</v>
      </c>
      <c r="D13410" s="30" t="s">
        <v>2024</v>
      </c>
      <c r="F13410" s="30" t="s">
        <v>2074</v>
      </c>
      <c r="H13410" s="30" t="s">
        <v>2126</v>
      </c>
      <c r="J13410" s="30" t="s">
        <v>2127</v>
      </c>
      <c r="L13410" s="30" t="s">
        <v>161</v>
      </c>
      <c r="N13410" s="30" t="s">
        <v>384</v>
      </c>
      <c r="P13410" s="30" t="s">
        <v>18306</v>
      </c>
      <c r="Q13410" t="s">
        <v>621</v>
      </c>
      <c r="R13410" t="s">
        <v>920</v>
      </c>
      <c r="S13410">
        <v>39</v>
      </c>
      <c r="T13410" s="29" t="str">
        <f t="shared" si="557"/>
        <v>2023.013P.Potyviridae_rename_sp.zip</v>
      </c>
      <c r="U13410" s="29" t="str">
        <f>HYPERLINK("https://ictv.global/taxonomy/taxondetails?taxnode_id=202304733","ictv.global=202304733")</f>
        <v>ictv.global=202304733</v>
      </c>
    </row>
    <row r="13411" spans="1:21">
      <c r="A13411">
        <v>13410</v>
      </c>
      <c r="B13411" s="30" t="s">
        <v>1226</v>
      </c>
      <c r="D13411" s="30" t="s">
        <v>2024</v>
      </c>
      <c r="F13411" s="30" t="s">
        <v>2074</v>
      </c>
      <c r="H13411" s="30" t="s">
        <v>2126</v>
      </c>
      <c r="J13411" s="30" t="s">
        <v>2127</v>
      </c>
      <c r="L13411" s="30" t="s">
        <v>161</v>
      </c>
      <c r="N13411" s="30" t="s">
        <v>384</v>
      </c>
      <c r="P13411" s="30" t="s">
        <v>18307</v>
      </c>
      <c r="Q13411" t="s">
        <v>621</v>
      </c>
      <c r="R13411" t="s">
        <v>920</v>
      </c>
      <c r="S13411">
        <v>39</v>
      </c>
      <c r="T13411" s="29" t="str">
        <f t="shared" si="557"/>
        <v>2023.013P.Potyviridae_rename_sp.zip</v>
      </c>
      <c r="U13411" s="29" t="str">
        <f>HYPERLINK("https://ictv.global/taxonomy/taxondetails?taxnode_id=202304732","ictv.global=202304732")</f>
        <v>ictv.global=202304732</v>
      </c>
    </row>
    <row r="13412" spans="1:21">
      <c r="A13412">
        <v>13411</v>
      </c>
      <c r="B13412" s="30" t="s">
        <v>1226</v>
      </c>
      <c r="D13412" s="30" t="s">
        <v>2024</v>
      </c>
      <c r="F13412" s="30" t="s">
        <v>2074</v>
      </c>
      <c r="H13412" s="30" t="s">
        <v>2126</v>
      </c>
      <c r="J13412" s="30" t="s">
        <v>2130</v>
      </c>
      <c r="L13412" s="30" t="s">
        <v>189</v>
      </c>
      <c r="N13412" s="30" t="s">
        <v>190</v>
      </c>
      <c r="P13412" s="30" t="s">
        <v>18308</v>
      </c>
      <c r="Q13412" t="s">
        <v>621</v>
      </c>
      <c r="R13412" t="s">
        <v>920</v>
      </c>
      <c r="S13412">
        <v>39</v>
      </c>
      <c r="T13412" s="29" t="str">
        <f t="shared" ref="T13412:T13433" si="558">HYPERLINK("https://ictv.global/ictv/proposals/2023.004S.Astroviridae_22sprenamed.zip","2023.004S.Astroviridae_22sprenamed.zip")</f>
        <v>2023.004S.Astroviridae_22sprenamed.zip</v>
      </c>
      <c r="U13412" s="29" t="str">
        <f>HYPERLINK("https://ictv.global/taxonomy/taxondetails?taxnode_id=202302623","ictv.global=202302623")</f>
        <v>ictv.global=202302623</v>
      </c>
    </row>
    <row r="13413" spans="1:21">
      <c r="A13413">
        <v>13412</v>
      </c>
      <c r="B13413" s="30" t="s">
        <v>1226</v>
      </c>
      <c r="D13413" s="30" t="s">
        <v>2024</v>
      </c>
      <c r="F13413" s="30" t="s">
        <v>2074</v>
      </c>
      <c r="H13413" s="30" t="s">
        <v>2126</v>
      </c>
      <c r="J13413" s="30" t="s">
        <v>2130</v>
      </c>
      <c r="L13413" s="30" t="s">
        <v>189</v>
      </c>
      <c r="N13413" s="30" t="s">
        <v>190</v>
      </c>
      <c r="P13413" s="30" t="s">
        <v>18309</v>
      </c>
      <c r="Q13413" t="s">
        <v>621</v>
      </c>
      <c r="R13413" t="s">
        <v>920</v>
      </c>
      <c r="S13413">
        <v>39</v>
      </c>
      <c r="T13413" s="29" t="str">
        <f t="shared" si="558"/>
        <v>2023.004S.Astroviridae_22sprenamed.zip</v>
      </c>
      <c r="U13413" s="29" t="str">
        <f>HYPERLINK("https://ictv.global/taxonomy/taxondetails?taxnode_id=202302624","ictv.global=202302624")</f>
        <v>ictv.global=202302624</v>
      </c>
    </row>
    <row r="13414" spans="1:21">
      <c r="A13414">
        <v>13413</v>
      </c>
      <c r="B13414" s="30" t="s">
        <v>1226</v>
      </c>
      <c r="D13414" s="30" t="s">
        <v>2024</v>
      </c>
      <c r="F13414" s="30" t="s">
        <v>2074</v>
      </c>
      <c r="H13414" s="30" t="s">
        <v>2126</v>
      </c>
      <c r="J13414" s="30" t="s">
        <v>2130</v>
      </c>
      <c r="L13414" s="30" t="s">
        <v>189</v>
      </c>
      <c r="N13414" s="30" t="s">
        <v>190</v>
      </c>
      <c r="P13414" s="30" t="s">
        <v>18310</v>
      </c>
      <c r="Q13414" t="s">
        <v>621</v>
      </c>
      <c r="R13414" t="s">
        <v>920</v>
      </c>
      <c r="S13414">
        <v>39</v>
      </c>
      <c r="T13414" s="29" t="str">
        <f t="shared" si="558"/>
        <v>2023.004S.Astroviridae_22sprenamed.zip</v>
      </c>
      <c r="U13414" s="29" t="str">
        <f>HYPERLINK("https://ictv.global/taxonomy/taxondetails?taxnode_id=202302622","ictv.global=202302622")</f>
        <v>ictv.global=202302622</v>
      </c>
    </row>
    <row r="13415" spans="1:21">
      <c r="A13415">
        <v>13414</v>
      </c>
      <c r="B13415" s="30" t="s">
        <v>1226</v>
      </c>
      <c r="D13415" s="30" t="s">
        <v>2024</v>
      </c>
      <c r="F13415" s="30" t="s">
        <v>2074</v>
      </c>
      <c r="H13415" s="30" t="s">
        <v>2126</v>
      </c>
      <c r="J13415" s="30" t="s">
        <v>2130</v>
      </c>
      <c r="L13415" s="30" t="s">
        <v>189</v>
      </c>
      <c r="N13415" s="30" t="s">
        <v>173</v>
      </c>
      <c r="P13415" s="30" t="s">
        <v>18311</v>
      </c>
      <c r="Q13415" t="s">
        <v>621</v>
      </c>
      <c r="R13415" t="s">
        <v>920</v>
      </c>
      <c r="S13415">
        <v>39</v>
      </c>
      <c r="T13415" s="29" t="str">
        <f t="shared" si="558"/>
        <v>2023.004S.Astroviridae_22sprenamed.zip</v>
      </c>
      <c r="U13415" s="29" t="str">
        <f>HYPERLINK("https://ictv.global/taxonomy/taxondetails?taxnode_id=202302636","ictv.global=202302636")</f>
        <v>ictv.global=202302636</v>
      </c>
    </row>
    <row r="13416" spans="1:21">
      <c r="A13416">
        <v>13415</v>
      </c>
      <c r="B13416" s="30" t="s">
        <v>1226</v>
      </c>
      <c r="D13416" s="30" t="s">
        <v>2024</v>
      </c>
      <c r="F13416" s="30" t="s">
        <v>2074</v>
      </c>
      <c r="H13416" s="30" t="s">
        <v>2126</v>
      </c>
      <c r="J13416" s="30" t="s">
        <v>2130</v>
      </c>
      <c r="L13416" s="30" t="s">
        <v>189</v>
      </c>
      <c r="N13416" s="30" t="s">
        <v>173</v>
      </c>
      <c r="P13416" s="30" t="s">
        <v>18312</v>
      </c>
      <c r="Q13416" t="s">
        <v>621</v>
      </c>
      <c r="R13416" t="s">
        <v>920</v>
      </c>
      <c r="S13416">
        <v>39</v>
      </c>
      <c r="T13416" s="29" t="str">
        <f t="shared" si="558"/>
        <v>2023.004S.Astroviridae_22sprenamed.zip</v>
      </c>
      <c r="U13416" s="29" t="str">
        <f>HYPERLINK("https://ictv.global/taxonomy/taxondetails?taxnode_id=202302630","ictv.global=202302630")</f>
        <v>ictv.global=202302630</v>
      </c>
    </row>
    <row r="13417" spans="1:21">
      <c r="A13417">
        <v>13416</v>
      </c>
      <c r="B13417" s="30" t="s">
        <v>1226</v>
      </c>
      <c r="D13417" s="30" t="s">
        <v>2024</v>
      </c>
      <c r="F13417" s="30" t="s">
        <v>2074</v>
      </c>
      <c r="H13417" s="30" t="s">
        <v>2126</v>
      </c>
      <c r="J13417" s="30" t="s">
        <v>2130</v>
      </c>
      <c r="L13417" s="30" t="s">
        <v>189</v>
      </c>
      <c r="N13417" s="30" t="s">
        <v>173</v>
      </c>
      <c r="P13417" s="30" t="s">
        <v>18313</v>
      </c>
      <c r="Q13417" t="s">
        <v>621</v>
      </c>
      <c r="R13417" t="s">
        <v>920</v>
      </c>
      <c r="S13417">
        <v>39</v>
      </c>
      <c r="T13417" s="29" t="str">
        <f t="shared" si="558"/>
        <v>2023.004S.Astroviridae_22sprenamed.zip</v>
      </c>
      <c r="U13417" s="29" t="str">
        <f>HYPERLINK("https://ictv.global/taxonomy/taxondetails?taxnode_id=202302627","ictv.global=202302627")</f>
        <v>ictv.global=202302627</v>
      </c>
    </row>
    <row r="13418" spans="1:21">
      <c r="A13418">
        <v>13417</v>
      </c>
      <c r="B13418" s="30" t="s">
        <v>1226</v>
      </c>
      <c r="D13418" s="30" t="s">
        <v>2024</v>
      </c>
      <c r="F13418" s="30" t="s">
        <v>2074</v>
      </c>
      <c r="H13418" s="30" t="s">
        <v>2126</v>
      </c>
      <c r="J13418" s="30" t="s">
        <v>2130</v>
      </c>
      <c r="L13418" s="30" t="s">
        <v>189</v>
      </c>
      <c r="N13418" s="30" t="s">
        <v>173</v>
      </c>
      <c r="P13418" s="30" t="s">
        <v>18314</v>
      </c>
      <c r="Q13418" t="s">
        <v>621</v>
      </c>
      <c r="R13418" t="s">
        <v>920</v>
      </c>
      <c r="S13418">
        <v>39</v>
      </c>
      <c r="T13418" s="29" t="str">
        <f t="shared" si="558"/>
        <v>2023.004S.Astroviridae_22sprenamed.zip</v>
      </c>
      <c r="U13418" s="29" t="str">
        <f>HYPERLINK("https://ictv.global/taxonomy/taxondetails?taxnode_id=202302644","ictv.global=202302644")</f>
        <v>ictv.global=202302644</v>
      </c>
    </row>
    <row r="13419" spans="1:21">
      <c r="A13419">
        <v>13418</v>
      </c>
      <c r="B13419" s="30" t="s">
        <v>1226</v>
      </c>
      <c r="D13419" s="30" t="s">
        <v>2024</v>
      </c>
      <c r="F13419" s="30" t="s">
        <v>2074</v>
      </c>
      <c r="H13419" s="30" t="s">
        <v>2126</v>
      </c>
      <c r="J13419" s="30" t="s">
        <v>2130</v>
      </c>
      <c r="L13419" s="30" t="s">
        <v>189</v>
      </c>
      <c r="N13419" s="30" t="s">
        <v>173</v>
      </c>
      <c r="P13419" s="30" t="s">
        <v>18315</v>
      </c>
      <c r="Q13419" t="s">
        <v>621</v>
      </c>
      <c r="R13419" t="s">
        <v>920</v>
      </c>
      <c r="S13419">
        <v>39</v>
      </c>
      <c r="T13419" s="29" t="str">
        <f t="shared" si="558"/>
        <v>2023.004S.Astroviridae_22sprenamed.zip</v>
      </c>
      <c r="U13419" s="29" t="str">
        <f>HYPERLINK("https://ictv.global/taxonomy/taxondetails?taxnode_id=202302642","ictv.global=202302642")</f>
        <v>ictv.global=202302642</v>
      </c>
    </row>
    <row r="13420" spans="1:21">
      <c r="A13420">
        <v>13419</v>
      </c>
      <c r="B13420" s="30" t="s">
        <v>1226</v>
      </c>
      <c r="D13420" s="30" t="s">
        <v>2024</v>
      </c>
      <c r="F13420" s="30" t="s">
        <v>2074</v>
      </c>
      <c r="H13420" s="30" t="s">
        <v>2126</v>
      </c>
      <c r="J13420" s="30" t="s">
        <v>2130</v>
      </c>
      <c r="L13420" s="30" t="s">
        <v>189</v>
      </c>
      <c r="N13420" s="30" t="s">
        <v>173</v>
      </c>
      <c r="P13420" s="30" t="s">
        <v>18316</v>
      </c>
      <c r="Q13420" t="s">
        <v>621</v>
      </c>
      <c r="R13420" t="s">
        <v>920</v>
      </c>
      <c r="S13420">
        <v>39</v>
      </c>
      <c r="T13420" s="29" t="str">
        <f t="shared" si="558"/>
        <v>2023.004S.Astroviridae_22sprenamed.zip</v>
      </c>
      <c r="U13420" s="29" t="str">
        <f>HYPERLINK("https://ictv.global/taxonomy/taxondetails?taxnode_id=202302626","ictv.global=202302626")</f>
        <v>ictv.global=202302626</v>
      </c>
    </row>
    <row r="13421" spans="1:21">
      <c r="A13421">
        <v>13420</v>
      </c>
      <c r="B13421" s="30" t="s">
        <v>1226</v>
      </c>
      <c r="D13421" s="30" t="s">
        <v>2024</v>
      </c>
      <c r="F13421" s="30" t="s">
        <v>2074</v>
      </c>
      <c r="H13421" s="30" t="s">
        <v>2126</v>
      </c>
      <c r="J13421" s="30" t="s">
        <v>2130</v>
      </c>
      <c r="L13421" s="30" t="s">
        <v>189</v>
      </c>
      <c r="N13421" s="30" t="s">
        <v>173</v>
      </c>
      <c r="P13421" s="30" t="s">
        <v>18317</v>
      </c>
      <c r="Q13421" t="s">
        <v>621</v>
      </c>
      <c r="R13421" t="s">
        <v>920</v>
      </c>
      <c r="S13421">
        <v>39</v>
      </c>
      <c r="T13421" s="29" t="str">
        <f t="shared" si="558"/>
        <v>2023.004S.Astroviridae_22sprenamed.zip</v>
      </c>
      <c r="U13421" s="29" t="str">
        <f>HYPERLINK("https://ictv.global/taxonomy/taxondetails?taxnode_id=202302633","ictv.global=202302633")</f>
        <v>ictv.global=202302633</v>
      </c>
    </row>
    <row r="13422" spans="1:21">
      <c r="A13422">
        <v>13421</v>
      </c>
      <c r="B13422" s="30" t="s">
        <v>1226</v>
      </c>
      <c r="D13422" s="30" t="s">
        <v>2024</v>
      </c>
      <c r="F13422" s="30" t="s">
        <v>2074</v>
      </c>
      <c r="H13422" s="30" t="s">
        <v>2126</v>
      </c>
      <c r="J13422" s="30" t="s">
        <v>2130</v>
      </c>
      <c r="L13422" s="30" t="s">
        <v>189</v>
      </c>
      <c r="N13422" s="30" t="s">
        <v>173</v>
      </c>
      <c r="P13422" s="30" t="s">
        <v>18318</v>
      </c>
      <c r="Q13422" t="s">
        <v>621</v>
      </c>
      <c r="R13422" t="s">
        <v>920</v>
      </c>
      <c r="S13422">
        <v>39</v>
      </c>
      <c r="T13422" s="29" t="str">
        <f t="shared" si="558"/>
        <v>2023.004S.Astroviridae_22sprenamed.zip</v>
      </c>
      <c r="U13422" s="29" t="str">
        <f>HYPERLINK("https://ictv.global/taxonomy/taxondetails?taxnode_id=202302631","ictv.global=202302631")</f>
        <v>ictv.global=202302631</v>
      </c>
    </row>
    <row r="13423" spans="1:21">
      <c r="A13423">
        <v>13422</v>
      </c>
      <c r="B13423" s="30" t="s">
        <v>1226</v>
      </c>
      <c r="D13423" s="30" t="s">
        <v>2024</v>
      </c>
      <c r="F13423" s="30" t="s">
        <v>2074</v>
      </c>
      <c r="H13423" s="30" t="s">
        <v>2126</v>
      </c>
      <c r="J13423" s="30" t="s">
        <v>2130</v>
      </c>
      <c r="L13423" s="30" t="s">
        <v>189</v>
      </c>
      <c r="N13423" s="30" t="s">
        <v>173</v>
      </c>
      <c r="P13423" s="30" t="s">
        <v>18319</v>
      </c>
      <c r="Q13423" t="s">
        <v>621</v>
      </c>
      <c r="R13423" t="s">
        <v>920</v>
      </c>
      <c r="S13423">
        <v>39</v>
      </c>
      <c r="T13423" s="29" t="str">
        <f t="shared" si="558"/>
        <v>2023.004S.Astroviridae_22sprenamed.zip</v>
      </c>
      <c r="U13423" s="29" t="str">
        <f>HYPERLINK("https://ictv.global/taxonomy/taxondetails?taxnode_id=202302639","ictv.global=202302639")</f>
        <v>ictv.global=202302639</v>
      </c>
    </row>
    <row r="13424" spans="1:21">
      <c r="A13424">
        <v>13423</v>
      </c>
      <c r="B13424" s="30" t="s">
        <v>1226</v>
      </c>
      <c r="D13424" s="30" t="s">
        <v>2024</v>
      </c>
      <c r="F13424" s="30" t="s">
        <v>2074</v>
      </c>
      <c r="H13424" s="30" t="s">
        <v>2126</v>
      </c>
      <c r="J13424" s="30" t="s">
        <v>2130</v>
      </c>
      <c r="L13424" s="30" t="s">
        <v>189</v>
      </c>
      <c r="N13424" s="30" t="s">
        <v>173</v>
      </c>
      <c r="P13424" s="30" t="s">
        <v>18320</v>
      </c>
      <c r="Q13424" t="s">
        <v>621</v>
      </c>
      <c r="R13424" t="s">
        <v>920</v>
      </c>
      <c r="S13424">
        <v>39</v>
      </c>
      <c r="T13424" s="29" t="str">
        <f t="shared" si="558"/>
        <v>2023.004S.Astroviridae_22sprenamed.zip</v>
      </c>
      <c r="U13424" s="29" t="str">
        <f>HYPERLINK("https://ictv.global/taxonomy/taxondetails?taxnode_id=202302635","ictv.global=202302635")</f>
        <v>ictv.global=202302635</v>
      </c>
    </row>
    <row r="13425" spans="1:21">
      <c r="A13425">
        <v>13424</v>
      </c>
      <c r="B13425" s="30" t="s">
        <v>1226</v>
      </c>
      <c r="D13425" s="30" t="s">
        <v>2024</v>
      </c>
      <c r="F13425" s="30" t="s">
        <v>2074</v>
      </c>
      <c r="H13425" s="30" t="s">
        <v>2126</v>
      </c>
      <c r="J13425" s="30" t="s">
        <v>2130</v>
      </c>
      <c r="L13425" s="30" t="s">
        <v>189</v>
      </c>
      <c r="N13425" s="30" t="s">
        <v>173</v>
      </c>
      <c r="P13425" s="30" t="s">
        <v>18321</v>
      </c>
      <c r="Q13425" t="s">
        <v>621</v>
      </c>
      <c r="R13425" t="s">
        <v>920</v>
      </c>
      <c r="S13425">
        <v>39</v>
      </c>
      <c r="T13425" s="29" t="str">
        <f t="shared" si="558"/>
        <v>2023.004S.Astroviridae_22sprenamed.zip</v>
      </c>
      <c r="U13425" s="29" t="str">
        <f>HYPERLINK("https://ictv.global/taxonomy/taxondetails?taxnode_id=202302638","ictv.global=202302638")</f>
        <v>ictv.global=202302638</v>
      </c>
    </row>
    <row r="13426" spans="1:21">
      <c r="A13426">
        <v>13425</v>
      </c>
      <c r="B13426" s="30" t="s">
        <v>1226</v>
      </c>
      <c r="D13426" s="30" t="s">
        <v>2024</v>
      </c>
      <c r="F13426" s="30" t="s">
        <v>2074</v>
      </c>
      <c r="H13426" s="30" t="s">
        <v>2126</v>
      </c>
      <c r="J13426" s="30" t="s">
        <v>2130</v>
      </c>
      <c r="L13426" s="30" t="s">
        <v>189</v>
      </c>
      <c r="N13426" s="30" t="s">
        <v>173</v>
      </c>
      <c r="P13426" s="30" t="s">
        <v>18322</v>
      </c>
      <c r="Q13426" t="s">
        <v>621</v>
      </c>
      <c r="R13426" t="s">
        <v>920</v>
      </c>
      <c r="S13426">
        <v>39</v>
      </c>
      <c r="T13426" s="29" t="str">
        <f t="shared" si="558"/>
        <v>2023.004S.Astroviridae_22sprenamed.zip</v>
      </c>
      <c r="U13426" s="29" t="str">
        <f>HYPERLINK("https://ictv.global/taxonomy/taxondetails?taxnode_id=202302641","ictv.global=202302641")</f>
        <v>ictv.global=202302641</v>
      </c>
    </row>
    <row r="13427" spans="1:21">
      <c r="A13427">
        <v>13426</v>
      </c>
      <c r="B13427" s="30" t="s">
        <v>1226</v>
      </c>
      <c r="D13427" s="30" t="s">
        <v>2024</v>
      </c>
      <c r="F13427" s="30" t="s">
        <v>2074</v>
      </c>
      <c r="H13427" s="30" t="s">
        <v>2126</v>
      </c>
      <c r="J13427" s="30" t="s">
        <v>2130</v>
      </c>
      <c r="L13427" s="30" t="s">
        <v>189</v>
      </c>
      <c r="N13427" s="30" t="s">
        <v>173</v>
      </c>
      <c r="P13427" s="30" t="s">
        <v>18323</v>
      </c>
      <c r="Q13427" t="s">
        <v>621</v>
      </c>
      <c r="R13427" t="s">
        <v>920</v>
      </c>
      <c r="S13427">
        <v>39</v>
      </c>
      <c r="T13427" s="29" t="str">
        <f t="shared" si="558"/>
        <v>2023.004S.Astroviridae_22sprenamed.zip</v>
      </c>
      <c r="U13427" s="29" t="str">
        <f>HYPERLINK("https://ictv.global/taxonomy/taxondetails?taxnode_id=202302643","ictv.global=202302643")</f>
        <v>ictv.global=202302643</v>
      </c>
    </row>
    <row r="13428" spans="1:21">
      <c r="A13428">
        <v>13427</v>
      </c>
      <c r="B13428" s="30" t="s">
        <v>1226</v>
      </c>
      <c r="D13428" s="30" t="s">
        <v>2024</v>
      </c>
      <c r="F13428" s="30" t="s">
        <v>2074</v>
      </c>
      <c r="H13428" s="30" t="s">
        <v>2126</v>
      </c>
      <c r="J13428" s="30" t="s">
        <v>2130</v>
      </c>
      <c r="L13428" s="30" t="s">
        <v>189</v>
      </c>
      <c r="N13428" s="30" t="s">
        <v>173</v>
      </c>
      <c r="P13428" s="30" t="s">
        <v>18324</v>
      </c>
      <c r="Q13428" t="s">
        <v>621</v>
      </c>
      <c r="R13428" t="s">
        <v>920</v>
      </c>
      <c r="S13428">
        <v>39</v>
      </c>
      <c r="T13428" s="29" t="str">
        <f t="shared" si="558"/>
        <v>2023.004S.Astroviridae_22sprenamed.zip</v>
      </c>
      <c r="U13428" s="29" t="str">
        <f>HYPERLINK("https://ictv.global/taxonomy/taxondetails?taxnode_id=202302628","ictv.global=202302628")</f>
        <v>ictv.global=202302628</v>
      </c>
    </row>
    <row r="13429" spans="1:21">
      <c r="A13429">
        <v>13428</v>
      </c>
      <c r="B13429" s="30" t="s">
        <v>1226</v>
      </c>
      <c r="D13429" s="30" t="s">
        <v>2024</v>
      </c>
      <c r="F13429" s="30" t="s">
        <v>2074</v>
      </c>
      <c r="H13429" s="30" t="s">
        <v>2126</v>
      </c>
      <c r="J13429" s="30" t="s">
        <v>2130</v>
      </c>
      <c r="L13429" s="30" t="s">
        <v>189</v>
      </c>
      <c r="N13429" s="30" t="s">
        <v>173</v>
      </c>
      <c r="P13429" s="30" t="s">
        <v>18325</v>
      </c>
      <c r="Q13429" t="s">
        <v>621</v>
      </c>
      <c r="R13429" t="s">
        <v>920</v>
      </c>
      <c r="S13429">
        <v>39</v>
      </c>
      <c r="T13429" s="29" t="str">
        <f t="shared" si="558"/>
        <v>2023.004S.Astroviridae_22sprenamed.zip</v>
      </c>
      <c r="U13429" s="29" t="str">
        <f>HYPERLINK("https://ictv.global/taxonomy/taxondetails?taxnode_id=202302640","ictv.global=202302640")</f>
        <v>ictv.global=202302640</v>
      </c>
    </row>
    <row r="13430" spans="1:21">
      <c r="A13430">
        <v>13429</v>
      </c>
      <c r="B13430" s="30" t="s">
        <v>1226</v>
      </c>
      <c r="D13430" s="30" t="s">
        <v>2024</v>
      </c>
      <c r="F13430" s="30" t="s">
        <v>2074</v>
      </c>
      <c r="H13430" s="30" t="s">
        <v>2126</v>
      </c>
      <c r="J13430" s="30" t="s">
        <v>2130</v>
      </c>
      <c r="L13430" s="30" t="s">
        <v>189</v>
      </c>
      <c r="N13430" s="30" t="s">
        <v>173</v>
      </c>
      <c r="P13430" s="30" t="s">
        <v>18326</v>
      </c>
      <c r="Q13430" t="s">
        <v>621</v>
      </c>
      <c r="R13430" t="s">
        <v>920</v>
      </c>
      <c r="S13430">
        <v>39</v>
      </c>
      <c r="T13430" s="29" t="str">
        <f t="shared" si="558"/>
        <v>2023.004S.Astroviridae_22sprenamed.zip</v>
      </c>
      <c r="U13430" s="29" t="str">
        <f>HYPERLINK("https://ictv.global/taxonomy/taxondetails?taxnode_id=202302632","ictv.global=202302632")</f>
        <v>ictv.global=202302632</v>
      </c>
    </row>
    <row r="13431" spans="1:21">
      <c r="A13431">
        <v>13430</v>
      </c>
      <c r="B13431" s="30" t="s">
        <v>1226</v>
      </c>
      <c r="D13431" s="30" t="s">
        <v>2024</v>
      </c>
      <c r="F13431" s="30" t="s">
        <v>2074</v>
      </c>
      <c r="H13431" s="30" t="s">
        <v>2126</v>
      </c>
      <c r="J13431" s="30" t="s">
        <v>2130</v>
      </c>
      <c r="L13431" s="30" t="s">
        <v>189</v>
      </c>
      <c r="N13431" s="30" t="s">
        <v>173</v>
      </c>
      <c r="P13431" s="30" t="s">
        <v>18327</v>
      </c>
      <c r="Q13431" t="s">
        <v>621</v>
      </c>
      <c r="R13431" t="s">
        <v>920</v>
      </c>
      <c r="S13431">
        <v>39</v>
      </c>
      <c r="T13431" s="29" t="str">
        <f t="shared" si="558"/>
        <v>2023.004S.Astroviridae_22sprenamed.zip</v>
      </c>
      <c r="U13431" s="29" t="str">
        <f>HYPERLINK("https://ictv.global/taxonomy/taxondetails?taxnode_id=202302637","ictv.global=202302637")</f>
        <v>ictv.global=202302637</v>
      </c>
    </row>
    <row r="13432" spans="1:21">
      <c r="A13432">
        <v>13431</v>
      </c>
      <c r="B13432" s="30" t="s">
        <v>1226</v>
      </c>
      <c r="D13432" s="30" t="s">
        <v>2024</v>
      </c>
      <c r="F13432" s="30" t="s">
        <v>2074</v>
      </c>
      <c r="H13432" s="30" t="s">
        <v>2126</v>
      </c>
      <c r="J13432" s="30" t="s">
        <v>2130</v>
      </c>
      <c r="L13432" s="30" t="s">
        <v>189</v>
      </c>
      <c r="N13432" s="30" t="s">
        <v>173</v>
      </c>
      <c r="P13432" s="30" t="s">
        <v>18328</v>
      </c>
      <c r="Q13432" t="s">
        <v>621</v>
      </c>
      <c r="R13432" t="s">
        <v>920</v>
      </c>
      <c r="S13432">
        <v>39</v>
      </c>
      <c r="T13432" s="29" t="str">
        <f t="shared" si="558"/>
        <v>2023.004S.Astroviridae_22sprenamed.zip</v>
      </c>
      <c r="U13432" s="29" t="str">
        <f>HYPERLINK("https://ictv.global/taxonomy/taxondetails?taxnode_id=202302634","ictv.global=202302634")</f>
        <v>ictv.global=202302634</v>
      </c>
    </row>
    <row r="13433" spans="1:21">
      <c r="A13433">
        <v>13432</v>
      </c>
      <c r="B13433" s="30" t="s">
        <v>1226</v>
      </c>
      <c r="D13433" s="30" t="s">
        <v>2024</v>
      </c>
      <c r="F13433" s="30" t="s">
        <v>2074</v>
      </c>
      <c r="H13433" s="30" t="s">
        <v>2126</v>
      </c>
      <c r="J13433" s="30" t="s">
        <v>2130</v>
      </c>
      <c r="L13433" s="30" t="s">
        <v>189</v>
      </c>
      <c r="N13433" s="30" t="s">
        <v>173</v>
      </c>
      <c r="P13433" s="30" t="s">
        <v>18329</v>
      </c>
      <c r="Q13433" t="s">
        <v>621</v>
      </c>
      <c r="R13433" t="s">
        <v>920</v>
      </c>
      <c r="S13433">
        <v>39</v>
      </c>
      <c r="T13433" s="29" t="str">
        <f t="shared" si="558"/>
        <v>2023.004S.Astroviridae_22sprenamed.zip</v>
      </c>
      <c r="U13433" s="29" t="str">
        <f>HYPERLINK("https://ictv.global/taxonomy/taxondetails?taxnode_id=202302629","ictv.global=202302629")</f>
        <v>ictv.global=202302629</v>
      </c>
    </row>
    <row r="13434" spans="1:21">
      <c r="A13434">
        <v>13433</v>
      </c>
      <c r="B13434" s="30" t="s">
        <v>1226</v>
      </c>
      <c r="D13434" s="30" t="s">
        <v>2024</v>
      </c>
      <c r="F13434" s="30" t="s">
        <v>2074</v>
      </c>
      <c r="J13434" s="30" t="s">
        <v>11149</v>
      </c>
      <c r="L13434" s="30" t="s">
        <v>11150</v>
      </c>
      <c r="N13434" s="30" t="s">
        <v>11151</v>
      </c>
      <c r="P13434" s="30" t="s">
        <v>11152</v>
      </c>
      <c r="Q13434" t="s">
        <v>621</v>
      </c>
      <c r="R13434" t="s">
        <v>917</v>
      </c>
      <c r="S13434">
        <v>37</v>
      </c>
      <c r="T13434" s="29" t="str">
        <f t="shared" ref="T13434:T13443" si="559">HYPERLINK("https://ictv.global/ictv/proposals/2021.005F.R.Yadokarivirales_neworder.zip","2021.005F.R.Yadokarivirales_neworder.zip")</f>
        <v>2021.005F.R.Yadokarivirales_neworder.zip</v>
      </c>
      <c r="U13434" s="29" t="str">
        <f>HYPERLINK("https://ictv.global/taxonomy/taxondetails?taxnode_id=202312473","ictv.global=202312473")</f>
        <v>ictv.global=202312473</v>
      </c>
    </row>
    <row r="13435" spans="1:21">
      <c r="A13435">
        <v>13434</v>
      </c>
      <c r="B13435" s="30" t="s">
        <v>1226</v>
      </c>
      <c r="D13435" s="30" t="s">
        <v>2024</v>
      </c>
      <c r="F13435" s="30" t="s">
        <v>2074</v>
      </c>
      <c r="J13435" s="30" t="s">
        <v>11149</v>
      </c>
      <c r="L13435" s="30" t="s">
        <v>11150</v>
      </c>
      <c r="N13435" s="30" t="s">
        <v>11151</v>
      </c>
      <c r="P13435" s="30" t="s">
        <v>11153</v>
      </c>
      <c r="Q13435" t="s">
        <v>621</v>
      </c>
      <c r="R13435" t="s">
        <v>917</v>
      </c>
      <c r="S13435">
        <v>37</v>
      </c>
      <c r="T13435" s="29" t="str">
        <f t="shared" si="559"/>
        <v>2021.005F.R.Yadokarivirales_neworder.zip</v>
      </c>
      <c r="U13435" s="29" t="str">
        <f>HYPERLINK("https://ictv.global/taxonomy/taxondetails?taxnode_id=202312469","ictv.global=202312469")</f>
        <v>ictv.global=202312469</v>
      </c>
    </row>
    <row r="13436" spans="1:21">
      <c r="A13436">
        <v>13435</v>
      </c>
      <c r="B13436" s="30" t="s">
        <v>1226</v>
      </c>
      <c r="D13436" s="30" t="s">
        <v>2024</v>
      </c>
      <c r="F13436" s="30" t="s">
        <v>2074</v>
      </c>
      <c r="J13436" s="30" t="s">
        <v>11149</v>
      </c>
      <c r="L13436" s="30" t="s">
        <v>11150</v>
      </c>
      <c r="N13436" s="30" t="s">
        <v>11151</v>
      </c>
      <c r="P13436" s="30" t="s">
        <v>11154</v>
      </c>
      <c r="Q13436" t="s">
        <v>621</v>
      </c>
      <c r="R13436" t="s">
        <v>917</v>
      </c>
      <c r="S13436">
        <v>37</v>
      </c>
      <c r="T13436" s="29" t="str">
        <f t="shared" si="559"/>
        <v>2021.005F.R.Yadokarivirales_neworder.zip</v>
      </c>
      <c r="U13436" s="29" t="str">
        <f>HYPERLINK("https://ictv.global/taxonomy/taxondetails?taxnode_id=202312470","ictv.global=202312470")</f>
        <v>ictv.global=202312470</v>
      </c>
    </row>
    <row r="13437" spans="1:21">
      <c r="A13437">
        <v>13436</v>
      </c>
      <c r="B13437" s="30" t="s">
        <v>1226</v>
      </c>
      <c r="D13437" s="30" t="s">
        <v>2024</v>
      </c>
      <c r="F13437" s="30" t="s">
        <v>2074</v>
      </c>
      <c r="J13437" s="30" t="s">
        <v>11149</v>
      </c>
      <c r="L13437" s="30" t="s">
        <v>11150</v>
      </c>
      <c r="N13437" s="30" t="s">
        <v>11151</v>
      </c>
      <c r="P13437" s="30" t="s">
        <v>11155</v>
      </c>
      <c r="Q13437" t="s">
        <v>621</v>
      </c>
      <c r="R13437" t="s">
        <v>917</v>
      </c>
      <c r="S13437">
        <v>37</v>
      </c>
      <c r="T13437" s="29" t="str">
        <f t="shared" si="559"/>
        <v>2021.005F.R.Yadokarivirales_neworder.zip</v>
      </c>
      <c r="U13437" s="29" t="str">
        <f>HYPERLINK("https://ictv.global/taxonomy/taxondetails?taxnode_id=202312474","ictv.global=202312474")</f>
        <v>ictv.global=202312474</v>
      </c>
    </row>
    <row r="13438" spans="1:21">
      <c r="A13438">
        <v>13437</v>
      </c>
      <c r="B13438" s="30" t="s">
        <v>1226</v>
      </c>
      <c r="D13438" s="30" t="s">
        <v>2024</v>
      </c>
      <c r="F13438" s="30" t="s">
        <v>2074</v>
      </c>
      <c r="J13438" s="30" t="s">
        <v>11149</v>
      </c>
      <c r="L13438" s="30" t="s">
        <v>11150</v>
      </c>
      <c r="N13438" s="30" t="s">
        <v>11151</v>
      </c>
      <c r="P13438" s="30" t="s">
        <v>11156</v>
      </c>
      <c r="Q13438" t="s">
        <v>621</v>
      </c>
      <c r="R13438" t="s">
        <v>917</v>
      </c>
      <c r="S13438">
        <v>37</v>
      </c>
      <c r="T13438" s="29" t="str">
        <f t="shared" si="559"/>
        <v>2021.005F.R.Yadokarivirales_neworder.zip</v>
      </c>
      <c r="U13438" s="29" t="str">
        <f>HYPERLINK("https://ictv.global/taxonomy/taxondetails?taxnode_id=202312471","ictv.global=202312471")</f>
        <v>ictv.global=202312471</v>
      </c>
    </row>
    <row r="13439" spans="1:21">
      <c r="A13439">
        <v>13438</v>
      </c>
      <c r="B13439" s="30" t="s">
        <v>1226</v>
      </c>
      <c r="D13439" s="30" t="s">
        <v>2024</v>
      </c>
      <c r="F13439" s="30" t="s">
        <v>2074</v>
      </c>
      <c r="J13439" s="30" t="s">
        <v>11149</v>
      </c>
      <c r="L13439" s="30" t="s">
        <v>11150</v>
      </c>
      <c r="N13439" s="30" t="s">
        <v>11151</v>
      </c>
      <c r="P13439" s="30" t="s">
        <v>11157</v>
      </c>
      <c r="Q13439" t="s">
        <v>621</v>
      </c>
      <c r="R13439" t="s">
        <v>917</v>
      </c>
      <c r="S13439">
        <v>37</v>
      </c>
      <c r="T13439" s="29" t="str">
        <f t="shared" si="559"/>
        <v>2021.005F.R.Yadokarivirales_neworder.zip</v>
      </c>
      <c r="U13439" s="29" t="str">
        <f>HYPERLINK("https://ictv.global/taxonomy/taxondetails?taxnode_id=202312472","ictv.global=202312472")</f>
        <v>ictv.global=202312472</v>
      </c>
    </row>
    <row r="13440" spans="1:21">
      <c r="A13440">
        <v>13439</v>
      </c>
      <c r="B13440" s="30" t="s">
        <v>1226</v>
      </c>
      <c r="D13440" s="30" t="s">
        <v>2024</v>
      </c>
      <c r="F13440" s="30" t="s">
        <v>2074</v>
      </c>
      <c r="J13440" s="30" t="s">
        <v>11149</v>
      </c>
      <c r="L13440" s="30" t="s">
        <v>11150</v>
      </c>
      <c r="N13440" s="30" t="s">
        <v>11158</v>
      </c>
      <c r="P13440" s="30" t="s">
        <v>11159</v>
      </c>
      <c r="Q13440" t="s">
        <v>621</v>
      </c>
      <c r="R13440" t="s">
        <v>917</v>
      </c>
      <c r="S13440">
        <v>37</v>
      </c>
      <c r="T13440" s="29" t="str">
        <f t="shared" si="559"/>
        <v>2021.005F.R.Yadokarivirales_neworder.zip</v>
      </c>
      <c r="U13440" s="29" t="str">
        <f>HYPERLINK("https://ictv.global/taxonomy/taxondetails?taxnode_id=202312476","ictv.global=202312476")</f>
        <v>ictv.global=202312476</v>
      </c>
    </row>
    <row r="13441" spans="1:21">
      <c r="A13441">
        <v>13440</v>
      </c>
      <c r="B13441" s="30" t="s">
        <v>1226</v>
      </c>
      <c r="D13441" s="30" t="s">
        <v>2024</v>
      </c>
      <c r="F13441" s="30" t="s">
        <v>2074</v>
      </c>
      <c r="J13441" s="30" t="s">
        <v>11149</v>
      </c>
      <c r="L13441" s="30" t="s">
        <v>11150</v>
      </c>
      <c r="N13441" s="30" t="s">
        <v>11158</v>
      </c>
      <c r="P13441" s="30" t="s">
        <v>11160</v>
      </c>
      <c r="Q13441" t="s">
        <v>621</v>
      </c>
      <c r="R13441" t="s">
        <v>917</v>
      </c>
      <c r="S13441">
        <v>37</v>
      </c>
      <c r="T13441" s="29" t="str">
        <f t="shared" si="559"/>
        <v>2021.005F.R.Yadokarivirales_neworder.zip</v>
      </c>
      <c r="U13441" s="29" t="str">
        <f>HYPERLINK("https://ictv.global/taxonomy/taxondetails?taxnode_id=202312477","ictv.global=202312477")</f>
        <v>ictv.global=202312477</v>
      </c>
    </row>
    <row r="13442" spans="1:21">
      <c r="A13442">
        <v>13441</v>
      </c>
      <c r="B13442" s="30" t="s">
        <v>1226</v>
      </c>
      <c r="D13442" s="30" t="s">
        <v>2024</v>
      </c>
      <c r="F13442" s="30" t="s">
        <v>2074</v>
      </c>
      <c r="J13442" s="30" t="s">
        <v>11149</v>
      </c>
      <c r="L13442" s="30" t="s">
        <v>11150</v>
      </c>
      <c r="N13442" s="30" t="s">
        <v>11158</v>
      </c>
      <c r="P13442" s="30" t="s">
        <v>11161</v>
      </c>
      <c r="Q13442" t="s">
        <v>621</v>
      </c>
      <c r="R13442" t="s">
        <v>917</v>
      </c>
      <c r="S13442">
        <v>37</v>
      </c>
      <c r="T13442" s="29" t="str">
        <f t="shared" si="559"/>
        <v>2021.005F.R.Yadokarivirales_neworder.zip</v>
      </c>
      <c r="U13442" s="29" t="str">
        <f>HYPERLINK("https://ictv.global/taxonomy/taxondetails?taxnode_id=202312478","ictv.global=202312478")</f>
        <v>ictv.global=202312478</v>
      </c>
    </row>
    <row r="13443" spans="1:21">
      <c r="A13443">
        <v>13442</v>
      </c>
      <c r="B13443" s="30" t="s">
        <v>1226</v>
      </c>
      <c r="D13443" s="30" t="s">
        <v>2024</v>
      </c>
      <c r="F13443" s="30" t="s">
        <v>2074</v>
      </c>
      <c r="J13443" s="30" t="s">
        <v>11149</v>
      </c>
      <c r="L13443" s="30" t="s">
        <v>11150</v>
      </c>
      <c r="N13443" s="30" t="s">
        <v>11158</v>
      </c>
      <c r="P13443" s="30" t="s">
        <v>11162</v>
      </c>
      <c r="Q13443" t="s">
        <v>621</v>
      </c>
      <c r="R13443" t="s">
        <v>917</v>
      </c>
      <c r="S13443">
        <v>37</v>
      </c>
      <c r="T13443" s="29" t="str">
        <f t="shared" si="559"/>
        <v>2021.005F.R.Yadokarivirales_neworder.zip</v>
      </c>
      <c r="U13443" s="29" t="str">
        <f>HYPERLINK("https://ictv.global/taxonomy/taxondetails?taxnode_id=202312479","ictv.global=202312479")</f>
        <v>ictv.global=202312479</v>
      </c>
    </row>
    <row r="13444" spans="1:21">
      <c r="A13444">
        <v>13443</v>
      </c>
      <c r="B13444" s="30" t="s">
        <v>1226</v>
      </c>
      <c r="D13444" s="30" t="s">
        <v>2024</v>
      </c>
      <c r="F13444" s="30" t="s">
        <v>2074</v>
      </c>
      <c r="L13444" s="30" t="s">
        <v>11163</v>
      </c>
      <c r="N13444" s="30" t="s">
        <v>11164</v>
      </c>
      <c r="P13444" s="30" t="s">
        <v>11165</v>
      </c>
      <c r="Q13444" t="s">
        <v>621</v>
      </c>
      <c r="R13444" t="s">
        <v>917</v>
      </c>
      <c r="S13444">
        <v>37</v>
      </c>
      <c r="T13444" s="29" t="str">
        <f>HYPERLINK("https://ictv.global/ictv/proposals/2021.004F.R.Hadakaviridae_newfam.zip","2021.004F.R.Hadakaviridae_newfam.zip")</f>
        <v>2021.004F.R.Hadakaviridae_newfam.zip</v>
      </c>
      <c r="U13444" s="29" t="str">
        <f>HYPERLINK("https://ictv.global/taxonomy/taxondetails?taxnode_id=202312465","ictv.global=202312465")</f>
        <v>ictv.global=202312465</v>
      </c>
    </row>
    <row r="13445" spans="1:21">
      <c r="A13445">
        <v>13444</v>
      </c>
      <c r="B13445" s="30" t="s">
        <v>1226</v>
      </c>
      <c r="D13445" s="30" t="s">
        <v>2024</v>
      </c>
      <c r="L13445" s="30" t="s">
        <v>422</v>
      </c>
      <c r="N13445" s="30" t="s">
        <v>423</v>
      </c>
      <c r="P13445" s="30" t="s">
        <v>11166</v>
      </c>
      <c r="Q13445" t="s">
        <v>623</v>
      </c>
      <c r="R13445" t="s">
        <v>920</v>
      </c>
      <c r="S13445">
        <v>38</v>
      </c>
      <c r="T13445" s="29" t="str">
        <f t="shared" ref="T13445:T13455" si="560">HYPERLINK("https://ictv.global/ictv/proposals/2022.004M.Birnaviridae_sprenamed.zip","2022.004M.Birnaviridae_sprenamed.zip")</f>
        <v>2022.004M.Birnaviridae_sprenamed.zip</v>
      </c>
      <c r="U13445" s="29" t="str">
        <f>HYPERLINK("https://ictv.global/taxonomy/taxondetails?taxnode_id=202302750","ictv.global=202302750")</f>
        <v>ictv.global=202302750</v>
      </c>
    </row>
    <row r="13446" spans="1:21">
      <c r="A13446">
        <v>13445</v>
      </c>
      <c r="B13446" s="30" t="s">
        <v>1226</v>
      </c>
      <c r="D13446" s="30" t="s">
        <v>2024</v>
      </c>
      <c r="L13446" s="30" t="s">
        <v>422</v>
      </c>
      <c r="N13446" s="30" t="s">
        <v>423</v>
      </c>
      <c r="P13446" s="30" t="s">
        <v>11167</v>
      </c>
      <c r="Q13446" t="s">
        <v>623</v>
      </c>
      <c r="R13446" t="s">
        <v>920</v>
      </c>
      <c r="S13446">
        <v>38</v>
      </c>
      <c r="T13446" s="29" t="str">
        <f t="shared" si="560"/>
        <v>2022.004M.Birnaviridae_sprenamed.zip</v>
      </c>
      <c r="U13446" s="29" t="str">
        <f>HYPERLINK("https://ictv.global/taxonomy/taxondetails?taxnode_id=202302748","ictv.global=202302748")</f>
        <v>ictv.global=202302748</v>
      </c>
    </row>
    <row r="13447" spans="1:21">
      <c r="A13447">
        <v>13446</v>
      </c>
      <c r="B13447" s="30" t="s">
        <v>1226</v>
      </c>
      <c r="D13447" s="30" t="s">
        <v>2024</v>
      </c>
      <c r="L13447" s="30" t="s">
        <v>422</v>
      </c>
      <c r="N13447" s="30" t="s">
        <v>423</v>
      </c>
      <c r="P13447" s="30" t="s">
        <v>11168</v>
      </c>
      <c r="Q13447" t="s">
        <v>623</v>
      </c>
      <c r="R13447" t="s">
        <v>920</v>
      </c>
      <c r="S13447">
        <v>38</v>
      </c>
      <c r="T13447" s="29" t="str">
        <f t="shared" si="560"/>
        <v>2022.004M.Birnaviridae_sprenamed.zip</v>
      </c>
      <c r="U13447" s="29" t="str">
        <f>HYPERLINK("https://ictv.global/taxonomy/taxondetails?taxnode_id=202302749","ictv.global=202302749")</f>
        <v>ictv.global=202302749</v>
      </c>
    </row>
    <row r="13448" spans="1:21">
      <c r="A13448">
        <v>13447</v>
      </c>
      <c r="B13448" s="30" t="s">
        <v>1226</v>
      </c>
      <c r="D13448" s="30" t="s">
        <v>2024</v>
      </c>
      <c r="L13448" s="30" t="s">
        <v>422</v>
      </c>
      <c r="N13448" s="30" t="s">
        <v>424</v>
      </c>
      <c r="P13448" s="30" t="s">
        <v>11169</v>
      </c>
      <c r="Q13448" t="s">
        <v>623</v>
      </c>
      <c r="R13448" t="s">
        <v>920</v>
      </c>
      <c r="S13448">
        <v>38</v>
      </c>
      <c r="T13448" s="29" t="str">
        <f t="shared" si="560"/>
        <v>2022.004M.Birnaviridae_sprenamed.zip</v>
      </c>
      <c r="U13448" s="29" t="str">
        <f>HYPERLINK("https://ictv.global/taxonomy/taxondetails?taxnode_id=202302752","ictv.global=202302752")</f>
        <v>ictv.global=202302752</v>
      </c>
    </row>
    <row r="13449" spans="1:21">
      <c r="A13449">
        <v>13448</v>
      </c>
      <c r="B13449" s="30" t="s">
        <v>1226</v>
      </c>
      <c r="D13449" s="30" t="s">
        <v>2024</v>
      </c>
      <c r="L13449" s="30" t="s">
        <v>422</v>
      </c>
      <c r="N13449" s="30" t="s">
        <v>427</v>
      </c>
      <c r="P13449" s="30" t="s">
        <v>11170</v>
      </c>
      <c r="Q13449" t="s">
        <v>623</v>
      </c>
      <c r="R13449" t="s">
        <v>920</v>
      </c>
      <c r="S13449">
        <v>38</v>
      </c>
      <c r="T13449" s="29" t="str">
        <f t="shared" si="560"/>
        <v>2022.004M.Birnaviridae_sprenamed.zip</v>
      </c>
      <c r="U13449" s="29" t="str">
        <f>HYPERLINK("https://ictv.global/taxonomy/taxondetails?taxnode_id=202302754","ictv.global=202302754")</f>
        <v>ictv.global=202302754</v>
      </c>
    </row>
    <row r="13450" spans="1:21">
      <c r="A13450">
        <v>13449</v>
      </c>
      <c r="B13450" s="30" t="s">
        <v>1226</v>
      </c>
      <c r="D13450" s="30" t="s">
        <v>2024</v>
      </c>
      <c r="L13450" s="30" t="s">
        <v>422</v>
      </c>
      <c r="N13450" s="30" t="s">
        <v>427</v>
      </c>
      <c r="P13450" s="30" t="s">
        <v>11171</v>
      </c>
      <c r="Q13450" t="s">
        <v>623</v>
      </c>
      <c r="R13450" t="s">
        <v>920</v>
      </c>
      <c r="S13450">
        <v>38</v>
      </c>
      <c r="T13450" s="29" t="str">
        <f t="shared" si="560"/>
        <v>2022.004M.Birnaviridae_sprenamed.zip</v>
      </c>
      <c r="U13450" s="29" t="str">
        <f>HYPERLINK("https://ictv.global/taxonomy/taxondetails?taxnode_id=202308656","ictv.global=202308656")</f>
        <v>ictv.global=202308656</v>
      </c>
    </row>
    <row r="13451" spans="1:21">
      <c r="A13451">
        <v>13450</v>
      </c>
      <c r="B13451" s="30" t="s">
        <v>1226</v>
      </c>
      <c r="D13451" s="30" t="s">
        <v>2024</v>
      </c>
      <c r="L13451" s="30" t="s">
        <v>422</v>
      </c>
      <c r="N13451" s="30" t="s">
        <v>2131</v>
      </c>
      <c r="P13451" s="30" t="s">
        <v>11172</v>
      </c>
      <c r="Q13451" t="s">
        <v>623</v>
      </c>
      <c r="R13451" t="s">
        <v>920</v>
      </c>
      <c r="S13451">
        <v>38</v>
      </c>
      <c r="T13451" s="29" t="str">
        <f t="shared" si="560"/>
        <v>2022.004M.Birnaviridae_sprenamed.zip</v>
      </c>
      <c r="U13451" s="29" t="str">
        <f>HYPERLINK("https://ictv.global/taxonomy/taxondetails?taxnode_id=202308651","ictv.global=202308651")</f>
        <v>ictv.global=202308651</v>
      </c>
    </row>
    <row r="13452" spans="1:21">
      <c r="A13452">
        <v>13451</v>
      </c>
      <c r="B13452" s="30" t="s">
        <v>1226</v>
      </c>
      <c r="D13452" s="30" t="s">
        <v>2024</v>
      </c>
      <c r="L13452" s="30" t="s">
        <v>422</v>
      </c>
      <c r="N13452" s="30" t="s">
        <v>428</v>
      </c>
      <c r="P13452" s="30" t="s">
        <v>11173</v>
      </c>
      <c r="Q13452" t="s">
        <v>623</v>
      </c>
      <c r="R13452" t="s">
        <v>920</v>
      </c>
      <c r="S13452">
        <v>38</v>
      </c>
      <c r="T13452" s="29" t="str">
        <f t="shared" si="560"/>
        <v>2022.004M.Birnaviridae_sprenamed.zip</v>
      </c>
      <c r="U13452" s="29" t="str">
        <f>HYPERLINK("https://ictv.global/taxonomy/taxondetails?taxnode_id=202308649","ictv.global=202308649")</f>
        <v>ictv.global=202308649</v>
      </c>
    </row>
    <row r="13453" spans="1:21">
      <c r="A13453">
        <v>13452</v>
      </c>
      <c r="B13453" s="30" t="s">
        <v>1226</v>
      </c>
      <c r="D13453" s="30" t="s">
        <v>2024</v>
      </c>
      <c r="L13453" s="30" t="s">
        <v>422</v>
      </c>
      <c r="N13453" s="30" t="s">
        <v>428</v>
      </c>
      <c r="P13453" s="30" t="s">
        <v>11174</v>
      </c>
      <c r="Q13453" t="s">
        <v>623</v>
      </c>
      <c r="R13453" t="s">
        <v>920</v>
      </c>
      <c r="S13453">
        <v>38</v>
      </c>
      <c r="T13453" s="29" t="str">
        <f t="shared" si="560"/>
        <v>2022.004M.Birnaviridae_sprenamed.zip</v>
      </c>
      <c r="U13453" s="29" t="str">
        <f>HYPERLINK("https://ictv.global/taxonomy/taxondetails?taxnode_id=202302756","ictv.global=202302756")</f>
        <v>ictv.global=202302756</v>
      </c>
    </row>
    <row r="13454" spans="1:21">
      <c r="A13454">
        <v>13453</v>
      </c>
      <c r="B13454" s="30" t="s">
        <v>1226</v>
      </c>
      <c r="D13454" s="30" t="s">
        <v>2024</v>
      </c>
      <c r="L13454" s="30" t="s">
        <v>422</v>
      </c>
      <c r="N13454" s="30" t="s">
        <v>2132</v>
      </c>
      <c r="P13454" s="30" t="s">
        <v>11175</v>
      </c>
      <c r="Q13454" t="s">
        <v>623</v>
      </c>
      <c r="R13454" t="s">
        <v>920</v>
      </c>
      <c r="S13454">
        <v>38</v>
      </c>
      <c r="T13454" s="29" t="str">
        <f t="shared" si="560"/>
        <v>2022.004M.Birnaviridae_sprenamed.zip</v>
      </c>
      <c r="U13454" s="29" t="str">
        <f>HYPERLINK("https://ictv.global/taxonomy/taxondetails?taxnode_id=202308653","ictv.global=202308653")</f>
        <v>ictv.global=202308653</v>
      </c>
    </row>
    <row r="13455" spans="1:21">
      <c r="A13455">
        <v>13454</v>
      </c>
      <c r="B13455" s="30" t="s">
        <v>1226</v>
      </c>
      <c r="D13455" s="30" t="s">
        <v>2024</v>
      </c>
      <c r="L13455" s="30" t="s">
        <v>422</v>
      </c>
      <c r="N13455" s="30" t="s">
        <v>2133</v>
      </c>
      <c r="P13455" s="30" t="s">
        <v>11176</v>
      </c>
      <c r="Q13455" t="s">
        <v>623</v>
      </c>
      <c r="R13455" t="s">
        <v>920</v>
      </c>
      <c r="S13455">
        <v>38</v>
      </c>
      <c r="T13455" s="29" t="str">
        <f t="shared" si="560"/>
        <v>2022.004M.Birnaviridae_sprenamed.zip</v>
      </c>
      <c r="U13455" s="29" t="str">
        <f>HYPERLINK("https://ictv.global/taxonomy/taxondetails?taxnode_id=202308655","ictv.global=202308655")</f>
        <v>ictv.global=202308655</v>
      </c>
    </row>
    <row r="13456" spans="1:21">
      <c r="A13456">
        <v>13455</v>
      </c>
      <c r="B13456" s="30" t="s">
        <v>1226</v>
      </c>
      <c r="D13456" s="30" t="s">
        <v>2024</v>
      </c>
      <c r="L13456" s="30" t="s">
        <v>111</v>
      </c>
      <c r="N13456" s="30" t="s">
        <v>112</v>
      </c>
      <c r="P13456" s="30" t="s">
        <v>18330</v>
      </c>
      <c r="Q13456" t="s">
        <v>621</v>
      </c>
      <c r="R13456" t="s">
        <v>920</v>
      </c>
      <c r="S13456">
        <v>39</v>
      </c>
      <c r="T13456" s="29" t="str">
        <f>HYPERLINK("https://ictv.global/ictv/proposals/2023.005S.Tetraviridae_13sprenamed.zip","2023.005S.Tetraviridae_13sprenamed.zip")</f>
        <v>2023.005S.Tetraviridae_13sprenamed.zip</v>
      </c>
      <c r="U13456" s="29" t="str">
        <f>HYPERLINK("https://ictv.global/taxonomy/taxondetails?taxnode_id=202304288","ictv.global=202304288")</f>
        <v>ictv.global=202304288</v>
      </c>
    </row>
    <row r="13457" spans="1:21">
      <c r="A13457">
        <v>13456</v>
      </c>
      <c r="B13457" s="30" t="s">
        <v>1226</v>
      </c>
      <c r="D13457" s="30" t="s">
        <v>2024</v>
      </c>
      <c r="L13457" s="30" t="s">
        <v>111</v>
      </c>
      <c r="N13457" s="30" t="s">
        <v>112</v>
      </c>
      <c r="P13457" s="30" t="s">
        <v>18331</v>
      </c>
      <c r="Q13457" t="s">
        <v>621</v>
      </c>
      <c r="R13457" t="s">
        <v>920</v>
      </c>
      <c r="S13457">
        <v>39</v>
      </c>
      <c r="T13457" s="29" t="str">
        <f>HYPERLINK("https://ictv.global/ictv/proposals/2023.005S.Tetraviridae_13sprenamed.zip","2023.005S.Tetraviridae_13sprenamed.zip")</f>
        <v>2023.005S.Tetraviridae_13sprenamed.zip</v>
      </c>
      <c r="U13457" s="29" t="str">
        <f>HYPERLINK("https://ictv.global/taxonomy/taxondetails?taxnode_id=202304289","ictv.global=202304289")</f>
        <v>ictv.global=202304289</v>
      </c>
    </row>
    <row r="13458" spans="1:21">
      <c r="A13458">
        <v>13457</v>
      </c>
      <c r="B13458" s="30" t="s">
        <v>1226</v>
      </c>
      <c r="D13458" s="30" t="s">
        <v>2134</v>
      </c>
      <c r="F13458" s="30" t="s">
        <v>2135</v>
      </c>
      <c r="H13458" s="30" t="s">
        <v>2136</v>
      </c>
      <c r="J13458" s="30" t="s">
        <v>2137</v>
      </c>
      <c r="L13458" s="30" t="s">
        <v>122</v>
      </c>
      <c r="N13458" s="30" t="s">
        <v>325</v>
      </c>
      <c r="P13458" s="30" t="s">
        <v>18332</v>
      </c>
      <c r="Q13458" t="s">
        <v>734</v>
      </c>
      <c r="R13458" t="s">
        <v>920</v>
      </c>
      <c r="S13458">
        <v>39</v>
      </c>
      <c r="T13458" s="29" t="str">
        <f t="shared" ref="T13458:T13484" si="561">HYPERLINK("https://ictv.global/ictv/proposals/2023.014D.Hepadnaviridae_19renam_9nsp.zip","2023.014D.Hepadnaviridae_19renam_9nsp.zip")</f>
        <v>2023.014D.Hepadnaviridae_19renam_9nsp.zip</v>
      </c>
      <c r="U13458" s="29" t="str">
        <f>HYPERLINK("https://ictv.global/taxonomy/taxondetails?taxnode_id=202303648","ictv.global=202303648")</f>
        <v>ictv.global=202303648</v>
      </c>
    </row>
    <row r="13459" spans="1:21">
      <c r="A13459">
        <v>13458</v>
      </c>
      <c r="B13459" s="30" t="s">
        <v>1226</v>
      </c>
      <c r="D13459" s="30" t="s">
        <v>2134</v>
      </c>
      <c r="F13459" s="30" t="s">
        <v>2135</v>
      </c>
      <c r="H13459" s="30" t="s">
        <v>2136</v>
      </c>
      <c r="J13459" s="30" t="s">
        <v>2137</v>
      </c>
      <c r="L13459" s="30" t="s">
        <v>122</v>
      </c>
      <c r="N13459" s="30" t="s">
        <v>325</v>
      </c>
      <c r="P13459" s="30" t="s">
        <v>18333</v>
      </c>
      <c r="Q13459" t="s">
        <v>734</v>
      </c>
      <c r="R13459" t="s">
        <v>917</v>
      </c>
      <c r="S13459">
        <v>39</v>
      </c>
      <c r="T13459" s="29" t="str">
        <f t="shared" si="561"/>
        <v>2023.014D.Hepadnaviridae_19renam_9nsp.zip</v>
      </c>
      <c r="U13459" s="29" t="str">
        <f>HYPERLINK("https://ictv.global/taxonomy/taxondetails?taxnode_id=202318092","ictv.global=202318092")</f>
        <v>ictv.global=202318092</v>
      </c>
    </row>
    <row r="13460" spans="1:21">
      <c r="A13460">
        <v>13459</v>
      </c>
      <c r="B13460" s="30" t="s">
        <v>1226</v>
      </c>
      <c r="D13460" s="30" t="s">
        <v>2134</v>
      </c>
      <c r="F13460" s="30" t="s">
        <v>2135</v>
      </c>
      <c r="H13460" s="30" t="s">
        <v>2136</v>
      </c>
      <c r="J13460" s="30" t="s">
        <v>2137</v>
      </c>
      <c r="L13460" s="30" t="s">
        <v>122</v>
      </c>
      <c r="N13460" s="30" t="s">
        <v>325</v>
      </c>
      <c r="P13460" s="30" t="s">
        <v>18334</v>
      </c>
      <c r="Q13460" t="s">
        <v>734</v>
      </c>
      <c r="R13460" t="s">
        <v>920</v>
      </c>
      <c r="S13460">
        <v>39</v>
      </c>
      <c r="T13460" s="29" t="str">
        <f t="shared" si="561"/>
        <v>2023.014D.Hepadnaviridae_19renam_9nsp.zip</v>
      </c>
      <c r="U13460" s="29" t="str">
        <f>HYPERLINK("https://ictv.global/taxonomy/taxondetails?taxnode_id=202303649","ictv.global=202303649")</f>
        <v>ictv.global=202303649</v>
      </c>
    </row>
    <row r="13461" spans="1:21">
      <c r="A13461">
        <v>13460</v>
      </c>
      <c r="B13461" s="30" t="s">
        <v>1226</v>
      </c>
      <c r="D13461" s="30" t="s">
        <v>2134</v>
      </c>
      <c r="F13461" s="30" t="s">
        <v>2135</v>
      </c>
      <c r="H13461" s="30" t="s">
        <v>2136</v>
      </c>
      <c r="J13461" s="30" t="s">
        <v>2137</v>
      </c>
      <c r="L13461" s="30" t="s">
        <v>122</v>
      </c>
      <c r="N13461" s="30" t="s">
        <v>325</v>
      </c>
      <c r="P13461" s="30" t="s">
        <v>18335</v>
      </c>
      <c r="Q13461" t="s">
        <v>734</v>
      </c>
      <c r="R13461" t="s">
        <v>917</v>
      </c>
      <c r="S13461">
        <v>39</v>
      </c>
      <c r="T13461" s="29" t="str">
        <f t="shared" si="561"/>
        <v>2023.014D.Hepadnaviridae_19renam_9nsp.zip</v>
      </c>
      <c r="U13461" s="29" t="str">
        <f>HYPERLINK("https://ictv.global/taxonomy/taxondetails?taxnode_id=202318091","ictv.global=202318091")</f>
        <v>ictv.global=202318091</v>
      </c>
    </row>
    <row r="13462" spans="1:21">
      <c r="A13462">
        <v>13461</v>
      </c>
      <c r="B13462" s="30" t="s">
        <v>1226</v>
      </c>
      <c r="D13462" s="30" t="s">
        <v>2134</v>
      </c>
      <c r="F13462" s="30" t="s">
        <v>2135</v>
      </c>
      <c r="H13462" s="30" t="s">
        <v>2136</v>
      </c>
      <c r="J13462" s="30" t="s">
        <v>2137</v>
      </c>
      <c r="L13462" s="30" t="s">
        <v>122</v>
      </c>
      <c r="N13462" s="30" t="s">
        <v>325</v>
      </c>
      <c r="P13462" s="30" t="s">
        <v>18336</v>
      </c>
      <c r="Q13462" t="s">
        <v>734</v>
      </c>
      <c r="R13462" t="s">
        <v>920</v>
      </c>
      <c r="S13462">
        <v>39</v>
      </c>
      <c r="T13462" s="29" t="str">
        <f t="shared" si="561"/>
        <v>2023.014D.Hepadnaviridae_19renam_9nsp.zip</v>
      </c>
      <c r="U13462" s="29" t="str">
        <f>HYPERLINK("https://ictv.global/taxonomy/taxondetails?taxnode_id=202303650","ictv.global=202303650")</f>
        <v>ictv.global=202303650</v>
      </c>
    </row>
    <row r="13463" spans="1:21">
      <c r="A13463">
        <v>13462</v>
      </c>
      <c r="B13463" s="30" t="s">
        <v>1226</v>
      </c>
      <c r="D13463" s="30" t="s">
        <v>2134</v>
      </c>
      <c r="F13463" s="30" t="s">
        <v>2135</v>
      </c>
      <c r="H13463" s="30" t="s">
        <v>2136</v>
      </c>
      <c r="J13463" s="30" t="s">
        <v>2137</v>
      </c>
      <c r="L13463" s="30" t="s">
        <v>122</v>
      </c>
      <c r="N13463" s="30" t="s">
        <v>2138</v>
      </c>
      <c r="P13463" s="30" t="s">
        <v>18337</v>
      </c>
      <c r="Q13463" t="s">
        <v>734</v>
      </c>
      <c r="R13463" t="s">
        <v>920</v>
      </c>
      <c r="S13463">
        <v>39</v>
      </c>
      <c r="T13463" s="29" t="str">
        <f t="shared" si="561"/>
        <v>2023.014D.Hepadnaviridae_19renam_9nsp.zip</v>
      </c>
      <c r="U13463" s="29" t="str">
        <f>HYPERLINK("https://ictv.global/taxonomy/taxondetails?taxnode_id=202305860","ictv.global=202305860")</f>
        <v>ictv.global=202305860</v>
      </c>
    </row>
    <row r="13464" spans="1:21">
      <c r="A13464">
        <v>13463</v>
      </c>
      <c r="B13464" s="30" t="s">
        <v>1226</v>
      </c>
      <c r="D13464" s="30" t="s">
        <v>2134</v>
      </c>
      <c r="F13464" s="30" t="s">
        <v>2135</v>
      </c>
      <c r="H13464" s="30" t="s">
        <v>2136</v>
      </c>
      <c r="J13464" s="30" t="s">
        <v>2137</v>
      </c>
      <c r="L13464" s="30" t="s">
        <v>122</v>
      </c>
      <c r="N13464" s="30" t="s">
        <v>2139</v>
      </c>
      <c r="P13464" s="30" t="s">
        <v>18338</v>
      </c>
      <c r="Q13464" t="s">
        <v>734</v>
      </c>
      <c r="R13464" t="s">
        <v>920</v>
      </c>
      <c r="S13464">
        <v>39</v>
      </c>
      <c r="T13464" s="29" t="str">
        <f t="shared" si="561"/>
        <v>2023.014D.Hepadnaviridae_19renam_9nsp.zip</v>
      </c>
      <c r="U13464" s="29" t="str">
        <f>HYPERLINK("https://ictv.global/taxonomy/taxondetails?taxnode_id=202305859","ictv.global=202305859")</f>
        <v>ictv.global=202305859</v>
      </c>
    </row>
    <row r="13465" spans="1:21">
      <c r="A13465">
        <v>13464</v>
      </c>
      <c r="B13465" s="30" t="s">
        <v>1226</v>
      </c>
      <c r="D13465" s="30" t="s">
        <v>2134</v>
      </c>
      <c r="F13465" s="30" t="s">
        <v>2135</v>
      </c>
      <c r="H13465" s="30" t="s">
        <v>2136</v>
      </c>
      <c r="J13465" s="30" t="s">
        <v>2137</v>
      </c>
      <c r="L13465" s="30" t="s">
        <v>122</v>
      </c>
      <c r="N13465" s="30" t="s">
        <v>326</v>
      </c>
      <c r="P13465" s="30" t="s">
        <v>18339</v>
      </c>
      <c r="Q13465" t="s">
        <v>734</v>
      </c>
      <c r="R13465" t="s">
        <v>917</v>
      </c>
      <c r="S13465">
        <v>39</v>
      </c>
      <c r="T13465" s="29" t="str">
        <f t="shared" si="561"/>
        <v>2023.014D.Hepadnaviridae_19renam_9nsp.zip</v>
      </c>
      <c r="U13465" s="29" t="str">
        <f>HYPERLINK("https://ictv.global/taxonomy/taxondetails?taxnode_id=202318089","ictv.global=202318089")</f>
        <v>ictv.global=202318089</v>
      </c>
    </row>
    <row r="13466" spans="1:21">
      <c r="A13466">
        <v>13465</v>
      </c>
      <c r="B13466" s="30" t="s">
        <v>1226</v>
      </c>
      <c r="D13466" s="30" t="s">
        <v>2134</v>
      </c>
      <c r="F13466" s="30" t="s">
        <v>2135</v>
      </c>
      <c r="H13466" s="30" t="s">
        <v>2136</v>
      </c>
      <c r="J13466" s="30" t="s">
        <v>2137</v>
      </c>
      <c r="L13466" s="30" t="s">
        <v>122</v>
      </c>
      <c r="N13466" s="30" t="s">
        <v>326</v>
      </c>
      <c r="P13466" s="30" t="s">
        <v>18340</v>
      </c>
      <c r="Q13466" t="s">
        <v>734</v>
      </c>
      <c r="R13466" t="s">
        <v>917</v>
      </c>
      <c r="S13466">
        <v>39</v>
      </c>
      <c r="T13466" s="29" t="str">
        <f t="shared" si="561"/>
        <v>2023.014D.Hepadnaviridae_19renam_9nsp.zip</v>
      </c>
      <c r="U13466" s="29" t="str">
        <f>HYPERLINK("https://ictv.global/taxonomy/taxondetails?taxnode_id=202318090","ictv.global=202318090")</f>
        <v>ictv.global=202318090</v>
      </c>
    </row>
    <row r="13467" spans="1:21">
      <c r="A13467">
        <v>13466</v>
      </c>
      <c r="B13467" s="30" t="s">
        <v>1226</v>
      </c>
      <c r="D13467" s="30" t="s">
        <v>2134</v>
      </c>
      <c r="F13467" s="30" t="s">
        <v>2135</v>
      </c>
      <c r="H13467" s="30" t="s">
        <v>2136</v>
      </c>
      <c r="J13467" s="30" t="s">
        <v>2137</v>
      </c>
      <c r="L13467" s="30" t="s">
        <v>122</v>
      </c>
      <c r="N13467" s="30" t="s">
        <v>326</v>
      </c>
      <c r="P13467" s="30" t="s">
        <v>18341</v>
      </c>
      <c r="Q13467" t="s">
        <v>734</v>
      </c>
      <c r="R13467" t="s">
        <v>920</v>
      </c>
      <c r="S13467">
        <v>39</v>
      </c>
      <c r="T13467" s="29" t="str">
        <f t="shared" si="561"/>
        <v>2023.014D.Hepadnaviridae_19renam_9nsp.zip</v>
      </c>
      <c r="U13467" s="29" t="str">
        <f>HYPERLINK("https://ictv.global/taxonomy/taxondetails?taxnode_id=202307258","ictv.global=202307258")</f>
        <v>ictv.global=202307258</v>
      </c>
    </row>
    <row r="13468" spans="1:21">
      <c r="A13468">
        <v>13467</v>
      </c>
      <c r="B13468" s="30" t="s">
        <v>1226</v>
      </c>
      <c r="D13468" s="30" t="s">
        <v>2134</v>
      </c>
      <c r="F13468" s="30" t="s">
        <v>2135</v>
      </c>
      <c r="H13468" s="30" t="s">
        <v>2136</v>
      </c>
      <c r="J13468" s="30" t="s">
        <v>2137</v>
      </c>
      <c r="L13468" s="30" t="s">
        <v>122</v>
      </c>
      <c r="N13468" s="30" t="s">
        <v>326</v>
      </c>
      <c r="P13468" s="30" t="s">
        <v>18342</v>
      </c>
      <c r="Q13468" t="s">
        <v>734</v>
      </c>
      <c r="R13468" t="s">
        <v>920</v>
      </c>
      <c r="S13468">
        <v>39</v>
      </c>
      <c r="T13468" s="29" t="str">
        <f t="shared" si="561"/>
        <v>2023.014D.Hepadnaviridae_19renam_9nsp.zip</v>
      </c>
      <c r="U13468" s="29" t="str">
        <f>HYPERLINK("https://ictv.global/taxonomy/taxondetails?taxnode_id=202303653","ictv.global=202303653")</f>
        <v>ictv.global=202303653</v>
      </c>
    </row>
    <row r="13469" spans="1:21">
      <c r="A13469">
        <v>13468</v>
      </c>
      <c r="B13469" s="30" t="s">
        <v>1226</v>
      </c>
      <c r="D13469" s="30" t="s">
        <v>2134</v>
      </c>
      <c r="F13469" s="30" t="s">
        <v>2135</v>
      </c>
      <c r="H13469" s="30" t="s">
        <v>2136</v>
      </c>
      <c r="J13469" s="30" t="s">
        <v>2137</v>
      </c>
      <c r="L13469" s="30" t="s">
        <v>122</v>
      </c>
      <c r="N13469" s="30" t="s">
        <v>326</v>
      </c>
      <c r="P13469" s="30" t="s">
        <v>18343</v>
      </c>
      <c r="Q13469" t="s">
        <v>734</v>
      </c>
      <c r="R13469" t="s">
        <v>920</v>
      </c>
      <c r="S13469">
        <v>39</v>
      </c>
      <c r="T13469" s="29" t="str">
        <f t="shared" si="561"/>
        <v>2023.014D.Hepadnaviridae_19renam_9nsp.zip</v>
      </c>
      <c r="U13469" s="29" t="str">
        <f>HYPERLINK("https://ictv.global/taxonomy/taxondetails?taxnode_id=202303659","ictv.global=202303659")</f>
        <v>ictv.global=202303659</v>
      </c>
    </row>
    <row r="13470" spans="1:21">
      <c r="A13470">
        <v>13469</v>
      </c>
      <c r="B13470" s="30" t="s">
        <v>1226</v>
      </c>
      <c r="D13470" s="30" t="s">
        <v>2134</v>
      </c>
      <c r="F13470" s="30" t="s">
        <v>2135</v>
      </c>
      <c r="H13470" s="30" t="s">
        <v>2136</v>
      </c>
      <c r="J13470" s="30" t="s">
        <v>2137</v>
      </c>
      <c r="L13470" s="30" t="s">
        <v>122</v>
      </c>
      <c r="N13470" s="30" t="s">
        <v>326</v>
      </c>
      <c r="P13470" s="30" t="s">
        <v>18344</v>
      </c>
      <c r="Q13470" t="s">
        <v>734</v>
      </c>
      <c r="R13470" t="s">
        <v>920</v>
      </c>
      <c r="S13470">
        <v>39</v>
      </c>
      <c r="T13470" s="29" t="str">
        <f t="shared" si="561"/>
        <v>2023.014D.Hepadnaviridae_19renam_9nsp.zip</v>
      </c>
      <c r="U13470" s="29" t="str">
        <f>HYPERLINK("https://ictv.global/taxonomy/taxondetails?taxnode_id=202303654","ictv.global=202303654")</f>
        <v>ictv.global=202303654</v>
      </c>
    </row>
    <row r="13471" spans="1:21">
      <c r="A13471">
        <v>13470</v>
      </c>
      <c r="B13471" s="30" t="s">
        <v>1226</v>
      </c>
      <c r="D13471" s="30" t="s">
        <v>2134</v>
      </c>
      <c r="F13471" s="30" t="s">
        <v>2135</v>
      </c>
      <c r="H13471" s="30" t="s">
        <v>2136</v>
      </c>
      <c r="J13471" s="30" t="s">
        <v>2137</v>
      </c>
      <c r="L13471" s="30" t="s">
        <v>122</v>
      </c>
      <c r="N13471" s="30" t="s">
        <v>326</v>
      </c>
      <c r="P13471" s="30" t="s">
        <v>18345</v>
      </c>
      <c r="Q13471" t="s">
        <v>734</v>
      </c>
      <c r="R13471" t="s">
        <v>917</v>
      </c>
      <c r="S13471">
        <v>39</v>
      </c>
      <c r="T13471" s="29" t="str">
        <f t="shared" si="561"/>
        <v>2023.014D.Hepadnaviridae_19renam_9nsp.zip</v>
      </c>
      <c r="U13471" s="29" t="str">
        <f>HYPERLINK("https://ictv.global/taxonomy/taxondetails?taxnode_id=202318084","ictv.global=202318084")</f>
        <v>ictv.global=202318084</v>
      </c>
    </row>
    <row r="13472" spans="1:21">
      <c r="A13472">
        <v>13471</v>
      </c>
      <c r="B13472" s="30" t="s">
        <v>1226</v>
      </c>
      <c r="D13472" s="30" t="s">
        <v>2134</v>
      </c>
      <c r="F13472" s="30" t="s">
        <v>2135</v>
      </c>
      <c r="H13472" s="30" t="s">
        <v>2136</v>
      </c>
      <c r="J13472" s="30" t="s">
        <v>2137</v>
      </c>
      <c r="L13472" s="30" t="s">
        <v>122</v>
      </c>
      <c r="N13472" s="30" t="s">
        <v>326</v>
      </c>
      <c r="P13472" s="30" t="s">
        <v>18346</v>
      </c>
      <c r="Q13472" t="s">
        <v>734</v>
      </c>
      <c r="R13472" t="s">
        <v>917</v>
      </c>
      <c r="S13472">
        <v>39</v>
      </c>
      <c r="T13472" s="29" t="str">
        <f t="shared" si="561"/>
        <v>2023.014D.Hepadnaviridae_19renam_9nsp.zip</v>
      </c>
      <c r="U13472" s="29" t="str">
        <f>HYPERLINK("https://ictv.global/taxonomy/taxondetails?taxnode_id=202318086","ictv.global=202318086")</f>
        <v>ictv.global=202318086</v>
      </c>
    </row>
    <row r="13473" spans="1:21">
      <c r="A13473">
        <v>13472</v>
      </c>
      <c r="B13473" s="30" t="s">
        <v>1226</v>
      </c>
      <c r="D13473" s="30" t="s">
        <v>2134</v>
      </c>
      <c r="F13473" s="30" t="s">
        <v>2135</v>
      </c>
      <c r="H13473" s="30" t="s">
        <v>2136</v>
      </c>
      <c r="J13473" s="30" t="s">
        <v>2137</v>
      </c>
      <c r="L13473" s="30" t="s">
        <v>122</v>
      </c>
      <c r="N13473" s="30" t="s">
        <v>326</v>
      </c>
      <c r="P13473" s="30" t="s">
        <v>18347</v>
      </c>
      <c r="Q13473" t="s">
        <v>734</v>
      </c>
      <c r="R13473" t="s">
        <v>920</v>
      </c>
      <c r="S13473">
        <v>39</v>
      </c>
      <c r="T13473" s="29" t="str">
        <f t="shared" si="561"/>
        <v>2023.014D.Hepadnaviridae_19renam_9nsp.zip</v>
      </c>
      <c r="U13473" s="29" t="str">
        <f>HYPERLINK("https://ictv.global/taxonomy/taxondetails?taxnode_id=202303658","ictv.global=202303658")</f>
        <v>ictv.global=202303658</v>
      </c>
    </row>
    <row r="13474" spans="1:21">
      <c r="A13474">
        <v>13473</v>
      </c>
      <c r="B13474" s="30" t="s">
        <v>1226</v>
      </c>
      <c r="D13474" s="30" t="s">
        <v>2134</v>
      </c>
      <c r="F13474" s="30" t="s">
        <v>2135</v>
      </c>
      <c r="H13474" s="30" t="s">
        <v>2136</v>
      </c>
      <c r="J13474" s="30" t="s">
        <v>2137</v>
      </c>
      <c r="L13474" s="30" t="s">
        <v>122</v>
      </c>
      <c r="N13474" s="30" t="s">
        <v>326</v>
      </c>
      <c r="P13474" s="30" t="s">
        <v>18348</v>
      </c>
      <c r="Q13474" t="s">
        <v>734</v>
      </c>
      <c r="R13474" t="s">
        <v>917</v>
      </c>
      <c r="S13474">
        <v>39</v>
      </c>
      <c r="T13474" s="29" t="str">
        <f t="shared" si="561"/>
        <v>2023.014D.Hepadnaviridae_19renam_9nsp.zip</v>
      </c>
      <c r="U13474" s="29" t="str">
        <f>HYPERLINK("https://ictv.global/taxonomy/taxondetails?taxnode_id=202318085","ictv.global=202318085")</f>
        <v>ictv.global=202318085</v>
      </c>
    </row>
    <row r="13475" spans="1:21">
      <c r="A13475">
        <v>13474</v>
      </c>
      <c r="B13475" s="30" t="s">
        <v>1226</v>
      </c>
      <c r="D13475" s="30" t="s">
        <v>2134</v>
      </c>
      <c r="F13475" s="30" t="s">
        <v>2135</v>
      </c>
      <c r="H13475" s="30" t="s">
        <v>2136</v>
      </c>
      <c r="J13475" s="30" t="s">
        <v>2137</v>
      </c>
      <c r="L13475" s="30" t="s">
        <v>122</v>
      </c>
      <c r="N13475" s="30" t="s">
        <v>326</v>
      </c>
      <c r="P13475" s="30" t="s">
        <v>18349</v>
      </c>
      <c r="Q13475" t="s">
        <v>734</v>
      </c>
      <c r="R13475" t="s">
        <v>920</v>
      </c>
      <c r="S13475">
        <v>39</v>
      </c>
      <c r="T13475" s="29" t="str">
        <f t="shared" si="561"/>
        <v>2023.014D.Hepadnaviridae_19renam_9nsp.zip</v>
      </c>
      <c r="U13475" s="29" t="str">
        <f>HYPERLINK("https://ictv.global/taxonomy/taxondetails?taxnode_id=202307259","ictv.global=202307259")</f>
        <v>ictv.global=202307259</v>
      </c>
    </row>
    <row r="13476" spans="1:21">
      <c r="A13476">
        <v>13475</v>
      </c>
      <c r="B13476" s="30" t="s">
        <v>1226</v>
      </c>
      <c r="D13476" s="30" t="s">
        <v>2134</v>
      </c>
      <c r="F13476" s="30" t="s">
        <v>2135</v>
      </c>
      <c r="H13476" s="30" t="s">
        <v>2136</v>
      </c>
      <c r="J13476" s="30" t="s">
        <v>2137</v>
      </c>
      <c r="L13476" s="30" t="s">
        <v>122</v>
      </c>
      <c r="N13476" s="30" t="s">
        <v>326</v>
      </c>
      <c r="P13476" s="30" t="s">
        <v>18350</v>
      </c>
      <c r="Q13476" t="s">
        <v>734</v>
      </c>
      <c r="R13476" t="s">
        <v>920</v>
      </c>
      <c r="S13476">
        <v>39</v>
      </c>
      <c r="T13476" s="29" t="str">
        <f t="shared" si="561"/>
        <v>2023.014D.Hepadnaviridae_19renam_9nsp.zip</v>
      </c>
      <c r="U13476" s="29" t="str">
        <f>HYPERLINK("https://ictv.global/taxonomy/taxondetails?taxnode_id=202303655","ictv.global=202303655")</f>
        <v>ictv.global=202303655</v>
      </c>
    </row>
    <row r="13477" spans="1:21">
      <c r="A13477">
        <v>13476</v>
      </c>
      <c r="B13477" s="30" t="s">
        <v>1226</v>
      </c>
      <c r="D13477" s="30" t="s">
        <v>2134</v>
      </c>
      <c r="F13477" s="30" t="s">
        <v>2135</v>
      </c>
      <c r="H13477" s="30" t="s">
        <v>2136</v>
      </c>
      <c r="J13477" s="30" t="s">
        <v>2137</v>
      </c>
      <c r="L13477" s="30" t="s">
        <v>122</v>
      </c>
      <c r="N13477" s="30" t="s">
        <v>326</v>
      </c>
      <c r="P13477" s="30" t="s">
        <v>18351</v>
      </c>
      <c r="Q13477" t="s">
        <v>734</v>
      </c>
      <c r="R13477" t="s">
        <v>920</v>
      </c>
      <c r="S13477">
        <v>39</v>
      </c>
      <c r="T13477" s="29" t="str">
        <f t="shared" si="561"/>
        <v>2023.014D.Hepadnaviridae_19renam_9nsp.zip</v>
      </c>
      <c r="U13477" s="29" t="str">
        <f>HYPERLINK("https://ictv.global/taxonomy/taxondetails?taxnode_id=202303656","ictv.global=202303656")</f>
        <v>ictv.global=202303656</v>
      </c>
    </row>
    <row r="13478" spans="1:21">
      <c r="A13478">
        <v>13477</v>
      </c>
      <c r="B13478" s="30" t="s">
        <v>1226</v>
      </c>
      <c r="D13478" s="30" t="s">
        <v>2134</v>
      </c>
      <c r="F13478" s="30" t="s">
        <v>2135</v>
      </c>
      <c r="H13478" s="30" t="s">
        <v>2136</v>
      </c>
      <c r="J13478" s="30" t="s">
        <v>2137</v>
      </c>
      <c r="L13478" s="30" t="s">
        <v>122</v>
      </c>
      <c r="N13478" s="30" t="s">
        <v>326</v>
      </c>
      <c r="P13478" s="30" t="s">
        <v>18352</v>
      </c>
      <c r="Q13478" t="s">
        <v>734</v>
      </c>
      <c r="R13478" t="s">
        <v>920</v>
      </c>
      <c r="S13478">
        <v>39</v>
      </c>
      <c r="T13478" s="29" t="str">
        <f t="shared" si="561"/>
        <v>2023.014D.Hepadnaviridae_19renam_9nsp.zip</v>
      </c>
      <c r="U13478" s="29" t="str">
        <f>HYPERLINK("https://ictv.global/taxonomy/taxondetails?taxnode_id=202306328","ictv.global=202306328")</f>
        <v>ictv.global=202306328</v>
      </c>
    </row>
    <row r="13479" spans="1:21">
      <c r="A13479">
        <v>13478</v>
      </c>
      <c r="B13479" s="30" t="s">
        <v>1226</v>
      </c>
      <c r="D13479" s="30" t="s">
        <v>2134</v>
      </c>
      <c r="F13479" s="30" t="s">
        <v>2135</v>
      </c>
      <c r="H13479" s="30" t="s">
        <v>2136</v>
      </c>
      <c r="J13479" s="30" t="s">
        <v>2137</v>
      </c>
      <c r="L13479" s="30" t="s">
        <v>122</v>
      </c>
      <c r="N13479" s="30" t="s">
        <v>326</v>
      </c>
      <c r="P13479" s="30" t="s">
        <v>18353</v>
      </c>
      <c r="Q13479" t="s">
        <v>734</v>
      </c>
      <c r="R13479" t="s">
        <v>920</v>
      </c>
      <c r="S13479">
        <v>39</v>
      </c>
      <c r="T13479" s="29" t="str">
        <f t="shared" si="561"/>
        <v>2023.014D.Hepadnaviridae_19renam_9nsp.zip</v>
      </c>
      <c r="U13479" s="29" t="str">
        <f>HYPERLINK("https://ictv.global/taxonomy/taxondetails?taxnode_id=202303652","ictv.global=202303652")</f>
        <v>ictv.global=202303652</v>
      </c>
    </row>
    <row r="13480" spans="1:21">
      <c r="A13480">
        <v>13479</v>
      </c>
      <c r="B13480" s="30" t="s">
        <v>1226</v>
      </c>
      <c r="D13480" s="30" t="s">
        <v>2134</v>
      </c>
      <c r="F13480" s="30" t="s">
        <v>2135</v>
      </c>
      <c r="H13480" s="30" t="s">
        <v>2136</v>
      </c>
      <c r="J13480" s="30" t="s">
        <v>2137</v>
      </c>
      <c r="L13480" s="30" t="s">
        <v>122</v>
      </c>
      <c r="N13480" s="30" t="s">
        <v>326</v>
      </c>
      <c r="P13480" s="30" t="s">
        <v>18354</v>
      </c>
      <c r="Q13480" t="s">
        <v>734</v>
      </c>
      <c r="R13480" t="s">
        <v>917</v>
      </c>
      <c r="S13480">
        <v>39</v>
      </c>
      <c r="T13480" s="29" t="str">
        <f t="shared" si="561"/>
        <v>2023.014D.Hepadnaviridae_19renam_9nsp.zip</v>
      </c>
      <c r="U13480" s="29" t="str">
        <f>HYPERLINK("https://ictv.global/taxonomy/taxondetails?taxnode_id=202318087","ictv.global=202318087")</f>
        <v>ictv.global=202318087</v>
      </c>
    </row>
    <row r="13481" spans="1:21">
      <c r="A13481">
        <v>13480</v>
      </c>
      <c r="B13481" s="30" t="s">
        <v>1226</v>
      </c>
      <c r="D13481" s="30" t="s">
        <v>2134</v>
      </c>
      <c r="F13481" s="30" t="s">
        <v>2135</v>
      </c>
      <c r="H13481" s="30" t="s">
        <v>2136</v>
      </c>
      <c r="J13481" s="30" t="s">
        <v>2137</v>
      </c>
      <c r="L13481" s="30" t="s">
        <v>122</v>
      </c>
      <c r="N13481" s="30" t="s">
        <v>326</v>
      </c>
      <c r="P13481" s="30" t="s">
        <v>18355</v>
      </c>
      <c r="Q13481" t="s">
        <v>734</v>
      </c>
      <c r="R13481" t="s">
        <v>917</v>
      </c>
      <c r="S13481">
        <v>39</v>
      </c>
      <c r="T13481" s="29" t="str">
        <f t="shared" si="561"/>
        <v>2023.014D.Hepadnaviridae_19renam_9nsp.zip</v>
      </c>
      <c r="U13481" s="29" t="str">
        <f>HYPERLINK("https://ictv.global/taxonomy/taxondetails?taxnode_id=202318088","ictv.global=202318088")</f>
        <v>ictv.global=202318088</v>
      </c>
    </row>
    <row r="13482" spans="1:21">
      <c r="A13482">
        <v>13481</v>
      </c>
      <c r="B13482" s="30" t="s">
        <v>1226</v>
      </c>
      <c r="D13482" s="30" t="s">
        <v>2134</v>
      </c>
      <c r="F13482" s="30" t="s">
        <v>2135</v>
      </c>
      <c r="H13482" s="30" t="s">
        <v>2136</v>
      </c>
      <c r="J13482" s="30" t="s">
        <v>2137</v>
      </c>
      <c r="L13482" s="30" t="s">
        <v>122</v>
      </c>
      <c r="N13482" s="30" t="s">
        <v>326</v>
      </c>
      <c r="P13482" s="30" t="s">
        <v>18356</v>
      </c>
      <c r="Q13482" t="s">
        <v>734</v>
      </c>
      <c r="R13482" t="s">
        <v>920</v>
      </c>
      <c r="S13482">
        <v>39</v>
      </c>
      <c r="T13482" s="29" t="str">
        <f t="shared" si="561"/>
        <v>2023.014D.Hepadnaviridae_19renam_9nsp.zip</v>
      </c>
      <c r="U13482" s="29" t="str">
        <f>HYPERLINK("https://ictv.global/taxonomy/taxondetails?taxnode_id=202307260","ictv.global=202307260")</f>
        <v>ictv.global=202307260</v>
      </c>
    </row>
    <row r="13483" spans="1:21">
      <c r="A13483">
        <v>13482</v>
      </c>
      <c r="B13483" s="30" t="s">
        <v>1226</v>
      </c>
      <c r="D13483" s="30" t="s">
        <v>2134</v>
      </c>
      <c r="F13483" s="30" t="s">
        <v>2135</v>
      </c>
      <c r="H13483" s="30" t="s">
        <v>2136</v>
      </c>
      <c r="J13483" s="30" t="s">
        <v>2137</v>
      </c>
      <c r="L13483" s="30" t="s">
        <v>122</v>
      </c>
      <c r="N13483" s="30" t="s">
        <v>326</v>
      </c>
      <c r="P13483" s="30" t="s">
        <v>18357</v>
      </c>
      <c r="Q13483" t="s">
        <v>734</v>
      </c>
      <c r="R13483" t="s">
        <v>920</v>
      </c>
      <c r="S13483">
        <v>39</v>
      </c>
      <c r="T13483" s="29" t="str">
        <f t="shared" si="561"/>
        <v>2023.014D.Hepadnaviridae_19renam_9nsp.zip</v>
      </c>
      <c r="U13483" s="29" t="str">
        <f>HYPERLINK("https://ictv.global/taxonomy/taxondetails?taxnode_id=202303657","ictv.global=202303657")</f>
        <v>ictv.global=202303657</v>
      </c>
    </row>
    <row r="13484" spans="1:21">
      <c r="A13484">
        <v>13483</v>
      </c>
      <c r="B13484" s="30" t="s">
        <v>1226</v>
      </c>
      <c r="D13484" s="30" t="s">
        <v>2134</v>
      </c>
      <c r="F13484" s="30" t="s">
        <v>2135</v>
      </c>
      <c r="H13484" s="30" t="s">
        <v>2136</v>
      </c>
      <c r="J13484" s="30" t="s">
        <v>2137</v>
      </c>
      <c r="L13484" s="30" t="s">
        <v>122</v>
      </c>
      <c r="N13484" s="30" t="s">
        <v>2140</v>
      </c>
      <c r="P13484" s="30" t="s">
        <v>18358</v>
      </c>
      <c r="Q13484" t="s">
        <v>734</v>
      </c>
      <c r="R13484" t="s">
        <v>920</v>
      </c>
      <c r="S13484">
        <v>39</v>
      </c>
      <c r="T13484" s="29" t="str">
        <f t="shared" si="561"/>
        <v>2023.014D.Hepadnaviridae_19renam_9nsp.zip</v>
      </c>
      <c r="U13484" s="29" t="str">
        <f>HYPERLINK("https://ictv.global/taxonomy/taxondetails?taxnode_id=202303661","ictv.global=202303661")</f>
        <v>ictv.global=202303661</v>
      </c>
    </row>
    <row r="13485" spans="1:21">
      <c r="A13485">
        <v>13484</v>
      </c>
      <c r="B13485" s="30" t="s">
        <v>1226</v>
      </c>
      <c r="D13485" s="30" t="s">
        <v>2134</v>
      </c>
      <c r="F13485" s="30" t="s">
        <v>2135</v>
      </c>
      <c r="H13485" s="30" t="s">
        <v>2136</v>
      </c>
      <c r="J13485" s="30" t="s">
        <v>945</v>
      </c>
      <c r="L13485" s="30" t="s">
        <v>946</v>
      </c>
      <c r="N13485" s="30" t="s">
        <v>476</v>
      </c>
      <c r="P13485" s="30" t="s">
        <v>477</v>
      </c>
      <c r="Q13485" t="s">
        <v>624</v>
      </c>
      <c r="R13485" t="s">
        <v>919</v>
      </c>
      <c r="S13485">
        <v>35</v>
      </c>
      <c r="T13485" s="29" t="str">
        <f>HYPERLINK("https://ictv.global/ictv/proposals/2019.006G.zip","2019.006G.zip")</f>
        <v>2019.006G.zip</v>
      </c>
      <c r="U13485" s="29" t="str">
        <f>HYPERLINK("https://ictv.global/taxonomy/taxondetails?taxnode_id=202303847","ictv.global=202303847")</f>
        <v>ictv.global=202303847</v>
      </c>
    </row>
    <row r="13486" spans="1:21">
      <c r="A13486">
        <v>13485</v>
      </c>
      <c r="B13486" s="30" t="s">
        <v>1226</v>
      </c>
      <c r="D13486" s="30" t="s">
        <v>2134</v>
      </c>
      <c r="F13486" s="30" t="s">
        <v>2135</v>
      </c>
      <c r="H13486" s="30" t="s">
        <v>2136</v>
      </c>
      <c r="J13486" s="30" t="s">
        <v>945</v>
      </c>
      <c r="L13486" s="30" t="s">
        <v>946</v>
      </c>
      <c r="N13486" s="30" t="s">
        <v>476</v>
      </c>
      <c r="P13486" s="30" t="s">
        <v>947</v>
      </c>
      <c r="Q13486" t="s">
        <v>624</v>
      </c>
      <c r="R13486" t="s">
        <v>919</v>
      </c>
      <c r="S13486">
        <v>35</v>
      </c>
      <c r="T13486" s="29" t="str">
        <f>HYPERLINK("https://ictv.global/ictv/proposals/2019.006G.zip","2019.006G.zip")</f>
        <v>2019.006G.zip</v>
      </c>
      <c r="U13486" s="29" t="str">
        <f>HYPERLINK("https://ictv.global/taxonomy/taxondetails?taxnode_id=202305584","ictv.global=202305584")</f>
        <v>ictv.global=202305584</v>
      </c>
    </row>
    <row r="13487" spans="1:21">
      <c r="A13487">
        <v>13486</v>
      </c>
      <c r="B13487" s="30" t="s">
        <v>1226</v>
      </c>
      <c r="D13487" s="30" t="s">
        <v>2134</v>
      </c>
      <c r="F13487" s="30" t="s">
        <v>2135</v>
      </c>
      <c r="H13487" s="30" t="s">
        <v>2136</v>
      </c>
      <c r="J13487" s="30" t="s">
        <v>945</v>
      </c>
      <c r="L13487" s="30" t="s">
        <v>946</v>
      </c>
      <c r="N13487" s="30" t="s">
        <v>476</v>
      </c>
      <c r="P13487" s="30" t="s">
        <v>478</v>
      </c>
      <c r="Q13487" t="s">
        <v>624</v>
      </c>
      <c r="R13487" t="s">
        <v>3894</v>
      </c>
      <c r="S13487">
        <v>36</v>
      </c>
      <c r="T13487" s="29" t="str">
        <f>HYPERLINK("https://ictv.global/ictv/proposals/2020.001G.R.Abolish_type_species.pdf","2020.001G.R.Abolish_type_species.pdf")</f>
        <v>2020.001G.R.Abolish_type_species.pdf</v>
      </c>
      <c r="U13487" s="29" t="str">
        <f>HYPERLINK("https://ictv.global/taxonomy/taxondetails?taxnode_id=202303848","ictv.global=202303848")</f>
        <v>ictv.global=202303848</v>
      </c>
    </row>
    <row r="13488" spans="1:21">
      <c r="A13488">
        <v>13487</v>
      </c>
      <c r="B13488" s="30" t="s">
        <v>1226</v>
      </c>
      <c r="D13488" s="30" t="s">
        <v>2134</v>
      </c>
      <c r="F13488" s="30" t="s">
        <v>2135</v>
      </c>
      <c r="H13488" s="30" t="s">
        <v>2136</v>
      </c>
      <c r="J13488" s="30" t="s">
        <v>945</v>
      </c>
      <c r="L13488" s="30" t="s">
        <v>946</v>
      </c>
      <c r="N13488" s="30" t="s">
        <v>476</v>
      </c>
      <c r="P13488" s="30" t="s">
        <v>479</v>
      </c>
      <c r="Q13488" t="s">
        <v>624</v>
      </c>
      <c r="R13488" t="s">
        <v>919</v>
      </c>
      <c r="S13488">
        <v>35</v>
      </c>
      <c r="T13488" s="29" t="str">
        <f t="shared" ref="T13488:T13495" si="562">HYPERLINK("https://ictv.global/ictv/proposals/2019.006G.zip","2019.006G.zip")</f>
        <v>2019.006G.zip</v>
      </c>
      <c r="U13488" s="29" t="str">
        <f>HYPERLINK("https://ictv.global/taxonomy/taxondetails?taxnode_id=202303849","ictv.global=202303849")</f>
        <v>ictv.global=202303849</v>
      </c>
    </row>
    <row r="13489" spans="1:21">
      <c r="A13489">
        <v>13488</v>
      </c>
      <c r="B13489" s="30" t="s">
        <v>1226</v>
      </c>
      <c r="D13489" s="30" t="s">
        <v>2134</v>
      </c>
      <c r="F13489" s="30" t="s">
        <v>2135</v>
      </c>
      <c r="H13489" s="30" t="s">
        <v>2136</v>
      </c>
      <c r="J13489" s="30" t="s">
        <v>945</v>
      </c>
      <c r="L13489" s="30" t="s">
        <v>946</v>
      </c>
      <c r="N13489" s="30" t="s">
        <v>476</v>
      </c>
      <c r="P13489" s="30" t="s">
        <v>310</v>
      </c>
      <c r="Q13489" t="s">
        <v>624</v>
      </c>
      <c r="R13489" t="s">
        <v>919</v>
      </c>
      <c r="S13489">
        <v>35</v>
      </c>
      <c r="T13489" s="29" t="str">
        <f t="shared" si="562"/>
        <v>2019.006G.zip</v>
      </c>
      <c r="U13489" s="29" t="str">
        <f>HYPERLINK("https://ictv.global/taxonomy/taxondetails?taxnode_id=202303850","ictv.global=202303850")</f>
        <v>ictv.global=202303850</v>
      </c>
    </row>
    <row r="13490" spans="1:21">
      <c r="A13490">
        <v>13489</v>
      </c>
      <c r="B13490" s="30" t="s">
        <v>1226</v>
      </c>
      <c r="D13490" s="30" t="s">
        <v>2134</v>
      </c>
      <c r="F13490" s="30" t="s">
        <v>2135</v>
      </c>
      <c r="H13490" s="30" t="s">
        <v>2136</v>
      </c>
      <c r="J13490" s="30" t="s">
        <v>945</v>
      </c>
      <c r="L13490" s="30" t="s">
        <v>946</v>
      </c>
      <c r="N13490" s="30" t="s">
        <v>476</v>
      </c>
      <c r="P13490" s="30" t="s">
        <v>311</v>
      </c>
      <c r="Q13490" t="s">
        <v>624</v>
      </c>
      <c r="R13490" t="s">
        <v>919</v>
      </c>
      <c r="S13490">
        <v>35</v>
      </c>
      <c r="T13490" s="29" t="str">
        <f t="shared" si="562"/>
        <v>2019.006G.zip</v>
      </c>
      <c r="U13490" s="29" t="str">
        <f>HYPERLINK("https://ictv.global/taxonomy/taxondetails?taxnode_id=202303851","ictv.global=202303851")</f>
        <v>ictv.global=202303851</v>
      </c>
    </row>
    <row r="13491" spans="1:21">
      <c r="A13491">
        <v>13490</v>
      </c>
      <c r="B13491" s="30" t="s">
        <v>1226</v>
      </c>
      <c r="D13491" s="30" t="s">
        <v>2134</v>
      </c>
      <c r="F13491" s="30" t="s">
        <v>2135</v>
      </c>
      <c r="H13491" s="30" t="s">
        <v>2136</v>
      </c>
      <c r="J13491" s="30" t="s">
        <v>945</v>
      </c>
      <c r="L13491" s="30" t="s">
        <v>946</v>
      </c>
      <c r="N13491" s="30" t="s">
        <v>476</v>
      </c>
      <c r="P13491" s="30" t="s">
        <v>312</v>
      </c>
      <c r="Q13491" t="s">
        <v>624</v>
      </c>
      <c r="R13491" t="s">
        <v>919</v>
      </c>
      <c r="S13491">
        <v>35</v>
      </c>
      <c r="T13491" s="29" t="str">
        <f t="shared" si="562"/>
        <v>2019.006G.zip</v>
      </c>
      <c r="U13491" s="29" t="str">
        <f>HYPERLINK("https://ictv.global/taxonomy/taxondetails?taxnode_id=202303852","ictv.global=202303852")</f>
        <v>ictv.global=202303852</v>
      </c>
    </row>
    <row r="13492" spans="1:21">
      <c r="A13492">
        <v>13491</v>
      </c>
      <c r="B13492" s="30" t="s">
        <v>1226</v>
      </c>
      <c r="D13492" s="30" t="s">
        <v>2134</v>
      </c>
      <c r="F13492" s="30" t="s">
        <v>2135</v>
      </c>
      <c r="H13492" s="30" t="s">
        <v>2136</v>
      </c>
      <c r="J13492" s="30" t="s">
        <v>945</v>
      </c>
      <c r="L13492" s="30" t="s">
        <v>946</v>
      </c>
      <c r="N13492" s="30" t="s">
        <v>476</v>
      </c>
      <c r="P13492" s="30" t="s">
        <v>948</v>
      </c>
      <c r="Q13492" t="s">
        <v>624</v>
      </c>
      <c r="R13492" t="s">
        <v>919</v>
      </c>
      <c r="S13492">
        <v>35</v>
      </c>
      <c r="T13492" s="29" t="str">
        <f t="shared" si="562"/>
        <v>2019.006G.zip</v>
      </c>
      <c r="U13492" s="29" t="str">
        <f>HYPERLINK("https://ictv.global/taxonomy/taxondetails?taxnode_id=202305585","ictv.global=202305585")</f>
        <v>ictv.global=202305585</v>
      </c>
    </row>
    <row r="13493" spans="1:21">
      <c r="A13493">
        <v>13492</v>
      </c>
      <c r="B13493" s="30" t="s">
        <v>1226</v>
      </c>
      <c r="D13493" s="30" t="s">
        <v>2134</v>
      </c>
      <c r="F13493" s="30" t="s">
        <v>2135</v>
      </c>
      <c r="H13493" s="30" t="s">
        <v>2136</v>
      </c>
      <c r="J13493" s="30" t="s">
        <v>945</v>
      </c>
      <c r="L13493" s="30" t="s">
        <v>946</v>
      </c>
      <c r="N13493" s="30" t="s">
        <v>476</v>
      </c>
      <c r="P13493" s="30" t="s">
        <v>404</v>
      </c>
      <c r="Q13493" t="s">
        <v>624</v>
      </c>
      <c r="R13493" t="s">
        <v>919</v>
      </c>
      <c r="S13493">
        <v>35</v>
      </c>
      <c r="T13493" s="29" t="str">
        <f t="shared" si="562"/>
        <v>2019.006G.zip</v>
      </c>
      <c r="U13493" s="29" t="str">
        <f>HYPERLINK("https://ictv.global/taxonomy/taxondetails?taxnode_id=202303853","ictv.global=202303853")</f>
        <v>ictv.global=202303853</v>
      </c>
    </row>
    <row r="13494" spans="1:21">
      <c r="A13494">
        <v>13493</v>
      </c>
      <c r="B13494" s="30" t="s">
        <v>1226</v>
      </c>
      <c r="D13494" s="30" t="s">
        <v>2134</v>
      </c>
      <c r="F13494" s="30" t="s">
        <v>2135</v>
      </c>
      <c r="H13494" s="30" t="s">
        <v>2136</v>
      </c>
      <c r="J13494" s="30" t="s">
        <v>945</v>
      </c>
      <c r="L13494" s="30" t="s">
        <v>946</v>
      </c>
      <c r="N13494" s="30" t="s">
        <v>476</v>
      </c>
      <c r="P13494" s="30" t="s">
        <v>949</v>
      </c>
      <c r="Q13494" t="s">
        <v>624</v>
      </c>
      <c r="R13494" t="s">
        <v>919</v>
      </c>
      <c r="S13494">
        <v>35</v>
      </c>
      <c r="T13494" s="29" t="str">
        <f t="shared" si="562"/>
        <v>2019.006G.zip</v>
      </c>
      <c r="U13494" s="29" t="str">
        <f>HYPERLINK("https://ictv.global/taxonomy/taxondetails?taxnode_id=202305586","ictv.global=202305586")</f>
        <v>ictv.global=202305586</v>
      </c>
    </row>
    <row r="13495" spans="1:21">
      <c r="A13495">
        <v>13494</v>
      </c>
      <c r="B13495" s="30" t="s">
        <v>1226</v>
      </c>
      <c r="D13495" s="30" t="s">
        <v>2134</v>
      </c>
      <c r="F13495" s="30" t="s">
        <v>2135</v>
      </c>
      <c r="H13495" s="30" t="s">
        <v>2136</v>
      </c>
      <c r="J13495" s="30" t="s">
        <v>945</v>
      </c>
      <c r="L13495" s="30" t="s">
        <v>946</v>
      </c>
      <c r="N13495" s="30" t="s">
        <v>476</v>
      </c>
      <c r="P13495" s="30" t="s">
        <v>950</v>
      </c>
      <c r="Q13495" t="s">
        <v>624</v>
      </c>
      <c r="R13495" t="s">
        <v>919</v>
      </c>
      <c r="S13495">
        <v>35</v>
      </c>
      <c r="T13495" s="29" t="str">
        <f t="shared" si="562"/>
        <v>2019.006G.zip</v>
      </c>
      <c r="U13495" s="29" t="str">
        <f>HYPERLINK("https://ictv.global/taxonomy/taxondetails?taxnode_id=202303854","ictv.global=202303854")</f>
        <v>ictv.global=202303854</v>
      </c>
    </row>
    <row r="13496" spans="1:21">
      <c r="A13496">
        <v>13495</v>
      </c>
      <c r="B13496" s="30" t="s">
        <v>1226</v>
      </c>
      <c r="D13496" s="30" t="s">
        <v>2134</v>
      </c>
      <c r="F13496" s="30" t="s">
        <v>2135</v>
      </c>
      <c r="H13496" s="30" t="s">
        <v>2136</v>
      </c>
      <c r="J13496" s="30" t="s">
        <v>945</v>
      </c>
      <c r="L13496" s="30" t="s">
        <v>474</v>
      </c>
      <c r="N13496" s="30" t="s">
        <v>475</v>
      </c>
      <c r="P13496" s="30" t="s">
        <v>11177</v>
      </c>
      <c r="Q13496" t="s">
        <v>734</v>
      </c>
      <c r="R13496" t="s">
        <v>920</v>
      </c>
      <c r="S13496">
        <v>38</v>
      </c>
      <c r="T13496" s="29" t="str">
        <f t="shared" ref="T13496:T13510" si="563">HYPERLINK("https://ictv.global/ictv/proposals/2022.008P.Caulimoviridae_rename.zip","2022.008P.Caulimoviridae_rename.zip")</f>
        <v>2022.008P.Caulimoviridae_rename.zip</v>
      </c>
      <c r="U13496" s="29" t="str">
        <f>HYPERLINK("https://ictv.global/taxonomy/taxondetails?taxnode_id=202302819","ictv.global=202302819")</f>
        <v>ictv.global=202302819</v>
      </c>
    </row>
    <row r="13497" spans="1:21">
      <c r="A13497">
        <v>13496</v>
      </c>
      <c r="B13497" s="30" t="s">
        <v>1226</v>
      </c>
      <c r="D13497" s="30" t="s">
        <v>2134</v>
      </c>
      <c r="F13497" s="30" t="s">
        <v>2135</v>
      </c>
      <c r="H13497" s="30" t="s">
        <v>2136</v>
      </c>
      <c r="J13497" s="30" t="s">
        <v>945</v>
      </c>
      <c r="L13497" s="30" t="s">
        <v>474</v>
      </c>
      <c r="N13497" s="30" t="s">
        <v>475</v>
      </c>
      <c r="P13497" s="30" t="s">
        <v>11178</v>
      </c>
      <c r="Q13497" t="s">
        <v>734</v>
      </c>
      <c r="R13497" t="s">
        <v>920</v>
      </c>
      <c r="S13497">
        <v>38</v>
      </c>
      <c r="T13497" s="29" t="str">
        <f t="shared" si="563"/>
        <v>2022.008P.Caulimoviridae_rename.zip</v>
      </c>
      <c r="U13497" s="29" t="str">
        <f>HYPERLINK("https://ictv.global/taxonomy/taxondetails?taxnode_id=202302857","ictv.global=202302857")</f>
        <v>ictv.global=202302857</v>
      </c>
    </row>
    <row r="13498" spans="1:21">
      <c r="A13498">
        <v>13497</v>
      </c>
      <c r="B13498" s="30" t="s">
        <v>1226</v>
      </c>
      <c r="D13498" s="30" t="s">
        <v>2134</v>
      </c>
      <c r="F13498" s="30" t="s">
        <v>2135</v>
      </c>
      <c r="H13498" s="30" t="s">
        <v>2136</v>
      </c>
      <c r="J13498" s="30" t="s">
        <v>945</v>
      </c>
      <c r="L13498" s="30" t="s">
        <v>474</v>
      </c>
      <c r="N13498" s="30" t="s">
        <v>475</v>
      </c>
      <c r="P13498" s="30" t="s">
        <v>11179</v>
      </c>
      <c r="Q13498" t="s">
        <v>734</v>
      </c>
      <c r="R13498" t="s">
        <v>920</v>
      </c>
      <c r="S13498">
        <v>38</v>
      </c>
      <c r="T13498" s="29" t="str">
        <f t="shared" si="563"/>
        <v>2022.008P.Caulimoviridae_rename.zip</v>
      </c>
      <c r="U13498" s="29" t="str">
        <f>HYPERLINK("https://ictv.global/taxonomy/taxondetails?taxnode_id=202302836","ictv.global=202302836")</f>
        <v>ictv.global=202302836</v>
      </c>
    </row>
    <row r="13499" spans="1:21">
      <c r="A13499">
        <v>13498</v>
      </c>
      <c r="B13499" s="30" t="s">
        <v>1226</v>
      </c>
      <c r="D13499" s="30" t="s">
        <v>2134</v>
      </c>
      <c r="F13499" s="30" t="s">
        <v>2135</v>
      </c>
      <c r="H13499" s="30" t="s">
        <v>2136</v>
      </c>
      <c r="J13499" s="30" t="s">
        <v>945</v>
      </c>
      <c r="L13499" s="30" t="s">
        <v>474</v>
      </c>
      <c r="N13499" s="30" t="s">
        <v>475</v>
      </c>
      <c r="P13499" s="30" t="s">
        <v>11180</v>
      </c>
      <c r="Q13499" t="s">
        <v>734</v>
      </c>
      <c r="R13499" t="s">
        <v>920</v>
      </c>
      <c r="S13499">
        <v>38</v>
      </c>
      <c r="T13499" s="29" t="str">
        <f t="shared" si="563"/>
        <v>2022.008P.Caulimoviridae_rename.zip</v>
      </c>
      <c r="U13499" s="29" t="str">
        <f>HYPERLINK("https://ictv.global/taxonomy/taxondetails?taxnode_id=202302830","ictv.global=202302830")</f>
        <v>ictv.global=202302830</v>
      </c>
    </row>
    <row r="13500" spans="1:21">
      <c r="A13500">
        <v>13499</v>
      </c>
      <c r="B13500" s="30" t="s">
        <v>1226</v>
      </c>
      <c r="D13500" s="30" t="s">
        <v>2134</v>
      </c>
      <c r="F13500" s="30" t="s">
        <v>2135</v>
      </c>
      <c r="H13500" s="30" t="s">
        <v>2136</v>
      </c>
      <c r="J13500" s="30" t="s">
        <v>945</v>
      </c>
      <c r="L13500" s="30" t="s">
        <v>474</v>
      </c>
      <c r="N13500" s="30" t="s">
        <v>475</v>
      </c>
      <c r="P13500" s="30" t="s">
        <v>11181</v>
      </c>
      <c r="Q13500" t="s">
        <v>734</v>
      </c>
      <c r="R13500" t="s">
        <v>920</v>
      </c>
      <c r="S13500">
        <v>38</v>
      </c>
      <c r="T13500" s="29" t="str">
        <f t="shared" si="563"/>
        <v>2022.008P.Caulimoviridae_rename.zip</v>
      </c>
      <c r="U13500" s="29" t="str">
        <f>HYPERLINK("https://ictv.global/taxonomy/taxondetails?taxnode_id=202306648","ictv.global=202306648")</f>
        <v>ictv.global=202306648</v>
      </c>
    </row>
    <row r="13501" spans="1:21">
      <c r="A13501">
        <v>13500</v>
      </c>
      <c r="B13501" s="30" t="s">
        <v>1226</v>
      </c>
      <c r="D13501" s="30" t="s">
        <v>2134</v>
      </c>
      <c r="F13501" s="30" t="s">
        <v>2135</v>
      </c>
      <c r="H13501" s="30" t="s">
        <v>2136</v>
      </c>
      <c r="J13501" s="30" t="s">
        <v>945</v>
      </c>
      <c r="L13501" s="30" t="s">
        <v>474</v>
      </c>
      <c r="N13501" s="30" t="s">
        <v>475</v>
      </c>
      <c r="P13501" s="30" t="s">
        <v>11182</v>
      </c>
      <c r="Q13501" t="s">
        <v>734</v>
      </c>
      <c r="R13501" t="s">
        <v>920</v>
      </c>
      <c r="S13501">
        <v>38</v>
      </c>
      <c r="T13501" s="29" t="str">
        <f t="shared" si="563"/>
        <v>2022.008P.Caulimoviridae_rename.zip</v>
      </c>
      <c r="U13501" s="29" t="str">
        <f>HYPERLINK("https://ictv.global/taxonomy/taxondetails?taxnode_id=202302845","ictv.global=202302845")</f>
        <v>ictv.global=202302845</v>
      </c>
    </row>
    <row r="13502" spans="1:21">
      <c r="A13502">
        <v>13501</v>
      </c>
      <c r="B13502" s="30" t="s">
        <v>1226</v>
      </c>
      <c r="D13502" s="30" t="s">
        <v>2134</v>
      </c>
      <c r="F13502" s="30" t="s">
        <v>2135</v>
      </c>
      <c r="H13502" s="30" t="s">
        <v>2136</v>
      </c>
      <c r="J13502" s="30" t="s">
        <v>945</v>
      </c>
      <c r="L13502" s="30" t="s">
        <v>474</v>
      </c>
      <c r="N13502" s="30" t="s">
        <v>475</v>
      </c>
      <c r="P13502" s="30" t="s">
        <v>11183</v>
      </c>
      <c r="Q13502" t="s">
        <v>734</v>
      </c>
      <c r="R13502" t="s">
        <v>920</v>
      </c>
      <c r="S13502">
        <v>38</v>
      </c>
      <c r="T13502" s="29" t="str">
        <f t="shared" si="563"/>
        <v>2022.008P.Caulimoviridae_rename.zip</v>
      </c>
      <c r="U13502" s="29" t="str">
        <f>HYPERLINK("https://ictv.global/taxonomy/taxondetails?taxnode_id=202302851","ictv.global=202302851")</f>
        <v>ictv.global=202302851</v>
      </c>
    </row>
    <row r="13503" spans="1:21">
      <c r="A13503">
        <v>13502</v>
      </c>
      <c r="B13503" s="30" t="s">
        <v>1226</v>
      </c>
      <c r="D13503" s="30" t="s">
        <v>2134</v>
      </c>
      <c r="F13503" s="30" t="s">
        <v>2135</v>
      </c>
      <c r="H13503" s="30" t="s">
        <v>2136</v>
      </c>
      <c r="J13503" s="30" t="s">
        <v>945</v>
      </c>
      <c r="L13503" s="30" t="s">
        <v>474</v>
      </c>
      <c r="N13503" s="30" t="s">
        <v>475</v>
      </c>
      <c r="P13503" s="30" t="s">
        <v>11184</v>
      </c>
      <c r="Q13503" t="s">
        <v>734</v>
      </c>
      <c r="R13503" t="s">
        <v>920</v>
      </c>
      <c r="S13503">
        <v>38</v>
      </c>
      <c r="T13503" s="29" t="str">
        <f t="shared" si="563"/>
        <v>2022.008P.Caulimoviridae_rename.zip</v>
      </c>
      <c r="U13503" s="29" t="str">
        <f>HYPERLINK("https://ictv.global/taxonomy/taxondetails?taxnode_id=202302820","ictv.global=202302820")</f>
        <v>ictv.global=202302820</v>
      </c>
    </row>
    <row r="13504" spans="1:21">
      <c r="A13504">
        <v>13503</v>
      </c>
      <c r="B13504" s="30" t="s">
        <v>1226</v>
      </c>
      <c r="D13504" s="30" t="s">
        <v>2134</v>
      </c>
      <c r="F13504" s="30" t="s">
        <v>2135</v>
      </c>
      <c r="H13504" s="30" t="s">
        <v>2136</v>
      </c>
      <c r="J13504" s="30" t="s">
        <v>945</v>
      </c>
      <c r="L13504" s="30" t="s">
        <v>474</v>
      </c>
      <c r="N13504" s="30" t="s">
        <v>475</v>
      </c>
      <c r="P13504" s="30" t="s">
        <v>11185</v>
      </c>
      <c r="Q13504" t="s">
        <v>734</v>
      </c>
      <c r="R13504" t="s">
        <v>920</v>
      </c>
      <c r="S13504">
        <v>38</v>
      </c>
      <c r="T13504" s="29" t="str">
        <f t="shared" si="563"/>
        <v>2022.008P.Caulimoviridae_rename.zip</v>
      </c>
      <c r="U13504" s="29" t="str">
        <f>HYPERLINK("https://ictv.global/taxonomy/taxondetails?taxnode_id=202302856","ictv.global=202302856")</f>
        <v>ictv.global=202302856</v>
      </c>
    </row>
    <row r="13505" spans="1:21">
      <c r="A13505">
        <v>13504</v>
      </c>
      <c r="B13505" s="30" t="s">
        <v>1226</v>
      </c>
      <c r="D13505" s="30" t="s">
        <v>2134</v>
      </c>
      <c r="F13505" s="30" t="s">
        <v>2135</v>
      </c>
      <c r="H13505" s="30" t="s">
        <v>2136</v>
      </c>
      <c r="J13505" s="30" t="s">
        <v>945</v>
      </c>
      <c r="L13505" s="30" t="s">
        <v>474</v>
      </c>
      <c r="N13505" s="30" t="s">
        <v>475</v>
      </c>
      <c r="P13505" s="30" t="s">
        <v>11186</v>
      </c>
      <c r="Q13505" t="s">
        <v>734</v>
      </c>
      <c r="R13505" t="s">
        <v>920</v>
      </c>
      <c r="S13505">
        <v>38</v>
      </c>
      <c r="T13505" s="29" t="str">
        <f t="shared" si="563"/>
        <v>2022.008P.Caulimoviridae_rename.zip</v>
      </c>
      <c r="U13505" s="29" t="str">
        <f>HYPERLINK("https://ictv.global/taxonomy/taxondetails?taxnode_id=202306650","ictv.global=202306650")</f>
        <v>ictv.global=202306650</v>
      </c>
    </row>
    <row r="13506" spans="1:21">
      <c r="A13506">
        <v>13505</v>
      </c>
      <c r="B13506" s="30" t="s">
        <v>1226</v>
      </c>
      <c r="D13506" s="30" t="s">
        <v>2134</v>
      </c>
      <c r="F13506" s="30" t="s">
        <v>2135</v>
      </c>
      <c r="H13506" s="30" t="s">
        <v>2136</v>
      </c>
      <c r="J13506" s="30" t="s">
        <v>945</v>
      </c>
      <c r="L13506" s="30" t="s">
        <v>474</v>
      </c>
      <c r="N13506" s="30" t="s">
        <v>475</v>
      </c>
      <c r="P13506" s="30" t="s">
        <v>11187</v>
      </c>
      <c r="Q13506" t="s">
        <v>734</v>
      </c>
      <c r="R13506" t="s">
        <v>920</v>
      </c>
      <c r="S13506">
        <v>38</v>
      </c>
      <c r="T13506" s="29" t="str">
        <f t="shared" si="563"/>
        <v>2022.008P.Caulimoviridae_rename.zip</v>
      </c>
      <c r="U13506" s="29" t="str">
        <f>HYPERLINK("https://ictv.global/taxonomy/taxondetails?taxnode_id=202306643","ictv.global=202306643")</f>
        <v>ictv.global=202306643</v>
      </c>
    </row>
    <row r="13507" spans="1:21">
      <c r="A13507">
        <v>13506</v>
      </c>
      <c r="B13507" s="30" t="s">
        <v>1226</v>
      </c>
      <c r="D13507" s="30" t="s">
        <v>2134</v>
      </c>
      <c r="F13507" s="30" t="s">
        <v>2135</v>
      </c>
      <c r="H13507" s="30" t="s">
        <v>2136</v>
      </c>
      <c r="J13507" s="30" t="s">
        <v>945</v>
      </c>
      <c r="L13507" s="30" t="s">
        <v>474</v>
      </c>
      <c r="N13507" s="30" t="s">
        <v>475</v>
      </c>
      <c r="P13507" s="30" t="s">
        <v>11188</v>
      </c>
      <c r="Q13507" t="s">
        <v>734</v>
      </c>
      <c r="R13507" t="s">
        <v>920</v>
      </c>
      <c r="S13507">
        <v>38</v>
      </c>
      <c r="T13507" s="29" t="str">
        <f t="shared" si="563"/>
        <v>2022.008P.Caulimoviridae_rename.zip</v>
      </c>
      <c r="U13507" s="29" t="str">
        <f>HYPERLINK("https://ictv.global/taxonomy/taxondetails?taxnode_id=202302833","ictv.global=202302833")</f>
        <v>ictv.global=202302833</v>
      </c>
    </row>
    <row r="13508" spans="1:21">
      <c r="A13508">
        <v>13507</v>
      </c>
      <c r="B13508" s="30" t="s">
        <v>1226</v>
      </c>
      <c r="D13508" s="30" t="s">
        <v>2134</v>
      </c>
      <c r="F13508" s="30" t="s">
        <v>2135</v>
      </c>
      <c r="H13508" s="30" t="s">
        <v>2136</v>
      </c>
      <c r="J13508" s="30" t="s">
        <v>945</v>
      </c>
      <c r="L13508" s="30" t="s">
        <v>474</v>
      </c>
      <c r="N13508" s="30" t="s">
        <v>475</v>
      </c>
      <c r="P13508" s="30" t="s">
        <v>11189</v>
      </c>
      <c r="Q13508" t="s">
        <v>734</v>
      </c>
      <c r="R13508" t="s">
        <v>920</v>
      </c>
      <c r="S13508">
        <v>38</v>
      </c>
      <c r="T13508" s="29" t="str">
        <f t="shared" si="563"/>
        <v>2022.008P.Caulimoviridae_rename.zip</v>
      </c>
      <c r="U13508" s="29" t="str">
        <f>HYPERLINK("https://ictv.global/taxonomy/taxondetails?taxnode_id=202302846","ictv.global=202302846")</f>
        <v>ictv.global=202302846</v>
      </c>
    </row>
    <row r="13509" spans="1:21">
      <c r="A13509">
        <v>13508</v>
      </c>
      <c r="B13509" s="30" t="s">
        <v>1226</v>
      </c>
      <c r="D13509" s="30" t="s">
        <v>2134</v>
      </c>
      <c r="F13509" s="30" t="s">
        <v>2135</v>
      </c>
      <c r="H13509" s="30" t="s">
        <v>2136</v>
      </c>
      <c r="J13509" s="30" t="s">
        <v>945</v>
      </c>
      <c r="L13509" s="30" t="s">
        <v>474</v>
      </c>
      <c r="N13509" s="30" t="s">
        <v>475</v>
      </c>
      <c r="P13509" s="30" t="s">
        <v>11190</v>
      </c>
      <c r="Q13509" t="s">
        <v>734</v>
      </c>
      <c r="R13509" t="s">
        <v>920</v>
      </c>
      <c r="S13509">
        <v>38</v>
      </c>
      <c r="T13509" s="29" t="str">
        <f t="shared" si="563"/>
        <v>2022.008P.Caulimoviridae_rename.zip</v>
      </c>
      <c r="U13509" s="29" t="str">
        <f>HYPERLINK("https://ictv.global/taxonomy/taxondetails?taxnode_id=202302852","ictv.global=202302852")</f>
        <v>ictv.global=202302852</v>
      </c>
    </row>
    <row r="13510" spans="1:21">
      <c r="A13510">
        <v>13509</v>
      </c>
      <c r="B13510" s="30" t="s">
        <v>1226</v>
      </c>
      <c r="D13510" s="30" t="s">
        <v>2134</v>
      </c>
      <c r="F13510" s="30" t="s">
        <v>2135</v>
      </c>
      <c r="H13510" s="30" t="s">
        <v>2136</v>
      </c>
      <c r="J13510" s="30" t="s">
        <v>945</v>
      </c>
      <c r="L13510" s="30" t="s">
        <v>474</v>
      </c>
      <c r="N13510" s="30" t="s">
        <v>475</v>
      </c>
      <c r="P13510" s="30" t="s">
        <v>11191</v>
      </c>
      <c r="Q13510" t="s">
        <v>734</v>
      </c>
      <c r="R13510" t="s">
        <v>920</v>
      </c>
      <c r="S13510">
        <v>38</v>
      </c>
      <c r="T13510" s="29" t="str">
        <f t="shared" si="563"/>
        <v>2022.008P.Caulimoviridae_rename.zip</v>
      </c>
      <c r="U13510" s="29" t="str">
        <f>HYPERLINK("https://ictv.global/taxonomy/taxondetails?taxnode_id=202302821","ictv.global=202302821")</f>
        <v>ictv.global=202302821</v>
      </c>
    </row>
    <row r="13511" spans="1:21">
      <c r="A13511">
        <v>13510</v>
      </c>
      <c r="B13511" s="30" t="s">
        <v>1226</v>
      </c>
      <c r="D13511" s="30" t="s">
        <v>2134</v>
      </c>
      <c r="F13511" s="30" t="s">
        <v>2135</v>
      </c>
      <c r="H13511" s="30" t="s">
        <v>2136</v>
      </c>
      <c r="J13511" s="30" t="s">
        <v>945</v>
      </c>
      <c r="L13511" s="30" t="s">
        <v>474</v>
      </c>
      <c r="N13511" s="30" t="s">
        <v>475</v>
      </c>
      <c r="P13511" s="30" t="s">
        <v>18359</v>
      </c>
      <c r="Q13511" t="s">
        <v>13939</v>
      </c>
      <c r="R13511" t="s">
        <v>917</v>
      </c>
      <c r="S13511">
        <v>39</v>
      </c>
      <c r="T13511" s="29" t="str">
        <f>HYPERLINK("https://ictv.global/ictv/proposals/2023.017P.Caulimoviridae_6nsp.zip","2023.017P.Caulimoviridae_6nsp.zip")</f>
        <v>2023.017P.Caulimoviridae_6nsp.zip</v>
      </c>
      <c r="U13511" s="29" t="str">
        <f>HYPERLINK("https://ictv.global/taxonomy/taxondetails?taxnode_id=202318293","ictv.global=202318293")</f>
        <v>ictv.global=202318293</v>
      </c>
    </row>
    <row r="13512" spans="1:21">
      <c r="A13512">
        <v>13511</v>
      </c>
      <c r="B13512" s="30" t="s">
        <v>1226</v>
      </c>
      <c r="D13512" s="30" t="s">
        <v>2134</v>
      </c>
      <c r="F13512" s="30" t="s">
        <v>2135</v>
      </c>
      <c r="H13512" s="30" t="s">
        <v>2136</v>
      </c>
      <c r="J13512" s="30" t="s">
        <v>945</v>
      </c>
      <c r="L13512" s="30" t="s">
        <v>474</v>
      </c>
      <c r="N13512" s="30" t="s">
        <v>475</v>
      </c>
      <c r="P13512" s="30" t="s">
        <v>11192</v>
      </c>
      <c r="Q13512" t="s">
        <v>734</v>
      </c>
      <c r="R13512" t="s">
        <v>920</v>
      </c>
      <c r="S13512">
        <v>38</v>
      </c>
      <c r="T13512" s="29" t="str">
        <f t="shared" ref="T13512:T13537" si="564">HYPERLINK("https://ictv.global/ictv/proposals/2022.008P.Caulimoviridae_rename.zip","2022.008P.Caulimoviridae_rename.zip")</f>
        <v>2022.008P.Caulimoviridae_rename.zip</v>
      </c>
      <c r="U13512" s="29" t="str">
        <f>HYPERLINK("https://ictv.global/taxonomy/taxondetails?taxnode_id=202302840","ictv.global=202302840")</f>
        <v>ictv.global=202302840</v>
      </c>
    </row>
    <row r="13513" spans="1:21">
      <c r="A13513">
        <v>13512</v>
      </c>
      <c r="B13513" s="30" t="s">
        <v>1226</v>
      </c>
      <c r="D13513" s="30" t="s">
        <v>2134</v>
      </c>
      <c r="F13513" s="30" t="s">
        <v>2135</v>
      </c>
      <c r="H13513" s="30" t="s">
        <v>2136</v>
      </c>
      <c r="J13513" s="30" t="s">
        <v>945</v>
      </c>
      <c r="L13513" s="30" t="s">
        <v>474</v>
      </c>
      <c r="N13513" s="30" t="s">
        <v>475</v>
      </c>
      <c r="P13513" s="30" t="s">
        <v>11193</v>
      </c>
      <c r="Q13513" t="s">
        <v>734</v>
      </c>
      <c r="R13513" t="s">
        <v>920</v>
      </c>
      <c r="S13513">
        <v>38</v>
      </c>
      <c r="T13513" s="29" t="str">
        <f t="shared" si="564"/>
        <v>2022.008P.Caulimoviridae_rename.zip</v>
      </c>
      <c r="U13513" s="29" t="str">
        <f>HYPERLINK("https://ictv.global/taxonomy/taxondetails?taxnode_id=202305763","ictv.global=202305763")</f>
        <v>ictv.global=202305763</v>
      </c>
    </row>
    <row r="13514" spans="1:21">
      <c r="A13514">
        <v>13513</v>
      </c>
      <c r="B13514" s="30" t="s">
        <v>1226</v>
      </c>
      <c r="D13514" s="30" t="s">
        <v>2134</v>
      </c>
      <c r="F13514" s="30" t="s">
        <v>2135</v>
      </c>
      <c r="H13514" s="30" t="s">
        <v>2136</v>
      </c>
      <c r="J13514" s="30" t="s">
        <v>945</v>
      </c>
      <c r="L13514" s="30" t="s">
        <v>474</v>
      </c>
      <c r="N13514" s="30" t="s">
        <v>475</v>
      </c>
      <c r="P13514" s="30" t="s">
        <v>11194</v>
      </c>
      <c r="Q13514" t="s">
        <v>734</v>
      </c>
      <c r="R13514" t="s">
        <v>920</v>
      </c>
      <c r="S13514">
        <v>38</v>
      </c>
      <c r="T13514" s="29" t="str">
        <f t="shared" si="564"/>
        <v>2022.008P.Caulimoviridae_rename.zip</v>
      </c>
      <c r="U13514" s="29" t="str">
        <f>HYPERLINK("https://ictv.global/taxonomy/taxondetails?taxnode_id=202306645","ictv.global=202306645")</f>
        <v>ictv.global=202306645</v>
      </c>
    </row>
    <row r="13515" spans="1:21">
      <c r="A13515">
        <v>13514</v>
      </c>
      <c r="B13515" s="30" t="s">
        <v>1226</v>
      </c>
      <c r="D13515" s="30" t="s">
        <v>2134</v>
      </c>
      <c r="F13515" s="30" t="s">
        <v>2135</v>
      </c>
      <c r="H13515" s="30" t="s">
        <v>2136</v>
      </c>
      <c r="J13515" s="30" t="s">
        <v>945</v>
      </c>
      <c r="L13515" s="30" t="s">
        <v>474</v>
      </c>
      <c r="N13515" s="30" t="s">
        <v>475</v>
      </c>
      <c r="P13515" s="30" t="s">
        <v>11195</v>
      </c>
      <c r="Q13515" t="s">
        <v>734</v>
      </c>
      <c r="R13515" t="s">
        <v>920</v>
      </c>
      <c r="S13515">
        <v>38</v>
      </c>
      <c r="T13515" s="29" t="str">
        <f t="shared" si="564"/>
        <v>2022.008P.Caulimoviridae_rename.zip</v>
      </c>
      <c r="U13515" s="29" t="str">
        <f>HYPERLINK("https://ictv.global/taxonomy/taxondetails?taxnode_id=202302854","ictv.global=202302854")</f>
        <v>ictv.global=202302854</v>
      </c>
    </row>
    <row r="13516" spans="1:21">
      <c r="A13516">
        <v>13515</v>
      </c>
      <c r="B13516" s="30" t="s">
        <v>1226</v>
      </c>
      <c r="D13516" s="30" t="s">
        <v>2134</v>
      </c>
      <c r="F13516" s="30" t="s">
        <v>2135</v>
      </c>
      <c r="H13516" s="30" t="s">
        <v>2136</v>
      </c>
      <c r="J13516" s="30" t="s">
        <v>945</v>
      </c>
      <c r="L13516" s="30" t="s">
        <v>474</v>
      </c>
      <c r="N13516" s="30" t="s">
        <v>475</v>
      </c>
      <c r="P13516" s="30" t="s">
        <v>11196</v>
      </c>
      <c r="Q13516" t="s">
        <v>734</v>
      </c>
      <c r="R13516" t="s">
        <v>920</v>
      </c>
      <c r="S13516">
        <v>38</v>
      </c>
      <c r="T13516" s="29" t="str">
        <f t="shared" si="564"/>
        <v>2022.008P.Caulimoviridae_rename.zip</v>
      </c>
      <c r="U13516" s="29" t="str">
        <f>HYPERLINK("https://ictv.global/taxonomy/taxondetails?taxnode_id=202302823","ictv.global=202302823")</f>
        <v>ictv.global=202302823</v>
      </c>
    </row>
    <row r="13517" spans="1:21">
      <c r="A13517">
        <v>13516</v>
      </c>
      <c r="B13517" s="30" t="s">
        <v>1226</v>
      </c>
      <c r="D13517" s="30" t="s">
        <v>2134</v>
      </c>
      <c r="F13517" s="30" t="s">
        <v>2135</v>
      </c>
      <c r="H13517" s="30" t="s">
        <v>2136</v>
      </c>
      <c r="J13517" s="30" t="s">
        <v>945</v>
      </c>
      <c r="L13517" s="30" t="s">
        <v>474</v>
      </c>
      <c r="N13517" s="30" t="s">
        <v>475</v>
      </c>
      <c r="P13517" s="30" t="s">
        <v>11197</v>
      </c>
      <c r="Q13517" t="s">
        <v>734</v>
      </c>
      <c r="R13517" t="s">
        <v>920</v>
      </c>
      <c r="S13517">
        <v>38</v>
      </c>
      <c r="T13517" s="29" t="str">
        <f t="shared" si="564"/>
        <v>2022.008P.Caulimoviridae_rename.zip</v>
      </c>
      <c r="U13517" s="29" t="str">
        <f>HYPERLINK("https://ictv.global/taxonomy/taxondetails?taxnode_id=202305764","ictv.global=202305764")</f>
        <v>ictv.global=202305764</v>
      </c>
    </row>
    <row r="13518" spans="1:21">
      <c r="A13518">
        <v>13517</v>
      </c>
      <c r="B13518" s="30" t="s">
        <v>1226</v>
      </c>
      <c r="D13518" s="30" t="s">
        <v>2134</v>
      </c>
      <c r="F13518" s="30" t="s">
        <v>2135</v>
      </c>
      <c r="H13518" s="30" t="s">
        <v>2136</v>
      </c>
      <c r="J13518" s="30" t="s">
        <v>945</v>
      </c>
      <c r="L13518" s="30" t="s">
        <v>474</v>
      </c>
      <c r="N13518" s="30" t="s">
        <v>475</v>
      </c>
      <c r="P13518" s="30" t="s">
        <v>11198</v>
      </c>
      <c r="Q13518" t="s">
        <v>734</v>
      </c>
      <c r="R13518" t="s">
        <v>920</v>
      </c>
      <c r="S13518">
        <v>38</v>
      </c>
      <c r="T13518" s="29" t="str">
        <f t="shared" si="564"/>
        <v>2022.008P.Caulimoviridae_rename.zip</v>
      </c>
      <c r="U13518" s="29" t="str">
        <f>HYPERLINK("https://ictv.global/taxonomy/taxondetails?taxnode_id=202306646","ictv.global=202306646")</f>
        <v>ictv.global=202306646</v>
      </c>
    </row>
    <row r="13519" spans="1:21">
      <c r="A13519">
        <v>13518</v>
      </c>
      <c r="B13519" s="30" t="s">
        <v>1226</v>
      </c>
      <c r="D13519" s="30" t="s">
        <v>2134</v>
      </c>
      <c r="F13519" s="30" t="s">
        <v>2135</v>
      </c>
      <c r="H13519" s="30" t="s">
        <v>2136</v>
      </c>
      <c r="J13519" s="30" t="s">
        <v>945</v>
      </c>
      <c r="L13519" s="30" t="s">
        <v>474</v>
      </c>
      <c r="N13519" s="30" t="s">
        <v>475</v>
      </c>
      <c r="P13519" s="30" t="s">
        <v>11199</v>
      </c>
      <c r="Q13519" t="s">
        <v>734</v>
      </c>
      <c r="R13519" t="s">
        <v>920</v>
      </c>
      <c r="S13519">
        <v>38</v>
      </c>
      <c r="T13519" s="29" t="str">
        <f t="shared" si="564"/>
        <v>2022.008P.Caulimoviridae_rename.zip</v>
      </c>
      <c r="U13519" s="29" t="str">
        <f>HYPERLINK("https://ictv.global/taxonomy/taxondetails?taxnode_id=202302824","ictv.global=202302824")</f>
        <v>ictv.global=202302824</v>
      </c>
    </row>
    <row r="13520" spans="1:21">
      <c r="A13520">
        <v>13519</v>
      </c>
      <c r="B13520" s="30" t="s">
        <v>1226</v>
      </c>
      <c r="D13520" s="30" t="s">
        <v>2134</v>
      </c>
      <c r="F13520" s="30" t="s">
        <v>2135</v>
      </c>
      <c r="H13520" s="30" t="s">
        <v>2136</v>
      </c>
      <c r="J13520" s="30" t="s">
        <v>945</v>
      </c>
      <c r="L13520" s="30" t="s">
        <v>474</v>
      </c>
      <c r="N13520" s="30" t="s">
        <v>475</v>
      </c>
      <c r="P13520" s="30" t="s">
        <v>11200</v>
      </c>
      <c r="Q13520" t="s">
        <v>734</v>
      </c>
      <c r="R13520" t="s">
        <v>920</v>
      </c>
      <c r="S13520">
        <v>38</v>
      </c>
      <c r="T13520" s="29" t="str">
        <f t="shared" si="564"/>
        <v>2022.008P.Caulimoviridae_rename.zip</v>
      </c>
      <c r="U13520" s="29" t="str">
        <f>HYPERLINK("https://ictv.global/taxonomy/taxondetails?taxnode_id=202302837","ictv.global=202302837")</f>
        <v>ictv.global=202302837</v>
      </c>
    </row>
    <row r="13521" spans="1:21">
      <c r="A13521">
        <v>13520</v>
      </c>
      <c r="B13521" s="30" t="s">
        <v>1226</v>
      </c>
      <c r="D13521" s="30" t="s">
        <v>2134</v>
      </c>
      <c r="F13521" s="30" t="s">
        <v>2135</v>
      </c>
      <c r="H13521" s="30" t="s">
        <v>2136</v>
      </c>
      <c r="J13521" s="30" t="s">
        <v>945</v>
      </c>
      <c r="L13521" s="30" t="s">
        <v>474</v>
      </c>
      <c r="N13521" s="30" t="s">
        <v>475</v>
      </c>
      <c r="P13521" s="30" t="s">
        <v>11201</v>
      </c>
      <c r="Q13521" t="s">
        <v>734</v>
      </c>
      <c r="R13521" t="s">
        <v>920</v>
      </c>
      <c r="S13521">
        <v>38</v>
      </c>
      <c r="T13521" s="29" t="str">
        <f t="shared" si="564"/>
        <v>2022.008P.Caulimoviridae_rename.zip</v>
      </c>
      <c r="U13521" s="29" t="str">
        <f>HYPERLINK("https://ictv.global/taxonomy/taxondetails?taxnode_id=202302832","ictv.global=202302832")</f>
        <v>ictv.global=202302832</v>
      </c>
    </row>
    <row r="13522" spans="1:21">
      <c r="A13522">
        <v>13521</v>
      </c>
      <c r="B13522" s="30" t="s">
        <v>1226</v>
      </c>
      <c r="D13522" s="30" t="s">
        <v>2134</v>
      </c>
      <c r="F13522" s="30" t="s">
        <v>2135</v>
      </c>
      <c r="H13522" s="30" t="s">
        <v>2136</v>
      </c>
      <c r="J13522" s="30" t="s">
        <v>945</v>
      </c>
      <c r="L13522" s="30" t="s">
        <v>474</v>
      </c>
      <c r="N13522" s="30" t="s">
        <v>475</v>
      </c>
      <c r="P13522" s="30" t="s">
        <v>11202</v>
      </c>
      <c r="Q13522" t="s">
        <v>734</v>
      </c>
      <c r="R13522" t="s">
        <v>920</v>
      </c>
      <c r="S13522">
        <v>38</v>
      </c>
      <c r="T13522" s="29" t="str">
        <f t="shared" si="564"/>
        <v>2022.008P.Caulimoviridae_rename.zip</v>
      </c>
      <c r="U13522" s="29" t="str">
        <f>HYPERLINK("https://ictv.global/taxonomy/taxondetails?taxnode_id=202302826","ictv.global=202302826")</f>
        <v>ictv.global=202302826</v>
      </c>
    </row>
    <row r="13523" spans="1:21">
      <c r="A13523">
        <v>13522</v>
      </c>
      <c r="B13523" s="30" t="s">
        <v>1226</v>
      </c>
      <c r="D13523" s="30" t="s">
        <v>2134</v>
      </c>
      <c r="F13523" s="30" t="s">
        <v>2135</v>
      </c>
      <c r="H13523" s="30" t="s">
        <v>2136</v>
      </c>
      <c r="J13523" s="30" t="s">
        <v>945</v>
      </c>
      <c r="L13523" s="30" t="s">
        <v>474</v>
      </c>
      <c r="N13523" s="30" t="s">
        <v>475</v>
      </c>
      <c r="P13523" s="30" t="s">
        <v>11203</v>
      </c>
      <c r="Q13523" t="s">
        <v>734</v>
      </c>
      <c r="R13523" t="s">
        <v>920</v>
      </c>
      <c r="S13523">
        <v>38</v>
      </c>
      <c r="T13523" s="29" t="str">
        <f t="shared" si="564"/>
        <v>2022.008P.Caulimoviridae_rename.zip</v>
      </c>
      <c r="U13523" s="29" t="str">
        <f>HYPERLINK("https://ictv.global/taxonomy/taxondetails?taxnode_id=202302838","ictv.global=202302838")</f>
        <v>ictv.global=202302838</v>
      </c>
    </row>
    <row r="13524" spans="1:21">
      <c r="A13524">
        <v>13523</v>
      </c>
      <c r="B13524" s="30" t="s">
        <v>1226</v>
      </c>
      <c r="D13524" s="30" t="s">
        <v>2134</v>
      </c>
      <c r="F13524" s="30" t="s">
        <v>2135</v>
      </c>
      <c r="H13524" s="30" t="s">
        <v>2136</v>
      </c>
      <c r="J13524" s="30" t="s">
        <v>945</v>
      </c>
      <c r="L13524" s="30" t="s">
        <v>474</v>
      </c>
      <c r="N13524" s="30" t="s">
        <v>475</v>
      </c>
      <c r="P13524" s="30" t="s">
        <v>11204</v>
      </c>
      <c r="Q13524" t="s">
        <v>734</v>
      </c>
      <c r="R13524" t="s">
        <v>920</v>
      </c>
      <c r="S13524">
        <v>38</v>
      </c>
      <c r="T13524" s="29" t="str">
        <f t="shared" si="564"/>
        <v>2022.008P.Caulimoviridae_rename.zip</v>
      </c>
      <c r="U13524" s="29" t="str">
        <f>HYPERLINK("https://ictv.global/taxonomy/taxondetails?taxnode_id=202306649","ictv.global=202306649")</f>
        <v>ictv.global=202306649</v>
      </c>
    </row>
    <row r="13525" spans="1:21">
      <c r="A13525">
        <v>13524</v>
      </c>
      <c r="B13525" s="30" t="s">
        <v>1226</v>
      </c>
      <c r="D13525" s="30" t="s">
        <v>2134</v>
      </c>
      <c r="F13525" s="30" t="s">
        <v>2135</v>
      </c>
      <c r="H13525" s="30" t="s">
        <v>2136</v>
      </c>
      <c r="J13525" s="30" t="s">
        <v>945</v>
      </c>
      <c r="L13525" s="30" t="s">
        <v>474</v>
      </c>
      <c r="N13525" s="30" t="s">
        <v>475</v>
      </c>
      <c r="P13525" s="30" t="s">
        <v>11205</v>
      </c>
      <c r="Q13525" t="s">
        <v>734</v>
      </c>
      <c r="R13525" t="s">
        <v>920</v>
      </c>
      <c r="S13525">
        <v>38</v>
      </c>
      <c r="T13525" s="29" t="str">
        <f t="shared" si="564"/>
        <v>2022.008P.Caulimoviridae_rename.zip</v>
      </c>
      <c r="U13525" s="29" t="str">
        <f>HYPERLINK("https://ictv.global/taxonomy/taxondetails?taxnode_id=202306644","ictv.global=202306644")</f>
        <v>ictv.global=202306644</v>
      </c>
    </row>
    <row r="13526" spans="1:21">
      <c r="A13526">
        <v>13525</v>
      </c>
      <c r="B13526" s="30" t="s">
        <v>1226</v>
      </c>
      <c r="D13526" s="30" t="s">
        <v>2134</v>
      </c>
      <c r="F13526" s="30" t="s">
        <v>2135</v>
      </c>
      <c r="H13526" s="30" t="s">
        <v>2136</v>
      </c>
      <c r="J13526" s="30" t="s">
        <v>945</v>
      </c>
      <c r="L13526" s="30" t="s">
        <v>474</v>
      </c>
      <c r="N13526" s="30" t="s">
        <v>475</v>
      </c>
      <c r="P13526" s="30" t="s">
        <v>11206</v>
      </c>
      <c r="Q13526" t="s">
        <v>734</v>
      </c>
      <c r="R13526" t="s">
        <v>920</v>
      </c>
      <c r="S13526">
        <v>38</v>
      </c>
      <c r="T13526" s="29" t="str">
        <f t="shared" si="564"/>
        <v>2022.008P.Caulimoviridae_rename.zip</v>
      </c>
      <c r="U13526" s="29" t="str">
        <f>HYPERLINK("https://ictv.global/taxonomy/taxondetails?taxnode_id=202302853","ictv.global=202302853")</f>
        <v>ictv.global=202302853</v>
      </c>
    </row>
    <row r="13527" spans="1:21">
      <c r="A13527">
        <v>13526</v>
      </c>
      <c r="B13527" s="30" t="s">
        <v>1226</v>
      </c>
      <c r="D13527" s="30" t="s">
        <v>2134</v>
      </c>
      <c r="F13527" s="30" t="s">
        <v>2135</v>
      </c>
      <c r="H13527" s="30" t="s">
        <v>2136</v>
      </c>
      <c r="J13527" s="30" t="s">
        <v>945</v>
      </c>
      <c r="L13527" s="30" t="s">
        <v>474</v>
      </c>
      <c r="N13527" s="30" t="s">
        <v>475</v>
      </c>
      <c r="P13527" s="30" t="s">
        <v>11207</v>
      </c>
      <c r="Q13527" t="s">
        <v>734</v>
      </c>
      <c r="R13527" t="s">
        <v>920</v>
      </c>
      <c r="S13527">
        <v>38</v>
      </c>
      <c r="T13527" s="29" t="str">
        <f t="shared" si="564"/>
        <v>2022.008P.Caulimoviridae_rename.zip</v>
      </c>
      <c r="U13527" s="29" t="str">
        <f>HYPERLINK("https://ictv.global/taxonomy/taxondetails?taxnode_id=202302822","ictv.global=202302822")</f>
        <v>ictv.global=202302822</v>
      </c>
    </row>
    <row r="13528" spans="1:21">
      <c r="A13528">
        <v>13527</v>
      </c>
      <c r="B13528" s="30" t="s">
        <v>1226</v>
      </c>
      <c r="D13528" s="30" t="s">
        <v>2134</v>
      </c>
      <c r="F13528" s="30" t="s">
        <v>2135</v>
      </c>
      <c r="H13528" s="30" t="s">
        <v>2136</v>
      </c>
      <c r="J13528" s="30" t="s">
        <v>945</v>
      </c>
      <c r="L13528" s="30" t="s">
        <v>474</v>
      </c>
      <c r="N13528" s="30" t="s">
        <v>475</v>
      </c>
      <c r="P13528" s="30" t="s">
        <v>11208</v>
      </c>
      <c r="Q13528" t="s">
        <v>734</v>
      </c>
      <c r="R13528" t="s">
        <v>920</v>
      </c>
      <c r="S13528">
        <v>38</v>
      </c>
      <c r="T13528" s="29" t="str">
        <f t="shared" si="564"/>
        <v>2022.008P.Caulimoviridae_rename.zip</v>
      </c>
      <c r="U13528" s="29" t="str">
        <f>HYPERLINK("https://ictv.global/taxonomy/taxondetails?taxnode_id=202302828","ictv.global=202302828")</f>
        <v>ictv.global=202302828</v>
      </c>
    </row>
    <row r="13529" spans="1:21">
      <c r="A13529">
        <v>13528</v>
      </c>
      <c r="B13529" s="30" t="s">
        <v>1226</v>
      </c>
      <c r="D13529" s="30" t="s">
        <v>2134</v>
      </c>
      <c r="F13529" s="30" t="s">
        <v>2135</v>
      </c>
      <c r="H13529" s="30" t="s">
        <v>2136</v>
      </c>
      <c r="J13529" s="30" t="s">
        <v>945</v>
      </c>
      <c r="L13529" s="30" t="s">
        <v>474</v>
      </c>
      <c r="N13529" s="30" t="s">
        <v>475</v>
      </c>
      <c r="P13529" s="30" t="s">
        <v>11209</v>
      </c>
      <c r="Q13529" t="s">
        <v>734</v>
      </c>
      <c r="R13529" t="s">
        <v>920</v>
      </c>
      <c r="S13529">
        <v>38</v>
      </c>
      <c r="T13529" s="29" t="str">
        <f t="shared" si="564"/>
        <v>2022.008P.Caulimoviridae_rename.zip</v>
      </c>
      <c r="U13529" s="29" t="str">
        <f>HYPERLINK("https://ictv.global/taxonomy/taxondetails?taxnode_id=202302835","ictv.global=202302835")</f>
        <v>ictv.global=202302835</v>
      </c>
    </row>
    <row r="13530" spans="1:21">
      <c r="A13530">
        <v>13529</v>
      </c>
      <c r="B13530" s="30" t="s">
        <v>1226</v>
      </c>
      <c r="D13530" s="30" t="s">
        <v>2134</v>
      </c>
      <c r="F13530" s="30" t="s">
        <v>2135</v>
      </c>
      <c r="H13530" s="30" t="s">
        <v>2136</v>
      </c>
      <c r="J13530" s="30" t="s">
        <v>945</v>
      </c>
      <c r="L13530" s="30" t="s">
        <v>474</v>
      </c>
      <c r="N13530" s="30" t="s">
        <v>475</v>
      </c>
      <c r="P13530" s="30" t="s">
        <v>11210</v>
      </c>
      <c r="Q13530" t="s">
        <v>734</v>
      </c>
      <c r="R13530" t="s">
        <v>920</v>
      </c>
      <c r="S13530">
        <v>38</v>
      </c>
      <c r="T13530" s="29" t="str">
        <f t="shared" si="564"/>
        <v>2022.008P.Caulimoviridae_rename.zip</v>
      </c>
      <c r="U13530" s="29" t="str">
        <f>HYPERLINK("https://ictv.global/taxonomy/taxondetails?taxnode_id=202308837","ictv.global=202308837")</f>
        <v>ictv.global=202308837</v>
      </c>
    </row>
    <row r="13531" spans="1:21">
      <c r="A13531">
        <v>13530</v>
      </c>
      <c r="B13531" s="30" t="s">
        <v>1226</v>
      </c>
      <c r="D13531" s="30" t="s">
        <v>2134</v>
      </c>
      <c r="F13531" s="30" t="s">
        <v>2135</v>
      </c>
      <c r="H13531" s="30" t="s">
        <v>2136</v>
      </c>
      <c r="J13531" s="30" t="s">
        <v>945</v>
      </c>
      <c r="L13531" s="30" t="s">
        <v>474</v>
      </c>
      <c r="N13531" s="30" t="s">
        <v>475</v>
      </c>
      <c r="P13531" s="30" t="s">
        <v>11211</v>
      </c>
      <c r="Q13531" t="s">
        <v>734</v>
      </c>
      <c r="R13531" t="s">
        <v>920</v>
      </c>
      <c r="S13531">
        <v>38</v>
      </c>
      <c r="T13531" s="29" t="str">
        <f t="shared" si="564"/>
        <v>2022.008P.Caulimoviridae_rename.zip</v>
      </c>
      <c r="U13531" s="29" t="str">
        <f>HYPERLINK("https://ictv.global/taxonomy/taxondetails?taxnode_id=202308838","ictv.global=202308838")</f>
        <v>ictv.global=202308838</v>
      </c>
    </row>
    <row r="13532" spans="1:21">
      <c r="A13532">
        <v>13531</v>
      </c>
      <c r="B13532" s="30" t="s">
        <v>1226</v>
      </c>
      <c r="D13532" s="30" t="s">
        <v>2134</v>
      </c>
      <c r="F13532" s="30" t="s">
        <v>2135</v>
      </c>
      <c r="H13532" s="30" t="s">
        <v>2136</v>
      </c>
      <c r="J13532" s="30" t="s">
        <v>945</v>
      </c>
      <c r="L13532" s="30" t="s">
        <v>474</v>
      </c>
      <c r="N13532" s="30" t="s">
        <v>475</v>
      </c>
      <c r="P13532" s="30" t="s">
        <v>11212</v>
      </c>
      <c r="Q13532" t="s">
        <v>734</v>
      </c>
      <c r="R13532" t="s">
        <v>920</v>
      </c>
      <c r="S13532">
        <v>38</v>
      </c>
      <c r="T13532" s="29" t="str">
        <f t="shared" si="564"/>
        <v>2022.008P.Caulimoviridae_rename.zip</v>
      </c>
      <c r="U13532" s="29" t="str">
        <f>HYPERLINK("https://ictv.global/taxonomy/taxondetails?taxnode_id=202308841","ictv.global=202308841")</f>
        <v>ictv.global=202308841</v>
      </c>
    </row>
    <row r="13533" spans="1:21">
      <c r="A13533">
        <v>13532</v>
      </c>
      <c r="B13533" s="30" t="s">
        <v>1226</v>
      </c>
      <c r="D13533" s="30" t="s">
        <v>2134</v>
      </c>
      <c r="F13533" s="30" t="s">
        <v>2135</v>
      </c>
      <c r="H13533" s="30" t="s">
        <v>2136</v>
      </c>
      <c r="J13533" s="30" t="s">
        <v>945</v>
      </c>
      <c r="L13533" s="30" t="s">
        <v>474</v>
      </c>
      <c r="N13533" s="30" t="s">
        <v>475</v>
      </c>
      <c r="P13533" s="30" t="s">
        <v>11213</v>
      </c>
      <c r="Q13533" t="s">
        <v>734</v>
      </c>
      <c r="R13533" t="s">
        <v>920</v>
      </c>
      <c r="S13533">
        <v>38</v>
      </c>
      <c r="T13533" s="29" t="str">
        <f t="shared" si="564"/>
        <v>2022.008P.Caulimoviridae_rename.zip</v>
      </c>
      <c r="U13533" s="29" t="str">
        <f>HYPERLINK("https://ictv.global/taxonomy/taxondetails?taxnode_id=202302842","ictv.global=202302842")</f>
        <v>ictv.global=202302842</v>
      </c>
    </row>
    <row r="13534" spans="1:21">
      <c r="A13534">
        <v>13533</v>
      </c>
      <c r="B13534" s="30" t="s">
        <v>1226</v>
      </c>
      <c r="D13534" s="30" t="s">
        <v>2134</v>
      </c>
      <c r="F13534" s="30" t="s">
        <v>2135</v>
      </c>
      <c r="H13534" s="30" t="s">
        <v>2136</v>
      </c>
      <c r="J13534" s="30" t="s">
        <v>945</v>
      </c>
      <c r="L13534" s="30" t="s">
        <v>474</v>
      </c>
      <c r="N13534" s="30" t="s">
        <v>475</v>
      </c>
      <c r="P13534" s="30" t="s">
        <v>11214</v>
      </c>
      <c r="Q13534" t="s">
        <v>734</v>
      </c>
      <c r="R13534" t="s">
        <v>920</v>
      </c>
      <c r="S13534">
        <v>38</v>
      </c>
      <c r="T13534" s="29" t="str">
        <f t="shared" si="564"/>
        <v>2022.008P.Caulimoviridae_rename.zip</v>
      </c>
      <c r="U13534" s="29" t="str">
        <f>HYPERLINK("https://ictv.global/taxonomy/taxondetails?taxnode_id=202302847","ictv.global=202302847")</f>
        <v>ictv.global=202302847</v>
      </c>
    </row>
    <row r="13535" spans="1:21">
      <c r="A13535">
        <v>13534</v>
      </c>
      <c r="B13535" s="30" t="s">
        <v>1226</v>
      </c>
      <c r="D13535" s="30" t="s">
        <v>2134</v>
      </c>
      <c r="F13535" s="30" t="s">
        <v>2135</v>
      </c>
      <c r="H13535" s="30" t="s">
        <v>2136</v>
      </c>
      <c r="J13535" s="30" t="s">
        <v>945</v>
      </c>
      <c r="L13535" s="30" t="s">
        <v>474</v>
      </c>
      <c r="N13535" s="30" t="s">
        <v>475</v>
      </c>
      <c r="P13535" s="30" t="s">
        <v>11215</v>
      </c>
      <c r="Q13535" t="s">
        <v>734</v>
      </c>
      <c r="R13535" t="s">
        <v>920</v>
      </c>
      <c r="S13535">
        <v>38</v>
      </c>
      <c r="T13535" s="29" t="str">
        <f t="shared" si="564"/>
        <v>2022.008P.Caulimoviridae_rename.zip</v>
      </c>
      <c r="U13535" s="29" t="str">
        <f>HYPERLINK("https://ictv.global/taxonomy/taxondetails?taxnode_id=202302858","ictv.global=202302858")</f>
        <v>ictv.global=202302858</v>
      </c>
    </row>
    <row r="13536" spans="1:21">
      <c r="A13536">
        <v>13535</v>
      </c>
      <c r="B13536" s="30" t="s">
        <v>1226</v>
      </c>
      <c r="D13536" s="30" t="s">
        <v>2134</v>
      </c>
      <c r="F13536" s="30" t="s">
        <v>2135</v>
      </c>
      <c r="H13536" s="30" t="s">
        <v>2136</v>
      </c>
      <c r="J13536" s="30" t="s">
        <v>945</v>
      </c>
      <c r="L13536" s="30" t="s">
        <v>474</v>
      </c>
      <c r="N13536" s="30" t="s">
        <v>475</v>
      </c>
      <c r="P13536" s="30" t="s">
        <v>11216</v>
      </c>
      <c r="Q13536" t="s">
        <v>734</v>
      </c>
      <c r="R13536" t="s">
        <v>920</v>
      </c>
      <c r="S13536">
        <v>38</v>
      </c>
      <c r="T13536" s="29" t="str">
        <f t="shared" si="564"/>
        <v>2022.008P.Caulimoviridae_rename.zip</v>
      </c>
      <c r="U13536" s="29" t="str">
        <f>HYPERLINK("https://ictv.global/taxonomy/taxondetails?taxnode_id=202302850","ictv.global=202302850")</f>
        <v>ictv.global=202302850</v>
      </c>
    </row>
    <row r="13537" spans="1:21">
      <c r="A13537">
        <v>13536</v>
      </c>
      <c r="B13537" s="30" t="s">
        <v>1226</v>
      </c>
      <c r="D13537" s="30" t="s">
        <v>2134</v>
      </c>
      <c r="F13537" s="30" t="s">
        <v>2135</v>
      </c>
      <c r="H13537" s="30" t="s">
        <v>2136</v>
      </c>
      <c r="J13537" s="30" t="s">
        <v>945</v>
      </c>
      <c r="L13537" s="30" t="s">
        <v>474</v>
      </c>
      <c r="N13537" s="30" t="s">
        <v>475</v>
      </c>
      <c r="P13537" s="30" t="s">
        <v>11217</v>
      </c>
      <c r="Q13537" t="s">
        <v>619</v>
      </c>
      <c r="R13537" t="s">
        <v>920</v>
      </c>
      <c r="S13537">
        <v>38</v>
      </c>
      <c r="T13537" s="29" t="str">
        <f t="shared" si="564"/>
        <v>2022.008P.Caulimoviridae_rename.zip</v>
      </c>
      <c r="U13537" s="29" t="str">
        <f>HYPERLINK("https://ictv.global/taxonomy/taxondetails?taxnode_id=202313831","ictv.global=202313831")</f>
        <v>ictv.global=202313831</v>
      </c>
    </row>
    <row r="13538" spans="1:21">
      <c r="A13538">
        <v>13537</v>
      </c>
      <c r="B13538" s="30" t="s">
        <v>1226</v>
      </c>
      <c r="D13538" s="30" t="s">
        <v>2134</v>
      </c>
      <c r="F13538" s="30" t="s">
        <v>2135</v>
      </c>
      <c r="H13538" s="30" t="s">
        <v>2136</v>
      </c>
      <c r="J13538" s="30" t="s">
        <v>945</v>
      </c>
      <c r="L13538" s="30" t="s">
        <v>474</v>
      </c>
      <c r="N13538" s="30" t="s">
        <v>475</v>
      </c>
      <c r="P13538" s="30" t="s">
        <v>11218</v>
      </c>
      <c r="Q13538" t="s">
        <v>619</v>
      </c>
      <c r="R13538" t="s">
        <v>917</v>
      </c>
      <c r="S13538">
        <v>38</v>
      </c>
      <c r="T13538" s="29" t="str">
        <f>HYPERLINK("https://ictv.global/ictv/proposals/2022.007P.Caulimoviridae_4ns.zip","2022.007P.Caulimoviridae_4ns.zip")</f>
        <v>2022.007P.Caulimoviridae_4ns.zip</v>
      </c>
      <c r="U13538" s="29" t="str">
        <f>HYPERLINK("https://ictv.global/taxonomy/taxondetails?taxnode_id=202315099","ictv.global=202315099")</f>
        <v>ictv.global=202315099</v>
      </c>
    </row>
    <row r="13539" spans="1:21">
      <c r="A13539">
        <v>13538</v>
      </c>
      <c r="B13539" s="30" t="s">
        <v>1226</v>
      </c>
      <c r="D13539" s="30" t="s">
        <v>2134</v>
      </c>
      <c r="F13539" s="30" t="s">
        <v>2135</v>
      </c>
      <c r="H13539" s="30" t="s">
        <v>2136</v>
      </c>
      <c r="J13539" s="30" t="s">
        <v>945</v>
      </c>
      <c r="L13539" s="30" t="s">
        <v>474</v>
      </c>
      <c r="N13539" s="30" t="s">
        <v>475</v>
      </c>
      <c r="P13539" s="30" t="s">
        <v>11219</v>
      </c>
      <c r="Q13539" t="s">
        <v>734</v>
      </c>
      <c r="R13539" t="s">
        <v>920</v>
      </c>
      <c r="S13539">
        <v>38</v>
      </c>
      <c r="T13539" s="29" t="str">
        <f t="shared" ref="T13539:T13546" si="565">HYPERLINK("https://ictv.global/ictv/proposals/2022.008P.Caulimoviridae_rename.zip","2022.008P.Caulimoviridae_rename.zip")</f>
        <v>2022.008P.Caulimoviridae_rename.zip</v>
      </c>
      <c r="U13539" s="29" t="str">
        <f>HYPERLINK("https://ictv.global/taxonomy/taxondetails?taxnode_id=202302843","ictv.global=202302843")</f>
        <v>ictv.global=202302843</v>
      </c>
    </row>
    <row r="13540" spans="1:21">
      <c r="A13540">
        <v>13539</v>
      </c>
      <c r="B13540" s="30" t="s">
        <v>1226</v>
      </c>
      <c r="D13540" s="30" t="s">
        <v>2134</v>
      </c>
      <c r="F13540" s="30" t="s">
        <v>2135</v>
      </c>
      <c r="H13540" s="30" t="s">
        <v>2136</v>
      </c>
      <c r="J13540" s="30" t="s">
        <v>945</v>
      </c>
      <c r="L13540" s="30" t="s">
        <v>474</v>
      </c>
      <c r="N13540" s="30" t="s">
        <v>475</v>
      </c>
      <c r="P13540" s="30" t="s">
        <v>11220</v>
      </c>
      <c r="Q13540" t="s">
        <v>734</v>
      </c>
      <c r="R13540" t="s">
        <v>920</v>
      </c>
      <c r="S13540">
        <v>38</v>
      </c>
      <c r="T13540" s="29" t="str">
        <f t="shared" si="565"/>
        <v>2022.008P.Caulimoviridae_rename.zip</v>
      </c>
      <c r="U13540" s="29" t="str">
        <f>HYPERLINK("https://ictv.global/taxonomy/taxondetails?taxnode_id=202308835","ictv.global=202308835")</f>
        <v>ictv.global=202308835</v>
      </c>
    </row>
    <row r="13541" spans="1:21">
      <c r="A13541">
        <v>13540</v>
      </c>
      <c r="B13541" s="30" t="s">
        <v>1226</v>
      </c>
      <c r="D13541" s="30" t="s">
        <v>2134</v>
      </c>
      <c r="F13541" s="30" t="s">
        <v>2135</v>
      </c>
      <c r="H13541" s="30" t="s">
        <v>2136</v>
      </c>
      <c r="J13541" s="30" t="s">
        <v>945</v>
      </c>
      <c r="L13541" s="30" t="s">
        <v>474</v>
      </c>
      <c r="N13541" s="30" t="s">
        <v>475</v>
      </c>
      <c r="P13541" s="30" t="s">
        <v>11221</v>
      </c>
      <c r="Q13541" t="s">
        <v>734</v>
      </c>
      <c r="R13541" t="s">
        <v>920</v>
      </c>
      <c r="S13541">
        <v>38</v>
      </c>
      <c r="T13541" s="29" t="str">
        <f t="shared" si="565"/>
        <v>2022.008P.Caulimoviridae_rename.zip</v>
      </c>
      <c r="U13541" s="29" t="str">
        <f>HYPERLINK("https://ictv.global/taxonomy/taxondetails?taxnode_id=202302855","ictv.global=202302855")</f>
        <v>ictv.global=202302855</v>
      </c>
    </row>
    <row r="13542" spans="1:21">
      <c r="A13542">
        <v>13541</v>
      </c>
      <c r="B13542" s="30" t="s">
        <v>1226</v>
      </c>
      <c r="D13542" s="30" t="s">
        <v>2134</v>
      </c>
      <c r="F13542" s="30" t="s">
        <v>2135</v>
      </c>
      <c r="H13542" s="30" t="s">
        <v>2136</v>
      </c>
      <c r="J13542" s="30" t="s">
        <v>945</v>
      </c>
      <c r="L13542" s="30" t="s">
        <v>474</v>
      </c>
      <c r="N13542" s="30" t="s">
        <v>475</v>
      </c>
      <c r="P13542" s="30" t="s">
        <v>11222</v>
      </c>
      <c r="Q13542" t="s">
        <v>734</v>
      </c>
      <c r="R13542" t="s">
        <v>920</v>
      </c>
      <c r="S13542">
        <v>38</v>
      </c>
      <c r="T13542" s="29" t="str">
        <f t="shared" si="565"/>
        <v>2022.008P.Caulimoviridae_rename.zip</v>
      </c>
      <c r="U13542" s="29" t="str">
        <f>HYPERLINK("https://ictv.global/taxonomy/taxondetails?taxnode_id=202306642","ictv.global=202306642")</f>
        <v>ictv.global=202306642</v>
      </c>
    </row>
    <row r="13543" spans="1:21">
      <c r="A13543">
        <v>13542</v>
      </c>
      <c r="B13543" s="30" t="s">
        <v>1226</v>
      </c>
      <c r="D13543" s="30" t="s">
        <v>2134</v>
      </c>
      <c r="F13543" s="30" t="s">
        <v>2135</v>
      </c>
      <c r="H13543" s="30" t="s">
        <v>2136</v>
      </c>
      <c r="J13543" s="30" t="s">
        <v>945</v>
      </c>
      <c r="L13543" s="30" t="s">
        <v>474</v>
      </c>
      <c r="N13543" s="30" t="s">
        <v>475</v>
      </c>
      <c r="P13543" s="30" t="s">
        <v>11223</v>
      </c>
      <c r="Q13543" t="s">
        <v>734</v>
      </c>
      <c r="R13543" t="s">
        <v>920</v>
      </c>
      <c r="S13543">
        <v>38</v>
      </c>
      <c r="T13543" s="29" t="str">
        <f t="shared" si="565"/>
        <v>2022.008P.Caulimoviridae_rename.zip</v>
      </c>
      <c r="U13543" s="29" t="str">
        <f>HYPERLINK("https://ictv.global/taxonomy/taxondetails?taxnode_id=202302848","ictv.global=202302848")</f>
        <v>ictv.global=202302848</v>
      </c>
    </row>
    <row r="13544" spans="1:21">
      <c r="A13544">
        <v>13543</v>
      </c>
      <c r="B13544" s="30" t="s">
        <v>1226</v>
      </c>
      <c r="D13544" s="30" t="s">
        <v>2134</v>
      </c>
      <c r="F13544" s="30" t="s">
        <v>2135</v>
      </c>
      <c r="H13544" s="30" t="s">
        <v>2136</v>
      </c>
      <c r="J13544" s="30" t="s">
        <v>945</v>
      </c>
      <c r="L13544" s="30" t="s">
        <v>474</v>
      </c>
      <c r="N13544" s="30" t="s">
        <v>475</v>
      </c>
      <c r="P13544" s="30" t="s">
        <v>11224</v>
      </c>
      <c r="Q13544" t="s">
        <v>734</v>
      </c>
      <c r="R13544" t="s">
        <v>920</v>
      </c>
      <c r="S13544">
        <v>38</v>
      </c>
      <c r="T13544" s="29" t="str">
        <f t="shared" si="565"/>
        <v>2022.008P.Caulimoviridae_rename.zip</v>
      </c>
      <c r="U13544" s="29" t="str">
        <f>HYPERLINK("https://ictv.global/taxonomy/taxondetails?taxnode_id=202308834","ictv.global=202308834")</f>
        <v>ictv.global=202308834</v>
      </c>
    </row>
    <row r="13545" spans="1:21">
      <c r="A13545">
        <v>13544</v>
      </c>
      <c r="B13545" s="30" t="s">
        <v>1226</v>
      </c>
      <c r="D13545" s="30" t="s">
        <v>2134</v>
      </c>
      <c r="F13545" s="30" t="s">
        <v>2135</v>
      </c>
      <c r="H13545" s="30" t="s">
        <v>2136</v>
      </c>
      <c r="J13545" s="30" t="s">
        <v>945</v>
      </c>
      <c r="L13545" s="30" t="s">
        <v>474</v>
      </c>
      <c r="N13545" s="30" t="s">
        <v>475</v>
      </c>
      <c r="P13545" s="30" t="s">
        <v>11225</v>
      </c>
      <c r="Q13545" t="s">
        <v>619</v>
      </c>
      <c r="R13545" t="s">
        <v>920</v>
      </c>
      <c r="S13545">
        <v>38</v>
      </c>
      <c r="T13545" s="29" t="str">
        <f t="shared" si="565"/>
        <v>2022.008P.Caulimoviridae_rename.zip</v>
      </c>
      <c r="U13545" s="29" t="str">
        <f>HYPERLINK("https://ictv.global/taxonomy/taxondetails?taxnode_id=202313832","ictv.global=202313832")</f>
        <v>ictv.global=202313832</v>
      </c>
    </row>
    <row r="13546" spans="1:21">
      <c r="A13546">
        <v>13545</v>
      </c>
      <c r="B13546" s="30" t="s">
        <v>1226</v>
      </c>
      <c r="D13546" s="30" t="s">
        <v>2134</v>
      </c>
      <c r="F13546" s="30" t="s">
        <v>2135</v>
      </c>
      <c r="H13546" s="30" t="s">
        <v>2136</v>
      </c>
      <c r="J13546" s="30" t="s">
        <v>945</v>
      </c>
      <c r="L13546" s="30" t="s">
        <v>474</v>
      </c>
      <c r="N13546" s="30" t="s">
        <v>475</v>
      </c>
      <c r="P13546" s="30" t="s">
        <v>11226</v>
      </c>
      <c r="Q13546" t="s">
        <v>734</v>
      </c>
      <c r="R13546" t="s">
        <v>920</v>
      </c>
      <c r="S13546">
        <v>38</v>
      </c>
      <c r="T13546" s="29" t="str">
        <f t="shared" si="565"/>
        <v>2022.008P.Caulimoviridae_rename.zip</v>
      </c>
      <c r="U13546" s="29" t="str">
        <f>HYPERLINK("https://ictv.global/taxonomy/taxondetails?taxnode_id=202302834","ictv.global=202302834")</f>
        <v>ictv.global=202302834</v>
      </c>
    </row>
    <row r="13547" spans="1:21">
      <c r="A13547">
        <v>13546</v>
      </c>
      <c r="B13547" s="30" t="s">
        <v>1226</v>
      </c>
      <c r="D13547" s="30" t="s">
        <v>2134</v>
      </c>
      <c r="F13547" s="30" t="s">
        <v>2135</v>
      </c>
      <c r="H13547" s="30" t="s">
        <v>2136</v>
      </c>
      <c r="J13547" s="30" t="s">
        <v>945</v>
      </c>
      <c r="L13547" s="30" t="s">
        <v>474</v>
      </c>
      <c r="N13547" s="30" t="s">
        <v>475</v>
      </c>
      <c r="P13547" s="30" t="s">
        <v>18360</v>
      </c>
      <c r="Q13547" t="s">
        <v>13939</v>
      </c>
      <c r="R13547" t="s">
        <v>917</v>
      </c>
      <c r="S13547">
        <v>39</v>
      </c>
      <c r="T13547" s="29" t="str">
        <f>HYPERLINK("https://ictv.global/ictv/proposals/2023.017P.Caulimoviridae_6nsp.zip","2023.017P.Caulimoviridae_6nsp.zip")</f>
        <v>2023.017P.Caulimoviridae_6nsp.zip</v>
      </c>
      <c r="U13547" s="29" t="str">
        <f>HYPERLINK("https://ictv.global/taxonomy/taxondetails?taxnode_id=202318294","ictv.global=202318294")</f>
        <v>ictv.global=202318294</v>
      </c>
    </row>
    <row r="13548" spans="1:21">
      <c r="A13548">
        <v>13547</v>
      </c>
      <c r="B13548" s="30" t="s">
        <v>1226</v>
      </c>
      <c r="D13548" s="30" t="s">
        <v>2134</v>
      </c>
      <c r="F13548" s="30" t="s">
        <v>2135</v>
      </c>
      <c r="H13548" s="30" t="s">
        <v>2136</v>
      </c>
      <c r="J13548" s="30" t="s">
        <v>945</v>
      </c>
      <c r="L13548" s="30" t="s">
        <v>474</v>
      </c>
      <c r="N13548" s="30" t="s">
        <v>475</v>
      </c>
      <c r="P13548" s="30" t="s">
        <v>11227</v>
      </c>
      <c r="Q13548" t="s">
        <v>734</v>
      </c>
      <c r="R13548" t="s">
        <v>920</v>
      </c>
      <c r="S13548">
        <v>38</v>
      </c>
      <c r="T13548" s="29" t="str">
        <f t="shared" ref="T13548:T13572" si="566">HYPERLINK("https://ictv.global/ictv/proposals/2022.008P.Caulimoviridae_rename.zip","2022.008P.Caulimoviridae_rename.zip")</f>
        <v>2022.008P.Caulimoviridae_rename.zip</v>
      </c>
      <c r="U13548" s="29" t="str">
        <f>HYPERLINK("https://ictv.global/taxonomy/taxondetails?taxnode_id=202308842","ictv.global=202308842")</f>
        <v>ictv.global=202308842</v>
      </c>
    </row>
    <row r="13549" spans="1:21">
      <c r="A13549">
        <v>13548</v>
      </c>
      <c r="B13549" s="30" t="s">
        <v>1226</v>
      </c>
      <c r="D13549" s="30" t="s">
        <v>2134</v>
      </c>
      <c r="F13549" s="30" t="s">
        <v>2135</v>
      </c>
      <c r="H13549" s="30" t="s">
        <v>2136</v>
      </c>
      <c r="J13549" s="30" t="s">
        <v>945</v>
      </c>
      <c r="L13549" s="30" t="s">
        <v>474</v>
      </c>
      <c r="N13549" s="30" t="s">
        <v>475</v>
      </c>
      <c r="P13549" s="30" t="s">
        <v>11228</v>
      </c>
      <c r="Q13549" t="s">
        <v>734</v>
      </c>
      <c r="R13549" t="s">
        <v>920</v>
      </c>
      <c r="S13549">
        <v>38</v>
      </c>
      <c r="T13549" s="29" t="str">
        <f t="shared" si="566"/>
        <v>2022.008P.Caulimoviridae_rename.zip</v>
      </c>
      <c r="U13549" s="29" t="str">
        <f>HYPERLINK("https://ictv.global/taxonomy/taxondetails?taxnode_id=202302844","ictv.global=202302844")</f>
        <v>ictv.global=202302844</v>
      </c>
    </row>
    <row r="13550" spans="1:21">
      <c r="A13550">
        <v>13549</v>
      </c>
      <c r="B13550" s="30" t="s">
        <v>1226</v>
      </c>
      <c r="D13550" s="30" t="s">
        <v>2134</v>
      </c>
      <c r="F13550" s="30" t="s">
        <v>2135</v>
      </c>
      <c r="H13550" s="30" t="s">
        <v>2136</v>
      </c>
      <c r="J13550" s="30" t="s">
        <v>945</v>
      </c>
      <c r="L13550" s="30" t="s">
        <v>474</v>
      </c>
      <c r="N13550" s="30" t="s">
        <v>475</v>
      </c>
      <c r="P13550" s="30" t="s">
        <v>11229</v>
      </c>
      <c r="Q13550" t="s">
        <v>734</v>
      </c>
      <c r="R13550" t="s">
        <v>920</v>
      </c>
      <c r="S13550">
        <v>38</v>
      </c>
      <c r="T13550" s="29" t="str">
        <f t="shared" si="566"/>
        <v>2022.008P.Caulimoviridae_rename.zip</v>
      </c>
      <c r="U13550" s="29" t="str">
        <f>HYPERLINK("https://ictv.global/taxonomy/taxondetails?taxnode_id=202305761","ictv.global=202305761")</f>
        <v>ictv.global=202305761</v>
      </c>
    </row>
    <row r="13551" spans="1:21">
      <c r="A13551">
        <v>13550</v>
      </c>
      <c r="B13551" s="30" t="s">
        <v>1226</v>
      </c>
      <c r="D13551" s="30" t="s">
        <v>2134</v>
      </c>
      <c r="F13551" s="30" t="s">
        <v>2135</v>
      </c>
      <c r="H13551" s="30" t="s">
        <v>2136</v>
      </c>
      <c r="J13551" s="30" t="s">
        <v>945</v>
      </c>
      <c r="L13551" s="30" t="s">
        <v>474</v>
      </c>
      <c r="N13551" s="30" t="s">
        <v>475</v>
      </c>
      <c r="P13551" s="30" t="s">
        <v>11230</v>
      </c>
      <c r="Q13551" t="s">
        <v>734</v>
      </c>
      <c r="R13551" t="s">
        <v>920</v>
      </c>
      <c r="S13551">
        <v>38</v>
      </c>
      <c r="T13551" s="29" t="str">
        <f t="shared" si="566"/>
        <v>2022.008P.Caulimoviridae_rename.zip</v>
      </c>
      <c r="U13551" s="29" t="str">
        <f>HYPERLINK("https://ictv.global/taxonomy/taxondetails?taxnode_id=202306651","ictv.global=202306651")</f>
        <v>ictv.global=202306651</v>
      </c>
    </row>
    <row r="13552" spans="1:21">
      <c r="A13552">
        <v>13551</v>
      </c>
      <c r="B13552" s="30" t="s">
        <v>1226</v>
      </c>
      <c r="D13552" s="30" t="s">
        <v>2134</v>
      </c>
      <c r="F13552" s="30" t="s">
        <v>2135</v>
      </c>
      <c r="H13552" s="30" t="s">
        <v>2136</v>
      </c>
      <c r="J13552" s="30" t="s">
        <v>945</v>
      </c>
      <c r="L13552" s="30" t="s">
        <v>474</v>
      </c>
      <c r="N13552" s="30" t="s">
        <v>475</v>
      </c>
      <c r="P13552" s="30" t="s">
        <v>11231</v>
      </c>
      <c r="Q13552" t="s">
        <v>734</v>
      </c>
      <c r="R13552" t="s">
        <v>920</v>
      </c>
      <c r="S13552">
        <v>38</v>
      </c>
      <c r="T13552" s="29" t="str">
        <f t="shared" si="566"/>
        <v>2022.008P.Caulimoviridae_rename.zip</v>
      </c>
      <c r="U13552" s="29" t="str">
        <f>HYPERLINK("https://ictv.global/taxonomy/taxondetails?taxnode_id=202305765","ictv.global=202305765")</f>
        <v>ictv.global=202305765</v>
      </c>
    </row>
    <row r="13553" spans="1:21">
      <c r="A13553">
        <v>13552</v>
      </c>
      <c r="B13553" s="30" t="s">
        <v>1226</v>
      </c>
      <c r="D13553" s="30" t="s">
        <v>2134</v>
      </c>
      <c r="F13553" s="30" t="s">
        <v>2135</v>
      </c>
      <c r="H13553" s="30" t="s">
        <v>2136</v>
      </c>
      <c r="J13553" s="30" t="s">
        <v>945</v>
      </c>
      <c r="L13553" s="30" t="s">
        <v>474</v>
      </c>
      <c r="N13553" s="30" t="s">
        <v>475</v>
      </c>
      <c r="P13553" s="30" t="s">
        <v>11232</v>
      </c>
      <c r="Q13553" t="s">
        <v>734</v>
      </c>
      <c r="R13553" t="s">
        <v>920</v>
      </c>
      <c r="S13553">
        <v>38</v>
      </c>
      <c r="T13553" s="29" t="str">
        <f t="shared" si="566"/>
        <v>2022.008P.Caulimoviridae_rename.zip</v>
      </c>
      <c r="U13553" s="29" t="str">
        <f>HYPERLINK("https://ictv.global/taxonomy/taxondetails?taxnode_id=202306647","ictv.global=202306647")</f>
        <v>ictv.global=202306647</v>
      </c>
    </row>
    <row r="13554" spans="1:21">
      <c r="A13554">
        <v>13553</v>
      </c>
      <c r="B13554" s="30" t="s">
        <v>1226</v>
      </c>
      <c r="D13554" s="30" t="s">
        <v>2134</v>
      </c>
      <c r="F13554" s="30" t="s">
        <v>2135</v>
      </c>
      <c r="H13554" s="30" t="s">
        <v>2136</v>
      </c>
      <c r="J13554" s="30" t="s">
        <v>945</v>
      </c>
      <c r="L13554" s="30" t="s">
        <v>474</v>
      </c>
      <c r="N13554" s="30" t="s">
        <v>475</v>
      </c>
      <c r="P13554" s="30" t="s">
        <v>11233</v>
      </c>
      <c r="Q13554" t="s">
        <v>734</v>
      </c>
      <c r="R13554" t="s">
        <v>920</v>
      </c>
      <c r="S13554">
        <v>38</v>
      </c>
      <c r="T13554" s="29" t="str">
        <f t="shared" si="566"/>
        <v>2022.008P.Caulimoviridae_rename.zip</v>
      </c>
      <c r="U13554" s="29" t="str">
        <f>HYPERLINK("https://ictv.global/taxonomy/taxondetails?taxnode_id=202302827","ictv.global=202302827")</f>
        <v>ictv.global=202302827</v>
      </c>
    </row>
    <row r="13555" spans="1:21">
      <c r="A13555">
        <v>13554</v>
      </c>
      <c r="B13555" s="30" t="s">
        <v>1226</v>
      </c>
      <c r="D13555" s="30" t="s">
        <v>2134</v>
      </c>
      <c r="F13555" s="30" t="s">
        <v>2135</v>
      </c>
      <c r="H13555" s="30" t="s">
        <v>2136</v>
      </c>
      <c r="J13555" s="30" t="s">
        <v>945</v>
      </c>
      <c r="L13555" s="30" t="s">
        <v>474</v>
      </c>
      <c r="N13555" s="30" t="s">
        <v>475</v>
      </c>
      <c r="P13555" s="30" t="s">
        <v>11234</v>
      </c>
      <c r="Q13555" t="s">
        <v>734</v>
      </c>
      <c r="R13555" t="s">
        <v>920</v>
      </c>
      <c r="S13555">
        <v>38</v>
      </c>
      <c r="T13555" s="29" t="str">
        <f t="shared" si="566"/>
        <v>2022.008P.Caulimoviridae_rename.zip</v>
      </c>
      <c r="U13555" s="29" t="str">
        <f>HYPERLINK("https://ictv.global/taxonomy/taxondetails?taxnode_id=202302829","ictv.global=202302829")</f>
        <v>ictv.global=202302829</v>
      </c>
    </row>
    <row r="13556" spans="1:21">
      <c r="A13556">
        <v>13555</v>
      </c>
      <c r="B13556" s="30" t="s">
        <v>1226</v>
      </c>
      <c r="D13556" s="30" t="s">
        <v>2134</v>
      </c>
      <c r="F13556" s="30" t="s">
        <v>2135</v>
      </c>
      <c r="H13556" s="30" t="s">
        <v>2136</v>
      </c>
      <c r="J13556" s="30" t="s">
        <v>945</v>
      </c>
      <c r="L13556" s="30" t="s">
        <v>474</v>
      </c>
      <c r="N13556" s="30" t="s">
        <v>475</v>
      </c>
      <c r="P13556" s="30" t="s">
        <v>11235</v>
      </c>
      <c r="Q13556" t="s">
        <v>734</v>
      </c>
      <c r="R13556" t="s">
        <v>920</v>
      </c>
      <c r="S13556">
        <v>38</v>
      </c>
      <c r="T13556" s="29" t="str">
        <f t="shared" si="566"/>
        <v>2022.008P.Caulimoviridae_rename.zip</v>
      </c>
      <c r="U13556" s="29" t="str">
        <f>HYPERLINK("https://ictv.global/taxonomy/taxondetails?taxnode_id=202307426","ictv.global=202307426")</f>
        <v>ictv.global=202307426</v>
      </c>
    </row>
    <row r="13557" spans="1:21">
      <c r="A13557">
        <v>13556</v>
      </c>
      <c r="B13557" s="30" t="s">
        <v>1226</v>
      </c>
      <c r="D13557" s="30" t="s">
        <v>2134</v>
      </c>
      <c r="F13557" s="30" t="s">
        <v>2135</v>
      </c>
      <c r="H13557" s="30" t="s">
        <v>2136</v>
      </c>
      <c r="J13557" s="30" t="s">
        <v>945</v>
      </c>
      <c r="L13557" s="30" t="s">
        <v>474</v>
      </c>
      <c r="N13557" s="30" t="s">
        <v>475</v>
      </c>
      <c r="P13557" s="30" t="s">
        <v>11236</v>
      </c>
      <c r="Q13557" t="s">
        <v>734</v>
      </c>
      <c r="R13557" t="s">
        <v>920</v>
      </c>
      <c r="S13557">
        <v>38</v>
      </c>
      <c r="T13557" s="29" t="str">
        <f t="shared" si="566"/>
        <v>2022.008P.Caulimoviridae_rename.zip</v>
      </c>
      <c r="U13557" s="29" t="str">
        <f>HYPERLINK("https://ictv.global/taxonomy/taxondetails?taxnode_id=202302839","ictv.global=202302839")</f>
        <v>ictv.global=202302839</v>
      </c>
    </row>
    <row r="13558" spans="1:21">
      <c r="A13558">
        <v>13557</v>
      </c>
      <c r="B13558" s="30" t="s">
        <v>1226</v>
      </c>
      <c r="D13558" s="30" t="s">
        <v>2134</v>
      </c>
      <c r="F13558" s="30" t="s">
        <v>2135</v>
      </c>
      <c r="H13558" s="30" t="s">
        <v>2136</v>
      </c>
      <c r="J13558" s="30" t="s">
        <v>945</v>
      </c>
      <c r="L13558" s="30" t="s">
        <v>474</v>
      </c>
      <c r="N13558" s="30" t="s">
        <v>475</v>
      </c>
      <c r="P13558" s="30" t="s">
        <v>11237</v>
      </c>
      <c r="Q13558" t="s">
        <v>734</v>
      </c>
      <c r="R13558" t="s">
        <v>920</v>
      </c>
      <c r="S13558">
        <v>38</v>
      </c>
      <c r="T13558" s="29" t="str">
        <f t="shared" si="566"/>
        <v>2022.008P.Caulimoviridae_rename.zip</v>
      </c>
      <c r="U13558" s="29" t="str">
        <f>HYPERLINK("https://ictv.global/taxonomy/taxondetails?taxnode_id=202305762","ictv.global=202305762")</f>
        <v>ictv.global=202305762</v>
      </c>
    </row>
    <row r="13559" spans="1:21">
      <c r="A13559">
        <v>13558</v>
      </c>
      <c r="B13559" s="30" t="s">
        <v>1226</v>
      </c>
      <c r="D13559" s="30" t="s">
        <v>2134</v>
      </c>
      <c r="F13559" s="30" t="s">
        <v>2135</v>
      </c>
      <c r="H13559" s="30" t="s">
        <v>2136</v>
      </c>
      <c r="J13559" s="30" t="s">
        <v>945</v>
      </c>
      <c r="L13559" s="30" t="s">
        <v>474</v>
      </c>
      <c r="N13559" s="30" t="s">
        <v>475</v>
      </c>
      <c r="P13559" s="30" t="s">
        <v>11238</v>
      </c>
      <c r="Q13559" t="s">
        <v>734</v>
      </c>
      <c r="R13559" t="s">
        <v>920</v>
      </c>
      <c r="S13559">
        <v>38</v>
      </c>
      <c r="T13559" s="29" t="str">
        <f t="shared" si="566"/>
        <v>2022.008P.Caulimoviridae_rename.zip</v>
      </c>
      <c r="U13559" s="29" t="str">
        <f>HYPERLINK("https://ictv.global/taxonomy/taxondetails?taxnode_id=202302841","ictv.global=202302841")</f>
        <v>ictv.global=202302841</v>
      </c>
    </row>
    <row r="13560" spans="1:21">
      <c r="A13560">
        <v>13559</v>
      </c>
      <c r="B13560" s="30" t="s">
        <v>1226</v>
      </c>
      <c r="D13560" s="30" t="s">
        <v>2134</v>
      </c>
      <c r="F13560" s="30" t="s">
        <v>2135</v>
      </c>
      <c r="H13560" s="30" t="s">
        <v>2136</v>
      </c>
      <c r="J13560" s="30" t="s">
        <v>945</v>
      </c>
      <c r="L13560" s="30" t="s">
        <v>474</v>
      </c>
      <c r="N13560" s="30" t="s">
        <v>475</v>
      </c>
      <c r="P13560" s="30" t="s">
        <v>11239</v>
      </c>
      <c r="Q13560" t="s">
        <v>734</v>
      </c>
      <c r="R13560" t="s">
        <v>920</v>
      </c>
      <c r="S13560">
        <v>38</v>
      </c>
      <c r="T13560" s="29" t="str">
        <f t="shared" si="566"/>
        <v>2022.008P.Caulimoviridae_rename.zip</v>
      </c>
      <c r="U13560" s="29" t="str">
        <f>HYPERLINK("https://ictv.global/taxonomy/taxondetails?taxnode_id=202308840","ictv.global=202308840")</f>
        <v>ictv.global=202308840</v>
      </c>
    </row>
    <row r="13561" spans="1:21">
      <c r="A13561">
        <v>13560</v>
      </c>
      <c r="B13561" s="30" t="s">
        <v>1226</v>
      </c>
      <c r="D13561" s="30" t="s">
        <v>2134</v>
      </c>
      <c r="F13561" s="30" t="s">
        <v>2135</v>
      </c>
      <c r="H13561" s="30" t="s">
        <v>2136</v>
      </c>
      <c r="J13561" s="30" t="s">
        <v>945</v>
      </c>
      <c r="L13561" s="30" t="s">
        <v>474</v>
      </c>
      <c r="N13561" s="30" t="s">
        <v>475</v>
      </c>
      <c r="P13561" s="30" t="s">
        <v>11240</v>
      </c>
      <c r="Q13561" t="s">
        <v>734</v>
      </c>
      <c r="R13561" t="s">
        <v>920</v>
      </c>
      <c r="S13561">
        <v>38</v>
      </c>
      <c r="T13561" s="29" t="str">
        <f t="shared" si="566"/>
        <v>2022.008P.Caulimoviridae_rename.zip</v>
      </c>
      <c r="U13561" s="29" t="str">
        <f>HYPERLINK("https://ictv.global/taxonomy/taxondetails?taxnode_id=202307427","ictv.global=202307427")</f>
        <v>ictv.global=202307427</v>
      </c>
    </row>
    <row r="13562" spans="1:21">
      <c r="A13562">
        <v>13561</v>
      </c>
      <c r="B13562" s="30" t="s">
        <v>1226</v>
      </c>
      <c r="D13562" s="30" t="s">
        <v>2134</v>
      </c>
      <c r="F13562" s="30" t="s">
        <v>2135</v>
      </c>
      <c r="H13562" s="30" t="s">
        <v>2136</v>
      </c>
      <c r="J13562" s="30" t="s">
        <v>945</v>
      </c>
      <c r="L13562" s="30" t="s">
        <v>474</v>
      </c>
      <c r="N13562" s="30" t="s">
        <v>475</v>
      </c>
      <c r="P13562" s="30" t="s">
        <v>11241</v>
      </c>
      <c r="Q13562" t="s">
        <v>734</v>
      </c>
      <c r="R13562" t="s">
        <v>920</v>
      </c>
      <c r="S13562">
        <v>38</v>
      </c>
      <c r="T13562" s="29" t="str">
        <f t="shared" si="566"/>
        <v>2022.008P.Caulimoviridae_rename.zip</v>
      </c>
      <c r="U13562" s="29" t="str">
        <f>HYPERLINK("https://ictv.global/taxonomy/taxondetails?taxnode_id=202306641","ictv.global=202306641")</f>
        <v>ictv.global=202306641</v>
      </c>
    </row>
    <row r="13563" spans="1:21">
      <c r="A13563">
        <v>13562</v>
      </c>
      <c r="B13563" s="30" t="s">
        <v>1226</v>
      </c>
      <c r="D13563" s="30" t="s">
        <v>2134</v>
      </c>
      <c r="F13563" s="30" t="s">
        <v>2135</v>
      </c>
      <c r="H13563" s="30" t="s">
        <v>2136</v>
      </c>
      <c r="J13563" s="30" t="s">
        <v>945</v>
      </c>
      <c r="L13563" s="30" t="s">
        <v>474</v>
      </c>
      <c r="N13563" s="30" t="s">
        <v>475</v>
      </c>
      <c r="P13563" s="30" t="s">
        <v>11242</v>
      </c>
      <c r="Q13563" t="s">
        <v>734</v>
      </c>
      <c r="R13563" t="s">
        <v>920</v>
      </c>
      <c r="S13563">
        <v>38</v>
      </c>
      <c r="T13563" s="29" t="str">
        <f t="shared" si="566"/>
        <v>2022.008P.Caulimoviridae_rename.zip</v>
      </c>
      <c r="U13563" s="29" t="str">
        <f>HYPERLINK("https://ictv.global/taxonomy/taxondetails?taxnode_id=202305766","ictv.global=202305766")</f>
        <v>ictv.global=202305766</v>
      </c>
    </row>
    <row r="13564" spans="1:21">
      <c r="A13564">
        <v>13563</v>
      </c>
      <c r="B13564" s="30" t="s">
        <v>1226</v>
      </c>
      <c r="D13564" s="30" t="s">
        <v>2134</v>
      </c>
      <c r="F13564" s="30" t="s">
        <v>2135</v>
      </c>
      <c r="H13564" s="30" t="s">
        <v>2136</v>
      </c>
      <c r="J13564" s="30" t="s">
        <v>945</v>
      </c>
      <c r="L13564" s="30" t="s">
        <v>474</v>
      </c>
      <c r="N13564" s="30" t="s">
        <v>475</v>
      </c>
      <c r="P13564" s="30" t="s">
        <v>11243</v>
      </c>
      <c r="Q13564" t="s">
        <v>734</v>
      </c>
      <c r="R13564" t="s">
        <v>920</v>
      </c>
      <c r="S13564">
        <v>38</v>
      </c>
      <c r="T13564" s="29" t="str">
        <f t="shared" si="566"/>
        <v>2022.008P.Caulimoviridae_rename.zip</v>
      </c>
      <c r="U13564" s="29" t="str">
        <f>HYPERLINK("https://ictv.global/taxonomy/taxondetails?taxnode_id=202308836","ictv.global=202308836")</f>
        <v>ictv.global=202308836</v>
      </c>
    </row>
    <row r="13565" spans="1:21">
      <c r="A13565">
        <v>13564</v>
      </c>
      <c r="B13565" s="30" t="s">
        <v>1226</v>
      </c>
      <c r="D13565" s="30" t="s">
        <v>2134</v>
      </c>
      <c r="F13565" s="30" t="s">
        <v>2135</v>
      </c>
      <c r="H13565" s="30" t="s">
        <v>2136</v>
      </c>
      <c r="J13565" s="30" t="s">
        <v>945</v>
      </c>
      <c r="L13565" s="30" t="s">
        <v>474</v>
      </c>
      <c r="N13565" s="30" t="s">
        <v>475</v>
      </c>
      <c r="P13565" s="30" t="s">
        <v>11244</v>
      </c>
      <c r="Q13565" t="s">
        <v>734</v>
      </c>
      <c r="R13565" t="s">
        <v>920</v>
      </c>
      <c r="S13565">
        <v>38</v>
      </c>
      <c r="T13565" s="29" t="str">
        <f t="shared" si="566"/>
        <v>2022.008P.Caulimoviridae_rename.zip</v>
      </c>
      <c r="U13565" s="29" t="str">
        <f>HYPERLINK("https://ictv.global/taxonomy/taxondetails?taxnode_id=202302831","ictv.global=202302831")</f>
        <v>ictv.global=202302831</v>
      </c>
    </row>
    <row r="13566" spans="1:21">
      <c r="A13566">
        <v>13565</v>
      </c>
      <c r="B13566" s="30" t="s">
        <v>1226</v>
      </c>
      <c r="D13566" s="30" t="s">
        <v>2134</v>
      </c>
      <c r="F13566" s="30" t="s">
        <v>2135</v>
      </c>
      <c r="H13566" s="30" t="s">
        <v>2136</v>
      </c>
      <c r="J13566" s="30" t="s">
        <v>945</v>
      </c>
      <c r="L13566" s="30" t="s">
        <v>474</v>
      </c>
      <c r="N13566" s="30" t="s">
        <v>475</v>
      </c>
      <c r="P13566" s="30" t="s">
        <v>11245</v>
      </c>
      <c r="Q13566" t="s">
        <v>734</v>
      </c>
      <c r="R13566" t="s">
        <v>920</v>
      </c>
      <c r="S13566">
        <v>38</v>
      </c>
      <c r="T13566" s="29" t="str">
        <f t="shared" si="566"/>
        <v>2022.008P.Caulimoviridae_rename.zip</v>
      </c>
      <c r="U13566" s="29" t="str">
        <f>HYPERLINK("https://ictv.global/taxonomy/taxondetails?taxnode_id=202302825","ictv.global=202302825")</f>
        <v>ictv.global=202302825</v>
      </c>
    </row>
    <row r="13567" spans="1:21">
      <c r="A13567">
        <v>13566</v>
      </c>
      <c r="B13567" s="30" t="s">
        <v>1226</v>
      </c>
      <c r="D13567" s="30" t="s">
        <v>2134</v>
      </c>
      <c r="F13567" s="30" t="s">
        <v>2135</v>
      </c>
      <c r="H13567" s="30" t="s">
        <v>2136</v>
      </c>
      <c r="J13567" s="30" t="s">
        <v>945</v>
      </c>
      <c r="L13567" s="30" t="s">
        <v>474</v>
      </c>
      <c r="N13567" s="30" t="s">
        <v>502</v>
      </c>
      <c r="P13567" s="30" t="s">
        <v>11246</v>
      </c>
      <c r="Q13567" t="s">
        <v>734</v>
      </c>
      <c r="R13567" t="s">
        <v>920</v>
      </c>
      <c r="S13567">
        <v>38</v>
      </c>
      <c r="T13567" s="29" t="str">
        <f t="shared" si="566"/>
        <v>2022.008P.Caulimoviridae_rename.zip</v>
      </c>
      <c r="U13567" s="29" t="str">
        <f>HYPERLINK("https://ictv.global/taxonomy/taxondetails?taxnode_id=202302866","ictv.global=202302866")</f>
        <v>ictv.global=202302866</v>
      </c>
    </row>
    <row r="13568" spans="1:21">
      <c r="A13568">
        <v>13567</v>
      </c>
      <c r="B13568" s="30" t="s">
        <v>1226</v>
      </c>
      <c r="D13568" s="30" t="s">
        <v>2134</v>
      </c>
      <c r="F13568" s="30" t="s">
        <v>2135</v>
      </c>
      <c r="H13568" s="30" t="s">
        <v>2136</v>
      </c>
      <c r="J13568" s="30" t="s">
        <v>945</v>
      </c>
      <c r="L13568" s="30" t="s">
        <v>474</v>
      </c>
      <c r="N13568" s="30" t="s">
        <v>502</v>
      </c>
      <c r="P13568" s="30" t="s">
        <v>11247</v>
      </c>
      <c r="Q13568" t="s">
        <v>734</v>
      </c>
      <c r="R13568" t="s">
        <v>920</v>
      </c>
      <c r="S13568">
        <v>38</v>
      </c>
      <c r="T13568" s="29" t="str">
        <f t="shared" si="566"/>
        <v>2022.008P.Caulimoviridae_rename.zip</v>
      </c>
      <c r="U13568" s="29" t="str">
        <f>HYPERLINK("https://ictv.global/taxonomy/taxondetails?taxnode_id=202302868","ictv.global=202302868")</f>
        <v>ictv.global=202302868</v>
      </c>
    </row>
    <row r="13569" spans="1:21">
      <c r="A13569">
        <v>13568</v>
      </c>
      <c r="B13569" s="30" t="s">
        <v>1226</v>
      </c>
      <c r="D13569" s="30" t="s">
        <v>2134</v>
      </c>
      <c r="F13569" s="30" t="s">
        <v>2135</v>
      </c>
      <c r="H13569" s="30" t="s">
        <v>2136</v>
      </c>
      <c r="J13569" s="30" t="s">
        <v>945</v>
      </c>
      <c r="L13569" s="30" t="s">
        <v>474</v>
      </c>
      <c r="N13569" s="30" t="s">
        <v>502</v>
      </c>
      <c r="P13569" s="30" t="s">
        <v>11248</v>
      </c>
      <c r="Q13569" t="s">
        <v>734</v>
      </c>
      <c r="R13569" t="s">
        <v>920</v>
      </c>
      <c r="S13569">
        <v>38</v>
      </c>
      <c r="T13569" s="29" t="str">
        <f t="shared" si="566"/>
        <v>2022.008P.Caulimoviridae_rename.zip</v>
      </c>
      <c r="U13569" s="29" t="str">
        <f>HYPERLINK("https://ictv.global/taxonomy/taxondetails?taxnode_id=202302861","ictv.global=202302861")</f>
        <v>ictv.global=202302861</v>
      </c>
    </row>
    <row r="13570" spans="1:21">
      <c r="A13570">
        <v>13569</v>
      </c>
      <c r="B13570" s="30" t="s">
        <v>1226</v>
      </c>
      <c r="D13570" s="30" t="s">
        <v>2134</v>
      </c>
      <c r="F13570" s="30" t="s">
        <v>2135</v>
      </c>
      <c r="H13570" s="30" t="s">
        <v>2136</v>
      </c>
      <c r="J13570" s="30" t="s">
        <v>945</v>
      </c>
      <c r="L13570" s="30" t="s">
        <v>474</v>
      </c>
      <c r="N13570" s="30" t="s">
        <v>502</v>
      </c>
      <c r="P13570" s="30" t="s">
        <v>11249</v>
      </c>
      <c r="Q13570" t="s">
        <v>734</v>
      </c>
      <c r="R13570" t="s">
        <v>920</v>
      </c>
      <c r="S13570">
        <v>38</v>
      </c>
      <c r="T13570" s="29" t="str">
        <f t="shared" si="566"/>
        <v>2022.008P.Caulimoviridae_rename.zip</v>
      </c>
      <c r="U13570" s="29" t="str">
        <f>HYPERLINK("https://ictv.global/taxonomy/taxondetails?taxnode_id=202302865","ictv.global=202302865")</f>
        <v>ictv.global=202302865</v>
      </c>
    </row>
    <row r="13571" spans="1:21">
      <c r="A13571">
        <v>13570</v>
      </c>
      <c r="B13571" s="30" t="s">
        <v>1226</v>
      </c>
      <c r="D13571" s="30" t="s">
        <v>2134</v>
      </c>
      <c r="F13571" s="30" t="s">
        <v>2135</v>
      </c>
      <c r="H13571" s="30" t="s">
        <v>2136</v>
      </c>
      <c r="J13571" s="30" t="s">
        <v>945</v>
      </c>
      <c r="L13571" s="30" t="s">
        <v>474</v>
      </c>
      <c r="N13571" s="30" t="s">
        <v>502</v>
      </c>
      <c r="P13571" s="30" t="s">
        <v>11250</v>
      </c>
      <c r="Q13571" t="s">
        <v>734</v>
      </c>
      <c r="R13571" t="s">
        <v>920</v>
      </c>
      <c r="S13571">
        <v>38</v>
      </c>
      <c r="T13571" s="29" t="str">
        <f t="shared" si="566"/>
        <v>2022.008P.Caulimoviridae_rename.zip</v>
      </c>
      <c r="U13571" s="29" t="str">
        <f>HYPERLINK("https://ictv.global/taxonomy/taxondetails?taxnode_id=202302870","ictv.global=202302870")</f>
        <v>ictv.global=202302870</v>
      </c>
    </row>
    <row r="13572" spans="1:21">
      <c r="A13572">
        <v>13571</v>
      </c>
      <c r="B13572" s="30" t="s">
        <v>1226</v>
      </c>
      <c r="D13572" s="30" t="s">
        <v>2134</v>
      </c>
      <c r="F13572" s="30" t="s">
        <v>2135</v>
      </c>
      <c r="H13572" s="30" t="s">
        <v>2136</v>
      </c>
      <c r="J13572" s="30" t="s">
        <v>945</v>
      </c>
      <c r="L13572" s="30" t="s">
        <v>474</v>
      </c>
      <c r="N13572" s="30" t="s">
        <v>502</v>
      </c>
      <c r="P13572" s="30" t="s">
        <v>11251</v>
      </c>
      <c r="Q13572" t="s">
        <v>734</v>
      </c>
      <c r="R13572" t="s">
        <v>920</v>
      </c>
      <c r="S13572">
        <v>38</v>
      </c>
      <c r="T13572" s="29" t="str">
        <f t="shared" si="566"/>
        <v>2022.008P.Caulimoviridae_rename.zip</v>
      </c>
      <c r="U13572" s="29" t="str">
        <f>HYPERLINK("https://ictv.global/taxonomy/taxondetails?taxnode_id=202302860","ictv.global=202302860")</f>
        <v>ictv.global=202302860</v>
      </c>
    </row>
    <row r="13573" spans="1:21">
      <c r="A13573">
        <v>13572</v>
      </c>
      <c r="B13573" s="30" t="s">
        <v>1226</v>
      </c>
      <c r="D13573" s="30" t="s">
        <v>2134</v>
      </c>
      <c r="F13573" s="30" t="s">
        <v>2135</v>
      </c>
      <c r="H13573" s="30" t="s">
        <v>2136</v>
      </c>
      <c r="J13573" s="30" t="s">
        <v>945</v>
      </c>
      <c r="L13573" s="30" t="s">
        <v>474</v>
      </c>
      <c r="N13573" s="30" t="s">
        <v>502</v>
      </c>
      <c r="P13573" s="30" t="s">
        <v>11252</v>
      </c>
      <c r="Q13573" t="s">
        <v>619</v>
      </c>
      <c r="R13573" t="s">
        <v>917</v>
      </c>
      <c r="S13573">
        <v>38</v>
      </c>
      <c r="T13573" s="29" t="str">
        <f>HYPERLINK("https://ictv.global/ictv/proposals/2022.007P.Caulimoviridae_4ns.zip","2022.007P.Caulimoviridae_4ns.zip")</f>
        <v>2022.007P.Caulimoviridae_4ns.zip</v>
      </c>
      <c r="U13573" s="29" t="str">
        <f>HYPERLINK("https://ictv.global/taxonomy/taxondetails?taxnode_id=202315100","ictv.global=202315100")</f>
        <v>ictv.global=202315100</v>
      </c>
    </row>
    <row r="13574" spans="1:21">
      <c r="A13574">
        <v>13573</v>
      </c>
      <c r="B13574" s="30" t="s">
        <v>1226</v>
      </c>
      <c r="D13574" s="30" t="s">
        <v>2134</v>
      </c>
      <c r="F13574" s="30" t="s">
        <v>2135</v>
      </c>
      <c r="H13574" s="30" t="s">
        <v>2136</v>
      </c>
      <c r="J13574" s="30" t="s">
        <v>945</v>
      </c>
      <c r="L13574" s="30" t="s">
        <v>474</v>
      </c>
      <c r="N13574" s="30" t="s">
        <v>502</v>
      </c>
      <c r="P13574" s="30" t="s">
        <v>11253</v>
      </c>
      <c r="Q13574" t="s">
        <v>734</v>
      </c>
      <c r="R13574" t="s">
        <v>920</v>
      </c>
      <c r="S13574">
        <v>38</v>
      </c>
      <c r="T13574" s="29" t="str">
        <f>HYPERLINK("https://ictv.global/ictv/proposals/2022.008P.Caulimoviridae_rename.zip","2022.008P.Caulimoviridae_rename.zip")</f>
        <v>2022.008P.Caulimoviridae_rename.zip</v>
      </c>
      <c r="U13574" s="29" t="str">
        <f>HYPERLINK("https://ictv.global/taxonomy/taxondetails?taxnode_id=202306640","ictv.global=202306640")</f>
        <v>ictv.global=202306640</v>
      </c>
    </row>
    <row r="13575" spans="1:21">
      <c r="A13575">
        <v>13574</v>
      </c>
      <c r="B13575" s="30" t="s">
        <v>1226</v>
      </c>
      <c r="D13575" s="30" t="s">
        <v>2134</v>
      </c>
      <c r="F13575" s="30" t="s">
        <v>2135</v>
      </c>
      <c r="H13575" s="30" t="s">
        <v>2136</v>
      </c>
      <c r="J13575" s="30" t="s">
        <v>945</v>
      </c>
      <c r="L13575" s="30" t="s">
        <v>474</v>
      </c>
      <c r="N13575" s="30" t="s">
        <v>502</v>
      </c>
      <c r="P13575" s="30" t="s">
        <v>18361</v>
      </c>
      <c r="Q13575" t="s">
        <v>13939</v>
      </c>
      <c r="R13575" t="s">
        <v>917</v>
      </c>
      <c r="S13575">
        <v>39</v>
      </c>
      <c r="T13575" s="29" t="str">
        <f>HYPERLINK("https://ictv.global/ictv/proposals/2023.017P.Caulimoviridae_6nsp.zip","2023.017P.Caulimoviridae_6nsp.zip")</f>
        <v>2023.017P.Caulimoviridae_6nsp.zip</v>
      </c>
      <c r="U13575" s="29" t="str">
        <f>HYPERLINK("https://ictv.global/taxonomy/taxondetails?taxnode_id=202318295","ictv.global=202318295")</f>
        <v>ictv.global=202318295</v>
      </c>
    </row>
    <row r="13576" spans="1:21">
      <c r="A13576">
        <v>13575</v>
      </c>
      <c r="B13576" s="30" t="s">
        <v>1226</v>
      </c>
      <c r="D13576" s="30" t="s">
        <v>2134</v>
      </c>
      <c r="F13576" s="30" t="s">
        <v>2135</v>
      </c>
      <c r="H13576" s="30" t="s">
        <v>2136</v>
      </c>
      <c r="J13576" s="30" t="s">
        <v>945</v>
      </c>
      <c r="L13576" s="30" t="s">
        <v>474</v>
      </c>
      <c r="N13576" s="30" t="s">
        <v>502</v>
      </c>
      <c r="P13576" s="30" t="s">
        <v>11254</v>
      </c>
      <c r="Q13576" t="s">
        <v>734</v>
      </c>
      <c r="R13576" t="s">
        <v>920</v>
      </c>
      <c r="S13576">
        <v>38</v>
      </c>
      <c r="T13576" s="29" t="str">
        <f t="shared" ref="T13576:T13585" si="567">HYPERLINK("https://ictv.global/ictv/proposals/2022.008P.Caulimoviridae_rename.zip","2022.008P.Caulimoviridae_rename.zip")</f>
        <v>2022.008P.Caulimoviridae_rename.zip</v>
      </c>
      <c r="U13576" s="29" t="str">
        <f>HYPERLINK("https://ictv.global/taxonomy/taxondetails?taxnode_id=202302862","ictv.global=202302862")</f>
        <v>ictv.global=202302862</v>
      </c>
    </row>
    <row r="13577" spans="1:21">
      <c r="A13577">
        <v>13576</v>
      </c>
      <c r="B13577" s="30" t="s">
        <v>1226</v>
      </c>
      <c r="D13577" s="30" t="s">
        <v>2134</v>
      </c>
      <c r="F13577" s="30" t="s">
        <v>2135</v>
      </c>
      <c r="H13577" s="30" t="s">
        <v>2136</v>
      </c>
      <c r="J13577" s="30" t="s">
        <v>945</v>
      </c>
      <c r="L13577" s="30" t="s">
        <v>474</v>
      </c>
      <c r="N13577" s="30" t="s">
        <v>502</v>
      </c>
      <c r="P13577" s="30" t="s">
        <v>11255</v>
      </c>
      <c r="Q13577" t="s">
        <v>734</v>
      </c>
      <c r="R13577" t="s">
        <v>920</v>
      </c>
      <c r="S13577">
        <v>38</v>
      </c>
      <c r="T13577" s="29" t="str">
        <f t="shared" si="567"/>
        <v>2022.008P.Caulimoviridae_rename.zip</v>
      </c>
      <c r="U13577" s="29" t="str">
        <f>HYPERLINK("https://ictv.global/taxonomy/taxondetails?taxnode_id=202302863","ictv.global=202302863")</f>
        <v>ictv.global=202302863</v>
      </c>
    </row>
    <row r="13578" spans="1:21">
      <c r="A13578">
        <v>13577</v>
      </c>
      <c r="B13578" s="30" t="s">
        <v>1226</v>
      </c>
      <c r="D13578" s="30" t="s">
        <v>2134</v>
      </c>
      <c r="F13578" s="30" t="s">
        <v>2135</v>
      </c>
      <c r="H13578" s="30" t="s">
        <v>2136</v>
      </c>
      <c r="J13578" s="30" t="s">
        <v>945</v>
      </c>
      <c r="L13578" s="30" t="s">
        <v>474</v>
      </c>
      <c r="N13578" s="30" t="s">
        <v>502</v>
      </c>
      <c r="P13578" s="30" t="s">
        <v>11256</v>
      </c>
      <c r="Q13578" t="s">
        <v>734</v>
      </c>
      <c r="R13578" t="s">
        <v>920</v>
      </c>
      <c r="S13578">
        <v>38</v>
      </c>
      <c r="T13578" s="29" t="str">
        <f t="shared" si="567"/>
        <v>2022.008P.Caulimoviridae_rename.zip</v>
      </c>
      <c r="U13578" s="29" t="str">
        <f>HYPERLINK("https://ictv.global/taxonomy/taxondetails?taxnode_id=202302867","ictv.global=202302867")</f>
        <v>ictv.global=202302867</v>
      </c>
    </row>
    <row r="13579" spans="1:21">
      <c r="A13579">
        <v>13578</v>
      </c>
      <c r="B13579" s="30" t="s">
        <v>1226</v>
      </c>
      <c r="D13579" s="30" t="s">
        <v>2134</v>
      </c>
      <c r="F13579" s="30" t="s">
        <v>2135</v>
      </c>
      <c r="H13579" s="30" t="s">
        <v>2136</v>
      </c>
      <c r="J13579" s="30" t="s">
        <v>945</v>
      </c>
      <c r="L13579" s="30" t="s">
        <v>474</v>
      </c>
      <c r="N13579" s="30" t="s">
        <v>502</v>
      </c>
      <c r="P13579" s="30" t="s">
        <v>11257</v>
      </c>
      <c r="Q13579" t="s">
        <v>734</v>
      </c>
      <c r="R13579" t="s">
        <v>920</v>
      </c>
      <c r="S13579">
        <v>38</v>
      </c>
      <c r="T13579" s="29" t="str">
        <f t="shared" si="567"/>
        <v>2022.008P.Caulimoviridae_rename.zip</v>
      </c>
      <c r="U13579" s="29" t="str">
        <f>HYPERLINK("https://ictv.global/taxonomy/taxondetails?taxnode_id=202302864","ictv.global=202302864")</f>
        <v>ictv.global=202302864</v>
      </c>
    </row>
    <row r="13580" spans="1:21">
      <c r="A13580">
        <v>13579</v>
      </c>
      <c r="B13580" s="30" t="s">
        <v>1226</v>
      </c>
      <c r="D13580" s="30" t="s">
        <v>2134</v>
      </c>
      <c r="F13580" s="30" t="s">
        <v>2135</v>
      </c>
      <c r="H13580" s="30" t="s">
        <v>2136</v>
      </c>
      <c r="J13580" s="30" t="s">
        <v>945</v>
      </c>
      <c r="L13580" s="30" t="s">
        <v>474</v>
      </c>
      <c r="N13580" s="30" t="s">
        <v>502</v>
      </c>
      <c r="P13580" s="30" t="s">
        <v>11258</v>
      </c>
      <c r="Q13580" t="s">
        <v>734</v>
      </c>
      <c r="R13580" t="s">
        <v>920</v>
      </c>
      <c r="S13580">
        <v>38</v>
      </c>
      <c r="T13580" s="29" t="str">
        <f t="shared" si="567"/>
        <v>2022.008P.Caulimoviridae_rename.zip</v>
      </c>
      <c r="U13580" s="29" t="str">
        <f>HYPERLINK("https://ictv.global/taxonomy/taxondetails?taxnode_id=202302869","ictv.global=202302869")</f>
        <v>ictv.global=202302869</v>
      </c>
    </row>
    <row r="13581" spans="1:21">
      <c r="A13581">
        <v>13580</v>
      </c>
      <c r="B13581" s="30" t="s">
        <v>1226</v>
      </c>
      <c r="D13581" s="30" t="s">
        <v>2134</v>
      </c>
      <c r="F13581" s="30" t="s">
        <v>2135</v>
      </c>
      <c r="H13581" s="30" t="s">
        <v>2136</v>
      </c>
      <c r="J13581" s="30" t="s">
        <v>945</v>
      </c>
      <c r="L13581" s="30" t="s">
        <v>474</v>
      </c>
      <c r="N13581" s="30" t="s">
        <v>204</v>
      </c>
      <c r="P13581" s="30" t="s">
        <v>11259</v>
      </c>
      <c r="Q13581" t="s">
        <v>734</v>
      </c>
      <c r="R13581" t="s">
        <v>920</v>
      </c>
      <c r="S13581">
        <v>38</v>
      </c>
      <c r="T13581" s="29" t="str">
        <f t="shared" si="567"/>
        <v>2022.008P.Caulimoviridae_rename.zip</v>
      </c>
      <c r="U13581" s="29" t="str">
        <f>HYPERLINK("https://ictv.global/taxonomy/taxondetails?taxnode_id=202302873","ictv.global=202302873")</f>
        <v>ictv.global=202302873</v>
      </c>
    </row>
    <row r="13582" spans="1:21">
      <c r="A13582">
        <v>13581</v>
      </c>
      <c r="B13582" s="30" t="s">
        <v>1226</v>
      </c>
      <c r="D13582" s="30" t="s">
        <v>2134</v>
      </c>
      <c r="F13582" s="30" t="s">
        <v>2135</v>
      </c>
      <c r="H13582" s="30" t="s">
        <v>2136</v>
      </c>
      <c r="J13582" s="30" t="s">
        <v>945</v>
      </c>
      <c r="L13582" s="30" t="s">
        <v>474</v>
      </c>
      <c r="N13582" s="30" t="s">
        <v>204</v>
      </c>
      <c r="P13582" s="30" t="s">
        <v>11260</v>
      </c>
      <c r="Q13582" t="s">
        <v>734</v>
      </c>
      <c r="R13582" t="s">
        <v>920</v>
      </c>
      <c r="S13582">
        <v>38</v>
      </c>
      <c r="T13582" s="29" t="str">
        <f t="shared" si="567"/>
        <v>2022.008P.Caulimoviridae_rename.zip</v>
      </c>
      <c r="U13582" s="29" t="str">
        <f>HYPERLINK("https://ictv.global/taxonomy/taxondetails?taxnode_id=202308839","ictv.global=202308839")</f>
        <v>ictv.global=202308839</v>
      </c>
    </row>
    <row r="13583" spans="1:21">
      <c r="A13583">
        <v>13582</v>
      </c>
      <c r="B13583" s="30" t="s">
        <v>1226</v>
      </c>
      <c r="D13583" s="30" t="s">
        <v>2134</v>
      </c>
      <c r="F13583" s="30" t="s">
        <v>2135</v>
      </c>
      <c r="H13583" s="30" t="s">
        <v>2136</v>
      </c>
      <c r="J13583" s="30" t="s">
        <v>945</v>
      </c>
      <c r="L13583" s="30" t="s">
        <v>474</v>
      </c>
      <c r="N13583" s="30" t="s">
        <v>204</v>
      </c>
      <c r="P13583" s="30" t="s">
        <v>11261</v>
      </c>
      <c r="Q13583" t="s">
        <v>734</v>
      </c>
      <c r="R13583" t="s">
        <v>920</v>
      </c>
      <c r="S13583">
        <v>38</v>
      </c>
      <c r="T13583" s="29" t="str">
        <f t="shared" si="567"/>
        <v>2022.008P.Caulimoviridae_rename.zip</v>
      </c>
      <c r="U13583" s="29" t="str">
        <f>HYPERLINK("https://ictv.global/taxonomy/taxondetails?taxnode_id=202302872","ictv.global=202302872")</f>
        <v>ictv.global=202302872</v>
      </c>
    </row>
    <row r="13584" spans="1:21">
      <c r="A13584">
        <v>13583</v>
      </c>
      <c r="B13584" s="30" t="s">
        <v>1226</v>
      </c>
      <c r="D13584" s="30" t="s">
        <v>2134</v>
      </c>
      <c r="F13584" s="30" t="s">
        <v>2135</v>
      </c>
      <c r="H13584" s="30" t="s">
        <v>2136</v>
      </c>
      <c r="J13584" s="30" t="s">
        <v>945</v>
      </c>
      <c r="L13584" s="30" t="s">
        <v>474</v>
      </c>
      <c r="N13584" s="30" t="s">
        <v>2141</v>
      </c>
      <c r="P13584" s="30" t="s">
        <v>11262</v>
      </c>
      <c r="Q13584" t="s">
        <v>734</v>
      </c>
      <c r="R13584" t="s">
        <v>920</v>
      </c>
      <c r="S13584">
        <v>38</v>
      </c>
      <c r="T13584" s="29" t="str">
        <f t="shared" si="567"/>
        <v>2022.008P.Caulimoviridae_rename.zip</v>
      </c>
      <c r="U13584" s="29" t="str">
        <f>HYPERLINK("https://ictv.global/taxonomy/taxondetails?taxnode_id=202307423","ictv.global=202307423")</f>
        <v>ictv.global=202307423</v>
      </c>
    </row>
    <row r="13585" spans="1:21">
      <c r="A13585">
        <v>13584</v>
      </c>
      <c r="B13585" s="30" t="s">
        <v>1226</v>
      </c>
      <c r="D13585" s="30" t="s">
        <v>2134</v>
      </c>
      <c r="F13585" s="30" t="s">
        <v>2135</v>
      </c>
      <c r="H13585" s="30" t="s">
        <v>2136</v>
      </c>
      <c r="J13585" s="30" t="s">
        <v>945</v>
      </c>
      <c r="L13585" s="30" t="s">
        <v>474</v>
      </c>
      <c r="N13585" s="30" t="s">
        <v>205</v>
      </c>
      <c r="P13585" s="30" t="s">
        <v>11263</v>
      </c>
      <c r="Q13585" t="s">
        <v>734</v>
      </c>
      <c r="R13585" t="s">
        <v>920</v>
      </c>
      <c r="S13585">
        <v>38</v>
      </c>
      <c r="T13585" s="29" t="str">
        <f t="shared" si="567"/>
        <v>2022.008P.Caulimoviridae_rename.zip</v>
      </c>
      <c r="U13585" s="29" t="str">
        <f>HYPERLINK("https://ictv.global/taxonomy/taxondetails?taxnode_id=202302875","ictv.global=202302875")</f>
        <v>ictv.global=202302875</v>
      </c>
    </row>
    <row r="13586" spans="1:21">
      <c r="A13586">
        <v>13585</v>
      </c>
      <c r="B13586" s="30" t="s">
        <v>1226</v>
      </c>
      <c r="D13586" s="30" t="s">
        <v>2134</v>
      </c>
      <c r="F13586" s="30" t="s">
        <v>2135</v>
      </c>
      <c r="H13586" s="30" t="s">
        <v>2136</v>
      </c>
      <c r="J13586" s="30" t="s">
        <v>945</v>
      </c>
      <c r="L13586" s="30" t="s">
        <v>474</v>
      </c>
      <c r="N13586" s="30" t="s">
        <v>615</v>
      </c>
      <c r="P13586" s="30" t="s">
        <v>18362</v>
      </c>
      <c r="Q13586" t="s">
        <v>13939</v>
      </c>
      <c r="R13586" t="s">
        <v>917</v>
      </c>
      <c r="S13586">
        <v>39</v>
      </c>
      <c r="T13586" s="29" t="str">
        <f>HYPERLINK("https://ictv.global/ictv/proposals/2023.017P.Caulimoviridae_6nsp.zip","2023.017P.Caulimoviridae_6nsp.zip")</f>
        <v>2023.017P.Caulimoviridae_6nsp.zip</v>
      </c>
      <c r="U13586" s="29" t="str">
        <f>HYPERLINK("https://ictv.global/taxonomy/taxondetails?taxnode_id=202318296","ictv.global=202318296")</f>
        <v>ictv.global=202318296</v>
      </c>
    </row>
    <row r="13587" spans="1:21">
      <c r="A13587">
        <v>13586</v>
      </c>
      <c r="B13587" s="30" t="s">
        <v>1226</v>
      </c>
      <c r="D13587" s="30" t="s">
        <v>2134</v>
      </c>
      <c r="F13587" s="30" t="s">
        <v>2135</v>
      </c>
      <c r="H13587" s="30" t="s">
        <v>2136</v>
      </c>
      <c r="J13587" s="30" t="s">
        <v>945</v>
      </c>
      <c r="L13587" s="30" t="s">
        <v>474</v>
      </c>
      <c r="N13587" s="30" t="s">
        <v>615</v>
      </c>
      <c r="P13587" s="30" t="s">
        <v>11264</v>
      </c>
      <c r="Q13587" t="s">
        <v>734</v>
      </c>
      <c r="R13587" t="s">
        <v>920</v>
      </c>
      <c r="S13587">
        <v>38</v>
      </c>
      <c r="T13587" s="29" t="str">
        <f>HYPERLINK("https://ictv.global/ictv/proposals/2022.008P.Caulimoviridae_rename.zip","2022.008P.Caulimoviridae_rename.zip")</f>
        <v>2022.008P.Caulimoviridae_rename.zip</v>
      </c>
      <c r="U13587" s="29" t="str">
        <f>HYPERLINK("https://ictv.global/taxonomy/taxondetails?taxnode_id=202302877","ictv.global=202302877")</f>
        <v>ictv.global=202302877</v>
      </c>
    </row>
    <row r="13588" spans="1:21">
      <c r="A13588">
        <v>13587</v>
      </c>
      <c r="B13588" s="30" t="s">
        <v>1226</v>
      </c>
      <c r="D13588" s="30" t="s">
        <v>2134</v>
      </c>
      <c r="F13588" s="30" t="s">
        <v>2135</v>
      </c>
      <c r="H13588" s="30" t="s">
        <v>2136</v>
      </c>
      <c r="J13588" s="30" t="s">
        <v>945</v>
      </c>
      <c r="L13588" s="30" t="s">
        <v>474</v>
      </c>
      <c r="N13588" s="30" t="s">
        <v>3805</v>
      </c>
      <c r="P13588" s="30" t="s">
        <v>11265</v>
      </c>
      <c r="Q13588" t="s">
        <v>734</v>
      </c>
      <c r="R13588" t="s">
        <v>920</v>
      </c>
      <c r="S13588">
        <v>38</v>
      </c>
      <c r="T13588" s="29" t="str">
        <f>HYPERLINK("https://ictv.global/ictv/proposals/2022.008P.Caulimoviridae_rename.zip","2022.008P.Caulimoviridae_rename.zip")</f>
        <v>2022.008P.Caulimoviridae_rename.zip</v>
      </c>
      <c r="U13588" s="29" t="str">
        <f>HYPERLINK("https://ictv.global/taxonomy/taxondetails?taxnode_id=202306652","ictv.global=202306652")</f>
        <v>ictv.global=202306652</v>
      </c>
    </row>
    <row r="13589" spans="1:21">
      <c r="A13589">
        <v>13588</v>
      </c>
      <c r="B13589" s="30" t="s">
        <v>1226</v>
      </c>
      <c r="D13589" s="30" t="s">
        <v>2134</v>
      </c>
      <c r="F13589" s="30" t="s">
        <v>2135</v>
      </c>
      <c r="H13589" s="30" t="s">
        <v>2136</v>
      </c>
      <c r="J13589" s="30" t="s">
        <v>945</v>
      </c>
      <c r="L13589" s="30" t="s">
        <v>474</v>
      </c>
      <c r="N13589" s="30" t="s">
        <v>20</v>
      </c>
      <c r="P13589" s="30" t="s">
        <v>11266</v>
      </c>
      <c r="Q13589" t="s">
        <v>734</v>
      </c>
      <c r="R13589" t="s">
        <v>920</v>
      </c>
      <c r="S13589">
        <v>38</v>
      </c>
      <c r="T13589" s="29" t="str">
        <f>HYPERLINK("https://ictv.global/ictv/proposals/2022.008P.Caulimoviridae_rename.zip","2022.008P.Caulimoviridae_rename.zip")</f>
        <v>2022.008P.Caulimoviridae_rename.zip</v>
      </c>
      <c r="U13589" s="29" t="str">
        <f>HYPERLINK("https://ictv.global/taxonomy/taxondetails?taxnode_id=202302879","ictv.global=202302879")</f>
        <v>ictv.global=202302879</v>
      </c>
    </row>
    <row r="13590" spans="1:21">
      <c r="A13590">
        <v>13589</v>
      </c>
      <c r="B13590" s="30" t="s">
        <v>1226</v>
      </c>
      <c r="D13590" s="30" t="s">
        <v>2134</v>
      </c>
      <c r="F13590" s="30" t="s">
        <v>2135</v>
      </c>
      <c r="H13590" s="30" t="s">
        <v>2136</v>
      </c>
      <c r="J13590" s="30" t="s">
        <v>945</v>
      </c>
      <c r="L13590" s="30" t="s">
        <v>474</v>
      </c>
      <c r="N13590" s="30" t="s">
        <v>20</v>
      </c>
      <c r="P13590" s="30" t="s">
        <v>11267</v>
      </c>
      <c r="Q13590" t="s">
        <v>734</v>
      </c>
      <c r="R13590" t="s">
        <v>920</v>
      </c>
      <c r="S13590">
        <v>38</v>
      </c>
      <c r="T13590" s="29" t="str">
        <f>HYPERLINK("https://ictv.global/ictv/proposals/2022.008P.Caulimoviridae_rename.zip","2022.008P.Caulimoviridae_rename.zip")</f>
        <v>2022.008P.Caulimoviridae_rename.zip</v>
      </c>
      <c r="U13590" s="29" t="str">
        <f>HYPERLINK("https://ictv.global/taxonomy/taxondetails?taxnode_id=202302880","ictv.global=202302880")</f>
        <v>ictv.global=202302880</v>
      </c>
    </row>
    <row r="13591" spans="1:21">
      <c r="A13591">
        <v>13590</v>
      </c>
      <c r="B13591" s="30" t="s">
        <v>1226</v>
      </c>
      <c r="D13591" s="30" t="s">
        <v>2134</v>
      </c>
      <c r="F13591" s="30" t="s">
        <v>2135</v>
      </c>
      <c r="H13591" s="30" t="s">
        <v>2136</v>
      </c>
      <c r="J13591" s="30" t="s">
        <v>945</v>
      </c>
      <c r="L13591" s="30" t="s">
        <v>474</v>
      </c>
      <c r="N13591" s="30" t="s">
        <v>318</v>
      </c>
      <c r="P13591" s="30" t="s">
        <v>11268</v>
      </c>
      <c r="Q13591" t="s">
        <v>734</v>
      </c>
      <c r="R13591" t="s">
        <v>920</v>
      </c>
      <c r="S13591">
        <v>38</v>
      </c>
      <c r="T13591" s="29" t="str">
        <f>HYPERLINK("https://ictv.global/ictv/proposals/2022.008P.Caulimoviridae_rename.zip","2022.008P.Caulimoviridae_rename.zip")</f>
        <v>2022.008P.Caulimoviridae_rename.zip</v>
      </c>
      <c r="U13591" s="29" t="str">
        <f>HYPERLINK("https://ictv.global/taxonomy/taxondetails?taxnode_id=202302883","ictv.global=202302883")</f>
        <v>ictv.global=202302883</v>
      </c>
    </row>
    <row r="13592" spans="1:21">
      <c r="A13592">
        <v>13591</v>
      </c>
      <c r="B13592" s="30" t="s">
        <v>1226</v>
      </c>
      <c r="D13592" s="30" t="s">
        <v>2134</v>
      </c>
      <c r="F13592" s="30" t="s">
        <v>2135</v>
      </c>
      <c r="H13592" s="30" t="s">
        <v>2136</v>
      </c>
      <c r="J13592" s="30" t="s">
        <v>945</v>
      </c>
      <c r="L13592" s="30" t="s">
        <v>474</v>
      </c>
      <c r="N13592" s="30" t="s">
        <v>318</v>
      </c>
      <c r="P13592" s="30" t="s">
        <v>11269</v>
      </c>
      <c r="Q13592" t="s">
        <v>619</v>
      </c>
      <c r="R13592" t="s">
        <v>917</v>
      </c>
      <c r="S13592">
        <v>38</v>
      </c>
      <c r="T13592" s="29" t="str">
        <f>HYPERLINK("https://ictv.global/ictv/proposals/2022.007P.Caulimoviridae_4ns.zip","2022.007P.Caulimoviridae_4ns.zip")</f>
        <v>2022.007P.Caulimoviridae_4ns.zip</v>
      </c>
      <c r="U13592" s="29" t="str">
        <f>HYPERLINK("https://ictv.global/taxonomy/taxondetails?taxnode_id=202315101","ictv.global=202315101")</f>
        <v>ictv.global=202315101</v>
      </c>
    </row>
    <row r="13593" spans="1:21">
      <c r="A13593">
        <v>13592</v>
      </c>
      <c r="B13593" s="30" t="s">
        <v>1226</v>
      </c>
      <c r="D13593" s="30" t="s">
        <v>2134</v>
      </c>
      <c r="F13593" s="30" t="s">
        <v>2135</v>
      </c>
      <c r="H13593" s="30" t="s">
        <v>2136</v>
      </c>
      <c r="J13593" s="30" t="s">
        <v>945</v>
      </c>
      <c r="L13593" s="30" t="s">
        <v>474</v>
      </c>
      <c r="N13593" s="30" t="s">
        <v>318</v>
      </c>
      <c r="P13593" s="30" t="s">
        <v>18363</v>
      </c>
      <c r="Q13593" t="s">
        <v>13939</v>
      </c>
      <c r="R13593" t="s">
        <v>917</v>
      </c>
      <c r="S13593">
        <v>39</v>
      </c>
      <c r="T13593" s="29" t="str">
        <f>HYPERLINK("https://ictv.global/ictv/proposals/2023.017P.Caulimoviridae_6nsp.zip","2023.017P.Caulimoviridae_6nsp.zip")</f>
        <v>2023.017P.Caulimoviridae_6nsp.zip</v>
      </c>
      <c r="U13593" s="29" t="str">
        <f>HYPERLINK("https://ictv.global/taxonomy/taxondetails?taxnode_id=202318298","ictv.global=202318298")</f>
        <v>ictv.global=202318298</v>
      </c>
    </row>
    <row r="13594" spans="1:21">
      <c r="A13594">
        <v>13593</v>
      </c>
      <c r="B13594" s="30" t="s">
        <v>1226</v>
      </c>
      <c r="D13594" s="30" t="s">
        <v>2134</v>
      </c>
      <c r="F13594" s="30" t="s">
        <v>2135</v>
      </c>
      <c r="H13594" s="30" t="s">
        <v>2136</v>
      </c>
      <c r="J13594" s="30" t="s">
        <v>945</v>
      </c>
      <c r="L13594" s="30" t="s">
        <v>474</v>
      </c>
      <c r="N13594" s="30" t="s">
        <v>318</v>
      </c>
      <c r="P13594" s="30" t="s">
        <v>11270</v>
      </c>
      <c r="Q13594" t="s">
        <v>734</v>
      </c>
      <c r="R13594" t="s">
        <v>920</v>
      </c>
      <c r="S13594">
        <v>38</v>
      </c>
      <c r="T13594" s="29" t="str">
        <f>HYPERLINK("https://ictv.global/ictv/proposals/2022.008P.Caulimoviridae_rename.zip","2022.008P.Caulimoviridae_rename.zip")</f>
        <v>2022.008P.Caulimoviridae_rename.zip</v>
      </c>
      <c r="U13594" s="29" t="str">
        <f>HYPERLINK("https://ictv.global/taxonomy/taxondetails?taxnode_id=202302885","ictv.global=202302885")</f>
        <v>ictv.global=202302885</v>
      </c>
    </row>
    <row r="13595" spans="1:21">
      <c r="A13595">
        <v>13594</v>
      </c>
      <c r="B13595" s="30" t="s">
        <v>1226</v>
      </c>
      <c r="D13595" s="30" t="s">
        <v>2134</v>
      </c>
      <c r="F13595" s="30" t="s">
        <v>2135</v>
      </c>
      <c r="H13595" s="30" t="s">
        <v>2136</v>
      </c>
      <c r="J13595" s="30" t="s">
        <v>945</v>
      </c>
      <c r="L13595" s="30" t="s">
        <v>474</v>
      </c>
      <c r="N13595" s="30" t="s">
        <v>318</v>
      </c>
      <c r="P13595" s="30" t="s">
        <v>11271</v>
      </c>
      <c r="Q13595" t="s">
        <v>734</v>
      </c>
      <c r="R13595" t="s">
        <v>920</v>
      </c>
      <c r="S13595">
        <v>38</v>
      </c>
      <c r="T13595" s="29" t="str">
        <f>HYPERLINK("https://ictv.global/ictv/proposals/2022.008P.Caulimoviridae_rename.zip","2022.008P.Caulimoviridae_rename.zip")</f>
        <v>2022.008P.Caulimoviridae_rename.zip</v>
      </c>
      <c r="U13595" s="29" t="str">
        <f>HYPERLINK("https://ictv.global/taxonomy/taxondetails?taxnode_id=202302882","ictv.global=202302882")</f>
        <v>ictv.global=202302882</v>
      </c>
    </row>
    <row r="13596" spans="1:21">
      <c r="A13596">
        <v>13595</v>
      </c>
      <c r="B13596" s="30" t="s">
        <v>1226</v>
      </c>
      <c r="D13596" s="30" t="s">
        <v>2134</v>
      </c>
      <c r="F13596" s="30" t="s">
        <v>2135</v>
      </c>
      <c r="H13596" s="30" t="s">
        <v>2136</v>
      </c>
      <c r="J13596" s="30" t="s">
        <v>945</v>
      </c>
      <c r="L13596" s="30" t="s">
        <v>474</v>
      </c>
      <c r="N13596" s="30" t="s">
        <v>318</v>
      </c>
      <c r="P13596" s="30" t="s">
        <v>18364</v>
      </c>
      <c r="Q13596" t="s">
        <v>13939</v>
      </c>
      <c r="R13596" t="s">
        <v>917</v>
      </c>
      <c r="S13596">
        <v>39</v>
      </c>
      <c r="T13596" s="29" t="str">
        <f>HYPERLINK("https://ictv.global/ictv/proposals/2023.017P.Caulimoviridae_6nsp.zip","2023.017P.Caulimoviridae_6nsp.zip")</f>
        <v>2023.017P.Caulimoviridae_6nsp.zip</v>
      </c>
      <c r="U13596" s="29" t="str">
        <f>HYPERLINK("https://ictv.global/taxonomy/taxondetails?taxnode_id=202318297","ictv.global=202318297")</f>
        <v>ictv.global=202318297</v>
      </c>
    </row>
    <row r="13597" spans="1:21">
      <c r="A13597">
        <v>13596</v>
      </c>
      <c r="B13597" s="30" t="s">
        <v>1226</v>
      </c>
      <c r="D13597" s="30" t="s">
        <v>2134</v>
      </c>
      <c r="F13597" s="30" t="s">
        <v>2135</v>
      </c>
      <c r="H13597" s="30" t="s">
        <v>2136</v>
      </c>
      <c r="J13597" s="30" t="s">
        <v>945</v>
      </c>
      <c r="L13597" s="30" t="s">
        <v>474</v>
      </c>
      <c r="N13597" s="30" t="s">
        <v>318</v>
      </c>
      <c r="P13597" s="30" t="s">
        <v>11272</v>
      </c>
      <c r="Q13597" t="s">
        <v>734</v>
      </c>
      <c r="R13597" t="s">
        <v>920</v>
      </c>
      <c r="S13597">
        <v>38</v>
      </c>
      <c r="T13597" s="29" t="str">
        <f>HYPERLINK("https://ictv.global/ictv/proposals/2022.008P.Caulimoviridae_rename.zip","2022.008P.Caulimoviridae_rename.zip")</f>
        <v>2022.008P.Caulimoviridae_rename.zip</v>
      </c>
      <c r="U13597" s="29" t="str">
        <f>HYPERLINK("https://ictv.global/taxonomy/taxondetails?taxnode_id=202302884","ictv.global=202302884")</f>
        <v>ictv.global=202302884</v>
      </c>
    </row>
    <row r="13598" spans="1:21">
      <c r="A13598">
        <v>13597</v>
      </c>
      <c r="B13598" s="30" t="s">
        <v>1226</v>
      </c>
      <c r="D13598" s="30" t="s">
        <v>2134</v>
      </c>
      <c r="F13598" s="30" t="s">
        <v>2135</v>
      </c>
      <c r="H13598" s="30" t="s">
        <v>2136</v>
      </c>
      <c r="J13598" s="30" t="s">
        <v>945</v>
      </c>
      <c r="L13598" s="30" t="s">
        <v>474</v>
      </c>
      <c r="N13598" s="30" t="s">
        <v>319</v>
      </c>
      <c r="P13598" s="30" t="s">
        <v>11273</v>
      </c>
      <c r="Q13598" t="s">
        <v>619</v>
      </c>
      <c r="R13598" t="s">
        <v>917</v>
      </c>
      <c r="S13598">
        <v>38</v>
      </c>
      <c r="T13598" s="29" t="str">
        <f>HYPERLINK("https://ictv.global/ictv/proposals/2022.007P.Caulimoviridae_4ns.zip","2022.007P.Caulimoviridae_4ns.zip")</f>
        <v>2022.007P.Caulimoviridae_4ns.zip</v>
      </c>
      <c r="U13598" s="29" t="str">
        <f>HYPERLINK("https://ictv.global/taxonomy/taxondetails?taxnode_id=202315102","ictv.global=202315102")</f>
        <v>ictv.global=202315102</v>
      </c>
    </row>
    <row r="13599" spans="1:21">
      <c r="A13599">
        <v>13598</v>
      </c>
      <c r="B13599" s="30" t="s">
        <v>1226</v>
      </c>
      <c r="D13599" s="30" t="s">
        <v>2134</v>
      </c>
      <c r="F13599" s="30" t="s">
        <v>2135</v>
      </c>
      <c r="H13599" s="30" t="s">
        <v>2136</v>
      </c>
      <c r="J13599" s="30" t="s">
        <v>945</v>
      </c>
      <c r="L13599" s="30" t="s">
        <v>474</v>
      </c>
      <c r="N13599" s="30" t="s">
        <v>319</v>
      </c>
      <c r="P13599" s="30" t="s">
        <v>11274</v>
      </c>
      <c r="Q13599" t="s">
        <v>734</v>
      </c>
      <c r="R13599" t="s">
        <v>920</v>
      </c>
      <c r="S13599">
        <v>38</v>
      </c>
      <c r="T13599" s="29" t="str">
        <f>HYPERLINK("https://ictv.global/ictv/proposals/2022.008P.Caulimoviridae_rename.zip","2022.008P.Caulimoviridae_rename.zip")</f>
        <v>2022.008P.Caulimoviridae_rename.zip</v>
      </c>
      <c r="U13599" s="29" t="str">
        <f>HYPERLINK("https://ictv.global/taxonomy/taxondetails?taxnode_id=202302887","ictv.global=202302887")</f>
        <v>ictv.global=202302887</v>
      </c>
    </row>
    <row r="13600" spans="1:21">
      <c r="A13600">
        <v>13599</v>
      </c>
      <c r="B13600" s="30" t="s">
        <v>1226</v>
      </c>
      <c r="D13600" s="30" t="s">
        <v>2134</v>
      </c>
      <c r="F13600" s="30" t="s">
        <v>2135</v>
      </c>
      <c r="H13600" s="30" t="s">
        <v>2136</v>
      </c>
      <c r="J13600" s="30" t="s">
        <v>945</v>
      </c>
      <c r="L13600" s="30" t="s">
        <v>474</v>
      </c>
      <c r="N13600" s="30" t="s">
        <v>2142</v>
      </c>
      <c r="P13600" s="30" t="s">
        <v>11275</v>
      </c>
      <c r="Q13600" t="s">
        <v>734</v>
      </c>
      <c r="R13600" t="s">
        <v>920</v>
      </c>
      <c r="S13600">
        <v>38</v>
      </c>
      <c r="T13600" s="29" t="str">
        <f>HYPERLINK("https://ictv.global/ictv/proposals/2022.008P.Caulimoviridae_rename.zip","2022.008P.Caulimoviridae_rename.zip")</f>
        <v>2022.008P.Caulimoviridae_rename.zip</v>
      </c>
      <c r="U13600" s="29" t="str">
        <f>HYPERLINK("https://ictv.global/taxonomy/taxondetails?taxnode_id=202307425","ictv.global=202307425")</f>
        <v>ictv.global=202307425</v>
      </c>
    </row>
    <row r="13601" spans="1:21">
      <c r="A13601">
        <v>13600</v>
      </c>
      <c r="B13601" s="30" t="s">
        <v>1226</v>
      </c>
      <c r="D13601" s="30" t="s">
        <v>2134</v>
      </c>
      <c r="F13601" s="30" t="s">
        <v>2135</v>
      </c>
      <c r="H13601" s="30" t="s">
        <v>2136</v>
      </c>
      <c r="J13601" s="30" t="s">
        <v>945</v>
      </c>
      <c r="L13601" s="30" t="s">
        <v>397</v>
      </c>
      <c r="N13601" s="30" t="s">
        <v>270</v>
      </c>
      <c r="P13601" s="30" t="s">
        <v>18365</v>
      </c>
      <c r="Q13601" t="s">
        <v>624</v>
      </c>
      <c r="R13601" t="s">
        <v>920</v>
      </c>
      <c r="S13601">
        <v>39</v>
      </c>
      <c r="T13601" s="29" t="str">
        <f t="shared" ref="T13601:T13632" si="568">HYPERLINK("https://ictv.global/ictv/proposals/2023.033P.Pseudoviridae_Metaviridae_rename_sp.zip","2023.033P.Pseudoviridae_Metaviridae_rename_sp.zip")</f>
        <v>2023.033P.Pseudoviridae_Metaviridae_rename_sp.zip</v>
      </c>
      <c r="U13601" s="29" t="str">
        <f>HYPERLINK("https://ictv.global/taxonomy/taxondetails?taxnode_id=202303814","ictv.global=202303814")</f>
        <v>ictv.global=202303814</v>
      </c>
    </row>
    <row r="13602" spans="1:21">
      <c r="A13602">
        <v>13601</v>
      </c>
      <c r="B13602" s="30" t="s">
        <v>1226</v>
      </c>
      <c r="D13602" s="30" t="s">
        <v>2134</v>
      </c>
      <c r="F13602" s="30" t="s">
        <v>2135</v>
      </c>
      <c r="H13602" s="30" t="s">
        <v>2136</v>
      </c>
      <c r="J13602" s="30" t="s">
        <v>945</v>
      </c>
      <c r="L13602" s="30" t="s">
        <v>397</v>
      </c>
      <c r="N13602" s="30" t="s">
        <v>270</v>
      </c>
      <c r="P13602" s="30" t="s">
        <v>18366</v>
      </c>
      <c r="Q13602" t="s">
        <v>624</v>
      </c>
      <c r="R13602" t="s">
        <v>920</v>
      </c>
      <c r="S13602">
        <v>39</v>
      </c>
      <c r="T13602" s="29" t="str">
        <f t="shared" si="568"/>
        <v>2023.033P.Pseudoviridae_Metaviridae_rename_sp.zip</v>
      </c>
      <c r="U13602" s="29" t="str">
        <f>HYPERLINK("https://ictv.global/taxonomy/taxondetails?taxnode_id=202303817","ictv.global=202303817")</f>
        <v>ictv.global=202303817</v>
      </c>
    </row>
    <row r="13603" spans="1:21">
      <c r="A13603">
        <v>13602</v>
      </c>
      <c r="B13603" s="30" t="s">
        <v>1226</v>
      </c>
      <c r="D13603" s="30" t="s">
        <v>2134</v>
      </c>
      <c r="F13603" s="30" t="s">
        <v>2135</v>
      </c>
      <c r="H13603" s="30" t="s">
        <v>2136</v>
      </c>
      <c r="J13603" s="30" t="s">
        <v>945</v>
      </c>
      <c r="L13603" s="30" t="s">
        <v>397</v>
      </c>
      <c r="N13603" s="30" t="s">
        <v>270</v>
      </c>
      <c r="P13603" s="30" t="s">
        <v>18367</v>
      </c>
      <c r="Q13603" t="s">
        <v>624</v>
      </c>
      <c r="R13603" t="s">
        <v>920</v>
      </c>
      <c r="S13603">
        <v>39</v>
      </c>
      <c r="T13603" s="29" t="str">
        <f t="shared" si="568"/>
        <v>2023.033P.Pseudoviridae_Metaviridae_rename_sp.zip</v>
      </c>
      <c r="U13603" s="29" t="str">
        <f>HYPERLINK("https://ictv.global/taxonomy/taxondetails?taxnode_id=202303816","ictv.global=202303816")</f>
        <v>ictv.global=202303816</v>
      </c>
    </row>
    <row r="13604" spans="1:21">
      <c r="A13604">
        <v>13603</v>
      </c>
      <c r="B13604" s="30" t="s">
        <v>1226</v>
      </c>
      <c r="D13604" s="30" t="s">
        <v>2134</v>
      </c>
      <c r="F13604" s="30" t="s">
        <v>2135</v>
      </c>
      <c r="H13604" s="30" t="s">
        <v>2136</v>
      </c>
      <c r="J13604" s="30" t="s">
        <v>945</v>
      </c>
      <c r="L13604" s="30" t="s">
        <v>397</v>
      </c>
      <c r="N13604" s="30" t="s">
        <v>270</v>
      </c>
      <c r="P13604" s="30" t="s">
        <v>18368</v>
      </c>
      <c r="Q13604" t="s">
        <v>624</v>
      </c>
      <c r="R13604" t="s">
        <v>920</v>
      </c>
      <c r="S13604">
        <v>39</v>
      </c>
      <c r="T13604" s="29" t="str">
        <f t="shared" si="568"/>
        <v>2023.033P.Pseudoviridae_Metaviridae_rename_sp.zip</v>
      </c>
      <c r="U13604" s="29" t="str">
        <f>HYPERLINK("https://ictv.global/taxonomy/taxondetails?taxnode_id=202303818","ictv.global=202303818")</f>
        <v>ictv.global=202303818</v>
      </c>
    </row>
    <row r="13605" spans="1:21">
      <c r="A13605">
        <v>13604</v>
      </c>
      <c r="B13605" s="30" t="s">
        <v>1226</v>
      </c>
      <c r="D13605" s="30" t="s">
        <v>2134</v>
      </c>
      <c r="F13605" s="30" t="s">
        <v>2135</v>
      </c>
      <c r="H13605" s="30" t="s">
        <v>2136</v>
      </c>
      <c r="J13605" s="30" t="s">
        <v>945</v>
      </c>
      <c r="L13605" s="30" t="s">
        <v>397</v>
      </c>
      <c r="N13605" s="30" t="s">
        <v>270</v>
      </c>
      <c r="P13605" s="30" t="s">
        <v>18369</v>
      </c>
      <c r="Q13605" t="s">
        <v>624</v>
      </c>
      <c r="R13605" t="s">
        <v>920</v>
      </c>
      <c r="S13605">
        <v>39</v>
      </c>
      <c r="T13605" s="29" t="str">
        <f t="shared" si="568"/>
        <v>2023.033P.Pseudoviridae_Metaviridae_rename_sp.zip</v>
      </c>
      <c r="U13605" s="29" t="str">
        <f>HYPERLINK("https://ictv.global/taxonomy/taxondetails?taxnode_id=202303819","ictv.global=202303819")</f>
        <v>ictv.global=202303819</v>
      </c>
    </row>
    <row r="13606" spans="1:21">
      <c r="A13606">
        <v>13605</v>
      </c>
      <c r="B13606" s="30" t="s">
        <v>1226</v>
      </c>
      <c r="D13606" s="30" t="s">
        <v>2134</v>
      </c>
      <c r="F13606" s="30" t="s">
        <v>2135</v>
      </c>
      <c r="H13606" s="30" t="s">
        <v>2136</v>
      </c>
      <c r="J13606" s="30" t="s">
        <v>945</v>
      </c>
      <c r="L13606" s="30" t="s">
        <v>397</v>
      </c>
      <c r="N13606" s="30" t="s">
        <v>270</v>
      </c>
      <c r="P13606" s="30" t="s">
        <v>18370</v>
      </c>
      <c r="Q13606" t="s">
        <v>624</v>
      </c>
      <c r="R13606" t="s">
        <v>920</v>
      </c>
      <c r="S13606">
        <v>39</v>
      </c>
      <c r="T13606" s="29" t="str">
        <f t="shared" si="568"/>
        <v>2023.033P.Pseudoviridae_Metaviridae_rename_sp.zip</v>
      </c>
      <c r="U13606" s="29" t="str">
        <f>HYPERLINK("https://ictv.global/taxonomy/taxondetails?taxnode_id=202303820","ictv.global=202303820")</f>
        <v>ictv.global=202303820</v>
      </c>
    </row>
    <row r="13607" spans="1:21">
      <c r="A13607">
        <v>13606</v>
      </c>
      <c r="B13607" s="30" t="s">
        <v>1226</v>
      </c>
      <c r="D13607" s="30" t="s">
        <v>2134</v>
      </c>
      <c r="F13607" s="30" t="s">
        <v>2135</v>
      </c>
      <c r="H13607" s="30" t="s">
        <v>2136</v>
      </c>
      <c r="J13607" s="30" t="s">
        <v>945</v>
      </c>
      <c r="L13607" s="30" t="s">
        <v>397</v>
      </c>
      <c r="N13607" s="30" t="s">
        <v>270</v>
      </c>
      <c r="P13607" s="30" t="s">
        <v>18371</v>
      </c>
      <c r="Q13607" t="s">
        <v>624</v>
      </c>
      <c r="R13607" t="s">
        <v>920</v>
      </c>
      <c r="S13607">
        <v>39</v>
      </c>
      <c r="T13607" s="29" t="str">
        <f t="shared" si="568"/>
        <v>2023.033P.Pseudoviridae_Metaviridae_rename_sp.zip</v>
      </c>
      <c r="U13607" s="29" t="str">
        <f>HYPERLINK("https://ictv.global/taxonomy/taxondetails?taxnode_id=202303815","ictv.global=202303815")</f>
        <v>ictv.global=202303815</v>
      </c>
    </row>
    <row r="13608" spans="1:21">
      <c r="A13608">
        <v>13607</v>
      </c>
      <c r="B13608" s="30" t="s">
        <v>1226</v>
      </c>
      <c r="D13608" s="30" t="s">
        <v>2134</v>
      </c>
      <c r="F13608" s="30" t="s">
        <v>2135</v>
      </c>
      <c r="H13608" s="30" t="s">
        <v>2136</v>
      </c>
      <c r="J13608" s="30" t="s">
        <v>945</v>
      </c>
      <c r="L13608" s="30" t="s">
        <v>397</v>
      </c>
      <c r="N13608" s="30" t="s">
        <v>270</v>
      </c>
      <c r="P13608" s="30" t="s">
        <v>18372</v>
      </c>
      <c r="Q13608" t="s">
        <v>624</v>
      </c>
      <c r="R13608" t="s">
        <v>920</v>
      </c>
      <c r="S13608">
        <v>39</v>
      </c>
      <c r="T13608" s="29" t="str">
        <f t="shared" si="568"/>
        <v>2023.033P.Pseudoviridae_Metaviridae_rename_sp.zip</v>
      </c>
      <c r="U13608" s="29" t="str">
        <f>HYPERLINK("https://ictv.global/taxonomy/taxondetails?taxnode_id=202303823","ictv.global=202303823")</f>
        <v>ictv.global=202303823</v>
      </c>
    </row>
    <row r="13609" spans="1:21">
      <c r="A13609">
        <v>13608</v>
      </c>
      <c r="B13609" s="30" t="s">
        <v>1226</v>
      </c>
      <c r="D13609" s="30" t="s">
        <v>2134</v>
      </c>
      <c r="F13609" s="30" t="s">
        <v>2135</v>
      </c>
      <c r="H13609" s="30" t="s">
        <v>2136</v>
      </c>
      <c r="J13609" s="30" t="s">
        <v>945</v>
      </c>
      <c r="L13609" s="30" t="s">
        <v>397</v>
      </c>
      <c r="N13609" s="30" t="s">
        <v>270</v>
      </c>
      <c r="P13609" s="30" t="s">
        <v>18373</v>
      </c>
      <c r="Q13609" t="s">
        <v>624</v>
      </c>
      <c r="R13609" t="s">
        <v>920</v>
      </c>
      <c r="S13609">
        <v>39</v>
      </c>
      <c r="T13609" s="29" t="str">
        <f t="shared" si="568"/>
        <v>2023.033P.Pseudoviridae_Metaviridae_rename_sp.zip</v>
      </c>
      <c r="U13609" s="29" t="str">
        <f>HYPERLINK("https://ictv.global/taxonomy/taxondetails?taxnode_id=202303822","ictv.global=202303822")</f>
        <v>ictv.global=202303822</v>
      </c>
    </row>
    <row r="13610" spans="1:21">
      <c r="A13610">
        <v>13609</v>
      </c>
      <c r="B13610" s="30" t="s">
        <v>1226</v>
      </c>
      <c r="D13610" s="30" t="s">
        <v>2134</v>
      </c>
      <c r="F13610" s="30" t="s">
        <v>2135</v>
      </c>
      <c r="H13610" s="30" t="s">
        <v>2136</v>
      </c>
      <c r="J13610" s="30" t="s">
        <v>945</v>
      </c>
      <c r="L13610" s="30" t="s">
        <v>397</v>
      </c>
      <c r="N13610" s="30" t="s">
        <v>270</v>
      </c>
      <c r="P13610" s="30" t="s">
        <v>18374</v>
      </c>
      <c r="Q13610" t="s">
        <v>624</v>
      </c>
      <c r="R13610" t="s">
        <v>920</v>
      </c>
      <c r="S13610">
        <v>39</v>
      </c>
      <c r="T13610" s="29" t="str">
        <f t="shared" si="568"/>
        <v>2023.033P.Pseudoviridae_Metaviridae_rename_sp.zip</v>
      </c>
      <c r="U13610" s="29" t="str">
        <f>HYPERLINK("https://ictv.global/taxonomy/taxondetails?taxnode_id=202303821","ictv.global=202303821")</f>
        <v>ictv.global=202303821</v>
      </c>
    </row>
    <row r="13611" spans="1:21">
      <c r="A13611">
        <v>13610</v>
      </c>
      <c r="B13611" s="30" t="s">
        <v>1226</v>
      </c>
      <c r="D13611" s="30" t="s">
        <v>2134</v>
      </c>
      <c r="F13611" s="30" t="s">
        <v>2135</v>
      </c>
      <c r="H13611" s="30" t="s">
        <v>2136</v>
      </c>
      <c r="J13611" s="30" t="s">
        <v>945</v>
      </c>
      <c r="L13611" s="30" t="s">
        <v>397</v>
      </c>
      <c r="N13611" s="30" t="s">
        <v>272</v>
      </c>
      <c r="P13611" s="30" t="s">
        <v>18375</v>
      </c>
      <c r="Q13611" t="s">
        <v>624</v>
      </c>
      <c r="R13611" t="s">
        <v>920</v>
      </c>
      <c r="S13611">
        <v>39</v>
      </c>
      <c r="T13611" s="29" t="str">
        <f t="shared" si="568"/>
        <v>2023.033P.Pseudoviridae_Metaviridae_rename_sp.zip</v>
      </c>
      <c r="U13611" s="29" t="str">
        <f>HYPERLINK("https://ictv.global/taxonomy/taxondetails?taxnode_id=202303825","ictv.global=202303825")</f>
        <v>ictv.global=202303825</v>
      </c>
    </row>
    <row r="13612" spans="1:21">
      <c r="A13612">
        <v>13611</v>
      </c>
      <c r="B13612" s="30" t="s">
        <v>1226</v>
      </c>
      <c r="D13612" s="30" t="s">
        <v>2134</v>
      </c>
      <c r="F13612" s="30" t="s">
        <v>2135</v>
      </c>
      <c r="H13612" s="30" t="s">
        <v>2136</v>
      </c>
      <c r="J13612" s="30" t="s">
        <v>945</v>
      </c>
      <c r="L13612" s="30" t="s">
        <v>397</v>
      </c>
      <c r="N13612" s="30" t="s">
        <v>272</v>
      </c>
      <c r="P13612" s="30" t="s">
        <v>18376</v>
      </c>
      <c r="Q13612" t="s">
        <v>624</v>
      </c>
      <c r="R13612" t="s">
        <v>920</v>
      </c>
      <c r="S13612">
        <v>39</v>
      </c>
      <c r="T13612" s="29" t="str">
        <f t="shared" si="568"/>
        <v>2023.033P.Pseudoviridae_Metaviridae_rename_sp.zip</v>
      </c>
      <c r="U13612" s="29" t="str">
        <f>HYPERLINK("https://ictv.global/taxonomy/taxondetails?taxnode_id=202303833","ictv.global=202303833")</f>
        <v>ictv.global=202303833</v>
      </c>
    </row>
    <row r="13613" spans="1:21">
      <c r="A13613">
        <v>13612</v>
      </c>
      <c r="B13613" s="30" t="s">
        <v>1226</v>
      </c>
      <c r="D13613" s="30" t="s">
        <v>2134</v>
      </c>
      <c r="F13613" s="30" t="s">
        <v>2135</v>
      </c>
      <c r="H13613" s="30" t="s">
        <v>2136</v>
      </c>
      <c r="J13613" s="30" t="s">
        <v>945</v>
      </c>
      <c r="L13613" s="30" t="s">
        <v>397</v>
      </c>
      <c r="N13613" s="30" t="s">
        <v>272</v>
      </c>
      <c r="P13613" s="30" t="s">
        <v>18377</v>
      </c>
      <c r="Q13613" t="s">
        <v>624</v>
      </c>
      <c r="R13613" t="s">
        <v>920</v>
      </c>
      <c r="S13613">
        <v>39</v>
      </c>
      <c r="T13613" s="29" t="str">
        <f t="shared" si="568"/>
        <v>2023.033P.Pseudoviridae_Metaviridae_rename_sp.zip</v>
      </c>
      <c r="U13613" s="29" t="str">
        <f>HYPERLINK("https://ictv.global/taxonomy/taxondetails?taxnode_id=202303827","ictv.global=202303827")</f>
        <v>ictv.global=202303827</v>
      </c>
    </row>
    <row r="13614" spans="1:21">
      <c r="A13614">
        <v>13613</v>
      </c>
      <c r="B13614" s="30" t="s">
        <v>1226</v>
      </c>
      <c r="D13614" s="30" t="s">
        <v>2134</v>
      </c>
      <c r="F13614" s="30" t="s">
        <v>2135</v>
      </c>
      <c r="H13614" s="30" t="s">
        <v>2136</v>
      </c>
      <c r="J13614" s="30" t="s">
        <v>945</v>
      </c>
      <c r="L13614" s="30" t="s">
        <v>397</v>
      </c>
      <c r="N13614" s="30" t="s">
        <v>272</v>
      </c>
      <c r="P13614" s="30" t="s">
        <v>18378</v>
      </c>
      <c r="Q13614" t="s">
        <v>624</v>
      </c>
      <c r="R13614" t="s">
        <v>920</v>
      </c>
      <c r="S13614">
        <v>39</v>
      </c>
      <c r="T13614" s="29" t="str">
        <f t="shared" si="568"/>
        <v>2023.033P.Pseudoviridae_Metaviridae_rename_sp.zip</v>
      </c>
      <c r="U13614" s="29" t="str">
        <f>HYPERLINK("https://ictv.global/taxonomy/taxondetails?taxnode_id=202303828","ictv.global=202303828")</f>
        <v>ictv.global=202303828</v>
      </c>
    </row>
    <row r="13615" spans="1:21">
      <c r="A13615">
        <v>13614</v>
      </c>
      <c r="B13615" s="30" t="s">
        <v>1226</v>
      </c>
      <c r="D13615" s="30" t="s">
        <v>2134</v>
      </c>
      <c r="F13615" s="30" t="s">
        <v>2135</v>
      </c>
      <c r="H13615" s="30" t="s">
        <v>2136</v>
      </c>
      <c r="J13615" s="30" t="s">
        <v>945</v>
      </c>
      <c r="L13615" s="30" t="s">
        <v>397</v>
      </c>
      <c r="N13615" s="30" t="s">
        <v>272</v>
      </c>
      <c r="P13615" s="30" t="s">
        <v>18379</v>
      </c>
      <c r="Q13615" t="s">
        <v>624</v>
      </c>
      <c r="R13615" t="s">
        <v>920</v>
      </c>
      <c r="S13615">
        <v>39</v>
      </c>
      <c r="T13615" s="29" t="str">
        <f t="shared" si="568"/>
        <v>2023.033P.Pseudoviridae_Metaviridae_rename_sp.zip</v>
      </c>
      <c r="U13615" s="29" t="str">
        <f>HYPERLINK("https://ictv.global/taxonomy/taxondetails?taxnode_id=202303829","ictv.global=202303829")</f>
        <v>ictv.global=202303829</v>
      </c>
    </row>
    <row r="13616" spans="1:21">
      <c r="A13616">
        <v>13615</v>
      </c>
      <c r="B13616" s="30" t="s">
        <v>1226</v>
      </c>
      <c r="D13616" s="30" t="s">
        <v>2134</v>
      </c>
      <c r="F13616" s="30" t="s">
        <v>2135</v>
      </c>
      <c r="H13616" s="30" t="s">
        <v>2136</v>
      </c>
      <c r="J13616" s="30" t="s">
        <v>945</v>
      </c>
      <c r="L13616" s="30" t="s">
        <v>397</v>
      </c>
      <c r="N13616" s="30" t="s">
        <v>272</v>
      </c>
      <c r="P13616" s="30" t="s">
        <v>18380</v>
      </c>
      <c r="Q13616" t="s">
        <v>624</v>
      </c>
      <c r="R13616" t="s">
        <v>920</v>
      </c>
      <c r="S13616">
        <v>39</v>
      </c>
      <c r="T13616" s="29" t="str">
        <f t="shared" si="568"/>
        <v>2023.033P.Pseudoviridae_Metaviridae_rename_sp.zip</v>
      </c>
      <c r="U13616" s="29" t="str">
        <f>HYPERLINK("https://ictv.global/taxonomy/taxondetails?taxnode_id=202303830","ictv.global=202303830")</f>
        <v>ictv.global=202303830</v>
      </c>
    </row>
    <row r="13617" spans="1:21">
      <c r="A13617">
        <v>13616</v>
      </c>
      <c r="B13617" s="30" t="s">
        <v>1226</v>
      </c>
      <c r="D13617" s="30" t="s">
        <v>2134</v>
      </c>
      <c r="F13617" s="30" t="s">
        <v>2135</v>
      </c>
      <c r="H13617" s="30" t="s">
        <v>2136</v>
      </c>
      <c r="J13617" s="30" t="s">
        <v>945</v>
      </c>
      <c r="L13617" s="30" t="s">
        <v>397</v>
      </c>
      <c r="N13617" s="30" t="s">
        <v>272</v>
      </c>
      <c r="P13617" s="30" t="s">
        <v>18381</v>
      </c>
      <c r="Q13617" t="s">
        <v>624</v>
      </c>
      <c r="R13617" t="s">
        <v>920</v>
      </c>
      <c r="S13617">
        <v>39</v>
      </c>
      <c r="T13617" s="29" t="str">
        <f t="shared" si="568"/>
        <v>2023.033P.Pseudoviridae_Metaviridae_rename_sp.zip</v>
      </c>
      <c r="U13617" s="29" t="str">
        <f>HYPERLINK("https://ictv.global/taxonomy/taxondetails?taxnode_id=202303832","ictv.global=202303832")</f>
        <v>ictv.global=202303832</v>
      </c>
    </row>
    <row r="13618" spans="1:21">
      <c r="A13618">
        <v>13617</v>
      </c>
      <c r="B13618" s="30" t="s">
        <v>1226</v>
      </c>
      <c r="D13618" s="30" t="s">
        <v>2134</v>
      </c>
      <c r="F13618" s="30" t="s">
        <v>2135</v>
      </c>
      <c r="H13618" s="30" t="s">
        <v>2136</v>
      </c>
      <c r="J13618" s="30" t="s">
        <v>945</v>
      </c>
      <c r="L13618" s="30" t="s">
        <v>397</v>
      </c>
      <c r="N13618" s="30" t="s">
        <v>272</v>
      </c>
      <c r="P13618" s="30" t="s">
        <v>18382</v>
      </c>
      <c r="Q13618" t="s">
        <v>624</v>
      </c>
      <c r="R13618" t="s">
        <v>920</v>
      </c>
      <c r="S13618">
        <v>39</v>
      </c>
      <c r="T13618" s="29" t="str">
        <f t="shared" si="568"/>
        <v>2023.033P.Pseudoviridae_Metaviridae_rename_sp.zip</v>
      </c>
      <c r="U13618" s="29" t="str">
        <f>HYPERLINK("https://ictv.global/taxonomy/taxondetails?taxnode_id=202303842","ictv.global=202303842")</f>
        <v>ictv.global=202303842</v>
      </c>
    </row>
    <row r="13619" spans="1:21">
      <c r="A13619">
        <v>13618</v>
      </c>
      <c r="B13619" s="30" t="s">
        <v>1226</v>
      </c>
      <c r="D13619" s="30" t="s">
        <v>2134</v>
      </c>
      <c r="F13619" s="30" t="s">
        <v>2135</v>
      </c>
      <c r="H13619" s="30" t="s">
        <v>2136</v>
      </c>
      <c r="J13619" s="30" t="s">
        <v>945</v>
      </c>
      <c r="L13619" s="30" t="s">
        <v>397</v>
      </c>
      <c r="N13619" s="30" t="s">
        <v>272</v>
      </c>
      <c r="P13619" s="30" t="s">
        <v>18383</v>
      </c>
      <c r="Q13619" t="s">
        <v>624</v>
      </c>
      <c r="R13619" t="s">
        <v>920</v>
      </c>
      <c r="S13619">
        <v>39</v>
      </c>
      <c r="T13619" s="29" t="str">
        <f t="shared" si="568"/>
        <v>2023.033P.Pseudoviridae_Metaviridae_rename_sp.zip</v>
      </c>
      <c r="U13619" s="29" t="str">
        <f>HYPERLINK("https://ictv.global/taxonomy/taxondetails?taxnode_id=202303838","ictv.global=202303838")</f>
        <v>ictv.global=202303838</v>
      </c>
    </row>
    <row r="13620" spans="1:21">
      <c r="A13620">
        <v>13619</v>
      </c>
      <c r="B13620" s="30" t="s">
        <v>1226</v>
      </c>
      <c r="D13620" s="30" t="s">
        <v>2134</v>
      </c>
      <c r="F13620" s="30" t="s">
        <v>2135</v>
      </c>
      <c r="H13620" s="30" t="s">
        <v>2136</v>
      </c>
      <c r="J13620" s="30" t="s">
        <v>945</v>
      </c>
      <c r="L13620" s="30" t="s">
        <v>397</v>
      </c>
      <c r="N13620" s="30" t="s">
        <v>272</v>
      </c>
      <c r="P13620" s="30" t="s">
        <v>18384</v>
      </c>
      <c r="Q13620" t="s">
        <v>624</v>
      </c>
      <c r="R13620" t="s">
        <v>920</v>
      </c>
      <c r="S13620">
        <v>39</v>
      </c>
      <c r="T13620" s="29" t="str">
        <f t="shared" si="568"/>
        <v>2023.033P.Pseudoviridae_Metaviridae_rename_sp.zip</v>
      </c>
      <c r="U13620" s="29" t="str">
        <f>HYPERLINK("https://ictv.global/taxonomy/taxondetails?taxnode_id=202303839","ictv.global=202303839")</f>
        <v>ictv.global=202303839</v>
      </c>
    </row>
    <row r="13621" spans="1:21">
      <c r="A13621">
        <v>13620</v>
      </c>
      <c r="B13621" s="30" t="s">
        <v>1226</v>
      </c>
      <c r="D13621" s="30" t="s">
        <v>2134</v>
      </c>
      <c r="F13621" s="30" t="s">
        <v>2135</v>
      </c>
      <c r="H13621" s="30" t="s">
        <v>2136</v>
      </c>
      <c r="J13621" s="30" t="s">
        <v>945</v>
      </c>
      <c r="L13621" s="30" t="s">
        <v>397</v>
      </c>
      <c r="N13621" s="30" t="s">
        <v>272</v>
      </c>
      <c r="P13621" s="30" t="s">
        <v>18385</v>
      </c>
      <c r="Q13621" t="s">
        <v>624</v>
      </c>
      <c r="R13621" t="s">
        <v>920</v>
      </c>
      <c r="S13621">
        <v>39</v>
      </c>
      <c r="T13621" s="29" t="str">
        <f t="shared" si="568"/>
        <v>2023.033P.Pseudoviridae_Metaviridae_rename_sp.zip</v>
      </c>
      <c r="U13621" s="29" t="str">
        <f>HYPERLINK("https://ictv.global/taxonomy/taxondetails?taxnode_id=202303836","ictv.global=202303836")</f>
        <v>ictv.global=202303836</v>
      </c>
    </row>
    <row r="13622" spans="1:21">
      <c r="A13622">
        <v>13621</v>
      </c>
      <c r="B13622" s="30" t="s">
        <v>1226</v>
      </c>
      <c r="D13622" s="30" t="s">
        <v>2134</v>
      </c>
      <c r="F13622" s="30" t="s">
        <v>2135</v>
      </c>
      <c r="H13622" s="30" t="s">
        <v>2136</v>
      </c>
      <c r="J13622" s="30" t="s">
        <v>945</v>
      </c>
      <c r="L13622" s="30" t="s">
        <v>397</v>
      </c>
      <c r="N13622" s="30" t="s">
        <v>272</v>
      </c>
      <c r="P13622" s="30" t="s">
        <v>18386</v>
      </c>
      <c r="Q13622" t="s">
        <v>624</v>
      </c>
      <c r="R13622" t="s">
        <v>920</v>
      </c>
      <c r="S13622">
        <v>39</v>
      </c>
      <c r="T13622" s="29" t="str">
        <f t="shared" si="568"/>
        <v>2023.033P.Pseudoviridae_Metaviridae_rename_sp.zip</v>
      </c>
      <c r="U13622" s="29" t="str">
        <f>HYPERLINK("https://ictv.global/taxonomy/taxondetails?taxnode_id=202303831","ictv.global=202303831")</f>
        <v>ictv.global=202303831</v>
      </c>
    </row>
    <row r="13623" spans="1:21">
      <c r="A13623">
        <v>13622</v>
      </c>
      <c r="B13623" s="30" t="s">
        <v>1226</v>
      </c>
      <c r="D13623" s="30" t="s">
        <v>2134</v>
      </c>
      <c r="F13623" s="30" t="s">
        <v>2135</v>
      </c>
      <c r="H13623" s="30" t="s">
        <v>2136</v>
      </c>
      <c r="J13623" s="30" t="s">
        <v>945</v>
      </c>
      <c r="L13623" s="30" t="s">
        <v>397</v>
      </c>
      <c r="N13623" s="30" t="s">
        <v>272</v>
      </c>
      <c r="P13623" s="30" t="s">
        <v>18387</v>
      </c>
      <c r="Q13623" t="s">
        <v>624</v>
      </c>
      <c r="R13623" t="s">
        <v>920</v>
      </c>
      <c r="S13623">
        <v>39</v>
      </c>
      <c r="T13623" s="29" t="str">
        <f t="shared" si="568"/>
        <v>2023.033P.Pseudoviridae_Metaviridae_rename_sp.zip</v>
      </c>
      <c r="U13623" s="29" t="str">
        <f>HYPERLINK("https://ictv.global/taxonomy/taxondetails?taxnode_id=202303840","ictv.global=202303840")</f>
        <v>ictv.global=202303840</v>
      </c>
    </row>
    <row r="13624" spans="1:21">
      <c r="A13624">
        <v>13623</v>
      </c>
      <c r="B13624" s="30" t="s">
        <v>1226</v>
      </c>
      <c r="D13624" s="30" t="s">
        <v>2134</v>
      </c>
      <c r="F13624" s="30" t="s">
        <v>2135</v>
      </c>
      <c r="H13624" s="30" t="s">
        <v>2136</v>
      </c>
      <c r="J13624" s="30" t="s">
        <v>945</v>
      </c>
      <c r="L13624" s="30" t="s">
        <v>397</v>
      </c>
      <c r="N13624" s="30" t="s">
        <v>272</v>
      </c>
      <c r="P13624" s="30" t="s">
        <v>18388</v>
      </c>
      <c r="Q13624" t="s">
        <v>624</v>
      </c>
      <c r="R13624" t="s">
        <v>920</v>
      </c>
      <c r="S13624">
        <v>39</v>
      </c>
      <c r="T13624" s="29" t="str">
        <f t="shared" si="568"/>
        <v>2023.033P.Pseudoviridae_Metaviridae_rename_sp.zip</v>
      </c>
      <c r="U13624" s="29" t="str">
        <f>HYPERLINK("https://ictv.global/taxonomy/taxondetails?taxnode_id=202303843","ictv.global=202303843")</f>
        <v>ictv.global=202303843</v>
      </c>
    </row>
    <row r="13625" spans="1:21">
      <c r="A13625">
        <v>13624</v>
      </c>
      <c r="B13625" s="30" t="s">
        <v>1226</v>
      </c>
      <c r="D13625" s="30" t="s">
        <v>2134</v>
      </c>
      <c r="F13625" s="30" t="s">
        <v>2135</v>
      </c>
      <c r="H13625" s="30" t="s">
        <v>2136</v>
      </c>
      <c r="J13625" s="30" t="s">
        <v>945</v>
      </c>
      <c r="L13625" s="30" t="s">
        <v>397</v>
      </c>
      <c r="N13625" s="30" t="s">
        <v>272</v>
      </c>
      <c r="P13625" s="30" t="s">
        <v>18389</v>
      </c>
      <c r="Q13625" t="s">
        <v>624</v>
      </c>
      <c r="R13625" t="s">
        <v>920</v>
      </c>
      <c r="S13625">
        <v>39</v>
      </c>
      <c r="T13625" s="29" t="str">
        <f t="shared" si="568"/>
        <v>2023.033P.Pseudoviridae_Metaviridae_rename_sp.zip</v>
      </c>
      <c r="U13625" s="29" t="str">
        <f>HYPERLINK("https://ictv.global/taxonomy/taxondetails?taxnode_id=202303826","ictv.global=202303826")</f>
        <v>ictv.global=202303826</v>
      </c>
    </row>
    <row r="13626" spans="1:21">
      <c r="A13626">
        <v>13625</v>
      </c>
      <c r="B13626" s="30" t="s">
        <v>1226</v>
      </c>
      <c r="D13626" s="30" t="s">
        <v>2134</v>
      </c>
      <c r="F13626" s="30" t="s">
        <v>2135</v>
      </c>
      <c r="H13626" s="30" t="s">
        <v>2136</v>
      </c>
      <c r="J13626" s="30" t="s">
        <v>945</v>
      </c>
      <c r="L13626" s="30" t="s">
        <v>397</v>
      </c>
      <c r="N13626" s="30" t="s">
        <v>272</v>
      </c>
      <c r="P13626" s="30" t="s">
        <v>18390</v>
      </c>
      <c r="Q13626" t="s">
        <v>624</v>
      </c>
      <c r="R13626" t="s">
        <v>920</v>
      </c>
      <c r="S13626">
        <v>39</v>
      </c>
      <c r="T13626" s="29" t="str">
        <f t="shared" si="568"/>
        <v>2023.033P.Pseudoviridae_Metaviridae_rename_sp.zip</v>
      </c>
      <c r="U13626" s="29" t="str">
        <f>HYPERLINK("https://ictv.global/taxonomy/taxondetails?taxnode_id=202303844","ictv.global=202303844")</f>
        <v>ictv.global=202303844</v>
      </c>
    </row>
    <row r="13627" spans="1:21">
      <c r="A13627">
        <v>13626</v>
      </c>
      <c r="B13627" s="30" t="s">
        <v>1226</v>
      </c>
      <c r="D13627" s="30" t="s">
        <v>2134</v>
      </c>
      <c r="F13627" s="30" t="s">
        <v>2135</v>
      </c>
      <c r="H13627" s="30" t="s">
        <v>2136</v>
      </c>
      <c r="J13627" s="30" t="s">
        <v>945</v>
      </c>
      <c r="L13627" s="30" t="s">
        <v>397</v>
      </c>
      <c r="N13627" s="30" t="s">
        <v>272</v>
      </c>
      <c r="P13627" s="30" t="s">
        <v>18391</v>
      </c>
      <c r="Q13627" t="s">
        <v>624</v>
      </c>
      <c r="R13627" t="s">
        <v>920</v>
      </c>
      <c r="S13627">
        <v>39</v>
      </c>
      <c r="T13627" s="29" t="str">
        <f t="shared" si="568"/>
        <v>2023.033P.Pseudoviridae_Metaviridae_rename_sp.zip</v>
      </c>
      <c r="U13627" s="29" t="str">
        <f>HYPERLINK("https://ictv.global/taxonomy/taxondetails?taxnode_id=202303835","ictv.global=202303835")</f>
        <v>ictv.global=202303835</v>
      </c>
    </row>
    <row r="13628" spans="1:21">
      <c r="A13628">
        <v>13627</v>
      </c>
      <c r="B13628" s="30" t="s">
        <v>1226</v>
      </c>
      <c r="D13628" s="30" t="s">
        <v>2134</v>
      </c>
      <c r="F13628" s="30" t="s">
        <v>2135</v>
      </c>
      <c r="H13628" s="30" t="s">
        <v>2136</v>
      </c>
      <c r="J13628" s="30" t="s">
        <v>945</v>
      </c>
      <c r="L13628" s="30" t="s">
        <v>397</v>
      </c>
      <c r="N13628" s="30" t="s">
        <v>272</v>
      </c>
      <c r="P13628" s="30" t="s">
        <v>18392</v>
      </c>
      <c r="Q13628" t="s">
        <v>624</v>
      </c>
      <c r="R13628" t="s">
        <v>920</v>
      </c>
      <c r="S13628">
        <v>39</v>
      </c>
      <c r="T13628" s="29" t="str">
        <f t="shared" si="568"/>
        <v>2023.033P.Pseudoviridae_Metaviridae_rename_sp.zip</v>
      </c>
      <c r="U13628" s="29" t="str">
        <f>HYPERLINK("https://ictv.global/taxonomy/taxondetails?taxnode_id=202303845","ictv.global=202303845")</f>
        <v>ictv.global=202303845</v>
      </c>
    </row>
    <row r="13629" spans="1:21">
      <c r="A13629">
        <v>13628</v>
      </c>
      <c r="B13629" s="30" t="s">
        <v>1226</v>
      </c>
      <c r="D13629" s="30" t="s">
        <v>2134</v>
      </c>
      <c r="F13629" s="30" t="s">
        <v>2135</v>
      </c>
      <c r="H13629" s="30" t="s">
        <v>2136</v>
      </c>
      <c r="J13629" s="30" t="s">
        <v>945</v>
      </c>
      <c r="L13629" s="30" t="s">
        <v>397</v>
      </c>
      <c r="N13629" s="30" t="s">
        <v>272</v>
      </c>
      <c r="P13629" s="30" t="s">
        <v>18393</v>
      </c>
      <c r="Q13629" t="s">
        <v>624</v>
      </c>
      <c r="R13629" t="s">
        <v>920</v>
      </c>
      <c r="S13629">
        <v>39</v>
      </c>
      <c r="T13629" s="29" t="str">
        <f t="shared" si="568"/>
        <v>2023.033P.Pseudoviridae_Metaviridae_rename_sp.zip</v>
      </c>
      <c r="U13629" s="29" t="str">
        <f>HYPERLINK("https://ictv.global/taxonomy/taxondetails?taxnode_id=202303837","ictv.global=202303837")</f>
        <v>ictv.global=202303837</v>
      </c>
    </row>
    <row r="13630" spans="1:21">
      <c r="A13630">
        <v>13629</v>
      </c>
      <c r="B13630" s="30" t="s">
        <v>1226</v>
      </c>
      <c r="D13630" s="30" t="s">
        <v>2134</v>
      </c>
      <c r="F13630" s="30" t="s">
        <v>2135</v>
      </c>
      <c r="H13630" s="30" t="s">
        <v>2136</v>
      </c>
      <c r="J13630" s="30" t="s">
        <v>945</v>
      </c>
      <c r="L13630" s="30" t="s">
        <v>397</v>
      </c>
      <c r="N13630" s="30" t="s">
        <v>272</v>
      </c>
      <c r="P13630" s="30" t="s">
        <v>18394</v>
      </c>
      <c r="Q13630" t="s">
        <v>624</v>
      </c>
      <c r="R13630" t="s">
        <v>920</v>
      </c>
      <c r="S13630">
        <v>39</v>
      </c>
      <c r="T13630" s="29" t="str">
        <f t="shared" si="568"/>
        <v>2023.033P.Pseudoviridae_Metaviridae_rename_sp.zip</v>
      </c>
      <c r="U13630" s="29" t="str">
        <f>HYPERLINK("https://ictv.global/taxonomy/taxondetails?taxnode_id=202303834","ictv.global=202303834")</f>
        <v>ictv.global=202303834</v>
      </c>
    </row>
    <row r="13631" spans="1:21">
      <c r="A13631">
        <v>13630</v>
      </c>
      <c r="B13631" s="30" t="s">
        <v>1226</v>
      </c>
      <c r="D13631" s="30" t="s">
        <v>2134</v>
      </c>
      <c r="F13631" s="30" t="s">
        <v>2135</v>
      </c>
      <c r="H13631" s="30" t="s">
        <v>2136</v>
      </c>
      <c r="J13631" s="30" t="s">
        <v>945</v>
      </c>
      <c r="L13631" s="30" t="s">
        <v>397</v>
      </c>
      <c r="N13631" s="30" t="s">
        <v>272</v>
      </c>
      <c r="P13631" s="30" t="s">
        <v>18395</v>
      </c>
      <c r="Q13631" t="s">
        <v>624</v>
      </c>
      <c r="R13631" t="s">
        <v>920</v>
      </c>
      <c r="S13631">
        <v>39</v>
      </c>
      <c r="T13631" s="29" t="str">
        <f t="shared" si="568"/>
        <v>2023.033P.Pseudoviridae_Metaviridae_rename_sp.zip</v>
      </c>
      <c r="U13631" s="29" t="str">
        <f>HYPERLINK("https://ictv.global/taxonomy/taxondetails?taxnode_id=202303841","ictv.global=202303841")</f>
        <v>ictv.global=202303841</v>
      </c>
    </row>
    <row r="13632" spans="1:21">
      <c r="A13632">
        <v>13631</v>
      </c>
      <c r="B13632" s="30" t="s">
        <v>1226</v>
      </c>
      <c r="D13632" s="30" t="s">
        <v>2134</v>
      </c>
      <c r="F13632" s="30" t="s">
        <v>2135</v>
      </c>
      <c r="H13632" s="30" t="s">
        <v>2136</v>
      </c>
      <c r="J13632" s="30" t="s">
        <v>945</v>
      </c>
      <c r="L13632" s="30" t="s">
        <v>503</v>
      </c>
      <c r="N13632" s="30" t="s">
        <v>504</v>
      </c>
      <c r="P13632" s="30" t="s">
        <v>18396</v>
      </c>
      <c r="Q13632" t="s">
        <v>624</v>
      </c>
      <c r="R13632" t="s">
        <v>920</v>
      </c>
      <c r="S13632">
        <v>39</v>
      </c>
      <c r="T13632" s="29" t="str">
        <f t="shared" si="568"/>
        <v>2023.033P.Pseudoviridae_Metaviridae_rename_sp.zip</v>
      </c>
      <c r="U13632" s="29" t="str">
        <f>HYPERLINK("https://ictv.global/taxonomy/taxondetails?taxnode_id=202304830","ictv.global=202304830")</f>
        <v>ictv.global=202304830</v>
      </c>
    </row>
    <row r="13633" spans="1:21">
      <c r="A13633">
        <v>13632</v>
      </c>
      <c r="B13633" s="30" t="s">
        <v>1226</v>
      </c>
      <c r="D13633" s="30" t="s">
        <v>2134</v>
      </c>
      <c r="F13633" s="30" t="s">
        <v>2135</v>
      </c>
      <c r="H13633" s="30" t="s">
        <v>2136</v>
      </c>
      <c r="J13633" s="30" t="s">
        <v>945</v>
      </c>
      <c r="L13633" s="30" t="s">
        <v>503</v>
      </c>
      <c r="N13633" s="30" t="s">
        <v>504</v>
      </c>
      <c r="P13633" s="30" t="s">
        <v>18397</v>
      </c>
      <c r="Q13633" t="s">
        <v>624</v>
      </c>
      <c r="R13633" t="s">
        <v>920</v>
      </c>
      <c r="S13633">
        <v>39</v>
      </c>
      <c r="T13633" s="29" t="str">
        <f t="shared" ref="T13633:T13664" si="569">HYPERLINK("https://ictv.global/ictv/proposals/2023.033P.Pseudoviridae_Metaviridae_rename_sp.zip","2023.033P.Pseudoviridae_Metaviridae_rename_sp.zip")</f>
        <v>2023.033P.Pseudoviridae_Metaviridae_rename_sp.zip</v>
      </c>
      <c r="U13633" s="29" t="str">
        <f>HYPERLINK("https://ictv.global/taxonomy/taxondetails?taxnode_id=202304834","ictv.global=202304834")</f>
        <v>ictv.global=202304834</v>
      </c>
    </row>
    <row r="13634" spans="1:21">
      <c r="A13634">
        <v>13633</v>
      </c>
      <c r="B13634" s="30" t="s">
        <v>1226</v>
      </c>
      <c r="D13634" s="30" t="s">
        <v>2134</v>
      </c>
      <c r="F13634" s="30" t="s">
        <v>2135</v>
      </c>
      <c r="H13634" s="30" t="s">
        <v>2136</v>
      </c>
      <c r="J13634" s="30" t="s">
        <v>945</v>
      </c>
      <c r="L13634" s="30" t="s">
        <v>503</v>
      </c>
      <c r="N13634" s="30" t="s">
        <v>504</v>
      </c>
      <c r="P13634" s="30" t="s">
        <v>18398</v>
      </c>
      <c r="Q13634" t="s">
        <v>624</v>
      </c>
      <c r="R13634" t="s">
        <v>920</v>
      </c>
      <c r="S13634">
        <v>39</v>
      </c>
      <c r="T13634" s="29" t="str">
        <f t="shared" si="569"/>
        <v>2023.033P.Pseudoviridae_Metaviridae_rename_sp.zip</v>
      </c>
      <c r="U13634" s="29" t="str">
        <f>HYPERLINK("https://ictv.global/taxonomy/taxondetails?taxnode_id=202304833","ictv.global=202304833")</f>
        <v>ictv.global=202304833</v>
      </c>
    </row>
    <row r="13635" spans="1:21">
      <c r="A13635">
        <v>13634</v>
      </c>
      <c r="B13635" s="30" t="s">
        <v>1226</v>
      </c>
      <c r="D13635" s="30" t="s">
        <v>2134</v>
      </c>
      <c r="F13635" s="30" t="s">
        <v>2135</v>
      </c>
      <c r="H13635" s="30" t="s">
        <v>2136</v>
      </c>
      <c r="J13635" s="30" t="s">
        <v>945</v>
      </c>
      <c r="L13635" s="30" t="s">
        <v>503</v>
      </c>
      <c r="N13635" s="30" t="s">
        <v>504</v>
      </c>
      <c r="P13635" s="30" t="s">
        <v>18399</v>
      </c>
      <c r="Q13635" t="s">
        <v>624</v>
      </c>
      <c r="R13635" t="s">
        <v>920</v>
      </c>
      <c r="S13635">
        <v>39</v>
      </c>
      <c r="T13635" s="29" t="str">
        <f t="shared" si="569"/>
        <v>2023.033P.Pseudoviridae_Metaviridae_rename_sp.zip</v>
      </c>
      <c r="U13635" s="29" t="str">
        <f>HYPERLINK("https://ictv.global/taxonomy/taxondetails?taxnode_id=202304831","ictv.global=202304831")</f>
        <v>ictv.global=202304831</v>
      </c>
    </row>
    <row r="13636" spans="1:21">
      <c r="A13636">
        <v>13635</v>
      </c>
      <c r="B13636" s="30" t="s">
        <v>1226</v>
      </c>
      <c r="D13636" s="30" t="s">
        <v>2134</v>
      </c>
      <c r="F13636" s="30" t="s">
        <v>2135</v>
      </c>
      <c r="H13636" s="30" t="s">
        <v>2136</v>
      </c>
      <c r="J13636" s="30" t="s">
        <v>945</v>
      </c>
      <c r="L13636" s="30" t="s">
        <v>503</v>
      </c>
      <c r="N13636" s="30" t="s">
        <v>504</v>
      </c>
      <c r="P13636" s="30" t="s">
        <v>18400</v>
      </c>
      <c r="Q13636" t="s">
        <v>624</v>
      </c>
      <c r="R13636" t="s">
        <v>920</v>
      </c>
      <c r="S13636">
        <v>39</v>
      </c>
      <c r="T13636" s="29" t="str">
        <f t="shared" si="569"/>
        <v>2023.033P.Pseudoviridae_Metaviridae_rename_sp.zip</v>
      </c>
      <c r="U13636" s="29" t="str">
        <f>HYPERLINK("https://ictv.global/taxonomy/taxondetails?taxnode_id=202304837","ictv.global=202304837")</f>
        <v>ictv.global=202304837</v>
      </c>
    </row>
    <row r="13637" spans="1:21">
      <c r="A13637">
        <v>13636</v>
      </c>
      <c r="B13637" s="30" t="s">
        <v>1226</v>
      </c>
      <c r="D13637" s="30" t="s">
        <v>2134</v>
      </c>
      <c r="F13637" s="30" t="s">
        <v>2135</v>
      </c>
      <c r="H13637" s="30" t="s">
        <v>2136</v>
      </c>
      <c r="J13637" s="30" t="s">
        <v>945</v>
      </c>
      <c r="L13637" s="30" t="s">
        <v>503</v>
      </c>
      <c r="N13637" s="30" t="s">
        <v>504</v>
      </c>
      <c r="P13637" s="30" t="s">
        <v>18401</v>
      </c>
      <c r="Q13637" t="s">
        <v>624</v>
      </c>
      <c r="R13637" t="s">
        <v>920</v>
      </c>
      <c r="S13637">
        <v>39</v>
      </c>
      <c r="T13637" s="29" t="str">
        <f t="shared" si="569"/>
        <v>2023.033P.Pseudoviridae_Metaviridae_rename_sp.zip</v>
      </c>
      <c r="U13637" s="29" t="str">
        <f>HYPERLINK("https://ictv.global/taxonomy/taxondetails?taxnode_id=202304832","ictv.global=202304832")</f>
        <v>ictv.global=202304832</v>
      </c>
    </row>
    <row r="13638" spans="1:21">
      <c r="A13638">
        <v>13637</v>
      </c>
      <c r="B13638" s="30" t="s">
        <v>1226</v>
      </c>
      <c r="D13638" s="30" t="s">
        <v>2134</v>
      </c>
      <c r="F13638" s="30" t="s">
        <v>2135</v>
      </c>
      <c r="H13638" s="30" t="s">
        <v>2136</v>
      </c>
      <c r="J13638" s="30" t="s">
        <v>945</v>
      </c>
      <c r="L13638" s="30" t="s">
        <v>503</v>
      </c>
      <c r="N13638" s="30" t="s">
        <v>504</v>
      </c>
      <c r="P13638" s="30" t="s">
        <v>18402</v>
      </c>
      <c r="Q13638" t="s">
        <v>624</v>
      </c>
      <c r="R13638" t="s">
        <v>920</v>
      </c>
      <c r="S13638">
        <v>39</v>
      </c>
      <c r="T13638" s="29" t="str">
        <f t="shared" si="569"/>
        <v>2023.033P.Pseudoviridae_Metaviridae_rename_sp.zip</v>
      </c>
      <c r="U13638" s="29" t="str">
        <f>HYPERLINK("https://ictv.global/taxonomy/taxondetails?taxnode_id=202304835","ictv.global=202304835")</f>
        <v>ictv.global=202304835</v>
      </c>
    </row>
    <row r="13639" spans="1:21">
      <c r="A13639">
        <v>13638</v>
      </c>
      <c r="B13639" s="30" t="s">
        <v>1226</v>
      </c>
      <c r="D13639" s="30" t="s">
        <v>2134</v>
      </c>
      <c r="F13639" s="30" t="s">
        <v>2135</v>
      </c>
      <c r="H13639" s="30" t="s">
        <v>2136</v>
      </c>
      <c r="J13639" s="30" t="s">
        <v>945</v>
      </c>
      <c r="L13639" s="30" t="s">
        <v>503</v>
      </c>
      <c r="N13639" s="30" t="s">
        <v>504</v>
      </c>
      <c r="P13639" s="30" t="s">
        <v>18403</v>
      </c>
      <c r="Q13639" t="s">
        <v>624</v>
      </c>
      <c r="R13639" t="s">
        <v>920</v>
      </c>
      <c r="S13639">
        <v>39</v>
      </c>
      <c r="T13639" s="29" t="str">
        <f t="shared" si="569"/>
        <v>2023.033P.Pseudoviridae_Metaviridae_rename_sp.zip</v>
      </c>
      <c r="U13639" s="29" t="str">
        <f>HYPERLINK("https://ictv.global/taxonomy/taxondetails?taxnode_id=202304836","ictv.global=202304836")</f>
        <v>ictv.global=202304836</v>
      </c>
    </row>
    <row r="13640" spans="1:21">
      <c r="A13640">
        <v>13639</v>
      </c>
      <c r="B13640" s="30" t="s">
        <v>1226</v>
      </c>
      <c r="D13640" s="30" t="s">
        <v>2134</v>
      </c>
      <c r="F13640" s="30" t="s">
        <v>2135</v>
      </c>
      <c r="H13640" s="30" t="s">
        <v>2136</v>
      </c>
      <c r="J13640" s="30" t="s">
        <v>945</v>
      </c>
      <c r="L13640" s="30" t="s">
        <v>503</v>
      </c>
      <c r="N13640" s="30" t="s">
        <v>449</v>
      </c>
      <c r="P13640" s="30" t="s">
        <v>18404</v>
      </c>
      <c r="Q13640" t="s">
        <v>624</v>
      </c>
      <c r="R13640" t="s">
        <v>920</v>
      </c>
      <c r="S13640">
        <v>39</v>
      </c>
      <c r="T13640" s="29" t="str">
        <f t="shared" si="569"/>
        <v>2023.033P.Pseudoviridae_Metaviridae_rename_sp.zip</v>
      </c>
      <c r="U13640" s="29" t="str">
        <f>HYPERLINK("https://ictv.global/taxonomy/taxondetails?taxnode_id=202304842","ictv.global=202304842")</f>
        <v>ictv.global=202304842</v>
      </c>
    </row>
    <row r="13641" spans="1:21">
      <c r="A13641">
        <v>13640</v>
      </c>
      <c r="B13641" s="30" t="s">
        <v>1226</v>
      </c>
      <c r="D13641" s="30" t="s">
        <v>2134</v>
      </c>
      <c r="F13641" s="30" t="s">
        <v>2135</v>
      </c>
      <c r="H13641" s="30" t="s">
        <v>2136</v>
      </c>
      <c r="J13641" s="30" t="s">
        <v>945</v>
      </c>
      <c r="L13641" s="30" t="s">
        <v>503</v>
      </c>
      <c r="N13641" s="30" t="s">
        <v>449</v>
      </c>
      <c r="P13641" s="30" t="s">
        <v>18405</v>
      </c>
      <c r="Q13641" t="s">
        <v>624</v>
      </c>
      <c r="R13641" t="s">
        <v>920</v>
      </c>
      <c r="S13641">
        <v>39</v>
      </c>
      <c r="T13641" s="29" t="str">
        <f t="shared" si="569"/>
        <v>2023.033P.Pseudoviridae_Metaviridae_rename_sp.zip</v>
      </c>
      <c r="U13641" s="29" t="str">
        <f>HYPERLINK("https://ictv.global/taxonomy/taxondetails?taxnode_id=202304839","ictv.global=202304839")</f>
        <v>ictv.global=202304839</v>
      </c>
    </row>
    <row r="13642" spans="1:21">
      <c r="A13642">
        <v>13641</v>
      </c>
      <c r="B13642" s="30" t="s">
        <v>1226</v>
      </c>
      <c r="D13642" s="30" t="s">
        <v>2134</v>
      </c>
      <c r="F13642" s="30" t="s">
        <v>2135</v>
      </c>
      <c r="H13642" s="30" t="s">
        <v>2136</v>
      </c>
      <c r="J13642" s="30" t="s">
        <v>945</v>
      </c>
      <c r="L13642" s="30" t="s">
        <v>503</v>
      </c>
      <c r="N13642" s="30" t="s">
        <v>449</v>
      </c>
      <c r="P13642" s="30" t="s">
        <v>18406</v>
      </c>
      <c r="Q13642" t="s">
        <v>624</v>
      </c>
      <c r="R13642" t="s">
        <v>920</v>
      </c>
      <c r="S13642">
        <v>39</v>
      </c>
      <c r="T13642" s="29" t="str">
        <f t="shared" si="569"/>
        <v>2023.033P.Pseudoviridae_Metaviridae_rename_sp.zip</v>
      </c>
      <c r="U13642" s="29" t="str">
        <f>HYPERLINK("https://ictv.global/taxonomy/taxondetails?taxnode_id=202304840","ictv.global=202304840")</f>
        <v>ictv.global=202304840</v>
      </c>
    </row>
    <row r="13643" spans="1:21">
      <c r="A13643">
        <v>13642</v>
      </c>
      <c r="B13643" s="30" t="s">
        <v>1226</v>
      </c>
      <c r="D13643" s="30" t="s">
        <v>2134</v>
      </c>
      <c r="F13643" s="30" t="s">
        <v>2135</v>
      </c>
      <c r="H13643" s="30" t="s">
        <v>2136</v>
      </c>
      <c r="J13643" s="30" t="s">
        <v>945</v>
      </c>
      <c r="L13643" s="30" t="s">
        <v>503</v>
      </c>
      <c r="N13643" s="30" t="s">
        <v>449</v>
      </c>
      <c r="P13643" s="30" t="s">
        <v>18407</v>
      </c>
      <c r="Q13643" t="s">
        <v>624</v>
      </c>
      <c r="R13643" t="s">
        <v>920</v>
      </c>
      <c r="S13643">
        <v>39</v>
      </c>
      <c r="T13643" s="29" t="str">
        <f t="shared" si="569"/>
        <v>2023.033P.Pseudoviridae_Metaviridae_rename_sp.zip</v>
      </c>
      <c r="U13643" s="29" t="str">
        <f>HYPERLINK("https://ictv.global/taxonomy/taxondetails?taxnode_id=202304849","ictv.global=202304849")</f>
        <v>ictv.global=202304849</v>
      </c>
    </row>
    <row r="13644" spans="1:21">
      <c r="A13644">
        <v>13643</v>
      </c>
      <c r="B13644" s="30" t="s">
        <v>1226</v>
      </c>
      <c r="D13644" s="30" t="s">
        <v>2134</v>
      </c>
      <c r="F13644" s="30" t="s">
        <v>2135</v>
      </c>
      <c r="H13644" s="30" t="s">
        <v>2136</v>
      </c>
      <c r="J13644" s="30" t="s">
        <v>945</v>
      </c>
      <c r="L13644" s="30" t="s">
        <v>503</v>
      </c>
      <c r="N13644" s="30" t="s">
        <v>449</v>
      </c>
      <c r="P13644" s="30" t="s">
        <v>18408</v>
      </c>
      <c r="Q13644" t="s">
        <v>624</v>
      </c>
      <c r="R13644" t="s">
        <v>920</v>
      </c>
      <c r="S13644">
        <v>39</v>
      </c>
      <c r="T13644" s="29" t="str">
        <f t="shared" si="569"/>
        <v>2023.033P.Pseudoviridae_Metaviridae_rename_sp.zip</v>
      </c>
      <c r="U13644" s="29" t="str">
        <f>HYPERLINK("https://ictv.global/taxonomy/taxondetails?taxnode_id=202304843","ictv.global=202304843")</f>
        <v>ictv.global=202304843</v>
      </c>
    </row>
    <row r="13645" spans="1:21">
      <c r="A13645">
        <v>13644</v>
      </c>
      <c r="B13645" s="30" t="s">
        <v>1226</v>
      </c>
      <c r="D13645" s="30" t="s">
        <v>2134</v>
      </c>
      <c r="F13645" s="30" t="s">
        <v>2135</v>
      </c>
      <c r="H13645" s="30" t="s">
        <v>2136</v>
      </c>
      <c r="J13645" s="30" t="s">
        <v>945</v>
      </c>
      <c r="L13645" s="30" t="s">
        <v>503</v>
      </c>
      <c r="N13645" s="30" t="s">
        <v>449</v>
      </c>
      <c r="P13645" s="30" t="s">
        <v>18409</v>
      </c>
      <c r="Q13645" t="s">
        <v>624</v>
      </c>
      <c r="R13645" t="s">
        <v>920</v>
      </c>
      <c r="S13645">
        <v>39</v>
      </c>
      <c r="T13645" s="29" t="str">
        <f t="shared" si="569"/>
        <v>2023.033P.Pseudoviridae_Metaviridae_rename_sp.zip</v>
      </c>
      <c r="U13645" s="29" t="str">
        <f>HYPERLINK("https://ictv.global/taxonomy/taxondetails?taxnode_id=202304844","ictv.global=202304844")</f>
        <v>ictv.global=202304844</v>
      </c>
    </row>
    <row r="13646" spans="1:21">
      <c r="A13646">
        <v>13645</v>
      </c>
      <c r="B13646" s="30" t="s">
        <v>1226</v>
      </c>
      <c r="D13646" s="30" t="s">
        <v>2134</v>
      </c>
      <c r="F13646" s="30" t="s">
        <v>2135</v>
      </c>
      <c r="H13646" s="30" t="s">
        <v>2136</v>
      </c>
      <c r="J13646" s="30" t="s">
        <v>945</v>
      </c>
      <c r="L13646" s="30" t="s">
        <v>503</v>
      </c>
      <c r="N13646" s="30" t="s">
        <v>449</v>
      </c>
      <c r="P13646" s="30" t="s">
        <v>18410</v>
      </c>
      <c r="Q13646" t="s">
        <v>624</v>
      </c>
      <c r="R13646" t="s">
        <v>920</v>
      </c>
      <c r="S13646">
        <v>39</v>
      </c>
      <c r="T13646" s="29" t="str">
        <f t="shared" si="569"/>
        <v>2023.033P.Pseudoviridae_Metaviridae_rename_sp.zip</v>
      </c>
      <c r="U13646" s="29" t="str">
        <f>HYPERLINK("https://ictv.global/taxonomy/taxondetails?taxnode_id=202304853","ictv.global=202304853")</f>
        <v>ictv.global=202304853</v>
      </c>
    </row>
    <row r="13647" spans="1:21">
      <c r="A13647">
        <v>13646</v>
      </c>
      <c r="B13647" s="30" t="s">
        <v>1226</v>
      </c>
      <c r="D13647" s="30" t="s">
        <v>2134</v>
      </c>
      <c r="F13647" s="30" t="s">
        <v>2135</v>
      </c>
      <c r="H13647" s="30" t="s">
        <v>2136</v>
      </c>
      <c r="J13647" s="30" t="s">
        <v>945</v>
      </c>
      <c r="L13647" s="30" t="s">
        <v>503</v>
      </c>
      <c r="N13647" s="30" t="s">
        <v>449</v>
      </c>
      <c r="P13647" s="30" t="s">
        <v>18411</v>
      </c>
      <c r="Q13647" t="s">
        <v>624</v>
      </c>
      <c r="R13647" t="s">
        <v>920</v>
      </c>
      <c r="S13647">
        <v>39</v>
      </c>
      <c r="T13647" s="29" t="str">
        <f t="shared" si="569"/>
        <v>2023.033P.Pseudoviridae_Metaviridae_rename_sp.zip</v>
      </c>
      <c r="U13647" s="29" t="str">
        <f>HYPERLINK("https://ictv.global/taxonomy/taxondetails?taxnode_id=202304841","ictv.global=202304841")</f>
        <v>ictv.global=202304841</v>
      </c>
    </row>
    <row r="13648" spans="1:21">
      <c r="A13648">
        <v>13647</v>
      </c>
      <c r="B13648" s="30" t="s">
        <v>1226</v>
      </c>
      <c r="D13648" s="30" t="s">
        <v>2134</v>
      </c>
      <c r="F13648" s="30" t="s">
        <v>2135</v>
      </c>
      <c r="H13648" s="30" t="s">
        <v>2136</v>
      </c>
      <c r="J13648" s="30" t="s">
        <v>945</v>
      </c>
      <c r="L13648" s="30" t="s">
        <v>503</v>
      </c>
      <c r="N13648" s="30" t="s">
        <v>449</v>
      </c>
      <c r="P13648" s="30" t="s">
        <v>18412</v>
      </c>
      <c r="Q13648" t="s">
        <v>624</v>
      </c>
      <c r="R13648" t="s">
        <v>920</v>
      </c>
      <c r="S13648">
        <v>39</v>
      </c>
      <c r="T13648" s="29" t="str">
        <f t="shared" si="569"/>
        <v>2023.033P.Pseudoviridae_Metaviridae_rename_sp.zip</v>
      </c>
      <c r="U13648" s="29" t="str">
        <f>HYPERLINK("https://ictv.global/taxonomy/taxondetails?taxnode_id=202304845","ictv.global=202304845")</f>
        <v>ictv.global=202304845</v>
      </c>
    </row>
    <row r="13649" spans="1:21">
      <c r="A13649">
        <v>13648</v>
      </c>
      <c r="B13649" s="30" t="s">
        <v>1226</v>
      </c>
      <c r="D13649" s="30" t="s">
        <v>2134</v>
      </c>
      <c r="F13649" s="30" t="s">
        <v>2135</v>
      </c>
      <c r="H13649" s="30" t="s">
        <v>2136</v>
      </c>
      <c r="J13649" s="30" t="s">
        <v>945</v>
      </c>
      <c r="L13649" s="30" t="s">
        <v>503</v>
      </c>
      <c r="N13649" s="30" t="s">
        <v>449</v>
      </c>
      <c r="P13649" s="30" t="s">
        <v>18413</v>
      </c>
      <c r="Q13649" t="s">
        <v>624</v>
      </c>
      <c r="R13649" t="s">
        <v>920</v>
      </c>
      <c r="S13649">
        <v>39</v>
      </c>
      <c r="T13649" s="29" t="str">
        <f t="shared" si="569"/>
        <v>2023.033P.Pseudoviridae_Metaviridae_rename_sp.zip</v>
      </c>
      <c r="U13649" s="29" t="str">
        <f>HYPERLINK("https://ictv.global/taxonomy/taxondetails?taxnode_id=202304846","ictv.global=202304846")</f>
        <v>ictv.global=202304846</v>
      </c>
    </row>
    <row r="13650" spans="1:21">
      <c r="A13650">
        <v>13649</v>
      </c>
      <c r="B13650" s="30" t="s">
        <v>1226</v>
      </c>
      <c r="D13650" s="30" t="s">
        <v>2134</v>
      </c>
      <c r="F13650" s="30" t="s">
        <v>2135</v>
      </c>
      <c r="H13650" s="30" t="s">
        <v>2136</v>
      </c>
      <c r="J13650" s="30" t="s">
        <v>945</v>
      </c>
      <c r="L13650" s="30" t="s">
        <v>503</v>
      </c>
      <c r="N13650" s="30" t="s">
        <v>449</v>
      </c>
      <c r="P13650" s="30" t="s">
        <v>18414</v>
      </c>
      <c r="Q13650" t="s">
        <v>624</v>
      </c>
      <c r="R13650" t="s">
        <v>920</v>
      </c>
      <c r="S13650">
        <v>39</v>
      </c>
      <c r="T13650" s="29" t="str">
        <f t="shared" si="569"/>
        <v>2023.033P.Pseudoviridae_Metaviridae_rename_sp.zip</v>
      </c>
      <c r="U13650" s="29" t="str">
        <f>HYPERLINK("https://ictv.global/taxonomy/taxondetails?taxnode_id=202304858","ictv.global=202304858")</f>
        <v>ictv.global=202304858</v>
      </c>
    </row>
    <row r="13651" spans="1:21">
      <c r="A13651">
        <v>13650</v>
      </c>
      <c r="B13651" s="30" t="s">
        <v>1226</v>
      </c>
      <c r="D13651" s="30" t="s">
        <v>2134</v>
      </c>
      <c r="F13651" s="30" t="s">
        <v>2135</v>
      </c>
      <c r="H13651" s="30" t="s">
        <v>2136</v>
      </c>
      <c r="J13651" s="30" t="s">
        <v>945</v>
      </c>
      <c r="L13651" s="30" t="s">
        <v>503</v>
      </c>
      <c r="N13651" s="30" t="s">
        <v>449</v>
      </c>
      <c r="P13651" s="30" t="s">
        <v>18415</v>
      </c>
      <c r="Q13651" t="s">
        <v>624</v>
      </c>
      <c r="R13651" t="s">
        <v>920</v>
      </c>
      <c r="S13651">
        <v>39</v>
      </c>
      <c r="T13651" s="29" t="str">
        <f t="shared" si="569"/>
        <v>2023.033P.Pseudoviridae_Metaviridae_rename_sp.zip</v>
      </c>
      <c r="U13651" s="29" t="str">
        <f>HYPERLINK("https://ictv.global/taxonomy/taxondetails?taxnode_id=202304847","ictv.global=202304847")</f>
        <v>ictv.global=202304847</v>
      </c>
    </row>
    <row r="13652" spans="1:21">
      <c r="A13652">
        <v>13651</v>
      </c>
      <c r="B13652" s="30" t="s">
        <v>1226</v>
      </c>
      <c r="D13652" s="30" t="s">
        <v>2134</v>
      </c>
      <c r="F13652" s="30" t="s">
        <v>2135</v>
      </c>
      <c r="H13652" s="30" t="s">
        <v>2136</v>
      </c>
      <c r="J13652" s="30" t="s">
        <v>945</v>
      </c>
      <c r="L13652" s="30" t="s">
        <v>503</v>
      </c>
      <c r="N13652" s="30" t="s">
        <v>449</v>
      </c>
      <c r="P13652" s="30" t="s">
        <v>18416</v>
      </c>
      <c r="Q13652" t="s">
        <v>624</v>
      </c>
      <c r="R13652" t="s">
        <v>920</v>
      </c>
      <c r="S13652">
        <v>39</v>
      </c>
      <c r="T13652" s="29" t="str">
        <f t="shared" si="569"/>
        <v>2023.033P.Pseudoviridae_Metaviridae_rename_sp.zip</v>
      </c>
      <c r="U13652" s="29" t="str">
        <f>HYPERLINK("https://ictv.global/taxonomy/taxondetails?taxnode_id=202304850","ictv.global=202304850")</f>
        <v>ictv.global=202304850</v>
      </c>
    </row>
    <row r="13653" spans="1:21">
      <c r="A13653">
        <v>13652</v>
      </c>
      <c r="B13653" s="30" t="s">
        <v>1226</v>
      </c>
      <c r="D13653" s="30" t="s">
        <v>2134</v>
      </c>
      <c r="F13653" s="30" t="s">
        <v>2135</v>
      </c>
      <c r="H13653" s="30" t="s">
        <v>2136</v>
      </c>
      <c r="J13653" s="30" t="s">
        <v>945</v>
      </c>
      <c r="L13653" s="30" t="s">
        <v>503</v>
      </c>
      <c r="N13653" s="30" t="s">
        <v>449</v>
      </c>
      <c r="P13653" s="30" t="s">
        <v>18417</v>
      </c>
      <c r="Q13653" t="s">
        <v>624</v>
      </c>
      <c r="R13653" t="s">
        <v>920</v>
      </c>
      <c r="S13653">
        <v>39</v>
      </c>
      <c r="T13653" s="29" t="str">
        <f t="shared" si="569"/>
        <v>2023.033P.Pseudoviridae_Metaviridae_rename_sp.zip</v>
      </c>
      <c r="U13653" s="29" t="str">
        <f>HYPERLINK("https://ictv.global/taxonomy/taxondetails?taxnode_id=202304851","ictv.global=202304851")</f>
        <v>ictv.global=202304851</v>
      </c>
    </row>
    <row r="13654" spans="1:21">
      <c r="A13654">
        <v>13653</v>
      </c>
      <c r="B13654" s="30" t="s">
        <v>1226</v>
      </c>
      <c r="D13654" s="30" t="s">
        <v>2134</v>
      </c>
      <c r="F13654" s="30" t="s">
        <v>2135</v>
      </c>
      <c r="H13654" s="30" t="s">
        <v>2136</v>
      </c>
      <c r="J13654" s="30" t="s">
        <v>945</v>
      </c>
      <c r="L13654" s="30" t="s">
        <v>503</v>
      </c>
      <c r="N13654" s="30" t="s">
        <v>449</v>
      </c>
      <c r="P13654" s="30" t="s">
        <v>18418</v>
      </c>
      <c r="Q13654" t="s">
        <v>624</v>
      </c>
      <c r="R13654" t="s">
        <v>920</v>
      </c>
      <c r="S13654">
        <v>39</v>
      </c>
      <c r="T13654" s="29" t="str">
        <f t="shared" si="569"/>
        <v>2023.033P.Pseudoviridae_Metaviridae_rename_sp.zip</v>
      </c>
      <c r="U13654" s="29" t="str">
        <f>HYPERLINK("https://ictv.global/taxonomy/taxondetails?taxnode_id=202304855","ictv.global=202304855")</f>
        <v>ictv.global=202304855</v>
      </c>
    </row>
    <row r="13655" spans="1:21">
      <c r="A13655">
        <v>13654</v>
      </c>
      <c r="B13655" s="30" t="s">
        <v>1226</v>
      </c>
      <c r="D13655" s="30" t="s">
        <v>2134</v>
      </c>
      <c r="F13655" s="30" t="s">
        <v>2135</v>
      </c>
      <c r="H13655" s="30" t="s">
        <v>2136</v>
      </c>
      <c r="J13655" s="30" t="s">
        <v>945</v>
      </c>
      <c r="L13655" s="30" t="s">
        <v>503</v>
      </c>
      <c r="N13655" s="30" t="s">
        <v>449</v>
      </c>
      <c r="P13655" s="30" t="s">
        <v>18419</v>
      </c>
      <c r="Q13655" t="s">
        <v>624</v>
      </c>
      <c r="R13655" t="s">
        <v>920</v>
      </c>
      <c r="S13655">
        <v>39</v>
      </c>
      <c r="T13655" s="29" t="str">
        <f t="shared" si="569"/>
        <v>2023.033P.Pseudoviridae_Metaviridae_rename_sp.zip</v>
      </c>
      <c r="U13655" s="29" t="str">
        <f>HYPERLINK("https://ictv.global/taxonomy/taxondetails?taxnode_id=202304848","ictv.global=202304848")</f>
        <v>ictv.global=202304848</v>
      </c>
    </row>
    <row r="13656" spans="1:21">
      <c r="A13656">
        <v>13655</v>
      </c>
      <c r="B13656" s="30" t="s">
        <v>1226</v>
      </c>
      <c r="D13656" s="30" t="s">
        <v>2134</v>
      </c>
      <c r="F13656" s="30" t="s">
        <v>2135</v>
      </c>
      <c r="H13656" s="30" t="s">
        <v>2136</v>
      </c>
      <c r="J13656" s="30" t="s">
        <v>945</v>
      </c>
      <c r="L13656" s="30" t="s">
        <v>503</v>
      </c>
      <c r="N13656" s="30" t="s">
        <v>449</v>
      </c>
      <c r="P13656" s="30" t="s">
        <v>18420</v>
      </c>
      <c r="Q13656" t="s">
        <v>624</v>
      </c>
      <c r="R13656" t="s">
        <v>920</v>
      </c>
      <c r="S13656">
        <v>39</v>
      </c>
      <c r="T13656" s="29" t="str">
        <f t="shared" si="569"/>
        <v>2023.033P.Pseudoviridae_Metaviridae_rename_sp.zip</v>
      </c>
      <c r="U13656" s="29" t="str">
        <f>HYPERLINK("https://ictv.global/taxonomy/taxondetails?taxnode_id=202304854","ictv.global=202304854")</f>
        <v>ictv.global=202304854</v>
      </c>
    </row>
    <row r="13657" spans="1:21">
      <c r="A13657">
        <v>13656</v>
      </c>
      <c r="B13657" s="30" t="s">
        <v>1226</v>
      </c>
      <c r="D13657" s="30" t="s">
        <v>2134</v>
      </c>
      <c r="F13657" s="30" t="s">
        <v>2135</v>
      </c>
      <c r="H13657" s="30" t="s">
        <v>2136</v>
      </c>
      <c r="J13657" s="30" t="s">
        <v>945</v>
      </c>
      <c r="L13657" s="30" t="s">
        <v>503</v>
      </c>
      <c r="N13657" s="30" t="s">
        <v>449</v>
      </c>
      <c r="P13657" s="30" t="s">
        <v>18421</v>
      </c>
      <c r="Q13657" t="s">
        <v>624</v>
      </c>
      <c r="R13657" t="s">
        <v>920</v>
      </c>
      <c r="S13657">
        <v>39</v>
      </c>
      <c r="T13657" s="29" t="str">
        <f t="shared" si="569"/>
        <v>2023.033P.Pseudoviridae_Metaviridae_rename_sp.zip</v>
      </c>
      <c r="U13657" s="29" t="str">
        <f>HYPERLINK("https://ictv.global/taxonomy/taxondetails?taxnode_id=202304856","ictv.global=202304856")</f>
        <v>ictv.global=202304856</v>
      </c>
    </row>
    <row r="13658" spans="1:21">
      <c r="A13658">
        <v>13657</v>
      </c>
      <c r="B13658" s="30" t="s">
        <v>1226</v>
      </c>
      <c r="D13658" s="30" t="s">
        <v>2134</v>
      </c>
      <c r="F13658" s="30" t="s">
        <v>2135</v>
      </c>
      <c r="H13658" s="30" t="s">
        <v>2136</v>
      </c>
      <c r="J13658" s="30" t="s">
        <v>945</v>
      </c>
      <c r="L13658" s="30" t="s">
        <v>503</v>
      </c>
      <c r="N13658" s="30" t="s">
        <v>449</v>
      </c>
      <c r="P13658" s="30" t="s">
        <v>18422</v>
      </c>
      <c r="Q13658" t="s">
        <v>624</v>
      </c>
      <c r="R13658" t="s">
        <v>920</v>
      </c>
      <c r="S13658">
        <v>39</v>
      </c>
      <c r="T13658" s="29" t="str">
        <f t="shared" si="569"/>
        <v>2023.033P.Pseudoviridae_Metaviridae_rename_sp.zip</v>
      </c>
      <c r="U13658" s="29" t="str">
        <f>HYPERLINK("https://ictv.global/taxonomy/taxondetails?taxnode_id=202304852","ictv.global=202304852")</f>
        <v>ictv.global=202304852</v>
      </c>
    </row>
    <row r="13659" spans="1:21">
      <c r="A13659">
        <v>13658</v>
      </c>
      <c r="B13659" s="30" t="s">
        <v>1226</v>
      </c>
      <c r="D13659" s="30" t="s">
        <v>2134</v>
      </c>
      <c r="F13659" s="30" t="s">
        <v>2135</v>
      </c>
      <c r="H13659" s="30" t="s">
        <v>2136</v>
      </c>
      <c r="J13659" s="30" t="s">
        <v>945</v>
      </c>
      <c r="L13659" s="30" t="s">
        <v>503</v>
      </c>
      <c r="N13659" s="30" t="s">
        <v>449</v>
      </c>
      <c r="P13659" s="30" t="s">
        <v>18423</v>
      </c>
      <c r="Q13659" t="s">
        <v>624</v>
      </c>
      <c r="R13659" t="s">
        <v>920</v>
      </c>
      <c r="S13659">
        <v>39</v>
      </c>
      <c r="T13659" s="29" t="str">
        <f t="shared" si="569"/>
        <v>2023.033P.Pseudoviridae_Metaviridae_rename_sp.zip</v>
      </c>
      <c r="U13659" s="29" t="str">
        <f>HYPERLINK("https://ictv.global/taxonomy/taxondetails?taxnode_id=202304857","ictv.global=202304857")</f>
        <v>ictv.global=202304857</v>
      </c>
    </row>
    <row r="13660" spans="1:21">
      <c r="A13660">
        <v>13659</v>
      </c>
      <c r="B13660" s="30" t="s">
        <v>1226</v>
      </c>
      <c r="D13660" s="30" t="s">
        <v>2134</v>
      </c>
      <c r="F13660" s="30" t="s">
        <v>2135</v>
      </c>
      <c r="H13660" s="30" t="s">
        <v>2136</v>
      </c>
      <c r="J13660" s="30" t="s">
        <v>945</v>
      </c>
      <c r="L13660" s="30" t="s">
        <v>503</v>
      </c>
      <c r="N13660" s="30" t="s">
        <v>199</v>
      </c>
      <c r="P13660" s="30" t="s">
        <v>18424</v>
      </c>
      <c r="Q13660" t="s">
        <v>624</v>
      </c>
      <c r="R13660" t="s">
        <v>920</v>
      </c>
      <c r="S13660">
        <v>39</v>
      </c>
      <c r="T13660" s="29" t="str">
        <f t="shared" si="569"/>
        <v>2023.033P.Pseudoviridae_Metaviridae_rename_sp.zip</v>
      </c>
      <c r="U13660" s="29" t="str">
        <f>HYPERLINK("https://ictv.global/taxonomy/taxondetails?taxnode_id=202304860","ictv.global=202304860")</f>
        <v>ictv.global=202304860</v>
      </c>
    </row>
    <row r="13661" spans="1:21">
      <c r="A13661">
        <v>13660</v>
      </c>
      <c r="B13661" s="30" t="s">
        <v>1226</v>
      </c>
      <c r="D13661" s="30" t="s">
        <v>2134</v>
      </c>
      <c r="F13661" s="30" t="s">
        <v>2135</v>
      </c>
      <c r="H13661" s="30" t="s">
        <v>2136</v>
      </c>
      <c r="J13661" s="30" t="s">
        <v>945</v>
      </c>
      <c r="L13661" s="30" t="s">
        <v>503</v>
      </c>
      <c r="N13661" s="30" t="s">
        <v>199</v>
      </c>
      <c r="P13661" s="30" t="s">
        <v>18425</v>
      </c>
      <c r="Q13661" t="s">
        <v>624</v>
      </c>
      <c r="R13661" t="s">
        <v>920</v>
      </c>
      <c r="S13661">
        <v>39</v>
      </c>
      <c r="T13661" s="29" t="str">
        <f t="shared" si="569"/>
        <v>2023.033P.Pseudoviridae_Metaviridae_rename_sp.zip</v>
      </c>
      <c r="U13661" s="29" t="str">
        <f>HYPERLINK("https://ictv.global/taxonomy/taxondetails?taxnode_id=202304861","ictv.global=202304861")</f>
        <v>ictv.global=202304861</v>
      </c>
    </row>
    <row r="13662" spans="1:21">
      <c r="A13662">
        <v>13661</v>
      </c>
      <c r="B13662" s="30" t="s">
        <v>1226</v>
      </c>
      <c r="D13662" s="30" t="s">
        <v>2134</v>
      </c>
      <c r="F13662" s="30" t="s">
        <v>2135</v>
      </c>
      <c r="H13662" s="30" t="s">
        <v>2136</v>
      </c>
      <c r="J13662" s="30" t="s">
        <v>945</v>
      </c>
      <c r="L13662" s="30" t="s">
        <v>503</v>
      </c>
      <c r="N13662" s="30" t="s">
        <v>199</v>
      </c>
      <c r="P13662" s="30" t="s">
        <v>18426</v>
      </c>
      <c r="Q13662" t="s">
        <v>624</v>
      </c>
      <c r="R13662" t="s">
        <v>920</v>
      </c>
      <c r="S13662">
        <v>39</v>
      </c>
      <c r="T13662" s="29" t="str">
        <f t="shared" si="569"/>
        <v>2023.033P.Pseudoviridae_Metaviridae_rename_sp.zip</v>
      </c>
      <c r="U13662" s="29" t="str">
        <f>HYPERLINK("https://ictv.global/taxonomy/taxondetails?taxnode_id=202304862","ictv.global=202304862")</f>
        <v>ictv.global=202304862</v>
      </c>
    </row>
    <row r="13663" spans="1:21">
      <c r="A13663">
        <v>13662</v>
      </c>
      <c r="B13663" s="30" t="s">
        <v>1226</v>
      </c>
      <c r="D13663" s="30" t="s">
        <v>2134</v>
      </c>
      <c r="F13663" s="30" t="s">
        <v>2135</v>
      </c>
      <c r="H13663" s="30" t="s">
        <v>2136</v>
      </c>
      <c r="J13663" s="30" t="s">
        <v>945</v>
      </c>
      <c r="L13663" s="30" t="s">
        <v>503</v>
      </c>
      <c r="N13663" s="30" t="s">
        <v>199</v>
      </c>
      <c r="P13663" s="30" t="s">
        <v>18427</v>
      </c>
      <c r="Q13663" t="s">
        <v>624</v>
      </c>
      <c r="R13663" t="s">
        <v>920</v>
      </c>
      <c r="S13663">
        <v>39</v>
      </c>
      <c r="T13663" s="29" t="str">
        <f t="shared" si="569"/>
        <v>2023.033P.Pseudoviridae_Metaviridae_rename_sp.zip</v>
      </c>
      <c r="U13663" s="29" t="str">
        <f>HYPERLINK("https://ictv.global/taxonomy/taxondetails?taxnode_id=202304864","ictv.global=202304864")</f>
        <v>ictv.global=202304864</v>
      </c>
    </row>
    <row r="13664" spans="1:21">
      <c r="A13664">
        <v>13663</v>
      </c>
      <c r="B13664" s="30" t="s">
        <v>1226</v>
      </c>
      <c r="D13664" s="30" t="s">
        <v>2134</v>
      </c>
      <c r="F13664" s="30" t="s">
        <v>2135</v>
      </c>
      <c r="H13664" s="30" t="s">
        <v>2136</v>
      </c>
      <c r="J13664" s="30" t="s">
        <v>945</v>
      </c>
      <c r="L13664" s="30" t="s">
        <v>503</v>
      </c>
      <c r="N13664" s="30" t="s">
        <v>199</v>
      </c>
      <c r="P13664" s="30" t="s">
        <v>18428</v>
      </c>
      <c r="Q13664" t="s">
        <v>624</v>
      </c>
      <c r="R13664" t="s">
        <v>920</v>
      </c>
      <c r="S13664">
        <v>39</v>
      </c>
      <c r="T13664" s="29" t="str">
        <f t="shared" si="569"/>
        <v>2023.033P.Pseudoviridae_Metaviridae_rename_sp.zip</v>
      </c>
      <c r="U13664" s="29" t="str">
        <f>HYPERLINK("https://ictv.global/taxonomy/taxondetails?taxnode_id=202304863","ictv.global=202304863")</f>
        <v>ictv.global=202304863</v>
      </c>
    </row>
    <row r="13665" spans="1:21">
      <c r="A13665">
        <v>13664</v>
      </c>
      <c r="B13665" s="30" t="s">
        <v>1226</v>
      </c>
      <c r="D13665" s="30" t="s">
        <v>2134</v>
      </c>
      <c r="F13665" s="30" t="s">
        <v>2135</v>
      </c>
      <c r="H13665" s="30" t="s">
        <v>2136</v>
      </c>
      <c r="J13665" s="30" t="s">
        <v>945</v>
      </c>
      <c r="L13665" s="30" t="s">
        <v>143</v>
      </c>
      <c r="M13665" s="30" t="s">
        <v>144</v>
      </c>
      <c r="N13665" s="30" t="s">
        <v>145</v>
      </c>
      <c r="P13665" s="30" t="s">
        <v>18429</v>
      </c>
      <c r="Q13665" t="s">
        <v>624</v>
      </c>
      <c r="R13665" t="s">
        <v>920</v>
      </c>
      <c r="S13665">
        <v>39</v>
      </c>
      <c r="T13665" s="29" t="str">
        <f t="shared" ref="T13665:T13696" si="570">HYPERLINK("https://ictv.global/ictv/proposals/2023.009D.Retroviridae_68rensp.zip","2023.009D.Retroviridae_68rensp.zip")</f>
        <v>2023.009D.Retroviridae_68rensp.zip</v>
      </c>
      <c r="U13665" s="29" t="str">
        <f>HYPERLINK("https://ictv.global/taxonomy/taxondetails?taxnode_id=202304982","ictv.global=202304982")</f>
        <v>ictv.global=202304982</v>
      </c>
    </row>
    <row r="13666" spans="1:21">
      <c r="A13666">
        <v>13665</v>
      </c>
      <c r="B13666" s="30" t="s">
        <v>1226</v>
      </c>
      <c r="D13666" s="30" t="s">
        <v>2134</v>
      </c>
      <c r="F13666" s="30" t="s">
        <v>2135</v>
      </c>
      <c r="H13666" s="30" t="s">
        <v>2136</v>
      </c>
      <c r="J13666" s="30" t="s">
        <v>945</v>
      </c>
      <c r="L13666" s="30" t="s">
        <v>143</v>
      </c>
      <c r="M13666" s="30" t="s">
        <v>144</v>
      </c>
      <c r="N13666" s="30" t="s">
        <v>145</v>
      </c>
      <c r="P13666" s="30" t="s">
        <v>18430</v>
      </c>
      <c r="Q13666" t="s">
        <v>624</v>
      </c>
      <c r="R13666" t="s">
        <v>920</v>
      </c>
      <c r="S13666">
        <v>39</v>
      </c>
      <c r="T13666" s="29" t="str">
        <f t="shared" si="570"/>
        <v>2023.009D.Retroviridae_68rensp.zip</v>
      </c>
      <c r="U13666" s="29" t="str">
        <f>HYPERLINK("https://ictv.global/taxonomy/taxondetails?taxnode_id=202304987","ictv.global=202304987")</f>
        <v>ictv.global=202304987</v>
      </c>
    </row>
    <row r="13667" spans="1:21">
      <c r="A13667">
        <v>13666</v>
      </c>
      <c r="B13667" s="30" t="s">
        <v>1226</v>
      </c>
      <c r="D13667" s="30" t="s">
        <v>2134</v>
      </c>
      <c r="F13667" s="30" t="s">
        <v>2135</v>
      </c>
      <c r="H13667" s="30" t="s">
        <v>2136</v>
      </c>
      <c r="J13667" s="30" t="s">
        <v>945</v>
      </c>
      <c r="L13667" s="30" t="s">
        <v>143</v>
      </c>
      <c r="M13667" s="30" t="s">
        <v>144</v>
      </c>
      <c r="N13667" s="30" t="s">
        <v>145</v>
      </c>
      <c r="P13667" s="30" t="s">
        <v>18431</v>
      </c>
      <c r="Q13667" t="s">
        <v>624</v>
      </c>
      <c r="R13667" t="s">
        <v>920</v>
      </c>
      <c r="S13667">
        <v>39</v>
      </c>
      <c r="T13667" s="29" t="str">
        <f t="shared" si="570"/>
        <v>2023.009D.Retroviridae_68rensp.zip</v>
      </c>
      <c r="U13667" s="29" t="str">
        <f>HYPERLINK("https://ictv.global/taxonomy/taxondetails?taxnode_id=202304983","ictv.global=202304983")</f>
        <v>ictv.global=202304983</v>
      </c>
    </row>
    <row r="13668" spans="1:21">
      <c r="A13668">
        <v>13667</v>
      </c>
      <c r="B13668" s="30" t="s">
        <v>1226</v>
      </c>
      <c r="D13668" s="30" t="s">
        <v>2134</v>
      </c>
      <c r="F13668" s="30" t="s">
        <v>2135</v>
      </c>
      <c r="H13668" s="30" t="s">
        <v>2136</v>
      </c>
      <c r="J13668" s="30" t="s">
        <v>945</v>
      </c>
      <c r="L13668" s="30" t="s">
        <v>143</v>
      </c>
      <c r="M13668" s="30" t="s">
        <v>144</v>
      </c>
      <c r="N13668" s="30" t="s">
        <v>145</v>
      </c>
      <c r="P13668" s="30" t="s">
        <v>18432</v>
      </c>
      <c r="Q13668" t="s">
        <v>624</v>
      </c>
      <c r="R13668" t="s">
        <v>920</v>
      </c>
      <c r="S13668">
        <v>39</v>
      </c>
      <c r="T13668" s="29" t="str">
        <f t="shared" si="570"/>
        <v>2023.009D.Retroviridae_68rensp.zip</v>
      </c>
      <c r="U13668" s="29" t="str">
        <f>HYPERLINK("https://ictv.global/taxonomy/taxondetails?taxnode_id=202304984","ictv.global=202304984")</f>
        <v>ictv.global=202304984</v>
      </c>
    </row>
    <row r="13669" spans="1:21">
      <c r="A13669">
        <v>13668</v>
      </c>
      <c r="B13669" s="30" t="s">
        <v>1226</v>
      </c>
      <c r="D13669" s="30" t="s">
        <v>2134</v>
      </c>
      <c r="F13669" s="30" t="s">
        <v>2135</v>
      </c>
      <c r="H13669" s="30" t="s">
        <v>2136</v>
      </c>
      <c r="J13669" s="30" t="s">
        <v>945</v>
      </c>
      <c r="L13669" s="30" t="s">
        <v>143</v>
      </c>
      <c r="M13669" s="30" t="s">
        <v>144</v>
      </c>
      <c r="N13669" s="30" t="s">
        <v>145</v>
      </c>
      <c r="P13669" s="30" t="s">
        <v>18433</v>
      </c>
      <c r="Q13669" t="s">
        <v>624</v>
      </c>
      <c r="R13669" t="s">
        <v>920</v>
      </c>
      <c r="S13669">
        <v>39</v>
      </c>
      <c r="T13669" s="29" t="str">
        <f t="shared" si="570"/>
        <v>2023.009D.Retroviridae_68rensp.zip</v>
      </c>
      <c r="U13669" s="29" t="str">
        <f>HYPERLINK("https://ictv.global/taxonomy/taxondetails?taxnode_id=202304985","ictv.global=202304985")</f>
        <v>ictv.global=202304985</v>
      </c>
    </row>
    <row r="13670" spans="1:21">
      <c r="A13670">
        <v>13669</v>
      </c>
      <c r="B13670" s="30" t="s">
        <v>1226</v>
      </c>
      <c r="D13670" s="30" t="s">
        <v>2134</v>
      </c>
      <c r="F13670" s="30" t="s">
        <v>2135</v>
      </c>
      <c r="H13670" s="30" t="s">
        <v>2136</v>
      </c>
      <c r="J13670" s="30" t="s">
        <v>945</v>
      </c>
      <c r="L13670" s="30" t="s">
        <v>143</v>
      </c>
      <c r="M13670" s="30" t="s">
        <v>144</v>
      </c>
      <c r="N13670" s="30" t="s">
        <v>145</v>
      </c>
      <c r="P13670" s="30" t="s">
        <v>18434</v>
      </c>
      <c r="Q13670" t="s">
        <v>624</v>
      </c>
      <c r="R13670" t="s">
        <v>920</v>
      </c>
      <c r="S13670">
        <v>39</v>
      </c>
      <c r="T13670" s="29" t="str">
        <f t="shared" si="570"/>
        <v>2023.009D.Retroviridae_68rensp.zip</v>
      </c>
      <c r="U13670" s="29" t="str">
        <f>HYPERLINK("https://ictv.global/taxonomy/taxondetails?taxnode_id=202304988","ictv.global=202304988")</f>
        <v>ictv.global=202304988</v>
      </c>
    </row>
    <row r="13671" spans="1:21">
      <c r="A13671">
        <v>13670</v>
      </c>
      <c r="B13671" s="30" t="s">
        <v>1226</v>
      </c>
      <c r="D13671" s="30" t="s">
        <v>2134</v>
      </c>
      <c r="F13671" s="30" t="s">
        <v>2135</v>
      </c>
      <c r="H13671" s="30" t="s">
        <v>2136</v>
      </c>
      <c r="J13671" s="30" t="s">
        <v>945</v>
      </c>
      <c r="L13671" s="30" t="s">
        <v>143</v>
      </c>
      <c r="M13671" s="30" t="s">
        <v>144</v>
      </c>
      <c r="N13671" s="30" t="s">
        <v>145</v>
      </c>
      <c r="P13671" s="30" t="s">
        <v>18435</v>
      </c>
      <c r="Q13671" t="s">
        <v>624</v>
      </c>
      <c r="R13671" t="s">
        <v>920</v>
      </c>
      <c r="S13671">
        <v>39</v>
      </c>
      <c r="T13671" s="29" t="str">
        <f t="shared" si="570"/>
        <v>2023.009D.Retroviridae_68rensp.zip</v>
      </c>
      <c r="U13671" s="29" t="str">
        <f>HYPERLINK("https://ictv.global/taxonomy/taxondetails?taxnode_id=202304986","ictv.global=202304986")</f>
        <v>ictv.global=202304986</v>
      </c>
    </row>
    <row r="13672" spans="1:21">
      <c r="A13672">
        <v>13671</v>
      </c>
      <c r="B13672" s="30" t="s">
        <v>1226</v>
      </c>
      <c r="D13672" s="30" t="s">
        <v>2134</v>
      </c>
      <c r="F13672" s="30" t="s">
        <v>2135</v>
      </c>
      <c r="H13672" s="30" t="s">
        <v>2136</v>
      </c>
      <c r="J13672" s="30" t="s">
        <v>945</v>
      </c>
      <c r="L13672" s="30" t="s">
        <v>143</v>
      </c>
      <c r="M13672" s="30" t="s">
        <v>144</v>
      </c>
      <c r="N13672" s="30" t="s">
        <v>145</v>
      </c>
      <c r="P13672" s="30" t="s">
        <v>18436</v>
      </c>
      <c r="Q13672" t="s">
        <v>624</v>
      </c>
      <c r="R13672" t="s">
        <v>920</v>
      </c>
      <c r="S13672">
        <v>39</v>
      </c>
      <c r="T13672" s="29" t="str">
        <f t="shared" si="570"/>
        <v>2023.009D.Retroviridae_68rensp.zip</v>
      </c>
      <c r="U13672" s="29" t="str">
        <f>HYPERLINK("https://ictv.global/taxonomy/taxondetails?taxnode_id=202304989","ictv.global=202304989")</f>
        <v>ictv.global=202304989</v>
      </c>
    </row>
    <row r="13673" spans="1:21">
      <c r="A13673">
        <v>13672</v>
      </c>
      <c r="B13673" s="30" t="s">
        <v>1226</v>
      </c>
      <c r="D13673" s="30" t="s">
        <v>2134</v>
      </c>
      <c r="F13673" s="30" t="s">
        <v>2135</v>
      </c>
      <c r="H13673" s="30" t="s">
        <v>2136</v>
      </c>
      <c r="J13673" s="30" t="s">
        <v>945</v>
      </c>
      <c r="L13673" s="30" t="s">
        <v>143</v>
      </c>
      <c r="M13673" s="30" t="s">
        <v>144</v>
      </c>
      <c r="N13673" s="30" t="s">
        <v>145</v>
      </c>
      <c r="P13673" s="30" t="s">
        <v>18437</v>
      </c>
      <c r="Q13673" t="s">
        <v>624</v>
      </c>
      <c r="R13673" t="s">
        <v>920</v>
      </c>
      <c r="S13673">
        <v>39</v>
      </c>
      <c r="T13673" s="29" t="str">
        <f t="shared" si="570"/>
        <v>2023.009D.Retroviridae_68rensp.zip</v>
      </c>
      <c r="U13673" s="29" t="str">
        <f>HYPERLINK("https://ictv.global/taxonomy/taxondetails?taxnode_id=202304990","ictv.global=202304990")</f>
        <v>ictv.global=202304990</v>
      </c>
    </row>
    <row r="13674" spans="1:21">
      <c r="A13674">
        <v>13673</v>
      </c>
      <c r="B13674" s="30" t="s">
        <v>1226</v>
      </c>
      <c r="D13674" s="30" t="s">
        <v>2134</v>
      </c>
      <c r="F13674" s="30" t="s">
        <v>2135</v>
      </c>
      <c r="H13674" s="30" t="s">
        <v>2136</v>
      </c>
      <c r="J13674" s="30" t="s">
        <v>945</v>
      </c>
      <c r="L13674" s="30" t="s">
        <v>143</v>
      </c>
      <c r="M13674" s="30" t="s">
        <v>144</v>
      </c>
      <c r="N13674" s="30" t="s">
        <v>196</v>
      </c>
      <c r="P13674" s="30" t="s">
        <v>18438</v>
      </c>
      <c r="Q13674" t="s">
        <v>624</v>
      </c>
      <c r="R13674" t="s">
        <v>920</v>
      </c>
      <c r="S13674">
        <v>39</v>
      </c>
      <c r="T13674" s="29" t="str">
        <f t="shared" si="570"/>
        <v>2023.009D.Retroviridae_68rensp.zip</v>
      </c>
      <c r="U13674" s="29" t="str">
        <f>HYPERLINK("https://ictv.global/taxonomy/taxondetails?taxnode_id=202304993","ictv.global=202304993")</f>
        <v>ictv.global=202304993</v>
      </c>
    </row>
    <row r="13675" spans="1:21">
      <c r="A13675">
        <v>13674</v>
      </c>
      <c r="B13675" s="30" t="s">
        <v>1226</v>
      </c>
      <c r="D13675" s="30" t="s">
        <v>2134</v>
      </c>
      <c r="F13675" s="30" t="s">
        <v>2135</v>
      </c>
      <c r="H13675" s="30" t="s">
        <v>2136</v>
      </c>
      <c r="J13675" s="30" t="s">
        <v>945</v>
      </c>
      <c r="L13675" s="30" t="s">
        <v>143</v>
      </c>
      <c r="M13675" s="30" t="s">
        <v>144</v>
      </c>
      <c r="N13675" s="30" t="s">
        <v>196</v>
      </c>
      <c r="P13675" s="30" t="s">
        <v>18439</v>
      </c>
      <c r="Q13675" t="s">
        <v>624</v>
      </c>
      <c r="R13675" t="s">
        <v>920</v>
      </c>
      <c r="S13675">
        <v>39</v>
      </c>
      <c r="T13675" s="29" t="str">
        <f t="shared" si="570"/>
        <v>2023.009D.Retroviridae_68rensp.zip</v>
      </c>
      <c r="U13675" s="29" t="str">
        <f>HYPERLINK("https://ictv.global/taxonomy/taxondetails?taxnode_id=202304994","ictv.global=202304994")</f>
        <v>ictv.global=202304994</v>
      </c>
    </row>
    <row r="13676" spans="1:21">
      <c r="A13676">
        <v>13675</v>
      </c>
      <c r="B13676" s="30" t="s">
        <v>1226</v>
      </c>
      <c r="D13676" s="30" t="s">
        <v>2134</v>
      </c>
      <c r="F13676" s="30" t="s">
        <v>2135</v>
      </c>
      <c r="H13676" s="30" t="s">
        <v>2136</v>
      </c>
      <c r="J13676" s="30" t="s">
        <v>945</v>
      </c>
      <c r="L13676" s="30" t="s">
        <v>143</v>
      </c>
      <c r="M13676" s="30" t="s">
        <v>144</v>
      </c>
      <c r="N13676" s="30" t="s">
        <v>196</v>
      </c>
      <c r="P13676" s="30" t="s">
        <v>18440</v>
      </c>
      <c r="Q13676" t="s">
        <v>624</v>
      </c>
      <c r="R13676" t="s">
        <v>920</v>
      </c>
      <c r="S13676">
        <v>39</v>
      </c>
      <c r="T13676" s="29" t="str">
        <f t="shared" si="570"/>
        <v>2023.009D.Retroviridae_68rensp.zip</v>
      </c>
      <c r="U13676" s="29" t="str">
        <f>HYPERLINK("https://ictv.global/taxonomy/taxondetails?taxnode_id=202304995","ictv.global=202304995")</f>
        <v>ictv.global=202304995</v>
      </c>
    </row>
    <row r="13677" spans="1:21">
      <c r="A13677">
        <v>13676</v>
      </c>
      <c r="B13677" s="30" t="s">
        <v>1226</v>
      </c>
      <c r="D13677" s="30" t="s">
        <v>2134</v>
      </c>
      <c r="F13677" s="30" t="s">
        <v>2135</v>
      </c>
      <c r="H13677" s="30" t="s">
        <v>2136</v>
      </c>
      <c r="J13677" s="30" t="s">
        <v>945</v>
      </c>
      <c r="L13677" s="30" t="s">
        <v>143</v>
      </c>
      <c r="M13677" s="30" t="s">
        <v>144</v>
      </c>
      <c r="N13677" s="30" t="s">
        <v>196</v>
      </c>
      <c r="P13677" s="30" t="s">
        <v>18441</v>
      </c>
      <c r="Q13677" t="s">
        <v>624</v>
      </c>
      <c r="R13677" t="s">
        <v>920</v>
      </c>
      <c r="S13677">
        <v>39</v>
      </c>
      <c r="T13677" s="29" t="str">
        <f t="shared" si="570"/>
        <v>2023.009D.Retroviridae_68rensp.zip</v>
      </c>
      <c r="U13677" s="29" t="str">
        <f>HYPERLINK("https://ictv.global/taxonomy/taxondetails?taxnode_id=202304992","ictv.global=202304992")</f>
        <v>ictv.global=202304992</v>
      </c>
    </row>
    <row r="13678" spans="1:21">
      <c r="A13678">
        <v>13677</v>
      </c>
      <c r="B13678" s="30" t="s">
        <v>1226</v>
      </c>
      <c r="D13678" s="30" t="s">
        <v>2134</v>
      </c>
      <c r="F13678" s="30" t="s">
        <v>2135</v>
      </c>
      <c r="H13678" s="30" t="s">
        <v>2136</v>
      </c>
      <c r="J13678" s="30" t="s">
        <v>945</v>
      </c>
      <c r="L13678" s="30" t="s">
        <v>143</v>
      </c>
      <c r="M13678" s="30" t="s">
        <v>144</v>
      </c>
      <c r="N13678" s="30" t="s">
        <v>196</v>
      </c>
      <c r="P13678" s="30" t="s">
        <v>18442</v>
      </c>
      <c r="Q13678" t="s">
        <v>624</v>
      </c>
      <c r="R13678" t="s">
        <v>920</v>
      </c>
      <c r="S13678">
        <v>39</v>
      </c>
      <c r="T13678" s="29" t="str">
        <f t="shared" si="570"/>
        <v>2023.009D.Retroviridae_68rensp.zip</v>
      </c>
      <c r="U13678" s="29" t="str">
        <f>HYPERLINK("https://ictv.global/taxonomy/taxondetails?taxnode_id=202304996","ictv.global=202304996")</f>
        <v>ictv.global=202304996</v>
      </c>
    </row>
    <row r="13679" spans="1:21">
      <c r="A13679">
        <v>13678</v>
      </c>
      <c r="B13679" s="30" t="s">
        <v>1226</v>
      </c>
      <c r="D13679" s="30" t="s">
        <v>2134</v>
      </c>
      <c r="F13679" s="30" t="s">
        <v>2135</v>
      </c>
      <c r="H13679" s="30" t="s">
        <v>2136</v>
      </c>
      <c r="J13679" s="30" t="s">
        <v>945</v>
      </c>
      <c r="L13679" s="30" t="s">
        <v>143</v>
      </c>
      <c r="M13679" s="30" t="s">
        <v>144</v>
      </c>
      <c r="N13679" s="30" t="s">
        <v>220</v>
      </c>
      <c r="P13679" s="30" t="s">
        <v>18443</v>
      </c>
      <c r="Q13679" t="s">
        <v>624</v>
      </c>
      <c r="R13679" t="s">
        <v>920</v>
      </c>
      <c r="S13679">
        <v>39</v>
      </c>
      <c r="T13679" s="29" t="str">
        <f t="shared" si="570"/>
        <v>2023.009D.Retroviridae_68rensp.zip</v>
      </c>
      <c r="U13679" s="29" t="str">
        <f>HYPERLINK("https://ictv.global/taxonomy/taxondetails?taxnode_id=202304998","ictv.global=202304998")</f>
        <v>ictv.global=202304998</v>
      </c>
    </row>
    <row r="13680" spans="1:21">
      <c r="A13680">
        <v>13679</v>
      </c>
      <c r="B13680" s="30" t="s">
        <v>1226</v>
      </c>
      <c r="D13680" s="30" t="s">
        <v>2134</v>
      </c>
      <c r="F13680" s="30" t="s">
        <v>2135</v>
      </c>
      <c r="H13680" s="30" t="s">
        <v>2136</v>
      </c>
      <c r="J13680" s="30" t="s">
        <v>945</v>
      </c>
      <c r="L13680" s="30" t="s">
        <v>143</v>
      </c>
      <c r="M13680" s="30" t="s">
        <v>144</v>
      </c>
      <c r="N13680" s="30" t="s">
        <v>220</v>
      </c>
      <c r="P13680" s="30" t="s">
        <v>18444</v>
      </c>
      <c r="Q13680" t="s">
        <v>624</v>
      </c>
      <c r="R13680" t="s">
        <v>920</v>
      </c>
      <c r="S13680">
        <v>39</v>
      </c>
      <c r="T13680" s="29" t="str">
        <f t="shared" si="570"/>
        <v>2023.009D.Retroviridae_68rensp.zip</v>
      </c>
      <c r="U13680" s="29" t="str">
        <f>HYPERLINK("https://ictv.global/taxonomy/taxondetails?taxnode_id=202304999","ictv.global=202304999")</f>
        <v>ictv.global=202304999</v>
      </c>
    </row>
    <row r="13681" spans="1:21">
      <c r="A13681">
        <v>13680</v>
      </c>
      <c r="B13681" s="30" t="s">
        <v>1226</v>
      </c>
      <c r="D13681" s="30" t="s">
        <v>2134</v>
      </c>
      <c r="F13681" s="30" t="s">
        <v>2135</v>
      </c>
      <c r="H13681" s="30" t="s">
        <v>2136</v>
      </c>
      <c r="J13681" s="30" t="s">
        <v>945</v>
      </c>
      <c r="L13681" s="30" t="s">
        <v>143</v>
      </c>
      <c r="M13681" s="30" t="s">
        <v>144</v>
      </c>
      <c r="N13681" s="30" t="s">
        <v>220</v>
      </c>
      <c r="P13681" s="30" t="s">
        <v>18445</v>
      </c>
      <c r="Q13681" t="s">
        <v>624</v>
      </c>
      <c r="R13681" t="s">
        <v>920</v>
      </c>
      <c r="S13681">
        <v>39</v>
      </c>
      <c r="T13681" s="29" t="str">
        <f t="shared" si="570"/>
        <v>2023.009D.Retroviridae_68rensp.zip</v>
      </c>
      <c r="U13681" s="29" t="str">
        <f>HYPERLINK("https://ictv.global/taxonomy/taxondetails?taxnode_id=202305000","ictv.global=202305000")</f>
        <v>ictv.global=202305000</v>
      </c>
    </row>
    <row r="13682" spans="1:21">
      <c r="A13682">
        <v>13681</v>
      </c>
      <c r="B13682" s="30" t="s">
        <v>1226</v>
      </c>
      <c r="D13682" s="30" t="s">
        <v>2134</v>
      </c>
      <c r="F13682" s="30" t="s">
        <v>2135</v>
      </c>
      <c r="H13682" s="30" t="s">
        <v>2136</v>
      </c>
      <c r="J13682" s="30" t="s">
        <v>945</v>
      </c>
      <c r="L13682" s="30" t="s">
        <v>143</v>
      </c>
      <c r="M13682" s="30" t="s">
        <v>144</v>
      </c>
      <c r="N13682" s="30" t="s">
        <v>220</v>
      </c>
      <c r="P13682" s="30" t="s">
        <v>18446</v>
      </c>
      <c r="Q13682" t="s">
        <v>624</v>
      </c>
      <c r="R13682" t="s">
        <v>920</v>
      </c>
      <c r="S13682">
        <v>39</v>
      </c>
      <c r="T13682" s="29" t="str">
        <f t="shared" si="570"/>
        <v>2023.009D.Retroviridae_68rensp.zip</v>
      </c>
      <c r="U13682" s="29" t="str">
        <f>HYPERLINK("https://ictv.global/taxonomy/taxondetails?taxnode_id=202305001","ictv.global=202305001")</f>
        <v>ictv.global=202305001</v>
      </c>
    </row>
    <row r="13683" spans="1:21">
      <c r="A13683">
        <v>13682</v>
      </c>
      <c r="B13683" s="30" t="s">
        <v>1226</v>
      </c>
      <c r="D13683" s="30" t="s">
        <v>2134</v>
      </c>
      <c r="F13683" s="30" t="s">
        <v>2135</v>
      </c>
      <c r="H13683" s="30" t="s">
        <v>2136</v>
      </c>
      <c r="J13683" s="30" t="s">
        <v>945</v>
      </c>
      <c r="L13683" s="30" t="s">
        <v>143</v>
      </c>
      <c r="M13683" s="30" t="s">
        <v>144</v>
      </c>
      <c r="N13683" s="30" t="s">
        <v>221</v>
      </c>
      <c r="P13683" s="30" t="s">
        <v>18447</v>
      </c>
      <c r="Q13683" t="s">
        <v>624</v>
      </c>
      <c r="R13683" t="s">
        <v>920</v>
      </c>
      <c r="S13683">
        <v>39</v>
      </c>
      <c r="T13683" s="29" t="str">
        <f t="shared" si="570"/>
        <v>2023.009D.Retroviridae_68rensp.zip</v>
      </c>
      <c r="U13683" s="29" t="str">
        <f>HYPERLINK("https://ictv.global/taxonomy/taxondetails?taxnode_id=202305003","ictv.global=202305003")</f>
        <v>ictv.global=202305003</v>
      </c>
    </row>
    <row r="13684" spans="1:21">
      <c r="A13684">
        <v>13683</v>
      </c>
      <c r="B13684" s="30" t="s">
        <v>1226</v>
      </c>
      <c r="D13684" s="30" t="s">
        <v>2134</v>
      </c>
      <c r="F13684" s="30" t="s">
        <v>2135</v>
      </c>
      <c r="H13684" s="30" t="s">
        <v>2136</v>
      </c>
      <c r="J13684" s="30" t="s">
        <v>945</v>
      </c>
      <c r="L13684" s="30" t="s">
        <v>143</v>
      </c>
      <c r="M13684" s="30" t="s">
        <v>144</v>
      </c>
      <c r="N13684" s="30" t="s">
        <v>221</v>
      </c>
      <c r="P13684" s="30" t="s">
        <v>18448</v>
      </c>
      <c r="Q13684" t="s">
        <v>624</v>
      </c>
      <c r="R13684" t="s">
        <v>920</v>
      </c>
      <c r="S13684">
        <v>39</v>
      </c>
      <c r="T13684" s="29" t="str">
        <f t="shared" si="570"/>
        <v>2023.009D.Retroviridae_68rensp.zip</v>
      </c>
      <c r="U13684" s="29" t="str">
        <f>HYPERLINK("https://ictv.global/taxonomy/taxondetails?taxnode_id=202305004","ictv.global=202305004")</f>
        <v>ictv.global=202305004</v>
      </c>
    </row>
    <row r="13685" spans="1:21">
      <c r="A13685">
        <v>13684</v>
      </c>
      <c r="B13685" s="30" t="s">
        <v>1226</v>
      </c>
      <c r="D13685" s="30" t="s">
        <v>2134</v>
      </c>
      <c r="F13685" s="30" t="s">
        <v>2135</v>
      </c>
      <c r="H13685" s="30" t="s">
        <v>2136</v>
      </c>
      <c r="J13685" s="30" t="s">
        <v>945</v>
      </c>
      <c r="L13685" s="30" t="s">
        <v>143</v>
      </c>
      <c r="M13685" s="30" t="s">
        <v>144</v>
      </c>
      <c r="N13685" s="30" t="s">
        <v>221</v>
      </c>
      <c r="P13685" s="30" t="s">
        <v>18449</v>
      </c>
      <c r="Q13685" t="s">
        <v>624</v>
      </c>
      <c r="R13685" t="s">
        <v>920</v>
      </c>
      <c r="S13685">
        <v>39</v>
      </c>
      <c r="T13685" s="29" t="str">
        <f t="shared" si="570"/>
        <v>2023.009D.Retroviridae_68rensp.zip</v>
      </c>
      <c r="U13685" s="29" t="str">
        <f>HYPERLINK("https://ictv.global/taxonomy/taxondetails?taxnode_id=202305005","ictv.global=202305005")</f>
        <v>ictv.global=202305005</v>
      </c>
    </row>
    <row r="13686" spans="1:21">
      <c r="A13686">
        <v>13685</v>
      </c>
      <c r="B13686" s="30" t="s">
        <v>1226</v>
      </c>
      <c r="D13686" s="30" t="s">
        <v>2134</v>
      </c>
      <c r="F13686" s="30" t="s">
        <v>2135</v>
      </c>
      <c r="H13686" s="30" t="s">
        <v>2136</v>
      </c>
      <c r="J13686" s="30" t="s">
        <v>945</v>
      </c>
      <c r="L13686" s="30" t="s">
        <v>143</v>
      </c>
      <c r="M13686" s="30" t="s">
        <v>144</v>
      </c>
      <c r="N13686" s="30" t="s">
        <v>222</v>
      </c>
      <c r="P13686" s="30" t="s">
        <v>18450</v>
      </c>
      <c r="Q13686" t="s">
        <v>624</v>
      </c>
      <c r="R13686" t="s">
        <v>920</v>
      </c>
      <c r="S13686">
        <v>39</v>
      </c>
      <c r="T13686" s="29" t="str">
        <f t="shared" si="570"/>
        <v>2023.009D.Retroviridae_68rensp.zip</v>
      </c>
      <c r="U13686" s="29" t="str">
        <f>HYPERLINK("https://ictv.global/taxonomy/taxondetails?taxnode_id=202305020","ictv.global=202305020")</f>
        <v>ictv.global=202305020</v>
      </c>
    </row>
    <row r="13687" spans="1:21">
      <c r="A13687">
        <v>13686</v>
      </c>
      <c r="B13687" s="30" t="s">
        <v>1226</v>
      </c>
      <c r="D13687" s="30" t="s">
        <v>2134</v>
      </c>
      <c r="F13687" s="30" t="s">
        <v>2135</v>
      </c>
      <c r="H13687" s="30" t="s">
        <v>2136</v>
      </c>
      <c r="J13687" s="30" t="s">
        <v>945</v>
      </c>
      <c r="L13687" s="30" t="s">
        <v>143</v>
      </c>
      <c r="M13687" s="30" t="s">
        <v>144</v>
      </c>
      <c r="N13687" s="30" t="s">
        <v>222</v>
      </c>
      <c r="P13687" s="30" t="s">
        <v>18451</v>
      </c>
      <c r="Q13687" t="s">
        <v>624</v>
      </c>
      <c r="R13687" t="s">
        <v>920</v>
      </c>
      <c r="S13687">
        <v>39</v>
      </c>
      <c r="T13687" s="29" t="str">
        <f t="shared" si="570"/>
        <v>2023.009D.Retroviridae_68rensp.zip</v>
      </c>
      <c r="U13687" s="29" t="str">
        <f>HYPERLINK("https://ictv.global/taxonomy/taxondetails?taxnode_id=202305022","ictv.global=202305022")</f>
        <v>ictv.global=202305022</v>
      </c>
    </row>
    <row r="13688" spans="1:21">
      <c r="A13688">
        <v>13687</v>
      </c>
      <c r="B13688" s="30" t="s">
        <v>1226</v>
      </c>
      <c r="D13688" s="30" t="s">
        <v>2134</v>
      </c>
      <c r="F13688" s="30" t="s">
        <v>2135</v>
      </c>
      <c r="H13688" s="30" t="s">
        <v>2136</v>
      </c>
      <c r="J13688" s="30" t="s">
        <v>945</v>
      </c>
      <c r="L13688" s="30" t="s">
        <v>143</v>
      </c>
      <c r="M13688" s="30" t="s">
        <v>144</v>
      </c>
      <c r="N13688" s="30" t="s">
        <v>222</v>
      </c>
      <c r="P13688" s="30" t="s">
        <v>18452</v>
      </c>
      <c r="Q13688" t="s">
        <v>624</v>
      </c>
      <c r="R13688" t="s">
        <v>920</v>
      </c>
      <c r="S13688">
        <v>39</v>
      </c>
      <c r="T13688" s="29" t="str">
        <f t="shared" si="570"/>
        <v>2023.009D.Retroviridae_68rensp.zip</v>
      </c>
      <c r="U13688" s="29" t="str">
        <f>HYPERLINK("https://ictv.global/taxonomy/taxondetails?taxnode_id=202305007","ictv.global=202305007")</f>
        <v>ictv.global=202305007</v>
      </c>
    </row>
    <row r="13689" spans="1:21">
      <c r="A13689">
        <v>13688</v>
      </c>
      <c r="B13689" s="30" t="s">
        <v>1226</v>
      </c>
      <c r="D13689" s="30" t="s">
        <v>2134</v>
      </c>
      <c r="F13689" s="30" t="s">
        <v>2135</v>
      </c>
      <c r="H13689" s="30" t="s">
        <v>2136</v>
      </c>
      <c r="J13689" s="30" t="s">
        <v>945</v>
      </c>
      <c r="L13689" s="30" t="s">
        <v>143</v>
      </c>
      <c r="M13689" s="30" t="s">
        <v>144</v>
      </c>
      <c r="N13689" s="30" t="s">
        <v>222</v>
      </c>
      <c r="P13689" s="30" t="s">
        <v>18453</v>
      </c>
      <c r="Q13689" t="s">
        <v>624</v>
      </c>
      <c r="R13689" t="s">
        <v>920</v>
      </c>
      <c r="S13689">
        <v>39</v>
      </c>
      <c r="T13689" s="29" t="str">
        <f t="shared" si="570"/>
        <v>2023.009D.Retroviridae_68rensp.zip</v>
      </c>
      <c r="U13689" s="29" t="str">
        <f>HYPERLINK("https://ictv.global/taxonomy/taxondetails?taxnode_id=202305008","ictv.global=202305008")</f>
        <v>ictv.global=202305008</v>
      </c>
    </row>
    <row r="13690" spans="1:21">
      <c r="A13690">
        <v>13689</v>
      </c>
      <c r="B13690" s="30" t="s">
        <v>1226</v>
      </c>
      <c r="D13690" s="30" t="s">
        <v>2134</v>
      </c>
      <c r="F13690" s="30" t="s">
        <v>2135</v>
      </c>
      <c r="H13690" s="30" t="s">
        <v>2136</v>
      </c>
      <c r="J13690" s="30" t="s">
        <v>945</v>
      </c>
      <c r="L13690" s="30" t="s">
        <v>143</v>
      </c>
      <c r="M13690" s="30" t="s">
        <v>144</v>
      </c>
      <c r="N13690" s="30" t="s">
        <v>222</v>
      </c>
      <c r="P13690" s="30" t="s">
        <v>18454</v>
      </c>
      <c r="Q13690" t="s">
        <v>624</v>
      </c>
      <c r="R13690" t="s">
        <v>920</v>
      </c>
      <c r="S13690">
        <v>39</v>
      </c>
      <c r="T13690" s="29" t="str">
        <f t="shared" si="570"/>
        <v>2023.009D.Retroviridae_68rensp.zip</v>
      </c>
      <c r="U13690" s="29" t="str">
        <f>HYPERLINK("https://ictv.global/taxonomy/taxondetails?taxnode_id=202305009","ictv.global=202305009")</f>
        <v>ictv.global=202305009</v>
      </c>
    </row>
    <row r="13691" spans="1:21">
      <c r="A13691">
        <v>13690</v>
      </c>
      <c r="B13691" s="30" t="s">
        <v>1226</v>
      </c>
      <c r="D13691" s="30" t="s">
        <v>2134</v>
      </c>
      <c r="F13691" s="30" t="s">
        <v>2135</v>
      </c>
      <c r="H13691" s="30" t="s">
        <v>2136</v>
      </c>
      <c r="J13691" s="30" t="s">
        <v>945</v>
      </c>
      <c r="L13691" s="30" t="s">
        <v>143</v>
      </c>
      <c r="M13691" s="30" t="s">
        <v>144</v>
      </c>
      <c r="N13691" s="30" t="s">
        <v>222</v>
      </c>
      <c r="P13691" s="30" t="s">
        <v>18455</v>
      </c>
      <c r="Q13691" t="s">
        <v>624</v>
      </c>
      <c r="R13691" t="s">
        <v>920</v>
      </c>
      <c r="S13691">
        <v>39</v>
      </c>
      <c r="T13691" s="29" t="str">
        <f t="shared" si="570"/>
        <v>2023.009D.Retroviridae_68rensp.zip</v>
      </c>
      <c r="U13691" s="29" t="str">
        <f>HYPERLINK("https://ictv.global/taxonomy/taxondetails?taxnode_id=202305011","ictv.global=202305011")</f>
        <v>ictv.global=202305011</v>
      </c>
    </row>
    <row r="13692" spans="1:21">
      <c r="A13692">
        <v>13691</v>
      </c>
      <c r="B13692" s="30" t="s">
        <v>1226</v>
      </c>
      <c r="D13692" s="30" t="s">
        <v>2134</v>
      </c>
      <c r="F13692" s="30" t="s">
        <v>2135</v>
      </c>
      <c r="H13692" s="30" t="s">
        <v>2136</v>
      </c>
      <c r="J13692" s="30" t="s">
        <v>945</v>
      </c>
      <c r="L13692" s="30" t="s">
        <v>143</v>
      </c>
      <c r="M13692" s="30" t="s">
        <v>144</v>
      </c>
      <c r="N13692" s="30" t="s">
        <v>222</v>
      </c>
      <c r="P13692" s="30" t="s">
        <v>18456</v>
      </c>
      <c r="Q13692" t="s">
        <v>624</v>
      </c>
      <c r="R13692" t="s">
        <v>920</v>
      </c>
      <c r="S13692">
        <v>39</v>
      </c>
      <c r="T13692" s="29" t="str">
        <f t="shared" si="570"/>
        <v>2023.009D.Retroviridae_68rensp.zip</v>
      </c>
      <c r="U13692" s="29" t="str">
        <f>HYPERLINK("https://ictv.global/taxonomy/taxondetails?taxnode_id=202305014","ictv.global=202305014")</f>
        <v>ictv.global=202305014</v>
      </c>
    </row>
    <row r="13693" spans="1:21">
      <c r="A13693">
        <v>13692</v>
      </c>
      <c r="B13693" s="30" t="s">
        <v>1226</v>
      </c>
      <c r="D13693" s="30" t="s">
        <v>2134</v>
      </c>
      <c r="F13693" s="30" t="s">
        <v>2135</v>
      </c>
      <c r="H13693" s="30" t="s">
        <v>2136</v>
      </c>
      <c r="J13693" s="30" t="s">
        <v>945</v>
      </c>
      <c r="L13693" s="30" t="s">
        <v>143</v>
      </c>
      <c r="M13693" s="30" t="s">
        <v>144</v>
      </c>
      <c r="N13693" s="30" t="s">
        <v>222</v>
      </c>
      <c r="P13693" s="30" t="s">
        <v>18457</v>
      </c>
      <c r="Q13693" t="s">
        <v>624</v>
      </c>
      <c r="R13693" t="s">
        <v>920</v>
      </c>
      <c r="S13693">
        <v>39</v>
      </c>
      <c r="T13693" s="29" t="str">
        <f t="shared" si="570"/>
        <v>2023.009D.Retroviridae_68rensp.zip</v>
      </c>
      <c r="U13693" s="29" t="str">
        <f>HYPERLINK("https://ictv.global/taxonomy/taxondetails?taxnode_id=202305013","ictv.global=202305013")</f>
        <v>ictv.global=202305013</v>
      </c>
    </row>
    <row r="13694" spans="1:21">
      <c r="A13694">
        <v>13693</v>
      </c>
      <c r="B13694" s="30" t="s">
        <v>1226</v>
      </c>
      <c r="D13694" s="30" t="s">
        <v>2134</v>
      </c>
      <c r="F13694" s="30" t="s">
        <v>2135</v>
      </c>
      <c r="H13694" s="30" t="s">
        <v>2136</v>
      </c>
      <c r="J13694" s="30" t="s">
        <v>945</v>
      </c>
      <c r="L13694" s="30" t="s">
        <v>143</v>
      </c>
      <c r="M13694" s="30" t="s">
        <v>144</v>
      </c>
      <c r="N13694" s="30" t="s">
        <v>222</v>
      </c>
      <c r="P13694" s="30" t="s">
        <v>18458</v>
      </c>
      <c r="Q13694" t="s">
        <v>624</v>
      </c>
      <c r="R13694" t="s">
        <v>920</v>
      </c>
      <c r="S13694">
        <v>39</v>
      </c>
      <c r="T13694" s="29" t="str">
        <f t="shared" si="570"/>
        <v>2023.009D.Retroviridae_68rensp.zip</v>
      </c>
      <c r="U13694" s="29" t="str">
        <f>HYPERLINK("https://ictv.global/taxonomy/taxondetails?taxnode_id=202305015","ictv.global=202305015")</f>
        <v>ictv.global=202305015</v>
      </c>
    </row>
    <row r="13695" spans="1:21">
      <c r="A13695">
        <v>13694</v>
      </c>
      <c r="B13695" s="30" t="s">
        <v>1226</v>
      </c>
      <c r="D13695" s="30" t="s">
        <v>2134</v>
      </c>
      <c r="F13695" s="30" t="s">
        <v>2135</v>
      </c>
      <c r="H13695" s="30" t="s">
        <v>2136</v>
      </c>
      <c r="J13695" s="30" t="s">
        <v>945</v>
      </c>
      <c r="L13695" s="30" t="s">
        <v>143</v>
      </c>
      <c r="M13695" s="30" t="s">
        <v>144</v>
      </c>
      <c r="N13695" s="30" t="s">
        <v>222</v>
      </c>
      <c r="P13695" s="30" t="s">
        <v>18459</v>
      </c>
      <c r="Q13695" t="s">
        <v>624</v>
      </c>
      <c r="R13695" t="s">
        <v>920</v>
      </c>
      <c r="S13695">
        <v>39</v>
      </c>
      <c r="T13695" s="29" t="str">
        <f t="shared" si="570"/>
        <v>2023.009D.Retroviridae_68rensp.zip</v>
      </c>
      <c r="U13695" s="29" t="str">
        <f>HYPERLINK("https://ictv.global/taxonomy/taxondetails?taxnode_id=202305016","ictv.global=202305016")</f>
        <v>ictv.global=202305016</v>
      </c>
    </row>
    <row r="13696" spans="1:21">
      <c r="A13696">
        <v>13695</v>
      </c>
      <c r="B13696" s="30" t="s">
        <v>1226</v>
      </c>
      <c r="D13696" s="30" t="s">
        <v>2134</v>
      </c>
      <c r="F13696" s="30" t="s">
        <v>2135</v>
      </c>
      <c r="H13696" s="30" t="s">
        <v>2136</v>
      </c>
      <c r="J13696" s="30" t="s">
        <v>945</v>
      </c>
      <c r="L13696" s="30" t="s">
        <v>143</v>
      </c>
      <c r="M13696" s="30" t="s">
        <v>144</v>
      </c>
      <c r="N13696" s="30" t="s">
        <v>222</v>
      </c>
      <c r="P13696" s="30" t="s">
        <v>18460</v>
      </c>
      <c r="Q13696" t="s">
        <v>624</v>
      </c>
      <c r="R13696" t="s">
        <v>920</v>
      </c>
      <c r="S13696">
        <v>39</v>
      </c>
      <c r="T13696" s="29" t="str">
        <f t="shared" si="570"/>
        <v>2023.009D.Retroviridae_68rensp.zip</v>
      </c>
      <c r="U13696" s="29" t="str">
        <f>HYPERLINK("https://ictv.global/taxonomy/taxondetails?taxnode_id=202305017","ictv.global=202305017")</f>
        <v>ictv.global=202305017</v>
      </c>
    </row>
    <row r="13697" spans="1:21">
      <c r="A13697">
        <v>13696</v>
      </c>
      <c r="B13697" s="30" t="s">
        <v>1226</v>
      </c>
      <c r="D13697" s="30" t="s">
        <v>2134</v>
      </c>
      <c r="F13697" s="30" t="s">
        <v>2135</v>
      </c>
      <c r="H13697" s="30" t="s">
        <v>2136</v>
      </c>
      <c r="J13697" s="30" t="s">
        <v>945</v>
      </c>
      <c r="L13697" s="30" t="s">
        <v>143</v>
      </c>
      <c r="M13697" s="30" t="s">
        <v>144</v>
      </c>
      <c r="N13697" s="30" t="s">
        <v>222</v>
      </c>
      <c r="P13697" s="30" t="s">
        <v>18461</v>
      </c>
      <c r="Q13697" t="s">
        <v>624</v>
      </c>
      <c r="R13697" t="s">
        <v>920</v>
      </c>
      <c r="S13697">
        <v>39</v>
      </c>
      <c r="T13697" s="29" t="str">
        <f t="shared" ref="T13697:T13729" si="571">HYPERLINK("https://ictv.global/ictv/proposals/2023.009D.Retroviridae_68rensp.zip","2023.009D.Retroviridae_68rensp.zip")</f>
        <v>2023.009D.Retroviridae_68rensp.zip</v>
      </c>
      <c r="U13697" s="29" t="str">
        <f>HYPERLINK("https://ictv.global/taxonomy/taxondetails?taxnode_id=202305018","ictv.global=202305018")</f>
        <v>ictv.global=202305018</v>
      </c>
    </row>
    <row r="13698" spans="1:21">
      <c r="A13698">
        <v>13697</v>
      </c>
      <c r="B13698" s="30" t="s">
        <v>1226</v>
      </c>
      <c r="D13698" s="30" t="s">
        <v>2134</v>
      </c>
      <c r="F13698" s="30" t="s">
        <v>2135</v>
      </c>
      <c r="H13698" s="30" t="s">
        <v>2136</v>
      </c>
      <c r="J13698" s="30" t="s">
        <v>945</v>
      </c>
      <c r="L13698" s="30" t="s">
        <v>143</v>
      </c>
      <c r="M13698" s="30" t="s">
        <v>144</v>
      </c>
      <c r="N13698" s="30" t="s">
        <v>222</v>
      </c>
      <c r="P13698" s="30" t="s">
        <v>18462</v>
      </c>
      <c r="Q13698" t="s">
        <v>624</v>
      </c>
      <c r="R13698" t="s">
        <v>920</v>
      </c>
      <c r="S13698">
        <v>39</v>
      </c>
      <c r="T13698" s="29" t="str">
        <f t="shared" si="571"/>
        <v>2023.009D.Retroviridae_68rensp.zip</v>
      </c>
      <c r="U13698" s="29" t="str">
        <f>HYPERLINK("https://ictv.global/taxonomy/taxondetails?taxnode_id=202305019","ictv.global=202305019")</f>
        <v>ictv.global=202305019</v>
      </c>
    </row>
    <row r="13699" spans="1:21">
      <c r="A13699">
        <v>13698</v>
      </c>
      <c r="B13699" s="30" t="s">
        <v>1226</v>
      </c>
      <c r="D13699" s="30" t="s">
        <v>2134</v>
      </c>
      <c r="F13699" s="30" t="s">
        <v>2135</v>
      </c>
      <c r="H13699" s="30" t="s">
        <v>2136</v>
      </c>
      <c r="J13699" s="30" t="s">
        <v>945</v>
      </c>
      <c r="L13699" s="30" t="s">
        <v>143</v>
      </c>
      <c r="M13699" s="30" t="s">
        <v>144</v>
      </c>
      <c r="N13699" s="30" t="s">
        <v>222</v>
      </c>
      <c r="P13699" s="30" t="s">
        <v>18463</v>
      </c>
      <c r="Q13699" t="s">
        <v>624</v>
      </c>
      <c r="R13699" t="s">
        <v>920</v>
      </c>
      <c r="S13699">
        <v>39</v>
      </c>
      <c r="T13699" s="29" t="str">
        <f t="shared" si="571"/>
        <v>2023.009D.Retroviridae_68rensp.zip</v>
      </c>
      <c r="U13699" s="29" t="str">
        <f>HYPERLINK("https://ictv.global/taxonomy/taxondetails?taxnode_id=202305021","ictv.global=202305021")</f>
        <v>ictv.global=202305021</v>
      </c>
    </row>
    <row r="13700" spans="1:21">
      <c r="A13700">
        <v>13699</v>
      </c>
      <c r="B13700" s="30" t="s">
        <v>1226</v>
      </c>
      <c r="D13700" s="30" t="s">
        <v>2134</v>
      </c>
      <c r="F13700" s="30" t="s">
        <v>2135</v>
      </c>
      <c r="H13700" s="30" t="s">
        <v>2136</v>
      </c>
      <c r="J13700" s="30" t="s">
        <v>945</v>
      </c>
      <c r="L13700" s="30" t="s">
        <v>143</v>
      </c>
      <c r="M13700" s="30" t="s">
        <v>144</v>
      </c>
      <c r="N13700" s="30" t="s">
        <v>222</v>
      </c>
      <c r="P13700" s="30" t="s">
        <v>18464</v>
      </c>
      <c r="Q13700" t="s">
        <v>624</v>
      </c>
      <c r="R13700" t="s">
        <v>920</v>
      </c>
      <c r="S13700">
        <v>39</v>
      </c>
      <c r="T13700" s="29" t="str">
        <f t="shared" si="571"/>
        <v>2023.009D.Retroviridae_68rensp.zip</v>
      </c>
      <c r="U13700" s="29" t="str">
        <f>HYPERLINK("https://ictv.global/taxonomy/taxondetails?taxnode_id=202305024","ictv.global=202305024")</f>
        <v>ictv.global=202305024</v>
      </c>
    </row>
    <row r="13701" spans="1:21">
      <c r="A13701">
        <v>13700</v>
      </c>
      <c r="B13701" s="30" t="s">
        <v>1226</v>
      </c>
      <c r="D13701" s="30" t="s">
        <v>2134</v>
      </c>
      <c r="F13701" s="30" t="s">
        <v>2135</v>
      </c>
      <c r="H13701" s="30" t="s">
        <v>2136</v>
      </c>
      <c r="J13701" s="30" t="s">
        <v>945</v>
      </c>
      <c r="L13701" s="30" t="s">
        <v>143</v>
      </c>
      <c r="M13701" s="30" t="s">
        <v>144</v>
      </c>
      <c r="N13701" s="30" t="s">
        <v>373</v>
      </c>
      <c r="P13701" s="30" t="s">
        <v>18465</v>
      </c>
      <c r="Q13701" t="s">
        <v>624</v>
      </c>
      <c r="R13701" t="s">
        <v>920</v>
      </c>
      <c r="S13701">
        <v>39</v>
      </c>
      <c r="T13701" s="29" t="str">
        <f t="shared" si="571"/>
        <v>2023.009D.Retroviridae_68rensp.zip</v>
      </c>
      <c r="U13701" s="29" t="str">
        <f>HYPERLINK("https://ictv.global/taxonomy/taxondetails?taxnode_id=202305026","ictv.global=202305026")</f>
        <v>ictv.global=202305026</v>
      </c>
    </row>
    <row r="13702" spans="1:21">
      <c r="A13702">
        <v>13701</v>
      </c>
      <c r="B13702" s="30" t="s">
        <v>1226</v>
      </c>
      <c r="D13702" s="30" t="s">
        <v>2134</v>
      </c>
      <c r="F13702" s="30" t="s">
        <v>2135</v>
      </c>
      <c r="H13702" s="30" t="s">
        <v>2136</v>
      </c>
      <c r="J13702" s="30" t="s">
        <v>945</v>
      </c>
      <c r="L13702" s="30" t="s">
        <v>143</v>
      </c>
      <c r="M13702" s="30" t="s">
        <v>144</v>
      </c>
      <c r="N13702" s="30" t="s">
        <v>373</v>
      </c>
      <c r="P13702" s="30" t="s">
        <v>18466</v>
      </c>
      <c r="Q13702" t="s">
        <v>624</v>
      </c>
      <c r="R13702" t="s">
        <v>920</v>
      </c>
      <c r="S13702">
        <v>39</v>
      </c>
      <c r="T13702" s="29" t="str">
        <f t="shared" si="571"/>
        <v>2023.009D.Retroviridae_68rensp.zip</v>
      </c>
      <c r="U13702" s="29" t="str">
        <f>HYPERLINK("https://ictv.global/taxonomy/taxondetails?taxnode_id=202305032","ictv.global=202305032")</f>
        <v>ictv.global=202305032</v>
      </c>
    </row>
    <row r="13703" spans="1:21">
      <c r="A13703">
        <v>13702</v>
      </c>
      <c r="B13703" s="30" t="s">
        <v>1226</v>
      </c>
      <c r="D13703" s="30" t="s">
        <v>2134</v>
      </c>
      <c r="F13703" s="30" t="s">
        <v>2135</v>
      </c>
      <c r="H13703" s="30" t="s">
        <v>2136</v>
      </c>
      <c r="J13703" s="30" t="s">
        <v>945</v>
      </c>
      <c r="L13703" s="30" t="s">
        <v>143</v>
      </c>
      <c r="M13703" s="30" t="s">
        <v>144</v>
      </c>
      <c r="N13703" s="30" t="s">
        <v>373</v>
      </c>
      <c r="P13703" s="30" t="s">
        <v>18467</v>
      </c>
      <c r="Q13703" t="s">
        <v>624</v>
      </c>
      <c r="R13703" t="s">
        <v>920</v>
      </c>
      <c r="S13703">
        <v>39</v>
      </c>
      <c r="T13703" s="29" t="str">
        <f t="shared" si="571"/>
        <v>2023.009D.Retroviridae_68rensp.zip</v>
      </c>
      <c r="U13703" s="29" t="str">
        <f>HYPERLINK("https://ictv.global/taxonomy/taxondetails?taxnode_id=202305027","ictv.global=202305027")</f>
        <v>ictv.global=202305027</v>
      </c>
    </row>
    <row r="13704" spans="1:21">
      <c r="A13704">
        <v>13703</v>
      </c>
      <c r="B13704" s="30" t="s">
        <v>1226</v>
      </c>
      <c r="D13704" s="30" t="s">
        <v>2134</v>
      </c>
      <c r="F13704" s="30" t="s">
        <v>2135</v>
      </c>
      <c r="H13704" s="30" t="s">
        <v>2136</v>
      </c>
      <c r="J13704" s="30" t="s">
        <v>945</v>
      </c>
      <c r="L13704" s="30" t="s">
        <v>143</v>
      </c>
      <c r="M13704" s="30" t="s">
        <v>144</v>
      </c>
      <c r="N13704" s="30" t="s">
        <v>373</v>
      </c>
      <c r="P13704" s="30" t="s">
        <v>18468</v>
      </c>
      <c r="Q13704" t="s">
        <v>624</v>
      </c>
      <c r="R13704" t="s">
        <v>920</v>
      </c>
      <c r="S13704">
        <v>39</v>
      </c>
      <c r="T13704" s="29" t="str">
        <f t="shared" si="571"/>
        <v>2023.009D.Retroviridae_68rensp.zip</v>
      </c>
      <c r="U13704" s="29" t="str">
        <f>HYPERLINK("https://ictv.global/taxonomy/taxondetails?taxnode_id=202305028","ictv.global=202305028")</f>
        <v>ictv.global=202305028</v>
      </c>
    </row>
    <row r="13705" spans="1:21">
      <c r="A13705">
        <v>13704</v>
      </c>
      <c r="B13705" s="30" t="s">
        <v>1226</v>
      </c>
      <c r="D13705" s="30" t="s">
        <v>2134</v>
      </c>
      <c r="F13705" s="30" t="s">
        <v>2135</v>
      </c>
      <c r="H13705" s="30" t="s">
        <v>2136</v>
      </c>
      <c r="J13705" s="30" t="s">
        <v>945</v>
      </c>
      <c r="L13705" s="30" t="s">
        <v>143</v>
      </c>
      <c r="M13705" s="30" t="s">
        <v>144</v>
      </c>
      <c r="N13705" s="30" t="s">
        <v>373</v>
      </c>
      <c r="P13705" s="30" t="s">
        <v>18469</v>
      </c>
      <c r="Q13705" t="s">
        <v>624</v>
      </c>
      <c r="R13705" t="s">
        <v>920</v>
      </c>
      <c r="S13705">
        <v>39</v>
      </c>
      <c r="T13705" s="29" t="str">
        <f t="shared" si="571"/>
        <v>2023.009D.Retroviridae_68rensp.zip</v>
      </c>
      <c r="U13705" s="29" t="str">
        <f>HYPERLINK("https://ictv.global/taxonomy/taxondetails?taxnode_id=202305029","ictv.global=202305029")</f>
        <v>ictv.global=202305029</v>
      </c>
    </row>
    <row r="13706" spans="1:21">
      <c r="A13706">
        <v>13705</v>
      </c>
      <c r="B13706" s="30" t="s">
        <v>1226</v>
      </c>
      <c r="D13706" s="30" t="s">
        <v>2134</v>
      </c>
      <c r="F13706" s="30" t="s">
        <v>2135</v>
      </c>
      <c r="H13706" s="30" t="s">
        <v>2136</v>
      </c>
      <c r="J13706" s="30" t="s">
        <v>945</v>
      </c>
      <c r="L13706" s="30" t="s">
        <v>143</v>
      </c>
      <c r="M13706" s="30" t="s">
        <v>144</v>
      </c>
      <c r="N13706" s="30" t="s">
        <v>373</v>
      </c>
      <c r="P13706" s="30" t="s">
        <v>18470</v>
      </c>
      <c r="Q13706" t="s">
        <v>624</v>
      </c>
      <c r="R13706" t="s">
        <v>920</v>
      </c>
      <c r="S13706">
        <v>39</v>
      </c>
      <c r="T13706" s="29" t="str">
        <f t="shared" si="571"/>
        <v>2023.009D.Retroviridae_68rensp.zip</v>
      </c>
      <c r="U13706" s="29" t="str">
        <f>HYPERLINK("https://ictv.global/taxonomy/taxondetails?taxnode_id=202305030","ictv.global=202305030")</f>
        <v>ictv.global=202305030</v>
      </c>
    </row>
    <row r="13707" spans="1:21">
      <c r="A13707">
        <v>13706</v>
      </c>
      <c r="B13707" s="30" t="s">
        <v>1226</v>
      </c>
      <c r="D13707" s="30" t="s">
        <v>2134</v>
      </c>
      <c r="F13707" s="30" t="s">
        <v>2135</v>
      </c>
      <c r="H13707" s="30" t="s">
        <v>2136</v>
      </c>
      <c r="J13707" s="30" t="s">
        <v>945</v>
      </c>
      <c r="L13707" s="30" t="s">
        <v>143</v>
      </c>
      <c r="M13707" s="30" t="s">
        <v>144</v>
      </c>
      <c r="N13707" s="30" t="s">
        <v>373</v>
      </c>
      <c r="P13707" s="30" t="s">
        <v>18471</v>
      </c>
      <c r="Q13707" t="s">
        <v>624</v>
      </c>
      <c r="R13707" t="s">
        <v>920</v>
      </c>
      <c r="S13707">
        <v>39</v>
      </c>
      <c r="T13707" s="29" t="str">
        <f t="shared" si="571"/>
        <v>2023.009D.Retroviridae_68rensp.zip</v>
      </c>
      <c r="U13707" s="29" t="str">
        <f>HYPERLINK("https://ictv.global/taxonomy/taxondetails?taxnode_id=202305031","ictv.global=202305031")</f>
        <v>ictv.global=202305031</v>
      </c>
    </row>
    <row r="13708" spans="1:21">
      <c r="A13708">
        <v>13707</v>
      </c>
      <c r="B13708" s="30" t="s">
        <v>1226</v>
      </c>
      <c r="D13708" s="30" t="s">
        <v>2134</v>
      </c>
      <c r="F13708" s="30" t="s">
        <v>2135</v>
      </c>
      <c r="H13708" s="30" t="s">
        <v>2136</v>
      </c>
      <c r="J13708" s="30" t="s">
        <v>945</v>
      </c>
      <c r="L13708" s="30" t="s">
        <v>143</v>
      </c>
      <c r="M13708" s="30" t="s">
        <v>144</v>
      </c>
      <c r="N13708" s="30" t="s">
        <v>373</v>
      </c>
      <c r="P13708" s="30" t="s">
        <v>18472</v>
      </c>
      <c r="Q13708" t="s">
        <v>624</v>
      </c>
      <c r="R13708" t="s">
        <v>920</v>
      </c>
      <c r="S13708">
        <v>39</v>
      </c>
      <c r="T13708" s="29" t="str">
        <f t="shared" si="571"/>
        <v>2023.009D.Retroviridae_68rensp.zip</v>
      </c>
      <c r="U13708" s="29" t="str">
        <f>HYPERLINK("https://ictv.global/taxonomy/taxondetails?taxnode_id=202305035","ictv.global=202305035")</f>
        <v>ictv.global=202305035</v>
      </c>
    </row>
    <row r="13709" spans="1:21">
      <c r="A13709">
        <v>13708</v>
      </c>
      <c r="B13709" s="30" t="s">
        <v>1226</v>
      </c>
      <c r="D13709" s="30" t="s">
        <v>2134</v>
      </c>
      <c r="F13709" s="30" t="s">
        <v>2135</v>
      </c>
      <c r="H13709" s="30" t="s">
        <v>2136</v>
      </c>
      <c r="J13709" s="30" t="s">
        <v>945</v>
      </c>
      <c r="L13709" s="30" t="s">
        <v>143</v>
      </c>
      <c r="M13709" s="30" t="s">
        <v>144</v>
      </c>
      <c r="N13709" s="30" t="s">
        <v>373</v>
      </c>
      <c r="P13709" s="30" t="s">
        <v>18473</v>
      </c>
      <c r="Q13709" t="s">
        <v>624</v>
      </c>
      <c r="R13709" t="s">
        <v>920</v>
      </c>
      <c r="S13709">
        <v>39</v>
      </c>
      <c r="T13709" s="29" t="str">
        <f t="shared" si="571"/>
        <v>2023.009D.Retroviridae_68rensp.zip</v>
      </c>
      <c r="U13709" s="29" t="str">
        <f>HYPERLINK("https://ictv.global/taxonomy/taxondetails?taxnode_id=202305033","ictv.global=202305033")</f>
        <v>ictv.global=202305033</v>
      </c>
    </row>
    <row r="13710" spans="1:21">
      <c r="A13710">
        <v>13709</v>
      </c>
      <c r="B13710" s="30" t="s">
        <v>1226</v>
      </c>
      <c r="D13710" s="30" t="s">
        <v>2134</v>
      </c>
      <c r="F13710" s="30" t="s">
        <v>2135</v>
      </c>
      <c r="H13710" s="30" t="s">
        <v>2136</v>
      </c>
      <c r="J13710" s="30" t="s">
        <v>945</v>
      </c>
      <c r="L13710" s="30" t="s">
        <v>143</v>
      </c>
      <c r="M13710" s="30" t="s">
        <v>144</v>
      </c>
      <c r="N13710" s="30" t="s">
        <v>373</v>
      </c>
      <c r="P13710" s="30" t="s">
        <v>18474</v>
      </c>
      <c r="Q13710" t="s">
        <v>624</v>
      </c>
      <c r="R13710" t="s">
        <v>920</v>
      </c>
      <c r="S13710">
        <v>39</v>
      </c>
      <c r="T13710" s="29" t="str">
        <f t="shared" si="571"/>
        <v>2023.009D.Retroviridae_68rensp.zip</v>
      </c>
      <c r="U13710" s="29" t="str">
        <f>HYPERLINK("https://ictv.global/taxonomy/taxondetails?taxnode_id=202305034","ictv.global=202305034")</f>
        <v>ictv.global=202305034</v>
      </c>
    </row>
    <row r="13711" spans="1:21">
      <c r="A13711">
        <v>13710</v>
      </c>
      <c r="B13711" s="30" t="s">
        <v>1226</v>
      </c>
      <c r="D13711" s="30" t="s">
        <v>2134</v>
      </c>
      <c r="F13711" s="30" t="s">
        <v>2135</v>
      </c>
      <c r="H13711" s="30" t="s">
        <v>2136</v>
      </c>
      <c r="J13711" s="30" t="s">
        <v>945</v>
      </c>
      <c r="L13711" s="30" t="s">
        <v>143</v>
      </c>
      <c r="M13711" s="30" t="s">
        <v>320</v>
      </c>
      <c r="N13711" s="30" t="s">
        <v>952</v>
      </c>
      <c r="P13711" s="30" t="s">
        <v>18475</v>
      </c>
      <c r="Q13711" t="s">
        <v>624</v>
      </c>
      <c r="R13711" t="s">
        <v>920</v>
      </c>
      <c r="S13711">
        <v>39</v>
      </c>
      <c r="T13711" s="29" t="str">
        <f t="shared" si="571"/>
        <v>2023.009D.Retroviridae_68rensp.zip</v>
      </c>
      <c r="U13711" s="29" t="str">
        <f>HYPERLINK("https://ictv.global/taxonomy/taxondetails?taxnode_id=202305039","ictv.global=202305039")</f>
        <v>ictv.global=202305039</v>
      </c>
    </row>
    <row r="13712" spans="1:21">
      <c r="A13712">
        <v>13711</v>
      </c>
      <c r="B13712" s="30" t="s">
        <v>1226</v>
      </c>
      <c r="D13712" s="30" t="s">
        <v>2134</v>
      </c>
      <c r="F13712" s="30" t="s">
        <v>2135</v>
      </c>
      <c r="H13712" s="30" t="s">
        <v>2136</v>
      </c>
      <c r="J13712" s="30" t="s">
        <v>945</v>
      </c>
      <c r="L13712" s="30" t="s">
        <v>143</v>
      </c>
      <c r="M13712" s="30" t="s">
        <v>320</v>
      </c>
      <c r="N13712" s="30" t="s">
        <v>953</v>
      </c>
      <c r="P13712" s="30" t="s">
        <v>18476</v>
      </c>
      <c r="Q13712" t="s">
        <v>624</v>
      </c>
      <c r="R13712" t="s">
        <v>920</v>
      </c>
      <c r="S13712">
        <v>39</v>
      </c>
      <c r="T13712" s="29" t="str">
        <f t="shared" si="571"/>
        <v>2023.009D.Retroviridae_68rensp.zip</v>
      </c>
      <c r="U13712" s="29" t="str">
        <f>HYPERLINK("https://ictv.global/taxonomy/taxondetails?taxnode_id=202305040","ictv.global=202305040")</f>
        <v>ictv.global=202305040</v>
      </c>
    </row>
    <row r="13713" spans="1:21">
      <c r="A13713">
        <v>13712</v>
      </c>
      <c r="B13713" s="30" t="s">
        <v>1226</v>
      </c>
      <c r="D13713" s="30" t="s">
        <v>2134</v>
      </c>
      <c r="F13713" s="30" t="s">
        <v>2135</v>
      </c>
      <c r="H13713" s="30" t="s">
        <v>2136</v>
      </c>
      <c r="J13713" s="30" t="s">
        <v>945</v>
      </c>
      <c r="L13713" s="30" t="s">
        <v>143</v>
      </c>
      <c r="M13713" s="30" t="s">
        <v>320</v>
      </c>
      <c r="N13713" s="30" t="s">
        <v>954</v>
      </c>
      <c r="P13713" s="30" t="s">
        <v>18477</v>
      </c>
      <c r="Q13713" t="s">
        <v>624</v>
      </c>
      <c r="R13713" t="s">
        <v>920</v>
      </c>
      <c r="S13713">
        <v>39</v>
      </c>
      <c r="T13713" s="29" t="str">
        <f t="shared" si="571"/>
        <v>2023.009D.Retroviridae_68rensp.zip</v>
      </c>
      <c r="U13713" s="29" t="str">
        <f>HYPERLINK("https://ictv.global/taxonomy/taxondetails?taxnode_id=202305041","ictv.global=202305041")</f>
        <v>ictv.global=202305041</v>
      </c>
    </row>
    <row r="13714" spans="1:21">
      <c r="A13714">
        <v>13713</v>
      </c>
      <c r="B13714" s="30" t="s">
        <v>1226</v>
      </c>
      <c r="D13714" s="30" t="s">
        <v>2134</v>
      </c>
      <c r="F13714" s="30" t="s">
        <v>2135</v>
      </c>
      <c r="H13714" s="30" t="s">
        <v>2136</v>
      </c>
      <c r="J13714" s="30" t="s">
        <v>945</v>
      </c>
      <c r="L13714" s="30" t="s">
        <v>143</v>
      </c>
      <c r="M13714" s="30" t="s">
        <v>320</v>
      </c>
      <c r="N13714" s="30" t="s">
        <v>955</v>
      </c>
      <c r="P13714" s="30" t="s">
        <v>18478</v>
      </c>
      <c r="Q13714" t="s">
        <v>624</v>
      </c>
      <c r="R13714" t="s">
        <v>920</v>
      </c>
      <c r="S13714">
        <v>39</v>
      </c>
      <c r="T13714" s="29" t="str">
        <f t="shared" si="571"/>
        <v>2023.009D.Retroviridae_68rensp.zip</v>
      </c>
      <c r="U13714" s="29" t="str">
        <f>HYPERLINK("https://ictv.global/taxonomy/taxondetails?taxnode_id=202305932","ictv.global=202305932")</f>
        <v>ictv.global=202305932</v>
      </c>
    </row>
    <row r="13715" spans="1:21">
      <c r="A13715">
        <v>13714</v>
      </c>
      <c r="B13715" s="30" t="s">
        <v>1226</v>
      </c>
      <c r="D13715" s="30" t="s">
        <v>2134</v>
      </c>
      <c r="F13715" s="30" t="s">
        <v>2135</v>
      </c>
      <c r="H13715" s="30" t="s">
        <v>2136</v>
      </c>
      <c r="J13715" s="30" t="s">
        <v>945</v>
      </c>
      <c r="L13715" s="30" t="s">
        <v>143</v>
      </c>
      <c r="M13715" s="30" t="s">
        <v>320</v>
      </c>
      <c r="N13715" s="30" t="s">
        <v>956</v>
      </c>
      <c r="P13715" s="30" t="s">
        <v>18479</v>
      </c>
      <c r="Q13715" t="s">
        <v>624</v>
      </c>
      <c r="R13715" t="s">
        <v>920</v>
      </c>
      <c r="S13715">
        <v>39</v>
      </c>
      <c r="T13715" s="29" t="str">
        <f t="shared" si="571"/>
        <v>2023.009D.Retroviridae_68rensp.zip</v>
      </c>
      <c r="U13715" s="29" t="str">
        <f>HYPERLINK("https://ictv.global/taxonomy/taxondetails?taxnode_id=202305939","ictv.global=202305939")</f>
        <v>ictv.global=202305939</v>
      </c>
    </row>
    <row r="13716" spans="1:21">
      <c r="A13716">
        <v>13715</v>
      </c>
      <c r="B13716" s="30" t="s">
        <v>1226</v>
      </c>
      <c r="D13716" s="30" t="s">
        <v>2134</v>
      </c>
      <c r="F13716" s="30" t="s">
        <v>2135</v>
      </c>
      <c r="H13716" s="30" t="s">
        <v>2136</v>
      </c>
      <c r="J13716" s="30" t="s">
        <v>945</v>
      </c>
      <c r="L13716" s="30" t="s">
        <v>143</v>
      </c>
      <c r="M13716" s="30" t="s">
        <v>320</v>
      </c>
      <c r="N13716" s="30" t="s">
        <v>956</v>
      </c>
      <c r="P13716" s="30" t="s">
        <v>18480</v>
      </c>
      <c r="Q13716" t="s">
        <v>624</v>
      </c>
      <c r="R13716" t="s">
        <v>920</v>
      </c>
      <c r="S13716">
        <v>39</v>
      </c>
      <c r="T13716" s="29" t="str">
        <f t="shared" si="571"/>
        <v>2023.009D.Retroviridae_68rensp.zip</v>
      </c>
      <c r="U13716" s="29" t="str">
        <f>HYPERLINK("https://ictv.global/taxonomy/taxondetails?taxnode_id=202305943","ictv.global=202305943")</f>
        <v>ictv.global=202305943</v>
      </c>
    </row>
    <row r="13717" spans="1:21">
      <c r="A13717">
        <v>13716</v>
      </c>
      <c r="B13717" s="30" t="s">
        <v>1226</v>
      </c>
      <c r="D13717" s="30" t="s">
        <v>2134</v>
      </c>
      <c r="F13717" s="30" t="s">
        <v>2135</v>
      </c>
      <c r="H13717" s="30" t="s">
        <v>2136</v>
      </c>
      <c r="J13717" s="30" t="s">
        <v>945</v>
      </c>
      <c r="L13717" s="30" t="s">
        <v>143</v>
      </c>
      <c r="M13717" s="30" t="s">
        <v>320</v>
      </c>
      <c r="N13717" s="30" t="s">
        <v>956</v>
      </c>
      <c r="P13717" s="30" t="s">
        <v>18481</v>
      </c>
      <c r="Q13717" t="s">
        <v>624</v>
      </c>
      <c r="R13717" t="s">
        <v>920</v>
      </c>
      <c r="S13717">
        <v>39</v>
      </c>
      <c r="T13717" s="29" t="str">
        <f t="shared" si="571"/>
        <v>2023.009D.Retroviridae_68rensp.zip</v>
      </c>
      <c r="U13717" s="29" t="str">
        <f>HYPERLINK("https://ictv.global/taxonomy/taxondetails?taxnode_id=202305936","ictv.global=202305936")</f>
        <v>ictv.global=202305936</v>
      </c>
    </row>
    <row r="13718" spans="1:21">
      <c r="A13718">
        <v>13717</v>
      </c>
      <c r="B13718" s="30" t="s">
        <v>1226</v>
      </c>
      <c r="D13718" s="30" t="s">
        <v>2134</v>
      </c>
      <c r="F13718" s="30" t="s">
        <v>2135</v>
      </c>
      <c r="H13718" s="30" t="s">
        <v>2136</v>
      </c>
      <c r="J13718" s="30" t="s">
        <v>945</v>
      </c>
      <c r="L13718" s="30" t="s">
        <v>143</v>
      </c>
      <c r="M13718" s="30" t="s">
        <v>320</v>
      </c>
      <c r="N13718" s="30" t="s">
        <v>956</v>
      </c>
      <c r="P13718" s="30" t="s">
        <v>18482</v>
      </c>
      <c r="Q13718" t="s">
        <v>624</v>
      </c>
      <c r="R13718" t="s">
        <v>920</v>
      </c>
      <c r="S13718">
        <v>39</v>
      </c>
      <c r="T13718" s="29" t="str">
        <f t="shared" si="571"/>
        <v>2023.009D.Retroviridae_68rensp.zip</v>
      </c>
      <c r="U13718" s="29" t="str">
        <f>HYPERLINK("https://ictv.global/taxonomy/taxondetails?taxnode_id=202305038","ictv.global=202305038")</f>
        <v>ictv.global=202305038</v>
      </c>
    </row>
    <row r="13719" spans="1:21">
      <c r="A13719">
        <v>13718</v>
      </c>
      <c r="B13719" s="30" t="s">
        <v>1226</v>
      </c>
      <c r="D13719" s="30" t="s">
        <v>2134</v>
      </c>
      <c r="F13719" s="30" t="s">
        <v>2135</v>
      </c>
      <c r="H13719" s="30" t="s">
        <v>2136</v>
      </c>
      <c r="J13719" s="30" t="s">
        <v>945</v>
      </c>
      <c r="L13719" s="30" t="s">
        <v>143</v>
      </c>
      <c r="M13719" s="30" t="s">
        <v>320</v>
      </c>
      <c r="N13719" s="30" t="s">
        <v>956</v>
      </c>
      <c r="P13719" s="30" t="s">
        <v>18483</v>
      </c>
      <c r="Q13719" t="s">
        <v>624</v>
      </c>
      <c r="R13719" t="s">
        <v>920</v>
      </c>
      <c r="S13719">
        <v>39</v>
      </c>
      <c r="T13719" s="29" t="str">
        <f t="shared" si="571"/>
        <v>2023.009D.Retroviridae_68rensp.zip</v>
      </c>
      <c r="U13719" s="29" t="str">
        <f>HYPERLINK("https://ictv.global/taxonomy/taxondetails?taxnode_id=202305942","ictv.global=202305942")</f>
        <v>ictv.global=202305942</v>
      </c>
    </row>
    <row r="13720" spans="1:21">
      <c r="A13720">
        <v>13719</v>
      </c>
      <c r="B13720" s="30" t="s">
        <v>1226</v>
      </c>
      <c r="D13720" s="30" t="s">
        <v>2134</v>
      </c>
      <c r="F13720" s="30" t="s">
        <v>2135</v>
      </c>
      <c r="H13720" s="30" t="s">
        <v>2136</v>
      </c>
      <c r="J13720" s="30" t="s">
        <v>945</v>
      </c>
      <c r="L13720" s="30" t="s">
        <v>143</v>
      </c>
      <c r="M13720" s="30" t="s">
        <v>320</v>
      </c>
      <c r="N13720" s="30" t="s">
        <v>956</v>
      </c>
      <c r="P13720" s="30" t="s">
        <v>18484</v>
      </c>
      <c r="Q13720" t="s">
        <v>624</v>
      </c>
      <c r="R13720" t="s">
        <v>920</v>
      </c>
      <c r="S13720">
        <v>39</v>
      </c>
      <c r="T13720" s="29" t="str">
        <f t="shared" si="571"/>
        <v>2023.009D.Retroviridae_68rensp.zip</v>
      </c>
      <c r="U13720" s="29" t="str">
        <f>HYPERLINK("https://ictv.global/taxonomy/taxondetails?taxnode_id=202305042","ictv.global=202305042")</f>
        <v>ictv.global=202305042</v>
      </c>
    </row>
    <row r="13721" spans="1:21">
      <c r="A13721">
        <v>13720</v>
      </c>
      <c r="B13721" s="30" t="s">
        <v>1226</v>
      </c>
      <c r="D13721" s="30" t="s">
        <v>2134</v>
      </c>
      <c r="F13721" s="30" t="s">
        <v>2135</v>
      </c>
      <c r="H13721" s="30" t="s">
        <v>2136</v>
      </c>
      <c r="J13721" s="30" t="s">
        <v>945</v>
      </c>
      <c r="L13721" s="30" t="s">
        <v>143</v>
      </c>
      <c r="M13721" s="30" t="s">
        <v>320</v>
      </c>
      <c r="N13721" s="30" t="s">
        <v>956</v>
      </c>
      <c r="P13721" s="30" t="s">
        <v>18485</v>
      </c>
      <c r="Q13721" t="s">
        <v>624</v>
      </c>
      <c r="R13721" t="s">
        <v>920</v>
      </c>
      <c r="S13721">
        <v>39</v>
      </c>
      <c r="T13721" s="29" t="str">
        <f t="shared" si="571"/>
        <v>2023.009D.Retroviridae_68rensp.zip</v>
      </c>
      <c r="U13721" s="29" t="str">
        <f>HYPERLINK("https://ictv.global/taxonomy/taxondetails?taxnode_id=202306445","ictv.global=202306445")</f>
        <v>ictv.global=202306445</v>
      </c>
    </row>
    <row r="13722" spans="1:21">
      <c r="A13722">
        <v>13721</v>
      </c>
      <c r="B13722" s="30" t="s">
        <v>1226</v>
      </c>
      <c r="D13722" s="30" t="s">
        <v>2134</v>
      </c>
      <c r="F13722" s="30" t="s">
        <v>2135</v>
      </c>
      <c r="H13722" s="30" t="s">
        <v>2136</v>
      </c>
      <c r="J13722" s="30" t="s">
        <v>945</v>
      </c>
      <c r="L13722" s="30" t="s">
        <v>143</v>
      </c>
      <c r="M13722" s="30" t="s">
        <v>320</v>
      </c>
      <c r="N13722" s="30" t="s">
        <v>956</v>
      </c>
      <c r="P13722" s="30" t="s">
        <v>18486</v>
      </c>
      <c r="Q13722" t="s">
        <v>624</v>
      </c>
      <c r="R13722" t="s">
        <v>920</v>
      </c>
      <c r="S13722">
        <v>39</v>
      </c>
      <c r="T13722" s="29" t="str">
        <f t="shared" si="571"/>
        <v>2023.009D.Retroviridae_68rensp.zip</v>
      </c>
      <c r="U13722" s="29" t="str">
        <f>HYPERLINK("https://ictv.global/taxonomy/taxondetails?taxnode_id=202305937","ictv.global=202305937")</f>
        <v>ictv.global=202305937</v>
      </c>
    </row>
    <row r="13723" spans="1:21">
      <c r="A13723">
        <v>13722</v>
      </c>
      <c r="B13723" s="30" t="s">
        <v>1226</v>
      </c>
      <c r="D13723" s="30" t="s">
        <v>2134</v>
      </c>
      <c r="F13723" s="30" t="s">
        <v>2135</v>
      </c>
      <c r="H13723" s="30" t="s">
        <v>2136</v>
      </c>
      <c r="J13723" s="30" t="s">
        <v>945</v>
      </c>
      <c r="L13723" s="30" t="s">
        <v>143</v>
      </c>
      <c r="M13723" s="30" t="s">
        <v>320</v>
      </c>
      <c r="N13723" s="30" t="s">
        <v>956</v>
      </c>
      <c r="P13723" s="30" t="s">
        <v>18487</v>
      </c>
      <c r="Q13723" t="s">
        <v>624</v>
      </c>
      <c r="R13723" t="s">
        <v>920</v>
      </c>
      <c r="S13723">
        <v>39</v>
      </c>
      <c r="T13723" s="29" t="str">
        <f t="shared" si="571"/>
        <v>2023.009D.Retroviridae_68rensp.zip</v>
      </c>
      <c r="U13723" s="29" t="str">
        <f>HYPERLINK("https://ictv.global/taxonomy/taxondetails?taxnode_id=202305938","ictv.global=202305938")</f>
        <v>ictv.global=202305938</v>
      </c>
    </row>
    <row r="13724" spans="1:21">
      <c r="A13724">
        <v>13723</v>
      </c>
      <c r="B13724" s="30" t="s">
        <v>1226</v>
      </c>
      <c r="D13724" s="30" t="s">
        <v>2134</v>
      </c>
      <c r="F13724" s="30" t="s">
        <v>2135</v>
      </c>
      <c r="H13724" s="30" t="s">
        <v>2136</v>
      </c>
      <c r="J13724" s="30" t="s">
        <v>945</v>
      </c>
      <c r="L13724" s="30" t="s">
        <v>143</v>
      </c>
      <c r="M13724" s="30" t="s">
        <v>320</v>
      </c>
      <c r="N13724" s="30" t="s">
        <v>956</v>
      </c>
      <c r="P13724" s="30" t="s">
        <v>18488</v>
      </c>
      <c r="Q13724" t="s">
        <v>624</v>
      </c>
      <c r="R13724" t="s">
        <v>920</v>
      </c>
      <c r="S13724">
        <v>39</v>
      </c>
      <c r="T13724" s="29" t="str">
        <f t="shared" si="571"/>
        <v>2023.009D.Retroviridae_68rensp.zip</v>
      </c>
      <c r="U13724" s="29" t="str">
        <f>HYPERLINK("https://ictv.global/taxonomy/taxondetails?taxnode_id=202305043","ictv.global=202305043")</f>
        <v>ictv.global=202305043</v>
      </c>
    </row>
    <row r="13725" spans="1:21">
      <c r="A13725">
        <v>13724</v>
      </c>
      <c r="B13725" s="30" t="s">
        <v>1226</v>
      </c>
      <c r="D13725" s="30" t="s">
        <v>2134</v>
      </c>
      <c r="F13725" s="30" t="s">
        <v>2135</v>
      </c>
      <c r="H13725" s="30" t="s">
        <v>2136</v>
      </c>
      <c r="J13725" s="30" t="s">
        <v>945</v>
      </c>
      <c r="L13725" s="30" t="s">
        <v>143</v>
      </c>
      <c r="M13725" s="30" t="s">
        <v>320</v>
      </c>
      <c r="N13725" s="30" t="s">
        <v>956</v>
      </c>
      <c r="P13725" s="30" t="s">
        <v>18489</v>
      </c>
      <c r="Q13725" t="s">
        <v>624</v>
      </c>
      <c r="R13725" t="s">
        <v>920</v>
      </c>
      <c r="S13725">
        <v>39</v>
      </c>
      <c r="T13725" s="29" t="str">
        <f t="shared" si="571"/>
        <v>2023.009D.Retroviridae_68rensp.zip</v>
      </c>
      <c r="U13725" s="29" t="str">
        <f>HYPERLINK("https://ictv.global/taxonomy/taxondetails?taxnode_id=202305935","ictv.global=202305935")</f>
        <v>ictv.global=202305935</v>
      </c>
    </row>
    <row r="13726" spans="1:21">
      <c r="A13726">
        <v>13725</v>
      </c>
      <c r="B13726" s="30" t="s">
        <v>1226</v>
      </c>
      <c r="D13726" s="30" t="s">
        <v>2134</v>
      </c>
      <c r="F13726" s="30" t="s">
        <v>2135</v>
      </c>
      <c r="H13726" s="30" t="s">
        <v>2136</v>
      </c>
      <c r="J13726" s="30" t="s">
        <v>945</v>
      </c>
      <c r="L13726" s="30" t="s">
        <v>143</v>
      </c>
      <c r="M13726" s="30" t="s">
        <v>320</v>
      </c>
      <c r="N13726" s="30" t="s">
        <v>956</v>
      </c>
      <c r="P13726" s="30" t="s">
        <v>18490</v>
      </c>
      <c r="Q13726" t="s">
        <v>624</v>
      </c>
      <c r="R13726" t="s">
        <v>920</v>
      </c>
      <c r="S13726">
        <v>39</v>
      </c>
      <c r="T13726" s="29" t="str">
        <f t="shared" si="571"/>
        <v>2023.009D.Retroviridae_68rensp.zip</v>
      </c>
      <c r="U13726" s="29" t="str">
        <f>HYPERLINK("https://ictv.global/taxonomy/taxondetails?taxnode_id=202305941","ictv.global=202305941")</f>
        <v>ictv.global=202305941</v>
      </c>
    </row>
    <row r="13727" spans="1:21">
      <c r="A13727">
        <v>13726</v>
      </c>
      <c r="B13727" s="30" t="s">
        <v>1226</v>
      </c>
      <c r="D13727" s="30" t="s">
        <v>2134</v>
      </c>
      <c r="F13727" s="30" t="s">
        <v>2135</v>
      </c>
      <c r="H13727" s="30" t="s">
        <v>2136</v>
      </c>
      <c r="J13727" s="30" t="s">
        <v>945</v>
      </c>
      <c r="L13727" s="30" t="s">
        <v>143</v>
      </c>
      <c r="M13727" s="30" t="s">
        <v>320</v>
      </c>
      <c r="N13727" s="30" t="s">
        <v>956</v>
      </c>
      <c r="P13727" s="30" t="s">
        <v>18491</v>
      </c>
      <c r="Q13727" t="s">
        <v>624</v>
      </c>
      <c r="R13727" t="s">
        <v>920</v>
      </c>
      <c r="S13727">
        <v>39</v>
      </c>
      <c r="T13727" s="29" t="str">
        <f t="shared" si="571"/>
        <v>2023.009D.Retroviridae_68rensp.zip</v>
      </c>
      <c r="U13727" s="29" t="str">
        <f>HYPERLINK("https://ictv.global/taxonomy/taxondetails?taxnode_id=202305934","ictv.global=202305934")</f>
        <v>ictv.global=202305934</v>
      </c>
    </row>
    <row r="13728" spans="1:21">
      <c r="A13728">
        <v>13727</v>
      </c>
      <c r="B13728" s="30" t="s">
        <v>1226</v>
      </c>
      <c r="D13728" s="30" t="s">
        <v>2134</v>
      </c>
      <c r="F13728" s="30" t="s">
        <v>2135</v>
      </c>
      <c r="H13728" s="30" t="s">
        <v>2136</v>
      </c>
      <c r="J13728" s="30" t="s">
        <v>945</v>
      </c>
      <c r="L13728" s="30" t="s">
        <v>143</v>
      </c>
      <c r="M13728" s="30" t="s">
        <v>320</v>
      </c>
      <c r="N13728" s="30" t="s">
        <v>956</v>
      </c>
      <c r="P13728" s="30" t="s">
        <v>18492</v>
      </c>
      <c r="Q13728" t="s">
        <v>624</v>
      </c>
      <c r="R13728" t="s">
        <v>920</v>
      </c>
      <c r="S13728">
        <v>39</v>
      </c>
      <c r="T13728" s="29" t="str">
        <f t="shared" si="571"/>
        <v>2023.009D.Retroviridae_68rensp.zip</v>
      </c>
      <c r="U13728" s="29" t="str">
        <f>HYPERLINK("https://ictv.global/taxonomy/taxondetails?taxnode_id=202305940","ictv.global=202305940")</f>
        <v>ictv.global=202305940</v>
      </c>
    </row>
    <row r="13729" spans="1:21">
      <c r="A13729">
        <v>13728</v>
      </c>
      <c r="B13729" s="30" t="s">
        <v>1226</v>
      </c>
      <c r="D13729" s="30" t="s">
        <v>2134</v>
      </c>
      <c r="F13729" s="30" t="s">
        <v>2135</v>
      </c>
      <c r="H13729" s="30" t="s">
        <v>2136</v>
      </c>
      <c r="J13729" s="30" t="s">
        <v>945</v>
      </c>
      <c r="L13729" s="30" t="s">
        <v>143</v>
      </c>
      <c r="M13729" s="30" t="s">
        <v>320</v>
      </c>
      <c r="N13729" s="30" t="s">
        <v>956</v>
      </c>
      <c r="P13729" s="30" t="s">
        <v>18493</v>
      </c>
      <c r="Q13729" t="s">
        <v>624</v>
      </c>
      <c r="R13729" t="s">
        <v>920</v>
      </c>
      <c r="S13729">
        <v>39</v>
      </c>
      <c r="T13729" s="29" t="str">
        <f t="shared" si="571"/>
        <v>2023.009D.Retroviridae_68rensp.zip</v>
      </c>
      <c r="U13729" s="29" t="str">
        <f>HYPERLINK("https://ictv.global/taxonomy/taxondetails?taxnode_id=202305944","ictv.global=202305944")</f>
        <v>ictv.global=202305944</v>
      </c>
    </row>
    <row r="13730" spans="1:21">
      <c r="A13730">
        <v>13729</v>
      </c>
      <c r="B13730" s="30" t="s">
        <v>1226</v>
      </c>
      <c r="L13730" s="30" t="s">
        <v>2143</v>
      </c>
      <c r="N13730" s="30" t="s">
        <v>2144</v>
      </c>
      <c r="P13730" s="30" t="s">
        <v>18494</v>
      </c>
      <c r="Q13730" t="s">
        <v>623</v>
      </c>
      <c r="R13730" t="s">
        <v>920</v>
      </c>
      <c r="S13730">
        <v>39</v>
      </c>
      <c r="T13730" s="29" t="str">
        <f t="shared" ref="T13730:T13739" si="572">HYPERLINK("https://ictv.global/ictv/proposals/2023.005F.Polymycoviridae_spren.zip","2023.005F.Polymycoviridae_spren.zip")</f>
        <v>2023.005F.Polymycoviridae_spren.zip</v>
      </c>
      <c r="U13730" s="29" t="str">
        <f>HYPERLINK("https://ictv.global/taxonomy/taxondetails?taxnode_id=202308686","ictv.global=202308686")</f>
        <v>ictv.global=202308686</v>
      </c>
    </row>
    <row r="13731" spans="1:21">
      <c r="A13731">
        <v>13730</v>
      </c>
      <c r="B13731" s="30" t="s">
        <v>1226</v>
      </c>
      <c r="L13731" s="30" t="s">
        <v>2143</v>
      </c>
      <c r="N13731" s="30" t="s">
        <v>2144</v>
      </c>
      <c r="P13731" s="30" t="s">
        <v>18495</v>
      </c>
      <c r="Q13731" t="s">
        <v>623</v>
      </c>
      <c r="R13731" t="s">
        <v>920</v>
      </c>
      <c r="S13731">
        <v>39</v>
      </c>
      <c r="T13731" s="29" t="str">
        <f t="shared" si="572"/>
        <v>2023.005F.Polymycoviridae_spren.zip</v>
      </c>
      <c r="U13731" s="29" t="str">
        <f>HYPERLINK("https://ictv.global/taxonomy/taxondetails?taxnode_id=202308685","ictv.global=202308685")</f>
        <v>ictv.global=202308685</v>
      </c>
    </row>
    <row r="13732" spans="1:21">
      <c r="A13732">
        <v>13731</v>
      </c>
      <c r="B13732" s="30" t="s">
        <v>1226</v>
      </c>
      <c r="L13732" s="30" t="s">
        <v>2143</v>
      </c>
      <c r="N13732" s="30" t="s">
        <v>2144</v>
      </c>
      <c r="P13732" s="30" t="s">
        <v>18496</v>
      </c>
      <c r="Q13732" t="s">
        <v>623</v>
      </c>
      <c r="R13732" t="s">
        <v>920</v>
      </c>
      <c r="S13732">
        <v>39</v>
      </c>
      <c r="T13732" s="29" t="str">
        <f t="shared" si="572"/>
        <v>2023.005F.Polymycoviridae_spren.zip</v>
      </c>
      <c r="U13732" s="29" t="str">
        <f>HYPERLINK("https://ictv.global/taxonomy/taxondetails?taxnode_id=202308687","ictv.global=202308687")</f>
        <v>ictv.global=202308687</v>
      </c>
    </row>
    <row r="13733" spans="1:21">
      <c r="A13733">
        <v>13732</v>
      </c>
      <c r="B13733" s="30" t="s">
        <v>1226</v>
      </c>
      <c r="L13733" s="30" t="s">
        <v>2143</v>
      </c>
      <c r="N13733" s="30" t="s">
        <v>2144</v>
      </c>
      <c r="P13733" s="30" t="s">
        <v>18497</v>
      </c>
      <c r="Q13733" t="s">
        <v>623</v>
      </c>
      <c r="R13733" t="s">
        <v>920</v>
      </c>
      <c r="S13733">
        <v>39</v>
      </c>
      <c r="T13733" s="29" t="str">
        <f t="shared" si="572"/>
        <v>2023.005F.Polymycoviridae_spren.zip</v>
      </c>
      <c r="U13733" s="29" t="str">
        <f>HYPERLINK("https://ictv.global/taxonomy/taxondetails?taxnode_id=202308688","ictv.global=202308688")</f>
        <v>ictv.global=202308688</v>
      </c>
    </row>
    <row r="13734" spans="1:21">
      <c r="A13734">
        <v>13733</v>
      </c>
      <c r="B13734" s="30" t="s">
        <v>1226</v>
      </c>
      <c r="L13734" s="30" t="s">
        <v>2143</v>
      </c>
      <c r="N13734" s="30" t="s">
        <v>2144</v>
      </c>
      <c r="P13734" s="30" t="s">
        <v>18498</v>
      </c>
      <c r="Q13734" t="s">
        <v>623</v>
      </c>
      <c r="R13734" t="s">
        <v>920</v>
      </c>
      <c r="S13734">
        <v>39</v>
      </c>
      <c r="T13734" s="29" t="str">
        <f t="shared" si="572"/>
        <v>2023.005F.Polymycoviridae_spren.zip</v>
      </c>
      <c r="U13734" s="29" t="str">
        <f>HYPERLINK("https://ictv.global/taxonomy/taxondetails?taxnode_id=202308689","ictv.global=202308689")</f>
        <v>ictv.global=202308689</v>
      </c>
    </row>
    <row r="13735" spans="1:21">
      <c r="A13735">
        <v>13734</v>
      </c>
      <c r="B13735" s="30" t="s">
        <v>1226</v>
      </c>
      <c r="L13735" s="30" t="s">
        <v>2143</v>
      </c>
      <c r="N13735" s="30" t="s">
        <v>2144</v>
      </c>
      <c r="P13735" s="30" t="s">
        <v>18499</v>
      </c>
      <c r="Q13735" t="s">
        <v>623</v>
      </c>
      <c r="R13735" t="s">
        <v>920</v>
      </c>
      <c r="S13735">
        <v>39</v>
      </c>
      <c r="T13735" s="29" t="str">
        <f t="shared" si="572"/>
        <v>2023.005F.Polymycoviridae_spren.zip</v>
      </c>
      <c r="U13735" s="29" t="str">
        <f>HYPERLINK("https://ictv.global/taxonomy/taxondetails?taxnode_id=202308690","ictv.global=202308690")</f>
        <v>ictv.global=202308690</v>
      </c>
    </row>
    <row r="13736" spans="1:21">
      <c r="A13736">
        <v>13735</v>
      </c>
      <c r="B13736" s="30" t="s">
        <v>1226</v>
      </c>
      <c r="L13736" s="30" t="s">
        <v>2143</v>
      </c>
      <c r="N13736" s="30" t="s">
        <v>2144</v>
      </c>
      <c r="P13736" s="30" t="s">
        <v>18500</v>
      </c>
      <c r="Q13736" t="s">
        <v>623</v>
      </c>
      <c r="R13736" t="s">
        <v>920</v>
      </c>
      <c r="S13736">
        <v>39</v>
      </c>
      <c r="T13736" s="29" t="str">
        <f t="shared" si="572"/>
        <v>2023.005F.Polymycoviridae_spren.zip</v>
      </c>
      <c r="U13736" s="29" t="str">
        <f>HYPERLINK("https://ictv.global/taxonomy/taxondetails?taxnode_id=202308691","ictv.global=202308691")</f>
        <v>ictv.global=202308691</v>
      </c>
    </row>
    <row r="13737" spans="1:21">
      <c r="A13737">
        <v>13736</v>
      </c>
      <c r="B13737" s="30" t="s">
        <v>1226</v>
      </c>
      <c r="L13737" s="30" t="s">
        <v>2143</v>
      </c>
      <c r="N13737" s="30" t="s">
        <v>2144</v>
      </c>
      <c r="P13737" s="30" t="s">
        <v>18501</v>
      </c>
      <c r="Q13737" t="s">
        <v>623</v>
      </c>
      <c r="R13737" t="s">
        <v>920</v>
      </c>
      <c r="S13737">
        <v>39</v>
      </c>
      <c r="T13737" s="29" t="str">
        <f t="shared" si="572"/>
        <v>2023.005F.Polymycoviridae_spren.zip</v>
      </c>
      <c r="U13737" s="29" t="str">
        <f>HYPERLINK("https://ictv.global/taxonomy/taxondetails?taxnode_id=202308692","ictv.global=202308692")</f>
        <v>ictv.global=202308692</v>
      </c>
    </row>
    <row r="13738" spans="1:21">
      <c r="A13738">
        <v>13737</v>
      </c>
      <c r="B13738" s="30" t="s">
        <v>1226</v>
      </c>
      <c r="L13738" s="30" t="s">
        <v>2143</v>
      </c>
      <c r="N13738" s="30" t="s">
        <v>2144</v>
      </c>
      <c r="P13738" s="30" t="s">
        <v>18502</v>
      </c>
      <c r="Q13738" t="s">
        <v>623</v>
      </c>
      <c r="R13738" t="s">
        <v>920</v>
      </c>
      <c r="S13738">
        <v>39</v>
      </c>
      <c r="T13738" s="29" t="str">
        <f t="shared" si="572"/>
        <v>2023.005F.Polymycoviridae_spren.zip</v>
      </c>
      <c r="U13738" s="29" t="str">
        <f>HYPERLINK("https://ictv.global/taxonomy/taxondetails?taxnode_id=202308693","ictv.global=202308693")</f>
        <v>ictv.global=202308693</v>
      </c>
    </row>
    <row r="13739" spans="1:21">
      <c r="A13739">
        <v>13738</v>
      </c>
      <c r="B13739" s="30" t="s">
        <v>1226</v>
      </c>
      <c r="L13739" s="30" t="s">
        <v>2143</v>
      </c>
      <c r="N13739" s="30" t="s">
        <v>2144</v>
      </c>
      <c r="P13739" s="30" t="s">
        <v>18503</v>
      </c>
      <c r="Q13739" t="s">
        <v>623</v>
      </c>
      <c r="R13739" t="s">
        <v>920</v>
      </c>
      <c r="S13739">
        <v>39</v>
      </c>
      <c r="T13739" s="29" t="str">
        <f t="shared" si="572"/>
        <v>2023.005F.Polymycoviridae_spren.zip</v>
      </c>
      <c r="U13739" s="29" t="str">
        <f>HYPERLINK("https://ictv.global/taxonomy/taxondetails?taxnode_id=202308694","ictv.global=202308694")</f>
        <v>ictv.global=202308694</v>
      </c>
    </row>
    <row r="13740" spans="1:21">
      <c r="A13740">
        <v>13739</v>
      </c>
      <c r="B13740" s="30" t="s">
        <v>1226</v>
      </c>
      <c r="L13740" s="30" t="s">
        <v>782</v>
      </c>
      <c r="N13740" s="30" t="s">
        <v>783</v>
      </c>
      <c r="P13740" s="30" t="s">
        <v>18504</v>
      </c>
      <c r="Q13740" t="s">
        <v>621</v>
      </c>
      <c r="R13740" t="s">
        <v>920</v>
      </c>
      <c r="S13740">
        <v>39</v>
      </c>
      <c r="T13740" s="29" t="str">
        <f>HYPERLINK("https://ictv.global/ictv/proposals/2023.011S.Sarthroviridae_1sprenamed.zip","2023.011S.Sarthroviridae_1sprenamed.zip")</f>
        <v>2023.011S.Sarthroviridae_1sprenamed.zip</v>
      </c>
      <c r="U13740" s="29" t="str">
        <f>HYPERLINK("https://ictv.global/taxonomy/taxondetails?taxnode_id=202305047","ictv.global=202305047")</f>
        <v>ictv.global=202305047</v>
      </c>
    </row>
    <row r="13741" spans="1:21">
      <c r="A13741">
        <v>13740</v>
      </c>
      <c r="B13741" s="30" t="s">
        <v>1226</v>
      </c>
      <c r="N13741" s="30" t="s">
        <v>788</v>
      </c>
      <c r="P13741" s="30" t="s">
        <v>789</v>
      </c>
      <c r="Q13741" t="s">
        <v>621</v>
      </c>
      <c r="R13741" t="s">
        <v>3894</v>
      </c>
      <c r="S13741">
        <v>36</v>
      </c>
      <c r="T13741" s="29" t="str">
        <f>HYPERLINK("https://ictv.global/ictv/proposals/2020.001G.R.Abolish_type_species.pdf","2020.001G.R.Abolish_type_species.pdf")</f>
        <v>2020.001G.R.Abolish_type_species.pdf</v>
      </c>
      <c r="U13741" s="29" t="str">
        <f>HYPERLINK("https://ictv.global/taxonomy/taxondetails?taxnode_id=202305333","ictv.global=202305333")</f>
        <v>ictv.global=202305333</v>
      </c>
    </row>
    <row r="13742" spans="1:21">
      <c r="A13742">
        <v>13741</v>
      </c>
      <c r="B13742" s="30" t="s">
        <v>1226</v>
      </c>
      <c r="N13742" s="30" t="s">
        <v>788</v>
      </c>
      <c r="P13742" s="30" t="s">
        <v>790</v>
      </c>
      <c r="Q13742" t="s">
        <v>621</v>
      </c>
      <c r="R13742" t="s">
        <v>919</v>
      </c>
      <c r="S13742">
        <v>34</v>
      </c>
      <c r="T13742" s="29" t="str">
        <f>HYPERLINK("https://ictv.global/ictv/proposals/2017.006G.A.v3.Riboviria.zip","2017.006G.A.v3.Riboviria.zip")</f>
        <v>2017.006G.A.v3.Riboviria.zip</v>
      </c>
      <c r="U13742" s="29" t="str">
        <f>HYPERLINK("https://ictv.global/taxonomy/taxondetails?taxnode_id=202305334","ictv.global=202305334")</f>
        <v>ictv.global=202305334</v>
      </c>
    </row>
    <row r="13743" spans="1:21">
      <c r="A13743">
        <v>13742</v>
      </c>
      <c r="B13743" s="30" t="s">
        <v>1226</v>
      </c>
      <c r="N13743" s="30" t="s">
        <v>788</v>
      </c>
      <c r="P13743" s="30" t="s">
        <v>791</v>
      </c>
      <c r="Q13743" t="s">
        <v>621</v>
      </c>
      <c r="R13743" t="s">
        <v>919</v>
      </c>
      <c r="S13743">
        <v>34</v>
      </c>
      <c r="T13743" s="29" t="str">
        <f>HYPERLINK("https://ictv.global/ictv/proposals/2017.006G.A.v3.Riboviria.zip","2017.006G.A.v3.Riboviria.zip")</f>
        <v>2017.006G.A.v3.Riboviria.zip</v>
      </c>
      <c r="U13743" s="29" t="str">
        <f>HYPERLINK("https://ictv.global/taxonomy/taxondetails?taxnode_id=202305335","ictv.global=202305335")</f>
        <v>ictv.global=202305335</v>
      </c>
    </row>
    <row r="13744" spans="1:21">
      <c r="A13744">
        <v>13743</v>
      </c>
      <c r="B13744" s="30" t="s">
        <v>1226</v>
      </c>
      <c r="N13744" s="30" t="s">
        <v>792</v>
      </c>
      <c r="P13744" s="30" t="s">
        <v>793</v>
      </c>
      <c r="Q13744" t="s">
        <v>621</v>
      </c>
      <c r="R13744" t="s">
        <v>3894</v>
      </c>
      <c r="S13744">
        <v>36</v>
      </c>
      <c r="T13744" s="29" t="str">
        <f>HYPERLINK("https://ictv.global/ictv/proposals/2020.001G.R.Abolish_type_species.pdf","2020.001G.R.Abolish_type_species.pdf")</f>
        <v>2020.001G.R.Abolish_type_species.pdf</v>
      </c>
      <c r="U13744" s="29" t="str">
        <f>HYPERLINK("https://ictv.global/taxonomy/taxondetails?taxnode_id=202305337","ictv.global=202305337")</f>
        <v>ictv.global=202305337</v>
      </c>
    </row>
    <row r="13745" spans="1:21">
      <c r="A13745">
        <v>13744</v>
      </c>
      <c r="B13745" s="30" t="s">
        <v>1226</v>
      </c>
      <c r="N13745" s="30" t="s">
        <v>795</v>
      </c>
      <c r="P13745" s="30" t="s">
        <v>796</v>
      </c>
      <c r="Q13745" t="s">
        <v>621</v>
      </c>
      <c r="R13745" t="s">
        <v>3894</v>
      </c>
      <c r="S13745">
        <v>36</v>
      </c>
      <c r="T13745" s="29" t="str">
        <f>HYPERLINK("https://ictv.global/ictv/proposals/2020.001G.R.Abolish_type_species.pdf","2020.001G.R.Abolish_type_species.pdf")</f>
        <v>2020.001G.R.Abolish_type_species.pdf</v>
      </c>
      <c r="U13745" s="29" t="str">
        <f>HYPERLINK("https://ictv.global/taxonomy/taxondetails?taxnode_id=202305360","ictv.global=202305360")</f>
        <v>ictv.global=202305360</v>
      </c>
    </row>
    <row r="13746" spans="1:21">
      <c r="A13746">
        <v>13745</v>
      </c>
      <c r="B13746" s="30" t="s">
        <v>1226</v>
      </c>
      <c r="N13746" s="30" t="s">
        <v>800</v>
      </c>
      <c r="P13746" s="30" t="s">
        <v>801</v>
      </c>
      <c r="Q13746" t="s">
        <v>621</v>
      </c>
      <c r="R13746" t="s">
        <v>3894</v>
      </c>
      <c r="S13746">
        <v>36</v>
      </c>
      <c r="T13746" s="29" t="str">
        <f>HYPERLINK("https://ictv.global/ictv/proposals/2020.001G.R.Abolish_type_species.pdf","2020.001G.R.Abolish_type_species.pdf")</f>
        <v>2020.001G.R.Abolish_type_species.pdf</v>
      </c>
      <c r="U13746" s="29" t="str">
        <f>HYPERLINK("https://ictv.global/taxonomy/taxondetails?taxnode_id=202305393","ictv.global=202305393")</f>
        <v>ictv.global=202305393</v>
      </c>
    </row>
    <row r="13747" spans="1:21">
      <c r="A13747">
        <v>13746</v>
      </c>
      <c r="B13747" s="30" t="s">
        <v>3806</v>
      </c>
      <c r="L13747" s="30" t="s">
        <v>3807</v>
      </c>
      <c r="N13747" s="30" t="s">
        <v>3808</v>
      </c>
      <c r="P13747" s="30" t="s">
        <v>3809</v>
      </c>
      <c r="Q13747" t="s">
        <v>620</v>
      </c>
      <c r="R13747" t="s">
        <v>917</v>
      </c>
      <c r="S13747">
        <v>36</v>
      </c>
      <c r="T13747" s="29" t="str">
        <f t="shared" ref="T13747:T13753" si="573">HYPERLINK("https://ictv.global/ictv/proposals/2020.012D.R.Ribozyviria.zip","2020.012D.R.Ribozyviria.zip")</f>
        <v>2020.012D.R.Ribozyviria.zip</v>
      </c>
      <c r="U13747" s="29" t="str">
        <f>HYPERLINK("https://ictv.global/taxonomy/taxondetails?taxnode_id=202309310","ictv.global=202309310")</f>
        <v>ictv.global=202309310</v>
      </c>
    </row>
    <row r="13748" spans="1:21">
      <c r="A13748">
        <v>13747</v>
      </c>
      <c r="B13748" s="30" t="s">
        <v>3806</v>
      </c>
      <c r="L13748" s="30" t="s">
        <v>3807</v>
      </c>
      <c r="N13748" s="30" t="s">
        <v>3810</v>
      </c>
      <c r="P13748" s="30" t="s">
        <v>3811</v>
      </c>
      <c r="Q13748" t="s">
        <v>620</v>
      </c>
      <c r="R13748" t="s">
        <v>917</v>
      </c>
      <c r="S13748">
        <v>36</v>
      </c>
      <c r="T13748" s="29" t="str">
        <f t="shared" si="573"/>
        <v>2020.012D.R.Ribozyviria.zip</v>
      </c>
      <c r="U13748" s="29" t="str">
        <f>HYPERLINK("https://ictv.global/taxonomy/taxondetails?taxnode_id=202309312","ictv.global=202309312")</f>
        <v>ictv.global=202309312</v>
      </c>
    </row>
    <row r="13749" spans="1:21">
      <c r="A13749">
        <v>13748</v>
      </c>
      <c r="B13749" s="30" t="s">
        <v>3806</v>
      </c>
      <c r="L13749" s="30" t="s">
        <v>3807</v>
      </c>
      <c r="N13749" s="30" t="s">
        <v>3812</v>
      </c>
      <c r="P13749" s="30" t="s">
        <v>3813</v>
      </c>
      <c r="Q13749" t="s">
        <v>620</v>
      </c>
      <c r="R13749" t="s">
        <v>917</v>
      </c>
      <c r="S13749">
        <v>36</v>
      </c>
      <c r="T13749" s="29" t="str">
        <f t="shared" si="573"/>
        <v>2020.012D.R.Ribozyviria.zip</v>
      </c>
      <c r="U13749" s="29" t="str">
        <f>HYPERLINK("https://ictv.global/taxonomy/taxondetails?taxnode_id=202309304","ictv.global=202309304")</f>
        <v>ictv.global=202309304</v>
      </c>
    </row>
    <row r="13750" spans="1:21">
      <c r="A13750">
        <v>13749</v>
      </c>
      <c r="B13750" s="30" t="s">
        <v>3806</v>
      </c>
      <c r="L13750" s="30" t="s">
        <v>3807</v>
      </c>
      <c r="N13750" s="30" t="s">
        <v>3814</v>
      </c>
      <c r="P13750" s="30" t="s">
        <v>3815</v>
      </c>
      <c r="Q13750" t="s">
        <v>620</v>
      </c>
      <c r="R13750" t="s">
        <v>917</v>
      </c>
      <c r="S13750">
        <v>36</v>
      </c>
      <c r="T13750" s="29" t="str">
        <f t="shared" si="573"/>
        <v>2020.012D.R.Ribozyviria.zip</v>
      </c>
      <c r="U13750" s="29" t="str">
        <f>HYPERLINK("https://ictv.global/taxonomy/taxondetails?taxnode_id=202309302","ictv.global=202309302")</f>
        <v>ictv.global=202309302</v>
      </c>
    </row>
    <row r="13751" spans="1:21">
      <c r="A13751">
        <v>13750</v>
      </c>
      <c r="B13751" s="30" t="s">
        <v>3806</v>
      </c>
      <c r="L13751" s="30" t="s">
        <v>3807</v>
      </c>
      <c r="N13751" s="30" t="s">
        <v>3816</v>
      </c>
      <c r="P13751" s="30" t="s">
        <v>3817</v>
      </c>
      <c r="Q13751" t="s">
        <v>620</v>
      </c>
      <c r="R13751" t="s">
        <v>917</v>
      </c>
      <c r="S13751">
        <v>36</v>
      </c>
      <c r="T13751" s="29" t="str">
        <f t="shared" si="573"/>
        <v>2020.012D.R.Ribozyviria.zip</v>
      </c>
      <c r="U13751" s="29" t="str">
        <f>HYPERLINK("https://ictv.global/taxonomy/taxondetails?taxnode_id=202309306","ictv.global=202309306")</f>
        <v>ictv.global=202309306</v>
      </c>
    </row>
    <row r="13752" spans="1:21">
      <c r="A13752">
        <v>13751</v>
      </c>
      <c r="B13752" s="30" t="s">
        <v>3806</v>
      </c>
      <c r="L13752" s="30" t="s">
        <v>3807</v>
      </c>
      <c r="N13752" s="30" t="s">
        <v>329</v>
      </c>
      <c r="P13752" s="30" t="s">
        <v>3818</v>
      </c>
      <c r="Q13752" t="s">
        <v>620</v>
      </c>
      <c r="R13752" t="s">
        <v>917</v>
      </c>
      <c r="S13752">
        <v>36</v>
      </c>
      <c r="T13752" s="29" t="str">
        <f t="shared" si="573"/>
        <v>2020.012D.R.Ribozyviria.zip</v>
      </c>
      <c r="U13752" s="29" t="str">
        <f>HYPERLINK("https://ictv.global/taxonomy/taxondetails?taxnode_id=202309299","ictv.global=202309299")</f>
        <v>ictv.global=202309299</v>
      </c>
    </row>
    <row r="13753" spans="1:21">
      <c r="A13753">
        <v>13752</v>
      </c>
      <c r="B13753" s="30" t="s">
        <v>3806</v>
      </c>
      <c r="L13753" s="30" t="s">
        <v>3807</v>
      </c>
      <c r="N13753" s="30" t="s">
        <v>329</v>
      </c>
      <c r="P13753" s="30" t="s">
        <v>3819</v>
      </c>
      <c r="Q13753" t="s">
        <v>620</v>
      </c>
      <c r="R13753" t="s">
        <v>917</v>
      </c>
      <c r="S13753">
        <v>36</v>
      </c>
      <c r="T13753" s="29" t="str">
        <f t="shared" si="573"/>
        <v>2020.012D.R.Ribozyviria.zip</v>
      </c>
      <c r="U13753" s="29" t="str">
        <f>HYPERLINK("https://ictv.global/taxonomy/taxondetails?taxnode_id=202309298","ictv.global=202309298")</f>
        <v>ictv.global=202309298</v>
      </c>
    </row>
    <row r="13754" spans="1:21">
      <c r="A13754">
        <v>13753</v>
      </c>
      <c r="B13754" s="30" t="s">
        <v>3806</v>
      </c>
      <c r="L13754" s="30" t="s">
        <v>3807</v>
      </c>
      <c r="N13754" s="30" t="s">
        <v>329</v>
      </c>
      <c r="P13754" s="30" t="s">
        <v>3820</v>
      </c>
      <c r="Q13754" t="s">
        <v>620</v>
      </c>
      <c r="R13754" t="s">
        <v>3893</v>
      </c>
      <c r="S13754">
        <v>36</v>
      </c>
      <c r="T13754" s="29" t="str">
        <f>HYPERLINK("https://ictv.global/ictv/proposals/2020.012D.R.Ribozyviria.zip","2020.012D.R.Ribozyviria.zip;2020.001G.R.Abolish_type_species.pdf")</f>
        <v>2020.012D.R.Ribozyviria.zip;2020.001G.R.Abolish_type_species.pdf</v>
      </c>
      <c r="U13754" s="29" t="str">
        <f>HYPERLINK("https://ictv.global/taxonomy/taxondetails?taxnode_id=202305348","ictv.global=202305348")</f>
        <v>ictv.global=202305348</v>
      </c>
    </row>
    <row r="13755" spans="1:21">
      <c r="A13755">
        <v>13754</v>
      </c>
      <c r="B13755" s="30" t="s">
        <v>3806</v>
      </c>
      <c r="L13755" s="30" t="s">
        <v>3807</v>
      </c>
      <c r="N13755" s="30" t="s">
        <v>329</v>
      </c>
      <c r="P13755" s="30" t="s">
        <v>3821</v>
      </c>
      <c r="Q13755" t="s">
        <v>620</v>
      </c>
      <c r="R13755" t="s">
        <v>917</v>
      </c>
      <c r="S13755">
        <v>36</v>
      </c>
      <c r="T13755" s="29" t="str">
        <f t="shared" ref="T13755:T13760" si="574">HYPERLINK("https://ictv.global/ictv/proposals/2020.012D.R.Ribozyviria.zip","2020.012D.R.Ribozyviria.zip")</f>
        <v>2020.012D.R.Ribozyviria.zip</v>
      </c>
      <c r="U13755" s="29" t="str">
        <f>HYPERLINK("https://ictv.global/taxonomy/taxondetails?taxnode_id=202309294","ictv.global=202309294")</f>
        <v>ictv.global=202309294</v>
      </c>
    </row>
    <row r="13756" spans="1:21">
      <c r="A13756">
        <v>13755</v>
      </c>
      <c r="B13756" s="30" t="s">
        <v>3806</v>
      </c>
      <c r="L13756" s="30" t="s">
        <v>3807</v>
      </c>
      <c r="N13756" s="30" t="s">
        <v>329</v>
      </c>
      <c r="P13756" s="30" t="s">
        <v>3822</v>
      </c>
      <c r="Q13756" t="s">
        <v>620</v>
      </c>
      <c r="R13756" t="s">
        <v>917</v>
      </c>
      <c r="S13756">
        <v>36</v>
      </c>
      <c r="T13756" s="29" t="str">
        <f t="shared" si="574"/>
        <v>2020.012D.R.Ribozyviria.zip</v>
      </c>
      <c r="U13756" s="29" t="str">
        <f>HYPERLINK("https://ictv.global/taxonomy/taxondetails?taxnode_id=202309295","ictv.global=202309295")</f>
        <v>ictv.global=202309295</v>
      </c>
    </row>
    <row r="13757" spans="1:21">
      <c r="A13757">
        <v>13756</v>
      </c>
      <c r="B13757" s="30" t="s">
        <v>3806</v>
      </c>
      <c r="L13757" s="30" t="s">
        <v>3807</v>
      </c>
      <c r="N13757" s="30" t="s">
        <v>329</v>
      </c>
      <c r="P13757" s="30" t="s">
        <v>3823</v>
      </c>
      <c r="Q13757" t="s">
        <v>620</v>
      </c>
      <c r="R13757" t="s">
        <v>917</v>
      </c>
      <c r="S13757">
        <v>36</v>
      </c>
      <c r="T13757" s="29" t="str">
        <f t="shared" si="574"/>
        <v>2020.012D.R.Ribozyviria.zip</v>
      </c>
      <c r="U13757" s="29" t="str">
        <f>HYPERLINK("https://ictv.global/taxonomy/taxondetails?taxnode_id=202309300","ictv.global=202309300")</f>
        <v>ictv.global=202309300</v>
      </c>
    </row>
    <row r="13758" spans="1:21">
      <c r="A13758">
        <v>13757</v>
      </c>
      <c r="B13758" s="30" t="s">
        <v>3806</v>
      </c>
      <c r="L13758" s="30" t="s">
        <v>3807</v>
      </c>
      <c r="N13758" s="30" t="s">
        <v>329</v>
      </c>
      <c r="P13758" s="30" t="s">
        <v>3824</v>
      </c>
      <c r="Q13758" t="s">
        <v>620</v>
      </c>
      <c r="R13758" t="s">
        <v>917</v>
      </c>
      <c r="S13758">
        <v>36</v>
      </c>
      <c r="T13758" s="29" t="str">
        <f t="shared" si="574"/>
        <v>2020.012D.R.Ribozyviria.zip</v>
      </c>
      <c r="U13758" s="29" t="str">
        <f>HYPERLINK("https://ictv.global/taxonomy/taxondetails?taxnode_id=202309296","ictv.global=202309296")</f>
        <v>ictv.global=202309296</v>
      </c>
    </row>
    <row r="13759" spans="1:21">
      <c r="A13759">
        <v>13758</v>
      </c>
      <c r="B13759" s="30" t="s">
        <v>3806</v>
      </c>
      <c r="L13759" s="30" t="s">
        <v>3807</v>
      </c>
      <c r="N13759" s="30" t="s">
        <v>329</v>
      </c>
      <c r="P13759" s="30" t="s">
        <v>3825</v>
      </c>
      <c r="Q13759" t="s">
        <v>620</v>
      </c>
      <c r="R13759" t="s">
        <v>917</v>
      </c>
      <c r="S13759">
        <v>36</v>
      </c>
      <c r="T13759" s="29" t="str">
        <f t="shared" si="574"/>
        <v>2020.012D.R.Ribozyviria.zip</v>
      </c>
      <c r="U13759" s="29" t="str">
        <f>HYPERLINK("https://ictv.global/taxonomy/taxondetails?taxnode_id=202309297","ictv.global=202309297")</f>
        <v>ictv.global=202309297</v>
      </c>
    </row>
    <row r="13760" spans="1:21">
      <c r="A13760">
        <v>13759</v>
      </c>
      <c r="B13760" s="30" t="s">
        <v>3806</v>
      </c>
      <c r="L13760" s="30" t="s">
        <v>3807</v>
      </c>
      <c r="N13760" s="30" t="s">
        <v>3826</v>
      </c>
      <c r="P13760" s="30" t="s">
        <v>3827</v>
      </c>
      <c r="Q13760" t="s">
        <v>620</v>
      </c>
      <c r="R13760" t="s">
        <v>917</v>
      </c>
      <c r="S13760">
        <v>36</v>
      </c>
      <c r="T13760" s="29" t="str">
        <f t="shared" si="574"/>
        <v>2020.012D.R.Ribozyviria.zip</v>
      </c>
      <c r="U13760" s="29" t="str">
        <f>HYPERLINK("https://ictv.global/taxonomy/taxondetails?taxnode_id=202309308","ictv.global=202309308")</f>
        <v>ictv.global=202309308</v>
      </c>
    </row>
    <row r="13761" spans="1:21">
      <c r="A13761">
        <v>13760</v>
      </c>
      <c r="B13761" s="30" t="s">
        <v>3806</v>
      </c>
      <c r="L13761" s="30" t="s">
        <v>3807</v>
      </c>
      <c r="N13761" s="30" t="s">
        <v>18505</v>
      </c>
      <c r="P13761" s="30" t="s">
        <v>18506</v>
      </c>
      <c r="Q13761" t="s">
        <v>620</v>
      </c>
      <c r="R13761" t="s">
        <v>917</v>
      </c>
      <c r="S13761">
        <v>39</v>
      </c>
      <c r="T13761" s="29" t="str">
        <f t="shared" ref="T13761:T13766" si="575">HYPERLINK("https://ictv.global/ictv/proposals/2023.026M.Kolmioviridae_3ng_6nsp.zip","2023.026M.Kolmioviridae_3ng_6nsp.zip")</f>
        <v>2023.026M.Kolmioviridae_3ng_6nsp.zip</v>
      </c>
      <c r="U13761" s="29" t="str">
        <f>HYPERLINK("https://ictv.global/taxonomy/taxondetails?taxnode_id=202318995","ictv.global=202318995")</f>
        <v>ictv.global=202318995</v>
      </c>
    </row>
    <row r="13762" spans="1:21">
      <c r="A13762">
        <v>13761</v>
      </c>
      <c r="B13762" s="30" t="s">
        <v>3806</v>
      </c>
      <c r="L13762" s="30" t="s">
        <v>3807</v>
      </c>
      <c r="N13762" s="30" t="s">
        <v>18507</v>
      </c>
      <c r="P13762" s="30" t="s">
        <v>18508</v>
      </c>
      <c r="Q13762" t="s">
        <v>620</v>
      </c>
      <c r="R13762" t="s">
        <v>917</v>
      </c>
      <c r="S13762">
        <v>39</v>
      </c>
      <c r="T13762" s="29" t="str">
        <f t="shared" si="575"/>
        <v>2023.026M.Kolmioviridae_3ng_6nsp.zip</v>
      </c>
      <c r="U13762" s="29" t="str">
        <f>HYPERLINK("https://ictv.global/taxonomy/taxondetails?taxnode_id=202318990","ictv.global=202318990")</f>
        <v>ictv.global=202318990</v>
      </c>
    </row>
    <row r="13763" spans="1:21">
      <c r="A13763">
        <v>13762</v>
      </c>
      <c r="B13763" s="30" t="s">
        <v>3806</v>
      </c>
      <c r="L13763" s="30" t="s">
        <v>3807</v>
      </c>
      <c r="N13763" s="30" t="s">
        <v>18507</v>
      </c>
      <c r="P13763" s="30" t="s">
        <v>18509</v>
      </c>
      <c r="Q13763" t="s">
        <v>620</v>
      </c>
      <c r="R13763" t="s">
        <v>917</v>
      </c>
      <c r="S13763">
        <v>39</v>
      </c>
      <c r="T13763" s="29" t="str">
        <f t="shared" si="575"/>
        <v>2023.026M.Kolmioviridae_3ng_6nsp.zip</v>
      </c>
      <c r="U13763" s="29" t="str">
        <f>HYPERLINK("https://ictv.global/taxonomy/taxondetails?taxnode_id=202318991","ictv.global=202318991")</f>
        <v>ictv.global=202318991</v>
      </c>
    </row>
    <row r="13764" spans="1:21">
      <c r="A13764">
        <v>13763</v>
      </c>
      <c r="B13764" s="30" t="s">
        <v>3806</v>
      </c>
      <c r="L13764" s="30" t="s">
        <v>3807</v>
      </c>
      <c r="N13764" s="30" t="s">
        <v>18507</v>
      </c>
      <c r="P13764" s="30" t="s">
        <v>18510</v>
      </c>
      <c r="Q13764" t="s">
        <v>620</v>
      </c>
      <c r="R13764" t="s">
        <v>917</v>
      </c>
      <c r="S13764">
        <v>39</v>
      </c>
      <c r="T13764" s="29" t="str">
        <f t="shared" si="575"/>
        <v>2023.026M.Kolmioviridae_3ng_6nsp.zip</v>
      </c>
      <c r="U13764" s="29" t="str">
        <f>HYPERLINK("https://ictv.global/taxonomy/taxondetails?taxnode_id=202318992","ictv.global=202318992")</f>
        <v>ictv.global=202318992</v>
      </c>
    </row>
    <row r="13765" spans="1:21">
      <c r="A13765">
        <v>13764</v>
      </c>
      <c r="B13765" s="30" t="s">
        <v>3806</v>
      </c>
      <c r="L13765" s="30" t="s">
        <v>3807</v>
      </c>
      <c r="N13765" s="30" t="s">
        <v>18511</v>
      </c>
      <c r="P13765" s="30" t="s">
        <v>18512</v>
      </c>
      <c r="Q13765" t="s">
        <v>620</v>
      </c>
      <c r="R13765" t="s">
        <v>917</v>
      </c>
      <c r="S13765">
        <v>39</v>
      </c>
      <c r="T13765" s="29" t="str">
        <f t="shared" si="575"/>
        <v>2023.026M.Kolmioviridae_3ng_6nsp.zip</v>
      </c>
      <c r="U13765" s="29" t="str">
        <f>HYPERLINK("https://ictv.global/taxonomy/taxondetails?taxnode_id=202318994","ictv.global=202318994")</f>
        <v>ictv.global=202318994</v>
      </c>
    </row>
    <row r="13766" spans="1:21">
      <c r="A13766">
        <v>13765</v>
      </c>
      <c r="B13766" s="30" t="s">
        <v>3806</v>
      </c>
      <c r="L13766" s="30" t="s">
        <v>3807</v>
      </c>
      <c r="N13766" s="30" t="s">
        <v>3828</v>
      </c>
      <c r="P13766" s="30" t="s">
        <v>18513</v>
      </c>
      <c r="Q13766" t="s">
        <v>620</v>
      </c>
      <c r="R13766" t="s">
        <v>917</v>
      </c>
      <c r="S13766">
        <v>39</v>
      </c>
      <c r="T13766" s="29" t="str">
        <f t="shared" si="575"/>
        <v>2023.026M.Kolmioviridae_3ng_6nsp.zip</v>
      </c>
      <c r="U13766" s="29" t="str">
        <f>HYPERLINK("https://ictv.global/taxonomy/taxondetails?taxnode_id=202318993","ictv.global=202318993")</f>
        <v>ictv.global=202318993</v>
      </c>
    </row>
    <row r="13767" spans="1:21">
      <c r="A13767">
        <v>13766</v>
      </c>
      <c r="B13767" s="30" t="s">
        <v>3806</v>
      </c>
      <c r="L13767" s="30" t="s">
        <v>3807</v>
      </c>
      <c r="N13767" s="30" t="s">
        <v>3828</v>
      </c>
      <c r="P13767" s="30" t="s">
        <v>3829</v>
      </c>
      <c r="Q13767" t="s">
        <v>620</v>
      </c>
      <c r="R13767" t="s">
        <v>917</v>
      </c>
      <c r="S13767">
        <v>36</v>
      </c>
      <c r="T13767" s="29" t="str">
        <f>HYPERLINK("https://ictv.global/ictv/proposals/2020.012D.R.Ribozyviria.zip","2020.012D.R.Ribozyviria.zip")</f>
        <v>2020.012D.R.Ribozyviria.zip</v>
      </c>
      <c r="U13767" s="29" t="str">
        <f>HYPERLINK("https://ictv.global/taxonomy/taxondetails?taxnode_id=202309314","ictv.global=202309314")</f>
        <v>ictv.global=202309314</v>
      </c>
    </row>
    <row r="13768" spans="1:21">
      <c r="A13768">
        <v>13767</v>
      </c>
      <c r="B13768" s="30" t="s">
        <v>2145</v>
      </c>
      <c r="D13768" s="30" t="s">
        <v>2146</v>
      </c>
      <c r="F13768" s="30" t="s">
        <v>2147</v>
      </c>
      <c r="H13768" s="30" t="s">
        <v>2148</v>
      </c>
      <c r="J13768" s="30" t="s">
        <v>2149</v>
      </c>
      <c r="L13768" s="30" t="s">
        <v>355</v>
      </c>
      <c r="N13768" s="30" t="s">
        <v>356</v>
      </c>
      <c r="P13768" s="30" t="s">
        <v>18514</v>
      </c>
      <c r="Q13768" t="s">
        <v>619</v>
      </c>
      <c r="R13768" t="s">
        <v>920</v>
      </c>
      <c r="S13768">
        <v>39</v>
      </c>
      <c r="T13768" s="29" t="str">
        <f t="shared" ref="T13768:T13781" si="576">HYPERLINK("https://ictv.global/ictv/proposals/2023.010F.Phycodnaviridae_abolish19sp_spren.zip","2023.010F.Phycodnaviridae_abolish19sp_spren.zip")</f>
        <v>2023.010F.Phycodnaviridae_abolish19sp_spren.zip</v>
      </c>
      <c r="U13768" s="29" t="str">
        <f>HYPERLINK("https://ictv.global/taxonomy/taxondetails?taxnode_id=202304305","ictv.global=202304305")</f>
        <v>ictv.global=202304305</v>
      </c>
    </row>
    <row r="13769" spans="1:21">
      <c r="A13769">
        <v>13768</v>
      </c>
      <c r="B13769" s="30" t="s">
        <v>2145</v>
      </c>
      <c r="D13769" s="30" t="s">
        <v>2146</v>
      </c>
      <c r="F13769" s="30" t="s">
        <v>2147</v>
      </c>
      <c r="H13769" s="30" t="s">
        <v>2148</v>
      </c>
      <c r="J13769" s="30" t="s">
        <v>2149</v>
      </c>
      <c r="L13769" s="30" t="s">
        <v>355</v>
      </c>
      <c r="N13769" s="30" t="s">
        <v>356</v>
      </c>
      <c r="P13769" s="30" t="s">
        <v>18515</v>
      </c>
      <c r="Q13769" t="s">
        <v>619</v>
      </c>
      <c r="R13769" t="s">
        <v>920</v>
      </c>
      <c r="S13769">
        <v>39</v>
      </c>
      <c r="T13769" s="29" t="str">
        <f t="shared" si="576"/>
        <v>2023.010F.Phycodnaviridae_abolish19sp_spren.zip</v>
      </c>
      <c r="U13769" s="29" t="str">
        <f>HYPERLINK("https://ictv.global/taxonomy/taxondetails?taxnode_id=202304296","ictv.global=202304296")</f>
        <v>ictv.global=202304296</v>
      </c>
    </row>
    <row r="13770" spans="1:21">
      <c r="A13770">
        <v>13769</v>
      </c>
      <c r="B13770" s="30" t="s">
        <v>2145</v>
      </c>
      <c r="D13770" s="30" t="s">
        <v>2146</v>
      </c>
      <c r="F13770" s="30" t="s">
        <v>2147</v>
      </c>
      <c r="H13770" s="30" t="s">
        <v>2148</v>
      </c>
      <c r="J13770" s="30" t="s">
        <v>2149</v>
      </c>
      <c r="L13770" s="30" t="s">
        <v>355</v>
      </c>
      <c r="N13770" s="30" t="s">
        <v>356</v>
      </c>
      <c r="P13770" s="30" t="s">
        <v>18516</v>
      </c>
      <c r="Q13770" t="s">
        <v>619</v>
      </c>
      <c r="R13770" t="s">
        <v>920</v>
      </c>
      <c r="S13770">
        <v>39</v>
      </c>
      <c r="T13770" s="29" t="str">
        <f t="shared" si="576"/>
        <v>2023.010F.Phycodnaviridae_abolish19sp_spren.zip</v>
      </c>
      <c r="U13770" s="29" t="str">
        <f>HYPERLINK("https://ictv.global/taxonomy/taxondetails?taxnode_id=202304293","ictv.global=202304293")</f>
        <v>ictv.global=202304293</v>
      </c>
    </row>
    <row r="13771" spans="1:21">
      <c r="A13771">
        <v>13770</v>
      </c>
      <c r="B13771" s="30" t="s">
        <v>2145</v>
      </c>
      <c r="D13771" s="30" t="s">
        <v>2146</v>
      </c>
      <c r="F13771" s="30" t="s">
        <v>2147</v>
      </c>
      <c r="H13771" s="30" t="s">
        <v>2148</v>
      </c>
      <c r="J13771" s="30" t="s">
        <v>2149</v>
      </c>
      <c r="L13771" s="30" t="s">
        <v>355</v>
      </c>
      <c r="N13771" s="30" t="s">
        <v>356</v>
      </c>
      <c r="P13771" s="30" t="s">
        <v>18517</v>
      </c>
      <c r="Q13771" t="s">
        <v>619</v>
      </c>
      <c r="R13771" t="s">
        <v>920</v>
      </c>
      <c r="S13771">
        <v>39</v>
      </c>
      <c r="T13771" s="29" t="str">
        <f t="shared" si="576"/>
        <v>2023.010F.Phycodnaviridae_abolish19sp_spren.zip</v>
      </c>
      <c r="U13771" s="29" t="str">
        <f>HYPERLINK("https://ictv.global/taxonomy/taxondetails?taxnode_id=202304302","ictv.global=202304302")</f>
        <v>ictv.global=202304302</v>
      </c>
    </row>
    <row r="13772" spans="1:21">
      <c r="A13772">
        <v>13771</v>
      </c>
      <c r="B13772" s="30" t="s">
        <v>2145</v>
      </c>
      <c r="D13772" s="30" t="s">
        <v>2146</v>
      </c>
      <c r="F13772" s="30" t="s">
        <v>2147</v>
      </c>
      <c r="H13772" s="30" t="s">
        <v>2148</v>
      </c>
      <c r="J13772" s="30" t="s">
        <v>2149</v>
      </c>
      <c r="L13772" s="30" t="s">
        <v>355</v>
      </c>
      <c r="N13772" s="30" t="s">
        <v>356</v>
      </c>
      <c r="P13772" s="30" t="s">
        <v>18518</v>
      </c>
      <c r="Q13772" t="s">
        <v>619</v>
      </c>
      <c r="R13772" t="s">
        <v>920</v>
      </c>
      <c r="S13772">
        <v>39</v>
      </c>
      <c r="T13772" s="29" t="str">
        <f t="shared" si="576"/>
        <v>2023.010F.Phycodnaviridae_abolish19sp_spren.zip</v>
      </c>
      <c r="U13772" s="29" t="str">
        <f>HYPERLINK("https://ictv.global/taxonomy/taxondetails?taxnode_id=202304306","ictv.global=202304306")</f>
        <v>ictv.global=202304306</v>
      </c>
    </row>
    <row r="13773" spans="1:21">
      <c r="A13773">
        <v>13772</v>
      </c>
      <c r="B13773" s="30" t="s">
        <v>2145</v>
      </c>
      <c r="D13773" s="30" t="s">
        <v>2146</v>
      </c>
      <c r="F13773" s="30" t="s">
        <v>2147</v>
      </c>
      <c r="H13773" s="30" t="s">
        <v>2148</v>
      </c>
      <c r="J13773" s="30" t="s">
        <v>2149</v>
      </c>
      <c r="L13773" s="30" t="s">
        <v>355</v>
      </c>
      <c r="N13773" s="30" t="s">
        <v>356</v>
      </c>
      <c r="P13773" s="30" t="s">
        <v>18519</v>
      </c>
      <c r="Q13773" t="s">
        <v>619</v>
      </c>
      <c r="R13773" t="s">
        <v>920</v>
      </c>
      <c r="S13773">
        <v>39</v>
      </c>
      <c r="T13773" s="29" t="str">
        <f t="shared" si="576"/>
        <v>2023.010F.Phycodnaviridae_abolish19sp_spren.zip</v>
      </c>
      <c r="U13773" s="29" t="str">
        <f>HYPERLINK("https://ictv.global/taxonomy/taxondetails?taxnode_id=202304295","ictv.global=202304295")</f>
        <v>ictv.global=202304295</v>
      </c>
    </row>
    <row r="13774" spans="1:21">
      <c r="A13774">
        <v>13773</v>
      </c>
      <c r="B13774" s="30" t="s">
        <v>2145</v>
      </c>
      <c r="D13774" s="30" t="s">
        <v>2146</v>
      </c>
      <c r="F13774" s="30" t="s">
        <v>2147</v>
      </c>
      <c r="H13774" s="30" t="s">
        <v>2148</v>
      </c>
      <c r="J13774" s="30" t="s">
        <v>2149</v>
      </c>
      <c r="L13774" s="30" t="s">
        <v>355</v>
      </c>
      <c r="N13774" s="30" t="s">
        <v>227</v>
      </c>
      <c r="P13774" s="30" t="s">
        <v>18520</v>
      </c>
      <c r="Q13774" t="s">
        <v>619</v>
      </c>
      <c r="R13774" t="s">
        <v>920</v>
      </c>
      <c r="S13774">
        <v>39</v>
      </c>
      <c r="T13774" s="29" t="str">
        <f t="shared" si="576"/>
        <v>2023.010F.Phycodnaviridae_abolish19sp_spren.zip</v>
      </c>
      <c r="U13774" s="29" t="str">
        <f>HYPERLINK("https://ictv.global/taxonomy/taxondetails?taxnode_id=202304313","ictv.global=202304313")</f>
        <v>ictv.global=202304313</v>
      </c>
    </row>
    <row r="13775" spans="1:21">
      <c r="A13775">
        <v>13774</v>
      </c>
      <c r="B13775" s="30" t="s">
        <v>2145</v>
      </c>
      <c r="D13775" s="30" t="s">
        <v>2146</v>
      </c>
      <c r="F13775" s="30" t="s">
        <v>2147</v>
      </c>
      <c r="H13775" s="30" t="s">
        <v>2148</v>
      </c>
      <c r="J13775" s="30" t="s">
        <v>2149</v>
      </c>
      <c r="L13775" s="30" t="s">
        <v>355</v>
      </c>
      <c r="N13775" s="30" t="s">
        <v>240</v>
      </c>
      <c r="P13775" s="30" t="s">
        <v>18521</v>
      </c>
      <c r="Q13775" t="s">
        <v>619</v>
      </c>
      <c r="R13775" t="s">
        <v>920</v>
      </c>
      <c r="S13775">
        <v>39</v>
      </c>
      <c r="T13775" s="29" t="str">
        <f t="shared" si="576"/>
        <v>2023.010F.Phycodnaviridae_abolish19sp_spren.zip</v>
      </c>
      <c r="U13775" s="29" t="str">
        <f>HYPERLINK("https://ictv.global/taxonomy/taxondetails?taxnode_id=202304319","ictv.global=202304319")</f>
        <v>ictv.global=202304319</v>
      </c>
    </row>
    <row r="13776" spans="1:21">
      <c r="A13776">
        <v>13775</v>
      </c>
      <c r="B13776" s="30" t="s">
        <v>2145</v>
      </c>
      <c r="D13776" s="30" t="s">
        <v>2146</v>
      </c>
      <c r="F13776" s="30" t="s">
        <v>2147</v>
      </c>
      <c r="H13776" s="30" t="s">
        <v>2148</v>
      </c>
      <c r="J13776" s="30" t="s">
        <v>2149</v>
      </c>
      <c r="L13776" s="30" t="s">
        <v>355</v>
      </c>
      <c r="N13776" s="30" t="s">
        <v>240</v>
      </c>
      <c r="P13776" s="30" t="s">
        <v>18522</v>
      </c>
      <c r="Q13776" t="s">
        <v>619</v>
      </c>
      <c r="R13776" t="s">
        <v>920</v>
      </c>
      <c r="S13776">
        <v>39</v>
      </c>
      <c r="T13776" s="29" t="str">
        <f t="shared" si="576"/>
        <v>2023.010F.Phycodnaviridae_abolish19sp_spren.zip</v>
      </c>
      <c r="U13776" s="29" t="str">
        <f>HYPERLINK("https://ictv.global/taxonomy/taxondetails?taxnode_id=202304318","ictv.global=202304318")</f>
        <v>ictv.global=202304318</v>
      </c>
    </row>
    <row r="13777" spans="1:21">
      <c r="A13777">
        <v>13776</v>
      </c>
      <c r="B13777" s="30" t="s">
        <v>2145</v>
      </c>
      <c r="D13777" s="30" t="s">
        <v>2146</v>
      </c>
      <c r="F13777" s="30" t="s">
        <v>2147</v>
      </c>
      <c r="H13777" s="30" t="s">
        <v>2148</v>
      </c>
      <c r="J13777" s="30" t="s">
        <v>2149</v>
      </c>
      <c r="L13777" s="30" t="s">
        <v>355</v>
      </c>
      <c r="N13777" s="30" t="s">
        <v>240</v>
      </c>
      <c r="P13777" s="30" t="s">
        <v>18523</v>
      </c>
      <c r="Q13777" t="s">
        <v>619</v>
      </c>
      <c r="R13777" t="s">
        <v>920</v>
      </c>
      <c r="S13777">
        <v>39</v>
      </c>
      <c r="T13777" s="29" t="str">
        <f t="shared" si="576"/>
        <v>2023.010F.Phycodnaviridae_abolish19sp_spren.zip</v>
      </c>
      <c r="U13777" s="29" t="str">
        <f>HYPERLINK("https://ictv.global/taxonomy/taxondetails?taxnode_id=202304316","ictv.global=202304316")</f>
        <v>ictv.global=202304316</v>
      </c>
    </row>
    <row r="13778" spans="1:21">
      <c r="A13778">
        <v>13777</v>
      </c>
      <c r="B13778" s="30" t="s">
        <v>2145</v>
      </c>
      <c r="D13778" s="30" t="s">
        <v>2146</v>
      </c>
      <c r="F13778" s="30" t="s">
        <v>2147</v>
      </c>
      <c r="H13778" s="30" t="s">
        <v>2148</v>
      </c>
      <c r="J13778" s="30" t="s">
        <v>2149</v>
      </c>
      <c r="L13778" s="30" t="s">
        <v>355</v>
      </c>
      <c r="N13778" s="30" t="s">
        <v>244</v>
      </c>
      <c r="P13778" s="30" t="s">
        <v>18524</v>
      </c>
      <c r="Q13778" t="s">
        <v>619</v>
      </c>
      <c r="R13778" t="s">
        <v>920</v>
      </c>
      <c r="S13778">
        <v>39</v>
      </c>
      <c r="T13778" s="29" t="str">
        <f t="shared" si="576"/>
        <v>2023.010F.Phycodnaviridae_abolish19sp_spren.zip</v>
      </c>
      <c r="U13778" s="29" t="str">
        <f>HYPERLINK("https://ictv.global/taxonomy/taxondetails?taxnode_id=202304325","ictv.global=202304325")</f>
        <v>ictv.global=202304325</v>
      </c>
    </row>
    <row r="13779" spans="1:21">
      <c r="A13779">
        <v>13778</v>
      </c>
      <c r="B13779" s="30" t="s">
        <v>2145</v>
      </c>
      <c r="D13779" s="30" t="s">
        <v>2146</v>
      </c>
      <c r="F13779" s="30" t="s">
        <v>2147</v>
      </c>
      <c r="H13779" s="30" t="s">
        <v>2148</v>
      </c>
      <c r="J13779" s="30" t="s">
        <v>2149</v>
      </c>
      <c r="L13779" s="30" t="s">
        <v>355</v>
      </c>
      <c r="N13779" s="30" t="s">
        <v>244</v>
      </c>
      <c r="P13779" s="30" t="s">
        <v>18525</v>
      </c>
      <c r="Q13779" t="s">
        <v>619</v>
      </c>
      <c r="R13779" t="s">
        <v>920</v>
      </c>
      <c r="S13779">
        <v>39</v>
      </c>
      <c r="T13779" s="29" t="str">
        <f t="shared" si="576"/>
        <v>2023.010F.Phycodnaviridae_abolish19sp_spren.zip</v>
      </c>
      <c r="U13779" s="29" t="str">
        <f>HYPERLINK("https://ictv.global/taxonomy/taxondetails?taxnode_id=202304326","ictv.global=202304326")</f>
        <v>ictv.global=202304326</v>
      </c>
    </row>
    <row r="13780" spans="1:21">
      <c r="A13780">
        <v>13779</v>
      </c>
      <c r="B13780" s="30" t="s">
        <v>2145</v>
      </c>
      <c r="D13780" s="30" t="s">
        <v>2146</v>
      </c>
      <c r="F13780" s="30" t="s">
        <v>2147</v>
      </c>
      <c r="H13780" s="30" t="s">
        <v>2148</v>
      </c>
      <c r="J13780" s="30" t="s">
        <v>2149</v>
      </c>
      <c r="L13780" s="30" t="s">
        <v>355</v>
      </c>
      <c r="N13780" s="30" t="s">
        <v>245</v>
      </c>
      <c r="P13780" s="30" t="s">
        <v>18526</v>
      </c>
      <c r="Q13780" t="s">
        <v>619</v>
      </c>
      <c r="R13780" t="s">
        <v>920</v>
      </c>
      <c r="S13780">
        <v>39</v>
      </c>
      <c r="T13780" s="29" t="str">
        <f t="shared" si="576"/>
        <v>2023.010F.Phycodnaviridae_abolish19sp_spren.zip</v>
      </c>
      <c r="U13780" s="29" t="str">
        <f>HYPERLINK("https://ictv.global/taxonomy/taxondetails?taxnode_id=202304328","ictv.global=202304328")</f>
        <v>ictv.global=202304328</v>
      </c>
    </row>
    <row r="13781" spans="1:21">
      <c r="A13781">
        <v>13780</v>
      </c>
      <c r="B13781" s="30" t="s">
        <v>2145</v>
      </c>
      <c r="D13781" s="30" t="s">
        <v>2146</v>
      </c>
      <c r="F13781" s="30" t="s">
        <v>2147</v>
      </c>
      <c r="H13781" s="30" t="s">
        <v>2148</v>
      </c>
      <c r="J13781" s="30" t="s">
        <v>2149</v>
      </c>
      <c r="L13781" s="30" t="s">
        <v>355</v>
      </c>
      <c r="N13781" s="30" t="s">
        <v>246</v>
      </c>
      <c r="P13781" s="30" t="s">
        <v>18527</v>
      </c>
      <c r="Q13781" t="s">
        <v>619</v>
      </c>
      <c r="R13781" t="s">
        <v>920</v>
      </c>
      <c r="S13781">
        <v>39</v>
      </c>
      <c r="T13781" s="29" t="str">
        <f t="shared" si="576"/>
        <v>2023.010F.Phycodnaviridae_abolish19sp_spren.zip</v>
      </c>
      <c r="U13781" s="29" t="str">
        <f>HYPERLINK("https://ictv.global/taxonomy/taxondetails?taxnode_id=202304330","ictv.global=202304330")</f>
        <v>ictv.global=202304330</v>
      </c>
    </row>
    <row r="13782" spans="1:21">
      <c r="A13782">
        <v>13781</v>
      </c>
      <c r="B13782" s="30" t="s">
        <v>2145</v>
      </c>
      <c r="D13782" s="30" t="s">
        <v>2146</v>
      </c>
      <c r="F13782" s="30" t="s">
        <v>2147</v>
      </c>
      <c r="H13782" s="30" t="s">
        <v>2148</v>
      </c>
      <c r="J13782" s="30" t="s">
        <v>2150</v>
      </c>
      <c r="L13782" s="30" t="s">
        <v>11276</v>
      </c>
      <c r="N13782" s="30" t="s">
        <v>11277</v>
      </c>
      <c r="P13782" s="30" t="s">
        <v>11278</v>
      </c>
      <c r="Q13782" t="s">
        <v>619</v>
      </c>
      <c r="R13782" t="s">
        <v>917</v>
      </c>
      <c r="S13782">
        <v>38</v>
      </c>
      <c r="T13782" s="29" t="str">
        <f t="shared" ref="T13782:T13801" si="577">HYPERLINK("https://ictv.global/ictv/proposals/2022.004F.Imitervirales_reorg.zip","2022.004F.Imitervirales_reorg.zip")</f>
        <v>2022.004F.Imitervirales_reorg.zip</v>
      </c>
      <c r="U13782" s="29" t="str">
        <f>HYPERLINK("https://ictv.global/taxonomy/taxondetails?taxnode_id=202315039","ictv.global=202315039")</f>
        <v>ictv.global=202315039</v>
      </c>
    </row>
    <row r="13783" spans="1:21">
      <c r="A13783">
        <v>13782</v>
      </c>
      <c r="B13783" s="30" t="s">
        <v>2145</v>
      </c>
      <c r="D13783" s="30" t="s">
        <v>2146</v>
      </c>
      <c r="F13783" s="30" t="s">
        <v>2147</v>
      </c>
      <c r="H13783" s="30" t="s">
        <v>2148</v>
      </c>
      <c r="J13783" s="30" t="s">
        <v>2150</v>
      </c>
      <c r="L13783" s="30" t="s">
        <v>11276</v>
      </c>
      <c r="N13783" s="30" t="s">
        <v>11279</v>
      </c>
      <c r="P13783" s="30" t="s">
        <v>11280</v>
      </c>
      <c r="Q13783" t="s">
        <v>619</v>
      </c>
      <c r="R13783" t="s">
        <v>917</v>
      </c>
      <c r="S13783">
        <v>38</v>
      </c>
      <c r="T13783" s="29" t="str">
        <f t="shared" si="577"/>
        <v>2022.004F.Imitervirales_reorg.zip</v>
      </c>
      <c r="U13783" s="29" t="str">
        <f>HYPERLINK("https://ictv.global/taxonomy/taxondetails?taxnode_id=202315040","ictv.global=202315040")</f>
        <v>ictv.global=202315040</v>
      </c>
    </row>
    <row r="13784" spans="1:21">
      <c r="A13784">
        <v>13783</v>
      </c>
      <c r="B13784" s="30" t="s">
        <v>2145</v>
      </c>
      <c r="D13784" s="30" t="s">
        <v>2146</v>
      </c>
      <c r="F13784" s="30" t="s">
        <v>2147</v>
      </c>
      <c r="H13784" s="30" t="s">
        <v>2148</v>
      </c>
      <c r="J13784" s="30" t="s">
        <v>2150</v>
      </c>
      <c r="L13784" s="30" t="s">
        <v>11281</v>
      </c>
      <c r="N13784" s="30" t="s">
        <v>11282</v>
      </c>
      <c r="P13784" s="30" t="s">
        <v>11283</v>
      </c>
      <c r="Q13784" t="s">
        <v>619</v>
      </c>
      <c r="R13784" t="s">
        <v>917</v>
      </c>
      <c r="S13784">
        <v>38</v>
      </c>
      <c r="T13784" s="29" t="str">
        <f t="shared" si="577"/>
        <v>2022.004F.Imitervirales_reorg.zip</v>
      </c>
      <c r="U13784" s="29" t="str">
        <f>HYPERLINK("https://ictv.global/taxonomy/taxondetails?taxnode_id=202315041","ictv.global=202315041")</f>
        <v>ictv.global=202315041</v>
      </c>
    </row>
    <row r="13785" spans="1:21">
      <c r="A13785">
        <v>13784</v>
      </c>
      <c r="B13785" s="30" t="s">
        <v>2145</v>
      </c>
      <c r="D13785" s="30" t="s">
        <v>2146</v>
      </c>
      <c r="F13785" s="30" t="s">
        <v>2147</v>
      </c>
      <c r="H13785" s="30" t="s">
        <v>2148</v>
      </c>
      <c r="J13785" s="30" t="s">
        <v>2150</v>
      </c>
      <c r="L13785" s="30" t="s">
        <v>11281</v>
      </c>
      <c r="N13785" s="30" t="s">
        <v>11282</v>
      </c>
      <c r="P13785" s="30" t="s">
        <v>11284</v>
      </c>
      <c r="Q13785" t="s">
        <v>619</v>
      </c>
      <c r="R13785" t="s">
        <v>917</v>
      </c>
      <c r="S13785">
        <v>38</v>
      </c>
      <c r="T13785" s="29" t="str">
        <f t="shared" si="577"/>
        <v>2022.004F.Imitervirales_reorg.zip</v>
      </c>
      <c r="U13785" s="29" t="str">
        <f>HYPERLINK("https://ictv.global/taxonomy/taxondetails?taxnode_id=202315042","ictv.global=202315042")</f>
        <v>ictv.global=202315042</v>
      </c>
    </row>
    <row r="13786" spans="1:21">
      <c r="A13786">
        <v>13785</v>
      </c>
      <c r="B13786" s="30" t="s">
        <v>2145</v>
      </c>
      <c r="D13786" s="30" t="s">
        <v>2146</v>
      </c>
      <c r="F13786" s="30" t="s">
        <v>2147</v>
      </c>
      <c r="H13786" s="30" t="s">
        <v>2148</v>
      </c>
      <c r="J13786" s="30" t="s">
        <v>2150</v>
      </c>
      <c r="L13786" s="30" t="s">
        <v>11281</v>
      </c>
      <c r="N13786" s="30" t="s">
        <v>11282</v>
      </c>
      <c r="P13786" s="30" t="s">
        <v>11285</v>
      </c>
      <c r="Q13786" t="s">
        <v>619</v>
      </c>
      <c r="R13786" t="s">
        <v>917</v>
      </c>
      <c r="S13786">
        <v>38</v>
      </c>
      <c r="T13786" s="29" t="str">
        <f t="shared" si="577"/>
        <v>2022.004F.Imitervirales_reorg.zip</v>
      </c>
      <c r="U13786" s="29" t="str">
        <f>HYPERLINK("https://ictv.global/taxonomy/taxondetails?taxnode_id=202315043","ictv.global=202315043")</f>
        <v>ictv.global=202315043</v>
      </c>
    </row>
    <row r="13787" spans="1:21">
      <c r="A13787">
        <v>13786</v>
      </c>
      <c r="B13787" s="30" t="s">
        <v>2145</v>
      </c>
      <c r="D13787" s="30" t="s">
        <v>2146</v>
      </c>
      <c r="F13787" s="30" t="s">
        <v>2147</v>
      </c>
      <c r="H13787" s="30" t="s">
        <v>2148</v>
      </c>
      <c r="J13787" s="30" t="s">
        <v>2150</v>
      </c>
      <c r="L13787" s="30" t="s">
        <v>481</v>
      </c>
      <c r="M13787" s="30" t="s">
        <v>11286</v>
      </c>
      <c r="N13787" s="30" t="s">
        <v>11287</v>
      </c>
      <c r="P13787" s="30" t="s">
        <v>11288</v>
      </c>
      <c r="Q13787" t="s">
        <v>619</v>
      </c>
      <c r="R13787" t="s">
        <v>918</v>
      </c>
      <c r="S13787">
        <v>38</v>
      </c>
      <c r="T13787" s="29" t="str">
        <f t="shared" si="577"/>
        <v>2022.004F.Imitervirales_reorg.zip</v>
      </c>
      <c r="U13787" s="29" t="str">
        <f>HYPERLINK("https://ictv.global/taxonomy/taxondetails?taxnode_id=202303888","ictv.global=202303888")</f>
        <v>ictv.global=202303888</v>
      </c>
    </row>
    <row r="13788" spans="1:21">
      <c r="A13788">
        <v>13787</v>
      </c>
      <c r="B13788" s="30" t="s">
        <v>2145</v>
      </c>
      <c r="D13788" s="30" t="s">
        <v>2146</v>
      </c>
      <c r="F13788" s="30" t="s">
        <v>2147</v>
      </c>
      <c r="H13788" s="30" t="s">
        <v>2148</v>
      </c>
      <c r="J13788" s="30" t="s">
        <v>2150</v>
      </c>
      <c r="L13788" s="30" t="s">
        <v>481</v>
      </c>
      <c r="M13788" s="30" t="s">
        <v>11289</v>
      </c>
      <c r="N13788" s="30" t="s">
        <v>11290</v>
      </c>
      <c r="P13788" s="30" t="s">
        <v>11291</v>
      </c>
      <c r="Q13788" t="s">
        <v>619</v>
      </c>
      <c r="R13788" t="s">
        <v>917</v>
      </c>
      <c r="S13788">
        <v>38</v>
      </c>
      <c r="T13788" s="29" t="str">
        <f t="shared" si="577"/>
        <v>2022.004F.Imitervirales_reorg.zip</v>
      </c>
      <c r="U13788" s="29" t="str">
        <f>HYPERLINK("https://ictv.global/taxonomy/taxondetails?taxnode_id=202315044","ictv.global=202315044")</f>
        <v>ictv.global=202315044</v>
      </c>
    </row>
    <row r="13789" spans="1:21">
      <c r="A13789">
        <v>13788</v>
      </c>
      <c r="B13789" s="30" t="s">
        <v>2145</v>
      </c>
      <c r="D13789" s="30" t="s">
        <v>2146</v>
      </c>
      <c r="F13789" s="30" t="s">
        <v>2147</v>
      </c>
      <c r="H13789" s="30" t="s">
        <v>2148</v>
      </c>
      <c r="J13789" s="30" t="s">
        <v>2150</v>
      </c>
      <c r="L13789" s="30" t="s">
        <v>481</v>
      </c>
      <c r="M13789" s="30" t="s">
        <v>11289</v>
      </c>
      <c r="N13789" s="30" t="s">
        <v>11292</v>
      </c>
      <c r="P13789" s="30" t="s">
        <v>11293</v>
      </c>
      <c r="Q13789" t="s">
        <v>619</v>
      </c>
      <c r="R13789" t="s">
        <v>917</v>
      </c>
      <c r="S13789">
        <v>38</v>
      </c>
      <c r="T13789" s="29" t="str">
        <f t="shared" si="577"/>
        <v>2022.004F.Imitervirales_reorg.zip</v>
      </c>
      <c r="U13789" s="29" t="str">
        <f>HYPERLINK("https://ictv.global/taxonomy/taxondetails?taxnode_id=202315045","ictv.global=202315045")</f>
        <v>ictv.global=202315045</v>
      </c>
    </row>
    <row r="13790" spans="1:21">
      <c r="A13790">
        <v>13789</v>
      </c>
      <c r="B13790" s="30" t="s">
        <v>2145</v>
      </c>
      <c r="D13790" s="30" t="s">
        <v>2146</v>
      </c>
      <c r="F13790" s="30" t="s">
        <v>2147</v>
      </c>
      <c r="H13790" s="30" t="s">
        <v>2148</v>
      </c>
      <c r="J13790" s="30" t="s">
        <v>2150</v>
      </c>
      <c r="L13790" s="30" t="s">
        <v>481</v>
      </c>
      <c r="M13790" s="30" t="s">
        <v>11289</v>
      </c>
      <c r="N13790" s="30" t="s">
        <v>11294</v>
      </c>
      <c r="P13790" s="30" t="s">
        <v>11295</v>
      </c>
      <c r="Q13790" t="s">
        <v>619</v>
      </c>
      <c r="R13790" t="s">
        <v>917</v>
      </c>
      <c r="S13790">
        <v>38</v>
      </c>
      <c r="T13790" s="29" t="str">
        <f t="shared" si="577"/>
        <v>2022.004F.Imitervirales_reorg.zip</v>
      </c>
      <c r="U13790" s="29" t="str">
        <f>HYPERLINK("https://ictv.global/taxonomy/taxondetails?taxnode_id=202315046","ictv.global=202315046")</f>
        <v>ictv.global=202315046</v>
      </c>
    </row>
    <row r="13791" spans="1:21">
      <c r="A13791">
        <v>13790</v>
      </c>
      <c r="B13791" s="30" t="s">
        <v>2145</v>
      </c>
      <c r="D13791" s="30" t="s">
        <v>2146</v>
      </c>
      <c r="F13791" s="30" t="s">
        <v>2147</v>
      </c>
      <c r="H13791" s="30" t="s">
        <v>2148</v>
      </c>
      <c r="J13791" s="30" t="s">
        <v>2150</v>
      </c>
      <c r="L13791" s="30" t="s">
        <v>481</v>
      </c>
      <c r="M13791" s="30" t="s">
        <v>11296</v>
      </c>
      <c r="N13791" s="30" t="s">
        <v>11297</v>
      </c>
      <c r="P13791" s="30" t="s">
        <v>11298</v>
      </c>
      <c r="Q13791" t="s">
        <v>619</v>
      </c>
      <c r="R13791" t="s">
        <v>917</v>
      </c>
      <c r="S13791">
        <v>38</v>
      </c>
      <c r="T13791" s="29" t="str">
        <f t="shared" si="577"/>
        <v>2022.004F.Imitervirales_reorg.zip</v>
      </c>
      <c r="U13791" s="29" t="str">
        <f>HYPERLINK("https://ictv.global/taxonomy/taxondetails?taxnode_id=202315047","ictv.global=202315047")</f>
        <v>ictv.global=202315047</v>
      </c>
    </row>
    <row r="13792" spans="1:21">
      <c r="A13792">
        <v>13791</v>
      </c>
      <c r="B13792" s="30" t="s">
        <v>2145</v>
      </c>
      <c r="D13792" s="30" t="s">
        <v>2146</v>
      </c>
      <c r="F13792" s="30" t="s">
        <v>2147</v>
      </c>
      <c r="H13792" s="30" t="s">
        <v>2148</v>
      </c>
      <c r="J13792" s="30" t="s">
        <v>2150</v>
      </c>
      <c r="L13792" s="30" t="s">
        <v>481</v>
      </c>
      <c r="M13792" s="30" t="s">
        <v>11296</v>
      </c>
      <c r="N13792" s="30" t="s">
        <v>11299</v>
      </c>
      <c r="P13792" s="30" t="s">
        <v>11300</v>
      </c>
      <c r="Q13792" t="s">
        <v>619</v>
      </c>
      <c r="R13792" t="s">
        <v>917</v>
      </c>
      <c r="S13792">
        <v>38</v>
      </c>
      <c r="T13792" s="29" t="str">
        <f t="shared" si="577"/>
        <v>2022.004F.Imitervirales_reorg.zip</v>
      </c>
      <c r="U13792" s="29" t="str">
        <f>HYPERLINK("https://ictv.global/taxonomy/taxondetails?taxnode_id=202315048","ictv.global=202315048")</f>
        <v>ictv.global=202315048</v>
      </c>
    </row>
    <row r="13793" spans="1:21">
      <c r="A13793">
        <v>13792</v>
      </c>
      <c r="B13793" s="30" t="s">
        <v>2145</v>
      </c>
      <c r="D13793" s="30" t="s">
        <v>2146</v>
      </c>
      <c r="F13793" s="30" t="s">
        <v>2147</v>
      </c>
      <c r="H13793" s="30" t="s">
        <v>2148</v>
      </c>
      <c r="J13793" s="30" t="s">
        <v>2150</v>
      </c>
      <c r="L13793" s="30" t="s">
        <v>481</v>
      </c>
      <c r="M13793" s="30" t="s">
        <v>11296</v>
      </c>
      <c r="N13793" s="30" t="s">
        <v>11299</v>
      </c>
      <c r="P13793" s="30" t="s">
        <v>11301</v>
      </c>
      <c r="Q13793" t="s">
        <v>619</v>
      </c>
      <c r="R13793" t="s">
        <v>917</v>
      </c>
      <c r="S13793">
        <v>38</v>
      </c>
      <c r="T13793" s="29" t="str">
        <f t="shared" si="577"/>
        <v>2022.004F.Imitervirales_reorg.zip</v>
      </c>
      <c r="U13793" s="29" t="str">
        <f>HYPERLINK("https://ictv.global/taxonomy/taxondetails?taxnode_id=202315049","ictv.global=202315049")</f>
        <v>ictv.global=202315049</v>
      </c>
    </row>
    <row r="13794" spans="1:21">
      <c r="A13794">
        <v>13793</v>
      </c>
      <c r="B13794" s="30" t="s">
        <v>2145</v>
      </c>
      <c r="D13794" s="30" t="s">
        <v>2146</v>
      </c>
      <c r="F13794" s="30" t="s">
        <v>2147</v>
      </c>
      <c r="H13794" s="30" t="s">
        <v>2148</v>
      </c>
      <c r="J13794" s="30" t="s">
        <v>2150</v>
      </c>
      <c r="L13794" s="30" t="s">
        <v>481</v>
      </c>
      <c r="M13794" s="30" t="s">
        <v>11296</v>
      </c>
      <c r="N13794" s="30" t="s">
        <v>11299</v>
      </c>
      <c r="P13794" s="30" t="s">
        <v>11302</v>
      </c>
      <c r="Q13794" t="s">
        <v>619</v>
      </c>
      <c r="R13794" t="s">
        <v>917</v>
      </c>
      <c r="S13794">
        <v>38</v>
      </c>
      <c r="T13794" s="29" t="str">
        <f t="shared" si="577"/>
        <v>2022.004F.Imitervirales_reorg.zip</v>
      </c>
      <c r="U13794" s="29" t="str">
        <f>HYPERLINK("https://ictv.global/taxonomy/taxondetails?taxnode_id=202315050","ictv.global=202315050")</f>
        <v>ictv.global=202315050</v>
      </c>
    </row>
    <row r="13795" spans="1:21">
      <c r="A13795">
        <v>13794</v>
      </c>
      <c r="B13795" s="30" t="s">
        <v>2145</v>
      </c>
      <c r="D13795" s="30" t="s">
        <v>2146</v>
      </c>
      <c r="F13795" s="30" t="s">
        <v>2147</v>
      </c>
      <c r="H13795" s="30" t="s">
        <v>2148</v>
      </c>
      <c r="J13795" s="30" t="s">
        <v>2150</v>
      </c>
      <c r="L13795" s="30" t="s">
        <v>481</v>
      </c>
      <c r="M13795" s="30" t="s">
        <v>11296</v>
      </c>
      <c r="N13795" s="30" t="s">
        <v>482</v>
      </c>
      <c r="P13795" s="30" t="s">
        <v>11310</v>
      </c>
      <c r="Q13795" t="s">
        <v>619</v>
      </c>
      <c r="R13795" t="s">
        <v>920</v>
      </c>
      <c r="S13795">
        <v>38</v>
      </c>
      <c r="T13795" s="46" t="str">
        <f>HYPERLINK("https://ictv.global/ictv/proposals/2022.004F.Imitervirales_reorg.zip","2022.004F.Imitervirales_reorg.zip")</f>
        <v>2022.004F.Imitervirales_reorg.zip</v>
      </c>
      <c r="U13795" s="46" t="str">
        <f>HYPERLINK("https://ictv.global/taxonomy/taxondetails?taxnode_id=202303890","ictv.global=202303890")</f>
        <v>ictv.global=202303890</v>
      </c>
    </row>
    <row r="13796" spans="1:21">
      <c r="A13796">
        <v>13795</v>
      </c>
      <c r="B13796" s="30" t="s">
        <v>2145</v>
      </c>
      <c r="D13796" s="30" t="s">
        <v>2146</v>
      </c>
      <c r="F13796" s="30" t="s">
        <v>2147</v>
      </c>
      <c r="H13796" s="30" t="s">
        <v>2148</v>
      </c>
      <c r="J13796" s="30" t="s">
        <v>2150</v>
      </c>
      <c r="L13796" s="30" t="s">
        <v>481</v>
      </c>
      <c r="M13796" s="30" t="s">
        <v>11296</v>
      </c>
      <c r="N13796" s="30" t="s">
        <v>482</v>
      </c>
      <c r="P13796" s="30" t="s">
        <v>11311</v>
      </c>
      <c r="Q13796" t="s">
        <v>619</v>
      </c>
      <c r="R13796" t="s">
        <v>917</v>
      </c>
      <c r="S13796">
        <v>38</v>
      </c>
      <c r="T13796" s="46" t="str">
        <f t="shared" si="577"/>
        <v>2022.004F.Imitervirales_reorg.zip</v>
      </c>
      <c r="U13796" s="46" t="str">
        <f>HYPERLINK("https://ictv.global/taxonomy/taxondetails?taxnode_id=202315051","ictv.global=202315051")</f>
        <v>ictv.global=202315051</v>
      </c>
    </row>
    <row r="13797" spans="1:21">
      <c r="A13797">
        <v>13796</v>
      </c>
      <c r="B13797" s="30" t="s">
        <v>2145</v>
      </c>
      <c r="D13797" s="30" t="s">
        <v>2146</v>
      </c>
      <c r="F13797" s="30" t="s">
        <v>2147</v>
      </c>
      <c r="H13797" s="30" t="s">
        <v>2148</v>
      </c>
      <c r="J13797" s="30" t="s">
        <v>2150</v>
      </c>
      <c r="L13797" s="30" t="s">
        <v>481</v>
      </c>
      <c r="M13797" s="30" t="s">
        <v>11296</v>
      </c>
      <c r="N13797" s="30" t="s">
        <v>11303</v>
      </c>
      <c r="P13797" s="30" t="s">
        <v>11304</v>
      </c>
      <c r="Q13797" t="s">
        <v>619</v>
      </c>
      <c r="R13797" t="s">
        <v>917</v>
      </c>
      <c r="S13797">
        <v>38</v>
      </c>
      <c r="T13797" s="29" t="str">
        <f t="shared" si="577"/>
        <v>2022.004F.Imitervirales_reorg.zip</v>
      </c>
      <c r="U13797" s="29" t="str">
        <f>HYPERLINK("https://ictv.global/taxonomy/taxondetails?taxnode_id=202315052","ictv.global=202315052")</f>
        <v>ictv.global=202315052</v>
      </c>
    </row>
    <row r="13798" spans="1:21">
      <c r="A13798">
        <v>13797</v>
      </c>
      <c r="B13798" s="30" t="s">
        <v>2145</v>
      </c>
      <c r="D13798" s="30" t="s">
        <v>2146</v>
      </c>
      <c r="F13798" s="30" t="s">
        <v>2147</v>
      </c>
      <c r="H13798" s="30" t="s">
        <v>2148</v>
      </c>
      <c r="J13798" s="30" t="s">
        <v>2150</v>
      </c>
      <c r="L13798" s="30" t="s">
        <v>481</v>
      </c>
      <c r="M13798" s="30" t="s">
        <v>11296</v>
      </c>
      <c r="N13798" s="30" t="s">
        <v>11303</v>
      </c>
      <c r="P13798" s="30" t="s">
        <v>11305</v>
      </c>
      <c r="Q13798" t="s">
        <v>619</v>
      </c>
      <c r="R13798" t="s">
        <v>917</v>
      </c>
      <c r="S13798">
        <v>38</v>
      </c>
      <c r="T13798" s="29" t="str">
        <f t="shared" si="577"/>
        <v>2022.004F.Imitervirales_reorg.zip</v>
      </c>
      <c r="U13798" s="29" t="str">
        <f>HYPERLINK("https://ictv.global/taxonomy/taxondetails?taxnode_id=202315053","ictv.global=202315053")</f>
        <v>ictv.global=202315053</v>
      </c>
    </row>
    <row r="13799" spans="1:21">
      <c r="A13799">
        <v>13798</v>
      </c>
      <c r="B13799" s="30" t="s">
        <v>2145</v>
      </c>
      <c r="D13799" s="30" t="s">
        <v>2146</v>
      </c>
      <c r="F13799" s="30" t="s">
        <v>2147</v>
      </c>
      <c r="H13799" s="30" t="s">
        <v>2148</v>
      </c>
      <c r="J13799" s="30" t="s">
        <v>2150</v>
      </c>
      <c r="L13799" s="30" t="s">
        <v>481</v>
      </c>
      <c r="M13799" s="30" t="s">
        <v>11296</v>
      </c>
      <c r="N13799" s="30" t="s">
        <v>11303</v>
      </c>
      <c r="P13799" s="30" t="s">
        <v>11306</v>
      </c>
      <c r="Q13799" t="s">
        <v>619</v>
      </c>
      <c r="R13799" t="s">
        <v>917</v>
      </c>
      <c r="S13799">
        <v>38</v>
      </c>
      <c r="T13799" s="29" t="str">
        <f t="shared" si="577"/>
        <v>2022.004F.Imitervirales_reorg.zip</v>
      </c>
      <c r="U13799" s="29" t="str">
        <f>HYPERLINK("https://ictv.global/taxonomy/taxondetails?taxnode_id=202315054","ictv.global=202315054")</f>
        <v>ictv.global=202315054</v>
      </c>
    </row>
    <row r="13800" spans="1:21">
      <c r="A13800">
        <v>13799</v>
      </c>
      <c r="B13800" s="30" t="s">
        <v>2145</v>
      </c>
      <c r="D13800" s="30" t="s">
        <v>2146</v>
      </c>
      <c r="F13800" s="30" t="s">
        <v>2147</v>
      </c>
      <c r="H13800" s="30" t="s">
        <v>2148</v>
      </c>
      <c r="J13800" s="30" t="s">
        <v>2150</v>
      </c>
      <c r="L13800" s="30" t="s">
        <v>481</v>
      </c>
      <c r="M13800" s="30" t="s">
        <v>11296</v>
      </c>
      <c r="N13800" s="30" t="s">
        <v>11307</v>
      </c>
      <c r="P13800" s="30" t="s">
        <v>11308</v>
      </c>
      <c r="Q13800" t="s">
        <v>619</v>
      </c>
      <c r="R13800" t="s">
        <v>917</v>
      </c>
      <c r="S13800">
        <v>38</v>
      </c>
      <c r="T13800" s="29" t="str">
        <f t="shared" si="577"/>
        <v>2022.004F.Imitervirales_reorg.zip</v>
      </c>
      <c r="U13800" s="29" t="str">
        <f>HYPERLINK("https://ictv.global/taxonomy/taxondetails?taxnode_id=202315055","ictv.global=202315055")</f>
        <v>ictv.global=202315055</v>
      </c>
    </row>
    <row r="13801" spans="1:21">
      <c r="A13801">
        <v>13800</v>
      </c>
      <c r="B13801" s="30" t="s">
        <v>2145</v>
      </c>
      <c r="D13801" s="30" t="s">
        <v>2146</v>
      </c>
      <c r="F13801" s="30" t="s">
        <v>2147</v>
      </c>
      <c r="H13801" s="30" t="s">
        <v>2148</v>
      </c>
      <c r="J13801" s="30" t="s">
        <v>2150</v>
      </c>
      <c r="L13801" s="30" t="s">
        <v>481</v>
      </c>
      <c r="M13801" s="30" t="s">
        <v>11296</v>
      </c>
      <c r="N13801" s="30" t="s">
        <v>11307</v>
      </c>
      <c r="P13801" s="30" t="s">
        <v>11309</v>
      </c>
      <c r="Q13801" t="s">
        <v>619</v>
      </c>
      <c r="R13801" t="s">
        <v>917</v>
      </c>
      <c r="S13801">
        <v>38</v>
      </c>
      <c r="T13801" s="29" t="str">
        <f t="shared" si="577"/>
        <v>2022.004F.Imitervirales_reorg.zip</v>
      </c>
      <c r="U13801" s="29" t="str">
        <f>HYPERLINK("https://ictv.global/taxonomy/taxondetails?taxnode_id=202315056","ictv.global=202315056")</f>
        <v>ictv.global=202315056</v>
      </c>
    </row>
    <row r="13802" spans="1:21">
      <c r="A13802">
        <v>13801</v>
      </c>
      <c r="B13802" s="30" t="s">
        <v>2145</v>
      </c>
      <c r="D13802" s="30" t="s">
        <v>2146</v>
      </c>
      <c r="F13802" s="30" t="s">
        <v>2147</v>
      </c>
      <c r="H13802" s="30" t="s">
        <v>2148</v>
      </c>
      <c r="J13802" s="30" t="s">
        <v>2150</v>
      </c>
      <c r="L13802" s="30" t="s">
        <v>11312</v>
      </c>
      <c r="N13802" s="30" t="s">
        <v>11313</v>
      </c>
      <c r="P13802" s="30" t="s">
        <v>11314</v>
      </c>
      <c r="Q13802" t="s">
        <v>619</v>
      </c>
      <c r="R13802" t="s">
        <v>917</v>
      </c>
      <c r="S13802">
        <v>38</v>
      </c>
      <c r="T13802" s="29" t="str">
        <f>HYPERLINK("https://ictv.global/ictv/proposals/2022.004F.Imitervirales_reorg.zip","2022.004F.Imitervirales_reorg.zip")</f>
        <v>2022.004F.Imitervirales_reorg.zip</v>
      </c>
      <c r="U13802" s="29" t="str">
        <f>HYPERLINK("https://ictv.global/taxonomy/taxondetails?taxnode_id=202315057","ictv.global=202315057")</f>
        <v>ictv.global=202315057</v>
      </c>
    </row>
    <row r="13803" spans="1:21">
      <c r="A13803">
        <v>13802</v>
      </c>
      <c r="B13803" s="30" t="s">
        <v>2145</v>
      </c>
      <c r="D13803" s="30" t="s">
        <v>2146</v>
      </c>
      <c r="F13803" s="30" t="s">
        <v>2147</v>
      </c>
      <c r="H13803" s="30" t="s">
        <v>2148</v>
      </c>
      <c r="J13803" s="30" t="s">
        <v>2150</v>
      </c>
      <c r="L13803" s="30" t="s">
        <v>11312</v>
      </c>
      <c r="N13803" s="30" t="s">
        <v>11315</v>
      </c>
      <c r="P13803" s="30" t="s">
        <v>11316</v>
      </c>
      <c r="Q13803" t="s">
        <v>619</v>
      </c>
      <c r="R13803" t="s">
        <v>917</v>
      </c>
      <c r="S13803">
        <v>38</v>
      </c>
      <c r="T13803" s="29" t="str">
        <f>HYPERLINK("https://ictv.global/ictv/proposals/2022.004F.Imitervirales_reorg.zip","2022.004F.Imitervirales_reorg.zip")</f>
        <v>2022.004F.Imitervirales_reorg.zip</v>
      </c>
      <c r="U13803" s="29" t="str">
        <f>HYPERLINK("https://ictv.global/taxonomy/taxondetails?taxnode_id=202315058","ictv.global=202315058")</f>
        <v>ictv.global=202315058</v>
      </c>
    </row>
    <row r="13804" spans="1:21">
      <c r="A13804">
        <v>13803</v>
      </c>
      <c r="B13804" s="30" t="s">
        <v>2145</v>
      </c>
      <c r="D13804" s="30" t="s">
        <v>2146</v>
      </c>
      <c r="F13804" s="30" t="s">
        <v>2147</v>
      </c>
      <c r="H13804" s="30" t="s">
        <v>2148</v>
      </c>
      <c r="J13804" s="30" t="s">
        <v>2151</v>
      </c>
      <c r="L13804" s="30" t="s">
        <v>431</v>
      </c>
      <c r="N13804" s="30" t="s">
        <v>432</v>
      </c>
      <c r="P13804" s="30" t="s">
        <v>11317</v>
      </c>
      <c r="Q13804" t="s">
        <v>619</v>
      </c>
      <c r="R13804" t="s">
        <v>920</v>
      </c>
      <c r="S13804">
        <v>38</v>
      </c>
      <c r="T13804" s="29" t="str">
        <f>HYPERLINK("https://ictv.global/ictv/proposals/2022.007D.Ascoviridae_4rensp.zip","2022.007D.Ascoviridae_4rensp.zip")</f>
        <v>2022.007D.Ascoviridae_4rensp.zip</v>
      </c>
      <c r="U13804" s="29" t="str">
        <f>HYPERLINK("https://ictv.global/taxonomy/taxondetails?taxnode_id=202302610","ictv.global=202302610")</f>
        <v>ictv.global=202302610</v>
      </c>
    </row>
    <row r="13805" spans="1:21">
      <c r="A13805">
        <v>13804</v>
      </c>
      <c r="B13805" s="30" t="s">
        <v>2145</v>
      </c>
      <c r="D13805" s="30" t="s">
        <v>2146</v>
      </c>
      <c r="F13805" s="30" t="s">
        <v>2147</v>
      </c>
      <c r="H13805" s="30" t="s">
        <v>2148</v>
      </c>
      <c r="J13805" s="30" t="s">
        <v>2151</v>
      </c>
      <c r="L13805" s="30" t="s">
        <v>431</v>
      </c>
      <c r="N13805" s="30" t="s">
        <v>432</v>
      </c>
      <c r="P13805" s="30" t="s">
        <v>11318</v>
      </c>
      <c r="Q13805" t="s">
        <v>619</v>
      </c>
      <c r="R13805" t="s">
        <v>920</v>
      </c>
      <c r="S13805">
        <v>38</v>
      </c>
      <c r="T13805" s="29" t="str">
        <f>HYPERLINK("https://ictv.global/ictv/proposals/2022.007D.Ascoviridae_4rensp.zip","2022.007D.Ascoviridae_4rensp.zip")</f>
        <v>2022.007D.Ascoviridae_4rensp.zip</v>
      </c>
      <c r="U13805" s="29" t="str">
        <f>HYPERLINK("https://ictv.global/taxonomy/taxondetails?taxnode_id=202302611","ictv.global=202302611")</f>
        <v>ictv.global=202302611</v>
      </c>
    </row>
    <row r="13806" spans="1:21">
      <c r="A13806">
        <v>13805</v>
      </c>
      <c r="B13806" s="30" t="s">
        <v>2145</v>
      </c>
      <c r="D13806" s="30" t="s">
        <v>2146</v>
      </c>
      <c r="F13806" s="30" t="s">
        <v>2147</v>
      </c>
      <c r="H13806" s="30" t="s">
        <v>2148</v>
      </c>
      <c r="J13806" s="30" t="s">
        <v>2151</v>
      </c>
      <c r="L13806" s="30" t="s">
        <v>431</v>
      </c>
      <c r="N13806" s="30" t="s">
        <v>432</v>
      </c>
      <c r="P13806" s="30" t="s">
        <v>11319</v>
      </c>
      <c r="Q13806" t="s">
        <v>619</v>
      </c>
      <c r="R13806" t="s">
        <v>920</v>
      </c>
      <c r="S13806">
        <v>38</v>
      </c>
      <c r="T13806" s="29" t="str">
        <f>HYPERLINK("https://ictv.global/ictv/proposals/2022.007D.Ascoviridae_4rensp.zip","2022.007D.Ascoviridae_4rensp.zip")</f>
        <v>2022.007D.Ascoviridae_4rensp.zip</v>
      </c>
      <c r="U13806" s="29" t="str">
        <f>HYPERLINK("https://ictv.global/taxonomy/taxondetails?taxnode_id=202302612","ictv.global=202302612")</f>
        <v>ictv.global=202302612</v>
      </c>
    </row>
    <row r="13807" spans="1:21">
      <c r="A13807">
        <v>13806</v>
      </c>
      <c r="B13807" s="30" t="s">
        <v>2145</v>
      </c>
      <c r="D13807" s="30" t="s">
        <v>2146</v>
      </c>
      <c r="F13807" s="30" t="s">
        <v>2147</v>
      </c>
      <c r="H13807" s="30" t="s">
        <v>2148</v>
      </c>
      <c r="J13807" s="30" t="s">
        <v>2151</v>
      </c>
      <c r="L13807" s="30" t="s">
        <v>431</v>
      </c>
      <c r="N13807" s="30" t="s">
        <v>733</v>
      </c>
      <c r="P13807" s="30" t="s">
        <v>11320</v>
      </c>
      <c r="Q13807" t="s">
        <v>619</v>
      </c>
      <c r="R13807" t="s">
        <v>920</v>
      </c>
      <c r="S13807">
        <v>38</v>
      </c>
      <c r="T13807" s="29" t="str">
        <f>HYPERLINK("https://ictv.global/ictv/proposals/2022.007D.Ascoviridae_4rensp.zip","2022.007D.Ascoviridae_4rensp.zip")</f>
        <v>2022.007D.Ascoviridae_4rensp.zip</v>
      </c>
      <c r="U13807" s="29" t="str">
        <f>HYPERLINK("https://ictv.global/taxonomy/taxondetails?taxnode_id=202302614","ictv.global=202302614")</f>
        <v>ictv.global=202302614</v>
      </c>
    </row>
    <row r="13808" spans="1:21">
      <c r="A13808">
        <v>13807</v>
      </c>
      <c r="B13808" s="30" t="s">
        <v>2145</v>
      </c>
      <c r="D13808" s="30" t="s">
        <v>2146</v>
      </c>
      <c r="F13808" s="30" t="s">
        <v>2147</v>
      </c>
      <c r="H13808" s="30" t="s">
        <v>2148</v>
      </c>
      <c r="J13808" s="30" t="s">
        <v>2151</v>
      </c>
      <c r="L13808" s="30" t="s">
        <v>18528</v>
      </c>
      <c r="N13808" s="30" t="s">
        <v>18529</v>
      </c>
      <c r="P13808" s="30" t="s">
        <v>18530</v>
      </c>
      <c r="Q13808" t="s">
        <v>619</v>
      </c>
      <c r="R13808" t="s">
        <v>917</v>
      </c>
      <c r="S13808">
        <v>39</v>
      </c>
      <c r="T13808" s="29" t="str">
        <f>HYPERLINK("https://ictv.global/ictv/proposals/2023.011F.Pimascovirales_3newfam.zip","2023.011F.Pimascovirales_3newfam.zip")</f>
        <v>2023.011F.Pimascovirales_3newfam.zip</v>
      </c>
      <c r="U13808" s="29" t="str">
        <f>HYPERLINK("https://ictv.global/taxonomy/taxondetails?taxnode_id=202318019","ictv.global=202318019")</f>
        <v>ictv.global=202318019</v>
      </c>
    </row>
    <row r="13809" spans="1:21">
      <c r="A13809">
        <v>13808</v>
      </c>
      <c r="B13809" s="30" t="s">
        <v>2145</v>
      </c>
      <c r="D13809" s="30" t="s">
        <v>2146</v>
      </c>
      <c r="F13809" s="30" t="s">
        <v>2147</v>
      </c>
      <c r="H13809" s="30" t="s">
        <v>2148</v>
      </c>
      <c r="J13809" s="30" t="s">
        <v>2151</v>
      </c>
      <c r="L13809" s="30" t="s">
        <v>18528</v>
      </c>
      <c r="N13809" s="30" t="s">
        <v>18529</v>
      </c>
      <c r="P13809" s="30" t="s">
        <v>18531</v>
      </c>
      <c r="Q13809" t="s">
        <v>619</v>
      </c>
      <c r="R13809" t="s">
        <v>917</v>
      </c>
      <c r="S13809">
        <v>39</v>
      </c>
      <c r="T13809" s="29" t="str">
        <f>HYPERLINK("https://ictv.global/ictv/proposals/2023.011F.Pimascovirales_3newfam.zip","2023.011F.Pimascovirales_3newfam.zip")</f>
        <v>2023.011F.Pimascovirales_3newfam.zip</v>
      </c>
      <c r="U13809" s="29" t="str">
        <f>HYPERLINK("https://ictv.global/taxonomy/taxondetails?taxnode_id=202318020","ictv.global=202318020")</f>
        <v>ictv.global=202318020</v>
      </c>
    </row>
    <row r="13810" spans="1:21">
      <c r="A13810">
        <v>13809</v>
      </c>
      <c r="B13810" s="30" t="s">
        <v>2145</v>
      </c>
      <c r="D13810" s="30" t="s">
        <v>2146</v>
      </c>
      <c r="F13810" s="30" t="s">
        <v>2147</v>
      </c>
      <c r="H13810" s="30" t="s">
        <v>2148</v>
      </c>
      <c r="J13810" s="30" t="s">
        <v>2151</v>
      </c>
      <c r="L13810" s="30" t="s">
        <v>18528</v>
      </c>
      <c r="N13810" s="30" t="s">
        <v>18529</v>
      </c>
      <c r="P13810" s="30" t="s">
        <v>18532</v>
      </c>
      <c r="Q13810" t="s">
        <v>619</v>
      </c>
      <c r="R13810" t="s">
        <v>917</v>
      </c>
      <c r="S13810">
        <v>39</v>
      </c>
      <c r="T13810" s="29" t="str">
        <f>HYPERLINK("https://ictv.global/ictv/proposals/2023.011F.Pimascovirales_3newfam.zip","2023.011F.Pimascovirales_3newfam.zip")</f>
        <v>2023.011F.Pimascovirales_3newfam.zip</v>
      </c>
      <c r="U13810" s="29" t="str">
        <f>HYPERLINK("https://ictv.global/taxonomy/taxondetails?taxnode_id=202318021","ictv.global=202318021")</f>
        <v>ictv.global=202318021</v>
      </c>
    </row>
    <row r="13811" spans="1:21">
      <c r="A13811">
        <v>13810</v>
      </c>
      <c r="B13811" s="30" t="s">
        <v>2145</v>
      </c>
      <c r="D13811" s="30" t="s">
        <v>2146</v>
      </c>
      <c r="F13811" s="30" t="s">
        <v>2147</v>
      </c>
      <c r="H13811" s="30" t="s">
        <v>2148</v>
      </c>
      <c r="J13811" s="30" t="s">
        <v>2151</v>
      </c>
      <c r="L13811" s="30" t="s">
        <v>18528</v>
      </c>
      <c r="N13811" s="30" t="s">
        <v>18529</v>
      </c>
      <c r="P13811" s="30" t="s">
        <v>18533</v>
      </c>
      <c r="Q13811" t="s">
        <v>619</v>
      </c>
      <c r="R13811" t="s">
        <v>917</v>
      </c>
      <c r="S13811">
        <v>39</v>
      </c>
      <c r="T13811" s="29" t="str">
        <f>HYPERLINK("https://ictv.global/ictv/proposals/2023.011F.Pimascovirales_3newfam.zip","2023.011F.Pimascovirales_3newfam.zip")</f>
        <v>2023.011F.Pimascovirales_3newfam.zip</v>
      </c>
      <c r="U13811" s="29" t="str">
        <f>HYPERLINK("https://ictv.global/taxonomy/taxondetails?taxnode_id=202318022","ictv.global=202318022")</f>
        <v>ictv.global=202318022</v>
      </c>
    </row>
    <row r="13812" spans="1:21">
      <c r="A13812">
        <v>13811</v>
      </c>
      <c r="B13812" s="30" t="s">
        <v>2145</v>
      </c>
      <c r="D13812" s="30" t="s">
        <v>2146</v>
      </c>
      <c r="F13812" s="30" t="s">
        <v>2147</v>
      </c>
      <c r="H13812" s="30" t="s">
        <v>2148</v>
      </c>
      <c r="J13812" s="30" t="s">
        <v>2151</v>
      </c>
      <c r="L13812" s="30" t="s">
        <v>371</v>
      </c>
      <c r="M13812" s="30" t="s">
        <v>835</v>
      </c>
      <c r="N13812" s="30" t="s">
        <v>262</v>
      </c>
      <c r="P13812" s="30" t="s">
        <v>18534</v>
      </c>
      <c r="Q13812" t="s">
        <v>619</v>
      </c>
      <c r="R13812" t="s">
        <v>920</v>
      </c>
      <c r="S13812">
        <v>39</v>
      </c>
      <c r="T13812" s="29" t="str">
        <f t="shared" ref="T13812:T13833" si="578">HYPERLINK("https://ictv.global/ictv/proposals/2023.012D.Iridoviridae_22renam.zip","2023.012D.Iridoviridae_22renam.zip")</f>
        <v>2023.012D.Iridoviridae_22renam.zip</v>
      </c>
      <c r="U13812" s="29" t="str">
        <f>HYPERLINK("https://ictv.global/taxonomy/taxondetails?taxnode_id=202308875","ictv.global=202308875")</f>
        <v>ictv.global=202308875</v>
      </c>
    </row>
    <row r="13813" spans="1:21">
      <c r="A13813">
        <v>13812</v>
      </c>
      <c r="B13813" s="30" t="s">
        <v>2145</v>
      </c>
      <c r="D13813" s="30" t="s">
        <v>2146</v>
      </c>
      <c r="F13813" s="30" t="s">
        <v>2147</v>
      </c>
      <c r="H13813" s="30" t="s">
        <v>2148</v>
      </c>
      <c r="J13813" s="30" t="s">
        <v>2151</v>
      </c>
      <c r="L13813" s="30" t="s">
        <v>371</v>
      </c>
      <c r="M13813" s="30" t="s">
        <v>835</v>
      </c>
      <c r="N13813" s="30" t="s">
        <v>262</v>
      </c>
      <c r="P13813" s="30" t="s">
        <v>18535</v>
      </c>
      <c r="Q13813" t="s">
        <v>619</v>
      </c>
      <c r="R13813" t="s">
        <v>920</v>
      </c>
      <c r="S13813">
        <v>39</v>
      </c>
      <c r="T13813" s="29" t="str">
        <f t="shared" si="578"/>
        <v>2023.012D.Iridoviridae_22renam.zip</v>
      </c>
      <c r="U13813" s="29" t="str">
        <f>HYPERLINK("https://ictv.global/taxonomy/taxondetails?taxnode_id=202306332","ictv.global=202306332")</f>
        <v>ictv.global=202306332</v>
      </c>
    </row>
    <row r="13814" spans="1:21">
      <c r="A13814">
        <v>13813</v>
      </c>
      <c r="B13814" s="30" t="s">
        <v>2145</v>
      </c>
      <c r="D13814" s="30" t="s">
        <v>2146</v>
      </c>
      <c r="F13814" s="30" t="s">
        <v>2147</v>
      </c>
      <c r="H13814" s="30" t="s">
        <v>2148</v>
      </c>
      <c r="J13814" s="30" t="s">
        <v>2151</v>
      </c>
      <c r="L13814" s="30" t="s">
        <v>371</v>
      </c>
      <c r="M13814" s="30" t="s">
        <v>835</v>
      </c>
      <c r="N13814" s="30" t="s">
        <v>262</v>
      </c>
      <c r="P13814" s="30" t="s">
        <v>18536</v>
      </c>
      <c r="Q13814" t="s">
        <v>619</v>
      </c>
      <c r="R13814" t="s">
        <v>920</v>
      </c>
      <c r="S13814">
        <v>39</v>
      </c>
      <c r="T13814" s="29" t="str">
        <f t="shared" si="578"/>
        <v>2023.012D.Iridoviridae_22renam.zip</v>
      </c>
      <c r="U13814" s="29" t="str">
        <f>HYPERLINK("https://ictv.global/taxonomy/taxondetails?taxnode_id=202303728","ictv.global=202303728")</f>
        <v>ictv.global=202303728</v>
      </c>
    </row>
    <row r="13815" spans="1:21">
      <c r="A13815">
        <v>13814</v>
      </c>
      <c r="B13815" s="30" t="s">
        <v>2145</v>
      </c>
      <c r="D13815" s="30" t="s">
        <v>2146</v>
      </c>
      <c r="F13815" s="30" t="s">
        <v>2147</v>
      </c>
      <c r="H13815" s="30" t="s">
        <v>2148</v>
      </c>
      <c r="J13815" s="30" t="s">
        <v>2151</v>
      </c>
      <c r="L13815" s="30" t="s">
        <v>371</v>
      </c>
      <c r="M13815" s="30" t="s">
        <v>835</v>
      </c>
      <c r="N13815" s="30" t="s">
        <v>262</v>
      </c>
      <c r="P13815" s="30" t="s">
        <v>18537</v>
      </c>
      <c r="Q13815" t="s">
        <v>619</v>
      </c>
      <c r="R13815" t="s">
        <v>920</v>
      </c>
      <c r="S13815">
        <v>39</v>
      </c>
      <c r="T13815" s="29" t="str">
        <f t="shared" si="578"/>
        <v>2023.012D.Iridoviridae_22renam.zip</v>
      </c>
      <c r="U13815" s="29" t="str">
        <f>HYPERLINK("https://ictv.global/taxonomy/taxondetails?taxnode_id=202306333","ictv.global=202306333")</f>
        <v>ictv.global=202306333</v>
      </c>
    </row>
    <row r="13816" spans="1:21">
      <c r="A13816">
        <v>13815</v>
      </c>
      <c r="B13816" s="30" t="s">
        <v>2145</v>
      </c>
      <c r="D13816" s="30" t="s">
        <v>2146</v>
      </c>
      <c r="F13816" s="30" t="s">
        <v>2147</v>
      </c>
      <c r="H13816" s="30" t="s">
        <v>2148</v>
      </c>
      <c r="J13816" s="30" t="s">
        <v>2151</v>
      </c>
      <c r="L13816" s="30" t="s">
        <v>371</v>
      </c>
      <c r="M13816" s="30" t="s">
        <v>835</v>
      </c>
      <c r="N13816" s="30" t="s">
        <v>263</v>
      </c>
      <c r="P13816" s="30" t="s">
        <v>18538</v>
      </c>
      <c r="Q13816" t="s">
        <v>619</v>
      </c>
      <c r="R13816" t="s">
        <v>920</v>
      </c>
      <c r="S13816">
        <v>39</v>
      </c>
      <c r="T13816" s="29" t="str">
        <f t="shared" si="578"/>
        <v>2023.012D.Iridoviridae_22renam.zip</v>
      </c>
      <c r="U13816" s="29" t="str">
        <f>HYPERLINK("https://ictv.global/taxonomy/taxondetails?taxnode_id=202306331","ictv.global=202306331")</f>
        <v>ictv.global=202306331</v>
      </c>
    </row>
    <row r="13817" spans="1:21">
      <c r="A13817">
        <v>13816</v>
      </c>
      <c r="B13817" s="30" t="s">
        <v>2145</v>
      </c>
      <c r="D13817" s="30" t="s">
        <v>2146</v>
      </c>
      <c r="F13817" s="30" t="s">
        <v>2147</v>
      </c>
      <c r="H13817" s="30" t="s">
        <v>2148</v>
      </c>
      <c r="J13817" s="30" t="s">
        <v>2151</v>
      </c>
      <c r="L13817" s="30" t="s">
        <v>371</v>
      </c>
      <c r="M13817" s="30" t="s">
        <v>835</v>
      </c>
      <c r="N13817" s="30" t="s">
        <v>263</v>
      </c>
      <c r="P13817" s="30" t="s">
        <v>18539</v>
      </c>
      <c r="Q13817" t="s">
        <v>619</v>
      </c>
      <c r="R13817" t="s">
        <v>920</v>
      </c>
      <c r="S13817">
        <v>39</v>
      </c>
      <c r="T13817" s="29" t="str">
        <f t="shared" si="578"/>
        <v>2023.012D.Iridoviridae_22renam.zip</v>
      </c>
      <c r="U13817" s="29" t="str">
        <f>HYPERLINK("https://ictv.global/taxonomy/taxondetails?taxnode_id=202303730","ictv.global=202303730")</f>
        <v>ictv.global=202303730</v>
      </c>
    </row>
    <row r="13818" spans="1:21">
      <c r="A13818">
        <v>13817</v>
      </c>
      <c r="B13818" s="30" t="s">
        <v>2145</v>
      </c>
      <c r="D13818" s="30" t="s">
        <v>2146</v>
      </c>
      <c r="F13818" s="30" t="s">
        <v>2147</v>
      </c>
      <c r="H13818" s="30" t="s">
        <v>2148</v>
      </c>
      <c r="J13818" s="30" t="s">
        <v>2151</v>
      </c>
      <c r="L13818" s="30" t="s">
        <v>371</v>
      </c>
      <c r="M13818" s="30" t="s">
        <v>835</v>
      </c>
      <c r="N13818" s="30" t="s">
        <v>264</v>
      </c>
      <c r="P13818" s="30" t="s">
        <v>18540</v>
      </c>
      <c r="Q13818" t="s">
        <v>619</v>
      </c>
      <c r="R13818" t="s">
        <v>920</v>
      </c>
      <c r="S13818">
        <v>39</v>
      </c>
      <c r="T13818" s="29" t="str">
        <f t="shared" si="578"/>
        <v>2023.012D.Iridoviridae_22renam.zip</v>
      </c>
      <c r="U13818" s="29" t="str">
        <f>HYPERLINK("https://ictv.global/taxonomy/taxondetails?taxnode_id=202305861","ictv.global=202305861")</f>
        <v>ictv.global=202305861</v>
      </c>
    </row>
    <row r="13819" spans="1:21">
      <c r="A13819">
        <v>13818</v>
      </c>
      <c r="B13819" s="30" t="s">
        <v>2145</v>
      </c>
      <c r="D13819" s="30" t="s">
        <v>2146</v>
      </c>
      <c r="F13819" s="30" t="s">
        <v>2147</v>
      </c>
      <c r="H13819" s="30" t="s">
        <v>2148</v>
      </c>
      <c r="J13819" s="30" t="s">
        <v>2151</v>
      </c>
      <c r="L13819" s="30" t="s">
        <v>371</v>
      </c>
      <c r="M13819" s="30" t="s">
        <v>835</v>
      </c>
      <c r="N13819" s="30" t="s">
        <v>264</v>
      </c>
      <c r="P13819" s="30" t="s">
        <v>18541</v>
      </c>
      <c r="Q13819" t="s">
        <v>619</v>
      </c>
      <c r="R13819" t="s">
        <v>920</v>
      </c>
      <c r="S13819">
        <v>39</v>
      </c>
      <c r="T13819" s="29" t="str">
        <f t="shared" si="578"/>
        <v>2023.012D.Iridoviridae_22renam.zip</v>
      </c>
      <c r="U13819" s="29" t="str">
        <f>HYPERLINK("https://ictv.global/taxonomy/taxondetails?taxnode_id=202303732","ictv.global=202303732")</f>
        <v>ictv.global=202303732</v>
      </c>
    </row>
    <row r="13820" spans="1:21">
      <c r="A13820">
        <v>13819</v>
      </c>
      <c r="B13820" s="30" t="s">
        <v>2145</v>
      </c>
      <c r="D13820" s="30" t="s">
        <v>2146</v>
      </c>
      <c r="F13820" s="30" t="s">
        <v>2147</v>
      </c>
      <c r="H13820" s="30" t="s">
        <v>2148</v>
      </c>
      <c r="J13820" s="30" t="s">
        <v>2151</v>
      </c>
      <c r="L13820" s="30" t="s">
        <v>371</v>
      </c>
      <c r="M13820" s="30" t="s">
        <v>835</v>
      </c>
      <c r="N13820" s="30" t="s">
        <v>264</v>
      </c>
      <c r="P13820" s="30" t="s">
        <v>18542</v>
      </c>
      <c r="Q13820" t="s">
        <v>619</v>
      </c>
      <c r="R13820" t="s">
        <v>920</v>
      </c>
      <c r="S13820">
        <v>39</v>
      </c>
      <c r="T13820" s="29" t="str">
        <f t="shared" si="578"/>
        <v>2023.012D.Iridoviridae_22renam.zip</v>
      </c>
      <c r="U13820" s="29" t="str">
        <f>HYPERLINK("https://ictv.global/taxonomy/taxondetails?taxnode_id=202303738","ictv.global=202303738")</f>
        <v>ictv.global=202303738</v>
      </c>
    </row>
    <row r="13821" spans="1:21">
      <c r="A13821">
        <v>13820</v>
      </c>
      <c r="B13821" s="30" t="s">
        <v>2145</v>
      </c>
      <c r="D13821" s="30" t="s">
        <v>2146</v>
      </c>
      <c r="F13821" s="30" t="s">
        <v>2147</v>
      </c>
      <c r="H13821" s="30" t="s">
        <v>2148</v>
      </c>
      <c r="J13821" s="30" t="s">
        <v>2151</v>
      </c>
      <c r="L13821" s="30" t="s">
        <v>371</v>
      </c>
      <c r="M13821" s="30" t="s">
        <v>835</v>
      </c>
      <c r="N13821" s="30" t="s">
        <v>264</v>
      </c>
      <c r="P13821" s="30" t="s">
        <v>18543</v>
      </c>
      <c r="Q13821" t="s">
        <v>619</v>
      </c>
      <c r="R13821" t="s">
        <v>920</v>
      </c>
      <c r="S13821">
        <v>39</v>
      </c>
      <c r="T13821" s="29" t="str">
        <f t="shared" si="578"/>
        <v>2023.012D.Iridoviridae_22renam.zip</v>
      </c>
      <c r="U13821" s="29" t="str">
        <f>HYPERLINK("https://ictv.global/taxonomy/taxondetails?taxnode_id=202309549","ictv.global=202309549")</f>
        <v>ictv.global=202309549</v>
      </c>
    </row>
    <row r="13822" spans="1:21">
      <c r="A13822">
        <v>13821</v>
      </c>
      <c r="B13822" s="30" t="s">
        <v>2145</v>
      </c>
      <c r="D13822" s="30" t="s">
        <v>2146</v>
      </c>
      <c r="F13822" s="30" t="s">
        <v>2147</v>
      </c>
      <c r="H13822" s="30" t="s">
        <v>2148</v>
      </c>
      <c r="J13822" s="30" t="s">
        <v>2151</v>
      </c>
      <c r="L13822" s="30" t="s">
        <v>371</v>
      </c>
      <c r="M13822" s="30" t="s">
        <v>835</v>
      </c>
      <c r="N13822" s="30" t="s">
        <v>264</v>
      </c>
      <c r="P13822" s="30" t="s">
        <v>18544</v>
      </c>
      <c r="Q13822" t="s">
        <v>619</v>
      </c>
      <c r="R13822" t="s">
        <v>920</v>
      </c>
      <c r="S13822">
        <v>39</v>
      </c>
      <c r="T13822" s="29" t="str">
        <f t="shared" si="578"/>
        <v>2023.012D.Iridoviridae_22renam.zip</v>
      </c>
      <c r="U13822" s="29" t="str">
        <f>HYPERLINK("https://ictv.global/taxonomy/taxondetails?taxnode_id=202303737","ictv.global=202303737")</f>
        <v>ictv.global=202303737</v>
      </c>
    </row>
    <row r="13823" spans="1:21">
      <c r="A13823">
        <v>13822</v>
      </c>
      <c r="B13823" s="30" t="s">
        <v>2145</v>
      </c>
      <c r="D13823" s="30" t="s">
        <v>2146</v>
      </c>
      <c r="F13823" s="30" t="s">
        <v>2147</v>
      </c>
      <c r="H13823" s="30" t="s">
        <v>2148</v>
      </c>
      <c r="J13823" s="30" t="s">
        <v>2151</v>
      </c>
      <c r="L13823" s="30" t="s">
        <v>371</v>
      </c>
      <c r="M13823" s="30" t="s">
        <v>835</v>
      </c>
      <c r="N13823" s="30" t="s">
        <v>264</v>
      </c>
      <c r="P13823" s="30" t="s">
        <v>18545</v>
      </c>
      <c r="Q13823" t="s">
        <v>619</v>
      </c>
      <c r="R13823" t="s">
        <v>920</v>
      </c>
      <c r="S13823">
        <v>39</v>
      </c>
      <c r="T13823" s="29" t="str">
        <f t="shared" si="578"/>
        <v>2023.012D.Iridoviridae_22renam.zip</v>
      </c>
      <c r="U13823" s="29" t="str">
        <f>HYPERLINK("https://ictv.global/taxonomy/taxondetails?taxnode_id=202303734","ictv.global=202303734")</f>
        <v>ictv.global=202303734</v>
      </c>
    </row>
    <row r="13824" spans="1:21">
      <c r="A13824">
        <v>13823</v>
      </c>
      <c r="B13824" s="30" t="s">
        <v>2145</v>
      </c>
      <c r="D13824" s="30" t="s">
        <v>2146</v>
      </c>
      <c r="F13824" s="30" t="s">
        <v>2147</v>
      </c>
      <c r="H13824" s="30" t="s">
        <v>2148</v>
      </c>
      <c r="J13824" s="30" t="s">
        <v>2151</v>
      </c>
      <c r="L13824" s="30" t="s">
        <v>371</v>
      </c>
      <c r="M13824" s="30" t="s">
        <v>835</v>
      </c>
      <c r="N13824" s="30" t="s">
        <v>264</v>
      </c>
      <c r="P13824" s="30" t="s">
        <v>18546</v>
      </c>
      <c r="Q13824" t="s">
        <v>619</v>
      </c>
      <c r="R13824" t="s">
        <v>920</v>
      </c>
      <c r="S13824">
        <v>39</v>
      </c>
      <c r="T13824" s="29" t="str">
        <f t="shared" si="578"/>
        <v>2023.012D.Iridoviridae_22renam.zip</v>
      </c>
      <c r="U13824" s="29" t="str">
        <f>HYPERLINK("https://ictv.global/taxonomy/taxondetails?taxnode_id=202303736","ictv.global=202303736")</f>
        <v>ictv.global=202303736</v>
      </c>
    </row>
    <row r="13825" spans="1:21">
      <c r="A13825">
        <v>13824</v>
      </c>
      <c r="B13825" s="30" t="s">
        <v>2145</v>
      </c>
      <c r="D13825" s="30" t="s">
        <v>2146</v>
      </c>
      <c r="F13825" s="30" t="s">
        <v>2147</v>
      </c>
      <c r="H13825" s="30" t="s">
        <v>2148</v>
      </c>
      <c r="J13825" s="30" t="s">
        <v>2151</v>
      </c>
      <c r="L13825" s="30" t="s">
        <v>371</v>
      </c>
      <c r="M13825" s="30" t="s">
        <v>836</v>
      </c>
      <c r="N13825" s="30" t="s">
        <v>372</v>
      </c>
      <c r="P13825" s="30" t="s">
        <v>18547</v>
      </c>
      <c r="Q13825" t="s">
        <v>619</v>
      </c>
      <c r="R13825" t="s">
        <v>920</v>
      </c>
      <c r="S13825">
        <v>39</v>
      </c>
      <c r="T13825" s="29" t="str">
        <f t="shared" si="578"/>
        <v>2023.012D.Iridoviridae_22renam.zip</v>
      </c>
      <c r="U13825" s="29" t="str">
        <f>HYPERLINK("https://ictv.global/taxonomy/taxondetails?taxnode_id=202303741","ictv.global=202303741")</f>
        <v>ictv.global=202303741</v>
      </c>
    </row>
    <row r="13826" spans="1:21">
      <c r="A13826">
        <v>13825</v>
      </c>
      <c r="B13826" s="30" t="s">
        <v>2145</v>
      </c>
      <c r="D13826" s="30" t="s">
        <v>2146</v>
      </c>
      <c r="F13826" s="30" t="s">
        <v>2147</v>
      </c>
      <c r="H13826" s="30" t="s">
        <v>2148</v>
      </c>
      <c r="J13826" s="30" t="s">
        <v>2151</v>
      </c>
      <c r="L13826" s="30" t="s">
        <v>371</v>
      </c>
      <c r="M13826" s="30" t="s">
        <v>836</v>
      </c>
      <c r="N13826" s="30" t="s">
        <v>372</v>
      </c>
      <c r="P13826" s="30" t="s">
        <v>18548</v>
      </c>
      <c r="Q13826" t="s">
        <v>619</v>
      </c>
      <c r="R13826" t="s">
        <v>920</v>
      </c>
      <c r="S13826">
        <v>39</v>
      </c>
      <c r="T13826" s="29" t="str">
        <f t="shared" si="578"/>
        <v>2023.012D.Iridoviridae_22renam.zip</v>
      </c>
      <c r="U13826" s="29" t="str">
        <f>HYPERLINK("https://ictv.global/taxonomy/taxondetails?taxnode_id=202306338","ictv.global=202306338")</f>
        <v>ictv.global=202306338</v>
      </c>
    </row>
    <row r="13827" spans="1:21">
      <c r="A13827">
        <v>13826</v>
      </c>
      <c r="B13827" s="30" t="s">
        <v>2145</v>
      </c>
      <c r="D13827" s="30" t="s">
        <v>2146</v>
      </c>
      <c r="F13827" s="30" t="s">
        <v>2147</v>
      </c>
      <c r="H13827" s="30" t="s">
        <v>2148</v>
      </c>
      <c r="J13827" s="30" t="s">
        <v>2151</v>
      </c>
      <c r="L13827" s="30" t="s">
        <v>371</v>
      </c>
      <c r="M13827" s="30" t="s">
        <v>836</v>
      </c>
      <c r="N13827" s="30" t="s">
        <v>372</v>
      </c>
      <c r="P13827" s="30" t="s">
        <v>18549</v>
      </c>
      <c r="Q13827" t="s">
        <v>619</v>
      </c>
      <c r="R13827" t="s">
        <v>920</v>
      </c>
      <c r="S13827">
        <v>39</v>
      </c>
      <c r="T13827" s="29" t="str">
        <f t="shared" si="578"/>
        <v>2023.012D.Iridoviridae_22renam.zip</v>
      </c>
      <c r="U13827" s="29" t="str">
        <f>HYPERLINK("https://ictv.global/taxonomy/taxondetails?taxnode_id=202306335","ictv.global=202306335")</f>
        <v>ictv.global=202306335</v>
      </c>
    </row>
    <row r="13828" spans="1:21">
      <c r="A13828">
        <v>13827</v>
      </c>
      <c r="B13828" s="30" t="s">
        <v>2145</v>
      </c>
      <c r="D13828" s="30" t="s">
        <v>2146</v>
      </c>
      <c r="F13828" s="30" t="s">
        <v>2147</v>
      </c>
      <c r="H13828" s="30" t="s">
        <v>2148</v>
      </c>
      <c r="J13828" s="30" t="s">
        <v>2151</v>
      </c>
      <c r="L13828" s="30" t="s">
        <v>371</v>
      </c>
      <c r="M13828" s="30" t="s">
        <v>836</v>
      </c>
      <c r="N13828" s="30" t="s">
        <v>372</v>
      </c>
      <c r="P13828" s="30" t="s">
        <v>18550</v>
      </c>
      <c r="Q13828" t="s">
        <v>619</v>
      </c>
      <c r="R13828" t="s">
        <v>920</v>
      </c>
      <c r="S13828">
        <v>39</v>
      </c>
      <c r="T13828" s="29" t="str">
        <f t="shared" si="578"/>
        <v>2023.012D.Iridoviridae_22renam.zip</v>
      </c>
      <c r="U13828" s="29" t="str">
        <f>HYPERLINK("https://ictv.global/taxonomy/taxondetails?taxnode_id=202306337","ictv.global=202306337")</f>
        <v>ictv.global=202306337</v>
      </c>
    </row>
    <row r="13829" spans="1:21">
      <c r="A13829">
        <v>13828</v>
      </c>
      <c r="B13829" s="30" t="s">
        <v>2145</v>
      </c>
      <c r="D13829" s="30" t="s">
        <v>2146</v>
      </c>
      <c r="F13829" s="30" t="s">
        <v>2147</v>
      </c>
      <c r="H13829" s="30" t="s">
        <v>2148</v>
      </c>
      <c r="J13829" s="30" t="s">
        <v>2151</v>
      </c>
      <c r="L13829" s="30" t="s">
        <v>371</v>
      </c>
      <c r="M13829" s="30" t="s">
        <v>836</v>
      </c>
      <c r="N13829" s="30" t="s">
        <v>372</v>
      </c>
      <c r="P13829" s="30" t="s">
        <v>18551</v>
      </c>
      <c r="Q13829" t="s">
        <v>619</v>
      </c>
      <c r="R13829" t="s">
        <v>920</v>
      </c>
      <c r="S13829">
        <v>39</v>
      </c>
      <c r="T13829" s="29" t="str">
        <f t="shared" si="578"/>
        <v>2023.012D.Iridoviridae_22renam.zip</v>
      </c>
      <c r="U13829" s="29" t="str">
        <f>HYPERLINK("https://ictv.global/taxonomy/taxondetails?taxnode_id=202306336","ictv.global=202306336")</f>
        <v>ictv.global=202306336</v>
      </c>
    </row>
    <row r="13830" spans="1:21">
      <c r="A13830">
        <v>13829</v>
      </c>
      <c r="B13830" s="30" t="s">
        <v>2145</v>
      </c>
      <c r="D13830" s="30" t="s">
        <v>2146</v>
      </c>
      <c r="F13830" s="30" t="s">
        <v>2147</v>
      </c>
      <c r="H13830" s="30" t="s">
        <v>2148</v>
      </c>
      <c r="J13830" s="30" t="s">
        <v>2151</v>
      </c>
      <c r="L13830" s="30" t="s">
        <v>371</v>
      </c>
      <c r="M13830" s="30" t="s">
        <v>836</v>
      </c>
      <c r="N13830" s="30" t="s">
        <v>3830</v>
      </c>
      <c r="P13830" s="30" t="s">
        <v>18552</v>
      </c>
      <c r="Q13830" t="s">
        <v>619</v>
      </c>
      <c r="R13830" t="s">
        <v>920</v>
      </c>
      <c r="S13830">
        <v>39</v>
      </c>
      <c r="T13830" s="29" t="str">
        <f t="shared" si="578"/>
        <v>2023.012D.Iridoviridae_22renam.zip</v>
      </c>
      <c r="U13830" s="29" t="str">
        <f>HYPERLINK("https://ictv.global/taxonomy/taxondetails?taxnode_id=202309576","ictv.global=202309576")</f>
        <v>ictv.global=202309576</v>
      </c>
    </row>
    <row r="13831" spans="1:21">
      <c r="A13831">
        <v>13830</v>
      </c>
      <c r="B13831" s="30" t="s">
        <v>2145</v>
      </c>
      <c r="D13831" s="30" t="s">
        <v>2146</v>
      </c>
      <c r="F13831" s="30" t="s">
        <v>2147</v>
      </c>
      <c r="H13831" s="30" t="s">
        <v>2148</v>
      </c>
      <c r="J13831" s="30" t="s">
        <v>2151</v>
      </c>
      <c r="L13831" s="30" t="s">
        <v>371</v>
      </c>
      <c r="M13831" s="30" t="s">
        <v>836</v>
      </c>
      <c r="N13831" s="30" t="s">
        <v>1579</v>
      </c>
      <c r="P13831" s="30" t="s">
        <v>18553</v>
      </c>
      <c r="Q13831" t="s">
        <v>619</v>
      </c>
      <c r="R13831" t="s">
        <v>920</v>
      </c>
      <c r="S13831">
        <v>39</v>
      </c>
      <c r="T13831" s="29" t="str">
        <f t="shared" si="578"/>
        <v>2023.012D.Iridoviridae_22renam.zip</v>
      </c>
      <c r="U13831" s="29" t="str">
        <f>HYPERLINK("https://ictv.global/taxonomy/taxondetails?taxnode_id=202306295","ictv.global=202306295")</f>
        <v>ictv.global=202306295</v>
      </c>
    </row>
    <row r="13832" spans="1:21">
      <c r="A13832">
        <v>13831</v>
      </c>
      <c r="B13832" s="30" t="s">
        <v>2145</v>
      </c>
      <c r="D13832" s="30" t="s">
        <v>2146</v>
      </c>
      <c r="F13832" s="30" t="s">
        <v>2147</v>
      </c>
      <c r="H13832" s="30" t="s">
        <v>2148</v>
      </c>
      <c r="J13832" s="30" t="s">
        <v>2151</v>
      </c>
      <c r="L13832" s="30" t="s">
        <v>371</v>
      </c>
      <c r="M13832" s="30" t="s">
        <v>836</v>
      </c>
      <c r="N13832" s="30" t="s">
        <v>265</v>
      </c>
      <c r="P13832" s="30" t="s">
        <v>18554</v>
      </c>
      <c r="Q13832" t="s">
        <v>619</v>
      </c>
      <c r="R13832" t="s">
        <v>920</v>
      </c>
      <c r="S13832">
        <v>39</v>
      </c>
      <c r="T13832" s="29" t="str">
        <f t="shared" si="578"/>
        <v>2023.012D.Iridoviridae_22renam.zip</v>
      </c>
      <c r="U13832" s="29" t="str">
        <f>HYPERLINK("https://ictv.global/taxonomy/taxondetails?taxnode_id=202306334","ictv.global=202306334")</f>
        <v>ictv.global=202306334</v>
      </c>
    </row>
    <row r="13833" spans="1:21">
      <c r="A13833">
        <v>13832</v>
      </c>
      <c r="B13833" s="30" t="s">
        <v>2145</v>
      </c>
      <c r="D13833" s="30" t="s">
        <v>2146</v>
      </c>
      <c r="F13833" s="30" t="s">
        <v>2147</v>
      </c>
      <c r="H13833" s="30" t="s">
        <v>2148</v>
      </c>
      <c r="J13833" s="30" t="s">
        <v>2151</v>
      </c>
      <c r="L13833" s="30" t="s">
        <v>371</v>
      </c>
      <c r="M13833" s="30" t="s">
        <v>836</v>
      </c>
      <c r="N13833" s="30" t="s">
        <v>265</v>
      </c>
      <c r="P13833" s="30" t="s">
        <v>18555</v>
      </c>
      <c r="Q13833" t="s">
        <v>619</v>
      </c>
      <c r="R13833" t="s">
        <v>920</v>
      </c>
      <c r="S13833">
        <v>39</v>
      </c>
      <c r="T13833" s="29" t="str">
        <f t="shared" si="578"/>
        <v>2023.012D.Iridoviridae_22renam.zip</v>
      </c>
      <c r="U13833" s="29" t="str">
        <f>HYPERLINK("https://ictv.global/taxonomy/taxondetails?taxnode_id=202303744","ictv.global=202303744")</f>
        <v>ictv.global=202303744</v>
      </c>
    </row>
    <row r="13834" spans="1:21">
      <c r="A13834">
        <v>13833</v>
      </c>
      <c r="B13834" s="30" t="s">
        <v>2145</v>
      </c>
      <c r="D13834" s="30" t="s">
        <v>2146</v>
      </c>
      <c r="F13834" s="30" t="s">
        <v>2147</v>
      </c>
      <c r="H13834" s="30" t="s">
        <v>2148</v>
      </c>
      <c r="J13834" s="30" t="s">
        <v>2151</v>
      </c>
      <c r="L13834" s="30" t="s">
        <v>551</v>
      </c>
      <c r="N13834" s="30" t="s">
        <v>18556</v>
      </c>
      <c r="P13834" s="30" t="s">
        <v>18557</v>
      </c>
      <c r="Q13834" t="s">
        <v>619</v>
      </c>
      <c r="R13834" t="s">
        <v>918</v>
      </c>
      <c r="S13834">
        <v>39</v>
      </c>
      <c r="T13834" s="29" t="str">
        <f>HYPERLINK("https://ictv.global/ictv/proposals/2023.004F.Marseilleviridae_1newgen_spren.zip","2023.004F.Marseilleviridae_1newgen_spren.zip")</f>
        <v>2023.004F.Marseilleviridae_1newgen_spren.zip</v>
      </c>
      <c r="U13834" s="29" t="str">
        <f>HYPERLINK("https://ictv.global/taxonomy/taxondetails?taxnode_id=202303805","ictv.global=202303805")</f>
        <v>ictv.global=202303805</v>
      </c>
    </row>
    <row r="13835" spans="1:21">
      <c r="A13835">
        <v>13834</v>
      </c>
      <c r="B13835" s="30" t="s">
        <v>2145</v>
      </c>
      <c r="D13835" s="30" t="s">
        <v>2146</v>
      </c>
      <c r="F13835" s="30" t="s">
        <v>2147</v>
      </c>
      <c r="H13835" s="30" t="s">
        <v>2148</v>
      </c>
      <c r="J13835" s="30" t="s">
        <v>2151</v>
      </c>
      <c r="L13835" s="30" t="s">
        <v>551</v>
      </c>
      <c r="N13835" s="30" t="s">
        <v>18556</v>
      </c>
      <c r="P13835" s="30" t="s">
        <v>18558</v>
      </c>
      <c r="Q13835" t="s">
        <v>619</v>
      </c>
      <c r="R13835" t="s">
        <v>918</v>
      </c>
      <c r="S13835">
        <v>39</v>
      </c>
      <c r="T13835" s="29" t="str">
        <f>HYPERLINK("https://ictv.global/ictv/proposals/2023.004F.Marseilleviridae_1newgen_spren.zip","2023.004F.Marseilleviridae_1newgen_spren.zip")</f>
        <v>2023.004F.Marseilleviridae_1newgen_spren.zip</v>
      </c>
      <c r="U13835" s="29" t="str">
        <f>HYPERLINK("https://ictv.global/taxonomy/taxondetails?taxnode_id=202303806","ictv.global=202303806")</f>
        <v>ictv.global=202303806</v>
      </c>
    </row>
    <row r="13836" spans="1:21">
      <c r="A13836">
        <v>13835</v>
      </c>
      <c r="B13836" s="30" t="s">
        <v>2145</v>
      </c>
      <c r="D13836" s="30" t="s">
        <v>2146</v>
      </c>
      <c r="F13836" s="30" t="s">
        <v>2147</v>
      </c>
      <c r="H13836" s="30" t="s">
        <v>2148</v>
      </c>
      <c r="J13836" s="30" t="s">
        <v>2151</v>
      </c>
      <c r="L13836" s="30" t="s">
        <v>551</v>
      </c>
      <c r="N13836" s="30" t="s">
        <v>552</v>
      </c>
      <c r="P13836" s="30" t="s">
        <v>18559</v>
      </c>
      <c r="Q13836" t="s">
        <v>619</v>
      </c>
      <c r="R13836" t="s">
        <v>920</v>
      </c>
      <c r="S13836">
        <v>39</v>
      </c>
      <c r="T13836" s="29" t="str">
        <f>HYPERLINK("https://ictv.global/ictv/proposals/2023.004F.Marseilleviridae_1newgen_spren.zip","2023.004F.Marseilleviridae_1newgen_spren.zip")</f>
        <v>2023.004F.Marseilleviridae_1newgen_spren.zip</v>
      </c>
      <c r="U13836" s="29" t="str">
        <f>HYPERLINK("https://ictv.global/taxonomy/taxondetails?taxnode_id=202303802","ictv.global=202303802")</f>
        <v>ictv.global=202303802</v>
      </c>
    </row>
    <row r="13837" spans="1:21">
      <c r="A13837">
        <v>13836</v>
      </c>
      <c r="B13837" s="30" t="s">
        <v>2145</v>
      </c>
      <c r="D13837" s="30" t="s">
        <v>2146</v>
      </c>
      <c r="F13837" s="30" t="s">
        <v>2147</v>
      </c>
      <c r="H13837" s="30" t="s">
        <v>2148</v>
      </c>
      <c r="J13837" s="30" t="s">
        <v>2151</v>
      </c>
      <c r="L13837" s="30" t="s">
        <v>551</v>
      </c>
      <c r="N13837" s="30" t="s">
        <v>552</v>
      </c>
      <c r="P13837" s="30" t="s">
        <v>18560</v>
      </c>
      <c r="Q13837" t="s">
        <v>619</v>
      </c>
      <c r="R13837" t="s">
        <v>920</v>
      </c>
      <c r="S13837">
        <v>39</v>
      </c>
      <c r="T13837" s="29" t="str">
        <f>HYPERLINK("https://ictv.global/ictv/proposals/2023.004F.Marseilleviridae_1newgen_spren.zip","2023.004F.Marseilleviridae_1newgen_spren.zip")</f>
        <v>2023.004F.Marseilleviridae_1newgen_spren.zip</v>
      </c>
      <c r="U13837" s="29" t="str">
        <f>HYPERLINK("https://ictv.global/taxonomy/taxondetails?taxnode_id=202303803","ictv.global=202303803")</f>
        <v>ictv.global=202303803</v>
      </c>
    </row>
    <row r="13838" spans="1:21">
      <c r="A13838">
        <v>13837</v>
      </c>
      <c r="B13838" s="30" t="s">
        <v>2145</v>
      </c>
      <c r="D13838" s="30" t="s">
        <v>2146</v>
      </c>
      <c r="F13838" s="30" t="s">
        <v>2147</v>
      </c>
      <c r="H13838" s="30" t="s">
        <v>2148</v>
      </c>
      <c r="J13838" s="30" t="s">
        <v>2151</v>
      </c>
      <c r="L13838" s="30" t="s">
        <v>18561</v>
      </c>
      <c r="N13838" s="30" t="s">
        <v>18562</v>
      </c>
      <c r="P13838" s="30" t="s">
        <v>18563</v>
      </c>
      <c r="Q13838" t="s">
        <v>619</v>
      </c>
      <c r="R13838" t="s">
        <v>917</v>
      </c>
      <c r="S13838">
        <v>39</v>
      </c>
      <c r="T13838" s="29" t="str">
        <f>HYPERLINK("https://ictv.global/ictv/proposals/2023.011F.Pimascovirales_3newfam.zip","2023.011F.Pimascovirales_3newfam.zip")</f>
        <v>2023.011F.Pimascovirales_3newfam.zip</v>
      </c>
      <c r="U13838" s="29" t="str">
        <f>HYPERLINK("https://ictv.global/taxonomy/taxondetails?taxnode_id=202318023","ictv.global=202318023")</f>
        <v>ictv.global=202318023</v>
      </c>
    </row>
    <row r="13839" spans="1:21">
      <c r="A13839">
        <v>13838</v>
      </c>
      <c r="B13839" s="30" t="s">
        <v>2145</v>
      </c>
      <c r="D13839" s="30" t="s">
        <v>2146</v>
      </c>
      <c r="F13839" s="30" t="s">
        <v>2147</v>
      </c>
      <c r="H13839" s="30" t="s">
        <v>2148</v>
      </c>
      <c r="J13839" s="30" t="s">
        <v>2151</v>
      </c>
      <c r="L13839" s="30" t="s">
        <v>18564</v>
      </c>
      <c r="N13839" s="30" t="s">
        <v>18565</v>
      </c>
      <c r="P13839" s="30" t="s">
        <v>18566</v>
      </c>
      <c r="Q13839" t="s">
        <v>619</v>
      </c>
      <c r="R13839" t="s">
        <v>917</v>
      </c>
      <c r="S13839">
        <v>39</v>
      </c>
      <c r="T13839" s="29" t="str">
        <f>HYPERLINK("https://ictv.global/ictv/proposals/2023.011F.Pimascovirales_3newfam.zip","2023.011F.Pimascovirales_3newfam.zip")</f>
        <v>2023.011F.Pimascovirales_3newfam.zip</v>
      </c>
      <c r="U13839" s="29" t="str">
        <f>HYPERLINK("https://ictv.global/taxonomy/taxondetails?taxnode_id=202318024","ictv.global=202318024")</f>
        <v>ictv.global=202318024</v>
      </c>
    </row>
    <row r="13840" spans="1:21">
      <c r="A13840">
        <v>13839</v>
      </c>
      <c r="B13840" s="30" t="s">
        <v>2145</v>
      </c>
      <c r="D13840" s="30" t="s">
        <v>2146</v>
      </c>
      <c r="F13840" s="30" t="s">
        <v>2147</v>
      </c>
      <c r="H13840" s="30" t="s">
        <v>2148</v>
      </c>
      <c r="J13840" s="30" t="s">
        <v>2151</v>
      </c>
      <c r="L13840" s="30" t="s">
        <v>18564</v>
      </c>
      <c r="N13840" s="30" t="s">
        <v>18565</v>
      </c>
      <c r="P13840" s="30" t="s">
        <v>18567</v>
      </c>
      <c r="Q13840" t="s">
        <v>619</v>
      </c>
      <c r="R13840" t="s">
        <v>917</v>
      </c>
      <c r="S13840">
        <v>39</v>
      </c>
      <c r="T13840" s="29" t="str">
        <f>HYPERLINK("https://ictv.global/ictv/proposals/2023.011F.Pimascovirales_3newfam.zip","2023.011F.Pimascovirales_3newfam.zip")</f>
        <v>2023.011F.Pimascovirales_3newfam.zip</v>
      </c>
      <c r="U13840" s="29" t="str">
        <f>HYPERLINK("https://ictv.global/taxonomy/taxondetails?taxnode_id=202318025","ictv.global=202318025")</f>
        <v>ictv.global=202318025</v>
      </c>
    </row>
    <row r="13841" spans="1:21">
      <c r="A13841">
        <v>13840</v>
      </c>
      <c r="B13841" s="30" t="s">
        <v>2145</v>
      </c>
      <c r="D13841" s="30" t="s">
        <v>2146</v>
      </c>
      <c r="F13841" s="30" t="s">
        <v>2147</v>
      </c>
      <c r="H13841" s="30" t="s">
        <v>2148</v>
      </c>
      <c r="L13841" s="30" t="s">
        <v>11321</v>
      </c>
      <c r="N13841" s="30" t="s">
        <v>11322</v>
      </c>
      <c r="P13841" s="30" t="s">
        <v>11323</v>
      </c>
      <c r="Q13841" t="s">
        <v>619</v>
      </c>
      <c r="R13841" t="s">
        <v>917</v>
      </c>
      <c r="S13841">
        <v>38</v>
      </c>
      <c r="T13841" s="29" t="str">
        <f>HYPERLINK("https://ictv.global/ictv/proposals/2022.005F.Mamonoviridae_newfam.zip","2022.005F.Mamonoviridae_newfam.zip")</f>
        <v>2022.005F.Mamonoviridae_newfam.zip</v>
      </c>
      <c r="U13841" s="29" t="str">
        <f>HYPERLINK("https://ictv.global/taxonomy/taxondetails?taxnode_id=202315061","ictv.global=202315061")</f>
        <v>ictv.global=202315061</v>
      </c>
    </row>
    <row r="13842" spans="1:21">
      <c r="A13842">
        <v>13841</v>
      </c>
      <c r="B13842" s="30" t="s">
        <v>2145</v>
      </c>
      <c r="D13842" s="30" t="s">
        <v>2146</v>
      </c>
      <c r="F13842" s="30" t="s">
        <v>2147</v>
      </c>
      <c r="H13842" s="30" t="s">
        <v>2148</v>
      </c>
      <c r="L13842" s="30" t="s">
        <v>11321</v>
      </c>
      <c r="N13842" s="30" t="s">
        <v>11322</v>
      </c>
      <c r="P13842" s="30" t="s">
        <v>11324</v>
      </c>
      <c r="Q13842" t="s">
        <v>619</v>
      </c>
      <c r="R13842" t="s">
        <v>917</v>
      </c>
      <c r="S13842">
        <v>38</v>
      </c>
      <c r="T13842" s="29" t="str">
        <f>HYPERLINK("https://ictv.global/ictv/proposals/2022.005F.Mamonoviridae_newfam.zip","2022.005F.Mamonoviridae_newfam.zip")</f>
        <v>2022.005F.Mamonoviridae_newfam.zip</v>
      </c>
      <c r="U13842" s="29" t="str">
        <f>HYPERLINK("https://ictv.global/taxonomy/taxondetails?taxnode_id=202315062","ictv.global=202315062")</f>
        <v>ictv.global=202315062</v>
      </c>
    </row>
    <row r="13843" spans="1:21">
      <c r="A13843">
        <v>13842</v>
      </c>
      <c r="B13843" s="30" t="s">
        <v>2145</v>
      </c>
      <c r="D13843" s="30" t="s">
        <v>2146</v>
      </c>
      <c r="F13843" s="30" t="s">
        <v>2147</v>
      </c>
      <c r="H13843" s="30" t="s">
        <v>2152</v>
      </c>
      <c r="J13843" s="30" t="s">
        <v>2153</v>
      </c>
      <c r="L13843" s="30" t="s">
        <v>186</v>
      </c>
      <c r="N13843" s="30" t="s">
        <v>187</v>
      </c>
      <c r="P13843" s="30" t="s">
        <v>188</v>
      </c>
      <c r="Q13843" t="s">
        <v>619</v>
      </c>
      <c r="R13843" t="s">
        <v>3894</v>
      </c>
      <c r="S13843">
        <v>36</v>
      </c>
      <c r="T13843" s="29" t="str">
        <f>HYPERLINK("https://ictv.global/ictv/proposals/2020.001G.R.Abolish_type_species.pdf","2020.001G.R.Abolish_type_species.pdf")</f>
        <v>2020.001G.R.Abolish_type_species.pdf</v>
      </c>
      <c r="U13843" s="29" t="str">
        <f>HYPERLINK("https://ictv.global/taxonomy/taxondetails?taxnode_id=202302618","ictv.global=202302618")</f>
        <v>ictv.global=202302618</v>
      </c>
    </row>
    <row r="13844" spans="1:21">
      <c r="A13844">
        <v>13843</v>
      </c>
      <c r="B13844" s="30" t="s">
        <v>2145</v>
      </c>
      <c r="D13844" s="30" t="s">
        <v>2146</v>
      </c>
      <c r="F13844" s="30" t="s">
        <v>2147</v>
      </c>
      <c r="H13844" s="30" t="s">
        <v>2152</v>
      </c>
      <c r="J13844" s="30" t="s">
        <v>2154</v>
      </c>
      <c r="L13844" s="30" t="s">
        <v>494</v>
      </c>
      <c r="M13844" s="30" t="s">
        <v>495</v>
      </c>
      <c r="N13844" s="30" t="s">
        <v>496</v>
      </c>
      <c r="P13844" s="30" t="s">
        <v>18568</v>
      </c>
      <c r="Q13844" t="s">
        <v>619</v>
      </c>
      <c r="R13844" t="s">
        <v>920</v>
      </c>
      <c r="S13844">
        <v>39</v>
      </c>
      <c r="T13844" s="29" t="str">
        <f t="shared" ref="T13844:T13875" si="579">HYPERLINK("https://ictv.global/ictv/proposals/2023.017D.Poxviridae_55renam.zip","2023.017D.Poxviridae_55renam.zip")</f>
        <v>2023.017D.Poxviridae_55renam.zip</v>
      </c>
      <c r="U13844" s="29" t="str">
        <f>HYPERLINK("https://ictv.global/taxonomy/taxondetails?taxnode_id=202304740","ictv.global=202304740")</f>
        <v>ictv.global=202304740</v>
      </c>
    </row>
    <row r="13845" spans="1:21">
      <c r="A13845">
        <v>13844</v>
      </c>
      <c r="B13845" s="30" t="s">
        <v>2145</v>
      </c>
      <c r="D13845" s="30" t="s">
        <v>2146</v>
      </c>
      <c r="F13845" s="30" t="s">
        <v>2147</v>
      </c>
      <c r="H13845" s="30" t="s">
        <v>2152</v>
      </c>
      <c r="J13845" s="30" t="s">
        <v>2154</v>
      </c>
      <c r="L13845" s="30" t="s">
        <v>494</v>
      </c>
      <c r="M13845" s="30" t="s">
        <v>495</v>
      </c>
      <c r="N13845" s="30" t="s">
        <v>496</v>
      </c>
      <c r="P13845" s="30" t="s">
        <v>18569</v>
      </c>
      <c r="Q13845" t="s">
        <v>619</v>
      </c>
      <c r="R13845" t="s">
        <v>920</v>
      </c>
      <c r="S13845">
        <v>39</v>
      </c>
      <c r="T13845" s="29" t="str">
        <f t="shared" si="579"/>
        <v>2023.017D.Poxviridae_55renam.zip</v>
      </c>
      <c r="U13845" s="29" t="str">
        <f>HYPERLINK("https://ictv.global/taxonomy/taxondetails?taxnode_id=202307141","ictv.global=202307141")</f>
        <v>ictv.global=202307141</v>
      </c>
    </row>
    <row r="13846" spans="1:21">
      <c r="A13846">
        <v>13845</v>
      </c>
      <c r="B13846" s="30" t="s">
        <v>2145</v>
      </c>
      <c r="D13846" s="30" t="s">
        <v>2146</v>
      </c>
      <c r="F13846" s="30" t="s">
        <v>2147</v>
      </c>
      <c r="H13846" s="30" t="s">
        <v>2152</v>
      </c>
      <c r="J13846" s="30" t="s">
        <v>2154</v>
      </c>
      <c r="L13846" s="30" t="s">
        <v>494</v>
      </c>
      <c r="M13846" s="30" t="s">
        <v>495</v>
      </c>
      <c r="N13846" s="30" t="s">
        <v>496</v>
      </c>
      <c r="P13846" s="30" t="s">
        <v>18570</v>
      </c>
      <c r="Q13846" t="s">
        <v>619</v>
      </c>
      <c r="R13846" t="s">
        <v>920</v>
      </c>
      <c r="S13846">
        <v>39</v>
      </c>
      <c r="T13846" s="29" t="str">
        <f t="shared" si="579"/>
        <v>2023.017D.Poxviridae_55renam.zip</v>
      </c>
      <c r="U13846" s="29" t="str">
        <f>HYPERLINK("https://ictv.global/taxonomy/taxondetails?taxnode_id=202304741","ictv.global=202304741")</f>
        <v>ictv.global=202304741</v>
      </c>
    </row>
    <row r="13847" spans="1:21">
      <c r="A13847">
        <v>13846</v>
      </c>
      <c r="B13847" s="30" t="s">
        <v>2145</v>
      </c>
      <c r="D13847" s="30" t="s">
        <v>2146</v>
      </c>
      <c r="F13847" s="30" t="s">
        <v>2147</v>
      </c>
      <c r="H13847" s="30" t="s">
        <v>2152</v>
      </c>
      <c r="J13847" s="30" t="s">
        <v>2154</v>
      </c>
      <c r="L13847" s="30" t="s">
        <v>494</v>
      </c>
      <c r="M13847" s="30" t="s">
        <v>495</v>
      </c>
      <c r="N13847" s="30" t="s">
        <v>496</v>
      </c>
      <c r="P13847" s="30" t="s">
        <v>18571</v>
      </c>
      <c r="Q13847" t="s">
        <v>619</v>
      </c>
      <c r="R13847" t="s">
        <v>920</v>
      </c>
      <c r="S13847">
        <v>39</v>
      </c>
      <c r="T13847" s="29" t="str">
        <f t="shared" si="579"/>
        <v>2023.017D.Poxviridae_55renam.zip</v>
      </c>
      <c r="U13847" s="29" t="str">
        <f>HYPERLINK("https://ictv.global/taxonomy/taxondetails?taxnode_id=202307142","ictv.global=202307142")</f>
        <v>ictv.global=202307142</v>
      </c>
    </row>
    <row r="13848" spans="1:21">
      <c r="A13848">
        <v>13847</v>
      </c>
      <c r="B13848" s="30" t="s">
        <v>2145</v>
      </c>
      <c r="D13848" s="30" t="s">
        <v>2146</v>
      </c>
      <c r="F13848" s="30" t="s">
        <v>2147</v>
      </c>
      <c r="H13848" s="30" t="s">
        <v>2152</v>
      </c>
      <c r="J13848" s="30" t="s">
        <v>2154</v>
      </c>
      <c r="L13848" s="30" t="s">
        <v>494</v>
      </c>
      <c r="M13848" s="30" t="s">
        <v>495</v>
      </c>
      <c r="N13848" s="30" t="s">
        <v>496</v>
      </c>
      <c r="P13848" s="30" t="s">
        <v>18572</v>
      </c>
      <c r="Q13848" t="s">
        <v>619</v>
      </c>
      <c r="R13848" t="s">
        <v>920</v>
      </c>
      <c r="S13848">
        <v>39</v>
      </c>
      <c r="T13848" s="29" t="str">
        <f t="shared" si="579"/>
        <v>2023.017D.Poxviridae_55renam.zip</v>
      </c>
      <c r="U13848" s="29" t="str">
        <f>HYPERLINK("https://ictv.global/taxonomy/taxondetails?taxnode_id=202304744","ictv.global=202304744")</f>
        <v>ictv.global=202304744</v>
      </c>
    </row>
    <row r="13849" spans="1:21">
      <c r="A13849">
        <v>13848</v>
      </c>
      <c r="B13849" s="30" t="s">
        <v>2145</v>
      </c>
      <c r="D13849" s="30" t="s">
        <v>2146</v>
      </c>
      <c r="F13849" s="30" t="s">
        <v>2147</v>
      </c>
      <c r="H13849" s="30" t="s">
        <v>2152</v>
      </c>
      <c r="J13849" s="30" t="s">
        <v>2154</v>
      </c>
      <c r="L13849" s="30" t="s">
        <v>494</v>
      </c>
      <c r="M13849" s="30" t="s">
        <v>495</v>
      </c>
      <c r="N13849" s="30" t="s">
        <v>496</v>
      </c>
      <c r="P13849" s="30" t="s">
        <v>18573</v>
      </c>
      <c r="Q13849" t="s">
        <v>619</v>
      </c>
      <c r="R13849" t="s">
        <v>920</v>
      </c>
      <c r="S13849">
        <v>39</v>
      </c>
      <c r="T13849" s="29" t="str">
        <f t="shared" si="579"/>
        <v>2023.017D.Poxviridae_55renam.zip</v>
      </c>
      <c r="U13849" s="29" t="str">
        <f>HYPERLINK("https://ictv.global/taxonomy/taxondetails?taxnode_id=202304746","ictv.global=202304746")</f>
        <v>ictv.global=202304746</v>
      </c>
    </row>
    <row r="13850" spans="1:21">
      <c r="A13850">
        <v>13849</v>
      </c>
      <c r="B13850" s="30" t="s">
        <v>2145</v>
      </c>
      <c r="D13850" s="30" t="s">
        <v>2146</v>
      </c>
      <c r="F13850" s="30" t="s">
        <v>2147</v>
      </c>
      <c r="H13850" s="30" t="s">
        <v>2152</v>
      </c>
      <c r="J13850" s="30" t="s">
        <v>2154</v>
      </c>
      <c r="L13850" s="30" t="s">
        <v>494</v>
      </c>
      <c r="M13850" s="30" t="s">
        <v>495</v>
      </c>
      <c r="N13850" s="30" t="s">
        <v>496</v>
      </c>
      <c r="P13850" s="30" t="s">
        <v>18574</v>
      </c>
      <c r="Q13850" t="s">
        <v>619</v>
      </c>
      <c r="R13850" t="s">
        <v>920</v>
      </c>
      <c r="S13850">
        <v>39</v>
      </c>
      <c r="T13850" s="29" t="str">
        <f t="shared" si="579"/>
        <v>2023.017D.Poxviridae_55renam.zip</v>
      </c>
      <c r="U13850" s="29" t="str">
        <f>HYPERLINK("https://ictv.global/taxonomy/taxondetails?taxnode_id=202304749","ictv.global=202304749")</f>
        <v>ictv.global=202304749</v>
      </c>
    </row>
    <row r="13851" spans="1:21">
      <c r="A13851">
        <v>13850</v>
      </c>
      <c r="B13851" s="30" t="s">
        <v>2145</v>
      </c>
      <c r="D13851" s="30" t="s">
        <v>2146</v>
      </c>
      <c r="F13851" s="30" t="s">
        <v>2147</v>
      </c>
      <c r="H13851" s="30" t="s">
        <v>2152</v>
      </c>
      <c r="J13851" s="30" t="s">
        <v>2154</v>
      </c>
      <c r="L13851" s="30" t="s">
        <v>494</v>
      </c>
      <c r="M13851" s="30" t="s">
        <v>495</v>
      </c>
      <c r="N13851" s="30" t="s">
        <v>165</v>
      </c>
      <c r="P13851" s="30" t="s">
        <v>18575</v>
      </c>
      <c r="Q13851" t="s">
        <v>619</v>
      </c>
      <c r="R13851" t="s">
        <v>920</v>
      </c>
      <c r="S13851">
        <v>39</v>
      </c>
      <c r="T13851" s="29" t="str">
        <f t="shared" si="579"/>
        <v>2023.017D.Poxviridae_55renam.zip</v>
      </c>
      <c r="U13851" s="29" t="str">
        <f>HYPERLINK("https://ictv.global/taxonomy/taxondetails?taxnode_id=202304751","ictv.global=202304751")</f>
        <v>ictv.global=202304751</v>
      </c>
    </row>
    <row r="13852" spans="1:21">
      <c r="A13852">
        <v>13851</v>
      </c>
      <c r="B13852" s="30" t="s">
        <v>2145</v>
      </c>
      <c r="D13852" s="30" t="s">
        <v>2146</v>
      </c>
      <c r="F13852" s="30" t="s">
        <v>2147</v>
      </c>
      <c r="H13852" s="30" t="s">
        <v>2152</v>
      </c>
      <c r="J13852" s="30" t="s">
        <v>2154</v>
      </c>
      <c r="L13852" s="30" t="s">
        <v>494</v>
      </c>
      <c r="M13852" s="30" t="s">
        <v>495</v>
      </c>
      <c r="N13852" s="30" t="s">
        <v>165</v>
      </c>
      <c r="P13852" s="30" t="s">
        <v>18576</v>
      </c>
      <c r="Q13852" t="s">
        <v>619</v>
      </c>
      <c r="R13852" t="s">
        <v>920</v>
      </c>
      <c r="S13852">
        <v>39</v>
      </c>
      <c r="T13852" s="29" t="str">
        <f t="shared" si="579"/>
        <v>2023.017D.Poxviridae_55renam.zip</v>
      </c>
      <c r="U13852" s="29" t="str">
        <f>HYPERLINK("https://ictv.global/taxonomy/taxondetails?taxnode_id=202304752","ictv.global=202304752")</f>
        <v>ictv.global=202304752</v>
      </c>
    </row>
    <row r="13853" spans="1:21">
      <c r="A13853">
        <v>13852</v>
      </c>
      <c r="B13853" s="30" t="s">
        <v>2145</v>
      </c>
      <c r="D13853" s="30" t="s">
        <v>2146</v>
      </c>
      <c r="F13853" s="30" t="s">
        <v>2147</v>
      </c>
      <c r="H13853" s="30" t="s">
        <v>2152</v>
      </c>
      <c r="J13853" s="30" t="s">
        <v>2154</v>
      </c>
      <c r="L13853" s="30" t="s">
        <v>494</v>
      </c>
      <c r="M13853" s="30" t="s">
        <v>495</v>
      </c>
      <c r="N13853" s="30" t="s">
        <v>165</v>
      </c>
      <c r="P13853" s="30" t="s">
        <v>18577</v>
      </c>
      <c r="Q13853" t="s">
        <v>619</v>
      </c>
      <c r="R13853" t="s">
        <v>920</v>
      </c>
      <c r="S13853">
        <v>39</v>
      </c>
      <c r="T13853" s="29" t="str">
        <f t="shared" si="579"/>
        <v>2023.017D.Poxviridae_55renam.zip</v>
      </c>
      <c r="U13853" s="29" t="str">
        <f>HYPERLINK("https://ictv.global/taxonomy/taxondetails?taxnode_id=202304753","ictv.global=202304753")</f>
        <v>ictv.global=202304753</v>
      </c>
    </row>
    <row r="13854" spans="1:21">
      <c r="A13854">
        <v>13853</v>
      </c>
      <c r="B13854" s="30" t="s">
        <v>2145</v>
      </c>
      <c r="D13854" s="30" t="s">
        <v>2146</v>
      </c>
      <c r="F13854" s="30" t="s">
        <v>2147</v>
      </c>
      <c r="H13854" s="30" t="s">
        <v>2152</v>
      </c>
      <c r="J13854" s="30" t="s">
        <v>2154</v>
      </c>
      <c r="L13854" s="30" t="s">
        <v>494</v>
      </c>
      <c r="M13854" s="30" t="s">
        <v>495</v>
      </c>
      <c r="N13854" s="30" t="s">
        <v>908</v>
      </c>
      <c r="P13854" s="30" t="s">
        <v>18578</v>
      </c>
      <c r="Q13854" t="s">
        <v>619</v>
      </c>
      <c r="R13854" t="s">
        <v>920</v>
      </c>
      <c r="S13854">
        <v>39</v>
      </c>
      <c r="T13854" s="29" t="str">
        <f t="shared" si="579"/>
        <v>2023.017D.Poxviridae_55renam.zip</v>
      </c>
      <c r="U13854" s="29" t="str">
        <f>HYPERLINK("https://ictv.global/taxonomy/taxondetails?taxnode_id=202307143","ictv.global=202307143")</f>
        <v>ictv.global=202307143</v>
      </c>
    </row>
    <row r="13855" spans="1:21">
      <c r="A13855">
        <v>13854</v>
      </c>
      <c r="B13855" s="30" t="s">
        <v>2145</v>
      </c>
      <c r="D13855" s="30" t="s">
        <v>2146</v>
      </c>
      <c r="F13855" s="30" t="s">
        <v>2147</v>
      </c>
      <c r="H13855" s="30" t="s">
        <v>2152</v>
      </c>
      <c r="J13855" s="30" t="s">
        <v>2154</v>
      </c>
      <c r="L13855" s="30" t="s">
        <v>494</v>
      </c>
      <c r="M13855" s="30" t="s">
        <v>495</v>
      </c>
      <c r="N13855" s="30" t="s">
        <v>908</v>
      </c>
      <c r="P13855" s="30" t="s">
        <v>18579</v>
      </c>
      <c r="Q13855" t="s">
        <v>619</v>
      </c>
      <c r="R13855" t="s">
        <v>920</v>
      </c>
      <c r="S13855">
        <v>39</v>
      </c>
      <c r="T13855" s="29" t="str">
        <f t="shared" si="579"/>
        <v>2023.017D.Poxviridae_55renam.zip</v>
      </c>
      <c r="U13855" s="29" t="str">
        <f>HYPERLINK("https://ictv.global/taxonomy/taxondetails?taxnode_id=202304755","ictv.global=202304755")</f>
        <v>ictv.global=202304755</v>
      </c>
    </row>
    <row r="13856" spans="1:21">
      <c r="A13856">
        <v>13855</v>
      </c>
      <c r="B13856" s="30" t="s">
        <v>2145</v>
      </c>
      <c r="D13856" s="30" t="s">
        <v>2146</v>
      </c>
      <c r="F13856" s="30" t="s">
        <v>2147</v>
      </c>
      <c r="H13856" s="30" t="s">
        <v>2152</v>
      </c>
      <c r="J13856" s="30" t="s">
        <v>2154</v>
      </c>
      <c r="L13856" s="30" t="s">
        <v>494</v>
      </c>
      <c r="M13856" s="30" t="s">
        <v>495</v>
      </c>
      <c r="N13856" s="30" t="s">
        <v>385</v>
      </c>
      <c r="P13856" s="30" t="s">
        <v>18580</v>
      </c>
      <c r="Q13856" t="s">
        <v>619</v>
      </c>
      <c r="R13856" t="s">
        <v>920</v>
      </c>
      <c r="S13856">
        <v>39</v>
      </c>
      <c r="T13856" s="29" t="str">
        <f t="shared" si="579"/>
        <v>2023.017D.Poxviridae_55renam.zip</v>
      </c>
      <c r="U13856" s="29" t="str">
        <f>HYPERLINK("https://ictv.global/taxonomy/taxondetails?taxnode_id=202304757","ictv.global=202304757")</f>
        <v>ictv.global=202304757</v>
      </c>
    </row>
    <row r="13857" spans="1:21">
      <c r="A13857">
        <v>13856</v>
      </c>
      <c r="B13857" s="30" t="s">
        <v>2145</v>
      </c>
      <c r="D13857" s="30" t="s">
        <v>2146</v>
      </c>
      <c r="F13857" s="30" t="s">
        <v>2147</v>
      </c>
      <c r="H13857" s="30" t="s">
        <v>2152</v>
      </c>
      <c r="J13857" s="30" t="s">
        <v>2154</v>
      </c>
      <c r="L13857" s="30" t="s">
        <v>494</v>
      </c>
      <c r="M13857" s="30" t="s">
        <v>495</v>
      </c>
      <c r="N13857" s="30" t="s">
        <v>114</v>
      </c>
      <c r="P13857" s="30" t="s">
        <v>18581</v>
      </c>
      <c r="Q13857" t="s">
        <v>619</v>
      </c>
      <c r="R13857" t="s">
        <v>920</v>
      </c>
      <c r="S13857">
        <v>39</v>
      </c>
      <c r="T13857" s="29" t="str">
        <f t="shared" si="579"/>
        <v>2023.017D.Poxviridae_55renam.zip</v>
      </c>
      <c r="U13857" s="29" t="str">
        <f>HYPERLINK("https://ictv.global/taxonomy/taxondetails?taxnode_id=202304759","ictv.global=202304759")</f>
        <v>ictv.global=202304759</v>
      </c>
    </row>
    <row r="13858" spans="1:21">
      <c r="A13858">
        <v>13857</v>
      </c>
      <c r="B13858" s="30" t="s">
        <v>2145</v>
      </c>
      <c r="D13858" s="30" t="s">
        <v>2146</v>
      </c>
      <c r="F13858" s="30" t="s">
        <v>2147</v>
      </c>
      <c r="H13858" s="30" t="s">
        <v>2152</v>
      </c>
      <c r="J13858" s="30" t="s">
        <v>2154</v>
      </c>
      <c r="L13858" s="30" t="s">
        <v>494</v>
      </c>
      <c r="M13858" s="30" t="s">
        <v>495</v>
      </c>
      <c r="N13858" s="30" t="s">
        <v>164</v>
      </c>
      <c r="P13858" s="30" t="s">
        <v>18582</v>
      </c>
      <c r="Q13858" t="s">
        <v>619</v>
      </c>
      <c r="R13858" t="s">
        <v>920</v>
      </c>
      <c r="S13858">
        <v>39</v>
      </c>
      <c r="T13858" s="29" t="str">
        <f t="shared" si="579"/>
        <v>2023.017D.Poxviridae_55renam.zip</v>
      </c>
      <c r="U13858" s="29" t="str">
        <f>HYPERLINK("https://ictv.global/taxonomy/taxondetails?taxnode_id=202304762","ictv.global=202304762")</f>
        <v>ictv.global=202304762</v>
      </c>
    </row>
    <row r="13859" spans="1:21">
      <c r="A13859">
        <v>13858</v>
      </c>
      <c r="B13859" s="30" t="s">
        <v>2145</v>
      </c>
      <c r="D13859" s="30" t="s">
        <v>2146</v>
      </c>
      <c r="F13859" s="30" t="s">
        <v>2147</v>
      </c>
      <c r="H13859" s="30" t="s">
        <v>2152</v>
      </c>
      <c r="J13859" s="30" t="s">
        <v>2154</v>
      </c>
      <c r="L13859" s="30" t="s">
        <v>494</v>
      </c>
      <c r="M13859" s="30" t="s">
        <v>495</v>
      </c>
      <c r="N13859" s="30" t="s">
        <v>164</v>
      </c>
      <c r="P13859" s="30" t="s">
        <v>18583</v>
      </c>
      <c r="Q13859" t="s">
        <v>619</v>
      </c>
      <c r="R13859" t="s">
        <v>920</v>
      </c>
      <c r="S13859">
        <v>39</v>
      </c>
      <c r="T13859" s="29" t="str">
        <f t="shared" si="579"/>
        <v>2023.017D.Poxviridae_55renam.zip</v>
      </c>
      <c r="U13859" s="29" t="str">
        <f>HYPERLINK("https://ictv.global/taxonomy/taxondetails?taxnode_id=202304763","ictv.global=202304763")</f>
        <v>ictv.global=202304763</v>
      </c>
    </row>
    <row r="13860" spans="1:21">
      <c r="A13860">
        <v>13859</v>
      </c>
      <c r="B13860" s="30" t="s">
        <v>2145</v>
      </c>
      <c r="D13860" s="30" t="s">
        <v>2146</v>
      </c>
      <c r="F13860" s="30" t="s">
        <v>2147</v>
      </c>
      <c r="H13860" s="30" t="s">
        <v>2152</v>
      </c>
      <c r="J13860" s="30" t="s">
        <v>2154</v>
      </c>
      <c r="L13860" s="30" t="s">
        <v>494</v>
      </c>
      <c r="M13860" s="30" t="s">
        <v>495</v>
      </c>
      <c r="N13860" s="30" t="s">
        <v>164</v>
      </c>
      <c r="P13860" s="30" t="s">
        <v>18584</v>
      </c>
      <c r="Q13860" t="s">
        <v>619</v>
      </c>
      <c r="R13860" t="s">
        <v>920</v>
      </c>
      <c r="S13860">
        <v>39</v>
      </c>
      <c r="T13860" s="29" t="str">
        <f t="shared" si="579"/>
        <v>2023.017D.Poxviridae_55renam.zip</v>
      </c>
      <c r="U13860" s="29" t="str">
        <f>HYPERLINK("https://ictv.global/taxonomy/taxondetails?taxnode_id=202304764","ictv.global=202304764")</f>
        <v>ictv.global=202304764</v>
      </c>
    </row>
    <row r="13861" spans="1:21">
      <c r="A13861">
        <v>13860</v>
      </c>
      <c r="B13861" s="30" t="s">
        <v>2145</v>
      </c>
      <c r="D13861" s="30" t="s">
        <v>2146</v>
      </c>
      <c r="F13861" s="30" t="s">
        <v>2147</v>
      </c>
      <c r="H13861" s="30" t="s">
        <v>2152</v>
      </c>
      <c r="J13861" s="30" t="s">
        <v>2154</v>
      </c>
      <c r="L13861" s="30" t="s">
        <v>494</v>
      </c>
      <c r="M13861" s="30" t="s">
        <v>495</v>
      </c>
      <c r="N13861" s="30" t="s">
        <v>2155</v>
      </c>
      <c r="P13861" s="30" t="s">
        <v>18585</v>
      </c>
      <c r="Q13861" t="s">
        <v>619</v>
      </c>
      <c r="R13861" t="s">
        <v>920</v>
      </c>
      <c r="S13861">
        <v>39</v>
      </c>
      <c r="T13861" s="29" t="str">
        <f t="shared" si="579"/>
        <v>2023.017D.Poxviridae_55renam.zip</v>
      </c>
      <c r="U13861" s="29" t="str">
        <f>HYPERLINK("https://ictv.global/taxonomy/taxondetails?taxnode_id=202307146","ictv.global=202307146")</f>
        <v>ictv.global=202307146</v>
      </c>
    </row>
    <row r="13862" spans="1:21">
      <c r="A13862">
        <v>13861</v>
      </c>
      <c r="B13862" s="30" t="s">
        <v>2145</v>
      </c>
      <c r="D13862" s="30" t="s">
        <v>2146</v>
      </c>
      <c r="F13862" s="30" t="s">
        <v>2147</v>
      </c>
      <c r="H13862" s="30" t="s">
        <v>2152</v>
      </c>
      <c r="J13862" s="30" t="s">
        <v>2154</v>
      </c>
      <c r="L13862" s="30" t="s">
        <v>494</v>
      </c>
      <c r="M13862" s="30" t="s">
        <v>495</v>
      </c>
      <c r="N13862" s="30" t="s">
        <v>2155</v>
      </c>
      <c r="P13862" s="30" t="s">
        <v>18586</v>
      </c>
      <c r="Q13862" t="s">
        <v>619</v>
      </c>
      <c r="R13862" t="s">
        <v>920</v>
      </c>
      <c r="S13862">
        <v>39</v>
      </c>
      <c r="T13862" s="29" t="str">
        <f t="shared" si="579"/>
        <v>2023.017D.Poxviridae_55renam.zip</v>
      </c>
      <c r="U13862" s="29" t="str">
        <f>HYPERLINK("https://ictv.global/taxonomy/taxondetails?taxnode_id=202307145","ictv.global=202307145")</f>
        <v>ictv.global=202307145</v>
      </c>
    </row>
    <row r="13863" spans="1:21">
      <c r="A13863">
        <v>13862</v>
      </c>
      <c r="B13863" s="30" t="s">
        <v>2145</v>
      </c>
      <c r="D13863" s="30" t="s">
        <v>2146</v>
      </c>
      <c r="F13863" s="30" t="s">
        <v>2147</v>
      </c>
      <c r="H13863" s="30" t="s">
        <v>2152</v>
      </c>
      <c r="J13863" s="30" t="s">
        <v>2154</v>
      </c>
      <c r="L13863" s="30" t="s">
        <v>494</v>
      </c>
      <c r="M13863" s="30" t="s">
        <v>495</v>
      </c>
      <c r="N13863" s="30" t="s">
        <v>163</v>
      </c>
      <c r="P13863" s="30" t="s">
        <v>18587</v>
      </c>
      <c r="Q13863" t="s">
        <v>619</v>
      </c>
      <c r="R13863" t="s">
        <v>920</v>
      </c>
      <c r="S13863">
        <v>39</v>
      </c>
      <c r="T13863" s="29" t="str">
        <f t="shared" si="579"/>
        <v>2023.017D.Poxviridae_55renam.zip</v>
      </c>
      <c r="U13863" s="29" t="str">
        <f>HYPERLINK("https://ictv.global/taxonomy/taxondetails?taxnode_id=202304766","ictv.global=202304766")</f>
        <v>ictv.global=202304766</v>
      </c>
    </row>
    <row r="13864" spans="1:21">
      <c r="A13864">
        <v>13863</v>
      </c>
      <c r="B13864" s="30" t="s">
        <v>2145</v>
      </c>
      <c r="D13864" s="30" t="s">
        <v>2146</v>
      </c>
      <c r="F13864" s="30" t="s">
        <v>2147</v>
      </c>
      <c r="H13864" s="30" t="s">
        <v>2152</v>
      </c>
      <c r="J13864" s="30" t="s">
        <v>2154</v>
      </c>
      <c r="L13864" s="30" t="s">
        <v>494</v>
      </c>
      <c r="M13864" s="30" t="s">
        <v>495</v>
      </c>
      <c r="N13864" s="30" t="s">
        <v>2156</v>
      </c>
      <c r="P13864" s="30" t="s">
        <v>18588</v>
      </c>
      <c r="Q13864" t="s">
        <v>619</v>
      </c>
      <c r="R13864" t="s">
        <v>920</v>
      </c>
      <c r="S13864">
        <v>39</v>
      </c>
      <c r="T13864" s="29" t="str">
        <f t="shared" si="579"/>
        <v>2023.017D.Poxviridae_55renam.zip</v>
      </c>
      <c r="U13864" s="29" t="str">
        <f>HYPERLINK("https://ictv.global/taxonomy/taxondetails?taxnode_id=202307148","ictv.global=202307148")</f>
        <v>ictv.global=202307148</v>
      </c>
    </row>
    <row r="13865" spans="1:21">
      <c r="A13865">
        <v>13864</v>
      </c>
      <c r="B13865" s="30" t="s">
        <v>2145</v>
      </c>
      <c r="D13865" s="30" t="s">
        <v>2146</v>
      </c>
      <c r="F13865" s="30" t="s">
        <v>2147</v>
      </c>
      <c r="H13865" s="30" t="s">
        <v>2152</v>
      </c>
      <c r="J13865" s="30" t="s">
        <v>2154</v>
      </c>
      <c r="L13865" s="30" t="s">
        <v>494</v>
      </c>
      <c r="M13865" s="30" t="s">
        <v>495</v>
      </c>
      <c r="N13865" s="30" t="s">
        <v>322</v>
      </c>
      <c r="P13865" s="30" t="s">
        <v>18589</v>
      </c>
      <c r="Q13865" t="s">
        <v>619</v>
      </c>
      <c r="R13865" t="s">
        <v>920</v>
      </c>
      <c r="S13865">
        <v>39</v>
      </c>
      <c r="T13865" s="29" t="str">
        <f t="shared" si="579"/>
        <v>2023.017D.Poxviridae_55renam.zip</v>
      </c>
      <c r="U13865" s="29" t="str">
        <f>HYPERLINK("https://ictv.global/taxonomy/taxondetails?taxnode_id=202307149","ictv.global=202307149")</f>
        <v>ictv.global=202307149</v>
      </c>
    </row>
    <row r="13866" spans="1:21">
      <c r="A13866">
        <v>13865</v>
      </c>
      <c r="B13866" s="30" t="s">
        <v>2145</v>
      </c>
      <c r="D13866" s="30" t="s">
        <v>2146</v>
      </c>
      <c r="F13866" s="30" t="s">
        <v>2147</v>
      </c>
      <c r="H13866" s="30" t="s">
        <v>2152</v>
      </c>
      <c r="J13866" s="30" t="s">
        <v>2154</v>
      </c>
      <c r="L13866" s="30" t="s">
        <v>494</v>
      </c>
      <c r="M13866" s="30" t="s">
        <v>495</v>
      </c>
      <c r="N13866" s="30" t="s">
        <v>322</v>
      </c>
      <c r="P13866" s="30" t="s">
        <v>18590</v>
      </c>
      <c r="Q13866" t="s">
        <v>619</v>
      </c>
      <c r="R13866" t="s">
        <v>920</v>
      </c>
      <c r="S13866">
        <v>39</v>
      </c>
      <c r="T13866" s="29" t="str">
        <f t="shared" si="579"/>
        <v>2023.017D.Poxviridae_55renam.zip</v>
      </c>
      <c r="U13866" s="29" t="str">
        <f>HYPERLINK("https://ictv.global/taxonomy/taxondetails?taxnode_id=202307150","ictv.global=202307150")</f>
        <v>ictv.global=202307150</v>
      </c>
    </row>
    <row r="13867" spans="1:21">
      <c r="A13867">
        <v>13866</v>
      </c>
      <c r="B13867" s="30" t="s">
        <v>2145</v>
      </c>
      <c r="D13867" s="30" t="s">
        <v>2146</v>
      </c>
      <c r="F13867" s="30" t="s">
        <v>2147</v>
      </c>
      <c r="H13867" s="30" t="s">
        <v>2152</v>
      </c>
      <c r="J13867" s="30" t="s">
        <v>2154</v>
      </c>
      <c r="L13867" s="30" t="s">
        <v>494</v>
      </c>
      <c r="M13867" s="30" t="s">
        <v>495</v>
      </c>
      <c r="N13867" s="30" t="s">
        <v>322</v>
      </c>
      <c r="P13867" s="30" t="s">
        <v>18591</v>
      </c>
      <c r="Q13867" t="s">
        <v>619</v>
      </c>
      <c r="R13867" t="s">
        <v>920</v>
      </c>
      <c r="S13867">
        <v>39</v>
      </c>
      <c r="T13867" s="29" t="str">
        <f t="shared" si="579"/>
        <v>2023.017D.Poxviridae_55renam.zip</v>
      </c>
      <c r="U13867" s="29" t="str">
        <f>HYPERLINK("https://ictv.global/taxonomy/taxondetails?taxnode_id=202304768","ictv.global=202304768")</f>
        <v>ictv.global=202304768</v>
      </c>
    </row>
    <row r="13868" spans="1:21">
      <c r="A13868">
        <v>13867</v>
      </c>
      <c r="B13868" s="30" t="s">
        <v>2145</v>
      </c>
      <c r="D13868" s="30" t="s">
        <v>2146</v>
      </c>
      <c r="F13868" s="30" t="s">
        <v>2147</v>
      </c>
      <c r="H13868" s="30" t="s">
        <v>2152</v>
      </c>
      <c r="J13868" s="30" t="s">
        <v>2154</v>
      </c>
      <c r="L13868" s="30" t="s">
        <v>494</v>
      </c>
      <c r="M13868" s="30" t="s">
        <v>495</v>
      </c>
      <c r="N13868" s="30" t="s">
        <v>322</v>
      </c>
      <c r="P13868" s="30" t="s">
        <v>18592</v>
      </c>
      <c r="Q13868" t="s">
        <v>619</v>
      </c>
      <c r="R13868" t="s">
        <v>920</v>
      </c>
      <c r="S13868">
        <v>39</v>
      </c>
      <c r="T13868" s="29" t="str">
        <f t="shared" si="579"/>
        <v>2023.017D.Poxviridae_55renam.zip</v>
      </c>
      <c r="U13868" s="29" t="str">
        <f>HYPERLINK("https://ictv.global/taxonomy/taxondetails?taxnode_id=202304769","ictv.global=202304769")</f>
        <v>ictv.global=202304769</v>
      </c>
    </row>
    <row r="13869" spans="1:21">
      <c r="A13869">
        <v>13868</v>
      </c>
      <c r="B13869" s="30" t="s">
        <v>2145</v>
      </c>
      <c r="D13869" s="30" t="s">
        <v>2146</v>
      </c>
      <c r="F13869" s="30" t="s">
        <v>2147</v>
      </c>
      <c r="H13869" s="30" t="s">
        <v>2152</v>
      </c>
      <c r="J13869" s="30" t="s">
        <v>2154</v>
      </c>
      <c r="L13869" s="30" t="s">
        <v>494</v>
      </c>
      <c r="M13869" s="30" t="s">
        <v>495</v>
      </c>
      <c r="N13869" s="30" t="s">
        <v>322</v>
      </c>
      <c r="P13869" s="30" t="s">
        <v>18593</v>
      </c>
      <c r="Q13869" t="s">
        <v>619</v>
      </c>
      <c r="R13869" t="s">
        <v>920</v>
      </c>
      <c r="S13869">
        <v>39</v>
      </c>
      <c r="T13869" s="29" t="str">
        <f t="shared" si="579"/>
        <v>2023.017D.Poxviridae_55renam.zip</v>
      </c>
      <c r="U13869" s="29" t="str">
        <f>HYPERLINK("https://ictv.global/taxonomy/taxondetails?taxnode_id=202304770","ictv.global=202304770")</f>
        <v>ictv.global=202304770</v>
      </c>
    </row>
    <row r="13870" spans="1:21">
      <c r="A13870">
        <v>13869</v>
      </c>
      <c r="B13870" s="30" t="s">
        <v>2145</v>
      </c>
      <c r="D13870" s="30" t="s">
        <v>2146</v>
      </c>
      <c r="F13870" s="30" t="s">
        <v>2147</v>
      </c>
      <c r="H13870" s="30" t="s">
        <v>2152</v>
      </c>
      <c r="J13870" s="30" t="s">
        <v>2154</v>
      </c>
      <c r="L13870" s="30" t="s">
        <v>494</v>
      </c>
      <c r="M13870" s="30" t="s">
        <v>495</v>
      </c>
      <c r="N13870" s="30" t="s">
        <v>322</v>
      </c>
      <c r="P13870" s="30" t="s">
        <v>18594</v>
      </c>
      <c r="Q13870" t="s">
        <v>619</v>
      </c>
      <c r="R13870" t="s">
        <v>920</v>
      </c>
      <c r="S13870">
        <v>39</v>
      </c>
      <c r="T13870" s="29" t="str">
        <f t="shared" si="579"/>
        <v>2023.017D.Poxviridae_55renam.zip</v>
      </c>
      <c r="U13870" s="29" t="str">
        <f>HYPERLINK("https://ictv.global/taxonomy/taxondetails?taxnode_id=202304771","ictv.global=202304771")</f>
        <v>ictv.global=202304771</v>
      </c>
    </row>
    <row r="13871" spans="1:21">
      <c r="A13871">
        <v>13870</v>
      </c>
      <c r="B13871" s="30" t="s">
        <v>2145</v>
      </c>
      <c r="D13871" s="30" t="s">
        <v>2146</v>
      </c>
      <c r="F13871" s="30" t="s">
        <v>2147</v>
      </c>
      <c r="H13871" s="30" t="s">
        <v>2152</v>
      </c>
      <c r="J13871" s="30" t="s">
        <v>2154</v>
      </c>
      <c r="L13871" s="30" t="s">
        <v>494</v>
      </c>
      <c r="M13871" s="30" t="s">
        <v>495</v>
      </c>
      <c r="N13871" s="30" t="s">
        <v>322</v>
      </c>
      <c r="P13871" s="30" t="s">
        <v>18595</v>
      </c>
      <c r="Q13871" t="s">
        <v>619</v>
      </c>
      <c r="R13871" t="s">
        <v>920</v>
      </c>
      <c r="S13871">
        <v>39</v>
      </c>
      <c r="T13871" s="29" t="str">
        <f t="shared" si="579"/>
        <v>2023.017D.Poxviridae_55renam.zip</v>
      </c>
      <c r="U13871" s="29" t="str">
        <f>HYPERLINK("https://ictv.global/taxonomy/taxondetails?taxnode_id=202304772","ictv.global=202304772")</f>
        <v>ictv.global=202304772</v>
      </c>
    </row>
    <row r="13872" spans="1:21">
      <c r="A13872">
        <v>13871</v>
      </c>
      <c r="B13872" s="30" t="s">
        <v>2145</v>
      </c>
      <c r="D13872" s="30" t="s">
        <v>2146</v>
      </c>
      <c r="F13872" s="30" t="s">
        <v>2147</v>
      </c>
      <c r="H13872" s="30" t="s">
        <v>2152</v>
      </c>
      <c r="J13872" s="30" t="s">
        <v>2154</v>
      </c>
      <c r="L13872" s="30" t="s">
        <v>494</v>
      </c>
      <c r="M13872" s="30" t="s">
        <v>495</v>
      </c>
      <c r="N13872" s="30" t="s">
        <v>322</v>
      </c>
      <c r="P13872" s="30" t="s">
        <v>18596</v>
      </c>
      <c r="Q13872" t="s">
        <v>619</v>
      </c>
      <c r="R13872" t="s">
        <v>920</v>
      </c>
      <c r="S13872">
        <v>39</v>
      </c>
      <c r="T13872" s="29" t="str">
        <f t="shared" si="579"/>
        <v>2023.017D.Poxviridae_55renam.zip</v>
      </c>
      <c r="U13872" s="29" t="str">
        <f>HYPERLINK("https://ictv.global/taxonomy/taxondetails?taxnode_id=202304773","ictv.global=202304773")</f>
        <v>ictv.global=202304773</v>
      </c>
    </row>
    <row r="13873" spans="1:21">
      <c r="A13873">
        <v>13872</v>
      </c>
      <c r="B13873" s="30" t="s">
        <v>2145</v>
      </c>
      <c r="D13873" s="30" t="s">
        <v>2146</v>
      </c>
      <c r="F13873" s="30" t="s">
        <v>2147</v>
      </c>
      <c r="H13873" s="30" t="s">
        <v>2152</v>
      </c>
      <c r="J13873" s="30" t="s">
        <v>2154</v>
      </c>
      <c r="L13873" s="30" t="s">
        <v>494</v>
      </c>
      <c r="M13873" s="30" t="s">
        <v>495</v>
      </c>
      <c r="N13873" s="30" t="s">
        <v>322</v>
      </c>
      <c r="P13873" s="30" t="s">
        <v>18597</v>
      </c>
      <c r="Q13873" t="s">
        <v>619</v>
      </c>
      <c r="R13873" t="s">
        <v>920</v>
      </c>
      <c r="S13873">
        <v>39</v>
      </c>
      <c r="T13873" s="29" t="str">
        <f t="shared" si="579"/>
        <v>2023.017D.Poxviridae_55renam.zip</v>
      </c>
      <c r="U13873" s="29" t="str">
        <f>HYPERLINK("https://ictv.global/taxonomy/taxondetails?taxnode_id=202304774","ictv.global=202304774")</f>
        <v>ictv.global=202304774</v>
      </c>
    </row>
    <row r="13874" spans="1:21">
      <c r="A13874">
        <v>13873</v>
      </c>
      <c r="B13874" s="30" t="s">
        <v>2145</v>
      </c>
      <c r="D13874" s="30" t="s">
        <v>2146</v>
      </c>
      <c r="F13874" s="30" t="s">
        <v>2147</v>
      </c>
      <c r="H13874" s="30" t="s">
        <v>2152</v>
      </c>
      <c r="J13874" s="30" t="s">
        <v>2154</v>
      </c>
      <c r="L13874" s="30" t="s">
        <v>494</v>
      </c>
      <c r="M13874" s="30" t="s">
        <v>495</v>
      </c>
      <c r="N13874" s="30" t="s">
        <v>322</v>
      </c>
      <c r="P13874" s="30" t="s">
        <v>18598</v>
      </c>
      <c r="Q13874" t="s">
        <v>619</v>
      </c>
      <c r="R13874" t="s">
        <v>920</v>
      </c>
      <c r="S13874">
        <v>39</v>
      </c>
      <c r="T13874" s="29" t="str">
        <f t="shared" si="579"/>
        <v>2023.017D.Poxviridae_55renam.zip</v>
      </c>
      <c r="U13874" s="29" t="str">
        <f>HYPERLINK("https://ictv.global/taxonomy/taxondetails?taxnode_id=202304775","ictv.global=202304775")</f>
        <v>ictv.global=202304775</v>
      </c>
    </row>
    <row r="13875" spans="1:21">
      <c r="A13875">
        <v>13874</v>
      </c>
      <c r="B13875" s="30" t="s">
        <v>2145</v>
      </c>
      <c r="D13875" s="30" t="s">
        <v>2146</v>
      </c>
      <c r="F13875" s="30" t="s">
        <v>2147</v>
      </c>
      <c r="H13875" s="30" t="s">
        <v>2152</v>
      </c>
      <c r="J13875" s="30" t="s">
        <v>2154</v>
      </c>
      <c r="L13875" s="30" t="s">
        <v>494</v>
      </c>
      <c r="M13875" s="30" t="s">
        <v>495</v>
      </c>
      <c r="N13875" s="30" t="s">
        <v>322</v>
      </c>
      <c r="P13875" s="30" t="s">
        <v>18599</v>
      </c>
      <c r="Q13875" t="s">
        <v>619</v>
      </c>
      <c r="R13875" t="s">
        <v>920</v>
      </c>
      <c r="S13875">
        <v>39</v>
      </c>
      <c r="T13875" s="29" t="str">
        <f t="shared" si="579"/>
        <v>2023.017D.Poxviridae_55renam.zip</v>
      </c>
      <c r="U13875" s="29" t="str">
        <f>HYPERLINK("https://ictv.global/taxonomy/taxondetails?taxnode_id=202304776","ictv.global=202304776")</f>
        <v>ictv.global=202304776</v>
      </c>
    </row>
    <row r="13876" spans="1:21">
      <c r="A13876">
        <v>13875</v>
      </c>
      <c r="B13876" s="30" t="s">
        <v>2145</v>
      </c>
      <c r="D13876" s="30" t="s">
        <v>2146</v>
      </c>
      <c r="F13876" s="30" t="s">
        <v>2147</v>
      </c>
      <c r="H13876" s="30" t="s">
        <v>2152</v>
      </c>
      <c r="J13876" s="30" t="s">
        <v>2154</v>
      </c>
      <c r="L13876" s="30" t="s">
        <v>494</v>
      </c>
      <c r="M13876" s="30" t="s">
        <v>495</v>
      </c>
      <c r="N13876" s="30" t="s">
        <v>322</v>
      </c>
      <c r="P13876" s="30" t="s">
        <v>18600</v>
      </c>
      <c r="Q13876" t="s">
        <v>619</v>
      </c>
      <c r="R13876" t="s">
        <v>920</v>
      </c>
      <c r="S13876">
        <v>39</v>
      </c>
      <c r="T13876" s="29" t="str">
        <f t="shared" ref="T13876:T13898" si="580">HYPERLINK("https://ictv.global/ictv/proposals/2023.017D.Poxviridae_55renam.zip","2023.017D.Poxviridae_55renam.zip")</f>
        <v>2023.017D.Poxviridae_55renam.zip</v>
      </c>
      <c r="U13876" s="29" t="str">
        <f>HYPERLINK("https://ictv.global/taxonomy/taxondetails?taxnode_id=202304777","ictv.global=202304777")</f>
        <v>ictv.global=202304777</v>
      </c>
    </row>
    <row r="13877" spans="1:21">
      <c r="A13877">
        <v>13876</v>
      </c>
      <c r="B13877" s="30" t="s">
        <v>2145</v>
      </c>
      <c r="D13877" s="30" t="s">
        <v>2146</v>
      </c>
      <c r="F13877" s="30" t="s">
        <v>2147</v>
      </c>
      <c r="H13877" s="30" t="s">
        <v>2152</v>
      </c>
      <c r="J13877" s="30" t="s">
        <v>2154</v>
      </c>
      <c r="L13877" s="30" t="s">
        <v>494</v>
      </c>
      <c r="M13877" s="30" t="s">
        <v>495</v>
      </c>
      <c r="N13877" s="30" t="s">
        <v>2157</v>
      </c>
      <c r="P13877" s="30" t="s">
        <v>18601</v>
      </c>
      <c r="Q13877" t="s">
        <v>619</v>
      </c>
      <c r="R13877" t="s">
        <v>920</v>
      </c>
      <c r="S13877">
        <v>39</v>
      </c>
      <c r="T13877" s="29" t="str">
        <f t="shared" si="580"/>
        <v>2023.017D.Poxviridae_55renam.zip</v>
      </c>
      <c r="U13877" s="29" t="str">
        <f>HYPERLINK("https://ictv.global/taxonomy/taxondetails?taxnode_id=202307152","ictv.global=202307152")</f>
        <v>ictv.global=202307152</v>
      </c>
    </row>
    <row r="13878" spans="1:21">
      <c r="A13878">
        <v>13877</v>
      </c>
      <c r="B13878" s="30" t="s">
        <v>2145</v>
      </c>
      <c r="D13878" s="30" t="s">
        <v>2146</v>
      </c>
      <c r="F13878" s="30" t="s">
        <v>2147</v>
      </c>
      <c r="H13878" s="30" t="s">
        <v>2152</v>
      </c>
      <c r="J13878" s="30" t="s">
        <v>2154</v>
      </c>
      <c r="L13878" s="30" t="s">
        <v>494</v>
      </c>
      <c r="M13878" s="30" t="s">
        <v>495</v>
      </c>
      <c r="N13878" s="30" t="s">
        <v>323</v>
      </c>
      <c r="P13878" s="30" t="s">
        <v>18602</v>
      </c>
      <c r="Q13878" t="s">
        <v>619</v>
      </c>
      <c r="R13878" t="s">
        <v>920</v>
      </c>
      <c r="S13878">
        <v>39</v>
      </c>
      <c r="T13878" s="29" t="str">
        <f t="shared" si="580"/>
        <v>2023.017D.Poxviridae_55renam.zip</v>
      </c>
      <c r="U13878" s="29" t="str">
        <f>HYPERLINK("https://ictv.global/taxonomy/taxondetails?taxnode_id=202304779","ictv.global=202304779")</f>
        <v>ictv.global=202304779</v>
      </c>
    </row>
    <row r="13879" spans="1:21">
      <c r="A13879">
        <v>13878</v>
      </c>
      <c r="B13879" s="30" t="s">
        <v>2145</v>
      </c>
      <c r="D13879" s="30" t="s">
        <v>2146</v>
      </c>
      <c r="F13879" s="30" t="s">
        <v>2147</v>
      </c>
      <c r="H13879" s="30" t="s">
        <v>2152</v>
      </c>
      <c r="J13879" s="30" t="s">
        <v>2154</v>
      </c>
      <c r="L13879" s="30" t="s">
        <v>494</v>
      </c>
      <c r="M13879" s="30" t="s">
        <v>495</v>
      </c>
      <c r="N13879" s="30" t="s">
        <v>323</v>
      </c>
      <c r="P13879" s="30" t="s">
        <v>18603</v>
      </c>
      <c r="Q13879" t="s">
        <v>619</v>
      </c>
      <c r="R13879" t="s">
        <v>920</v>
      </c>
      <c r="S13879">
        <v>39</v>
      </c>
      <c r="T13879" s="29" t="str">
        <f t="shared" si="580"/>
        <v>2023.017D.Poxviridae_55renam.zip</v>
      </c>
      <c r="U13879" s="29" t="str">
        <f>HYPERLINK("https://ictv.global/taxonomy/taxondetails?taxnode_id=202304780","ictv.global=202304780")</f>
        <v>ictv.global=202304780</v>
      </c>
    </row>
    <row r="13880" spans="1:21">
      <c r="A13880">
        <v>13879</v>
      </c>
      <c r="B13880" s="30" t="s">
        <v>2145</v>
      </c>
      <c r="D13880" s="30" t="s">
        <v>2146</v>
      </c>
      <c r="F13880" s="30" t="s">
        <v>2147</v>
      </c>
      <c r="H13880" s="30" t="s">
        <v>2152</v>
      </c>
      <c r="J13880" s="30" t="s">
        <v>2154</v>
      </c>
      <c r="L13880" s="30" t="s">
        <v>494</v>
      </c>
      <c r="M13880" s="30" t="s">
        <v>495</v>
      </c>
      <c r="N13880" s="30" t="s">
        <v>323</v>
      </c>
      <c r="P13880" s="30" t="s">
        <v>18604</v>
      </c>
      <c r="Q13880" t="s">
        <v>619</v>
      </c>
      <c r="R13880" t="s">
        <v>920</v>
      </c>
      <c r="S13880">
        <v>39</v>
      </c>
      <c r="T13880" s="29" t="str">
        <f t="shared" si="580"/>
        <v>2023.017D.Poxviridae_55renam.zip</v>
      </c>
      <c r="U13880" s="29" t="str">
        <f>HYPERLINK("https://ictv.global/taxonomy/taxondetails?taxnode_id=202304782","ictv.global=202304782")</f>
        <v>ictv.global=202304782</v>
      </c>
    </row>
    <row r="13881" spans="1:21">
      <c r="A13881">
        <v>13880</v>
      </c>
      <c r="B13881" s="30" t="s">
        <v>2145</v>
      </c>
      <c r="D13881" s="30" t="s">
        <v>2146</v>
      </c>
      <c r="F13881" s="30" t="s">
        <v>2147</v>
      </c>
      <c r="H13881" s="30" t="s">
        <v>2152</v>
      </c>
      <c r="J13881" s="30" t="s">
        <v>2154</v>
      </c>
      <c r="L13881" s="30" t="s">
        <v>494</v>
      </c>
      <c r="M13881" s="30" t="s">
        <v>495</v>
      </c>
      <c r="N13881" s="30" t="s">
        <v>323</v>
      </c>
      <c r="P13881" s="30" t="s">
        <v>18605</v>
      </c>
      <c r="Q13881" t="s">
        <v>619</v>
      </c>
      <c r="R13881" t="s">
        <v>920</v>
      </c>
      <c r="S13881">
        <v>39</v>
      </c>
      <c r="T13881" s="29" t="str">
        <f t="shared" si="580"/>
        <v>2023.017D.Poxviridae_55renam.zip</v>
      </c>
      <c r="U13881" s="29" t="str">
        <f>HYPERLINK("https://ictv.global/taxonomy/taxondetails?taxnode_id=202304781","ictv.global=202304781")</f>
        <v>ictv.global=202304781</v>
      </c>
    </row>
    <row r="13882" spans="1:21">
      <c r="A13882">
        <v>13881</v>
      </c>
      <c r="B13882" s="30" t="s">
        <v>2145</v>
      </c>
      <c r="D13882" s="30" t="s">
        <v>2146</v>
      </c>
      <c r="F13882" s="30" t="s">
        <v>2147</v>
      </c>
      <c r="H13882" s="30" t="s">
        <v>2152</v>
      </c>
      <c r="J13882" s="30" t="s">
        <v>2154</v>
      </c>
      <c r="L13882" s="30" t="s">
        <v>494</v>
      </c>
      <c r="M13882" s="30" t="s">
        <v>495</v>
      </c>
      <c r="N13882" s="30" t="s">
        <v>323</v>
      </c>
      <c r="P13882" s="30" t="s">
        <v>18606</v>
      </c>
      <c r="Q13882" t="s">
        <v>619</v>
      </c>
      <c r="R13882" t="s">
        <v>920</v>
      </c>
      <c r="S13882">
        <v>39</v>
      </c>
      <c r="T13882" s="29" t="str">
        <f t="shared" si="580"/>
        <v>2023.017D.Poxviridae_55renam.zip</v>
      </c>
      <c r="U13882" s="29" t="str">
        <f>HYPERLINK("https://ictv.global/taxonomy/taxondetails?taxnode_id=202307153","ictv.global=202307153")</f>
        <v>ictv.global=202307153</v>
      </c>
    </row>
    <row r="13883" spans="1:21">
      <c r="A13883">
        <v>13882</v>
      </c>
      <c r="B13883" s="30" t="s">
        <v>2145</v>
      </c>
      <c r="D13883" s="30" t="s">
        <v>2146</v>
      </c>
      <c r="F13883" s="30" t="s">
        <v>2147</v>
      </c>
      <c r="H13883" s="30" t="s">
        <v>2152</v>
      </c>
      <c r="J13883" s="30" t="s">
        <v>2154</v>
      </c>
      <c r="L13883" s="30" t="s">
        <v>494</v>
      </c>
      <c r="M13883" s="30" t="s">
        <v>495</v>
      </c>
      <c r="N13883" s="30" t="s">
        <v>2158</v>
      </c>
      <c r="P13883" s="30" t="s">
        <v>18607</v>
      </c>
      <c r="Q13883" t="s">
        <v>619</v>
      </c>
      <c r="R13883" t="s">
        <v>920</v>
      </c>
      <c r="S13883">
        <v>39</v>
      </c>
      <c r="T13883" s="29" t="str">
        <f t="shared" si="580"/>
        <v>2023.017D.Poxviridae_55renam.zip</v>
      </c>
      <c r="U13883" s="29" t="str">
        <f>HYPERLINK("https://ictv.global/taxonomy/taxondetails?taxnode_id=202304786","ictv.global=202304786")</f>
        <v>ictv.global=202304786</v>
      </c>
    </row>
    <row r="13884" spans="1:21">
      <c r="A13884">
        <v>13883</v>
      </c>
      <c r="B13884" s="30" t="s">
        <v>2145</v>
      </c>
      <c r="D13884" s="30" t="s">
        <v>2146</v>
      </c>
      <c r="F13884" s="30" t="s">
        <v>2147</v>
      </c>
      <c r="H13884" s="30" t="s">
        <v>2152</v>
      </c>
      <c r="J13884" s="30" t="s">
        <v>2154</v>
      </c>
      <c r="L13884" s="30" t="s">
        <v>494</v>
      </c>
      <c r="M13884" s="30" t="s">
        <v>495</v>
      </c>
      <c r="N13884" s="30" t="s">
        <v>2159</v>
      </c>
      <c r="P13884" s="30" t="s">
        <v>18608</v>
      </c>
      <c r="Q13884" t="s">
        <v>619</v>
      </c>
      <c r="R13884" t="s">
        <v>920</v>
      </c>
      <c r="S13884">
        <v>39</v>
      </c>
      <c r="T13884" s="29" t="str">
        <f t="shared" si="580"/>
        <v>2023.017D.Poxviridae_55renam.zip</v>
      </c>
      <c r="U13884" s="29" t="str">
        <f>HYPERLINK("https://ictv.global/taxonomy/taxondetails?taxnode_id=202307156","ictv.global=202307156")</f>
        <v>ictv.global=202307156</v>
      </c>
    </row>
    <row r="13885" spans="1:21">
      <c r="A13885">
        <v>13884</v>
      </c>
      <c r="B13885" s="30" t="s">
        <v>2145</v>
      </c>
      <c r="D13885" s="30" t="s">
        <v>2146</v>
      </c>
      <c r="F13885" s="30" t="s">
        <v>2147</v>
      </c>
      <c r="H13885" s="30" t="s">
        <v>2152</v>
      </c>
      <c r="J13885" s="30" t="s">
        <v>2154</v>
      </c>
      <c r="L13885" s="30" t="s">
        <v>494</v>
      </c>
      <c r="M13885" s="30" t="s">
        <v>495</v>
      </c>
      <c r="N13885" s="30" t="s">
        <v>2160</v>
      </c>
      <c r="P13885" s="30" t="s">
        <v>18609</v>
      </c>
      <c r="Q13885" t="s">
        <v>619</v>
      </c>
      <c r="R13885" t="s">
        <v>920</v>
      </c>
      <c r="S13885">
        <v>39</v>
      </c>
      <c r="T13885" s="29" t="str">
        <f t="shared" si="580"/>
        <v>2023.017D.Poxviridae_55renam.zip</v>
      </c>
      <c r="U13885" s="29" t="str">
        <f>HYPERLINK("https://ictv.global/taxonomy/taxondetails?taxnode_id=202304787","ictv.global=202304787")</f>
        <v>ictv.global=202304787</v>
      </c>
    </row>
    <row r="13886" spans="1:21">
      <c r="A13886">
        <v>13885</v>
      </c>
      <c r="B13886" s="30" t="s">
        <v>2145</v>
      </c>
      <c r="D13886" s="30" t="s">
        <v>2146</v>
      </c>
      <c r="F13886" s="30" t="s">
        <v>2147</v>
      </c>
      <c r="H13886" s="30" t="s">
        <v>2152</v>
      </c>
      <c r="J13886" s="30" t="s">
        <v>2154</v>
      </c>
      <c r="L13886" s="30" t="s">
        <v>494</v>
      </c>
      <c r="M13886" s="30" t="s">
        <v>495</v>
      </c>
      <c r="N13886" s="30" t="s">
        <v>324</v>
      </c>
      <c r="P13886" s="30" t="s">
        <v>18610</v>
      </c>
      <c r="Q13886" t="s">
        <v>619</v>
      </c>
      <c r="R13886" t="s">
        <v>920</v>
      </c>
      <c r="S13886">
        <v>39</v>
      </c>
      <c r="T13886" s="29" t="str">
        <f t="shared" si="580"/>
        <v>2023.017D.Poxviridae_55renam.zip</v>
      </c>
      <c r="U13886" s="29" t="str">
        <f>HYPERLINK("https://ictv.global/taxonomy/taxondetails?taxnode_id=202304784","ictv.global=202304784")</f>
        <v>ictv.global=202304784</v>
      </c>
    </row>
    <row r="13887" spans="1:21">
      <c r="A13887">
        <v>13886</v>
      </c>
      <c r="B13887" s="30" t="s">
        <v>2145</v>
      </c>
      <c r="D13887" s="30" t="s">
        <v>2146</v>
      </c>
      <c r="F13887" s="30" t="s">
        <v>2147</v>
      </c>
      <c r="H13887" s="30" t="s">
        <v>2152</v>
      </c>
      <c r="J13887" s="30" t="s">
        <v>2154</v>
      </c>
      <c r="L13887" s="30" t="s">
        <v>494</v>
      </c>
      <c r="M13887" s="30" t="s">
        <v>495</v>
      </c>
      <c r="N13887" s="30" t="s">
        <v>2161</v>
      </c>
      <c r="P13887" s="30" t="s">
        <v>18611</v>
      </c>
      <c r="Q13887" t="s">
        <v>619</v>
      </c>
      <c r="R13887" t="s">
        <v>920</v>
      </c>
      <c r="S13887">
        <v>39</v>
      </c>
      <c r="T13887" s="29" t="str">
        <f t="shared" si="580"/>
        <v>2023.017D.Poxviridae_55renam.zip</v>
      </c>
      <c r="U13887" s="29" t="str">
        <f>HYPERLINK("https://ictv.global/taxonomy/taxondetails?taxnode_id=202307159","ictv.global=202307159")</f>
        <v>ictv.global=202307159</v>
      </c>
    </row>
    <row r="13888" spans="1:21">
      <c r="A13888">
        <v>13887</v>
      </c>
      <c r="B13888" s="30" t="s">
        <v>2145</v>
      </c>
      <c r="D13888" s="30" t="s">
        <v>2146</v>
      </c>
      <c r="F13888" s="30" t="s">
        <v>2147</v>
      </c>
      <c r="H13888" s="30" t="s">
        <v>2152</v>
      </c>
      <c r="J13888" s="30" t="s">
        <v>2154</v>
      </c>
      <c r="L13888" s="30" t="s">
        <v>494</v>
      </c>
      <c r="M13888" s="30" t="s">
        <v>495</v>
      </c>
      <c r="N13888" s="30" t="s">
        <v>212</v>
      </c>
      <c r="P13888" s="30" t="s">
        <v>18612</v>
      </c>
      <c r="Q13888" t="s">
        <v>619</v>
      </c>
      <c r="R13888" t="s">
        <v>920</v>
      </c>
      <c r="S13888">
        <v>39</v>
      </c>
      <c r="T13888" s="29" t="str">
        <f t="shared" si="580"/>
        <v>2023.017D.Poxviridae_55renam.zip</v>
      </c>
      <c r="U13888" s="29" t="str">
        <f>HYPERLINK("https://ictv.global/taxonomy/taxondetails?taxnode_id=202304789","ictv.global=202304789")</f>
        <v>ictv.global=202304789</v>
      </c>
    </row>
    <row r="13889" spans="1:21">
      <c r="A13889">
        <v>13888</v>
      </c>
      <c r="B13889" s="30" t="s">
        <v>2145</v>
      </c>
      <c r="D13889" s="30" t="s">
        <v>2146</v>
      </c>
      <c r="F13889" s="30" t="s">
        <v>2147</v>
      </c>
      <c r="H13889" s="30" t="s">
        <v>2152</v>
      </c>
      <c r="J13889" s="30" t="s">
        <v>2154</v>
      </c>
      <c r="L13889" s="30" t="s">
        <v>494</v>
      </c>
      <c r="M13889" s="30" t="s">
        <v>495</v>
      </c>
      <c r="N13889" s="30" t="s">
        <v>212</v>
      </c>
      <c r="P13889" s="30" t="s">
        <v>18613</v>
      </c>
      <c r="Q13889" t="s">
        <v>619</v>
      </c>
      <c r="R13889" t="s">
        <v>920</v>
      </c>
      <c r="S13889">
        <v>39</v>
      </c>
      <c r="T13889" s="29" t="str">
        <f t="shared" si="580"/>
        <v>2023.017D.Poxviridae_55renam.zip</v>
      </c>
      <c r="U13889" s="29" t="str">
        <f>HYPERLINK("https://ictv.global/taxonomy/taxondetails?taxnode_id=202304790","ictv.global=202304790")</f>
        <v>ictv.global=202304790</v>
      </c>
    </row>
    <row r="13890" spans="1:21">
      <c r="A13890">
        <v>13889</v>
      </c>
      <c r="B13890" s="30" t="s">
        <v>2145</v>
      </c>
      <c r="D13890" s="30" t="s">
        <v>2146</v>
      </c>
      <c r="F13890" s="30" t="s">
        <v>2147</v>
      </c>
      <c r="H13890" s="30" t="s">
        <v>2152</v>
      </c>
      <c r="J13890" s="30" t="s">
        <v>2154</v>
      </c>
      <c r="L13890" s="30" t="s">
        <v>494</v>
      </c>
      <c r="M13890" s="30" t="s">
        <v>213</v>
      </c>
      <c r="N13890" s="30" t="s">
        <v>433</v>
      </c>
      <c r="P13890" s="30" t="s">
        <v>18614</v>
      </c>
      <c r="Q13890" t="s">
        <v>619</v>
      </c>
      <c r="R13890" t="s">
        <v>920</v>
      </c>
      <c r="S13890">
        <v>39</v>
      </c>
      <c r="T13890" s="29" t="str">
        <f t="shared" si="580"/>
        <v>2023.017D.Poxviridae_55renam.zip</v>
      </c>
      <c r="U13890" s="29" t="str">
        <f>HYPERLINK("https://ictv.global/taxonomy/taxondetails?taxnode_id=202304793","ictv.global=202304793")</f>
        <v>ictv.global=202304793</v>
      </c>
    </row>
    <row r="13891" spans="1:21">
      <c r="A13891">
        <v>13890</v>
      </c>
      <c r="B13891" s="30" t="s">
        <v>2145</v>
      </c>
      <c r="D13891" s="30" t="s">
        <v>2146</v>
      </c>
      <c r="F13891" s="30" t="s">
        <v>2147</v>
      </c>
      <c r="H13891" s="30" t="s">
        <v>2152</v>
      </c>
      <c r="J13891" s="30" t="s">
        <v>2154</v>
      </c>
      <c r="L13891" s="30" t="s">
        <v>494</v>
      </c>
      <c r="M13891" s="30" t="s">
        <v>213</v>
      </c>
      <c r="N13891" s="30" t="s">
        <v>433</v>
      </c>
      <c r="P13891" s="30" t="s">
        <v>18615</v>
      </c>
      <c r="Q13891" t="s">
        <v>619</v>
      </c>
      <c r="R13891" t="s">
        <v>920</v>
      </c>
      <c r="S13891">
        <v>39</v>
      </c>
      <c r="T13891" s="29" t="str">
        <f t="shared" si="580"/>
        <v>2023.017D.Poxviridae_55renam.zip</v>
      </c>
      <c r="U13891" s="29" t="str">
        <f>HYPERLINK("https://ictv.global/taxonomy/taxondetails?taxnode_id=202304799","ictv.global=202304799")</f>
        <v>ictv.global=202304799</v>
      </c>
    </row>
    <row r="13892" spans="1:21">
      <c r="A13892">
        <v>13891</v>
      </c>
      <c r="B13892" s="30" t="s">
        <v>2145</v>
      </c>
      <c r="D13892" s="30" t="s">
        <v>2146</v>
      </c>
      <c r="F13892" s="30" t="s">
        <v>2147</v>
      </c>
      <c r="H13892" s="30" t="s">
        <v>2152</v>
      </c>
      <c r="J13892" s="30" t="s">
        <v>2154</v>
      </c>
      <c r="L13892" s="30" t="s">
        <v>494</v>
      </c>
      <c r="M13892" s="30" t="s">
        <v>213</v>
      </c>
      <c r="N13892" s="30" t="s">
        <v>191</v>
      </c>
      <c r="P13892" s="30" t="s">
        <v>18616</v>
      </c>
      <c r="Q13892" t="s">
        <v>619</v>
      </c>
      <c r="R13892" t="s">
        <v>920</v>
      </c>
      <c r="S13892">
        <v>39</v>
      </c>
      <c r="T13892" s="29" t="str">
        <f t="shared" si="580"/>
        <v>2023.017D.Poxviridae_55renam.zip</v>
      </c>
      <c r="U13892" s="29" t="str">
        <f>HYPERLINK("https://ictv.global/taxonomy/taxondetails?taxnode_id=202304802","ictv.global=202304802")</f>
        <v>ictv.global=202304802</v>
      </c>
    </row>
    <row r="13893" spans="1:21">
      <c r="A13893">
        <v>13892</v>
      </c>
      <c r="B13893" s="30" t="s">
        <v>2145</v>
      </c>
      <c r="D13893" s="30" t="s">
        <v>2146</v>
      </c>
      <c r="F13893" s="30" t="s">
        <v>2147</v>
      </c>
      <c r="H13893" s="30" t="s">
        <v>2152</v>
      </c>
      <c r="J13893" s="30" t="s">
        <v>2154</v>
      </c>
      <c r="L13893" s="30" t="s">
        <v>494</v>
      </c>
      <c r="M13893" s="30" t="s">
        <v>213</v>
      </c>
      <c r="N13893" s="30" t="s">
        <v>191</v>
      </c>
      <c r="P13893" s="30" t="s">
        <v>18617</v>
      </c>
      <c r="Q13893" t="s">
        <v>619</v>
      </c>
      <c r="R13893" t="s">
        <v>920</v>
      </c>
      <c r="S13893">
        <v>39</v>
      </c>
      <c r="T13893" s="29" t="str">
        <f t="shared" si="580"/>
        <v>2023.017D.Poxviridae_55renam.zip</v>
      </c>
      <c r="U13893" s="29" t="str">
        <f>HYPERLINK("https://ictv.global/taxonomy/taxondetails?taxnode_id=202304803","ictv.global=202304803")</f>
        <v>ictv.global=202304803</v>
      </c>
    </row>
    <row r="13894" spans="1:21">
      <c r="A13894">
        <v>13893</v>
      </c>
      <c r="B13894" s="30" t="s">
        <v>2145</v>
      </c>
      <c r="D13894" s="30" t="s">
        <v>2146</v>
      </c>
      <c r="F13894" s="30" t="s">
        <v>2147</v>
      </c>
      <c r="H13894" s="30" t="s">
        <v>2152</v>
      </c>
      <c r="J13894" s="30" t="s">
        <v>2154</v>
      </c>
      <c r="L13894" s="30" t="s">
        <v>494</v>
      </c>
      <c r="M13894" s="30" t="s">
        <v>213</v>
      </c>
      <c r="N13894" s="30" t="s">
        <v>191</v>
      </c>
      <c r="P13894" s="30" t="s">
        <v>18618</v>
      </c>
      <c r="Q13894" t="s">
        <v>619</v>
      </c>
      <c r="R13894" t="s">
        <v>920</v>
      </c>
      <c r="S13894">
        <v>39</v>
      </c>
      <c r="T13894" s="29" t="str">
        <f t="shared" si="580"/>
        <v>2023.017D.Poxviridae_55renam.zip</v>
      </c>
      <c r="U13894" s="29" t="str">
        <f>HYPERLINK("https://ictv.global/taxonomy/taxondetails?taxnode_id=202304805","ictv.global=202304805")</f>
        <v>ictv.global=202304805</v>
      </c>
    </row>
    <row r="13895" spans="1:21">
      <c r="A13895">
        <v>13894</v>
      </c>
      <c r="B13895" s="30" t="s">
        <v>2145</v>
      </c>
      <c r="D13895" s="30" t="s">
        <v>2146</v>
      </c>
      <c r="F13895" s="30" t="s">
        <v>2147</v>
      </c>
      <c r="H13895" s="30" t="s">
        <v>2152</v>
      </c>
      <c r="J13895" s="30" t="s">
        <v>2154</v>
      </c>
      <c r="L13895" s="30" t="s">
        <v>494</v>
      </c>
      <c r="M13895" s="30" t="s">
        <v>213</v>
      </c>
      <c r="N13895" s="30" t="s">
        <v>191</v>
      </c>
      <c r="P13895" s="30" t="s">
        <v>18619</v>
      </c>
      <c r="Q13895" t="s">
        <v>619</v>
      </c>
      <c r="R13895" t="s">
        <v>920</v>
      </c>
      <c r="S13895">
        <v>39</v>
      </c>
      <c r="T13895" s="29" t="str">
        <f t="shared" si="580"/>
        <v>2023.017D.Poxviridae_55renam.zip</v>
      </c>
      <c r="U13895" s="29" t="str">
        <f>HYPERLINK("https://ictv.global/taxonomy/taxondetails?taxnode_id=202304808","ictv.global=202304808")</f>
        <v>ictv.global=202304808</v>
      </c>
    </row>
    <row r="13896" spans="1:21">
      <c r="A13896">
        <v>13895</v>
      </c>
      <c r="B13896" s="30" t="s">
        <v>2145</v>
      </c>
      <c r="D13896" s="30" t="s">
        <v>2146</v>
      </c>
      <c r="F13896" s="30" t="s">
        <v>2147</v>
      </c>
      <c r="H13896" s="30" t="s">
        <v>2152</v>
      </c>
      <c r="J13896" s="30" t="s">
        <v>2154</v>
      </c>
      <c r="L13896" s="30" t="s">
        <v>494</v>
      </c>
      <c r="M13896" s="30" t="s">
        <v>213</v>
      </c>
      <c r="N13896" s="30" t="s">
        <v>191</v>
      </c>
      <c r="P13896" s="30" t="s">
        <v>18620</v>
      </c>
      <c r="Q13896" t="s">
        <v>619</v>
      </c>
      <c r="R13896" t="s">
        <v>920</v>
      </c>
      <c r="S13896">
        <v>39</v>
      </c>
      <c r="T13896" s="29" t="str">
        <f t="shared" si="580"/>
        <v>2023.017D.Poxviridae_55renam.zip</v>
      </c>
      <c r="U13896" s="29" t="str">
        <f>HYPERLINK("https://ictv.global/taxonomy/taxondetails?taxnode_id=202304809","ictv.global=202304809")</f>
        <v>ictv.global=202304809</v>
      </c>
    </row>
    <row r="13897" spans="1:21">
      <c r="A13897">
        <v>13896</v>
      </c>
      <c r="B13897" s="30" t="s">
        <v>2145</v>
      </c>
      <c r="D13897" s="30" t="s">
        <v>2146</v>
      </c>
      <c r="F13897" s="30" t="s">
        <v>2147</v>
      </c>
      <c r="H13897" s="30" t="s">
        <v>2152</v>
      </c>
      <c r="J13897" s="30" t="s">
        <v>2154</v>
      </c>
      <c r="L13897" s="30" t="s">
        <v>494</v>
      </c>
      <c r="M13897" s="30" t="s">
        <v>213</v>
      </c>
      <c r="N13897" s="30" t="s">
        <v>191</v>
      </c>
      <c r="P13897" s="30" t="s">
        <v>18621</v>
      </c>
      <c r="Q13897" t="s">
        <v>619</v>
      </c>
      <c r="R13897" t="s">
        <v>920</v>
      </c>
      <c r="S13897">
        <v>39</v>
      </c>
      <c r="T13897" s="29" t="str">
        <f t="shared" si="580"/>
        <v>2023.017D.Poxviridae_55renam.zip</v>
      </c>
      <c r="U13897" s="29" t="str">
        <f>HYPERLINK("https://ictv.global/taxonomy/taxondetails?taxnode_id=202304813","ictv.global=202304813")</f>
        <v>ictv.global=202304813</v>
      </c>
    </row>
    <row r="13898" spans="1:21">
      <c r="A13898">
        <v>13897</v>
      </c>
      <c r="B13898" s="30" t="s">
        <v>2145</v>
      </c>
      <c r="D13898" s="30" t="s">
        <v>2146</v>
      </c>
      <c r="F13898" s="30" t="s">
        <v>2147</v>
      </c>
      <c r="H13898" s="30" t="s">
        <v>2152</v>
      </c>
      <c r="J13898" s="30" t="s">
        <v>2154</v>
      </c>
      <c r="L13898" s="30" t="s">
        <v>494</v>
      </c>
      <c r="M13898" s="30" t="s">
        <v>213</v>
      </c>
      <c r="N13898" s="30" t="s">
        <v>2162</v>
      </c>
      <c r="P13898" s="30" t="s">
        <v>18622</v>
      </c>
      <c r="Q13898" t="s">
        <v>619</v>
      </c>
      <c r="R13898" t="s">
        <v>920</v>
      </c>
      <c r="S13898">
        <v>39</v>
      </c>
      <c r="T13898" s="29" t="str">
        <f t="shared" si="580"/>
        <v>2023.017D.Poxviridae_55renam.zip</v>
      </c>
      <c r="U13898" s="29" t="str">
        <f>HYPERLINK("https://ictv.global/taxonomy/taxondetails?taxnode_id=202304826","ictv.global=202304826")</f>
        <v>ictv.global=202304826</v>
      </c>
    </row>
    <row r="13899" spans="1:21">
      <c r="A13899">
        <v>13898</v>
      </c>
      <c r="B13899" s="30" t="s">
        <v>2145</v>
      </c>
      <c r="D13899" s="30" t="s">
        <v>2146</v>
      </c>
      <c r="F13899" s="30" t="s">
        <v>2147</v>
      </c>
      <c r="H13899" s="30" t="s">
        <v>2152</v>
      </c>
      <c r="J13899" s="30" t="s">
        <v>2154</v>
      </c>
      <c r="L13899" s="30" t="s">
        <v>494</v>
      </c>
      <c r="M13899" s="30" t="s">
        <v>213</v>
      </c>
      <c r="N13899" s="30" t="s">
        <v>18623</v>
      </c>
      <c r="P13899" s="30" t="s">
        <v>18624</v>
      </c>
      <c r="Q13899" t="s">
        <v>619</v>
      </c>
      <c r="R13899" t="s">
        <v>918</v>
      </c>
      <c r="S13899">
        <v>39</v>
      </c>
      <c r="T13899" s="29" t="str">
        <f>HYPERLINK("https://ictv.global/ictv/proposals/2023.016D.Poxviridae_1ng.zip","2023.016D.Poxviridae_1ng.zip")</f>
        <v>2023.016D.Poxviridae_1ng.zip</v>
      </c>
      <c r="U13899" s="29" t="str">
        <f>HYPERLINK("https://ictv.global/taxonomy/taxondetails?taxnode_id=202304825","ictv.global=202304825")</f>
        <v>ictv.global=202304825</v>
      </c>
    </row>
    <row r="13900" spans="1:21">
      <c r="A13900">
        <v>13899</v>
      </c>
      <c r="B13900" s="30" t="s">
        <v>2145</v>
      </c>
      <c r="D13900" s="30" t="s">
        <v>2146</v>
      </c>
      <c r="F13900" s="30" t="s">
        <v>2163</v>
      </c>
      <c r="H13900" s="30" t="s">
        <v>11325</v>
      </c>
      <c r="J13900" s="30" t="s">
        <v>11326</v>
      </c>
      <c r="L13900" s="30" t="s">
        <v>2176</v>
      </c>
      <c r="N13900" s="30" t="s">
        <v>2177</v>
      </c>
      <c r="P13900" s="30" t="s">
        <v>11327</v>
      </c>
      <c r="Q13900" t="s">
        <v>622</v>
      </c>
      <c r="R13900" t="s">
        <v>919</v>
      </c>
      <c r="S13900">
        <v>38</v>
      </c>
      <c r="T13900" s="29" t="str">
        <f>HYPERLINK("https://ictv.global/ictv/proposals/2022.002B.Ainoaviricetes_Finnlakeviridae_nc.zip","2022.002B.Ainoaviricetes_Finnlakeviridae_nc.zip")</f>
        <v>2022.002B.Ainoaviricetes_Finnlakeviridae_nc.zip</v>
      </c>
      <c r="U13900" s="29" t="str">
        <f>HYPERLINK("https://ictv.global/taxonomy/taxondetails?taxnode_id=202307848","ictv.global=202307848")</f>
        <v>ictv.global=202307848</v>
      </c>
    </row>
    <row r="13901" spans="1:21">
      <c r="A13901">
        <v>13900</v>
      </c>
      <c r="B13901" s="30" t="s">
        <v>2145</v>
      </c>
      <c r="D13901" s="30" t="s">
        <v>2146</v>
      </c>
      <c r="F13901" s="30" t="s">
        <v>2163</v>
      </c>
      <c r="H13901" s="30" t="s">
        <v>2164</v>
      </c>
      <c r="J13901" s="30" t="s">
        <v>18625</v>
      </c>
      <c r="L13901" s="30" t="s">
        <v>18626</v>
      </c>
      <c r="N13901" s="30" t="s">
        <v>18627</v>
      </c>
      <c r="P13901" s="30" t="s">
        <v>18628</v>
      </c>
      <c r="Q13901" t="s">
        <v>619</v>
      </c>
      <c r="R13901" t="s">
        <v>917</v>
      </c>
      <c r="S13901">
        <v>39</v>
      </c>
      <c r="T13901" s="29" t="str">
        <f t="shared" ref="T13901:T13908" si="581">HYPERLINK("https://ictv.global/ictv/proposals/2023.009F.Virophages_reorg.zip","2023.009F.Virophages_reorg.zip")</f>
        <v>2023.009F.Virophages_reorg.zip</v>
      </c>
      <c r="U13901" s="29" t="str">
        <f>HYPERLINK("https://ictv.global/taxonomy/taxondetails?taxnode_id=202317932","ictv.global=202317932")</f>
        <v>ictv.global=202317932</v>
      </c>
    </row>
    <row r="13902" spans="1:21">
      <c r="A13902">
        <v>13901</v>
      </c>
      <c r="B13902" s="30" t="s">
        <v>2145</v>
      </c>
      <c r="D13902" s="30" t="s">
        <v>2146</v>
      </c>
      <c r="F13902" s="30" t="s">
        <v>2163</v>
      </c>
      <c r="H13902" s="30" t="s">
        <v>2164</v>
      </c>
      <c r="J13902" s="30" t="s">
        <v>18629</v>
      </c>
      <c r="L13902" s="30" t="s">
        <v>18630</v>
      </c>
      <c r="N13902" s="30" t="s">
        <v>740</v>
      </c>
      <c r="P13902" s="30" t="s">
        <v>18631</v>
      </c>
      <c r="Q13902" t="s">
        <v>619</v>
      </c>
      <c r="R13902" t="s">
        <v>920</v>
      </c>
      <c r="S13902">
        <v>39</v>
      </c>
      <c r="T13902" s="29" t="str">
        <f t="shared" si="581"/>
        <v>2023.009F.Virophages_reorg.zip</v>
      </c>
      <c r="U13902" s="29" t="str">
        <f>HYPERLINK("https://ictv.global/taxonomy/taxondetails?taxnode_id=202303747","ictv.global=202303747")</f>
        <v>ictv.global=202303747</v>
      </c>
    </row>
    <row r="13903" spans="1:21">
      <c r="A13903">
        <v>13902</v>
      </c>
      <c r="B13903" s="30" t="s">
        <v>2145</v>
      </c>
      <c r="D13903" s="30" t="s">
        <v>2146</v>
      </c>
      <c r="F13903" s="30" t="s">
        <v>2163</v>
      </c>
      <c r="H13903" s="30" t="s">
        <v>2164</v>
      </c>
      <c r="J13903" s="30" t="s">
        <v>18632</v>
      </c>
      <c r="L13903" s="30" t="s">
        <v>18633</v>
      </c>
      <c r="N13903" s="30" t="s">
        <v>741</v>
      </c>
      <c r="P13903" s="30" t="s">
        <v>18634</v>
      </c>
      <c r="Q13903" t="s">
        <v>619</v>
      </c>
      <c r="R13903" t="s">
        <v>920</v>
      </c>
      <c r="S13903">
        <v>39</v>
      </c>
      <c r="T13903" s="29" t="str">
        <f t="shared" si="581"/>
        <v>2023.009F.Virophages_reorg.zip</v>
      </c>
      <c r="U13903" s="29" t="str">
        <f>HYPERLINK("https://ictv.global/taxonomy/taxondetails?taxnode_id=202303749","ictv.global=202303749")</f>
        <v>ictv.global=202303749</v>
      </c>
    </row>
    <row r="13904" spans="1:21">
      <c r="A13904">
        <v>13903</v>
      </c>
      <c r="B13904" s="30" t="s">
        <v>2145</v>
      </c>
      <c r="D13904" s="30" t="s">
        <v>2146</v>
      </c>
      <c r="F13904" s="30" t="s">
        <v>2163</v>
      </c>
      <c r="H13904" s="30" t="s">
        <v>2164</v>
      </c>
      <c r="J13904" s="30" t="s">
        <v>18632</v>
      </c>
      <c r="L13904" s="30" t="s">
        <v>18633</v>
      </c>
      <c r="N13904" s="30" t="s">
        <v>741</v>
      </c>
      <c r="P13904" s="30" t="s">
        <v>18635</v>
      </c>
      <c r="Q13904" t="s">
        <v>619</v>
      </c>
      <c r="R13904" t="s">
        <v>920</v>
      </c>
      <c r="S13904">
        <v>39</v>
      </c>
      <c r="T13904" s="29" t="str">
        <f t="shared" si="581"/>
        <v>2023.009F.Virophages_reorg.zip</v>
      </c>
      <c r="U13904" s="29" t="str">
        <f>HYPERLINK("https://ictv.global/taxonomy/taxondetails?taxnode_id=202303750","ictv.global=202303750")</f>
        <v>ictv.global=202303750</v>
      </c>
    </row>
    <row r="13905" spans="1:21">
      <c r="A13905">
        <v>13904</v>
      </c>
      <c r="B13905" s="30" t="s">
        <v>2145</v>
      </c>
      <c r="D13905" s="30" t="s">
        <v>2146</v>
      </c>
      <c r="F13905" s="30" t="s">
        <v>2163</v>
      </c>
      <c r="H13905" s="30" t="s">
        <v>2164</v>
      </c>
      <c r="J13905" s="30" t="s">
        <v>2165</v>
      </c>
      <c r="L13905" s="30" t="s">
        <v>18636</v>
      </c>
      <c r="N13905" s="30" t="s">
        <v>18637</v>
      </c>
      <c r="P13905" s="30" t="s">
        <v>18638</v>
      </c>
      <c r="Q13905" t="s">
        <v>619</v>
      </c>
      <c r="R13905" t="s">
        <v>917</v>
      </c>
      <c r="S13905">
        <v>39</v>
      </c>
      <c r="T13905" s="29" t="str">
        <f t="shared" si="581"/>
        <v>2023.009F.Virophages_reorg.zip</v>
      </c>
      <c r="U13905" s="29" t="str">
        <f>HYPERLINK("https://ictv.global/taxonomy/taxondetails?taxnode_id=202317930","ictv.global=202317930")</f>
        <v>ictv.global=202317930</v>
      </c>
    </row>
    <row r="13906" spans="1:21">
      <c r="A13906">
        <v>13905</v>
      </c>
      <c r="B13906" s="30" t="s">
        <v>2145</v>
      </c>
      <c r="D13906" s="30" t="s">
        <v>2146</v>
      </c>
      <c r="F13906" s="30" t="s">
        <v>2163</v>
      </c>
      <c r="H13906" s="30" t="s">
        <v>2164</v>
      </c>
      <c r="J13906" s="30" t="s">
        <v>2165</v>
      </c>
      <c r="L13906" s="30" t="s">
        <v>18639</v>
      </c>
      <c r="N13906" s="30" t="s">
        <v>18640</v>
      </c>
      <c r="P13906" s="30" t="s">
        <v>18641</v>
      </c>
      <c r="Q13906" t="s">
        <v>619</v>
      </c>
      <c r="R13906" t="s">
        <v>917</v>
      </c>
      <c r="S13906">
        <v>39</v>
      </c>
      <c r="T13906" s="29" t="str">
        <f t="shared" si="581"/>
        <v>2023.009F.Virophages_reorg.zip</v>
      </c>
      <c r="U13906" s="29" t="str">
        <f>HYPERLINK("https://ictv.global/taxonomy/taxondetails?taxnode_id=202317928","ictv.global=202317928")</f>
        <v>ictv.global=202317928</v>
      </c>
    </row>
    <row r="13907" spans="1:21">
      <c r="A13907">
        <v>13906</v>
      </c>
      <c r="B13907" s="30" t="s">
        <v>2145</v>
      </c>
      <c r="D13907" s="30" t="s">
        <v>2146</v>
      </c>
      <c r="F13907" s="30" t="s">
        <v>2163</v>
      </c>
      <c r="H13907" s="30" t="s">
        <v>2164</v>
      </c>
      <c r="J13907" s="30" t="s">
        <v>2165</v>
      </c>
      <c r="L13907" s="30" t="s">
        <v>18642</v>
      </c>
      <c r="N13907" s="30" t="s">
        <v>18643</v>
      </c>
      <c r="P13907" s="30" t="s">
        <v>18644</v>
      </c>
      <c r="Q13907" t="s">
        <v>619</v>
      </c>
      <c r="R13907" t="s">
        <v>917</v>
      </c>
      <c r="S13907">
        <v>39</v>
      </c>
      <c r="T13907" s="29" t="str">
        <f t="shared" si="581"/>
        <v>2023.009F.Virophages_reorg.zip</v>
      </c>
      <c r="U13907" s="29" t="str">
        <f>HYPERLINK("https://ictv.global/taxonomy/taxondetails?taxnode_id=202317931","ictv.global=202317931")</f>
        <v>ictv.global=202317931</v>
      </c>
    </row>
    <row r="13908" spans="1:21">
      <c r="A13908">
        <v>13907</v>
      </c>
      <c r="B13908" s="30" t="s">
        <v>2145</v>
      </c>
      <c r="D13908" s="30" t="s">
        <v>2146</v>
      </c>
      <c r="F13908" s="30" t="s">
        <v>2163</v>
      </c>
      <c r="H13908" s="30" t="s">
        <v>2164</v>
      </c>
      <c r="J13908" s="30" t="s">
        <v>2165</v>
      </c>
      <c r="L13908" s="30" t="s">
        <v>18645</v>
      </c>
      <c r="N13908" s="30" t="s">
        <v>18646</v>
      </c>
      <c r="P13908" s="30" t="s">
        <v>18647</v>
      </c>
      <c r="Q13908" t="s">
        <v>619</v>
      </c>
      <c r="R13908" t="s">
        <v>917</v>
      </c>
      <c r="S13908">
        <v>39</v>
      </c>
      <c r="T13908" s="29" t="str">
        <f t="shared" si="581"/>
        <v>2023.009F.Virophages_reorg.zip</v>
      </c>
      <c r="U13908" s="29" t="str">
        <f>HYPERLINK("https://ictv.global/taxonomy/taxondetails?taxnode_id=202317929","ictv.global=202317929")</f>
        <v>ictv.global=202317929</v>
      </c>
    </row>
    <row r="13909" spans="1:21">
      <c r="A13909">
        <v>13908</v>
      </c>
      <c r="B13909" s="30" t="s">
        <v>2145</v>
      </c>
      <c r="D13909" s="30" t="s">
        <v>2146</v>
      </c>
      <c r="F13909" s="30" t="s">
        <v>2163</v>
      </c>
      <c r="H13909" s="30" t="s">
        <v>3831</v>
      </c>
      <c r="J13909" s="30" t="s">
        <v>3832</v>
      </c>
      <c r="L13909" s="30" t="s">
        <v>3833</v>
      </c>
      <c r="N13909" s="30" t="s">
        <v>3834</v>
      </c>
      <c r="P13909" s="30" t="s">
        <v>3835</v>
      </c>
      <c r="Q13909" t="s">
        <v>619</v>
      </c>
      <c r="R13909" t="s">
        <v>917</v>
      </c>
      <c r="S13909">
        <v>36</v>
      </c>
      <c r="T13909" s="29" t="str">
        <f>HYPERLINK("https://ictv.global/ictv/proposals/2020.003D.R.Adintoviridae.zip","2020.003D.R.Adintoviridae.zip")</f>
        <v>2020.003D.R.Adintoviridae.zip</v>
      </c>
      <c r="U13909" s="29" t="str">
        <f>HYPERLINK("https://ictv.global/taxonomy/taxondetails?taxnode_id=202308815","ictv.global=202308815")</f>
        <v>ictv.global=202308815</v>
      </c>
    </row>
    <row r="13910" spans="1:21">
      <c r="A13910">
        <v>13909</v>
      </c>
      <c r="B13910" s="30" t="s">
        <v>2145</v>
      </c>
      <c r="D13910" s="30" t="s">
        <v>2146</v>
      </c>
      <c r="F13910" s="30" t="s">
        <v>2163</v>
      </c>
      <c r="H13910" s="30" t="s">
        <v>3831</v>
      </c>
      <c r="J13910" s="30" t="s">
        <v>3832</v>
      </c>
      <c r="L13910" s="30" t="s">
        <v>3833</v>
      </c>
      <c r="N13910" s="30" t="s">
        <v>3836</v>
      </c>
      <c r="P13910" s="30" t="s">
        <v>3837</v>
      </c>
      <c r="Q13910" t="s">
        <v>619</v>
      </c>
      <c r="R13910" t="s">
        <v>917</v>
      </c>
      <c r="S13910">
        <v>36</v>
      </c>
      <c r="T13910" s="29" t="str">
        <f>HYPERLINK("https://ictv.global/ictv/proposals/2020.003D.R.Adintoviridae.zip","2020.003D.R.Adintoviridae.zip")</f>
        <v>2020.003D.R.Adintoviridae.zip</v>
      </c>
      <c r="U13910" s="29" t="str">
        <f>HYPERLINK("https://ictv.global/taxonomy/taxondetails?taxnode_id=202308817","ictv.global=202308817")</f>
        <v>ictv.global=202308817</v>
      </c>
    </row>
    <row r="13911" spans="1:21">
      <c r="A13911">
        <v>13910</v>
      </c>
      <c r="B13911" s="30" t="s">
        <v>2145</v>
      </c>
      <c r="D13911" s="30" t="s">
        <v>2146</v>
      </c>
      <c r="F13911" s="30" t="s">
        <v>2163</v>
      </c>
      <c r="H13911" s="30" t="s">
        <v>2166</v>
      </c>
      <c r="J13911" s="30" t="s">
        <v>11328</v>
      </c>
      <c r="L13911" s="30" t="s">
        <v>11329</v>
      </c>
      <c r="N13911" s="30" t="s">
        <v>11330</v>
      </c>
      <c r="P13911" s="30" t="s">
        <v>11331</v>
      </c>
      <c r="Q13911" t="s">
        <v>619</v>
      </c>
      <c r="R13911" t="s">
        <v>917</v>
      </c>
      <c r="S13911">
        <v>38</v>
      </c>
      <c r="T13911" s="29" t="str">
        <f>HYPERLINK("https://ictv.global/ictv/proposals/2022.002A.Verdandiviridae_nf_Atrospovirales_no.zip","2022.002A.Verdandiviridae_nf_Atrospovirales_no.zip")</f>
        <v>2022.002A.Verdandiviridae_nf_Atrospovirales_no.zip</v>
      </c>
      <c r="U13911" s="29" t="str">
        <f>HYPERLINK("https://ictv.global/taxonomy/taxondetails?taxnode_id=202314311","ictv.global=202314311")</f>
        <v>ictv.global=202314311</v>
      </c>
    </row>
    <row r="13912" spans="1:21">
      <c r="A13912">
        <v>13911</v>
      </c>
      <c r="B13912" s="30" t="s">
        <v>2145</v>
      </c>
      <c r="D13912" s="30" t="s">
        <v>2146</v>
      </c>
      <c r="F13912" s="30" t="s">
        <v>2163</v>
      </c>
      <c r="H13912" s="30" t="s">
        <v>2166</v>
      </c>
      <c r="J13912" s="30" t="s">
        <v>11328</v>
      </c>
      <c r="L13912" s="30" t="s">
        <v>11329</v>
      </c>
      <c r="N13912" s="30" t="s">
        <v>11330</v>
      </c>
      <c r="P13912" s="30" t="s">
        <v>11332</v>
      </c>
      <c r="Q13912" t="s">
        <v>619</v>
      </c>
      <c r="R13912" t="s">
        <v>917</v>
      </c>
      <c r="S13912">
        <v>38</v>
      </c>
      <c r="T13912" s="29" t="str">
        <f>HYPERLINK("https://ictv.global/ictv/proposals/2022.002A.Verdandiviridae_nf_Atrospovirales_no.zip","2022.002A.Verdandiviridae_nf_Atrospovirales_no.zip")</f>
        <v>2022.002A.Verdandiviridae_nf_Atrospovirales_no.zip</v>
      </c>
      <c r="U13912" s="29" t="str">
        <f>HYPERLINK("https://ictv.global/taxonomy/taxondetails?taxnode_id=202314310","ictv.global=202314310")</f>
        <v>ictv.global=202314310</v>
      </c>
    </row>
    <row r="13913" spans="1:21">
      <c r="A13913">
        <v>13912</v>
      </c>
      <c r="B13913" s="30" t="s">
        <v>2145</v>
      </c>
      <c r="D13913" s="30" t="s">
        <v>2146</v>
      </c>
      <c r="F13913" s="30" t="s">
        <v>2163</v>
      </c>
      <c r="H13913" s="30" t="s">
        <v>2166</v>
      </c>
      <c r="J13913" s="30" t="s">
        <v>2167</v>
      </c>
      <c r="L13913" s="30" t="s">
        <v>606</v>
      </c>
      <c r="N13913" s="30" t="s">
        <v>607</v>
      </c>
      <c r="P13913" s="30" t="s">
        <v>18648</v>
      </c>
      <c r="Q13913" t="s">
        <v>619</v>
      </c>
      <c r="R13913" t="s">
        <v>920</v>
      </c>
      <c r="S13913">
        <v>39</v>
      </c>
      <c r="T13913" s="29" t="str">
        <f>HYPERLINK("https://ictv.global/ictv/proposals/2023.001A.Archaeal_binomials.zip","2023.001A.Archaeal_binomials.zip")</f>
        <v>2023.001A.Archaeal_binomials.zip</v>
      </c>
      <c r="U13913" s="29" t="str">
        <f>HYPERLINK("https://ictv.global/taxonomy/taxondetails?taxnode_id=202305329","ictv.global=202305329")</f>
        <v>ictv.global=202305329</v>
      </c>
    </row>
    <row r="13914" spans="1:21">
      <c r="A13914">
        <v>13913</v>
      </c>
      <c r="B13914" s="30" t="s">
        <v>2145</v>
      </c>
      <c r="D13914" s="30" t="s">
        <v>2146</v>
      </c>
      <c r="F13914" s="30" t="s">
        <v>2163</v>
      </c>
      <c r="H13914" s="30" t="s">
        <v>2166</v>
      </c>
      <c r="J13914" s="30" t="s">
        <v>2167</v>
      </c>
      <c r="L13914" s="30" t="s">
        <v>606</v>
      </c>
      <c r="N13914" s="30" t="s">
        <v>607</v>
      </c>
      <c r="P13914" s="30" t="s">
        <v>18649</v>
      </c>
      <c r="Q13914" t="s">
        <v>619</v>
      </c>
      <c r="R13914" t="s">
        <v>920</v>
      </c>
      <c r="S13914">
        <v>39</v>
      </c>
      <c r="T13914" s="29" t="str">
        <f>HYPERLINK("https://ictv.global/ictv/proposals/2023.001A.Archaeal_binomials.zip","2023.001A.Archaeal_binomials.zip")</f>
        <v>2023.001A.Archaeal_binomials.zip</v>
      </c>
      <c r="U13914" s="29" t="str">
        <f>HYPERLINK("https://ictv.global/taxonomy/taxondetails?taxnode_id=202305328","ictv.global=202305328")</f>
        <v>ictv.global=202305328</v>
      </c>
    </row>
    <row r="13915" spans="1:21">
      <c r="A13915">
        <v>13914</v>
      </c>
      <c r="B13915" s="30" t="s">
        <v>2145</v>
      </c>
      <c r="D13915" s="30" t="s">
        <v>2146</v>
      </c>
      <c r="F13915" s="30" t="s">
        <v>2163</v>
      </c>
      <c r="H13915" s="30" t="s">
        <v>2166</v>
      </c>
      <c r="J13915" s="30" t="s">
        <v>11333</v>
      </c>
      <c r="L13915" s="30" t="s">
        <v>11334</v>
      </c>
      <c r="N13915" s="30" t="s">
        <v>11335</v>
      </c>
      <c r="P13915" s="30" t="s">
        <v>11336</v>
      </c>
      <c r="Q13915" t="s">
        <v>619</v>
      </c>
      <c r="R13915" t="s">
        <v>917</v>
      </c>
      <c r="S13915">
        <v>38</v>
      </c>
      <c r="T13915" s="29" t="str">
        <f>HYPERLINK("https://ictv.global/ictv/proposals/2022.001A.Nakonvirales_Maximonvirales_Coyopavirales_3no.zip","2022.001A.Nakonvirales_Maximonvirales_Coyopavirales_3no.zip")</f>
        <v>2022.001A.Nakonvirales_Maximonvirales_Coyopavirales_3no.zip</v>
      </c>
      <c r="U13915" s="29" t="str">
        <f>HYPERLINK("https://ictv.global/taxonomy/taxondetails?taxnode_id=202314298","ictv.global=202314298")</f>
        <v>ictv.global=202314298</v>
      </c>
    </row>
    <row r="13916" spans="1:21">
      <c r="A13916">
        <v>13915</v>
      </c>
      <c r="B13916" s="30" t="s">
        <v>2145</v>
      </c>
      <c r="D13916" s="30" t="s">
        <v>2146</v>
      </c>
      <c r="F13916" s="30" t="s">
        <v>2163</v>
      </c>
      <c r="H13916" s="30" t="s">
        <v>2166</v>
      </c>
      <c r="J13916" s="30" t="s">
        <v>11333</v>
      </c>
      <c r="L13916" s="30" t="s">
        <v>11334</v>
      </c>
      <c r="N13916" s="30" t="s">
        <v>11337</v>
      </c>
      <c r="P13916" s="30" t="s">
        <v>11338</v>
      </c>
      <c r="Q13916" t="s">
        <v>619</v>
      </c>
      <c r="R13916" t="s">
        <v>917</v>
      </c>
      <c r="S13916">
        <v>38</v>
      </c>
      <c r="T13916" s="29" t="str">
        <f>HYPERLINK("https://ictv.global/ictv/proposals/2022.001A.Nakonvirales_Maximonvirales_Coyopavirales_3no.zip","2022.001A.Nakonvirales_Maximonvirales_Coyopavirales_3no.zip")</f>
        <v>2022.001A.Nakonvirales_Maximonvirales_Coyopavirales_3no.zip</v>
      </c>
      <c r="U13916" s="29" t="str">
        <f>HYPERLINK("https://ictv.global/taxonomy/taxondetails?taxnode_id=202314300","ictv.global=202314300")</f>
        <v>ictv.global=202314300</v>
      </c>
    </row>
    <row r="13917" spans="1:21">
      <c r="A13917">
        <v>13916</v>
      </c>
      <c r="B13917" s="30" t="s">
        <v>2145</v>
      </c>
      <c r="D13917" s="30" t="s">
        <v>2146</v>
      </c>
      <c r="F13917" s="30" t="s">
        <v>2163</v>
      </c>
      <c r="H13917" s="30" t="s">
        <v>2166</v>
      </c>
      <c r="J13917" s="30" t="s">
        <v>11333</v>
      </c>
      <c r="L13917" s="30" t="s">
        <v>11334</v>
      </c>
      <c r="N13917" s="30" t="s">
        <v>11337</v>
      </c>
      <c r="P13917" s="30" t="s">
        <v>11339</v>
      </c>
      <c r="Q13917" t="s">
        <v>619</v>
      </c>
      <c r="R13917" t="s">
        <v>917</v>
      </c>
      <c r="S13917">
        <v>38</v>
      </c>
      <c r="T13917" s="29" t="str">
        <f>HYPERLINK("https://ictv.global/ictv/proposals/2022.001A.Nakonvirales_Maximonvirales_Coyopavirales_3no.zip","2022.001A.Nakonvirales_Maximonvirales_Coyopavirales_3no.zip")</f>
        <v>2022.001A.Nakonvirales_Maximonvirales_Coyopavirales_3no.zip</v>
      </c>
      <c r="U13917" s="29" t="str">
        <f>HYPERLINK("https://ictv.global/taxonomy/taxondetails?taxnode_id=202314299","ictv.global=202314299")</f>
        <v>ictv.global=202314299</v>
      </c>
    </row>
    <row r="13918" spans="1:21">
      <c r="A13918">
        <v>13917</v>
      </c>
      <c r="B13918" s="30" t="s">
        <v>2145</v>
      </c>
      <c r="D13918" s="30" t="s">
        <v>2146</v>
      </c>
      <c r="F13918" s="30" t="s">
        <v>2163</v>
      </c>
      <c r="H13918" s="30" t="s">
        <v>2166</v>
      </c>
      <c r="J13918" s="30" t="s">
        <v>2168</v>
      </c>
      <c r="L13918" s="30" t="s">
        <v>386</v>
      </c>
      <c r="N13918" s="30" t="s">
        <v>1028</v>
      </c>
      <c r="P13918" s="30" t="s">
        <v>11340</v>
      </c>
      <c r="Q13918" t="s">
        <v>619</v>
      </c>
      <c r="R13918" t="s">
        <v>920</v>
      </c>
      <c r="S13918">
        <v>37</v>
      </c>
      <c r="T13918" s="29" t="str">
        <f>HYPERLINK("https://ictv.global/ictv/proposals/2021.010B.R.Binomial_names.zip","2021.010B.R.Binomial_names.zip")</f>
        <v>2021.010B.R.Binomial_names.zip</v>
      </c>
      <c r="U13918" s="29" t="str">
        <f>HYPERLINK("https://ictv.global/taxonomy/taxondetails?taxnode_id=202305994","ictv.global=202305994")</f>
        <v>ictv.global=202305994</v>
      </c>
    </row>
    <row r="13919" spans="1:21">
      <c r="A13919">
        <v>13918</v>
      </c>
      <c r="B13919" s="30" t="s">
        <v>2145</v>
      </c>
      <c r="D13919" s="30" t="s">
        <v>2146</v>
      </c>
      <c r="F13919" s="30" t="s">
        <v>2163</v>
      </c>
      <c r="H13919" s="30" t="s">
        <v>2166</v>
      </c>
      <c r="J13919" s="30" t="s">
        <v>2168</v>
      </c>
      <c r="L13919" s="30" t="s">
        <v>386</v>
      </c>
      <c r="N13919" s="30" t="s">
        <v>1028</v>
      </c>
      <c r="P13919" s="30" t="s">
        <v>11341</v>
      </c>
      <c r="Q13919" t="s">
        <v>619</v>
      </c>
      <c r="R13919" t="s">
        <v>920</v>
      </c>
      <c r="S13919">
        <v>37</v>
      </c>
      <c r="T13919" s="29" t="str">
        <f>HYPERLINK("https://ictv.global/ictv/proposals/2021.010B.R.Binomial_names.zip","2021.010B.R.Binomial_names.zip")</f>
        <v>2021.010B.R.Binomial_names.zip</v>
      </c>
      <c r="U13919" s="29" t="str">
        <f>HYPERLINK("https://ictv.global/taxonomy/taxondetails?taxnode_id=202305076","ictv.global=202305076")</f>
        <v>ictv.global=202305076</v>
      </c>
    </row>
    <row r="13920" spans="1:21">
      <c r="A13920">
        <v>13919</v>
      </c>
      <c r="B13920" s="30" t="s">
        <v>2145</v>
      </c>
      <c r="D13920" s="30" t="s">
        <v>2146</v>
      </c>
      <c r="F13920" s="30" t="s">
        <v>2163</v>
      </c>
      <c r="H13920" s="30" t="s">
        <v>2166</v>
      </c>
      <c r="J13920" s="30" t="s">
        <v>2168</v>
      </c>
      <c r="L13920" s="30" t="s">
        <v>386</v>
      </c>
      <c r="N13920" s="30" t="s">
        <v>1029</v>
      </c>
      <c r="P13920" s="30" t="s">
        <v>11342</v>
      </c>
      <c r="Q13920" t="s">
        <v>619</v>
      </c>
      <c r="R13920" t="s">
        <v>920</v>
      </c>
      <c r="S13920">
        <v>37</v>
      </c>
      <c r="T13920" s="29" t="str">
        <f>HYPERLINK("https://ictv.global/ictv/proposals/2021.010B.R.Binomial_names.zip","2021.010B.R.Binomial_names.zip")</f>
        <v>2021.010B.R.Binomial_names.zip</v>
      </c>
      <c r="U13920" s="29" t="str">
        <f>HYPERLINK("https://ictv.global/taxonomy/taxondetails?taxnode_id=202305074","ictv.global=202305074")</f>
        <v>ictv.global=202305074</v>
      </c>
    </row>
    <row r="13921" spans="1:21">
      <c r="A13921">
        <v>13920</v>
      </c>
      <c r="B13921" s="30" t="s">
        <v>2145</v>
      </c>
      <c r="D13921" s="30" t="s">
        <v>2146</v>
      </c>
      <c r="F13921" s="30" t="s">
        <v>2163</v>
      </c>
      <c r="H13921" s="30" t="s">
        <v>2166</v>
      </c>
      <c r="J13921" s="30" t="s">
        <v>2168</v>
      </c>
      <c r="L13921" s="30" t="s">
        <v>386</v>
      </c>
      <c r="N13921" s="30" t="s">
        <v>1029</v>
      </c>
      <c r="P13921" s="30" t="s">
        <v>11343</v>
      </c>
      <c r="Q13921" t="s">
        <v>619</v>
      </c>
      <c r="R13921" t="s">
        <v>920</v>
      </c>
      <c r="S13921">
        <v>37</v>
      </c>
      <c r="T13921" s="29" t="str">
        <f>HYPERLINK("https://ictv.global/ictv/proposals/2021.010B.R.Binomial_names.zip","2021.010B.R.Binomial_names.zip")</f>
        <v>2021.010B.R.Binomial_names.zip</v>
      </c>
      <c r="U13921" s="29" t="str">
        <f>HYPERLINK("https://ictv.global/taxonomy/taxondetails?taxnode_id=202305075","ictv.global=202305075")</f>
        <v>ictv.global=202305075</v>
      </c>
    </row>
    <row r="13922" spans="1:21">
      <c r="A13922">
        <v>13921</v>
      </c>
      <c r="B13922" s="30" t="s">
        <v>2145</v>
      </c>
      <c r="D13922" s="30" t="s">
        <v>2146</v>
      </c>
      <c r="F13922" s="30" t="s">
        <v>2163</v>
      </c>
      <c r="H13922" s="30" t="s">
        <v>2166</v>
      </c>
      <c r="J13922" s="30" t="s">
        <v>2168</v>
      </c>
      <c r="L13922" s="30" t="s">
        <v>386</v>
      </c>
      <c r="N13922" s="30" t="s">
        <v>1029</v>
      </c>
      <c r="P13922" s="30" t="s">
        <v>11344</v>
      </c>
      <c r="Q13922" t="s">
        <v>619</v>
      </c>
      <c r="R13922" t="s">
        <v>920</v>
      </c>
      <c r="S13922">
        <v>37</v>
      </c>
      <c r="T13922" s="29" t="str">
        <f>HYPERLINK("https://ictv.global/ictv/proposals/2021.010B.R.Binomial_names.zip","2021.010B.R.Binomial_names.zip")</f>
        <v>2021.010B.R.Binomial_names.zip</v>
      </c>
      <c r="U13922" s="29" t="str">
        <f>HYPERLINK("https://ictv.global/taxonomy/taxondetails?taxnode_id=202305995","ictv.global=202305995")</f>
        <v>ictv.global=202305995</v>
      </c>
    </row>
    <row r="13923" spans="1:21">
      <c r="A13923">
        <v>13922</v>
      </c>
      <c r="B13923" s="30" t="s">
        <v>2145</v>
      </c>
      <c r="D13923" s="30" t="s">
        <v>2146</v>
      </c>
      <c r="F13923" s="30" t="s">
        <v>2163</v>
      </c>
      <c r="H13923" s="30" t="s">
        <v>2166</v>
      </c>
      <c r="J13923" s="30" t="s">
        <v>2168</v>
      </c>
      <c r="L13923" s="30" t="s">
        <v>386</v>
      </c>
      <c r="N13923" s="30" t="s">
        <v>1029</v>
      </c>
      <c r="P13923" s="30" t="s">
        <v>11345</v>
      </c>
      <c r="Q13923" t="s">
        <v>619</v>
      </c>
      <c r="R13923" t="s">
        <v>917</v>
      </c>
      <c r="S13923">
        <v>37</v>
      </c>
      <c r="T13923" s="29" t="str">
        <f>HYPERLINK("https://ictv.global/ictv/proposals/2021.009B.R.Betatectivirus_new species.zip","2021.009B.R.Betatectivirus_new species.zip")</f>
        <v>2021.009B.R.Betatectivirus_new species.zip</v>
      </c>
      <c r="U13923" s="29" t="str">
        <f>HYPERLINK("https://ictv.global/taxonomy/taxondetails?taxnode_id=202313210","ictv.global=202313210")</f>
        <v>ictv.global=202313210</v>
      </c>
    </row>
    <row r="13924" spans="1:21">
      <c r="A13924">
        <v>13923</v>
      </c>
      <c r="B13924" s="30" t="s">
        <v>2145</v>
      </c>
      <c r="D13924" s="30" t="s">
        <v>2146</v>
      </c>
      <c r="F13924" s="30" t="s">
        <v>2163</v>
      </c>
      <c r="H13924" s="30" t="s">
        <v>2166</v>
      </c>
      <c r="J13924" s="30" t="s">
        <v>2168</v>
      </c>
      <c r="L13924" s="30" t="s">
        <v>386</v>
      </c>
      <c r="N13924" s="30" t="s">
        <v>1029</v>
      </c>
      <c r="P13924" s="30" t="s">
        <v>11346</v>
      </c>
      <c r="Q13924" t="s">
        <v>619</v>
      </c>
      <c r="R13924" t="s">
        <v>917</v>
      </c>
      <c r="S13924">
        <v>37</v>
      </c>
      <c r="T13924" s="29" t="str">
        <f>HYPERLINK("https://ictv.global/ictv/proposals/2021.009B.R.Betatectivirus_new species.zip","2021.009B.R.Betatectivirus_new species.zip")</f>
        <v>2021.009B.R.Betatectivirus_new species.zip</v>
      </c>
      <c r="U13924" s="29" t="str">
        <f>HYPERLINK("https://ictv.global/taxonomy/taxondetails?taxnode_id=202313211","ictv.global=202313211")</f>
        <v>ictv.global=202313211</v>
      </c>
    </row>
    <row r="13925" spans="1:21">
      <c r="A13925">
        <v>13924</v>
      </c>
      <c r="B13925" s="30" t="s">
        <v>2145</v>
      </c>
      <c r="D13925" s="30" t="s">
        <v>2146</v>
      </c>
      <c r="F13925" s="30" t="s">
        <v>2163</v>
      </c>
      <c r="H13925" s="30" t="s">
        <v>2166</v>
      </c>
      <c r="J13925" s="30" t="s">
        <v>2168</v>
      </c>
      <c r="L13925" s="30" t="s">
        <v>386</v>
      </c>
      <c r="N13925" s="30" t="s">
        <v>1029</v>
      </c>
      <c r="P13925" s="30" t="s">
        <v>11347</v>
      </c>
      <c r="Q13925" t="s">
        <v>619</v>
      </c>
      <c r="R13925" t="s">
        <v>920</v>
      </c>
      <c r="S13925">
        <v>37</v>
      </c>
      <c r="T13925" s="29" t="str">
        <f>HYPERLINK("https://ictv.global/ictv/proposals/2021.010B.R.Binomial_names.zip","2021.010B.R.Binomial_names.zip")</f>
        <v>2021.010B.R.Binomial_names.zip</v>
      </c>
      <c r="U13925" s="29" t="str">
        <f>HYPERLINK("https://ictv.global/taxonomy/taxondetails?taxnode_id=202305996","ictv.global=202305996")</f>
        <v>ictv.global=202305996</v>
      </c>
    </row>
    <row r="13926" spans="1:21">
      <c r="A13926">
        <v>13925</v>
      </c>
      <c r="B13926" s="30" t="s">
        <v>2145</v>
      </c>
      <c r="D13926" s="30" t="s">
        <v>2146</v>
      </c>
      <c r="F13926" s="30" t="s">
        <v>2163</v>
      </c>
      <c r="H13926" s="30" t="s">
        <v>2166</v>
      </c>
      <c r="J13926" s="30" t="s">
        <v>2168</v>
      </c>
      <c r="L13926" s="30" t="s">
        <v>386</v>
      </c>
      <c r="N13926" s="30" t="s">
        <v>3838</v>
      </c>
      <c r="P13926" s="30" t="s">
        <v>11348</v>
      </c>
      <c r="Q13926" t="s">
        <v>619</v>
      </c>
      <c r="R13926" t="s">
        <v>920</v>
      </c>
      <c r="S13926">
        <v>37</v>
      </c>
      <c r="T13926" s="29" t="str">
        <f>HYPERLINK("https://ictv.global/ictv/proposals/2021.010B.R.Binomial_names.zip","2021.010B.R.Binomial_names.zip")</f>
        <v>2021.010B.R.Binomial_names.zip</v>
      </c>
      <c r="U13926" s="29" t="str">
        <f>HYPERLINK("https://ictv.global/taxonomy/taxondetails?taxnode_id=202309932","ictv.global=202309932")</f>
        <v>ictv.global=202309932</v>
      </c>
    </row>
    <row r="13927" spans="1:21">
      <c r="A13927">
        <v>13926</v>
      </c>
      <c r="B13927" s="30" t="s">
        <v>2145</v>
      </c>
      <c r="D13927" s="30" t="s">
        <v>2146</v>
      </c>
      <c r="F13927" s="30" t="s">
        <v>2163</v>
      </c>
      <c r="H13927" s="30" t="s">
        <v>2166</v>
      </c>
      <c r="J13927" s="30" t="s">
        <v>2168</v>
      </c>
      <c r="L13927" s="30" t="s">
        <v>386</v>
      </c>
      <c r="N13927" s="30" t="s">
        <v>3838</v>
      </c>
      <c r="P13927" s="30" t="s">
        <v>11349</v>
      </c>
      <c r="Q13927" t="s">
        <v>619</v>
      </c>
      <c r="R13927" t="s">
        <v>920</v>
      </c>
      <c r="S13927">
        <v>37</v>
      </c>
      <c r="T13927" s="29" t="str">
        <f>HYPERLINK("https://ictv.global/ictv/proposals/2021.010B.R.Binomial_names.zip","2021.010B.R.Binomial_names.zip")</f>
        <v>2021.010B.R.Binomial_names.zip</v>
      </c>
      <c r="U13927" s="29" t="str">
        <f>HYPERLINK("https://ictv.global/taxonomy/taxondetails?taxnode_id=202309931","ictv.global=202309931")</f>
        <v>ictv.global=202309931</v>
      </c>
    </row>
    <row r="13928" spans="1:21">
      <c r="A13928">
        <v>13927</v>
      </c>
      <c r="B13928" s="30" t="s">
        <v>2145</v>
      </c>
      <c r="D13928" s="30" t="s">
        <v>2146</v>
      </c>
      <c r="F13928" s="30" t="s">
        <v>2163</v>
      </c>
      <c r="H13928" s="30" t="s">
        <v>2166</v>
      </c>
      <c r="J13928" s="30" t="s">
        <v>2168</v>
      </c>
      <c r="L13928" s="30" t="s">
        <v>386</v>
      </c>
      <c r="N13928" s="30" t="s">
        <v>3839</v>
      </c>
      <c r="P13928" s="30" t="s">
        <v>11350</v>
      </c>
      <c r="Q13928" t="s">
        <v>619</v>
      </c>
      <c r="R13928" t="s">
        <v>920</v>
      </c>
      <c r="S13928">
        <v>37</v>
      </c>
      <c r="T13928" s="29" t="str">
        <f>HYPERLINK("https://ictv.global/ictv/proposals/2021.010B.R.Binomial_names.zip","2021.010B.R.Binomial_names.zip")</f>
        <v>2021.010B.R.Binomial_names.zip</v>
      </c>
      <c r="U13928" s="29" t="str">
        <f>HYPERLINK("https://ictv.global/taxonomy/taxondetails?taxnode_id=202309934","ictv.global=202309934")</f>
        <v>ictv.global=202309934</v>
      </c>
    </row>
    <row r="13929" spans="1:21">
      <c r="A13929">
        <v>13928</v>
      </c>
      <c r="B13929" s="30" t="s">
        <v>2145</v>
      </c>
      <c r="D13929" s="30" t="s">
        <v>2146</v>
      </c>
      <c r="F13929" s="30" t="s">
        <v>2163</v>
      </c>
      <c r="H13929" s="30" t="s">
        <v>2166</v>
      </c>
      <c r="J13929" s="30" t="s">
        <v>2168</v>
      </c>
      <c r="L13929" s="30" t="s">
        <v>386</v>
      </c>
      <c r="N13929" s="30" t="s">
        <v>1585</v>
      </c>
      <c r="P13929" s="30" t="s">
        <v>11351</v>
      </c>
      <c r="Q13929" t="s">
        <v>619</v>
      </c>
      <c r="R13929" t="s">
        <v>920</v>
      </c>
      <c r="S13929">
        <v>37</v>
      </c>
      <c r="T13929" s="29" t="str">
        <f>HYPERLINK("https://ictv.global/ictv/proposals/2021.010B.R.Binomial_names.zip","2021.010B.R.Binomial_names.zip")</f>
        <v>2021.010B.R.Binomial_names.zip</v>
      </c>
      <c r="U13929" s="29" t="str">
        <f>HYPERLINK("https://ictv.global/taxonomy/taxondetails?taxnode_id=202306875","ictv.global=202306875")</f>
        <v>ictv.global=202306875</v>
      </c>
    </row>
    <row r="13930" spans="1:21">
      <c r="A13930">
        <v>13929</v>
      </c>
      <c r="B13930" s="30" t="s">
        <v>2145</v>
      </c>
      <c r="D13930" s="30" t="s">
        <v>2146</v>
      </c>
      <c r="F13930" s="30" t="s">
        <v>2163</v>
      </c>
      <c r="H13930" s="30" t="s">
        <v>2166</v>
      </c>
      <c r="J13930" s="30" t="s">
        <v>2169</v>
      </c>
      <c r="L13930" s="30" t="s">
        <v>426</v>
      </c>
      <c r="N13930" s="30" t="s">
        <v>362</v>
      </c>
      <c r="P13930" s="30" t="s">
        <v>18650</v>
      </c>
      <c r="Q13930" t="s">
        <v>619</v>
      </c>
      <c r="R13930" t="s">
        <v>917</v>
      </c>
      <c r="S13930">
        <v>39</v>
      </c>
      <c r="T13930" s="29" t="str">
        <f t="shared" ref="T13930:T13944" si="582">HYPERLINK("https://ictv.global/ictv/proposals/2023.008D.Adenoviridae_1reng_22ns_86rensp.zip","2023.008D.Adenoviridae_1reng_22ns_86rensp.zip")</f>
        <v>2023.008D.Adenoviridae_1reng_22ns_86rensp.zip</v>
      </c>
      <c r="U13930" s="29" t="str">
        <f>HYPERLINK("https://ictv.global/taxonomy/taxondetails?taxnode_id=202317883","ictv.global=202317883")</f>
        <v>ictv.global=202317883</v>
      </c>
    </row>
    <row r="13931" spans="1:21">
      <c r="A13931">
        <v>13930</v>
      </c>
      <c r="B13931" s="30" t="s">
        <v>2145</v>
      </c>
      <c r="D13931" s="30" t="s">
        <v>2146</v>
      </c>
      <c r="F13931" s="30" t="s">
        <v>2163</v>
      </c>
      <c r="H13931" s="30" t="s">
        <v>2166</v>
      </c>
      <c r="J13931" s="30" t="s">
        <v>2169</v>
      </c>
      <c r="L13931" s="30" t="s">
        <v>426</v>
      </c>
      <c r="N13931" s="30" t="s">
        <v>362</v>
      </c>
      <c r="P13931" s="30" t="s">
        <v>18651</v>
      </c>
      <c r="Q13931" t="s">
        <v>619</v>
      </c>
      <c r="R13931" t="s">
        <v>920</v>
      </c>
      <c r="S13931">
        <v>39</v>
      </c>
      <c r="T13931" s="29" t="str">
        <f t="shared" si="582"/>
        <v>2023.008D.Adenoviridae_1reng_22ns_86rensp.zip</v>
      </c>
      <c r="U13931" s="29" t="str">
        <f>HYPERLINK("https://ictv.global/taxonomy/taxondetails?taxnode_id=202302398","ictv.global=202302398")</f>
        <v>ictv.global=202302398</v>
      </c>
    </row>
    <row r="13932" spans="1:21">
      <c r="A13932">
        <v>13931</v>
      </c>
      <c r="B13932" s="30" t="s">
        <v>2145</v>
      </c>
      <c r="D13932" s="30" t="s">
        <v>2146</v>
      </c>
      <c r="F13932" s="30" t="s">
        <v>2163</v>
      </c>
      <c r="H13932" s="30" t="s">
        <v>2166</v>
      </c>
      <c r="J13932" s="30" t="s">
        <v>2169</v>
      </c>
      <c r="L13932" s="30" t="s">
        <v>426</v>
      </c>
      <c r="N13932" s="30" t="s">
        <v>362</v>
      </c>
      <c r="P13932" s="30" t="s">
        <v>18652</v>
      </c>
      <c r="Q13932" t="s">
        <v>619</v>
      </c>
      <c r="R13932" t="s">
        <v>920</v>
      </c>
      <c r="S13932">
        <v>39</v>
      </c>
      <c r="T13932" s="29" t="str">
        <f t="shared" si="582"/>
        <v>2023.008D.Adenoviridae_1reng_22ns_86rensp.zip</v>
      </c>
      <c r="U13932" s="29" t="str">
        <f>HYPERLINK("https://ictv.global/taxonomy/taxondetails?taxnode_id=202302405","ictv.global=202302405")</f>
        <v>ictv.global=202302405</v>
      </c>
    </row>
    <row r="13933" spans="1:21">
      <c r="A13933">
        <v>13932</v>
      </c>
      <c r="B13933" s="30" t="s">
        <v>2145</v>
      </c>
      <c r="D13933" s="30" t="s">
        <v>2146</v>
      </c>
      <c r="F13933" s="30" t="s">
        <v>2163</v>
      </c>
      <c r="H13933" s="30" t="s">
        <v>2166</v>
      </c>
      <c r="J13933" s="30" t="s">
        <v>2169</v>
      </c>
      <c r="L13933" s="30" t="s">
        <v>426</v>
      </c>
      <c r="N13933" s="30" t="s">
        <v>362</v>
      </c>
      <c r="P13933" s="30" t="s">
        <v>18653</v>
      </c>
      <c r="Q13933" t="s">
        <v>619</v>
      </c>
      <c r="R13933" t="s">
        <v>917</v>
      </c>
      <c r="S13933">
        <v>39</v>
      </c>
      <c r="T13933" s="29" t="str">
        <f t="shared" si="582"/>
        <v>2023.008D.Adenoviridae_1reng_22ns_86rensp.zip</v>
      </c>
      <c r="U13933" s="29" t="str">
        <f>HYPERLINK("https://ictv.global/taxonomy/taxondetails?taxnode_id=202317880","ictv.global=202317880")</f>
        <v>ictv.global=202317880</v>
      </c>
    </row>
    <row r="13934" spans="1:21">
      <c r="A13934">
        <v>13933</v>
      </c>
      <c r="B13934" s="30" t="s">
        <v>2145</v>
      </c>
      <c r="D13934" s="30" t="s">
        <v>2146</v>
      </c>
      <c r="F13934" s="30" t="s">
        <v>2163</v>
      </c>
      <c r="H13934" s="30" t="s">
        <v>2166</v>
      </c>
      <c r="J13934" s="30" t="s">
        <v>2169</v>
      </c>
      <c r="L13934" s="30" t="s">
        <v>426</v>
      </c>
      <c r="N13934" s="30" t="s">
        <v>362</v>
      </c>
      <c r="P13934" s="30" t="s">
        <v>18654</v>
      </c>
      <c r="Q13934" t="s">
        <v>619</v>
      </c>
      <c r="R13934" t="s">
        <v>917</v>
      </c>
      <c r="S13934">
        <v>39</v>
      </c>
      <c r="T13934" s="29" t="str">
        <f t="shared" si="582"/>
        <v>2023.008D.Adenoviridae_1reng_22ns_86rensp.zip</v>
      </c>
      <c r="U13934" s="29" t="str">
        <f>HYPERLINK("https://ictv.global/taxonomy/taxondetails?taxnode_id=202317882","ictv.global=202317882")</f>
        <v>ictv.global=202317882</v>
      </c>
    </row>
    <row r="13935" spans="1:21">
      <c r="A13935">
        <v>13934</v>
      </c>
      <c r="B13935" s="30" t="s">
        <v>2145</v>
      </c>
      <c r="D13935" s="30" t="s">
        <v>2146</v>
      </c>
      <c r="F13935" s="30" t="s">
        <v>2163</v>
      </c>
      <c r="H13935" s="30" t="s">
        <v>2166</v>
      </c>
      <c r="J13935" s="30" t="s">
        <v>2169</v>
      </c>
      <c r="L13935" s="30" t="s">
        <v>426</v>
      </c>
      <c r="N13935" s="30" t="s">
        <v>362</v>
      </c>
      <c r="P13935" s="30" t="s">
        <v>18655</v>
      </c>
      <c r="Q13935" t="s">
        <v>619</v>
      </c>
      <c r="R13935" t="s">
        <v>920</v>
      </c>
      <c r="S13935">
        <v>39</v>
      </c>
      <c r="T13935" s="29" t="str">
        <f t="shared" si="582"/>
        <v>2023.008D.Adenoviridae_1reng_22ns_86rensp.zip</v>
      </c>
      <c r="U13935" s="29" t="str">
        <f>HYPERLINK("https://ictv.global/taxonomy/taxondetails?taxnode_id=202302406","ictv.global=202302406")</f>
        <v>ictv.global=202302406</v>
      </c>
    </row>
    <row r="13936" spans="1:21">
      <c r="A13936">
        <v>13935</v>
      </c>
      <c r="B13936" s="30" t="s">
        <v>2145</v>
      </c>
      <c r="D13936" s="30" t="s">
        <v>2146</v>
      </c>
      <c r="F13936" s="30" t="s">
        <v>2163</v>
      </c>
      <c r="H13936" s="30" t="s">
        <v>2166</v>
      </c>
      <c r="J13936" s="30" t="s">
        <v>2169</v>
      </c>
      <c r="L13936" s="30" t="s">
        <v>426</v>
      </c>
      <c r="N13936" s="30" t="s">
        <v>362</v>
      </c>
      <c r="P13936" s="30" t="s">
        <v>18656</v>
      </c>
      <c r="Q13936" t="s">
        <v>619</v>
      </c>
      <c r="R13936" t="s">
        <v>920</v>
      </c>
      <c r="S13936">
        <v>39</v>
      </c>
      <c r="T13936" s="29" t="str">
        <f t="shared" si="582"/>
        <v>2023.008D.Adenoviridae_1reng_22ns_86rensp.zip</v>
      </c>
      <c r="U13936" s="29" t="str">
        <f>HYPERLINK("https://ictv.global/taxonomy/taxondetails?taxnode_id=202305653","ictv.global=202305653")</f>
        <v>ictv.global=202305653</v>
      </c>
    </row>
    <row r="13937" spans="1:21">
      <c r="A13937">
        <v>13936</v>
      </c>
      <c r="B13937" s="30" t="s">
        <v>2145</v>
      </c>
      <c r="D13937" s="30" t="s">
        <v>2146</v>
      </c>
      <c r="F13937" s="30" t="s">
        <v>2163</v>
      </c>
      <c r="H13937" s="30" t="s">
        <v>2166</v>
      </c>
      <c r="J13937" s="30" t="s">
        <v>2169</v>
      </c>
      <c r="L13937" s="30" t="s">
        <v>426</v>
      </c>
      <c r="N13937" s="30" t="s">
        <v>362</v>
      </c>
      <c r="P13937" s="30" t="s">
        <v>18657</v>
      </c>
      <c r="Q13937" t="s">
        <v>619</v>
      </c>
      <c r="R13937" t="s">
        <v>920</v>
      </c>
      <c r="S13937">
        <v>39</v>
      </c>
      <c r="T13937" s="29" t="str">
        <f t="shared" si="582"/>
        <v>2023.008D.Adenoviridae_1reng_22ns_86rensp.zip</v>
      </c>
      <c r="U13937" s="29" t="str">
        <f>HYPERLINK("https://ictv.global/taxonomy/taxondetails?taxnode_id=202302399","ictv.global=202302399")</f>
        <v>ictv.global=202302399</v>
      </c>
    </row>
    <row r="13938" spans="1:21">
      <c r="A13938">
        <v>13937</v>
      </c>
      <c r="B13938" s="30" t="s">
        <v>2145</v>
      </c>
      <c r="D13938" s="30" t="s">
        <v>2146</v>
      </c>
      <c r="F13938" s="30" t="s">
        <v>2163</v>
      </c>
      <c r="H13938" s="30" t="s">
        <v>2166</v>
      </c>
      <c r="J13938" s="30" t="s">
        <v>2169</v>
      </c>
      <c r="L13938" s="30" t="s">
        <v>426</v>
      </c>
      <c r="N13938" s="30" t="s">
        <v>362</v>
      </c>
      <c r="P13938" s="30" t="s">
        <v>18658</v>
      </c>
      <c r="Q13938" t="s">
        <v>619</v>
      </c>
      <c r="R13938" t="s">
        <v>920</v>
      </c>
      <c r="S13938">
        <v>39</v>
      </c>
      <c r="T13938" s="29" t="str">
        <f t="shared" si="582"/>
        <v>2023.008D.Adenoviridae_1reng_22ns_86rensp.zip</v>
      </c>
      <c r="U13938" s="29" t="str">
        <f>HYPERLINK("https://ictv.global/taxonomy/taxondetails?taxnode_id=202302403","ictv.global=202302403")</f>
        <v>ictv.global=202302403</v>
      </c>
    </row>
    <row r="13939" spans="1:21">
      <c r="A13939">
        <v>13938</v>
      </c>
      <c r="B13939" s="30" t="s">
        <v>2145</v>
      </c>
      <c r="D13939" s="30" t="s">
        <v>2146</v>
      </c>
      <c r="F13939" s="30" t="s">
        <v>2163</v>
      </c>
      <c r="H13939" s="30" t="s">
        <v>2166</v>
      </c>
      <c r="J13939" s="30" t="s">
        <v>2169</v>
      </c>
      <c r="L13939" s="30" t="s">
        <v>426</v>
      </c>
      <c r="N13939" s="30" t="s">
        <v>362</v>
      </c>
      <c r="P13939" s="30" t="s">
        <v>18659</v>
      </c>
      <c r="Q13939" t="s">
        <v>619</v>
      </c>
      <c r="R13939" t="s">
        <v>920</v>
      </c>
      <c r="S13939">
        <v>39</v>
      </c>
      <c r="T13939" s="29" t="str">
        <f t="shared" si="582"/>
        <v>2023.008D.Adenoviridae_1reng_22ns_86rensp.zip</v>
      </c>
      <c r="U13939" s="29" t="str">
        <f>HYPERLINK("https://ictv.global/taxonomy/taxondetails?taxnode_id=202302407","ictv.global=202302407")</f>
        <v>ictv.global=202302407</v>
      </c>
    </row>
    <row r="13940" spans="1:21">
      <c r="A13940">
        <v>13939</v>
      </c>
      <c r="B13940" s="30" t="s">
        <v>2145</v>
      </c>
      <c r="D13940" s="30" t="s">
        <v>2146</v>
      </c>
      <c r="F13940" s="30" t="s">
        <v>2163</v>
      </c>
      <c r="H13940" s="30" t="s">
        <v>2166</v>
      </c>
      <c r="J13940" s="30" t="s">
        <v>2169</v>
      </c>
      <c r="L13940" s="30" t="s">
        <v>426</v>
      </c>
      <c r="N13940" s="30" t="s">
        <v>362</v>
      </c>
      <c r="P13940" s="30" t="s">
        <v>18660</v>
      </c>
      <c r="Q13940" t="s">
        <v>619</v>
      </c>
      <c r="R13940" t="s">
        <v>920</v>
      </c>
      <c r="S13940">
        <v>39</v>
      </c>
      <c r="T13940" s="29" t="str">
        <f t="shared" si="582"/>
        <v>2023.008D.Adenoviridae_1reng_22ns_86rensp.zip</v>
      </c>
      <c r="U13940" s="29" t="str">
        <f>HYPERLINK("https://ictv.global/taxonomy/taxondetails?taxnode_id=202302408","ictv.global=202302408")</f>
        <v>ictv.global=202302408</v>
      </c>
    </row>
    <row r="13941" spans="1:21">
      <c r="A13941">
        <v>13940</v>
      </c>
      <c r="B13941" s="30" t="s">
        <v>2145</v>
      </c>
      <c r="D13941" s="30" t="s">
        <v>2146</v>
      </c>
      <c r="F13941" s="30" t="s">
        <v>2163</v>
      </c>
      <c r="H13941" s="30" t="s">
        <v>2166</v>
      </c>
      <c r="J13941" s="30" t="s">
        <v>2169</v>
      </c>
      <c r="L13941" s="30" t="s">
        <v>426</v>
      </c>
      <c r="N13941" s="30" t="s">
        <v>362</v>
      </c>
      <c r="P13941" s="30" t="s">
        <v>18661</v>
      </c>
      <c r="Q13941" t="s">
        <v>619</v>
      </c>
      <c r="R13941" t="s">
        <v>920</v>
      </c>
      <c r="S13941">
        <v>39</v>
      </c>
      <c r="T13941" s="29" t="str">
        <f t="shared" si="582"/>
        <v>2023.008D.Adenoviridae_1reng_22ns_86rensp.zip</v>
      </c>
      <c r="U13941" s="29" t="str">
        <f>HYPERLINK("https://ictv.global/taxonomy/taxondetails?taxnode_id=202302409","ictv.global=202302409")</f>
        <v>ictv.global=202302409</v>
      </c>
    </row>
    <row r="13942" spans="1:21">
      <c r="A13942">
        <v>13941</v>
      </c>
      <c r="B13942" s="30" t="s">
        <v>2145</v>
      </c>
      <c r="D13942" s="30" t="s">
        <v>2146</v>
      </c>
      <c r="F13942" s="30" t="s">
        <v>2163</v>
      </c>
      <c r="H13942" s="30" t="s">
        <v>2166</v>
      </c>
      <c r="J13942" s="30" t="s">
        <v>2169</v>
      </c>
      <c r="L13942" s="30" t="s">
        <v>426</v>
      </c>
      <c r="N13942" s="30" t="s">
        <v>362</v>
      </c>
      <c r="P13942" s="30" t="s">
        <v>18662</v>
      </c>
      <c r="Q13942" t="s">
        <v>619</v>
      </c>
      <c r="R13942" t="s">
        <v>917</v>
      </c>
      <c r="S13942">
        <v>39</v>
      </c>
      <c r="T13942" s="29" t="str">
        <f t="shared" si="582"/>
        <v>2023.008D.Adenoviridae_1reng_22ns_86rensp.zip</v>
      </c>
      <c r="U13942" s="29" t="str">
        <f>HYPERLINK("https://ictv.global/taxonomy/taxondetails?taxnode_id=202317881","ictv.global=202317881")</f>
        <v>ictv.global=202317881</v>
      </c>
    </row>
    <row r="13943" spans="1:21">
      <c r="A13943">
        <v>13942</v>
      </c>
      <c r="B13943" s="30" t="s">
        <v>2145</v>
      </c>
      <c r="D13943" s="30" t="s">
        <v>2146</v>
      </c>
      <c r="F13943" s="30" t="s">
        <v>2163</v>
      </c>
      <c r="H13943" s="30" t="s">
        <v>2166</v>
      </c>
      <c r="J13943" s="30" t="s">
        <v>2169</v>
      </c>
      <c r="L13943" s="30" t="s">
        <v>426</v>
      </c>
      <c r="N13943" s="30" t="s">
        <v>362</v>
      </c>
      <c r="P13943" s="30" t="s">
        <v>18663</v>
      </c>
      <c r="Q13943" t="s">
        <v>619</v>
      </c>
      <c r="R13943" t="s">
        <v>920</v>
      </c>
      <c r="S13943">
        <v>39</v>
      </c>
      <c r="T13943" s="29" t="str">
        <f t="shared" si="582"/>
        <v>2023.008D.Adenoviridae_1reng_22ns_86rensp.zip</v>
      </c>
      <c r="U13943" s="29" t="str">
        <f>HYPERLINK("https://ictv.global/taxonomy/taxondetails?taxnode_id=202302404","ictv.global=202302404")</f>
        <v>ictv.global=202302404</v>
      </c>
    </row>
    <row r="13944" spans="1:21">
      <c r="A13944">
        <v>13943</v>
      </c>
      <c r="B13944" s="30" t="s">
        <v>2145</v>
      </c>
      <c r="D13944" s="30" t="s">
        <v>2146</v>
      </c>
      <c r="F13944" s="30" t="s">
        <v>2163</v>
      </c>
      <c r="H13944" s="30" t="s">
        <v>2166</v>
      </c>
      <c r="J13944" s="30" t="s">
        <v>2169</v>
      </c>
      <c r="L13944" s="30" t="s">
        <v>426</v>
      </c>
      <c r="N13944" s="30" t="s">
        <v>362</v>
      </c>
      <c r="P13944" s="30" t="s">
        <v>18664</v>
      </c>
      <c r="Q13944" t="s">
        <v>619</v>
      </c>
      <c r="R13944" t="s">
        <v>920</v>
      </c>
      <c r="S13944">
        <v>39</v>
      </c>
      <c r="T13944" s="29" t="str">
        <f t="shared" si="582"/>
        <v>2023.008D.Adenoviridae_1reng_22ns_86rensp.zip</v>
      </c>
      <c r="U13944" s="29" t="str">
        <f>HYPERLINK("https://ictv.global/taxonomy/taxondetails?taxnode_id=202302402","ictv.global=202302402")</f>
        <v>ictv.global=202302402</v>
      </c>
    </row>
    <row r="13945" spans="1:21">
      <c r="A13945">
        <v>13944</v>
      </c>
      <c r="B13945" s="30" t="s">
        <v>2145</v>
      </c>
      <c r="D13945" s="30" t="s">
        <v>2146</v>
      </c>
      <c r="F13945" s="30" t="s">
        <v>2163</v>
      </c>
      <c r="H13945" s="30" t="s">
        <v>2166</v>
      </c>
      <c r="J13945" s="30" t="s">
        <v>2169</v>
      </c>
      <c r="L13945" s="30" t="s">
        <v>426</v>
      </c>
      <c r="N13945" s="30" t="s">
        <v>362</v>
      </c>
      <c r="P13945" s="30" t="s">
        <v>11352</v>
      </c>
      <c r="Q13945" t="s">
        <v>619</v>
      </c>
      <c r="R13945" t="s">
        <v>917</v>
      </c>
      <c r="S13945">
        <v>37</v>
      </c>
      <c r="T13945" s="29" t="str">
        <f>HYPERLINK("https://ictv.global/ictv/proposals/2021.001D.R.Adenoviridae_1nsp.zip","2021.001D.R.Adenoviridae_1nsp.zip")</f>
        <v>2021.001D.R.Adenoviridae_1nsp.zip</v>
      </c>
      <c r="U13945" s="29" t="str">
        <f>HYPERLINK("https://ictv.global/taxonomy/taxondetails?taxnode_id=202313423","ictv.global=202313423")</f>
        <v>ictv.global=202313423</v>
      </c>
    </row>
    <row r="13946" spans="1:21">
      <c r="A13946">
        <v>13945</v>
      </c>
      <c r="B13946" s="30" t="s">
        <v>2145</v>
      </c>
      <c r="D13946" s="30" t="s">
        <v>2146</v>
      </c>
      <c r="F13946" s="30" t="s">
        <v>2163</v>
      </c>
      <c r="H13946" s="30" t="s">
        <v>2166</v>
      </c>
      <c r="J13946" s="30" t="s">
        <v>2169</v>
      </c>
      <c r="L13946" s="30" t="s">
        <v>426</v>
      </c>
      <c r="N13946" s="30" t="s">
        <v>362</v>
      </c>
      <c r="P13946" s="30" t="s">
        <v>18665</v>
      </c>
      <c r="Q13946" t="s">
        <v>619</v>
      </c>
      <c r="R13946" t="s">
        <v>917</v>
      </c>
      <c r="S13946">
        <v>39</v>
      </c>
      <c r="T13946" s="29" t="str">
        <f t="shared" ref="T13946:T13977" si="583">HYPERLINK("https://ictv.global/ictv/proposals/2023.008D.Adenoviridae_1reng_22ns_86rensp.zip","2023.008D.Adenoviridae_1reng_22ns_86rensp.zip")</f>
        <v>2023.008D.Adenoviridae_1reng_22ns_86rensp.zip</v>
      </c>
      <c r="U13946" s="29" t="str">
        <f>HYPERLINK("https://ictv.global/taxonomy/taxondetails?taxnode_id=202317886","ictv.global=202317886")</f>
        <v>ictv.global=202317886</v>
      </c>
    </row>
    <row r="13947" spans="1:21">
      <c r="A13947">
        <v>13946</v>
      </c>
      <c r="B13947" s="30" t="s">
        <v>2145</v>
      </c>
      <c r="D13947" s="30" t="s">
        <v>2146</v>
      </c>
      <c r="F13947" s="30" t="s">
        <v>2163</v>
      </c>
      <c r="H13947" s="30" t="s">
        <v>2166</v>
      </c>
      <c r="J13947" s="30" t="s">
        <v>2169</v>
      </c>
      <c r="L13947" s="30" t="s">
        <v>426</v>
      </c>
      <c r="N13947" s="30" t="s">
        <v>362</v>
      </c>
      <c r="P13947" s="30" t="s">
        <v>18666</v>
      </c>
      <c r="Q13947" t="s">
        <v>619</v>
      </c>
      <c r="R13947" t="s">
        <v>920</v>
      </c>
      <c r="S13947">
        <v>39</v>
      </c>
      <c r="T13947" s="29" t="str">
        <f t="shared" si="583"/>
        <v>2023.008D.Adenoviridae_1reng_22ns_86rensp.zip</v>
      </c>
      <c r="U13947" s="29" t="str">
        <f>HYPERLINK("https://ictv.global/taxonomy/taxondetails?taxnode_id=202302401","ictv.global=202302401")</f>
        <v>ictv.global=202302401</v>
      </c>
    </row>
    <row r="13948" spans="1:21">
      <c r="A13948">
        <v>13947</v>
      </c>
      <c r="B13948" s="30" t="s">
        <v>2145</v>
      </c>
      <c r="D13948" s="30" t="s">
        <v>2146</v>
      </c>
      <c r="F13948" s="30" t="s">
        <v>2163</v>
      </c>
      <c r="H13948" s="30" t="s">
        <v>2166</v>
      </c>
      <c r="J13948" s="30" t="s">
        <v>2169</v>
      </c>
      <c r="L13948" s="30" t="s">
        <v>426</v>
      </c>
      <c r="N13948" s="30" t="s">
        <v>362</v>
      </c>
      <c r="P13948" s="30" t="s">
        <v>18667</v>
      </c>
      <c r="Q13948" t="s">
        <v>619</v>
      </c>
      <c r="R13948" t="s">
        <v>920</v>
      </c>
      <c r="S13948">
        <v>39</v>
      </c>
      <c r="T13948" s="29" t="str">
        <f t="shared" si="583"/>
        <v>2023.008D.Adenoviridae_1reng_22ns_86rensp.zip</v>
      </c>
      <c r="U13948" s="29" t="str">
        <f>HYPERLINK("https://ictv.global/taxonomy/taxondetails?taxnode_id=202305654","ictv.global=202305654")</f>
        <v>ictv.global=202305654</v>
      </c>
    </row>
    <row r="13949" spans="1:21">
      <c r="A13949">
        <v>13948</v>
      </c>
      <c r="B13949" s="30" t="s">
        <v>2145</v>
      </c>
      <c r="D13949" s="30" t="s">
        <v>2146</v>
      </c>
      <c r="F13949" s="30" t="s">
        <v>2163</v>
      </c>
      <c r="H13949" s="30" t="s">
        <v>2166</v>
      </c>
      <c r="J13949" s="30" t="s">
        <v>2169</v>
      </c>
      <c r="L13949" s="30" t="s">
        <v>426</v>
      </c>
      <c r="N13949" s="30" t="s">
        <v>362</v>
      </c>
      <c r="P13949" s="30" t="s">
        <v>18668</v>
      </c>
      <c r="Q13949" t="s">
        <v>619</v>
      </c>
      <c r="R13949" t="s">
        <v>920</v>
      </c>
      <c r="S13949">
        <v>39</v>
      </c>
      <c r="T13949" s="29" t="str">
        <f t="shared" si="583"/>
        <v>2023.008D.Adenoviridae_1reng_22ns_86rensp.zip</v>
      </c>
      <c r="U13949" s="29" t="str">
        <f>HYPERLINK("https://ictv.global/taxonomy/taxondetails?taxnode_id=202307192","ictv.global=202307192")</f>
        <v>ictv.global=202307192</v>
      </c>
    </row>
    <row r="13950" spans="1:21">
      <c r="A13950">
        <v>13949</v>
      </c>
      <c r="B13950" s="30" t="s">
        <v>2145</v>
      </c>
      <c r="D13950" s="30" t="s">
        <v>2146</v>
      </c>
      <c r="F13950" s="30" t="s">
        <v>2163</v>
      </c>
      <c r="H13950" s="30" t="s">
        <v>2166</v>
      </c>
      <c r="J13950" s="30" t="s">
        <v>2169</v>
      </c>
      <c r="L13950" s="30" t="s">
        <v>426</v>
      </c>
      <c r="N13950" s="30" t="s">
        <v>362</v>
      </c>
      <c r="P13950" s="30" t="s">
        <v>18669</v>
      </c>
      <c r="Q13950" t="s">
        <v>619</v>
      </c>
      <c r="R13950" t="s">
        <v>917</v>
      </c>
      <c r="S13950">
        <v>39</v>
      </c>
      <c r="T13950" s="29" t="str">
        <f t="shared" si="583"/>
        <v>2023.008D.Adenoviridae_1reng_22ns_86rensp.zip</v>
      </c>
      <c r="U13950" s="29" t="str">
        <f>HYPERLINK("https://ictv.global/taxonomy/taxondetails?taxnode_id=202317884","ictv.global=202317884")</f>
        <v>ictv.global=202317884</v>
      </c>
    </row>
    <row r="13951" spans="1:21">
      <c r="A13951">
        <v>13950</v>
      </c>
      <c r="B13951" s="30" t="s">
        <v>2145</v>
      </c>
      <c r="D13951" s="30" t="s">
        <v>2146</v>
      </c>
      <c r="F13951" s="30" t="s">
        <v>2163</v>
      </c>
      <c r="H13951" s="30" t="s">
        <v>2166</v>
      </c>
      <c r="J13951" s="30" t="s">
        <v>2169</v>
      </c>
      <c r="L13951" s="30" t="s">
        <v>426</v>
      </c>
      <c r="N13951" s="30" t="s">
        <v>362</v>
      </c>
      <c r="P13951" s="30" t="s">
        <v>18670</v>
      </c>
      <c r="Q13951" t="s">
        <v>619</v>
      </c>
      <c r="R13951" t="s">
        <v>917</v>
      </c>
      <c r="S13951">
        <v>39</v>
      </c>
      <c r="T13951" s="29" t="str">
        <f t="shared" si="583"/>
        <v>2023.008D.Adenoviridae_1reng_22ns_86rensp.zip</v>
      </c>
      <c r="U13951" s="29" t="str">
        <f>HYPERLINK("https://ictv.global/taxonomy/taxondetails?taxnode_id=202317885","ictv.global=202317885")</f>
        <v>ictv.global=202317885</v>
      </c>
    </row>
    <row r="13952" spans="1:21">
      <c r="A13952">
        <v>13951</v>
      </c>
      <c r="B13952" s="30" t="s">
        <v>2145</v>
      </c>
      <c r="D13952" s="30" t="s">
        <v>2146</v>
      </c>
      <c r="F13952" s="30" t="s">
        <v>2163</v>
      </c>
      <c r="H13952" s="30" t="s">
        <v>2166</v>
      </c>
      <c r="J13952" s="30" t="s">
        <v>2169</v>
      </c>
      <c r="L13952" s="30" t="s">
        <v>426</v>
      </c>
      <c r="N13952" s="30" t="s">
        <v>362</v>
      </c>
      <c r="P13952" s="30" t="s">
        <v>18671</v>
      </c>
      <c r="Q13952" t="s">
        <v>619</v>
      </c>
      <c r="R13952" t="s">
        <v>920</v>
      </c>
      <c r="S13952">
        <v>39</v>
      </c>
      <c r="T13952" s="29" t="str">
        <f t="shared" si="583"/>
        <v>2023.008D.Adenoviridae_1reng_22ns_86rensp.zip</v>
      </c>
      <c r="U13952" s="29" t="str">
        <f>HYPERLINK("https://ictv.global/taxonomy/taxondetails?taxnode_id=202302400","ictv.global=202302400")</f>
        <v>ictv.global=202302400</v>
      </c>
    </row>
    <row r="13953" spans="1:21">
      <c r="A13953">
        <v>13952</v>
      </c>
      <c r="B13953" s="30" t="s">
        <v>2145</v>
      </c>
      <c r="D13953" s="30" t="s">
        <v>2146</v>
      </c>
      <c r="F13953" s="30" t="s">
        <v>2163</v>
      </c>
      <c r="H13953" s="30" t="s">
        <v>2166</v>
      </c>
      <c r="J13953" s="30" t="s">
        <v>2169</v>
      </c>
      <c r="L13953" s="30" t="s">
        <v>426</v>
      </c>
      <c r="N13953" s="30" t="s">
        <v>18672</v>
      </c>
      <c r="P13953" s="30" t="s">
        <v>18673</v>
      </c>
      <c r="Q13953" t="s">
        <v>619</v>
      </c>
      <c r="R13953" t="s">
        <v>920</v>
      </c>
      <c r="S13953">
        <v>39</v>
      </c>
      <c r="T13953" s="29" t="str">
        <f t="shared" si="583"/>
        <v>2023.008D.Adenoviridae_1reng_22ns_86rensp.zip</v>
      </c>
      <c r="U13953" s="29" t="str">
        <f>HYPERLINK("https://ictv.global/taxonomy/taxondetails?taxnode_id=202302395","ictv.global=202302395")</f>
        <v>ictv.global=202302395</v>
      </c>
    </row>
    <row r="13954" spans="1:21">
      <c r="A13954">
        <v>13953</v>
      </c>
      <c r="B13954" s="30" t="s">
        <v>2145</v>
      </c>
      <c r="D13954" s="30" t="s">
        <v>2146</v>
      </c>
      <c r="F13954" s="30" t="s">
        <v>2163</v>
      </c>
      <c r="H13954" s="30" t="s">
        <v>2166</v>
      </c>
      <c r="J13954" s="30" t="s">
        <v>2169</v>
      </c>
      <c r="L13954" s="30" t="s">
        <v>426</v>
      </c>
      <c r="N13954" s="30" t="s">
        <v>18672</v>
      </c>
      <c r="P13954" s="30" t="s">
        <v>18674</v>
      </c>
      <c r="Q13954" t="s">
        <v>619</v>
      </c>
      <c r="R13954" t="s">
        <v>920</v>
      </c>
      <c r="S13954">
        <v>39</v>
      </c>
      <c r="T13954" s="29" t="str">
        <f t="shared" si="583"/>
        <v>2023.008D.Adenoviridae_1reng_22ns_86rensp.zip</v>
      </c>
      <c r="U13954" s="29" t="str">
        <f>HYPERLINK("https://ictv.global/taxonomy/taxondetails?taxnode_id=202302390","ictv.global=202302390")</f>
        <v>ictv.global=202302390</v>
      </c>
    </row>
    <row r="13955" spans="1:21">
      <c r="A13955">
        <v>13954</v>
      </c>
      <c r="B13955" s="30" t="s">
        <v>2145</v>
      </c>
      <c r="D13955" s="30" t="s">
        <v>2146</v>
      </c>
      <c r="F13955" s="30" t="s">
        <v>2163</v>
      </c>
      <c r="H13955" s="30" t="s">
        <v>2166</v>
      </c>
      <c r="J13955" s="30" t="s">
        <v>2169</v>
      </c>
      <c r="L13955" s="30" t="s">
        <v>426</v>
      </c>
      <c r="N13955" s="30" t="s">
        <v>18672</v>
      </c>
      <c r="P13955" s="30" t="s">
        <v>18675</v>
      </c>
      <c r="Q13955" t="s">
        <v>619</v>
      </c>
      <c r="R13955" t="s">
        <v>917</v>
      </c>
      <c r="S13955">
        <v>39</v>
      </c>
      <c r="T13955" s="29" t="str">
        <f t="shared" si="583"/>
        <v>2023.008D.Adenoviridae_1reng_22ns_86rensp.zip</v>
      </c>
      <c r="U13955" s="29" t="str">
        <f>HYPERLINK("https://ictv.global/taxonomy/taxondetails?taxnode_id=202317875","ictv.global=202317875")</f>
        <v>ictv.global=202317875</v>
      </c>
    </row>
    <row r="13956" spans="1:21">
      <c r="A13956">
        <v>13955</v>
      </c>
      <c r="B13956" s="30" t="s">
        <v>2145</v>
      </c>
      <c r="D13956" s="30" t="s">
        <v>2146</v>
      </c>
      <c r="F13956" s="30" t="s">
        <v>2163</v>
      </c>
      <c r="H13956" s="30" t="s">
        <v>2166</v>
      </c>
      <c r="J13956" s="30" t="s">
        <v>2169</v>
      </c>
      <c r="L13956" s="30" t="s">
        <v>426</v>
      </c>
      <c r="N13956" s="30" t="s">
        <v>18672</v>
      </c>
      <c r="P13956" s="30" t="s">
        <v>18676</v>
      </c>
      <c r="Q13956" t="s">
        <v>619</v>
      </c>
      <c r="R13956" t="s">
        <v>920</v>
      </c>
      <c r="S13956">
        <v>39</v>
      </c>
      <c r="T13956" s="29" t="str">
        <f t="shared" si="583"/>
        <v>2023.008D.Adenoviridae_1reng_22ns_86rensp.zip</v>
      </c>
      <c r="U13956" s="29" t="str">
        <f>HYPERLINK("https://ictv.global/taxonomy/taxondetails?taxnode_id=202309160","ictv.global=202309160")</f>
        <v>ictv.global=202309160</v>
      </c>
    </row>
    <row r="13957" spans="1:21">
      <c r="A13957">
        <v>13956</v>
      </c>
      <c r="B13957" s="30" t="s">
        <v>2145</v>
      </c>
      <c r="D13957" s="30" t="s">
        <v>2146</v>
      </c>
      <c r="F13957" s="30" t="s">
        <v>2163</v>
      </c>
      <c r="H13957" s="30" t="s">
        <v>2166</v>
      </c>
      <c r="J13957" s="30" t="s">
        <v>2169</v>
      </c>
      <c r="L13957" s="30" t="s">
        <v>426</v>
      </c>
      <c r="N13957" s="30" t="s">
        <v>18672</v>
      </c>
      <c r="P13957" s="30" t="s">
        <v>18677</v>
      </c>
      <c r="Q13957" t="s">
        <v>619</v>
      </c>
      <c r="R13957" t="s">
        <v>917</v>
      </c>
      <c r="S13957">
        <v>39</v>
      </c>
      <c r="T13957" s="29" t="str">
        <f t="shared" si="583"/>
        <v>2023.008D.Adenoviridae_1reng_22ns_86rensp.zip</v>
      </c>
      <c r="U13957" s="29" t="str">
        <f>HYPERLINK("https://ictv.global/taxonomy/taxondetails?taxnode_id=202317876","ictv.global=202317876")</f>
        <v>ictv.global=202317876</v>
      </c>
    </row>
    <row r="13958" spans="1:21">
      <c r="A13958">
        <v>13957</v>
      </c>
      <c r="B13958" s="30" t="s">
        <v>2145</v>
      </c>
      <c r="D13958" s="30" t="s">
        <v>2146</v>
      </c>
      <c r="F13958" s="30" t="s">
        <v>2163</v>
      </c>
      <c r="H13958" s="30" t="s">
        <v>2166</v>
      </c>
      <c r="J13958" s="30" t="s">
        <v>2169</v>
      </c>
      <c r="L13958" s="30" t="s">
        <v>426</v>
      </c>
      <c r="N13958" s="30" t="s">
        <v>18672</v>
      </c>
      <c r="P13958" s="30" t="s">
        <v>18678</v>
      </c>
      <c r="Q13958" t="s">
        <v>619</v>
      </c>
      <c r="R13958" t="s">
        <v>920</v>
      </c>
      <c r="S13958">
        <v>39</v>
      </c>
      <c r="T13958" s="29" t="str">
        <f t="shared" si="583"/>
        <v>2023.008D.Adenoviridae_1reng_22ns_86rensp.zip</v>
      </c>
      <c r="U13958" s="29" t="str">
        <f>HYPERLINK("https://ictv.global/taxonomy/taxondetails?taxnode_id=202305652","ictv.global=202305652")</f>
        <v>ictv.global=202305652</v>
      </c>
    </row>
    <row r="13959" spans="1:21">
      <c r="A13959">
        <v>13958</v>
      </c>
      <c r="B13959" s="30" t="s">
        <v>2145</v>
      </c>
      <c r="D13959" s="30" t="s">
        <v>2146</v>
      </c>
      <c r="F13959" s="30" t="s">
        <v>2163</v>
      </c>
      <c r="H13959" s="30" t="s">
        <v>2166</v>
      </c>
      <c r="J13959" s="30" t="s">
        <v>2169</v>
      </c>
      <c r="L13959" s="30" t="s">
        <v>426</v>
      </c>
      <c r="N13959" s="30" t="s">
        <v>18672</v>
      </c>
      <c r="P13959" s="30" t="s">
        <v>18679</v>
      </c>
      <c r="Q13959" t="s">
        <v>619</v>
      </c>
      <c r="R13959" t="s">
        <v>920</v>
      </c>
      <c r="S13959">
        <v>39</v>
      </c>
      <c r="T13959" s="29" t="str">
        <f t="shared" si="583"/>
        <v>2023.008D.Adenoviridae_1reng_22ns_86rensp.zip</v>
      </c>
      <c r="U13959" s="29" t="str">
        <f>HYPERLINK("https://ictv.global/taxonomy/taxondetails?taxnode_id=202309161","ictv.global=202309161")</f>
        <v>ictv.global=202309161</v>
      </c>
    </row>
    <row r="13960" spans="1:21">
      <c r="A13960">
        <v>13959</v>
      </c>
      <c r="B13960" s="30" t="s">
        <v>2145</v>
      </c>
      <c r="D13960" s="30" t="s">
        <v>2146</v>
      </c>
      <c r="F13960" s="30" t="s">
        <v>2163</v>
      </c>
      <c r="H13960" s="30" t="s">
        <v>2166</v>
      </c>
      <c r="J13960" s="30" t="s">
        <v>2169</v>
      </c>
      <c r="L13960" s="30" t="s">
        <v>426</v>
      </c>
      <c r="N13960" s="30" t="s">
        <v>18672</v>
      </c>
      <c r="P13960" s="30" t="s">
        <v>18680</v>
      </c>
      <c r="Q13960" t="s">
        <v>619</v>
      </c>
      <c r="R13960" t="s">
        <v>920</v>
      </c>
      <c r="S13960">
        <v>39</v>
      </c>
      <c r="T13960" s="29" t="str">
        <f t="shared" si="583"/>
        <v>2023.008D.Adenoviridae_1reng_22ns_86rensp.zip</v>
      </c>
      <c r="U13960" s="29" t="str">
        <f>HYPERLINK("https://ictv.global/taxonomy/taxondetails?taxnode_id=202302391","ictv.global=202302391")</f>
        <v>ictv.global=202302391</v>
      </c>
    </row>
    <row r="13961" spans="1:21">
      <c r="A13961">
        <v>13960</v>
      </c>
      <c r="B13961" s="30" t="s">
        <v>2145</v>
      </c>
      <c r="D13961" s="30" t="s">
        <v>2146</v>
      </c>
      <c r="F13961" s="30" t="s">
        <v>2163</v>
      </c>
      <c r="H13961" s="30" t="s">
        <v>2166</v>
      </c>
      <c r="J13961" s="30" t="s">
        <v>2169</v>
      </c>
      <c r="L13961" s="30" t="s">
        <v>426</v>
      </c>
      <c r="N13961" s="30" t="s">
        <v>18672</v>
      </c>
      <c r="P13961" s="30" t="s">
        <v>18681</v>
      </c>
      <c r="Q13961" t="s">
        <v>619</v>
      </c>
      <c r="R13961" t="s">
        <v>917</v>
      </c>
      <c r="S13961">
        <v>39</v>
      </c>
      <c r="T13961" s="29" t="str">
        <f t="shared" si="583"/>
        <v>2023.008D.Adenoviridae_1reng_22ns_86rensp.zip</v>
      </c>
      <c r="U13961" s="29" t="str">
        <f>HYPERLINK("https://ictv.global/taxonomy/taxondetails?taxnode_id=202317877","ictv.global=202317877")</f>
        <v>ictv.global=202317877</v>
      </c>
    </row>
    <row r="13962" spans="1:21">
      <c r="A13962">
        <v>13961</v>
      </c>
      <c r="B13962" s="30" t="s">
        <v>2145</v>
      </c>
      <c r="D13962" s="30" t="s">
        <v>2146</v>
      </c>
      <c r="F13962" s="30" t="s">
        <v>2163</v>
      </c>
      <c r="H13962" s="30" t="s">
        <v>2166</v>
      </c>
      <c r="J13962" s="30" t="s">
        <v>2169</v>
      </c>
      <c r="L13962" s="30" t="s">
        <v>426</v>
      </c>
      <c r="N13962" s="30" t="s">
        <v>18672</v>
      </c>
      <c r="P13962" s="30" t="s">
        <v>18682</v>
      </c>
      <c r="Q13962" t="s">
        <v>619</v>
      </c>
      <c r="R13962" t="s">
        <v>920</v>
      </c>
      <c r="S13962">
        <v>39</v>
      </c>
      <c r="T13962" s="29" t="str">
        <f t="shared" si="583"/>
        <v>2023.008D.Adenoviridae_1reng_22ns_86rensp.zip</v>
      </c>
      <c r="U13962" s="29" t="str">
        <f>HYPERLINK("https://ictv.global/taxonomy/taxondetails?taxnode_id=202302392","ictv.global=202302392")</f>
        <v>ictv.global=202302392</v>
      </c>
    </row>
    <row r="13963" spans="1:21">
      <c r="A13963">
        <v>13962</v>
      </c>
      <c r="B13963" s="30" t="s">
        <v>2145</v>
      </c>
      <c r="D13963" s="30" t="s">
        <v>2146</v>
      </c>
      <c r="F13963" s="30" t="s">
        <v>2163</v>
      </c>
      <c r="H13963" s="30" t="s">
        <v>2166</v>
      </c>
      <c r="J13963" s="30" t="s">
        <v>2169</v>
      </c>
      <c r="L13963" s="30" t="s">
        <v>426</v>
      </c>
      <c r="N13963" s="30" t="s">
        <v>18672</v>
      </c>
      <c r="P13963" s="30" t="s">
        <v>18683</v>
      </c>
      <c r="Q13963" t="s">
        <v>619</v>
      </c>
      <c r="R13963" t="s">
        <v>917</v>
      </c>
      <c r="S13963">
        <v>39</v>
      </c>
      <c r="T13963" s="29" t="str">
        <f t="shared" si="583"/>
        <v>2023.008D.Adenoviridae_1reng_22ns_86rensp.zip</v>
      </c>
      <c r="U13963" s="29" t="str">
        <f>HYPERLINK("https://ictv.global/taxonomy/taxondetails?taxnode_id=202317879","ictv.global=202317879")</f>
        <v>ictv.global=202317879</v>
      </c>
    </row>
    <row r="13964" spans="1:21">
      <c r="A13964">
        <v>13963</v>
      </c>
      <c r="B13964" s="30" t="s">
        <v>2145</v>
      </c>
      <c r="D13964" s="30" t="s">
        <v>2146</v>
      </c>
      <c r="F13964" s="30" t="s">
        <v>2163</v>
      </c>
      <c r="H13964" s="30" t="s">
        <v>2166</v>
      </c>
      <c r="J13964" s="30" t="s">
        <v>2169</v>
      </c>
      <c r="L13964" s="30" t="s">
        <v>426</v>
      </c>
      <c r="N13964" s="30" t="s">
        <v>18672</v>
      </c>
      <c r="P13964" s="30" t="s">
        <v>18684</v>
      </c>
      <c r="Q13964" t="s">
        <v>619</v>
      </c>
      <c r="R13964" t="s">
        <v>917</v>
      </c>
      <c r="S13964">
        <v>39</v>
      </c>
      <c r="T13964" s="29" t="str">
        <f t="shared" si="583"/>
        <v>2023.008D.Adenoviridae_1reng_22ns_86rensp.zip</v>
      </c>
      <c r="U13964" s="29" t="str">
        <f>HYPERLINK("https://ictv.global/taxonomy/taxondetails?taxnode_id=202317873","ictv.global=202317873")</f>
        <v>ictv.global=202317873</v>
      </c>
    </row>
    <row r="13965" spans="1:21">
      <c r="A13965">
        <v>13964</v>
      </c>
      <c r="B13965" s="30" t="s">
        <v>2145</v>
      </c>
      <c r="D13965" s="30" t="s">
        <v>2146</v>
      </c>
      <c r="F13965" s="30" t="s">
        <v>2163</v>
      </c>
      <c r="H13965" s="30" t="s">
        <v>2166</v>
      </c>
      <c r="J13965" s="30" t="s">
        <v>2169</v>
      </c>
      <c r="L13965" s="30" t="s">
        <v>426</v>
      </c>
      <c r="N13965" s="30" t="s">
        <v>18672</v>
      </c>
      <c r="P13965" s="30" t="s">
        <v>18685</v>
      </c>
      <c r="Q13965" t="s">
        <v>619</v>
      </c>
      <c r="R13965" t="s">
        <v>920</v>
      </c>
      <c r="S13965">
        <v>39</v>
      </c>
      <c r="T13965" s="29" t="str">
        <f t="shared" si="583"/>
        <v>2023.008D.Adenoviridae_1reng_22ns_86rensp.zip</v>
      </c>
      <c r="U13965" s="29" t="str">
        <f>HYPERLINK("https://ictv.global/taxonomy/taxondetails?taxnode_id=202302393","ictv.global=202302393")</f>
        <v>ictv.global=202302393</v>
      </c>
    </row>
    <row r="13966" spans="1:21">
      <c r="A13966">
        <v>13965</v>
      </c>
      <c r="B13966" s="30" t="s">
        <v>2145</v>
      </c>
      <c r="D13966" s="30" t="s">
        <v>2146</v>
      </c>
      <c r="F13966" s="30" t="s">
        <v>2163</v>
      </c>
      <c r="H13966" s="30" t="s">
        <v>2166</v>
      </c>
      <c r="J13966" s="30" t="s">
        <v>2169</v>
      </c>
      <c r="L13966" s="30" t="s">
        <v>426</v>
      </c>
      <c r="N13966" s="30" t="s">
        <v>18672</v>
      </c>
      <c r="P13966" s="30" t="s">
        <v>18686</v>
      </c>
      <c r="Q13966" t="s">
        <v>619</v>
      </c>
      <c r="R13966" t="s">
        <v>917</v>
      </c>
      <c r="S13966">
        <v>39</v>
      </c>
      <c r="T13966" s="29" t="str">
        <f t="shared" si="583"/>
        <v>2023.008D.Adenoviridae_1reng_22ns_86rensp.zip</v>
      </c>
      <c r="U13966" s="29" t="str">
        <f>HYPERLINK("https://ictv.global/taxonomy/taxondetails?taxnode_id=202317878","ictv.global=202317878")</f>
        <v>ictv.global=202317878</v>
      </c>
    </row>
    <row r="13967" spans="1:21">
      <c r="A13967">
        <v>13966</v>
      </c>
      <c r="B13967" s="30" t="s">
        <v>2145</v>
      </c>
      <c r="D13967" s="30" t="s">
        <v>2146</v>
      </c>
      <c r="F13967" s="30" t="s">
        <v>2163</v>
      </c>
      <c r="H13967" s="30" t="s">
        <v>2166</v>
      </c>
      <c r="J13967" s="30" t="s">
        <v>2169</v>
      </c>
      <c r="L13967" s="30" t="s">
        <v>426</v>
      </c>
      <c r="N13967" s="30" t="s">
        <v>18672</v>
      </c>
      <c r="P13967" s="30" t="s">
        <v>18687</v>
      </c>
      <c r="Q13967" t="s">
        <v>619</v>
      </c>
      <c r="R13967" t="s">
        <v>920</v>
      </c>
      <c r="S13967">
        <v>39</v>
      </c>
      <c r="T13967" s="29" t="str">
        <f t="shared" si="583"/>
        <v>2023.008D.Adenoviridae_1reng_22ns_86rensp.zip</v>
      </c>
      <c r="U13967" s="29" t="str">
        <f>HYPERLINK("https://ictv.global/taxonomy/taxondetails?taxnode_id=202302396","ictv.global=202302396")</f>
        <v>ictv.global=202302396</v>
      </c>
    </row>
    <row r="13968" spans="1:21">
      <c r="A13968">
        <v>13967</v>
      </c>
      <c r="B13968" s="30" t="s">
        <v>2145</v>
      </c>
      <c r="D13968" s="30" t="s">
        <v>2146</v>
      </c>
      <c r="F13968" s="30" t="s">
        <v>2163</v>
      </c>
      <c r="H13968" s="30" t="s">
        <v>2166</v>
      </c>
      <c r="J13968" s="30" t="s">
        <v>2169</v>
      </c>
      <c r="L13968" s="30" t="s">
        <v>426</v>
      </c>
      <c r="N13968" s="30" t="s">
        <v>18672</v>
      </c>
      <c r="P13968" s="30" t="s">
        <v>18688</v>
      </c>
      <c r="Q13968" t="s">
        <v>619</v>
      </c>
      <c r="R13968" t="s">
        <v>917</v>
      </c>
      <c r="S13968">
        <v>39</v>
      </c>
      <c r="T13968" s="29" t="str">
        <f t="shared" si="583"/>
        <v>2023.008D.Adenoviridae_1reng_22ns_86rensp.zip</v>
      </c>
      <c r="U13968" s="29" t="str">
        <f>HYPERLINK("https://ictv.global/taxonomy/taxondetails?taxnode_id=202317874","ictv.global=202317874")</f>
        <v>ictv.global=202317874</v>
      </c>
    </row>
    <row r="13969" spans="1:21">
      <c r="A13969">
        <v>13968</v>
      </c>
      <c r="B13969" s="30" t="s">
        <v>2145</v>
      </c>
      <c r="D13969" s="30" t="s">
        <v>2146</v>
      </c>
      <c r="F13969" s="30" t="s">
        <v>2163</v>
      </c>
      <c r="H13969" s="30" t="s">
        <v>2166</v>
      </c>
      <c r="J13969" s="30" t="s">
        <v>2169</v>
      </c>
      <c r="L13969" s="30" t="s">
        <v>426</v>
      </c>
      <c r="N13969" s="30" t="s">
        <v>18672</v>
      </c>
      <c r="P13969" s="30" t="s">
        <v>18689</v>
      </c>
      <c r="Q13969" t="s">
        <v>619</v>
      </c>
      <c r="R13969" t="s">
        <v>920</v>
      </c>
      <c r="S13969">
        <v>39</v>
      </c>
      <c r="T13969" s="29" t="str">
        <f t="shared" si="583"/>
        <v>2023.008D.Adenoviridae_1reng_22ns_86rensp.zip</v>
      </c>
      <c r="U13969" s="29" t="str">
        <f>HYPERLINK("https://ictv.global/taxonomy/taxondetails?taxnode_id=202302394","ictv.global=202302394")</f>
        <v>ictv.global=202302394</v>
      </c>
    </row>
    <row r="13970" spans="1:21">
      <c r="A13970">
        <v>13969</v>
      </c>
      <c r="B13970" s="30" t="s">
        <v>2145</v>
      </c>
      <c r="D13970" s="30" t="s">
        <v>2146</v>
      </c>
      <c r="F13970" s="30" t="s">
        <v>2163</v>
      </c>
      <c r="H13970" s="30" t="s">
        <v>2166</v>
      </c>
      <c r="J13970" s="30" t="s">
        <v>2169</v>
      </c>
      <c r="L13970" s="30" t="s">
        <v>426</v>
      </c>
      <c r="N13970" s="30" t="s">
        <v>256</v>
      </c>
      <c r="P13970" s="30" t="s">
        <v>18690</v>
      </c>
      <c r="Q13970" t="s">
        <v>619</v>
      </c>
      <c r="R13970" t="s">
        <v>920</v>
      </c>
      <c r="S13970">
        <v>39</v>
      </c>
      <c r="T13970" s="29" t="str">
        <f t="shared" si="583"/>
        <v>2023.008D.Adenoviridae_1reng_22ns_86rensp.zip</v>
      </c>
      <c r="U13970" s="29" t="str">
        <f>HYPERLINK("https://ictv.global/taxonomy/taxondetails?taxnode_id=202302411","ictv.global=202302411")</f>
        <v>ictv.global=202302411</v>
      </c>
    </row>
    <row r="13971" spans="1:21">
      <c r="A13971">
        <v>13970</v>
      </c>
      <c r="B13971" s="30" t="s">
        <v>2145</v>
      </c>
      <c r="D13971" s="30" t="s">
        <v>2146</v>
      </c>
      <c r="F13971" s="30" t="s">
        <v>2163</v>
      </c>
      <c r="H13971" s="30" t="s">
        <v>2166</v>
      </c>
      <c r="J13971" s="30" t="s">
        <v>2169</v>
      </c>
      <c r="L13971" s="30" t="s">
        <v>426</v>
      </c>
      <c r="N13971" s="30" t="s">
        <v>379</v>
      </c>
      <c r="P13971" s="30" t="s">
        <v>18691</v>
      </c>
      <c r="Q13971" t="s">
        <v>619</v>
      </c>
      <c r="R13971" t="s">
        <v>920</v>
      </c>
      <c r="S13971">
        <v>39</v>
      </c>
      <c r="T13971" s="29" t="str">
        <f t="shared" si="583"/>
        <v>2023.008D.Adenoviridae_1reng_22ns_86rensp.zip</v>
      </c>
      <c r="U13971" s="29" t="str">
        <f>HYPERLINK("https://ictv.global/taxonomy/taxondetails?taxnode_id=202302422","ictv.global=202302422")</f>
        <v>ictv.global=202302422</v>
      </c>
    </row>
    <row r="13972" spans="1:21">
      <c r="A13972">
        <v>13971</v>
      </c>
      <c r="B13972" s="30" t="s">
        <v>2145</v>
      </c>
      <c r="D13972" s="30" t="s">
        <v>2146</v>
      </c>
      <c r="F13972" s="30" t="s">
        <v>2163</v>
      </c>
      <c r="H13972" s="30" t="s">
        <v>2166</v>
      </c>
      <c r="J13972" s="30" t="s">
        <v>2169</v>
      </c>
      <c r="L13972" s="30" t="s">
        <v>426</v>
      </c>
      <c r="N13972" s="30" t="s">
        <v>379</v>
      </c>
      <c r="P13972" s="30" t="s">
        <v>18692</v>
      </c>
      <c r="Q13972" t="s">
        <v>619</v>
      </c>
      <c r="R13972" t="s">
        <v>920</v>
      </c>
      <c r="S13972">
        <v>39</v>
      </c>
      <c r="T13972" s="29" t="str">
        <f t="shared" si="583"/>
        <v>2023.008D.Adenoviridae_1reng_22ns_86rensp.zip</v>
      </c>
      <c r="U13972" s="29" t="str">
        <f>HYPERLINK("https://ictv.global/taxonomy/taxondetails?taxnode_id=202307194","ictv.global=202307194")</f>
        <v>ictv.global=202307194</v>
      </c>
    </row>
    <row r="13973" spans="1:21">
      <c r="A13973">
        <v>13972</v>
      </c>
      <c r="B13973" s="30" t="s">
        <v>2145</v>
      </c>
      <c r="D13973" s="30" t="s">
        <v>2146</v>
      </c>
      <c r="F13973" s="30" t="s">
        <v>2163</v>
      </c>
      <c r="H13973" s="30" t="s">
        <v>2166</v>
      </c>
      <c r="J13973" s="30" t="s">
        <v>2169</v>
      </c>
      <c r="L13973" s="30" t="s">
        <v>426</v>
      </c>
      <c r="N13973" s="30" t="s">
        <v>379</v>
      </c>
      <c r="P13973" s="30" t="s">
        <v>18693</v>
      </c>
      <c r="Q13973" t="s">
        <v>619</v>
      </c>
      <c r="R13973" t="s">
        <v>920</v>
      </c>
      <c r="S13973">
        <v>39</v>
      </c>
      <c r="T13973" s="29" t="str">
        <f t="shared" si="583"/>
        <v>2023.008D.Adenoviridae_1reng_22ns_86rensp.zip</v>
      </c>
      <c r="U13973" s="29" t="str">
        <f>HYPERLINK("https://ictv.global/taxonomy/taxondetails?taxnode_id=202302443","ictv.global=202302443")</f>
        <v>ictv.global=202302443</v>
      </c>
    </row>
    <row r="13974" spans="1:21">
      <c r="A13974">
        <v>13973</v>
      </c>
      <c r="B13974" s="30" t="s">
        <v>2145</v>
      </c>
      <c r="D13974" s="30" t="s">
        <v>2146</v>
      </c>
      <c r="F13974" s="30" t="s">
        <v>2163</v>
      </c>
      <c r="H13974" s="30" t="s">
        <v>2166</v>
      </c>
      <c r="J13974" s="30" t="s">
        <v>2169</v>
      </c>
      <c r="L13974" s="30" t="s">
        <v>426</v>
      </c>
      <c r="N13974" s="30" t="s">
        <v>379</v>
      </c>
      <c r="P13974" s="30" t="s">
        <v>18694</v>
      </c>
      <c r="Q13974" t="s">
        <v>619</v>
      </c>
      <c r="R13974" t="s">
        <v>920</v>
      </c>
      <c r="S13974">
        <v>39</v>
      </c>
      <c r="T13974" s="29" t="str">
        <f t="shared" si="583"/>
        <v>2023.008D.Adenoviridae_1reng_22ns_86rensp.zip</v>
      </c>
      <c r="U13974" s="29" t="str">
        <f>HYPERLINK("https://ictv.global/taxonomy/taxondetails?taxnode_id=202307195","ictv.global=202307195")</f>
        <v>ictv.global=202307195</v>
      </c>
    </row>
    <row r="13975" spans="1:21">
      <c r="A13975">
        <v>13974</v>
      </c>
      <c r="B13975" s="30" t="s">
        <v>2145</v>
      </c>
      <c r="D13975" s="30" t="s">
        <v>2146</v>
      </c>
      <c r="F13975" s="30" t="s">
        <v>2163</v>
      </c>
      <c r="H13975" s="30" t="s">
        <v>2166</v>
      </c>
      <c r="J13975" s="30" t="s">
        <v>2169</v>
      </c>
      <c r="L13975" s="30" t="s">
        <v>426</v>
      </c>
      <c r="N13975" s="30" t="s">
        <v>379</v>
      </c>
      <c r="P13975" s="30" t="s">
        <v>18695</v>
      </c>
      <c r="Q13975" t="s">
        <v>619</v>
      </c>
      <c r="R13975" t="s">
        <v>920</v>
      </c>
      <c r="S13975">
        <v>39</v>
      </c>
      <c r="T13975" s="29" t="str">
        <f t="shared" si="583"/>
        <v>2023.008D.Adenoviridae_1reng_22ns_86rensp.zip</v>
      </c>
      <c r="U13975" s="29" t="str">
        <f>HYPERLINK("https://ictv.global/taxonomy/taxondetails?taxnode_id=202302423","ictv.global=202302423")</f>
        <v>ictv.global=202302423</v>
      </c>
    </row>
    <row r="13976" spans="1:21">
      <c r="A13976">
        <v>13975</v>
      </c>
      <c r="B13976" s="30" t="s">
        <v>2145</v>
      </c>
      <c r="D13976" s="30" t="s">
        <v>2146</v>
      </c>
      <c r="F13976" s="30" t="s">
        <v>2163</v>
      </c>
      <c r="H13976" s="30" t="s">
        <v>2166</v>
      </c>
      <c r="J13976" s="30" t="s">
        <v>2169</v>
      </c>
      <c r="L13976" s="30" t="s">
        <v>426</v>
      </c>
      <c r="N13976" s="30" t="s">
        <v>379</v>
      </c>
      <c r="P13976" s="30" t="s">
        <v>18696</v>
      </c>
      <c r="Q13976" t="s">
        <v>619</v>
      </c>
      <c r="R13976" t="s">
        <v>920</v>
      </c>
      <c r="S13976">
        <v>39</v>
      </c>
      <c r="T13976" s="29" t="str">
        <f t="shared" si="583"/>
        <v>2023.008D.Adenoviridae_1reng_22ns_86rensp.zip</v>
      </c>
      <c r="U13976" s="29" t="str">
        <f>HYPERLINK("https://ictv.global/taxonomy/taxondetails?taxnode_id=202302417","ictv.global=202302417")</f>
        <v>ictv.global=202302417</v>
      </c>
    </row>
    <row r="13977" spans="1:21">
      <c r="A13977">
        <v>13976</v>
      </c>
      <c r="B13977" s="30" t="s">
        <v>2145</v>
      </c>
      <c r="D13977" s="30" t="s">
        <v>2146</v>
      </c>
      <c r="F13977" s="30" t="s">
        <v>2163</v>
      </c>
      <c r="H13977" s="30" t="s">
        <v>2166</v>
      </c>
      <c r="J13977" s="30" t="s">
        <v>2169</v>
      </c>
      <c r="L13977" s="30" t="s">
        <v>426</v>
      </c>
      <c r="N13977" s="30" t="s">
        <v>379</v>
      </c>
      <c r="P13977" s="30" t="s">
        <v>18697</v>
      </c>
      <c r="Q13977" t="s">
        <v>619</v>
      </c>
      <c r="R13977" t="s">
        <v>920</v>
      </c>
      <c r="S13977">
        <v>39</v>
      </c>
      <c r="T13977" s="29" t="str">
        <f t="shared" si="583"/>
        <v>2023.008D.Adenoviridae_1reng_22ns_86rensp.zip</v>
      </c>
      <c r="U13977" s="29" t="str">
        <f>HYPERLINK("https://ictv.global/taxonomy/taxondetails?taxnode_id=202302415","ictv.global=202302415")</f>
        <v>ictv.global=202302415</v>
      </c>
    </row>
    <row r="13978" spans="1:21">
      <c r="A13978">
        <v>13977</v>
      </c>
      <c r="B13978" s="30" t="s">
        <v>2145</v>
      </c>
      <c r="D13978" s="30" t="s">
        <v>2146</v>
      </c>
      <c r="F13978" s="30" t="s">
        <v>2163</v>
      </c>
      <c r="H13978" s="30" t="s">
        <v>2166</v>
      </c>
      <c r="J13978" s="30" t="s">
        <v>2169</v>
      </c>
      <c r="L13978" s="30" t="s">
        <v>426</v>
      </c>
      <c r="N13978" s="30" t="s">
        <v>379</v>
      </c>
      <c r="P13978" s="30" t="s">
        <v>18698</v>
      </c>
      <c r="Q13978" t="s">
        <v>619</v>
      </c>
      <c r="R13978" t="s">
        <v>920</v>
      </c>
      <c r="S13978">
        <v>39</v>
      </c>
      <c r="T13978" s="29" t="str">
        <f t="shared" ref="T13978:T14009" si="584">HYPERLINK("https://ictv.global/ictv/proposals/2023.008D.Adenoviridae_1reng_22ns_86rensp.zip","2023.008D.Adenoviridae_1reng_22ns_86rensp.zip")</f>
        <v>2023.008D.Adenoviridae_1reng_22ns_86rensp.zip</v>
      </c>
      <c r="U13978" s="29" t="str">
        <f>HYPERLINK("https://ictv.global/taxonomy/taxondetails?taxnode_id=202302416","ictv.global=202302416")</f>
        <v>ictv.global=202302416</v>
      </c>
    </row>
    <row r="13979" spans="1:21">
      <c r="A13979">
        <v>13978</v>
      </c>
      <c r="B13979" s="30" t="s">
        <v>2145</v>
      </c>
      <c r="D13979" s="30" t="s">
        <v>2146</v>
      </c>
      <c r="F13979" s="30" t="s">
        <v>2163</v>
      </c>
      <c r="H13979" s="30" t="s">
        <v>2166</v>
      </c>
      <c r="J13979" s="30" t="s">
        <v>2169</v>
      </c>
      <c r="L13979" s="30" t="s">
        <v>426</v>
      </c>
      <c r="N13979" s="30" t="s">
        <v>379</v>
      </c>
      <c r="P13979" s="30" t="s">
        <v>18699</v>
      </c>
      <c r="Q13979" t="s">
        <v>619</v>
      </c>
      <c r="R13979" t="s">
        <v>920</v>
      </c>
      <c r="S13979">
        <v>39</v>
      </c>
      <c r="T13979" s="29" t="str">
        <f t="shared" si="584"/>
        <v>2023.008D.Adenoviridae_1reng_22ns_86rensp.zip</v>
      </c>
      <c r="U13979" s="29" t="str">
        <f>HYPERLINK("https://ictv.global/taxonomy/taxondetails?taxnode_id=202302432","ictv.global=202302432")</f>
        <v>ictv.global=202302432</v>
      </c>
    </row>
    <row r="13980" spans="1:21">
      <c r="A13980">
        <v>13979</v>
      </c>
      <c r="B13980" s="30" t="s">
        <v>2145</v>
      </c>
      <c r="D13980" s="30" t="s">
        <v>2146</v>
      </c>
      <c r="F13980" s="30" t="s">
        <v>2163</v>
      </c>
      <c r="H13980" s="30" t="s">
        <v>2166</v>
      </c>
      <c r="J13980" s="30" t="s">
        <v>2169</v>
      </c>
      <c r="L13980" s="30" t="s">
        <v>426</v>
      </c>
      <c r="N13980" s="30" t="s">
        <v>379</v>
      </c>
      <c r="P13980" s="30" t="s">
        <v>18700</v>
      </c>
      <c r="Q13980" t="s">
        <v>619</v>
      </c>
      <c r="R13980" t="s">
        <v>920</v>
      </c>
      <c r="S13980">
        <v>39</v>
      </c>
      <c r="T13980" s="29" t="str">
        <f t="shared" si="584"/>
        <v>2023.008D.Adenoviridae_1reng_22ns_86rensp.zip</v>
      </c>
      <c r="U13980" s="29" t="str">
        <f>HYPERLINK("https://ictv.global/taxonomy/taxondetails?taxnode_id=202302424","ictv.global=202302424")</f>
        <v>ictv.global=202302424</v>
      </c>
    </row>
    <row r="13981" spans="1:21">
      <c r="A13981">
        <v>13980</v>
      </c>
      <c r="B13981" s="30" t="s">
        <v>2145</v>
      </c>
      <c r="D13981" s="30" t="s">
        <v>2146</v>
      </c>
      <c r="F13981" s="30" t="s">
        <v>2163</v>
      </c>
      <c r="H13981" s="30" t="s">
        <v>2166</v>
      </c>
      <c r="J13981" s="30" t="s">
        <v>2169</v>
      </c>
      <c r="L13981" s="30" t="s">
        <v>426</v>
      </c>
      <c r="N13981" s="30" t="s">
        <v>379</v>
      </c>
      <c r="P13981" s="30" t="s">
        <v>18701</v>
      </c>
      <c r="Q13981" t="s">
        <v>619</v>
      </c>
      <c r="R13981" t="s">
        <v>920</v>
      </c>
      <c r="S13981">
        <v>39</v>
      </c>
      <c r="T13981" s="29" t="str">
        <f t="shared" si="584"/>
        <v>2023.008D.Adenoviridae_1reng_22ns_86rensp.zip</v>
      </c>
      <c r="U13981" s="29" t="str">
        <f>HYPERLINK("https://ictv.global/taxonomy/taxondetails?taxnode_id=202302418","ictv.global=202302418")</f>
        <v>ictv.global=202302418</v>
      </c>
    </row>
    <row r="13982" spans="1:21">
      <c r="A13982">
        <v>13981</v>
      </c>
      <c r="B13982" s="30" t="s">
        <v>2145</v>
      </c>
      <c r="D13982" s="30" t="s">
        <v>2146</v>
      </c>
      <c r="F13982" s="30" t="s">
        <v>2163</v>
      </c>
      <c r="H13982" s="30" t="s">
        <v>2166</v>
      </c>
      <c r="J13982" s="30" t="s">
        <v>2169</v>
      </c>
      <c r="L13982" s="30" t="s">
        <v>426</v>
      </c>
      <c r="N13982" s="30" t="s">
        <v>379</v>
      </c>
      <c r="P13982" s="30" t="s">
        <v>18702</v>
      </c>
      <c r="Q13982" t="s">
        <v>619</v>
      </c>
      <c r="R13982" t="s">
        <v>920</v>
      </c>
      <c r="S13982">
        <v>39</v>
      </c>
      <c r="T13982" s="29" t="str">
        <f t="shared" si="584"/>
        <v>2023.008D.Adenoviridae_1reng_22ns_86rensp.zip</v>
      </c>
      <c r="U13982" s="29" t="str">
        <f>HYPERLINK("https://ictv.global/taxonomy/taxondetails?taxnode_id=202309162","ictv.global=202309162")</f>
        <v>ictv.global=202309162</v>
      </c>
    </row>
    <row r="13983" spans="1:21">
      <c r="A13983">
        <v>13982</v>
      </c>
      <c r="B13983" s="30" t="s">
        <v>2145</v>
      </c>
      <c r="D13983" s="30" t="s">
        <v>2146</v>
      </c>
      <c r="F13983" s="30" t="s">
        <v>2163</v>
      </c>
      <c r="H13983" s="30" t="s">
        <v>2166</v>
      </c>
      <c r="J13983" s="30" t="s">
        <v>2169</v>
      </c>
      <c r="L13983" s="30" t="s">
        <v>426</v>
      </c>
      <c r="N13983" s="30" t="s">
        <v>379</v>
      </c>
      <c r="P13983" s="30" t="s">
        <v>18703</v>
      </c>
      <c r="Q13983" t="s">
        <v>619</v>
      </c>
      <c r="R13983" t="s">
        <v>920</v>
      </c>
      <c r="S13983">
        <v>39</v>
      </c>
      <c r="T13983" s="29" t="str">
        <f t="shared" si="584"/>
        <v>2023.008D.Adenoviridae_1reng_22ns_86rensp.zip</v>
      </c>
      <c r="U13983" s="29" t="str">
        <f>HYPERLINK("https://ictv.global/taxonomy/taxondetails?taxnode_id=202305660","ictv.global=202305660")</f>
        <v>ictv.global=202305660</v>
      </c>
    </row>
    <row r="13984" spans="1:21">
      <c r="A13984">
        <v>13983</v>
      </c>
      <c r="B13984" s="30" t="s">
        <v>2145</v>
      </c>
      <c r="D13984" s="30" t="s">
        <v>2146</v>
      </c>
      <c r="F13984" s="30" t="s">
        <v>2163</v>
      </c>
      <c r="H13984" s="30" t="s">
        <v>2166</v>
      </c>
      <c r="J13984" s="30" t="s">
        <v>2169</v>
      </c>
      <c r="L13984" s="30" t="s">
        <v>426</v>
      </c>
      <c r="N13984" s="30" t="s">
        <v>379</v>
      </c>
      <c r="P13984" s="30" t="s">
        <v>18704</v>
      </c>
      <c r="Q13984" t="s">
        <v>619</v>
      </c>
      <c r="R13984" t="s">
        <v>917</v>
      </c>
      <c r="S13984">
        <v>39</v>
      </c>
      <c r="T13984" s="29" t="str">
        <f t="shared" si="584"/>
        <v>2023.008D.Adenoviridae_1reng_22ns_86rensp.zip</v>
      </c>
      <c r="U13984" s="29" t="str">
        <f>HYPERLINK("https://ictv.global/taxonomy/taxondetails?taxnode_id=202317889","ictv.global=202317889")</f>
        <v>ictv.global=202317889</v>
      </c>
    </row>
    <row r="13985" spans="1:21">
      <c r="A13985">
        <v>13984</v>
      </c>
      <c r="B13985" s="30" t="s">
        <v>2145</v>
      </c>
      <c r="D13985" s="30" t="s">
        <v>2146</v>
      </c>
      <c r="F13985" s="30" t="s">
        <v>2163</v>
      </c>
      <c r="H13985" s="30" t="s">
        <v>2166</v>
      </c>
      <c r="J13985" s="30" t="s">
        <v>2169</v>
      </c>
      <c r="L13985" s="30" t="s">
        <v>426</v>
      </c>
      <c r="N13985" s="30" t="s">
        <v>379</v>
      </c>
      <c r="P13985" s="30" t="s">
        <v>18705</v>
      </c>
      <c r="Q13985" t="s">
        <v>619</v>
      </c>
      <c r="R13985" t="s">
        <v>920</v>
      </c>
      <c r="S13985">
        <v>39</v>
      </c>
      <c r="T13985" s="29" t="str">
        <f t="shared" si="584"/>
        <v>2023.008D.Adenoviridae_1reng_22ns_86rensp.zip</v>
      </c>
      <c r="U13985" s="29" t="str">
        <f>HYPERLINK("https://ictv.global/taxonomy/taxondetails?taxnode_id=202302444","ictv.global=202302444")</f>
        <v>ictv.global=202302444</v>
      </c>
    </row>
    <row r="13986" spans="1:21">
      <c r="A13986">
        <v>13985</v>
      </c>
      <c r="B13986" s="30" t="s">
        <v>2145</v>
      </c>
      <c r="D13986" s="30" t="s">
        <v>2146</v>
      </c>
      <c r="F13986" s="30" t="s">
        <v>2163</v>
      </c>
      <c r="H13986" s="30" t="s">
        <v>2166</v>
      </c>
      <c r="J13986" s="30" t="s">
        <v>2169</v>
      </c>
      <c r="L13986" s="30" t="s">
        <v>426</v>
      </c>
      <c r="N13986" s="30" t="s">
        <v>379</v>
      </c>
      <c r="P13986" s="30" t="s">
        <v>18706</v>
      </c>
      <c r="Q13986" t="s">
        <v>619</v>
      </c>
      <c r="R13986" t="s">
        <v>920</v>
      </c>
      <c r="S13986">
        <v>39</v>
      </c>
      <c r="T13986" s="29" t="str">
        <f t="shared" si="584"/>
        <v>2023.008D.Adenoviridae_1reng_22ns_86rensp.zip</v>
      </c>
      <c r="U13986" s="29" t="str">
        <f>HYPERLINK("https://ictv.global/taxonomy/taxondetails?taxnode_id=202302431","ictv.global=202302431")</f>
        <v>ictv.global=202302431</v>
      </c>
    </row>
    <row r="13987" spans="1:21">
      <c r="A13987">
        <v>13986</v>
      </c>
      <c r="B13987" s="30" t="s">
        <v>2145</v>
      </c>
      <c r="D13987" s="30" t="s">
        <v>2146</v>
      </c>
      <c r="F13987" s="30" t="s">
        <v>2163</v>
      </c>
      <c r="H13987" s="30" t="s">
        <v>2166</v>
      </c>
      <c r="J13987" s="30" t="s">
        <v>2169</v>
      </c>
      <c r="L13987" s="30" t="s">
        <v>426</v>
      </c>
      <c r="N13987" s="30" t="s">
        <v>379</v>
      </c>
      <c r="P13987" s="30" t="s">
        <v>18707</v>
      </c>
      <c r="Q13987" t="s">
        <v>619</v>
      </c>
      <c r="R13987" t="s">
        <v>920</v>
      </c>
      <c r="S13987">
        <v>39</v>
      </c>
      <c r="T13987" s="29" t="str">
        <f t="shared" si="584"/>
        <v>2023.008D.Adenoviridae_1reng_22ns_86rensp.zip</v>
      </c>
      <c r="U13987" s="29" t="str">
        <f>HYPERLINK("https://ictv.global/taxonomy/taxondetails?taxnode_id=202302441","ictv.global=202302441")</f>
        <v>ictv.global=202302441</v>
      </c>
    </row>
    <row r="13988" spans="1:21">
      <c r="A13988">
        <v>13987</v>
      </c>
      <c r="B13988" s="30" t="s">
        <v>2145</v>
      </c>
      <c r="D13988" s="30" t="s">
        <v>2146</v>
      </c>
      <c r="F13988" s="30" t="s">
        <v>2163</v>
      </c>
      <c r="H13988" s="30" t="s">
        <v>2166</v>
      </c>
      <c r="J13988" s="30" t="s">
        <v>2169</v>
      </c>
      <c r="L13988" s="30" t="s">
        <v>426</v>
      </c>
      <c r="N13988" s="30" t="s">
        <v>379</v>
      </c>
      <c r="P13988" s="30" t="s">
        <v>18708</v>
      </c>
      <c r="Q13988" t="s">
        <v>619</v>
      </c>
      <c r="R13988" t="s">
        <v>920</v>
      </c>
      <c r="S13988">
        <v>39</v>
      </c>
      <c r="T13988" s="29" t="str">
        <f t="shared" si="584"/>
        <v>2023.008D.Adenoviridae_1reng_22ns_86rensp.zip</v>
      </c>
      <c r="U13988" s="29" t="str">
        <f>HYPERLINK("https://ictv.global/taxonomy/taxondetails?taxnode_id=202305661","ictv.global=202305661")</f>
        <v>ictv.global=202305661</v>
      </c>
    </row>
    <row r="13989" spans="1:21">
      <c r="A13989">
        <v>13988</v>
      </c>
      <c r="B13989" s="30" t="s">
        <v>2145</v>
      </c>
      <c r="D13989" s="30" t="s">
        <v>2146</v>
      </c>
      <c r="F13989" s="30" t="s">
        <v>2163</v>
      </c>
      <c r="H13989" s="30" t="s">
        <v>2166</v>
      </c>
      <c r="J13989" s="30" t="s">
        <v>2169</v>
      </c>
      <c r="L13989" s="30" t="s">
        <v>426</v>
      </c>
      <c r="N13989" s="30" t="s">
        <v>379</v>
      </c>
      <c r="P13989" s="30" t="s">
        <v>18709</v>
      </c>
      <c r="Q13989" t="s">
        <v>619</v>
      </c>
      <c r="R13989" t="s">
        <v>920</v>
      </c>
      <c r="S13989">
        <v>39</v>
      </c>
      <c r="T13989" s="29" t="str">
        <f t="shared" si="584"/>
        <v>2023.008D.Adenoviridae_1reng_22ns_86rensp.zip</v>
      </c>
      <c r="U13989" s="29" t="str">
        <f>HYPERLINK("https://ictv.global/taxonomy/taxondetails?taxnode_id=202302419","ictv.global=202302419")</f>
        <v>ictv.global=202302419</v>
      </c>
    </row>
    <row r="13990" spans="1:21">
      <c r="A13990">
        <v>13989</v>
      </c>
      <c r="B13990" s="30" t="s">
        <v>2145</v>
      </c>
      <c r="D13990" s="30" t="s">
        <v>2146</v>
      </c>
      <c r="F13990" s="30" t="s">
        <v>2163</v>
      </c>
      <c r="H13990" s="30" t="s">
        <v>2166</v>
      </c>
      <c r="J13990" s="30" t="s">
        <v>2169</v>
      </c>
      <c r="L13990" s="30" t="s">
        <v>426</v>
      </c>
      <c r="N13990" s="30" t="s">
        <v>379</v>
      </c>
      <c r="P13990" s="30" t="s">
        <v>18710</v>
      </c>
      <c r="Q13990" t="s">
        <v>619</v>
      </c>
      <c r="R13990" t="s">
        <v>917</v>
      </c>
      <c r="S13990">
        <v>39</v>
      </c>
      <c r="T13990" s="29" t="str">
        <f t="shared" si="584"/>
        <v>2023.008D.Adenoviridae_1reng_22ns_86rensp.zip</v>
      </c>
      <c r="U13990" s="29" t="str">
        <f>HYPERLINK("https://ictv.global/taxonomy/taxondetails?taxnode_id=202317891","ictv.global=202317891")</f>
        <v>ictv.global=202317891</v>
      </c>
    </row>
    <row r="13991" spans="1:21">
      <c r="A13991">
        <v>13990</v>
      </c>
      <c r="B13991" s="30" t="s">
        <v>2145</v>
      </c>
      <c r="D13991" s="30" t="s">
        <v>2146</v>
      </c>
      <c r="F13991" s="30" t="s">
        <v>2163</v>
      </c>
      <c r="H13991" s="30" t="s">
        <v>2166</v>
      </c>
      <c r="J13991" s="30" t="s">
        <v>2169</v>
      </c>
      <c r="L13991" s="30" t="s">
        <v>426</v>
      </c>
      <c r="N13991" s="30" t="s">
        <v>379</v>
      </c>
      <c r="P13991" s="30" t="s">
        <v>18711</v>
      </c>
      <c r="Q13991" t="s">
        <v>619</v>
      </c>
      <c r="R13991" t="s">
        <v>920</v>
      </c>
      <c r="S13991">
        <v>39</v>
      </c>
      <c r="T13991" s="29" t="str">
        <f t="shared" si="584"/>
        <v>2023.008D.Adenoviridae_1reng_22ns_86rensp.zip</v>
      </c>
      <c r="U13991" s="29" t="str">
        <f>HYPERLINK("https://ictv.global/taxonomy/taxondetails?taxnode_id=202302425","ictv.global=202302425")</f>
        <v>ictv.global=202302425</v>
      </c>
    </row>
    <row r="13992" spans="1:21">
      <c r="A13992">
        <v>13991</v>
      </c>
      <c r="B13992" s="30" t="s">
        <v>2145</v>
      </c>
      <c r="D13992" s="30" t="s">
        <v>2146</v>
      </c>
      <c r="F13992" s="30" t="s">
        <v>2163</v>
      </c>
      <c r="H13992" s="30" t="s">
        <v>2166</v>
      </c>
      <c r="J13992" s="30" t="s">
        <v>2169</v>
      </c>
      <c r="L13992" s="30" t="s">
        <v>426</v>
      </c>
      <c r="N13992" s="30" t="s">
        <v>379</v>
      </c>
      <c r="P13992" s="30" t="s">
        <v>18712</v>
      </c>
      <c r="Q13992" t="s">
        <v>619</v>
      </c>
      <c r="R13992" t="s">
        <v>920</v>
      </c>
      <c r="S13992">
        <v>39</v>
      </c>
      <c r="T13992" s="29" t="str">
        <f t="shared" si="584"/>
        <v>2023.008D.Adenoviridae_1reng_22ns_86rensp.zip</v>
      </c>
      <c r="U13992" s="29" t="str">
        <f>HYPERLINK("https://ictv.global/taxonomy/taxondetails?taxnode_id=202307193","ictv.global=202307193")</f>
        <v>ictv.global=202307193</v>
      </c>
    </row>
    <row r="13993" spans="1:21">
      <c r="A13993">
        <v>13992</v>
      </c>
      <c r="B13993" s="30" t="s">
        <v>2145</v>
      </c>
      <c r="D13993" s="30" t="s">
        <v>2146</v>
      </c>
      <c r="F13993" s="30" t="s">
        <v>2163</v>
      </c>
      <c r="H13993" s="30" t="s">
        <v>2166</v>
      </c>
      <c r="J13993" s="30" t="s">
        <v>2169</v>
      </c>
      <c r="L13993" s="30" t="s">
        <v>426</v>
      </c>
      <c r="N13993" s="30" t="s">
        <v>379</v>
      </c>
      <c r="P13993" s="30" t="s">
        <v>18713</v>
      </c>
      <c r="Q13993" t="s">
        <v>619</v>
      </c>
      <c r="R13993" t="s">
        <v>920</v>
      </c>
      <c r="S13993">
        <v>39</v>
      </c>
      <c r="T13993" s="29" t="str">
        <f t="shared" si="584"/>
        <v>2023.008D.Adenoviridae_1reng_22ns_86rensp.zip</v>
      </c>
      <c r="U13993" s="29" t="str">
        <f>HYPERLINK("https://ictv.global/taxonomy/taxondetails?taxnode_id=202302429","ictv.global=202302429")</f>
        <v>ictv.global=202302429</v>
      </c>
    </row>
    <row r="13994" spans="1:21">
      <c r="A13994">
        <v>13993</v>
      </c>
      <c r="B13994" s="30" t="s">
        <v>2145</v>
      </c>
      <c r="D13994" s="30" t="s">
        <v>2146</v>
      </c>
      <c r="F13994" s="30" t="s">
        <v>2163</v>
      </c>
      <c r="H13994" s="30" t="s">
        <v>2166</v>
      </c>
      <c r="J13994" s="30" t="s">
        <v>2169</v>
      </c>
      <c r="L13994" s="30" t="s">
        <v>426</v>
      </c>
      <c r="N13994" s="30" t="s">
        <v>379</v>
      </c>
      <c r="P13994" s="30" t="s">
        <v>18714</v>
      </c>
      <c r="Q13994" t="s">
        <v>619</v>
      </c>
      <c r="R13994" t="s">
        <v>920</v>
      </c>
      <c r="S13994">
        <v>39</v>
      </c>
      <c r="T13994" s="29" t="str">
        <f t="shared" si="584"/>
        <v>2023.008D.Adenoviridae_1reng_22ns_86rensp.zip</v>
      </c>
      <c r="U13994" s="29" t="str">
        <f>HYPERLINK("https://ictv.global/taxonomy/taxondetails?taxnode_id=202302420","ictv.global=202302420")</f>
        <v>ictv.global=202302420</v>
      </c>
    </row>
    <row r="13995" spans="1:21">
      <c r="A13995">
        <v>13994</v>
      </c>
      <c r="B13995" s="30" t="s">
        <v>2145</v>
      </c>
      <c r="D13995" s="30" t="s">
        <v>2146</v>
      </c>
      <c r="F13995" s="30" t="s">
        <v>2163</v>
      </c>
      <c r="H13995" s="30" t="s">
        <v>2166</v>
      </c>
      <c r="J13995" s="30" t="s">
        <v>2169</v>
      </c>
      <c r="L13995" s="30" t="s">
        <v>426</v>
      </c>
      <c r="N13995" s="30" t="s">
        <v>379</v>
      </c>
      <c r="P13995" s="30" t="s">
        <v>18715</v>
      </c>
      <c r="Q13995" t="s">
        <v>619</v>
      </c>
      <c r="R13995" t="s">
        <v>920</v>
      </c>
      <c r="S13995">
        <v>39</v>
      </c>
      <c r="T13995" s="29" t="str">
        <f t="shared" si="584"/>
        <v>2023.008D.Adenoviridae_1reng_22ns_86rensp.zip</v>
      </c>
      <c r="U13995" s="29" t="str">
        <f>HYPERLINK("https://ictv.global/taxonomy/taxondetails?taxnode_id=202302421","ictv.global=202302421")</f>
        <v>ictv.global=202302421</v>
      </c>
    </row>
    <row r="13996" spans="1:21">
      <c r="A13996">
        <v>13995</v>
      </c>
      <c r="B13996" s="30" t="s">
        <v>2145</v>
      </c>
      <c r="D13996" s="30" t="s">
        <v>2146</v>
      </c>
      <c r="F13996" s="30" t="s">
        <v>2163</v>
      </c>
      <c r="H13996" s="30" t="s">
        <v>2166</v>
      </c>
      <c r="J13996" s="30" t="s">
        <v>2169</v>
      </c>
      <c r="L13996" s="30" t="s">
        <v>426</v>
      </c>
      <c r="N13996" s="30" t="s">
        <v>379</v>
      </c>
      <c r="P13996" s="30" t="s">
        <v>18716</v>
      </c>
      <c r="Q13996" t="s">
        <v>619</v>
      </c>
      <c r="R13996" t="s">
        <v>920</v>
      </c>
      <c r="S13996">
        <v>39</v>
      </c>
      <c r="T13996" s="29" t="str">
        <f t="shared" si="584"/>
        <v>2023.008D.Adenoviridae_1reng_22ns_86rensp.zip</v>
      </c>
      <c r="U13996" s="29" t="str">
        <f>HYPERLINK("https://ictv.global/taxonomy/taxondetails?taxnode_id=202302426","ictv.global=202302426")</f>
        <v>ictv.global=202302426</v>
      </c>
    </row>
    <row r="13997" spans="1:21">
      <c r="A13997">
        <v>13996</v>
      </c>
      <c r="B13997" s="30" t="s">
        <v>2145</v>
      </c>
      <c r="D13997" s="30" t="s">
        <v>2146</v>
      </c>
      <c r="F13997" s="30" t="s">
        <v>2163</v>
      </c>
      <c r="H13997" s="30" t="s">
        <v>2166</v>
      </c>
      <c r="J13997" s="30" t="s">
        <v>2169</v>
      </c>
      <c r="L13997" s="30" t="s">
        <v>426</v>
      </c>
      <c r="N13997" s="30" t="s">
        <v>379</v>
      </c>
      <c r="P13997" s="30" t="s">
        <v>18717</v>
      </c>
      <c r="Q13997" t="s">
        <v>619</v>
      </c>
      <c r="R13997" t="s">
        <v>920</v>
      </c>
      <c r="S13997">
        <v>39</v>
      </c>
      <c r="T13997" s="29" t="str">
        <f t="shared" si="584"/>
        <v>2023.008D.Adenoviridae_1reng_22ns_86rensp.zip</v>
      </c>
      <c r="U13997" s="29" t="str">
        <f>HYPERLINK("https://ictv.global/taxonomy/taxondetails?taxnode_id=202302427","ictv.global=202302427")</f>
        <v>ictv.global=202302427</v>
      </c>
    </row>
    <row r="13998" spans="1:21">
      <c r="A13998">
        <v>13997</v>
      </c>
      <c r="B13998" s="30" t="s">
        <v>2145</v>
      </c>
      <c r="D13998" s="30" t="s">
        <v>2146</v>
      </c>
      <c r="F13998" s="30" t="s">
        <v>2163</v>
      </c>
      <c r="H13998" s="30" t="s">
        <v>2166</v>
      </c>
      <c r="J13998" s="30" t="s">
        <v>2169</v>
      </c>
      <c r="L13998" s="30" t="s">
        <v>426</v>
      </c>
      <c r="N13998" s="30" t="s">
        <v>379</v>
      </c>
      <c r="P13998" s="30" t="s">
        <v>18718</v>
      </c>
      <c r="Q13998" t="s">
        <v>619</v>
      </c>
      <c r="R13998" t="s">
        <v>920</v>
      </c>
      <c r="S13998">
        <v>39</v>
      </c>
      <c r="T13998" s="29" t="str">
        <f t="shared" si="584"/>
        <v>2023.008D.Adenoviridae_1reng_22ns_86rensp.zip</v>
      </c>
      <c r="U13998" s="29" t="str">
        <f>HYPERLINK("https://ictv.global/taxonomy/taxondetails?taxnode_id=202305662","ictv.global=202305662")</f>
        <v>ictv.global=202305662</v>
      </c>
    </row>
    <row r="13999" spans="1:21">
      <c r="A13999">
        <v>13998</v>
      </c>
      <c r="B13999" s="30" t="s">
        <v>2145</v>
      </c>
      <c r="D13999" s="30" t="s">
        <v>2146</v>
      </c>
      <c r="F13999" s="30" t="s">
        <v>2163</v>
      </c>
      <c r="H13999" s="30" t="s">
        <v>2166</v>
      </c>
      <c r="J13999" s="30" t="s">
        <v>2169</v>
      </c>
      <c r="L13999" s="30" t="s">
        <v>426</v>
      </c>
      <c r="N13999" s="30" t="s">
        <v>379</v>
      </c>
      <c r="P13999" s="30" t="s">
        <v>18719</v>
      </c>
      <c r="Q13999" t="s">
        <v>619</v>
      </c>
      <c r="R13999" t="s">
        <v>920</v>
      </c>
      <c r="S13999">
        <v>39</v>
      </c>
      <c r="T13999" s="29" t="str">
        <f t="shared" si="584"/>
        <v>2023.008D.Adenoviridae_1reng_22ns_86rensp.zip</v>
      </c>
      <c r="U13999" s="29" t="str">
        <f>HYPERLINK("https://ictv.global/taxonomy/taxondetails?taxnode_id=202305657","ictv.global=202305657")</f>
        <v>ictv.global=202305657</v>
      </c>
    </row>
    <row r="14000" spans="1:21">
      <c r="A14000">
        <v>13999</v>
      </c>
      <c r="B14000" s="30" t="s">
        <v>2145</v>
      </c>
      <c r="D14000" s="30" t="s">
        <v>2146</v>
      </c>
      <c r="F14000" s="30" t="s">
        <v>2163</v>
      </c>
      <c r="H14000" s="30" t="s">
        <v>2166</v>
      </c>
      <c r="J14000" s="30" t="s">
        <v>2169</v>
      </c>
      <c r="L14000" s="30" t="s">
        <v>426</v>
      </c>
      <c r="N14000" s="30" t="s">
        <v>379</v>
      </c>
      <c r="P14000" s="30" t="s">
        <v>18720</v>
      </c>
      <c r="Q14000" t="s">
        <v>619</v>
      </c>
      <c r="R14000" t="s">
        <v>917</v>
      </c>
      <c r="S14000">
        <v>39</v>
      </c>
      <c r="T14000" s="29" t="str">
        <f t="shared" si="584"/>
        <v>2023.008D.Adenoviridae_1reng_22ns_86rensp.zip</v>
      </c>
      <c r="U14000" s="29" t="str">
        <f>HYPERLINK("https://ictv.global/taxonomy/taxondetails?taxnode_id=202317890","ictv.global=202317890")</f>
        <v>ictv.global=202317890</v>
      </c>
    </row>
    <row r="14001" spans="1:21">
      <c r="A14001">
        <v>14000</v>
      </c>
      <c r="B14001" s="30" t="s">
        <v>2145</v>
      </c>
      <c r="D14001" s="30" t="s">
        <v>2146</v>
      </c>
      <c r="F14001" s="30" t="s">
        <v>2163</v>
      </c>
      <c r="H14001" s="30" t="s">
        <v>2166</v>
      </c>
      <c r="J14001" s="30" t="s">
        <v>2169</v>
      </c>
      <c r="L14001" s="30" t="s">
        <v>426</v>
      </c>
      <c r="N14001" s="30" t="s">
        <v>379</v>
      </c>
      <c r="P14001" s="30" t="s">
        <v>18721</v>
      </c>
      <c r="Q14001" t="s">
        <v>619</v>
      </c>
      <c r="R14001" t="s">
        <v>920</v>
      </c>
      <c r="S14001">
        <v>39</v>
      </c>
      <c r="T14001" s="29" t="str">
        <f t="shared" si="584"/>
        <v>2023.008D.Adenoviridae_1reng_22ns_86rensp.zip</v>
      </c>
      <c r="U14001" s="29" t="str">
        <f>HYPERLINK("https://ictv.global/taxonomy/taxondetails?taxnode_id=202302440","ictv.global=202302440")</f>
        <v>ictv.global=202302440</v>
      </c>
    </row>
    <row r="14002" spans="1:21">
      <c r="A14002">
        <v>14001</v>
      </c>
      <c r="B14002" s="30" t="s">
        <v>2145</v>
      </c>
      <c r="D14002" s="30" t="s">
        <v>2146</v>
      </c>
      <c r="F14002" s="30" t="s">
        <v>2163</v>
      </c>
      <c r="H14002" s="30" t="s">
        <v>2166</v>
      </c>
      <c r="J14002" s="30" t="s">
        <v>2169</v>
      </c>
      <c r="L14002" s="30" t="s">
        <v>426</v>
      </c>
      <c r="N14002" s="30" t="s">
        <v>379</v>
      </c>
      <c r="P14002" s="30" t="s">
        <v>18722</v>
      </c>
      <c r="Q14002" t="s">
        <v>619</v>
      </c>
      <c r="R14002" t="s">
        <v>920</v>
      </c>
      <c r="S14002">
        <v>39</v>
      </c>
      <c r="T14002" s="29" t="str">
        <f t="shared" si="584"/>
        <v>2023.008D.Adenoviridae_1reng_22ns_86rensp.zip</v>
      </c>
      <c r="U14002" s="29" t="str">
        <f>HYPERLINK("https://ictv.global/taxonomy/taxondetails?taxnode_id=202302442","ictv.global=202302442")</f>
        <v>ictv.global=202302442</v>
      </c>
    </row>
    <row r="14003" spans="1:21">
      <c r="A14003">
        <v>14002</v>
      </c>
      <c r="B14003" s="30" t="s">
        <v>2145</v>
      </c>
      <c r="D14003" s="30" t="s">
        <v>2146</v>
      </c>
      <c r="F14003" s="30" t="s">
        <v>2163</v>
      </c>
      <c r="H14003" s="30" t="s">
        <v>2166</v>
      </c>
      <c r="J14003" s="30" t="s">
        <v>2169</v>
      </c>
      <c r="L14003" s="30" t="s">
        <v>426</v>
      </c>
      <c r="N14003" s="30" t="s">
        <v>379</v>
      </c>
      <c r="P14003" s="30" t="s">
        <v>18723</v>
      </c>
      <c r="Q14003" t="s">
        <v>619</v>
      </c>
      <c r="R14003" t="s">
        <v>920</v>
      </c>
      <c r="S14003">
        <v>39</v>
      </c>
      <c r="T14003" s="29" t="str">
        <f t="shared" si="584"/>
        <v>2023.008D.Adenoviridae_1reng_22ns_86rensp.zip</v>
      </c>
      <c r="U14003" s="29" t="str">
        <f>HYPERLINK("https://ictv.global/taxonomy/taxondetails?taxnode_id=202305659","ictv.global=202305659")</f>
        <v>ictv.global=202305659</v>
      </c>
    </row>
    <row r="14004" spans="1:21">
      <c r="A14004">
        <v>14003</v>
      </c>
      <c r="B14004" s="30" t="s">
        <v>2145</v>
      </c>
      <c r="D14004" s="30" t="s">
        <v>2146</v>
      </c>
      <c r="F14004" s="30" t="s">
        <v>2163</v>
      </c>
      <c r="H14004" s="30" t="s">
        <v>2166</v>
      </c>
      <c r="J14004" s="30" t="s">
        <v>2169</v>
      </c>
      <c r="L14004" s="30" t="s">
        <v>426</v>
      </c>
      <c r="N14004" s="30" t="s">
        <v>379</v>
      </c>
      <c r="P14004" s="30" t="s">
        <v>18724</v>
      </c>
      <c r="Q14004" t="s">
        <v>619</v>
      </c>
      <c r="R14004" t="s">
        <v>920</v>
      </c>
      <c r="S14004">
        <v>39</v>
      </c>
      <c r="T14004" s="29" t="str">
        <f t="shared" si="584"/>
        <v>2023.008D.Adenoviridae_1reng_22ns_86rensp.zip</v>
      </c>
      <c r="U14004" s="29" t="str">
        <f>HYPERLINK("https://ictv.global/taxonomy/taxondetails?taxnode_id=202305656","ictv.global=202305656")</f>
        <v>ictv.global=202305656</v>
      </c>
    </row>
    <row r="14005" spans="1:21">
      <c r="A14005">
        <v>14004</v>
      </c>
      <c r="B14005" s="30" t="s">
        <v>2145</v>
      </c>
      <c r="D14005" s="30" t="s">
        <v>2146</v>
      </c>
      <c r="F14005" s="30" t="s">
        <v>2163</v>
      </c>
      <c r="H14005" s="30" t="s">
        <v>2166</v>
      </c>
      <c r="J14005" s="30" t="s">
        <v>2169</v>
      </c>
      <c r="L14005" s="30" t="s">
        <v>426</v>
      </c>
      <c r="N14005" s="30" t="s">
        <v>379</v>
      </c>
      <c r="P14005" s="30" t="s">
        <v>18725</v>
      </c>
      <c r="Q14005" t="s">
        <v>619</v>
      </c>
      <c r="R14005" t="s">
        <v>920</v>
      </c>
      <c r="S14005">
        <v>39</v>
      </c>
      <c r="T14005" s="29" t="str">
        <f t="shared" si="584"/>
        <v>2023.008D.Adenoviridae_1reng_22ns_86rensp.zip</v>
      </c>
      <c r="U14005" s="29" t="str">
        <f>HYPERLINK("https://ictv.global/taxonomy/taxondetails?taxnode_id=202302430","ictv.global=202302430")</f>
        <v>ictv.global=202302430</v>
      </c>
    </row>
    <row r="14006" spans="1:21">
      <c r="A14006">
        <v>14005</v>
      </c>
      <c r="B14006" s="30" t="s">
        <v>2145</v>
      </c>
      <c r="D14006" s="30" t="s">
        <v>2146</v>
      </c>
      <c r="F14006" s="30" t="s">
        <v>2163</v>
      </c>
      <c r="H14006" s="30" t="s">
        <v>2166</v>
      </c>
      <c r="J14006" s="30" t="s">
        <v>2169</v>
      </c>
      <c r="L14006" s="30" t="s">
        <v>426</v>
      </c>
      <c r="N14006" s="30" t="s">
        <v>379</v>
      </c>
      <c r="P14006" s="30" t="s">
        <v>18726</v>
      </c>
      <c r="Q14006" t="s">
        <v>619</v>
      </c>
      <c r="R14006" t="s">
        <v>920</v>
      </c>
      <c r="S14006">
        <v>39</v>
      </c>
      <c r="T14006" s="29" t="str">
        <f t="shared" si="584"/>
        <v>2023.008D.Adenoviridae_1reng_22ns_86rensp.zip</v>
      </c>
      <c r="U14006" s="29" t="str">
        <f>HYPERLINK("https://ictv.global/taxonomy/taxondetails?taxnode_id=202302413","ictv.global=202302413")</f>
        <v>ictv.global=202302413</v>
      </c>
    </row>
    <row r="14007" spans="1:21">
      <c r="A14007">
        <v>14006</v>
      </c>
      <c r="B14007" s="30" t="s">
        <v>2145</v>
      </c>
      <c r="D14007" s="30" t="s">
        <v>2146</v>
      </c>
      <c r="F14007" s="30" t="s">
        <v>2163</v>
      </c>
      <c r="H14007" s="30" t="s">
        <v>2166</v>
      </c>
      <c r="J14007" s="30" t="s">
        <v>2169</v>
      </c>
      <c r="L14007" s="30" t="s">
        <v>426</v>
      </c>
      <c r="N14007" s="30" t="s">
        <v>379</v>
      </c>
      <c r="P14007" s="30" t="s">
        <v>18727</v>
      </c>
      <c r="Q14007" t="s">
        <v>619</v>
      </c>
      <c r="R14007" t="s">
        <v>920</v>
      </c>
      <c r="S14007">
        <v>39</v>
      </c>
      <c r="T14007" s="29" t="str">
        <f t="shared" si="584"/>
        <v>2023.008D.Adenoviridae_1reng_22ns_86rensp.zip</v>
      </c>
      <c r="U14007" s="29" t="str">
        <f>HYPERLINK("https://ictv.global/taxonomy/taxondetails?taxnode_id=202302438","ictv.global=202302438")</f>
        <v>ictv.global=202302438</v>
      </c>
    </row>
    <row r="14008" spans="1:21">
      <c r="A14008">
        <v>14007</v>
      </c>
      <c r="B14008" s="30" t="s">
        <v>2145</v>
      </c>
      <c r="D14008" s="30" t="s">
        <v>2146</v>
      </c>
      <c r="F14008" s="30" t="s">
        <v>2163</v>
      </c>
      <c r="H14008" s="30" t="s">
        <v>2166</v>
      </c>
      <c r="J14008" s="30" t="s">
        <v>2169</v>
      </c>
      <c r="L14008" s="30" t="s">
        <v>426</v>
      </c>
      <c r="N14008" s="30" t="s">
        <v>379</v>
      </c>
      <c r="P14008" s="30" t="s">
        <v>18728</v>
      </c>
      <c r="Q14008" t="s">
        <v>619</v>
      </c>
      <c r="R14008" t="s">
        <v>920</v>
      </c>
      <c r="S14008">
        <v>39</v>
      </c>
      <c r="T14008" s="29" t="str">
        <f t="shared" si="584"/>
        <v>2023.008D.Adenoviridae_1reng_22ns_86rensp.zip</v>
      </c>
      <c r="U14008" s="29" t="str">
        <f>HYPERLINK("https://ictv.global/taxonomy/taxondetails?taxnode_id=202307196","ictv.global=202307196")</f>
        <v>ictv.global=202307196</v>
      </c>
    </row>
    <row r="14009" spans="1:21">
      <c r="A14009">
        <v>14008</v>
      </c>
      <c r="B14009" s="30" t="s">
        <v>2145</v>
      </c>
      <c r="D14009" s="30" t="s">
        <v>2146</v>
      </c>
      <c r="F14009" s="30" t="s">
        <v>2163</v>
      </c>
      <c r="H14009" s="30" t="s">
        <v>2166</v>
      </c>
      <c r="J14009" s="30" t="s">
        <v>2169</v>
      </c>
      <c r="L14009" s="30" t="s">
        <v>426</v>
      </c>
      <c r="N14009" s="30" t="s">
        <v>379</v>
      </c>
      <c r="P14009" s="30" t="s">
        <v>18729</v>
      </c>
      <c r="Q14009" t="s">
        <v>619</v>
      </c>
      <c r="R14009" t="s">
        <v>920</v>
      </c>
      <c r="S14009">
        <v>39</v>
      </c>
      <c r="T14009" s="29" t="str">
        <f t="shared" si="584"/>
        <v>2023.008D.Adenoviridae_1reng_22ns_86rensp.zip</v>
      </c>
      <c r="U14009" s="29" t="str">
        <f>HYPERLINK("https://ictv.global/taxonomy/taxondetails?taxnode_id=202302433","ictv.global=202302433")</f>
        <v>ictv.global=202302433</v>
      </c>
    </row>
    <row r="14010" spans="1:21">
      <c r="A14010">
        <v>14009</v>
      </c>
      <c r="B14010" s="30" t="s">
        <v>2145</v>
      </c>
      <c r="D14010" s="30" t="s">
        <v>2146</v>
      </c>
      <c r="F14010" s="30" t="s">
        <v>2163</v>
      </c>
      <c r="H14010" s="30" t="s">
        <v>2166</v>
      </c>
      <c r="J14010" s="30" t="s">
        <v>2169</v>
      </c>
      <c r="L14010" s="30" t="s">
        <v>426</v>
      </c>
      <c r="N14010" s="30" t="s">
        <v>379</v>
      </c>
      <c r="P14010" s="30" t="s">
        <v>18730</v>
      </c>
      <c r="Q14010" t="s">
        <v>619</v>
      </c>
      <c r="R14010" t="s">
        <v>917</v>
      </c>
      <c r="S14010">
        <v>39</v>
      </c>
      <c r="T14010" s="29" t="str">
        <f t="shared" ref="T14010:T14038" si="585">HYPERLINK("https://ictv.global/ictv/proposals/2023.008D.Adenoviridae_1reng_22ns_86rensp.zip","2023.008D.Adenoviridae_1reng_22ns_86rensp.zip")</f>
        <v>2023.008D.Adenoviridae_1reng_22ns_86rensp.zip</v>
      </c>
      <c r="U14010" s="29" t="str">
        <f>HYPERLINK("https://ictv.global/taxonomy/taxondetails?taxnode_id=202317887","ictv.global=202317887")</f>
        <v>ictv.global=202317887</v>
      </c>
    </row>
    <row r="14011" spans="1:21">
      <c r="A14011">
        <v>14010</v>
      </c>
      <c r="B14011" s="30" t="s">
        <v>2145</v>
      </c>
      <c r="D14011" s="30" t="s">
        <v>2146</v>
      </c>
      <c r="F14011" s="30" t="s">
        <v>2163</v>
      </c>
      <c r="H14011" s="30" t="s">
        <v>2166</v>
      </c>
      <c r="J14011" s="30" t="s">
        <v>2169</v>
      </c>
      <c r="L14011" s="30" t="s">
        <v>426</v>
      </c>
      <c r="N14011" s="30" t="s">
        <v>379</v>
      </c>
      <c r="P14011" s="30" t="s">
        <v>18731</v>
      </c>
      <c r="Q14011" t="s">
        <v>619</v>
      </c>
      <c r="R14011" t="s">
        <v>920</v>
      </c>
      <c r="S14011">
        <v>39</v>
      </c>
      <c r="T14011" s="29" t="str">
        <f t="shared" si="585"/>
        <v>2023.008D.Adenoviridae_1reng_22ns_86rensp.zip</v>
      </c>
      <c r="U14011" s="29" t="str">
        <f>HYPERLINK("https://ictv.global/taxonomy/taxondetails?taxnode_id=202302414","ictv.global=202302414")</f>
        <v>ictv.global=202302414</v>
      </c>
    </row>
    <row r="14012" spans="1:21">
      <c r="A14012">
        <v>14011</v>
      </c>
      <c r="B14012" s="30" t="s">
        <v>2145</v>
      </c>
      <c r="D14012" s="30" t="s">
        <v>2146</v>
      </c>
      <c r="F14012" s="30" t="s">
        <v>2163</v>
      </c>
      <c r="H14012" s="30" t="s">
        <v>2166</v>
      </c>
      <c r="J14012" s="30" t="s">
        <v>2169</v>
      </c>
      <c r="L14012" s="30" t="s">
        <v>426</v>
      </c>
      <c r="N14012" s="30" t="s">
        <v>379</v>
      </c>
      <c r="P14012" s="30" t="s">
        <v>18732</v>
      </c>
      <c r="Q14012" t="s">
        <v>619</v>
      </c>
      <c r="R14012" t="s">
        <v>920</v>
      </c>
      <c r="S14012">
        <v>39</v>
      </c>
      <c r="T14012" s="29" t="str">
        <f t="shared" si="585"/>
        <v>2023.008D.Adenoviridae_1reng_22ns_86rensp.zip</v>
      </c>
      <c r="U14012" s="29" t="str">
        <f>HYPERLINK("https://ictv.global/taxonomy/taxondetails?taxnode_id=202302436","ictv.global=202302436")</f>
        <v>ictv.global=202302436</v>
      </c>
    </row>
    <row r="14013" spans="1:21">
      <c r="A14013">
        <v>14012</v>
      </c>
      <c r="B14013" s="30" t="s">
        <v>2145</v>
      </c>
      <c r="D14013" s="30" t="s">
        <v>2146</v>
      </c>
      <c r="F14013" s="30" t="s">
        <v>2163</v>
      </c>
      <c r="H14013" s="30" t="s">
        <v>2166</v>
      </c>
      <c r="J14013" s="30" t="s">
        <v>2169</v>
      </c>
      <c r="L14013" s="30" t="s">
        <v>426</v>
      </c>
      <c r="N14013" s="30" t="s">
        <v>379</v>
      </c>
      <c r="P14013" s="30" t="s">
        <v>18733</v>
      </c>
      <c r="Q14013" t="s">
        <v>619</v>
      </c>
      <c r="R14013" t="s">
        <v>920</v>
      </c>
      <c r="S14013">
        <v>39</v>
      </c>
      <c r="T14013" s="29" t="str">
        <f t="shared" si="585"/>
        <v>2023.008D.Adenoviridae_1reng_22ns_86rensp.zip</v>
      </c>
      <c r="U14013" s="29" t="str">
        <f>HYPERLINK("https://ictv.global/taxonomy/taxondetails?taxnode_id=202302437","ictv.global=202302437")</f>
        <v>ictv.global=202302437</v>
      </c>
    </row>
    <row r="14014" spans="1:21">
      <c r="A14014">
        <v>14013</v>
      </c>
      <c r="B14014" s="30" t="s">
        <v>2145</v>
      </c>
      <c r="D14014" s="30" t="s">
        <v>2146</v>
      </c>
      <c r="F14014" s="30" t="s">
        <v>2163</v>
      </c>
      <c r="H14014" s="30" t="s">
        <v>2166</v>
      </c>
      <c r="J14014" s="30" t="s">
        <v>2169</v>
      </c>
      <c r="L14014" s="30" t="s">
        <v>426</v>
      </c>
      <c r="N14014" s="30" t="s">
        <v>379</v>
      </c>
      <c r="P14014" s="30" t="s">
        <v>18734</v>
      </c>
      <c r="Q14014" t="s">
        <v>619</v>
      </c>
      <c r="R14014" t="s">
        <v>920</v>
      </c>
      <c r="S14014">
        <v>39</v>
      </c>
      <c r="T14014" s="29" t="str">
        <f t="shared" si="585"/>
        <v>2023.008D.Adenoviridae_1reng_22ns_86rensp.zip</v>
      </c>
      <c r="U14014" s="29" t="str">
        <f>HYPERLINK("https://ictv.global/taxonomy/taxondetails?taxnode_id=202302435","ictv.global=202302435")</f>
        <v>ictv.global=202302435</v>
      </c>
    </row>
    <row r="14015" spans="1:21">
      <c r="A14015">
        <v>14014</v>
      </c>
      <c r="B14015" s="30" t="s">
        <v>2145</v>
      </c>
      <c r="D14015" s="30" t="s">
        <v>2146</v>
      </c>
      <c r="F14015" s="30" t="s">
        <v>2163</v>
      </c>
      <c r="H14015" s="30" t="s">
        <v>2166</v>
      </c>
      <c r="J14015" s="30" t="s">
        <v>2169</v>
      </c>
      <c r="L14015" s="30" t="s">
        <v>426</v>
      </c>
      <c r="N14015" s="30" t="s">
        <v>379</v>
      </c>
      <c r="P14015" s="30" t="s">
        <v>18735</v>
      </c>
      <c r="Q14015" t="s">
        <v>619</v>
      </c>
      <c r="R14015" t="s">
        <v>920</v>
      </c>
      <c r="S14015">
        <v>39</v>
      </c>
      <c r="T14015" s="29" t="str">
        <f t="shared" si="585"/>
        <v>2023.008D.Adenoviridae_1reng_22ns_86rensp.zip</v>
      </c>
      <c r="U14015" s="29" t="str">
        <f>HYPERLINK("https://ictv.global/taxonomy/taxondetails?taxnode_id=202305658","ictv.global=202305658")</f>
        <v>ictv.global=202305658</v>
      </c>
    </row>
    <row r="14016" spans="1:21">
      <c r="A14016">
        <v>14015</v>
      </c>
      <c r="B14016" s="30" t="s">
        <v>2145</v>
      </c>
      <c r="D14016" s="30" t="s">
        <v>2146</v>
      </c>
      <c r="F14016" s="30" t="s">
        <v>2163</v>
      </c>
      <c r="H14016" s="30" t="s">
        <v>2166</v>
      </c>
      <c r="J14016" s="30" t="s">
        <v>2169</v>
      </c>
      <c r="L14016" s="30" t="s">
        <v>426</v>
      </c>
      <c r="N14016" s="30" t="s">
        <v>379</v>
      </c>
      <c r="P14016" s="30" t="s">
        <v>18736</v>
      </c>
      <c r="Q14016" t="s">
        <v>619</v>
      </c>
      <c r="R14016" t="s">
        <v>920</v>
      </c>
      <c r="S14016">
        <v>39</v>
      </c>
      <c r="T14016" s="29" t="str">
        <f t="shared" si="585"/>
        <v>2023.008D.Adenoviridae_1reng_22ns_86rensp.zip</v>
      </c>
      <c r="U14016" s="29" t="str">
        <f>HYPERLINK("https://ictv.global/taxonomy/taxondetails?taxnode_id=202302446","ictv.global=202302446")</f>
        <v>ictv.global=202302446</v>
      </c>
    </row>
    <row r="14017" spans="1:21">
      <c r="A14017">
        <v>14016</v>
      </c>
      <c r="B14017" s="30" t="s">
        <v>2145</v>
      </c>
      <c r="D14017" s="30" t="s">
        <v>2146</v>
      </c>
      <c r="F14017" s="30" t="s">
        <v>2163</v>
      </c>
      <c r="H14017" s="30" t="s">
        <v>2166</v>
      </c>
      <c r="J14017" s="30" t="s">
        <v>2169</v>
      </c>
      <c r="L14017" s="30" t="s">
        <v>426</v>
      </c>
      <c r="N14017" s="30" t="s">
        <v>379</v>
      </c>
      <c r="P14017" s="30" t="s">
        <v>18737</v>
      </c>
      <c r="Q14017" t="s">
        <v>619</v>
      </c>
      <c r="R14017" t="s">
        <v>920</v>
      </c>
      <c r="S14017">
        <v>39</v>
      </c>
      <c r="T14017" s="29" t="str">
        <f t="shared" si="585"/>
        <v>2023.008D.Adenoviridae_1reng_22ns_86rensp.zip</v>
      </c>
      <c r="U14017" s="29" t="str">
        <f>HYPERLINK("https://ictv.global/taxonomy/taxondetails?taxnode_id=202305655","ictv.global=202305655")</f>
        <v>ictv.global=202305655</v>
      </c>
    </row>
    <row r="14018" spans="1:21">
      <c r="A14018">
        <v>14017</v>
      </c>
      <c r="B14018" s="30" t="s">
        <v>2145</v>
      </c>
      <c r="D14018" s="30" t="s">
        <v>2146</v>
      </c>
      <c r="F14018" s="30" t="s">
        <v>2163</v>
      </c>
      <c r="H14018" s="30" t="s">
        <v>2166</v>
      </c>
      <c r="J14018" s="30" t="s">
        <v>2169</v>
      </c>
      <c r="L14018" s="30" t="s">
        <v>426</v>
      </c>
      <c r="N14018" s="30" t="s">
        <v>379</v>
      </c>
      <c r="P14018" s="30" t="s">
        <v>18738</v>
      </c>
      <c r="Q14018" t="s">
        <v>619</v>
      </c>
      <c r="R14018" t="s">
        <v>920</v>
      </c>
      <c r="S14018">
        <v>39</v>
      </c>
      <c r="T14018" s="29" t="str">
        <f t="shared" si="585"/>
        <v>2023.008D.Adenoviridae_1reng_22ns_86rensp.zip</v>
      </c>
      <c r="U14018" s="29" t="str">
        <f>HYPERLINK("https://ictv.global/taxonomy/taxondetails?taxnode_id=202302428","ictv.global=202302428")</f>
        <v>ictv.global=202302428</v>
      </c>
    </row>
    <row r="14019" spans="1:21">
      <c r="A14019">
        <v>14018</v>
      </c>
      <c r="B14019" s="30" t="s">
        <v>2145</v>
      </c>
      <c r="D14019" s="30" t="s">
        <v>2146</v>
      </c>
      <c r="F14019" s="30" t="s">
        <v>2163</v>
      </c>
      <c r="H14019" s="30" t="s">
        <v>2166</v>
      </c>
      <c r="J14019" s="30" t="s">
        <v>2169</v>
      </c>
      <c r="L14019" s="30" t="s">
        <v>426</v>
      </c>
      <c r="N14019" s="30" t="s">
        <v>379</v>
      </c>
      <c r="P14019" s="30" t="s">
        <v>18739</v>
      </c>
      <c r="Q14019" t="s">
        <v>619</v>
      </c>
      <c r="R14019" t="s">
        <v>920</v>
      </c>
      <c r="S14019">
        <v>39</v>
      </c>
      <c r="T14019" s="29" t="str">
        <f t="shared" si="585"/>
        <v>2023.008D.Adenoviridae_1reng_22ns_86rensp.zip</v>
      </c>
      <c r="U14019" s="29" t="str">
        <f>HYPERLINK("https://ictv.global/taxonomy/taxondetails?taxnode_id=202305663","ictv.global=202305663")</f>
        <v>ictv.global=202305663</v>
      </c>
    </row>
    <row r="14020" spans="1:21">
      <c r="A14020">
        <v>14019</v>
      </c>
      <c r="B14020" s="30" t="s">
        <v>2145</v>
      </c>
      <c r="D14020" s="30" t="s">
        <v>2146</v>
      </c>
      <c r="F14020" s="30" t="s">
        <v>2163</v>
      </c>
      <c r="H14020" s="30" t="s">
        <v>2166</v>
      </c>
      <c r="J14020" s="30" t="s">
        <v>2169</v>
      </c>
      <c r="L14020" s="30" t="s">
        <v>426</v>
      </c>
      <c r="N14020" s="30" t="s">
        <v>379</v>
      </c>
      <c r="P14020" s="30" t="s">
        <v>18740</v>
      </c>
      <c r="Q14020" t="s">
        <v>619</v>
      </c>
      <c r="R14020" t="s">
        <v>920</v>
      </c>
      <c r="S14020">
        <v>39</v>
      </c>
      <c r="T14020" s="29" t="str">
        <f t="shared" si="585"/>
        <v>2023.008D.Adenoviridae_1reng_22ns_86rensp.zip</v>
      </c>
      <c r="U14020" s="29" t="str">
        <f>HYPERLINK("https://ictv.global/taxonomy/taxondetails?taxnode_id=202302439","ictv.global=202302439")</f>
        <v>ictv.global=202302439</v>
      </c>
    </row>
    <row r="14021" spans="1:21">
      <c r="A14021">
        <v>14020</v>
      </c>
      <c r="B14021" s="30" t="s">
        <v>2145</v>
      </c>
      <c r="D14021" s="30" t="s">
        <v>2146</v>
      </c>
      <c r="F14021" s="30" t="s">
        <v>2163</v>
      </c>
      <c r="H14021" s="30" t="s">
        <v>2166</v>
      </c>
      <c r="J14021" s="30" t="s">
        <v>2169</v>
      </c>
      <c r="L14021" s="30" t="s">
        <v>426</v>
      </c>
      <c r="N14021" s="30" t="s">
        <v>379</v>
      </c>
      <c r="P14021" s="30" t="s">
        <v>18741</v>
      </c>
      <c r="Q14021" t="s">
        <v>619</v>
      </c>
      <c r="R14021" t="s">
        <v>920</v>
      </c>
      <c r="S14021">
        <v>39</v>
      </c>
      <c r="T14021" s="29" t="str">
        <f t="shared" si="585"/>
        <v>2023.008D.Adenoviridae_1reng_22ns_86rensp.zip</v>
      </c>
      <c r="U14021" s="29" t="str">
        <f>HYPERLINK("https://ictv.global/taxonomy/taxondetails?taxnode_id=202302445","ictv.global=202302445")</f>
        <v>ictv.global=202302445</v>
      </c>
    </row>
    <row r="14022" spans="1:21">
      <c r="A14022">
        <v>14021</v>
      </c>
      <c r="B14022" s="30" t="s">
        <v>2145</v>
      </c>
      <c r="D14022" s="30" t="s">
        <v>2146</v>
      </c>
      <c r="F14022" s="30" t="s">
        <v>2163</v>
      </c>
      <c r="H14022" s="30" t="s">
        <v>2166</v>
      </c>
      <c r="J14022" s="30" t="s">
        <v>2169</v>
      </c>
      <c r="L14022" s="30" t="s">
        <v>426</v>
      </c>
      <c r="N14022" s="30" t="s">
        <v>379</v>
      </c>
      <c r="P14022" s="30" t="s">
        <v>18742</v>
      </c>
      <c r="Q14022" t="s">
        <v>619</v>
      </c>
      <c r="R14022" t="s">
        <v>920</v>
      </c>
      <c r="S14022">
        <v>39</v>
      </c>
      <c r="T14022" s="29" t="str">
        <f t="shared" si="585"/>
        <v>2023.008D.Adenoviridae_1reng_22ns_86rensp.zip</v>
      </c>
      <c r="U14022" s="29" t="str">
        <f>HYPERLINK("https://ictv.global/taxonomy/taxondetails?taxnode_id=202302434","ictv.global=202302434")</f>
        <v>ictv.global=202302434</v>
      </c>
    </row>
    <row r="14023" spans="1:21">
      <c r="A14023">
        <v>14022</v>
      </c>
      <c r="B14023" s="30" t="s">
        <v>2145</v>
      </c>
      <c r="D14023" s="30" t="s">
        <v>2146</v>
      </c>
      <c r="F14023" s="30" t="s">
        <v>2163</v>
      </c>
      <c r="H14023" s="30" t="s">
        <v>2166</v>
      </c>
      <c r="J14023" s="30" t="s">
        <v>2169</v>
      </c>
      <c r="L14023" s="30" t="s">
        <v>426</v>
      </c>
      <c r="N14023" s="30" t="s">
        <v>379</v>
      </c>
      <c r="P14023" s="30" t="s">
        <v>18743</v>
      </c>
      <c r="Q14023" t="s">
        <v>619</v>
      </c>
      <c r="R14023" t="s">
        <v>917</v>
      </c>
      <c r="S14023">
        <v>39</v>
      </c>
      <c r="T14023" s="29" t="str">
        <f t="shared" si="585"/>
        <v>2023.008D.Adenoviridae_1reng_22ns_86rensp.zip</v>
      </c>
      <c r="U14023" s="29" t="str">
        <f>HYPERLINK("https://ictv.global/taxonomy/taxondetails?taxnode_id=202317888","ictv.global=202317888")</f>
        <v>ictv.global=202317888</v>
      </c>
    </row>
    <row r="14024" spans="1:21">
      <c r="A14024">
        <v>14023</v>
      </c>
      <c r="B14024" s="30" t="s">
        <v>2145</v>
      </c>
      <c r="D14024" s="30" t="s">
        <v>2146</v>
      </c>
      <c r="F14024" s="30" t="s">
        <v>2163</v>
      </c>
      <c r="H14024" s="30" t="s">
        <v>2166</v>
      </c>
      <c r="J14024" s="30" t="s">
        <v>2169</v>
      </c>
      <c r="L14024" s="30" t="s">
        <v>426</v>
      </c>
      <c r="N14024" s="30" t="s">
        <v>379</v>
      </c>
      <c r="P14024" s="30" t="s">
        <v>18744</v>
      </c>
      <c r="Q14024" t="s">
        <v>619</v>
      </c>
      <c r="R14024" t="s">
        <v>920</v>
      </c>
      <c r="S14024">
        <v>39</v>
      </c>
      <c r="T14024" s="29" t="str">
        <f t="shared" si="585"/>
        <v>2023.008D.Adenoviridae_1reng_22ns_86rensp.zip</v>
      </c>
      <c r="U14024" s="29" t="str">
        <f>HYPERLINK("https://ictv.global/taxonomy/taxondetails?taxnode_id=202302447","ictv.global=202302447")</f>
        <v>ictv.global=202302447</v>
      </c>
    </row>
    <row r="14025" spans="1:21">
      <c r="A14025">
        <v>14024</v>
      </c>
      <c r="B14025" s="30" t="s">
        <v>2145</v>
      </c>
      <c r="D14025" s="30" t="s">
        <v>2146</v>
      </c>
      <c r="F14025" s="30" t="s">
        <v>2163</v>
      </c>
      <c r="H14025" s="30" t="s">
        <v>2166</v>
      </c>
      <c r="J14025" s="30" t="s">
        <v>2169</v>
      </c>
      <c r="L14025" s="30" t="s">
        <v>426</v>
      </c>
      <c r="N14025" s="30" t="s">
        <v>379</v>
      </c>
      <c r="P14025" s="30" t="s">
        <v>18745</v>
      </c>
      <c r="Q14025" t="s">
        <v>619</v>
      </c>
      <c r="R14025" t="s">
        <v>920</v>
      </c>
      <c r="S14025">
        <v>39</v>
      </c>
      <c r="T14025" s="29" t="str">
        <f t="shared" si="585"/>
        <v>2023.008D.Adenoviridae_1reng_22ns_86rensp.zip</v>
      </c>
      <c r="U14025" s="29" t="str">
        <f>HYPERLINK("https://ictv.global/taxonomy/taxondetails?taxnode_id=202302448","ictv.global=202302448")</f>
        <v>ictv.global=202302448</v>
      </c>
    </row>
    <row r="14026" spans="1:21">
      <c r="A14026">
        <v>14025</v>
      </c>
      <c r="B14026" s="30" t="s">
        <v>2145</v>
      </c>
      <c r="D14026" s="30" t="s">
        <v>2146</v>
      </c>
      <c r="F14026" s="30" t="s">
        <v>2163</v>
      </c>
      <c r="H14026" s="30" t="s">
        <v>2166</v>
      </c>
      <c r="J14026" s="30" t="s">
        <v>2169</v>
      </c>
      <c r="L14026" s="30" t="s">
        <v>426</v>
      </c>
      <c r="N14026" s="30" t="s">
        <v>379</v>
      </c>
      <c r="P14026" s="30" t="s">
        <v>18746</v>
      </c>
      <c r="Q14026" t="s">
        <v>619</v>
      </c>
      <c r="R14026" t="s">
        <v>920</v>
      </c>
      <c r="S14026">
        <v>39</v>
      </c>
      <c r="T14026" s="29" t="str">
        <f t="shared" si="585"/>
        <v>2023.008D.Adenoviridae_1reng_22ns_86rensp.zip</v>
      </c>
      <c r="U14026" s="29" t="str">
        <f>HYPERLINK("https://ictv.global/taxonomy/taxondetails?taxnode_id=202307197","ictv.global=202307197")</f>
        <v>ictv.global=202307197</v>
      </c>
    </row>
    <row r="14027" spans="1:21">
      <c r="A14027">
        <v>14026</v>
      </c>
      <c r="B14027" s="30" t="s">
        <v>2145</v>
      </c>
      <c r="D14027" s="30" t="s">
        <v>2146</v>
      </c>
      <c r="F14027" s="30" t="s">
        <v>2163</v>
      </c>
      <c r="H14027" s="30" t="s">
        <v>2166</v>
      </c>
      <c r="J14027" s="30" t="s">
        <v>2169</v>
      </c>
      <c r="L14027" s="30" t="s">
        <v>426</v>
      </c>
      <c r="N14027" s="30" t="s">
        <v>193</v>
      </c>
      <c r="P14027" s="30" t="s">
        <v>18747</v>
      </c>
      <c r="Q14027" t="s">
        <v>619</v>
      </c>
      <c r="R14027" t="s">
        <v>917</v>
      </c>
      <c r="S14027">
        <v>39</v>
      </c>
      <c r="T14027" s="29" t="str">
        <f t="shared" si="585"/>
        <v>2023.008D.Adenoviridae_1reng_22ns_86rensp.zip</v>
      </c>
      <c r="U14027" s="29" t="str">
        <f>HYPERLINK("https://ictv.global/taxonomy/taxondetails?taxnode_id=202317893","ictv.global=202317893")</f>
        <v>ictv.global=202317893</v>
      </c>
    </row>
    <row r="14028" spans="1:21">
      <c r="A14028">
        <v>14027</v>
      </c>
      <c r="B14028" s="30" t="s">
        <v>2145</v>
      </c>
      <c r="D14028" s="30" t="s">
        <v>2146</v>
      </c>
      <c r="F14028" s="30" t="s">
        <v>2163</v>
      </c>
      <c r="H14028" s="30" t="s">
        <v>2166</v>
      </c>
      <c r="J14028" s="30" t="s">
        <v>2169</v>
      </c>
      <c r="L14028" s="30" t="s">
        <v>426</v>
      </c>
      <c r="N14028" s="30" t="s">
        <v>193</v>
      </c>
      <c r="P14028" s="30" t="s">
        <v>18748</v>
      </c>
      <c r="Q14028" t="s">
        <v>619</v>
      </c>
      <c r="R14028" t="s">
        <v>917</v>
      </c>
      <c r="S14028">
        <v>39</v>
      </c>
      <c r="T14028" s="29" t="str">
        <f t="shared" si="585"/>
        <v>2023.008D.Adenoviridae_1reng_22ns_86rensp.zip</v>
      </c>
      <c r="U14028" s="29" t="str">
        <f>HYPERLINK("https://ictv.global/taxonomy/taxondetails?taxnode_id=202317892","ictv.global=202317892")</f>
        <v>ictv.global=202317892</v>
      </c>
    </row>
    <row r="14029" spans="1:21">
      <c r="A14029">
        <v>14028</v>
      </c>
      <c r="B14029" s="30" t="s">
        <v>2145</v>
      </c>
      <c r="D14029" s="30" t="s">
        <v>2146</v>
      </c>
      <c r="F14029" s="30" t="s">
        <v>2163</v>
      </c>
      <c r="H14029" s="30" t="s">
        <v>2166</v>
      </c>
      <c r="J14029" s="30" t="s">
        <v>2169</v>
      </c>
      <c r="L14029" s="30" t="s">
        <v>426</v>
      </c>
      <c r="N14029" s="30" t="s">
        <v>193</v>
      </c>
      <c r="P14029" s="30" t="s">
        <v>18749</v>
      </c>
      <c r="Q14029" t="s">
        <v>619</v>
      </c>
      <c r="R14029" t="s">
        <v>920</v>
      </c>
      <c r="S14029">
        <v>39</v>
      </c>
      <c r="T14029" s="29" t="str">
        <f t="shared" si="585"/>
        <v>2023.008D.Adenoviridae_1reng_22ns_86rensp.zip</v>
      </c>
      <c r="U14029" s="29" t="str">
        <f>HYPERLINK("https://ictv.global/taxonomy/taxondetails?taxnode_id=202302455","ictv.global=202302455")</f>
        <v>ictv.global=202302455</v>
      </c>
    </row>
    <row r="14030" spans="1:21">
      <c r="A14030">
        <v>14029</v>
      </c>
      <c r="B14030" s="30" t="s">
        <v>2145</v>
      </c>
      <c r="D14030" s="30" t="s">
        <v>2146</v>
      </c>
      <c r="F14030" s="30" t="s">
        <v>2163</v>
      </c>
      <c r="H14030" s="30" t="s">
        <v>2166</v>
      </c>
      <c r="J14030" s="30" t="s">
        <v>2169</v>
      </c>
      <c r="L14030" s="30" t="s">
        <v>426</v>
      </c>
      <c r="N14030" s="30" t="s">
        <v>193</v>
      </c>
      <c r="P14030" s="30" t="s">
        <v>18750</v>
      </c>
      <c r="Q14030" t="s">
        <v>619</v>
      </c>
      <c r="R14030" t="s">
        <v>920</v>
      </c>
      <c r="S14030">
        <v>39</v>
      </c>
      <c r="T14030" s="29" t="str">
        <f t="shared" si="585"/>
        <v>2023.008D.Adenoviridae_1reng_22ns_86rensp.zip</v>
      </c>
      <c r="U14030" s="29" t="str">
        <f>HYPERLINK("https://ictv.global/taxonomy/taxondetails?taxnode_id=202302451","ictv.global=202302451")</f>
        <v>ictv.global=202302451</v>
      </c>
    </row>
    <row r="14031" spans="1:21">
      <c r="A14031">
        <v>14030</v>
      </c>
      <c r="B14031" s="30" t="s">
        <v>2145</v>
      </c>
      <c r="D14031" s="30" t="s">
        <v>2146</v>
      </c>
      <c r="F14031" s="30" t="s">
        <v>2163</v>
      </c>
      <c r="H14031" s="30" t="s">
        <v>2166</v>
      </c>
      <c r="J14031" s="30" t="s">
        <v>2169</v>
      </c>
      <c r="L14031" s="30" t="s">
        <v>426</v>
      </c>
      <c r="N14031" s="30" t="s">
        <v>193</v>
      </c>
      <c r="P14031" s="30" t="s">
        <v>18751</v>
      </c>
      <c r="Q14031" t="s">
        <v>619</v>
      </c>
      <c r="R14031" t="s">
        <v>920</v>
      </c>
      <c r="S14031">
        <v>39</v>
      </c>
      <c r="T14031" s="29" t="str">
        <f t="shared" si="585"/>
        <v>2023.008D.Adenoviridae_1reng_22ns_86rensp.zip</v>
      </c>
      <c r="U14031" s="29" t="str">
        <f>HYPERLINK("https://ictv.global/taxonomy/taxondetails?taxnode_id=202302450","ictv.global=202302450")</f>
        <v>ictv.global=202302450</v>
      </c>
    </row>
    <row r="14032" spans="1:21">
      <c r="A14032">
        <v>14031</v>
      </c>
      <c r="B14032" s="30" t="s">
        <v>2145</v>
      </c>
      <c r="D14032" s="30" t="s">
        <v>2146</v>
      </c>
      <c r="F14032" s="30" t="s">
        <v>2163</v>
      </c>
      <c r="H14032" s="30" t="s">
        <v>2166</v>
      </c>
      <c r="J14032" s="30" t="s">
        <v>2169</v>
      </c>
      <c r="L14032" s="30" t="s">
        <v>426</v>
      </c>
      <c r="N14032" s="30" t="s">
        <v>193</v>
      </c>
      <c r="P14032" s="30" t="s">
        <v>18752</v>
      </c>
      <c r="Q14032" t="s">
        <v>619</v>
      </c>
      <c r="R14032" t="s">
        <v>920</v>
      </c>
      <c r="S14032">
        <v>39</v>
      </c>
      <c r="T14032" s="29" t="str">
        <f t="shared" si="585"/>
        <v>2023.008D.Adenoviridae_1reng_22ns_86rensp.zip</v>
      </c>
      <c r="U14032" s="29" t="str">
        <f>HYPERLINK("https://ictv.global/taxonomy/taxondetails?taxnode_id=202302453","ictv.global=202302453")</f>
        <v>ictv.global=202302453</v>
      </c>
    </row>
    <row r="14033" spans="1:21">
      <c r="A14033">
        <v>14032</v>
      </c>
      <c r="B14033" s="30" t="s">
        <v>2145</v>
      </c>
      <c r="D14033" s="30" t="s">
        <v>2146</v>
      </c>
      <c r="F14033" s="30" t="s">
        <v>2163</v>
      </c>
      <c r="H14033" s="30" t="s">
        <v>2166</v>
      </c>
      <c r="J14033" s="30" t="s">
        <v>2169</v>
      </c>
      <c r="L14033" s="30" t="s">
        <v>426</v>
      </c>
      <c r="N14033" s="30" t="s">
        <v>193</v>
      </c>
      <c r="P14033" s="30" t="s">
        <v>18753</v>
      </c>
      <c r="Q14033" t="s">
        <v>619</v>
      </c>
      <c r="R14033" t="s">
        <v>920</v>
      </c>
      <c r="S14033">
        <v>39</v>
      </c>
      <c r="T14033" s="29" t="str">
        <f t="shared" si="585"/>
        <v>2023.008D.Adenoviridae_1reng_22ns_86rensp.zip</v>
      </c>
      <c r="U14033" s="29" t="str">
        <f>HYPERLINK("https://ictv.global/taxonomy/taxondetails?taxnode_id=202309164","ictv.global=202309164")</f>
        <v>ictv.global=202309164</v>
      </c>
    </row>
    <row r="14034" spans="1:21">
      <c r="A14034">
        <v>14033</v>
      </c>
      <c r="B14034" s="30" t="s">
        <v>2145</v>
      </c>
      <c r="D14034" s="30" t="s">
        <v>2146</v>
      </c>
      <c r="F14034" s="30" t="s">
        <v>2163</v>
      </c>
      <c r="H14034" s="30" t="s">
        <v>2166</v>
      </c>
      <c r="J14034" s="30" t="s">
        <v>2169</v>
      </c>
      <c r="L14034" s="30" t="s">
        <v>426</v>
      </c>
      <c r="N14034" s="30" t="s">
        <v>193</v>
      </c>
      <c r="P14034" s="30" t="s">
        <v>18754</v>
      </c>
      <c r="Q14034" t="s">
        <v>619</v>
      </c>
      <c r="R14034" t="s">
        <v>920</v>
      </c>
      <c r="S14034">
        <v>39</v>
      </c>
      <c r="T14034" s="29" t="str">
        <f t="shared" si="585"/>
        <v>2023.008D.Adenoviridae_1reng_22ns_86rensp.zip</v>
      </c>
      <c r="U14034" s="29" t="str">
        <f>HYPERLINK("https://ictv.global/taxonomy/taxondetails?taxnode_id=202302452","ictv.global=202302452")</f>
        <v>ictv.global=202302452</v>
      </c>
    </row>
    <row r="14035" spans="1:21">
      <c r="A14035">
        <v>14034</v>
      </c>
      <c r="B14035" s="30" t="s">
        <v>2145</v>
      </c>
      <c r="D14035" s="30" t="s">
        <v>2146</v>
      </c>
      <c r="F14035" s="30" t="s">
        <v>2163</v>
      </c>
      <c r="H14035" s="30" t="s">
        <v>2166</v>
      </c>
      <c r="J14035" s="30" t="s">
        <v>2169</v>
      </c>
      <c r="L14035" s="30" t="s">
        <v>426</v>
      </c>
      <c r="N14035" s="30" t="s">
        <v>193</v>
      </c>
      <c r="P14035" s="30" t="s">
        <v>18755</v>
      </c>
      <c r="Q14035" t="s">
        <v>619</v>
      </c>
      <c r="R14035" t="s">
        <v>920</v>
      </c>
      <c r="S14035">
        <v>39</v>
      </c>
      <c r="T14035" s="29" t="str">
        <f t="shared" si="585"/>
        <v>2023.008D.Adenoviridae_1reng_22ns_86rensp.zip</v>
      </c>
      <c r="U14035" s="29" t="str">
        <f>HYPERLINK("https://ictv.global/taxonomy/taxondetails?taxnode_id=202302454","ictv.global=202302454")</f>
        <v>ictv.global=202302454</v>
      </c>
    </row>
    <row r="14036" spans="1:21">
      <c r="A14036">
        <v>14035</v>
      </c>
      <c r="B14036" s="30" t="s">
        <v>2145</v>
      </c>
      <c r="D14036" s="30" t="s">
        <v>2146</v>
      </c>
      <c r="F14036" s="30" t="s">
        <v>2163</v>
      </c>
      <c r="H14036" s="30" t="s">
        <v>2166</v>
      </c>
      <c r="J14036" s="30" t="s">
        <v>2169</v>
      </c>
      <c r="L14036" s="30" t="s">
        <v>426</v>
      </c>
      <c r="N14036" s="30" t="s">
        <v>193</v>
      </c>
      <c r="P14036" s="30" t="s">
        <v>18756</v>
      </c>
      <c r="Q14036" t="s">
        <v>619</v>
      </c>
      <c r="R14036" t="s">
        <v>917</v>
      </c>
      <c r="S14036">
        <v>39</v>
      </c>
      <c r="T14036" s="29" t="str">
        <f t="shared" si="585"/>
        <v>2023.008D.Adenoviridae_1reng_22ns_86rensp.zip</v>
      </c>
      <c r="U14036" s="29" t="str">
        <f>HYPERLINK("https://ictv.global/taxonomy/taxondetails?taxnode_id=202317894","ictv.global=202317894")</f>
        <v>ictv.global=202317894</v>
      </c>
    </row>
    <row r="14037" spans="1:21">
      <c r="A14037">
        <v>14036</v>
      </c>
      <c r="B14037" s="30" t="s">
        <v>2145</v>
      </c>
      <c r="D14037" s="30" t="s">
        <v>2146</v>
      </c>
      <c r="F14037" s="30" t="s">
        <v>2163</v>
      </c>
      <c r="H14037" s="30" t="s">
        <v>2166</v>
      </c>
      <c r="J14037" s="30" t="s">
        <v>2169</v>
      </c>
      <c r="L14037" s="30" t="s">
        <v>426</v>
      </c>
      <c r="N14037" s="30" t="s">
        <v>193</v>
      </c>
      <c r="P14037" s="30" t="s">
        <v>18757</v>
      </c>
      <c r="Q14037" t="s">
        <v>619</v>
      </c>
      <c r="R14037" t="s">
        <v>920</v>
      </c>
      <c r="S14037">
        <v>39</v>
      </c>
      <c r="T14037" s="29" t="str">
        <f t="shared" si="585"/>
        <v>2023.008D.Adenoviridae_1reng_22ns_86rensp.zip</v>
      </c>
      <c r="U14037" s="29" t="str">
        <f>HYPERLINK("https://ictv.global/taxonomy/taxondetails?taxnode_id=202309163","ictv.global=202309163")</f>
        <v>ictv.global=202309163</v>
      </c>
    </row>
    <row r="14038" spans="1:21">
      <c r="A14038">
        <v>14037</v>
      </c>
      <c r="B14038" s="30" t="s">
        <v>2145</v>
      </c>
      <c r="D14038" s="30" t="s">
        <v>2146</v>
      </c>
      <c r="F14038" s="30" t="s">
        <v>2163</v>
      </c>
      <c r="H14038" s="30" t="s">
        <v>2166</v>
      </c>
      <c r="J14038" s="30" t="s">
        <v>2169</v>
      </c>
      <c r="L14038" s="30" t="s">
        <v>426</v>
      </c>
      <c r="N14038" s="30" t="s">
        <v>3840</v>
      </c>
      <c r="P14038" s="30" t="s">
        <v>18758</v>
      </c>
      <c r="Q14038" t="s">
        <v>619</v>
      </c>
      <c r="R14038" t="s">
        <v>920</v>
      </c>
      <c r="S14038">
        <v>39</v>
      </c>
      <c r="T14038" s="29" t="str">
        <f t="shared" si="585"/>
        <v>2023.008D.Adenoviridae_1reng_22ns_86rensp.zip</v>
      </c>
      <c r="U14038" s="29" t="str">
        <f>HYPERLINK("https://ictv.global/taxonomy/taxondetails?taxnode_id=202309166","ictv.global=202309166")</f>
        <v>ictv.global=202309166</v>
      </c>
    </row>
    <row r="14039" spans="1:21">
      <c r="A14039">
        <v>14038</v>
      </c>
      <c r="B14039" s="30" t="s">
        <v>2145</v>
      </c>
      <c r="D14039" s="30" t="s">
        <v>2146</v>
      </c>
      <c r="F14039" s="30" t="s">
        <v>2163</v>
      </c>
      <c r="H14039" s="30" t="s">
        <v>2166</v>
      </c>
      <c r="J14039" s="30" t="s">
        <v>2170</v>
      </c>
      <c r="L14039" s="30" t="s">
        <v>491</v>
      </c>
      <c r="N14039" s="30" t="s">
        <v>492</v>
      </c>
      <c r="P14039" s="30" t="s">
        <v>11353</v>
      </c>
      <c r="Q14039" t="s">
        <v>619</v>
      </c>
      <c r="R14039" t="s">
        <v>920</v>
      </c>
      <c r="S14039">
        <v>37</v>
      </c>
      <c r="T14039" s="29" t="str">
        <f>HYPERLINK("https://ictv.global/ictv/proposals/2021.010B.R.Binomial_names.zip","2021.010B.R.Binomial_names.zip")</f>
        <v>2021.010B.R.Binomial_names.zip</v>
      </c>
      <c r="U14039" s="29" t="str">
        <f>HYPERLINK("https://ictv.global/taxonomy/taxondetails?taxnode_id=202306992","ictv.global=202306992")</f>
        <v>ictv.global=202306992</v>
      </c>
    </row>
    <row r="14040" spans="1:21">
      <c r="A14040">
        <v>14039</v>
      </c>
      <c r="B14040" s="30" t="s">
        <v>2145</v>
      </c>
      <c r="D14040" s="30" t="s">
        <v>2146</v>
      </c>
      <c r="F14040" s="30" t="s">
        <v>2163</v>
      </c>
      <c r="H14040" s="30" t="s">
        <v>2166</v>
      </c>
      <c r="J14040" s="30" t="s">
        <v>2170</v>
      </c>
      <c r="L14040" s="30" t="s">
        <v>491</v>
      </c>
      <c r="N14040" s="30" t="s">
        <v>492</v>
      </c>
      <c r="P14040" s="30" t="s">
        <v>11354</v>
      </c>
      <c r="Q14040" t="s">
        <v>619</v>
      </c>
      <c r="R14040" t="s">
        <v>920</v>
      </c>
      <c r="S14040">
        <v>37</v>
      </c>
      <c r="T14040" s="29" t="str">
        <f>HYPERLINK("https://ictv.global/ictv/proposals/2021.010B.R.Binomial_names.zip","2021.010B.R.Binomial_names.zip")</f>
        <v>2021.010B.R.Binomial_names.zip</v>
      </c>
      <c r="U14040" s="29" t="str">
        <f>HYPERLINK("https://ictv.global/taxonomy/taxondetails?taxnode_id=202303037","ictv.global=202303037")</f>
        <v>ictv.global=202303037</v>
      </c>
    </row>
    <row r="14041" spans="1:21">
      <c r="A14041">
        <v>14040</v>
      </c>
      <c r="B14041" s="30" t="s">
        <v>2145</v>
      </c>
      <c r="D14041" s="30" t="s">
        <v>2146</v>
      </c>
      <c r="F14041" s="30" t="s">
        <v>2163</v>
      </c>
      <c r="H14041" s="30" t="s">
        <v>2166</v>
      </c>
      <c r="L14041" s="30" t="s">
        <v>3841</v>
      </c>
      <c r="N14041" s="30" t="s">
        <v>3842</v>
      </c>
      <c r="P14041" s="30" t="s">
        <v>3843</v>
      </c>
      <c r="Q14041" t="s">
        <v>619</v>
      </c>
      <c r="R14041" t="s">
        <v>917</v>
      </c>
      <c r="S14041">
        <v>36</v>
      </c>
      <c r="T14041" s="29" t="str">
        <f>HYPERLINK("https://ictv.global/ictv/proposals/2020.016B.R.Autolykiviridae.zip","2020.016B.R.Autolykiviridae.zip")</f>
        <v>2020.016B.R.Autolykiviridae.zip</v>
      </c>
      <c r="U14041" s="29" t="str">
        <f>HYPERLINK("https://ictv.global/taxonomy/taxondetails?taxnode_id=202309497","ictv.global=202309497")</f>
        <v>ictv.global=202309497</v>
      </c>
    </row>
    <row r="14042" spans="1:21">
      <c r="A14042">
        <v>14041</v>
      </c>
      <c r="B14042" s="30" t="s">
        <v>2145</v>
      </c>
      <c r="D14042" s="30" t="s">
        <v>2146</v>
      </c>
      <c r="F14042" s="30" t="s">
        <v>2163</v>
      </c>
      <c r="H14042" s="30" t="s">
        <v>2166</v>
      </c>
      <c r="L14042" s="30" t="s">
        <v>3841</v>
      </c>
      <c r="N14042" s="30" t="s">
        <v>3842</v>
      </c>
      <c r="P14042" s="30" t="s">
        <v>3844</v>
      </c>
      <c r="Q14042" t="s">
        <v>619</v>
      </c>
      <c r="R14042" t="s">
        <v>917</v>
      </c>
      <c r="S14042">
        <v>36</v>
      </c>
      <c r="T14042" s="29" t="str">
        <f>HYPERLINK("https://ictv.global/ictv/proposals/2020.016B.R.Autolykiviridae.zip","2020.016B.R.Autolykiviridae.zip")</f>
        <v>2020.016B.R.Autolykiviridae.zip</v>
      </c>
      <c r="U14042" s="29" t="str">
        <f>HYPERLINK("https://ictv.global/taxonomy/taxondetails?taxnode_id=202309495","ictv.global=202309495")</f>
        <v>ictv.global=202309495</v>
      </c>
    </row>
    <row r="14043" spans="1:21">
      <c r="A14043">
        <v>14042</v>
      </c>
      <c r="B14043" s="30" t="s">
        <v>2145</v>
      </c>
      <c r="D14043" s="30" t="s">
        <v>2146</v>
      </c>
      <c r="F14043" s="30" t="s">
        <v>2163</v>
      </c>
      <c r="H14043" s="30" t="s">
        <v>2166</v>
      </c>
      <c r="L14043" s="30" t="s">
        <v>3841</v>
      </c>
      <c r="N14043" s="30" t="s">
        <v>3845</v>
      </c>
      <c r="P14043" s="30" t="s">
        <v>3846</v>
      </c>
      <c r="Q14043" t="s">
        <v>619</v>
      </c>
      <c r="R14043" t="s">
        <v>917</v>
      </c>
      <c r="S14043">
        <v>36</v>
      </c>
      <c r="T14043" s="29" t="str">
        <f>HYPERLINK("https://ictv.global/ictv/proposals/2020.016B.R.Autolykiviridae.zip","2020.016B.R.Autolykiviridae.zip")</f>
        <v>2020.016B.R.Autolykiviridae.zip</v>
      </c>
      <c r="U14043" s="29" t="str">
        <f>HYPERLINK("https://ictv.global/taxonomy/taxondetails?taxnode_id=202309492","ictv.global=202309492")</f>
        <v>ictv.global=202309492</v>
      </c>
    </row>
    <row r="14044" spans="1:21">
      <c r="A14044">
        <v>14043</v>
      </c>
      <c r="B14044" s="30" t="s">
        <v>2145</v>
      </c>
      <c r="D14044" s="30" t="s">
        <v>2146</v>
      </c>
      <c r="F14044" s="30" t="s">
        <v>2163</v>
      </c>
      <c r="H14044" s="30" t="s">
        <v>2166</v>
      </c>
      <c r="L14044" s="30" t="s">
        <v>3841</v>
      </c>
      <c r="N14044" s="30" t="s">
        <v>3845</v>
      </c>
      <c r="P14044" s="30" t="s">
        <v>3847</v>
      </c>
      <c r="Q14044" t="s">
        <v>619</v>
      </c>
      <c r="R14044" t="s">
        <v>917</v>
      </c>
      <c r="S14044">
        <v>36</v>
      </c>
      <c r="T14044" s="29" t="str">
        <f>HYPERLINK("https://ictv.global/ictv/proposals/2020.016B.R.Autolykiviridae.zip","2020.016B.R.Autolykiviridae.zip")</f>
        <v>2020.016B.R.Autolykiviridae.zip</v>
      </c>
      <c r="U14044" s="29" t="str">
        <f>HYPERLINK("https://ictv.global/taxonomy/taxondetails?taxnode_id=202309493","ictv.global=202309493")</f>
        <v>ictv.global=202309493</v>
      </c>
    </row>
    <row r="14045" spans="1:21">
      <c r="A14045">
        <v>14044</v>
      </c>
      <c r="B14045" s="30" t="s">
        <v>2145</v>
      </c>
      <c r="D14045" s="30" t="s">
        <v>2146</v>
      </c>
      <c r="F14045" s="30" t="s">
        <v>2163</v>
      </c>
      <c r="H14045" s="30" t="s">
        <v>2166</v>
      </c>
      <c r="L14045" s="30" t="s">
        <v>3841</v>
      </c>
      <c r="N14045" s="30" t="s">
        <v>3845</v>
      </c>
      <c r="P14045" s="30" t="s">
        <v>3848</v>
      </c>
      <c r="Q14045" t="s">
        <v>619</v>
      </c>
      <c r="R14045" t="s">
        <v>917</v>
      </c>
      <c r="S14045">
        <v>36</v>
      </c>
      <c r="T14045" s="29" t="str">
        <f>HYPERLINK("https://ictv.global/ictv/proposals/2020.016B.R.Autolykiviridae.zip","2020.016B.R.Autolykiviridae.zip")</f>
        <v>2020.016B.R.Autolykiviridae.zip</v>
      </c>
      <c r="U14045" s="29" t="str">
        <f>HYPERLINK("https://ictv.global/taxonomy/taxondetails?taxnode_id=202309494","ictv.global=202309494")</f>
        <v>ictv.global=202309494</v>
      </c>
    </row>
    <row r="14046" spans="1:21">
      <c r="A14046">
        <v>14045</v>
      </c>
      <c r="B14046" s="30" t="s">
        <v>2145</v>
      </c>
      <c r="D14046" s="30" t="s">
        <v>2146</v>
      </c>
      <c r="L14046" s="30" t="s">
        <v>11355</v>
      </c>
      <c r="N14046" s="30" t="s">
        <v>11356</v>
      </c>
      <c r="P14046" s="30" t="s">
        <v>11357</v>
      </c>
      <c r="Q14046" t="s">
        <v>619</v>
      </c>
      <c r="R14046" t="s">
        <v>917</v>
      </c>
      <c r="S14046">
        <v>37</v>
      </c>
      <c r="T14046" s="29" t="str">
        <f>HYPERLINK("https://ictv.global/ictv/proposals/2021.008F.R.Yaraviridae_newfam.zip","2021.008F.R.Yaraviridae_newfam.zip")</f>
        <v>2021.008F.R.Yaraviridae_newfam.zip</v>
      </c>
      <c r="U14046" s="29" t="str">
        <f>HYPERLINK("https://ictv.global/taxonomy/taxondetails?taxnode_id=202312530","ictv.global=202312530")</f>
        <v>ictv.global=202312530</v>
      </c>
    </row>
    <row r="14047" spans="1:21">
      <c r="A14047">
        <v>14046</v>
      </c>
      <c r="B14047" s="30" t="s">
        <v>2145</v>
      </c>
      <c r="D14047" s="30" t="s">
        <v>2171</v>
      </c>
      <c r="F14047" s="30" t="s">
        <v>2172</v>
      </c>
      <c r="H14047" s="30" t="s">
        <v>2173</v>
      </c>
      <c r="J14047" s="30" t="s">
        <v>2174</v>
      </c>
      <c r="L14047" s="30" t="s">
        <v>18759</v>
      </c>
      <c r="N14047" s="30" t="s">
        <v>3849</v>
      </c>
      <c r="P14047" s="30" t="s">
        <v>3850</v>
      </c>
      <c r="Q14047" t="s">
        <v>619</v>
      </c>
      <c r="R14047" t="s">
        <v>920</v>
      </c>
      <c r="S14047">
        <v>39</v>
      </c>
      <c r="T14047" s="29" t="str">
        <f>HYPERLINK("https://ictv.global/ictv/proposals/2023.047B.Matsushitaviridae_error_correction.zip","2023.047B.Matsushitaviridae_error_correction.zip")</f>
        <v>2023.047B.Matsushitaviridae_error_correction.zip</v>
      </c>
      <c r="U14047" s="29" t="str">
        <f>HYPERLINK("https://ictv.global/taxonomy/taxondetails?taxnode_id=202305064","ictv.global=202305064")</f>
        <v>ictv.global=202305064</v>
      </c>
    </row>
    <row r="14048" spans="1:21">
      <c r="A14048">
        <v>14047</v>
      </c>
      <c r="B14048" s="30" t="s">
        <v>2145</v>
      </c>
      <c r="D14048" s="30" t="s">
        <v>2171</v>
      </c>
      <c r="F14048" s="30" t="s">
        <v>2172</v>
      </c>
      <c r="H14048" s="30" t="s">
        <v>2173</v>
      </c>
      <c r="J14048" s="30" t="s">
        <v>2174</v>
      </c>
      <c r="L14048" s="30" t="s">
        <v>18759</v>
      </c>
      <c r="N14048" s="30" t="s">
        <v>3849</v>
      </c>
      <c r="P14048" s="30" t="s">
        <v>11358</v>
      </c>
      <c r="Q14048" t="s">
        <v>619</v>
      </c>
      <c r="R14048" t="s">
        <v>920</v>
      </c>
      <c r="S14048">
        <v>39</v>
      </c>
      <c r="T14048" s="29" t="str">
        <f>HYPERLINK("https://ictv.global/ictv/proposals/2023.047B.Matsushitaviridae_error_correction.zip","2023.047B.Matsushitaviridae_error_correction.zip")</f>
        <v>2023.047B.Matsushitaviridae_error_correction.zip</v>
      </c>
      <c r="U14048" s="29" t="str">
        <f>HYPERLINK("https://ictv.global/taxonomy/taxondetails?taxnode_id=202305065","ictv.global=202305065")</f>
        <v>ictv.global=202305065</v>
      </c>
    </row>
    <row r="14049" spans="1:21">
      <c r="A14049">
        <v>14048</v>
      </c>
      <c r="B14049" s="30" t="s">
        <v>2145</v>
      </c>
      <c r="D14049" s="30" t="s">
        <v>2171</v>
      </c>
      <c r="F14049" s="30" t="s">
        <v>2172</v>
      </c>
      <c r="H14049" s="30" t="s">
        <v>2173</v>
      </c>
      <c r="J14049" s="30" t="s">
        <v>2174</v>
      </c>
      <c r="L14049" s="30" t="s">
        <v>3851</v>
      </c>
      <c r="N14049" s="30" t="s">
        <v>3852</v>
      </c>
      <c r="P14049" s="30" t="s">
        <v>18760</v>
      </c>
      <c r="Q14049" t="s">
        <v>619</v>
      </c>
      <c r="R14049" t="s">
        <v>920</v>
      </c>
      <c r="S14049">
        <v>39</v>
      </c>
      <c r="T14049" s="29" t="str">
        <f t="shared" ref="T14049:T14055" si="586">HYPERLINK("https://ictv.global/ictv/proposals/2023.001A.Archaeal_binomials.zip","2023.001A.Archaeal_binomials.zip")</f>
        <v>2023.001A.Archaeal_binomials.zip</v>
      </c>
      <c r="U14049" s="29" t="str">
        <f>HYPERLINK("https://ictv.global/taxonomy/taxondetails?taxnode_id=202311860","ictv.global=202311860")</f>
        <v>ictv.global=202311860</v>
      </c>
    </row>
    <row r="14050" spans="1:21">
      <c r="A14050">
        <v>14049</v>
      </c>
      <c r="B14050" s="30" t="s">
        <v>2145</v>
      </c>
      <c r="D14050" s="30" t="s">
        <v>2171</v>
      </c>
      <c r="F14050" s="30" t="s">
        <v>2172</v>
      </c>
      <c r="H14050" s="30" t="s">
        <v>2173</v>
      </c>
      <c r="J14050" s="30" t="s">
        <v>2174</v>
      </c>
      <c r="L14050" s="30" t="s">
        <v>3851</v>
      </c>
      <c r="N14050" s="30" t="s">
        <v>3852</v>
      </c>
      <c r="P14050" s="30" t="s">
        <v>18761</v>
      </c>
      <c r="Q14050" t="s">
        <v>619</v>
      </c>
      <c r="R14050" t="s">
        <v>920</v>
      </c>
      <c r="S14050">
        <v>39</v>
      </c>
      <c r="T14050" s="29" t="str">
        <f t="shared" si="586"/>
        <v>2023.001A.Archaeal_binomials.zip</v>
      </c>
      <c r="U14050" s="29" t="str">
        <f>HYPERLINK("https://ictv.global/taxonomy/taxondetails?taxnode_id=202311861","ictv.global=202311861")</f>
        <v>ictv.global=202311861</v>
      </c>
    </row>
    <row r="14051" spans="1:21">
      <c r="A14051">
        <v>14050</v>
      </c>
      <c r="B14051" s="30" t="s">
        <v>2145</v>
      </c>
      <c r="D14051" s="30" t="s">
        <v>2171</v>
      </c>
      <c r="F14051" s="30" t="s">
        <v>2172</v>
      </c>
      <c r="H14051" s="30" t="s">
        <v>2173</v>
      </c>
      <c r="J14051" s="30" t="s">
        <v>2174</v>
      </c>
      <c r="L14051" s="30" t="s">
        <v>3851</v>
      </c>
      <c r="N14051" s="30" t="s">
        <v>3852</v>
      </c>
      <c r="P14051" s="30" t="s">
        <v>18762</v>
      </c>
      <c r="Q14051" t="s">
        <v>619</v>
      </c>
      <c r="R14051" t="s">
        <v>920</v>
      </c>
      <c r="S14051">
        <v>39</v>
      </c>
      <c r="T14051" s="29" t="str">
        <f t="shared" si="586"/>
        <v>2023.001A.Archaeal_binomials.zip</v>
      </c>
      <c r="U14051" s="29" t="str">
        <f>HYPERLINK("https://ictv.global/taxonomy/taxondetails?taxnode_id=202305062","ictv.global=202305062")</f>
        <v>ictv.global=202305062</v>
      </c>
    </row>
    <row r="14052" spans="1:21">
      <c r="A14052">
        <v>14051</v>
      </c>
      <c r="B14052" s="30" t="s">
        <v>2145</v>
      </c>
      <c r="D14052" s="30" t="s">
        <v>2171</v>
      </c>
      <c r="F14052" s="30" t="s">
        <v>2172</v>
      </c>
      <c r="H14052" s="30" t="s">
        <v>2173</v>
      </c>
      <c r="J14052" s="30" t="s">
        <v>2174</v>
      </c>
      <c r="L14052" s="30" t="s">
        <v>617</v>
      </c>
      <c r="N14052" s="30" t="s">
        <v>618</v>
      </c>
      <c r="P14052" s="30" t="s">
        <v>18763</v>
      </c>
      <c r="Q14052" t="s">
        <v>619</v>
      </c>
      <c r="R14052" t="s">
        <v>920</v>
      </c>
      <c r="S14052">
        <v>39</v>
      </c>
      <c r="T14052" s="29" t="str">
        <f t="shared" si="586"/>
        <v>2023.001A.Archaeal_binomials.zip</v>
      </c>
      <c r="U14052" s="29" t="str">
        <f>HYPERLINK("https://ictv.global/taxonomy/taxondetails?taxnode_id=202305057","ictv.global=202305057")</f>
        <v>ictv.global=202305057</v>
      </c>
    </row>
    <row r="14053" spans="1:21">
      <c r="A14053">
        <v>14052</v>
      </c>
      <c r="B14053" s="30" t="s">
        <v>2145</v>
      </c>
      <c r="D14053" s="30" t="s">
        <v>2171</v>
      </c>
      <c r="F14053" s="30" t="s">
        <v>2172</v>
      </c>
      <c r="H14053" s="30" t="s">
        <v>2173</v>
      </c>
      <c r="J14053" s="30" t="s">
        <v>2174</v>
      </c>
      <c r="L14053" s="30" t="s">
        <v>617</v>
      </c>
      <c r="N14053" s="30" t="s">
        <v>618</v>
      </c>
      <c r="P14053" s="30" t="s">
        <v>18764</v>
      </c>
      <c r="Q14053" t="s">
        <v>619</v>
      </c>
      <c r="R14053" t="s">
        <v>920</v>
      </c>
      <c r="S14053">
        <v>39</v>
      </c>
      <c r="T14053" s="29" t="str">
        <f t="shared" si="586"/>
        <v>2023.001A.Archaeal_binomials.zip</v>
      </c>
      <c r="U14053" s="29" t="str">
        <f>HYPERLINK("https://ictv.global/taxonomy/taxondetails?taxnode_id=202305058","ictv.global=202305058")</f>
        <v>ictv.global=202305058</v>
      </c>
    </row>
    <row r="14054" spans="1:21">
      <c r="A14054">
        <v>14053</v>
      </c>
      <c r="B14054" s="30" t="s">
        <v>2145</v>
      </c>
      <c r="D14054" s="30" t="s">
        <v>2171</v>
      </c>
      <c r="F14054" s="30" t="s">
        <v>2172</v>
      </c>
      <c r="H14054" s="30" t="s">
        <v>2173</v>
      </c>
      <c r="J14054" s="30" t="s">
        <v>2174</v>
      </c>
      <c r="L14054" s="30" t="s">
        <v>617</v>
      </c>
      <c r="N14054" s="30" t="s">
        <v>618</v>
      </c>
      <c r="P14054" s="30" t="s">
        <v>18765</v>
      </c>
      <c r="Q14054" t="s">
        <v>619</v>
      </c>
      <c r="R14054" t="s">
        <v>920</v>
      </c>
      <c r="S14054">
        <v>39</v>
      </c>
      <c r="T14054" s="29" t="str">
        <f t="shared" si="586"/>
        <v>2023.001A.Archaeal_binomials.zip</v>
      </c>
      <c r="U14054" s="29" t="str">
        <f>HYPERLINK("https://ictv.global/taxonomy/taxondetails?taxnode_id=202305059","ictv.global=202305059")</f>
        <v>ictv.global=202305059</v>
      </c>
    </row>
    <row r="14055" spans="1:21">
      <c r="A14055">
        <v>14054</v>
      </c>
      <c r="B14055" s="30" t="s">
        <v>2145</v>
      </c>
      <c r="D14055" s="30" t="s">
        <v>2171</v>
      </c>
      <c r="F14055" s="30" t="s">
        <v>2172</v>
      </c>
      <c r="H14055" s="30" t="s">
        <v>2173</v>
      </c>
      <c r="J14055" s="30" t="s">
        <v>2174</v>
      </c>
      <c r="L14055" s="30" t="s">
        <v>617</v>
      </c>
      <c r="N14055" s="30" t="s">
        <v>618</v>
      </c>
      <c r="P14055" s="30" t="s">
        <v>18766</v>
      </c>
      <c r="Q14055" t="s">
        <v>619</v>
      </c>
      <c r="R14055" t="s">
        <v>920</v>
      </c>
      <c r="S14055">
        <v>39</v>
      </c>
      <c r="T14055" s="29" t="str">
        <f t="shared" si="586"/>
        <v>2023.001A.Archaeal_binomials.zip</v>
      </c>
      <c r="U14055" s="29" t="str">
        <f>HYPERLINK("https://ictv.global/taxonomy/taxondetails?taxnode_id=202305060","ictv.global=202305060")</f>
        <v>ictv.global=202305060</v>
      </c>
    </row>
    <row r="14056" spans="1:21">
      <c r="A14056">
        <v>14055</v>
      </c>
      <c r="H14056" s="30" t="s">
        <v>3853</v>
      </c>
      <c r="J14056" s="30" t="s">
        <v>3854</v>
      </c>
      <c r="L14056" s="30" t="s">
        <v>415</v>
      </c>
      <c r="N14056" s="30" t="s">
        <v>416</v>
      </c>
      <c r="P14056" s="30" t="s">
        <v>11359</v>
      </c>
      <c r="Q14056" t="s">
        <v>619</v>
      </c>
      <c r="R14056" t="s">
        <v>920</v>
      </c>
      <c r="S14056">
        <v>38</v>
      </c>
      <c r="T14056" s="29" t="str">
        <f>HYPERLINK("https://ictv.global/ictv/proposals/2022.003D.Lefavirales_106rensp.zip","2022.003D.Lefavirales_106rensp.zip")</f>
        <v>2022.003D.Lefavirales_106rensp.zip</v>
      </c>
      <c r="U14056" s="29" t="str">
        <f>HYPERLINK("https://ictv.global/taxonomy/taxondetails?taxnode_id=202302657","ictv.global=202302657")</f>
        <v>ictv.global=202302657</v>
      </c>
    </row>
    <row r="14057" spans="1:21">
      <c r="A14057">
        <v>14056</v>
      </c>
      <c r="H14057" s="30" t="s">
        <v>3853</v>
      </c>
      <c r="J14057" s="30" t="s">
        <v>3854</v>
      </c>
      <c r="L14057" s="30" t="s">
        <v>415</v>
      </c>
      <c r="N14057" s="30" t="s">
        <v>416</v>
      </c>
      <c r="P14057" s="30" t="s">
        <v>11360</v>
      </c>
      <c r="Q14057" t="s">
        <v>619</v>
      </c>
      <c r="R14057" t="s">
        <v>920</v>
      </c>
      <c r="S14057">
        <v>38</v>
      </c>
      <c r="T14057" s="29" t="str">
        <f>HYPERLINK("https://ictv.global/ictv/proposals/2022.003D.Lefavirales_106rensp.zip","2022.003D.Lefavirales_106rensp.zip")</f>
        <v>2022.003D.Lefavirales_106rensp.zip</v>
      </c>
      <c r="U14057" s="29" t="str">
        <f>HYPERLINK("https://ictv.global/taxonomy/taxondetails?taxnode_id=202302658","ictv.global=202302658")</f>
        <v>ictv.global=202302658</v>
      </c>
    </row>
    <row r="14058" spans="1:21">
      <c r="A14058">
        <v>14057</v>
      </c>
      <c r="H14058" s="30" t="s">
        <v>3853</v>
      </c>
      <c r="J14058" s="30" t="s">
        <v>3854</v>
      </c>
      <c r="L14058" s="30" t="s">
        <v>415</v>
      </c>
      <c r="N14058" s="30" t="s">
        <v>416</v>
      </c>
      <c r="P14058" s="30" t="s">
        <v>11361</v>
      </c>
      <c r="Q14058" t="s">
        <v>619</v>
      </c>
      <c r="R14058" t="s">
        <v>920</v>
      </c>
      <c r="S14058">
        <v>38</v>
      </c>
      <c r="T14058" s="29" t="str">
        <f>HYPERLINK("https://ictv.global/ictv/proposals/2022.003D.Lefavirales_106rensp.zip","2022.003D.Lefavirales_106rensp.zip")</f>
        <v>2022.003D.Lefavirales_106rensp.zip</v>
      </c>
      <c r="U14058" s="29" t="str">
        <f>HYPERLINK("https://ictv.global/taxonomy/taxondetails?taxnode_id=202302659","ictv.global=202302659")</f>
        <v>ictv.global=202302659</v>
      </c>
    </row>
    <row r="14059" spans="1:21">
      <c r="A14059">
        <v>14058</v>
      </c>
      <c r="H14059" s="30" t="s">
        <v>3853</v>
      </c>
      <c r="J14059" s="30" t="s">
        <v>3854</v>
      </c>
      <c r="L14059" s="30" t="s">
        <v>415</v>
      </c>
      <c r="N14059" s="30" t="s">
        <v>416</v>
      </c>
      <c r="P14059" s="30" t="s">
        <v>11362</v>
      </c>
      <c r="Q14059" t="s">
        <v>619</v>
      </c>
      <c r="R14059" t="s">
        <v>920</v>
      </c>
      <c r="S14059">
        <v>38</v>
      </c>
      <c r="T14059" s="29" t="str">
        <f>HYPERLINK("https://ictv.global/ictv/proposals/2022.003D.Lefavirales_106rensp.zip","2022.003D.Lefavirales_106rensp.zip")</f>
        <v>2022.003D.Lefavirales_106rensp.zip</v>
      </c>
      <c r="U14059" s="29" t="str">
        <f>HYPERLINK("https://ictv.global/taxonomy/taxondetails?taxnode_id=202302660","ictv.global=202302660")</f>
        <v>ictv.global=202302660</v>
      </c>
    </row>
    <row r="14060" spans="1:21">
      <c r="A14060">
        <v>14059</v>
      </c>
      <c r="H14060" s="30" t="s">
        <v>3853</v>
      </c>
      <c r="J14060" s="30" t="s">
        <v>3854</v>
      </c>
      <c r="L14060" s="30" t="s">
        <v>415</v>
      </c>
      <c r="N14060" s="30" t="s">
        <v>416</v>
      </c>
      <c r="P14060" s="30" t="s">
        <v>11363</v>
      </c>
      <c r="Q14060" t="s">
        <v>619</v>
      </c>
      <c r="R14060" t="s">
        <v>920</v>
      </c>
      <c r="S14060">
        <v>38</v>
      </c>
      <c r="T14060" s="29" t="str">
        <f>HYPERLINK("https://ictv.global/ictv/proposals/2022.003D.Lefavirales_106rensp.zip","2022.003D.Lefavirales_106rensp.zip")</f>
        <v>2022.003D.Lefavirales_106rensp.zip</v>
      </c>
      <c r="U14060" s="29" t="str">
        <f>HYPERLINK("https://ictv.global/taxonomy/taxondetails?taxnode_id=202302667","ictv.global=202302667")</f>
        <v>ictv.global=202302667</v>
      </c>
    </row>
    <row r="14061" spans="1:21">
      <c r="A14061">
        <v>14060</v>
      </c>
      <c r="H14061" s="30" t="s">
        <v>3853</v>
      </c>
      <c r="J14061" s="30" t="s">
        <v>3854</v>
      </c>
      <c r="L14061" s="30" t="s">
        <v>415</v>
      </c>
      <c r="N14061" s="30" t="s">
        <v>416</v>
      </c>
      <c r="P14061" s="30" t="s">
        <v>11364</v>
      </c>
      <c r="Q14061" t="s">
        <v>619</v>
      </c>
      <c r="R14061" t="s">
        <v>917</v>
      </c>
      <c r="S14061">
        <v>38</v>
      </c>
      <c r="T14061" s="29" t="str">
        <f>HYPERLINK("https://ictv.global/ictv/proposals/2022.004D.Baculoviridae_6nsp.zip","2022.004D.Baculoviridae_6nsp.zip")</f>
        <v>2022.004D.Baculoviridae_6nsp.zip</v>
      </c>
      <c r="U14061" s="29" t="str">
        <f>HYPERLINK("https://ictv.global/taxonomy/taxondetails?taxnode_id=202314022","ictv.global=202314022")</f>
        <v>ictv.global=202314022</v>
      </c>
    </row>
    <row r="14062" spans="1:21">
      <c r="A14062">
        <v>14061</v>
      </c>
      <c r="H14062" s="30" t="s">
        <v>3853</v>
      </c>
      <c r="J14062" s="30" t="s">
        <v>3854</v>
      </c>
      <c r="L14062" s="30" t="s">
        <v>415</v>
      </c>
      <c r="N14062" s="30" t="s">
        <v>416</v>
      </c>
      <c r="P14062" s="30" t="s">
        <v>11365</v>
      </c>
      <c r="Q14062" t="s">
        <v>619</v>
      </c>
      <c r="R14062" t="s">
        <v>920</v>
      </c>
      <c r="S14062">
        <v>38</v>
      </c>
      <c r="T14062" s="29" t="str">
        <f>HYPERLINK("https://ictv.global/ictv/proposals/2022.003D.Lefavirales_106rensp.zip","2022.003D.Lefavirales_106rensp.zip")</f>
        <v>2022.003D.Lefavirales_106rensp.zip</v>
      </c>
      <c r="U14062" s="29" t="str">
        <f>HYPERLINK("https://ictv.global/taxonomy/taxondetails?taxnode_id=202302685","ictv.global=202302685")</f>
        <v>ictv.global=202302685</v>
      </c>
    </row>
    <row r="14063" spans="1:21">
      <c r="A14063">
        <v>14062</v>
      </c>
      <c r="H14063" s="30" t="s">
        <v>3853</v>
      </c>
      <c r="J14063" s="30" t="s">
        <v>3854</v>
      </c>
      <c r="L14063" s="30" t="s">
        <v>415</v>
      </c>
      <c r="N14063" s="30" t="s">
        <v>416</v>
      </c>
      <c r="P14063" s="30" t="s">
        <v>11366</v>
      </c>
      <c r="Q14063" t="s">
        <v>619</v>
      </c>
      <c r="R14063" t="s">
        <v>920</v>
      </c>
      <c r="S14063">
        <v>38</v>
      </c>
      <c r="T14063" s="29" t="str">
        <f>HYPERLINK("https://ictv.global/ictv/proposals/2022.003D.Lefavirales_106rensp.zip","2022.003D.Lefavirales_106rensp.zip")</f>
        <v>2022.003D.Lefavirales_106rensp.zip</v>
      </c>
      <c r="U14063" s="29" t="str">
        <f>HYPERLINK("https://ictv.global/taxonomy/taxondetails?taxnode_id=202308665","ictv.global=202308665")</f>
        <v>ictv.global=202308665</v>
      </c>
    </row>
    <row r="14064" spans="1:21">
      <c r="A14064">
        <v>14063</v>
      </c>
      <c r="H14064" s="30" t="s">
        <v>3853</v>
      </c>
      <c r="J14064" s="30" t="s">
        <v>3854</v>
      </c>
      <c r="L14064" s="30" t="s">
        <v>415</v>
      </c>
      <c r="N14064" s="30" t="s">
        <v>416</v>
      </c>
      <c r="P14064" s="30" t="s">
        <v>11717</v>
      </c>
      <c r="Q14064" t="s">
        <v>619</v>
      </c>
      <c r="R14064" t="s">
        <v>920</v>
      </c>
      <c r="S14064">
        <v>38</v>
      </c>
      <c r="T14064" s="29" t="str">
        <f>HYPERLINK("https://ictv.global/ictv/proposals/2022.003D.Lefavirales_106rensp.zip","2022.003D.Lefavirales_106rensp.zip;2023.DX003.Correction_3_Alphabaculovirus.zip")</f>
        <v>2022.003D.Lefavirales_106rensp.zip;2023.DX003.Correction_3_Alphabaculovirus.zip</v>
      </c>
      <c r="U14064" s="29" t="str">
        <f>HYPERLINK("https://ictv.global/taxonomy/taxondetails?taxnode_id=202313428","ictv.global=202313428")</f>
        <v>ictv.global=202313428</v>
      </c>
    </row>
    <row r="14065" spans="1:21">
      <c r="A14065">
        <v>14064</v>
      </c>
      <c r="H14065" s="30" t="s">
        <v>3853</v>
      </c>
      <c r="J14065" s="30" t="s">
        <v>3854</v>
      </c>
      <c r="L14065" s="30" t="s">
        <v>415</v>
      </c>
      <c r="N14065" s="30" t="s">
        <v>416</v>
      </c>
      <c r="P14065" s="30" t="s">
        <v>11367</v>
      </c>
      <c r="Q14065" t="s">
        <v>619</v>
      </c>
      <c r="R14065" t="s">
        <v>920</v>
      </c>
      <c r="S14065">
        <v>38</v>
      </c>
      <c r="T14065" s="29" t="str">
        <f>HYPERLINK("https://ictv.global/ictv/proposals/2022.003D.Lefavirales_106rensp.zip","2022.003D.Lefavirales_106rensp.zip")</f>
        <v>2022.003D.Lefavirales_106rensp.zip</v>
      </c>
      <c r="U14065" s="29" t="str">
        <f>HYPERLINK("https://ictv.global/taxonomy/taxondetails?taxnode_id=202308720","ictv.global=202308720")</f>
        <v>ictv.global=202308720</v>
      </c>
    </row>
    <row r="14066" spans="1:21">
      <c r="A14066">
        <v>14065</v>
      </c>
      <c r="H14066" s="30" t="s">
        <v>3853</v>
      </c>
      <c r="J14066" s="30" t="s">
        <v>3854</v>
      </c>
      <c r="L14066" s="30" t="s">
        <v>415</v>
      </c>
      <c r="N14066" s="30" t="s">
        <v>416</v>
      </c>
      <c r="P14066" s="30" t="s">
        <v>11368</v>
      </c>
      <c r="Q14066" t="s">
        <v>619</v>
      </c>
      <c r="R14066" t="s">
        <v>920</v>
      </c>
      <c r="S14066">
        <v>38</v>
      </c>
      <c r="T14066" s="29" t="str">
        <f>HYPERLINK("https://ictv.global/ictv/proposals/2022.003D.Lefavirales_106rensp.zip","2022.003D.Lefavirales_106rensp.zip")</f>
        <v>2022.003D.Lefavirales_106rensp.zip</v>
      </c>
      <c r="U14066" s="29" t="str">
        <f>HYPERLINK("https://ictv.global/taxonomy/taxondetails?taxnode_id=202302662","ictv.global=202302662")</f>
        <v>ictv.global=202302662</v>
      </c>
    </row>
    <row r="14067" spans="1:21">
      <c r="A14067">
        <v>14066</v>
      </c>
      <c r="H14067" s="30" t="s">
        <v>3853</v>
      </c>
      <c r="J14067" s="30" t="s">
        <v>3854</v>
      </c>
      <c r="L14067" s="30" t="s">
        <v>415</v>
      </c>
      <c r="N14067" s="30" t="s">
        <v>416</v>
      </c>
      <c r="P14067" s="30" t="s">
        <v>11369</v>
      </c>
      <c r="Q14067" t="s">
        <v>619</v>
      </c>
      <c r="R14067" t="s">
        <v>920</v>
      </c>
      <c r="S14067">
        <v>38</v>
      </c>
      <c r="T14067" s="29" t="str">
        <f>HYPERLINK("https://ictv.global/ictv/proposals/2022.003D.Lefavirales_106rensp.zip","2022.003D.Lefavirales_106rensp.zip")</f>
        <v>2022.003D.Lefavirales_106rensp.zip</v>
      </c>
      <c r="U14067" s="29" t="str">
        <f>HYPERLINK("https://ictv.global/taxonomy/taxondetails?taxnode_id=202302661","ictv.global=202302661")</f>
        <v>ictv.global=202302661</v>
      </c>
    </row>
    <row r="14068" spans="1:21">
      <c r="A14068">
        <v>14067</v>
      </c>
      <c r="H14068" s="30" t="s">
        <v>3853</v>
      </c>
      <c r="J14068" s="30" t="s">
        <v>3854</v>
      </c>
      <c r="L14068" s="30" t="s">
        <v>415</v>
      </c>
      <c r="N14068" s="30" t="s">
        <v>416</v>
      </c>
      <c r="P14068" s="30" t="s">
        <v>11370</v>
      </c>
      <c r="Q14068" t="s">
        <v>619</v>
      </c>
      <c r="R14068" t="s">
        <v>920</v>
      </c>
      <c r="S14068">
        <v>38</v>
      </c>
      <c r="T14068" s="29" t="str">
        <f>HYPERLINK("https://ictv.global/ictv/proposals/2022.003D.Lefavirales_106rensp.zip","2022.003D.Lefavirales_106rensp.zip")</f>
        <v>2022.003D.Lefavirales_106rensp.zip</v>
      </c>
      <c r="U14068" s="29" t="str">
        <f>HYPERLINK("https://ictv.global/taxonomy/taxondetails?taxnode_id=202313425","ictv.global=202313425")</f>
        <v>ictv.global=202313425</v>
      </c>
    </row>
    <row r="14069" spans="1:21">
      <c r="A14069">
        <v>14068</v>
      </c>
      <c r="H14069" s="30" t="s">
        <v>3853</v>
      </c>
      <c r="J14069" s="30" t="s">
        <v>3854</v>
      </c>
      <c r="L14069" s="30" t="s">
        <v>415</v>
      </c>
      <c r="N14069" s="30" t="s">
        <v>416</v>
      </c>
      <c r="P14069" s="30" t="s">
        <v>11718</v>
      </c>
      <c r="Q14069" t="s">
        <v>619</v>
      </c>
      <c r="R14069" t="s">
        <v>920</v>
      </c>
      <c r="S14069">
        <v>38</v>
      </c>
      <c r="T14069" s="29" t="str">
        <f>HYPERLINK("https://ictv.global/ictv/proposals/2022.003D.Lefavirales_106rensp.zip","2022.003D.Lefavirales_106rensp.zip;2023.DX001.Correction_Alphabaculovirus.zip")</f>
        <v>2022.003D.Lefavirales_106rensp.zip;2023.DX001.Correction_Alphabaculovirus.zip</v>
      </c>
      <c r="U14069" s="29" t="str">
        <f>HYPERLINK("https://ictv.global/taxonomy/taxondetails?taxnode_id=202302663","ictv.global=202302663")</f>
        <v>ictv.global=202302663</v>
      </c>
    </row>
    <row r="14070" spans="1:21">
      <c r="A14070">
        <v>14069</v>
      </c>
      <c r="H14070" s="30" t="s">
        <v>3853</v>
      </c>
      <c r="J14070" s="30" t="s">
        <v>3854</v>
      </c>
      <c r="L14070" s="30" t="s">
        <v>415</v>
      </c>
      <c r="N14070" s="30" t="s">
        <v>416</v>
      </c>
      <c r="P14070" s="30" t="s">
        <v>11371</v>
      </c>
      <c r="Q14070" t="s">
        <v>619</v>
      </c>
      <c r="R14070" t="s">
        <v>920</v>
      </c>
      <c r="S14070">
        <v>38</v>
      </c>
      <c r="T14070" s="29" t="str">
        <f t="shared" ref="T14070:T14079" si="587">HYPERLINK("https://ictv.global/ictv/proposals/2022.003D.Lefavirales_106rensp.zip","2022.003D.Lefavirales_106rensp.zip")</f>
        <v>2022.003D.Lefavirales_106rensp.zip</v>
      </c>
      <c r="U14070" s="29" t="str">
        <f>HYPERLINK("https://ictv.global/taxonomy/taxondetails?taxnode_id=202302664","ictv.global=202302664")</f>
        <v>ictv.global=202302664</v>
      </c>
    </row>
    <row r="14071" spans="1:21">
      <c r="A14071">
        <v>14070</v>
      </c>
      <c r="H14071" s="30" t="s">
        <v>3853</v>
      </c>
      <c r="J14071" s="30" t="s">
        <v>3854</v>
      </c>
      <c r="L14071" s="30" t="s">
        <v>415</v>
      </c>
      <c r="N14071" s="30" t="s">
        <v>416</v>
      </c>
      <c r="P14071" s="30" t="s">
        <v>11372</v>
      </c>
      <c r="Q14071" t="s">
        <v>619</v>
      </c>
      <c r="R14071" t="s">
        <v>920</v>
      </c>
      <c r="S14071">
        <v>38</v>
      </c>
      <c r="T14071" s="29" t="str">
        <f t="shared" si="587"/>
        <v>2022.003D.Lefavirales_106rensp.zip</v>
      </c>
      <c r="U14071" s="29" t="str">
        <f>HYPERLINK("https://ictv.global/taxonomy/taxondetails?taxnode_id=202302665","ictv.global=202302665")</f>
        <v>ictv.global=202302665</v>
      </c>
    </row>
    <row r="14072" spans="1:21">
      <c r="A14072">
        <v>14071</v>
      </c>
      <c r="H14072" s="30" t="s">
        <v>3853</v>
      </c>
      <c r="J14072" s="30" t="s">
        <v>3854</v>
      </c>
      <c r="L14072" s="30" t="s">
        <v>415</v>
      </c>
      <c r="N14072" s="30" t="s">
        <v>416</v>
      </c>
      <c r="P14072" s="30" t="s">
        <v>11373</v>
      </c>
      <c r="Q14072" t="s">
        <v>619</v>
      </c>
      <c r="R14072" t="s">
        <v>920</v>
      </c>
      <c r="S14072">
        <v>38</v>
      </c>
      <c r="T14072" s="29" t="str">
        <f t="shared" si="587"/>
        <v>2022.003D.Lefavirales_106rensp.zip</v>
      </c>
      <c r="U14072" s="29" t="str">
        <f>HYPERLINK("https://ictv.global/taxonomy/taxondetails?taxnode_id=202302666","ictv.global=202302666")</f>
        <v>ictv.global=202302666</v>
      </c>
    </row>
    <row r="14073" spans="1:21">
      <c r="A14073">
        <v>14072</v>
      </c>
      <c r="H14073" s="30" t="s">
        <v>3853</v>
      </c>
      <c r="J14073" s="30" t="s">
        <v>3854</v>
      </c>
      <c r="L14073" s="30" t="s">
        <v>415</v>
      </c>
      <c r="N14073" s="30" t="s">
        <v>416</v>
      </c>
      <c r="P14073" s="30" t="s">
        <v>11374</v>
      </c>
      <c r="Q14073" t="s">
        <v>619</v>
      </c>
      <c r="R14073" t="s">
        <v>920</v>
      </c>
      <c r="S14073">
        <v>38</v>
      </c>
      <c r="T14073" s="29" t="str">
        <f t="shared" si="587"/>
        <v>2022.003D.Lefavirales_106rensp.zip</v>
      </c>
      <c r="U14073" s="29" t="str">
        <f>HYPERLINK("https://ictv.global/taxonomy/taxondetails?taxnode_id=202302668","ictv.global=202302668")</f>
        <v>ictv.global=202302668</v>
      </c>
    </row>
    <row r="14074" spans="1:21">
      <c r="A14074">
        <v>14073</v>
      </c>
      <c r="H14074" s="30" t="s">
        <v>3853</v>
      </c>
      <c r="J14074" s="30" t="s">
        <v>3854</v>
      </c>
      <c r="L14074" s="30" t="s">
        <v>415</v>
      </c>
      <c r="N14074" s="30" t="s">
        <v>416</v>
      </c>
      <c r="P14074" s="30" t="s">
        <v>11375</v>
      </c>
      <c r="Q14074" t="s">
        <v>619</v>
      </c>
      <c r="R14074" t="s">
        <v>920</v>
      </c>
      <c r="S14074">
        <v>38</v>
      </c>
      <c r="T14074" s="29" t="str">
        <f t="shared" si="587"/>
        <v>2022.003D.Lefavirales_106rensp.zip</v>
      </c>
      <c r="U14074" s="29" t="str">
        <f>HYPERLINK("https://ictv.global/taxonomy/taxondetails?taxnode_id=202302669","ictv.global=202302669")</f>
        <v>ictv.global=202302669</v>
      </c>
    </row>
    <row r="14075" spans="1:21">
      <c r="A14075">
        <v>14074</v>
      </c>
      <c r="H14075" s="30" t="s">
        <v>3853</v>
      </c>
      <c r="J14075" s="30" t="s">
        <v>3854</v>
      </c>
      <c r="L14075" s="30" t="s">
        <v>415</v>
      </c>
      <c r="N14075" s="30" t="s">
        <v>416</v>
      </c>
      <c r="P14075" s="30" t="s">
        <v>11376</v>
      </c>
      <c r="Q14075" t="s">
        <v>619</v>
      </c>
      <c r="R14075" t="s">
        <v>920</v>
      </c>
      <c r="S14075">
        <v>38</v>
      </c>
      <c r="T14075" s="29" t="str">
        <f t="shared" si="587"/>
        <v>2022.003D.Lefavirales_106rensp.zip</v>
      </c>
      <c r="U14075" s="29" t="str">
        <f>HYPERLINK("https://ictv.global/taxonomy/taxondetails?taxnode_id=202302670","ictv.global=202302670")</f>
        <v>ictv.global=202302670</v>
      </c>
    </row>
    <row r="14076" spans="1:21">
      <c r="A14076">
        <v>14075</v>
      </c>
      <c r="H14076" s="30" t="s">
        <v>3853</v>
      </c>
      <c r="J14076" s="30" t="s">
        <v>3854</v>
      </c>
      <c r="L14076" s="30" t="s">
        <v>415</v>
      </c>
      <c r="N14076" s="30" t="s">
        <v>416</v>
      </c>
      <c r="P14076" s="30" t="s">
        <v>11377</v>
      </c>
      <c r="Q14076" t="s">
        <v>619</v>
      </c>
      <c r="R14076" t="s">
        <v>920</v>
      </c>
      <c r="S14076">
        <v>38</v>
      </c>
      <c r="T14076" s="29" t="str">
        <f t="shared" si="587"/>
        <v>2022.003D.Lefavirales_106rensp.zip</v>
      </c>
      <c r="U14076" s="29" t="str">
        <f>HYPERLINK("https://ictv.global/taxonomy/taxondetails?taxnode_id=202302672","ictv.global=202302672")</f>
        <v>ictv.global=202302672</v>
      </c>
    </row>
    <row r="14077" spans="1:21">
      <c r="A14077">
        <v>14076</v>
      </c>
      <c r="H14077" s="30" t="s">
        <v>3853</v>
      </c>
      <c r="J14077" s="30" t="s">
        <v>3854</v>
      </c>
      <c r="L14077" s="30" t="s">
        <v>415</v>
      </c>
      <c r="N14077" s="30" t="s">
        <v>416</v>
      </c>
      <c r="P14077" s="30" t="s">
        <v>11378</v>
      </c>
      <c r="Q14077" t="s">
        <v>619</v>
      </c>
      <c r="R14077" t="s">
        <v>920</v>
      </c>
      <c r="S14077">
        <v>38</v>
      </c>
      <c r="T14077" s="29" t="str">
        <f t="shared" si="587"/>
        <v>2022.003D.Lefavirales_106rensp.zip</v>
      </c>
      <c r="U14077" s="29" t="str">
        <f>HYPERLINK("https://ictv.global/taxonomy/taxondetails?taxnode_id=202302671","ictv.global=202302671")</f>
        <v>ictv.global=202302671</v>
      </c>
    </row>
    <row r="14078" spans="1:21">
      <c r="A14078">
        <v>14077</v>
      </c>
      <c r="H14078" s="30" t="s">
        <v>3853</v>
      </c>
      <c r="J14078" s="30" t="s">
        <v>3854</v>
      </c>
      <c r="L14078" s="30" t="s">
        <v>415</v>
      </c>
      <c r="N14078" s="30" t="s">
        <v>416</v>
      </c>
      <c r="P14078" s="30" t="s">
        <v>11379</v>
      </c>
      <c r="Q14078" t="s">
        <v>619</v>
      </c>
      <c r="R14078" t="s">
        <v>920</v>
      </c>
      <c r="S14078">
        <v>38</v>
      </c>
      <c r="T14078" s="29" t="str">
        <f t="shared" si="587"/>
        <v>2022.003D.Lefavirales_106rensp.zip</v>
      </c>
      <c r="U14078" s="29" t="str">
        <f>HYPERLINK("https://ictv.global/taxonomy/taxondetails?taxnode_id=202302673","ictv.global=202302673")</f>
        <v>ictv.global=202302673</v>
      </c>
    </row>
    <row r="14079" spans="1:21">
      <c r="A14079">
        <v>14078</v>
      </c>
      <c r="H14079" s="30" t="s">
        <v>3853</v>
      </c>
      <c r="J14079" s="30" t="s">
        <v>3854</v>
      </c>
      <c r="L14079" s="30" t="s">
        <v>415</v>
      </c>
      <c r="N14079" s="30" t="s">
        <v>416</v>
      </c>
      <c r="P14079" s="30" t="s">
        <v>11380</v>
      </c>
      <c r="Q14079" t="s">
        <v>619</v>
      </c>
      <c r="R14079" t="s">
        <v>920</v>
      </c>
      <c r="S14079">
        <v>38</v>
      </c>
      <c r="T14079" s="29" t="str">
        <f t="shared" si="587"/>
        <v>2022.003D.Lefavirales_106rensp.zip</v>
      </c>
      <c r="U14079" s="29" t="str">
        <f>HYPERLINK("https://ictv.global/taxonomy/taxondetails?taxnode_id=202308661","ictv.global=202308661")</f>
        <v>ictv.global=202308661</v>
      </c>
    </row>
    <row r="14080" spans="1:21">
      <c r="A14080">
        <v>14079</v>
      </c>
      <c r="H14080" s="30" t="s">
        <v>3853</v>
      </c>
      <c r="J14080" s="30" t="s">
        <v>3854</v>
      </c>
      <c r="L14080" s="30" t="s">
        <v>415</v>
      </c>
      <c r="N14080" s="30" t="s">
        <v>416</v>
      </c>
      <c r="P14080" s="30" t="s">
        <v>11719</v>
      </c>
      <c r="Q14080" t="s">
        <v>619</v>
      </c>
      <c r="R14080" t="s">
        <v>920</v>
      </c>
      <c r="S14080">
        <v>38</v>
      </c>
      <c r="T14080" s="29" t="str">
        <f>HYPERLINK("https://ictv.global/ictv/proposals/2022.003D.Lefavirales_106rensp.zip","2022.003D.Lefavirales_106rensp.zip;2023.DX003.Correction_3_Alphabaculovirus.zip")</f>
        <v>2022.003D.Lefavirales_106rensp.zip;2023.DX003.Correction_3_Alphabaculovirus.zip</v>
      </c>
      <c r="U14080" s="29" t="str">
        <f>HYPERLINK("https://ictv.global/taxonomy/taxondetails?taxnode_id=202308662","ictv.global=202308662")</f>
        <v>ictv.global=202308662</v>
      </c>
    </row>
    <row r="14081" spans="1:21">
      <c r="A14081">
        <v>14080</v>
      </c>
      <c r="H14081" s="30" t="s">
        <v>3853</v>
      </c>
      <c r="J14081" s="30" t="s">
        <v>3854</v>
      </c>
      <c r="L14081" s="30" t="s">
        <v>415</v>
      </c>
      <c r="N14081" s="30" t="s">
        <v>416</v>
      </c>
      <c r="P14081" s="30" t="s">
        <v>11381</v>
      </c>
      <c r="Q14081" t="s">
        <v>619</v>
      </c>
      <c r="R14081" t="s">
        <v>920</v>
      </c>
      <c r="S14081">
        <v>38</v>
      </c>
      <c r="T14081" s="29" t="str">
        <f>HYPERLINK("https://ictv.global/ictv/proposals/2022.003D.Lefavirales_106rensp.zip","2022.003D.Lefavirales_106rensp.zip")</f>
        <v>2022.003D.Lefavirales_106rensp.zip</v>
      </c>
      <c r="U14081" s="29" t="str">
        <f>HYPERLINK("https://ictv.global/taxonomy/taxondetails?taxnode_id=202308663","ictv.global=202308663")</f>
        <v>ictv.global=202308663</v>
      </c>
    </row>
    <row r="14082" spans="1:21">
      <c r="A14082">
        <v>14081</v>
      </c>
      <c r="H14082" s="30" t="s">
        <v>3853</v>
      </c>
      <c r="J14082" s="30" t="s">
        <v>3854</v>
      </c>
      <c r="L14082" s="30" t="s">
        <v>415</v>
      </c>
      <c r="N14082" s="30" t="s">
        <v>416</v>
      </c>
      <c r="P14082" s="30" t="s">
        <v>11382</v>
      </c>
      <c r="Q14082" t="s">
        <v>619</v>
      </c>
      <c r="R14082" t="s">
        <v>920</v>
      </c>
      <c r="S14082">
        <v>38</v>
      </c>
      <c r="T14082" s="29" t="str">
        <f>HYPERLINK("https://ictv.global/ictv/proposals/2022.003D.Lefavirales_106rensp.zip","2022.003D.Lefavirales_106rensp.zip")</f>
        <v>2022.003D.Lefavirales_106rensp.zip</v>
      </c>
      <c r="U14082" s="29" t="str">
        <f>HYPERLINK("https://ictv.global/taxonomy/taxondetails?taxnode_id=202313426","ictv.global=202313426")</f>
        <v>ictv.global=202313426</v>
      </c>
    </row>
    <row r="14083" spans="1:21">
      <c r="A14083">
        <v>14082</v>
      </c>
      <c r="H14083" s="30" t="s">
        <v>3853</v>
      </c>
      <c r="J14083" s="30" t="s">
        <v>3854</v>
      </c>
      <c r="L14083" s="30" t="s">
        <v>415</v>
      </c>
      <c r="N14083" s="30" t="s">
        <v>416</v>
      </c>
      <c r="P14083" s="30" t="s">
        <v>11383</v>
      </c>
      <c r="Q14083" t="s">
        <v>619</v>
      </c>
      <c r="R14083" t="s">
        <v>920</v>
      </c>
      <c r="S14083">
        <v>38</v>
      </c>
      <c r="T14083" s="29" t="str">
        <f>HYPERLINK("https://ictv.global/ictv/proposals/2022.003D.Lefavirales_106rensp.zip","2022.003D.Lefavirales_106rensp.zip")</f>
        <v>2022.003D.Lefavirales_106rensp.zip</v>
      </c>
      <c r="U14083" s="29" t="str">
        <f>HYPERLINK("https://ictv.global/taxonomy/taxondetails?taxnode_id=202302674","ictv.global=202302674")</f>
        <v>ictv.global=202302674</v>
      </c>
    </row>
    <row r="14084" spans="1:21">
      <c r="A14084">
        <v>14083</v>
      </c>
      <c r="H14084" s="30" t="s">
        <v>3853</v>
      </c>
      <c r="J14084" s="30" t="s">
        <v>3854</v>
      </c>
      <c r="L14084" s="30" t="s">
        <v>415</v>
      </c>
      <c r="N14084" s="30" t="s">
        <v>416</v>
      </c>
      <c r="P14084" s="30" t="s">
        <v>11384</v>
      </c>
      <c r="Q14084" t="s">
        <v>619</v>
      </c>
      <c r="R14084" t="s">
        <v>920</v>
      </c>
      <c r="S14084">
        <v>38</v>
      </c>
      <c r="T14084" s="29" t="str">
        <f>HYPERLINK("https://ictv.global/ictv/proposals/2022.003D.Lefavirales_106rensp.zip","2022.003D.Lefavirales_106rensp.zip")</f>
        <v>2022.003D.Lefavirales_106rensp.zip</v>
      </c>
      <c r="U14084" s="29" t="str">
        <f>HYPERLINK("https://ictv.global/taxonomy/taxondetails?taxnode_id=202302675","ictv.global=202302675")</f>
        <v>ictv.global=202302675</v>
      </c>
    </row>
    <row r="14085" spans="1:21">
      <c r="A14085">
        <v>14084</v>
      </c>
      <c r="H14085" s="30" t="s">
        <v>3853</v>
      </c>
      <c r="J14085" s="30" t="s">
        <v>3854</v>
      </c>
      <c r="L14085" s="30" t="s">
        <v>415</v>
      </c>
      <c r="N14085" s="30" t="s">
        <v>416</v>
      </c>
      <c r="P14085" s="30" t="s">
        <v>11385</v>
      </c>
      <c r="Q14085" t="s">
        <v>619</v>
      </c>
      <c r="R14085" t="s">
        <v>917</v>
      </c>
      <c r="S14085">
        <v>38</v>
      </c>
      <c r="T14085" s="29" t="str">
        <f>HYPERLINK("https://ictv.global/ictv/proposals/2022.004D.Baculoviridae_6nsp.zip","2022.004D.Baculoviridae_6nsp.zip")</f>
        <v>2022.004D.Baculoviridae_6nsp.zip</v>
      </c>
      <c r="U14085" s="29" t="str">
        <f>HYPERLINK("https://ictv.global/taxonomy/taxondetails?taxnode_id=202314023","ictv.global=202314023")</f>
        <v>ictv.global=202314023</v>
      </c>
    </row>
    <row r="14086" spans="1:21">
      <c r="A14086">
        <v>14085</v>
      </c>
      <c r="H14086" s="30" t="s">
        <v>3853</v>
      </c>
      <c r="J14086" s="30" t="s">
        <v>3854</v>
      </c>
      <c r="L14086" s="30" t="s">
        <v>415</v>
      </c>
      <c r="N14086" s="30" t="s">
        <v>416</v>
      </c>
      <c r="P14086" s="30" t="s">
        <v>11386</v>
      </c>
      <c r="Q14086" t="s">
        <v>619</v>
      </c>
      <c r="R14086" t="s">
        <v>920</v>
      </c>
      <c r="S14086">
        <v>38</v>
      </c>
      <c r="T14086" s="29" t="str">
        <f t="shared" ref="T14086:T14099" si="588">HYPERLINK("https://ictv.global/ictv/proposals/2022.003D.Lefavirales_106rensp.zip","2022.003D.Lefavirales_106rensp.zip")</f>
        <v>2022.003D.Lefavirales_106rensp.zip</v>
      </c>
      <c r="U14086" s="29" t="str">
        <f>HYPERLINK("https://ictv.global/taxonomy/taxondetails?taxnode_id=202302676","ictv.global=202302676")</f>
        <v>ictv.global=202302676</v>
      </c>
    </row>
    <row r="14087" spans="1:21">
      <c r="A14087">
        <v>14086</v>
      </c>
      <c r="H14087" s="30" t="s">
        <v>3853</v>
      </c>
      <c r="J14087" s="30" t="s">
        <v>3854</v>
      </c>
      <c r="L14087" s="30" t="s">
        <v>415</v>
      </c>
      <c r="N14087" s="30" t="s">
        <v>416</v>
      </c>
      <c r="P14087" s="30" t="s">
        <v>11387</v>
      </c>
      <c r="Q14087" t="s">
        <v>619</v>
      </c>
      <c r="R14087" t="s">
        <v>920</v>
      </c>
      <c r="S14087">
        <v>38</v>
      </c>
      <c r="T14087" s="29" t="str">
        <f t="shared" si="588"/>
        <v>2022.003D.Lefavirales_106rensp.zip</v>
      </c>
      <c r="U14087" s="29" t="str">
        <f>HYPERLINK("https://ictv.global/taxonomy/taxondetails?taxnode_id=202302677","ictv.global=202302677")</f>
        <v>ictv.global=202302677</v>
      </c>
    </row>
    <row r="14088" spans="1:21">
      <c r="A14088">
        <v>14087</v>
      </c>
      <c r="H14088" s="30" t="s">
        <v>3853</v>
      </c>
      <c r="J14088" s="30" t="s">
        <v>3854</v>
      </c>
      <c r="L14088" s="30" t="s">
        <v>415</v>
      </c>
      <c r="N14088" s="30" t="s">
        <v>416</v>
      </c>
      <c r="P14088" s="30" t="s">
        <v>11388</v>
      </c>
      <c r="Q14088" t="s">
        <v>619</v>
      </c>
      <c r="R14088" t="s">
        <v>920</v>
      </c>
      <c r="S14088">
        <v>38</v>
      </c>
      <c r="T14088" s="29" t="str">
        <f t="shared" si="588"/>
        <v>2022.003D.Lefavirales_106rensp.zip</v>
      </c>
      <c r="U14088" s="29" t="str">
        <f>HYPERLINK("https://ictv.global/taxonomy/taxondetails?taxnode_id=202306526","ictv.global=202306526")</f>
        <v>ictv.global=202306526</v>
      </c>
    </row>
    <row r="14089" spans="1:21">
      <c r="A14089">
        <v>14088</v>
      </c>
      <c r="H14089" s="30" t="s">
        <v>3853</v>
      </c>
      <c r="J14089" s="30" t="s">
        <v>3854</v>
      </c>
      <c r="L14089" s="30" t="s">
        <v>415</v>
      </c>
      <c r="N14089" s="30" t="s">
        <v>416</v>
      </c>
      <c r="P14089" s="30" t="s">
        <v>11389</v>
      </c>
      <c r="Q14089" t="s">
        <v>619</v>
      </c>
      <c r="R14089" t="s">
        <v>920</v>
      </c>
      <c r="S14089">
        <v>38</v>
      </c>
      <c r="T14089" s="29" t="str">
        <f t="shared" si="588"/>
        <v>2022.003D.Lefavirales_106rensp.zip</v>
      </c>
      <c r="U14089" s="29" t="str">
        <f>HYPERLINK("https://ictv.global/taxonomy/taxondetails?taxnode_id=202302678","ictv.global=202302678")</f>
        <v>ictv.global=202302678</v>
      </c>
    </row>
    <row r="14090" spans="1:21">
      <c r="A14090">
        <v>14089</v>
      </c>
      <c r="H14090" s="30" t="s">
        <v>3853</v>
      </c>
      <c r="J14090" s="30" t="s">
        <v>3854</v>
      </c>
      <c r="L14090" s="30" t="s">
        <v>415</v>
      </c>
      <c r="N14090" s="30" t="s">
        <v>416</v>
      </c>
      <c r="P14090" s="30" t="s">
        <v>11390</v>
      </c>
      <c r="Q14090" t="s">
        <v>619</v>
      </c>
      <c r="R14090" t="s">
        <v>920</v>
      </c>
      <c r="S14090">
        <v>38</v>
      </c>
      <c r="T14090" s="29" t="str">
        <f t="shared" si="588"/>
        <v>2022.003D.Lefavirales_106rensp.zip</v>
      </c>
      <c r="U14090" s="29" t="str">
        <f>HYPERLINK("https://ictv.global/taxonomy/taxondetails?taxnode_id=202308664","ictv.global=202308664")</f>
        <v>ictv.global=202308664</v>
      </c>
    </row>
    <row r="14091" spans="1:21">
      <c r="A14091">
        <v>14090</v>
      </c>
      <c r="H14091" s="30" t="s">
        <v>3853</v>
      </c>
      <c r="J14091" s="30" t="s">
        <v>3854</v>
      </c>
      <c r="L14091" s="30" t="s">
        <v>415</v>
      </c>
      <c r="N14091" s="30" t="s">
        <v>416</v>
      </c>
      <c r="P14091" s="30" t="s">
        <v>11391</v>
      </c>
      <c r="Q14091" t="s">
        <v>619</v>
      </c>
      <c r="R14091" t="s">
        <v>920</v>
      </c>
      <c r="S14091">
        <v>38</v>
      </c>
      <c r="T14091" s="29" t="str">
        <f t="shared" si="588"/>
        <v>2022.003D.Lefavirales_106rensp.zip</v>
      </c>
      <c r="U14091" s="29" t="str">
        <f>HYPERLINK("https://ictv.global/taxonomy/taxondetails?taxnode_id=202302679","ictv.global=202302679")</f>
        <v>ictv.global=202302679</v>
      </c>
    </row>
    <row r="14092" spans="1:21">
      <c r="A14092">
        <v>14091</v>
      </c>
      <c r="H14092" s="30" t="s">
        <v>3853</v>
      </c>
      <c r="J14092" s="30" t="s">
        <v>3854</v>
      </c>
      <c r="L14092" s="30" t="s">
        <v>415</v>
      </c>
      <c r="N14092" s="30" t="s">
        <v>416</v>
      </c>
      <c r="P14092" s="30" t="s">
        <v>11392</v>
      </c>
      <c r="Q14092" t="s">
        <v>619</v>
      </c>
      <c r="R14092" t="s">
        <v>920</v>
      </c>
      <c r="S14092">
        <v>38</v>
      </c>
      <c r="T14092" s="29" t="str">
        <f t="shared" si="588"/>
        <v>2022.003D.Lefavirales_106rensp.zip</v>
      </c>
      <c r="U14092" s="29" t="str">
        <f>HYPERLINK("https://ictv.global/taxonomy/taxondetails?taxnode_id=202302680","ictv.global=202302680")</f>
        <v>ictv.global=202302680</v>
      </c>
    </row>
    <row r="14093" spans="1:21">
      <c r="A14093">
        <v>14092</v>
      </c>
      <c r="H14093" s="30" t="s">
        <v>3853</v>
      </c>
      <c r="J14093" s="30" t="s">
        <v>3854</v>
      </c>
      <c r="L14093" s="30" t="s">
        <v>415</v>
      </c>
      <c r="N14093" s="30" t="s">
        <v>416</v>
      </c>
      <c r="P14093" s="30" t="s">
        <v>11393</v>
      </c>
      <c r="Q14093" t="s">
        <v>619</v>
      </c>
      <c r="R14093" t="s">
        <v>920</v>
      </c>
      <c r="S14093">
        <v>38</v>
      </c>
      <c r="T14093" s="29" t="str">
        <f t="shared" si="588"/>
        <v>2022.003D.Lefavirales_106rensp.zip</v>
      </c>
      <c r="U14093" s="29" t="str">
        <f>HYPERLINK("https://ictv.global/taxonomy/taxondetails?taxnode_id=202306527","ictv.global=202306527")</f>
        <v>ictv.global=202306527</v>
      </c>
    </row>
    <row r="14094" spans="1:21">
      <c r="A14094">
        <v>14093</v>
      </c>
      <c r="H14094" s="30" t="s">
        <v>3853</v>
      </c>
      <c r="J14094" s="30" t="s">
        <v>3854</v>
      </c>
      <c r="L14094" s="30" t="s">
        <v>415</v>
      </c>
      <c r="N14094" s="30" t="s">
        <v>416</v>
      </c>
      <c r="P14094" s="30" t="s">
        <v>11394</v>
      </c>
      <c r="Q14094" t="s">
        <v>619</v>
      </c>
      <c r="R14094" t="s">
        <v>920</v>
      </c>
      <c r="S14094">
        <v>38</v>
      </c>
      <c r="T14094" s="29" t="str">
        <f t="shared" si="588"/>
        <v>2022.003D.Lefavirales_106rensp.zip</v>
      </c>
      <c r="U14094" s="29" t="str">
        <f>HYPERLINK("https://ictv.global/taxonomy/taxondetails?taxnode_id=202302681","ictv.global=202302681")</f>
        <v>ictv.global=202302681</v>
      </c>
    </row>
    <row r="14095" spans="1:21">
      <c r="A14095">
        <v>14094</v>
      </c>
      <c r="H14095" s="30" t="s">
        <v>3853</v>
      </c>
      <c r="J14095" s="30" t="s">
        <v>3854</v>
      </c>
      <c r="L14095" s="30" t="s">
        <v>415</v>
      </c>
      <c r="N14095" s="30" t="s">
        <v>416</v>
      </c>
      <c r="P14095" s="30" t="s">
        <v>11395</v>
      </c>
      <c r="Q14095" t="s">
        <v>619</v>
      </c>
      <c r="R14095" t="s">
        <v>920</v>
      </c>
      <c r="S14095">
        <v>38</v>
      </c>
      <c r="T14095" s="29" t="str">
        <f t="shared" si="588"/>
        <v>2022.003D.Lefavirales_106rensp.zip</v>
      </c>
      <c r="U14095" s="29" t="str">
        <f>HYPERLINK("https://ictv.global/taxonomy/taxondetails?taxnode_id=202302682","ictv.global=202302682")</f>
        <v>ictv.global=202302682</v>
      </c>
    </row>
    <row r="14096" spans="1:21">
      <c r="A14096">
        <v>14095</v>
      </c>
      <c r="H14096" s="30" t="s">
        <v>3853</v>
      </c>
      <c r="J14096" s="30" t="s">
        <v>3854</v>
      </c>
      <c r="L14096" s="30" t="s">
        <v>415</v>
      </c>
      <c r="N14096" s="30" t="s">
        <v>416</v>
      </c>
      <c r="P14096" s="30" t="s">
        <v>11396</v>
      </c>
      <c r="Q14096" t="s">
        <v>619</v>
      </c>
      <c r="R14096" t="s">
        <v>920</v>
      </c>
      <c r="S14096">
        <v>38</v>
      </c>
      <c r="T14096" s="29" t="str">
        <f t="shared" si="588"/>
        <v>2022.003D.Lefavirales_106rensp.zip</v>
      </c>
      <c r="U14096" s="29" t="str">
        <f>HYPERLINK("https://ictv.global/taxonomy/taxondetails?taxnode_id=202302683","ictv.global=202302683")</f>
        <v>ictv.global=202302683</v>
      </c>
    </row>
    <row r="14097" spans="1:21">
      <c r="A14097">
        <v>14096</v>
      </c>
      <c r="H14097" s="30" t="s">
        <v>3853</v>
      </c>
      <c r="J14097" s="30" t="s">
        <v>3854</v>
      </c>
      <c r="L14097" s="30" t="s">
        <v>415</v>
      </c>
      <c r="N14097" s="30" t="s">
        <v>416</v>
      </c>
      <c r="P14097" s="30" t="s">
        <v>11397</v>
      </c>
      <c r="Q14097" t="s">
        <v>619</v>
      </c>
      <c r="R14097" t="s">
        <v>920</v>
      </c>
      <c r="S14097">
        <v>38</v>
      </c>
      <c r="T14097" s="29" t="str">
        <f t="shared" si="588"/>
        <v>2022.003D.Lefavirales_106rensp.zip</v>
      </c>
      <c r="U14097" s="29" t="str">
        <f>HYPERLINK("https://ictv.global/taxonomy/taxondetails?taxnode_id=202302684","ictv.global=202302684")</f>
        <v>ictv.global=202302684</v>
      </c>
    </row>
    <row r="14098" spans="1:21">
      <c r="A14098">
        <v>14097</v>
      </c>
      <c r="H14098" s="30" t="s">
        <v>3853</v>
      </c>
      <c r="J14098" s="30" t="s">
        <v>3854</v>
      </c>
      <c r="L14098" s="30" t="s">
        <v>415</v>
      </c>
      <c r="N14098" s="30" t="s">
        <v>416</v>
      </c>
      <c r="P14098" s="30" t="s">
        <v>11398</v>
      </c>
      <c r="Q14098" t="s">
        <v>619</v>
      </c>
      <c r="R14098" t="s">
        <v>920</v>
      </c>
      <c r="S14098">
        <v>38</v>
      </c>
      <c r="T14098" s="29" t="str">
        <f t="shared" si="588"/>
        <v>2022.003D.Lefavirales_106rensp.zip</v>
      </c>
      <c r="U14098" s="29" t="str">
        <f>HYPERLINK("https://ictv.global/taxonomy/taxondetails?taxnode_id=202302686","ictv.global=202302686")</f>
        <v>ictv.global=202302686</v>
      </c>
    </row>
    <row r="14099" spans="1:21">
      <c r="A14099">
        <v>14098</v>
      </c>
      <c r="H14099" s="30" t="s">
        <v>3853</v>
      </c>
      <c r="J14099" s="30" t="s">
        <v>3854</v>
      </c>
      <c r="L14099" s="30" t="s">
        <v>415</v>
      </c>
      <c r="N14099" s="30" t="s">
        <v>416</v>
      </c>
      <c r="P14099" s="30" t="s">
        <v>11399</v>
      </c>
      <c r="Q14099" t="s">
        <v>619</v>
      </c>
      <c r="R14099" t="s">
        <v>920</v>
      </c>
      <c r="S14099">
        <v>38</v>
      </c>
      <c r="T14099" s="29" t="str">
        <f t="shared" si="588"/>
        <v>2022.003D.Lefavirales_106rensp.zip</v>
      </c>
      <c r="U14099" s="29" t="str">
        <f>HYPERLINK("https://ictv.global/taxonomy/taxondetails?taxnode_id=202306528","ictv.global=202306528")</f>
        <v>ictv.global=202306528</v>
      </c>
    </row>
    <row r="14100" spans="1:21">
      <c r="A14100">
        <v>14099</v>
      </c>
      <c r="H14100" s="30" t="s">
        <v>3853</v>
      </c>
      <c r="J14100" s="30" t="s">
        <v>3854</v>
      </c>
      <c r="L14100" s="30" t="s">
        <v>415</v>
      </c>
      <c r="N14100" s="30" t="s">
        <v>416</v>
      </c>
      <c r="P14100" s="30" t="s">
        <v>11400</v>
      </c>
      <c r="Q14100" t="s">
        <v>619</v>
      </c>
      <c r="R14100" t="s">
        <v>917</v>
      </c>
      <c r="S14100">
        <v>38</v>
      </c>
      <c r="T14100" s="29" t="str">
        <f>HYPERLINK("https://ictv.global/ictv/proposals/2022.004D.Baculoviridae_6nsp.zip","2022.004D.Baculoviridae_6nsp.zip")</f>
        <v>2022.004D.Baculoviridae_6nsp.zip</v>
      </c>
      <c r="U14100" s="29" t="str">
        <f>HYPERLINK("https://ictv.global/taxonomy/taxondetails?taxnode_id=202314024","ictv.global=202314024")</f>
        <v>ictv.global=202314024</v>
      </c>
    </row>
    <row r="14101" spans="1:21">
      <c r="A14101">
        <v>14100</v>
      </c>
      <c r="H14101" s="30" t="s">
        <v>3853</v>
      </c>
      <c r="J14101" s="30" t="s">
        <v>3854</v>
      </c>
      <c r="L14101" s="30" t="s">
        <v>415</v>
      </c>
      <c r="N14101" s="30" t="s">
        <v>416</v>
      </c>
      <c r="P14101" s="30" t="s">
        <v>11401</v>
      </c>
      <c r="Q14101" t="s">
        <v>619</v>
      </c>
      <c r="R14101" t="s">
        <v>920</v>
      </c>
      <c r="S14101">
        <v>38</v>
      </c>
      <c r="T14101" s="29" t="str">
        <f>HYPERLINK("https://ictv.global/ictv/proposals/2022.003D.Lefavirales_106rensp.zip","2022.003D.Lefavirales_106rensp.zip")</f>
        <v>2022.003D.Lefavirales_106rensp.zip</v>
      </c>
      <c r="U14101" s="29" t="str">
        <f>HYPERLINK("https://ictv.global/taxonomy/taxondetails?taxnode_id=202306529","ictv.global=202306529")</f>
        <v>ictv.global=202306529</v>
      </c>
    </row>
    <row r="14102" spans="1:21">
      <c r="A14102">
        <v>14101</v>
      </c>
      <c r="H14102" s="30" t="s">
        <v>3853</v>
      </c>
      <c r="J14102" s="30" t="s">
        <v>3854</v>
      </c>
      <c r="L14102" s="30" t="s">
        <v>415</v>
      </c>
      <c r="N14102" s="30" t="s">
        <v>416</v>
      </c>
      <c r="P14102" s="30" t="s">
        <v>11402</v>
      </c>
      <c r="Q14102" t="s">
        <v>619</v>
      </c>
      <c r="R14102" t="s">
        <v>920</v>
      </c>
      <c r="S14102">
        <v>38</v>
      </c>
      <c r="T14102" s="29" t="str">
        <f>HYPERLINK("https://ictv.global/ictv/proposals/2022.003D.Lefavirales_106rensp.zip","2022.003D.Lefavirales_106rensp.zip")</f>
        <v>2022.003D.Lefavirales_106rensp.zip</v>
      </c>
      <c r="U14102" s="29" t="str">
        <f>HYPERLINK("https://ictv.global/taxonomy/taxondetails?taxnode_id=202302687","ictv.global=202302687")</f>
        <v>ictv.global=202302687</v>
      </c>
    </row>
    <row r="14103" spans="1:21">
      <c r="A14103">
        <v>14102</v>
      </c>
      <c r="H14103" s="30" t="s">
        <v>3853</v>
      </c>
      <c r="J14103" s="30" t="s">
        <v>3854</v>
      </c>
      <c r="L14103" s="30" t="s">
        <v>415</v>
      </c>
      <c r="N14103" s="30" t="s">
        <v>416</v>
      </c>
      <c r="P14103" s="30" t="s">
        <v>11403</v>
      </c>
      <c r="Q14103" t="s">
        <v>619</v>
      </c>
      <c r="R14103" t="s">
        <v>920</v>
      </c>
      <c r="S14103">
        <v>38</v>
      </c>
      <c r="T14103" s="29" t="str">
        <f>HYPERLINK("https://ictv.global/ictv/proposals/2022.003D.Lefavirales_106rensp.zip","2022.003D.Lefavirales_106rensp.zip")</f>
        <v>2022.003D.Lefavirales_106rensp.zip</v>
      </c>
      <c r="U14103" s="29" t="str">
        <f>HYPERLINK("https://ictv.global/taxonomy/taxondetails?taxnode_id=202302688","ictv.global=202302688")</f>
        <v>ictv.global=202302688</v>
      </c>
    </row>
    <row r="14104" spans="1:21">
      <c r="A14104">
        <v>14103</v>
      </c>
      <c r="H14104" s="30" t="s">
        <v>3853</v>
      </c>
      <c r="J14104" s="30" t="s">
        <v>3854</v>
      </c>
      <c r="L14104" s="30" t="s">
        <v>415</v>
      </c>
      <c r="N14104" s="30" t="s">
        <v>416</v>
      </c>
      <c r="P14104" s="30" t="s">
        <v>11720</v>
      </c>
      <c r="Q14104" t="s">
        <v>619</v>
      </c>
      <c r="R14104" t="s">
        <v>920</v>
      </c>
      <c r="S14104">
        <v>38</v>
      </c>
      <c r="T14104" s="29" t="str">
        <f>HYPERLINK("https://ictv.global/ictv/proposals/2022.003D.Lefavirales_106rensp.zip","2022.003D.Lefavirales_106rensp.zip;2023.DX002.Correction_2_Alphabaculovirus.zip")</f>
        <v>2022.003D.Lefavirales_106rensp.zip;2023.DX002.Correction_2_Alphabaculovirus.zip</v>
      </c>
      <c r="U14104" s="29" t="str">
        <f>HYPERLINK("https://ictv.global/taxonomy/taxondetails?taxnode_id=202306530","ictv.global=202306530")</f>
        <v>ictv.global=202306530</v>
      </c>
    </row>
    <row r="14105" spans="1:21">
      <c r="A14105">
        <v>14104</v>
      </c>
      <c r="H14105" s="30" t="s">
        <v>3853</v>
      </c>
      <c r="J14105" s="30" t="s">
        <v>3854</v>
      </c>
      <c r="L14105" s="30" t="s">
        <v>415</v>
      </c>
      <c r="N14105" s="30" t="s">
        <v>416</v>
      </c>
      <c r="P14105" s="30" t="s">
        <v>11404</v>
      </c>
      <c r="Q14105" t="s">
        <v>619</v>
      </c>
      <c r="R14105" t="s">
        <v>920</v>
      </c>
      <c r="S14105">
        <v>38</v>
      </c>
      <c r="T14105" s="29" t="str">
        <f>HYPERLINK("https://ictv.global/ictv/proposals/2022.003D.Lefavirales_106rensp.zip","2022.003D.Lefavirales_106rensp.zip")</f>
        <v>2022.003D.Lefavirales_106rensp.zip</v>
      </c>
      <c r="U14105" s="29" t="str">
        <f>HYPERLINK("https://ictv.global/taxonomy/taxondetails?taxnode_id=202306532","ictv.global=202306532")</f>
        <v>ictv.global=202306532</v>
      </c>
    </row>
    <row r="14106" spans="1:21">
      <c r="A14106">
        <v>14105</v>
      </c>
      <c r="H14106" s="30" t="s">
        <v>3853</v>
      </c>
      <c r="J14106" s="30" t="s">
        <v>3854</v>
      </c>
      <c r="L14106" s="30" t="s">
        <v>415</v>
      </c>
      <c r="N14106" s="30" t="s">
        <v>416</v>
      </c>
      <c r="P14106" s="30" t="s">
        <v>11405</v>
      </c>
      <c r="Q14106" t="s">
        <v>619</v>
      </c>
      <c r="R14106" t="s">
        <v>920</v>
      </c>
      <c r="S14106">
        <v>38</v>
      </c>
      <c r="T14106" s="29" t="str">
        <f>HYPERLINK("https://ictv.global/ictv/proposals/2022.003D.Lefavirales_106rensp.zip","2022.003D.Lefavirales_106rensp.zip")</f>
        <v>2022.003D.Lefavirales_106rensp.zip</v>
      </c>
      <c r="U14106" s="29" t="str">
        <f>HYPERLINK("https://ictv.global/taxonomy/taxondetails?taxnode_id=202306531","ictv.global=202306531")</f>
        <v>ictv.global=202306531</v>
      </c>
    </row>
    <row r="14107" spans="1:21">
      <c r="A14107">
        <v>14106</v>
      </c>
      <c r="H14107" s="30" t="s">
        <v>3853</v>
      </c>
      <c r="J14107" s="30" t="s">
        <v>3854</v>
      </c>
      <c r="L14107" s="30" t="s">
        <v>415</v>
      </c>
      <c r="N14107" s="30" t="s">
        <v>416</v>
      </c>
      <c r="P14107" s="30" t="s">
        <v>11406</v>
      </c>
      <c r="Q14107" t="s">
        <v>619</v>
      </c>
      <c r="R14107" t="s">
        <v>920</v>
      </c>
      <c r="S14107">
        <v>38</v>
      </c>
      <c r="T14107" s="29" t="str">
        <f>HYPERLINK("https://ictv.global/ictv/proposals/2022.003D.Lefavirales_106rensp.zip","2022.003D.Lefavirales_106rensp.zip")</f>
        <v>2022.003D.Lefavirales_106rensp.zip</v>
      </c>
      <c r="U14107" s="29" t="str">
        <f>HYPERLINK("https://ictv.global/taxonomy/taxondetails?taxnode_id=202313427","ictv.global=202313427")</f>
        <v>ictv.global=202313427</v>
      </c>
    </row>
    <row r="14108" spans="1:21">
      <c r="A14108">
        <v>14107</v>
      </c>
      <c r="H14108" s="30" t="s">
        <v>3853</v>
      </c>
      <c r="J14108" s="30" t="s">
        <v>3854</v>
      </c>
      <c r="L14108" s="30" t="s">
        <v>415</v>
      </c>
      <c r="N14108" s="30" t="s">
        <v>416</v>
      </c>
      <c r="P14108" s="30" t="s">
        <v>11407</v>
      </c>
      <c r="Q14108" t="s">
        <v>619</v>
      </c>
      <c r="R14108" t="s">
        <v>917</v>
      </c>
      <c r="S14108">
        <v>38</v>
      </c>
      <c r="T14108" s="29" t="str">
        <f>HYPERLINK("https://ictv.global/ictv/proposals/2022.004D.Baculoviridae_6nsp.zip","2022.004D.Baculoviridae_6nsp.zip")</f>
        <v>2022.004D.Baculoviridae_6nsp.zip</v>
      </c>
      <c r="U14108" s="29" t="str">
        <f>HYPERLINK("https://ictv.global/taxonomy/taxondetails?taxnode_id=202314025","ictv.global=202314025")</f>
        <v>ictv.global=202314025</v>
      </c>
    </row>
    <row r="14109" spans="1:21">
      <c r="A14109">
        <v>14108</v>
      </c>
      <c r="H14109" s="30" t="s">
        <v>3853</v>
      </c>
      <c r="J14109" s="30" t="s">
        <v>3854</v>
      </c>
      <c r="L14109" s="30" t="s">
        <v>415</v>
      </c>
      <c r="N14109" s="30" t="s">
        <v>416</v>
      </c>
      <c r="P14109" s="30" t="s">
        <v>11721</v>
      </c>
      <c r="Q14109" t="s">
        <v>619</v>
      </c>
      <c r="R14109" t="s">
        <v>920</v>
      </c>
      <c r="S14109">
        <v>38</v>
      </c>
      <c r="T14109" s="29" t="str">
        <f>HYPERLINK("https://ictv.global/ictv/proposals/2022.003D.Lefavirales_106rensp.zip","2022.003D.Lefavirales_106rensp.zip;2023.DX003.Correction_3_Alphabaculovirus.zip")</f>
        <v>2022.003D.Lefavirales_106rensp.zip;2023.DX003.Correction_3_Alphabaculovirus.zip</v>
      </c>
      <c r="U14109" s="29" t="str">
        <f>HYPERLINK("https://ictv.global/taxonomy/taxondetails?taxnode_id=202308666","ictv.global=202308666")</f>
        <v>ictv.global=202308666</v>
      </c>
    </row>
    <row r="14110" spans="1:21">
      <c r="A14110">
        <v>14109</v>
      </c>
      <c r="H14110" s="30" t="s">
        <v>3853</v>
      </c>
      <c r="J14110" s="30" t="s">
        <v>3854</v>
      </c>
      <c r="L14110" s="30" t="s">
        <v>415</v>
      </c>
      <c r="N14110" s="30" t="s">
        <v>416</v>
      </c>
      <c r="P14110" s="30" t="s">
        <v>11408</v>
      </c>
      <c r="Q14110" t="s">
        <v>619</v>
      </c>
      <c r="R14110" t="s">
        <v>920</v>
      </c>
      <c r="S14110">
        <v>38</v>
      </c>
      <c r="T14110" s="29" t="str">
        <f t="shared" ref="T14110:T14116" si="589">HYPERLINK("https://ictv.global/ictv/proposals/2022.003D.Lefavirales_106rensp.zip","2022.003D.Lefavirales_106rensp.zip")</f>
        <v>2022.003D.Lefavirales_106rensp.zip</v>
      </c>
      <c r="U14110" s="29" t="str">
        <f>HYPERLINK("https://ictv.global/taxonomy/taxondetails?taxnode_id=202308667","ictv.global=202308667")</f>
        <v>ictv.global=202308667</v>
      </c>
    </row>
    <row r="14111" spans="1:21">
      <c r="A14111">
        <v>14110</v>
      </c>
      <c r="H14111" s="30" t="s">
        <v>3853</v>
      </c>
      <c r="J14111" s="30" t="s">
        <v>3854</v>
      </c>
      <c r="L14111" s="30" t="s">
        <v>415</v>
      </c>
      <c r="N14111" s="30" t="s">
        <v>416</v>
      </c>
      <c r="P14111" s="30" t="s">
        <v>11409</v>
      </c>
      <c r="Q14111" t="s">
        <v>619</v>
      </c>
      <c r="R14111" t="s">
        <v>920</v>
      </c>
      <c r="S14111">
        <v>38</v>
      </c>
      <c r="T14111" s="29" t="str">
        <f t="shared" si="589"/>
        <v>2022.003D.Lefavirales_106rensp.zip</v>
      </c>
      <c r="U14111" s="29" t="str">
        <f>HYPERLINK("https://ictv.global/taxonomy/taxondetails?taxnode_id=202302689","ictv.global=202302689")</f>
        <v>ictv.global=202302689</v>
      </c>
    </row>
    <row r="14112" spans="1:21">
      <c r="A14112">
        <v>14111</v>
      </c>
      <c r="H14112" s="30" t="s">
        <v>3853</v>
      </c>
      <c r="J14112" s="30" t="s">
        <v>3854</v>
      </c>
      <c r="L14112" s="30" t="s">
        <v>415</v>
      </c>
      <c r="N14112" s="30" t="s">
        <v>416</v>
      </c>
      <c r="P14112" s="30" t="s">
        <v>11410</v>
      </c>
      <c r="Q14112" t="s">
        <v>619</v>
      </c>
      <c r="R14112" t="s">
        <v>920</v>
      </c>
      <c r="S14112">
        <v>38</v>
      </c>
      <c r="T14112" s="29" t="str">
        <f t="shared" si="589"/>
        <v>2022.003D.Lefavirales_106rensp.zip</v>
      </c>
      <c r="U14112" s="29" t="str">
        <f>HYPERLINK("https://ictv.global/taxonomy/taxondetails?taxnode_id=202302691","ictv.global=202302691")</f>
        <v>ictv.global=202302691</v>
      </c>
    </row>
    <row r="14113" spans="1:21">
      <c r="A14113">
        <v>14112</v>
      </c>
      <c r="H14113" s="30" t="s">
        <v>3853</v>
      </c>
      <c r="J14113" s="30" t="s">
        <v>3854</v>
      </c>
      <c r="L14113" s="30" t="s">
        <v>415</v>
      </c>
      <c r="N14113" s="30" t="s">
        <v>416</v>
      </c>
      <c r="P14113" s="30" t="s">
        <v>11411</v>
      </c>
      <c r="Q14113" t="s">
        <v>619</v>
      </c>
      <c r="R14113" t="s">
        <v>920</v>
      </c>
      <c r="S14113">
        <v>38</v>
      </c>
      <c r="T14113" s="29" t="str">
        <f t="shared" si="589"/>
        <v>2022.003D.Lefavirales_106rensp.zip</v>
      </c>
      <c r="U14113" s="29" t="str">
        <f>HYPERLINK("https://ictv.global/taxonomy/taxondetails?taxnode_id=202302692","ictv.global=202302692")</f>
        <v>ictv.global=202302692</v>
      </c>
    </row>
    <row r="14114" spans="1:21">
      <c r="A14114">
        <v>14113</v>
      </c>
      <c r="H14114" s="30" t="s">
        <v>3853</v>
      </c>
      <c r="J14114" s="30" t="s">
        <v>3854</v>
      </c>
      <c r="L14114" s="30" t="s">
        <v>415</v>
      </c>
      <c r="N14114" s="30" t="s">
        <v>416</v>
      </c>
      <c r="P14114" s="30" t="s">
        <v>11412</v>
      </c>
      <c r="Q14114" t="s">
        <v>619</v>
      </c>
      <c r="R14114" t="s">
        <v>920</v>
      </c>
      <c r="S14114">
        <v>38</v>
      </c>
      <c r="T14114" s="29" t="str">
        <f t="shared" si="589"/>
        <v>2022.003D.Lefavirales_106rensp.zip</v>
      </c>
      <c r="U14114" s="29" t="str">
        <f>HYPERLINK("https://ictv.global/taxonomy/taxondetails?taxnode_id=202302690","ictv.global=202302690")</f>
        <v>ictv.global=202302690</v>
      </c>
    </row>
    <row r="14115" spans="1:21">
      <c r="A14115">
        <v>14114</v>
      </c>
      <c r="H14115" s="30" t="s">
        <v>3853</v>
      </c>
      <c r="J14115" s="30" t="s">
        <v>3854</v>
      </c>
      <c r="L14115" s="30" t="s">
        <v>415</v>
      </c>
      <c r="N14115" s="30" t="s">
        <v>416</v>
      </c>
      <c r="P14115" s="30" t="s">
        <v>11413</v>
      </c>
      <c r="Q14115" t="s">
        <v>619</v>
      </c>
      <c r="R14115" t="s">
        <v>920</v>
      </c>
      <c r="S14115">
        <v>38</v>
      </c>
      <c r="T14115" s="29" t="str">
        <f t="shared" si="589"/>
        <v>2022.003D.Lefavirales_106rensp.zip</v>
      </c>
      <c r="U14115" s="29" t="str">
        <f>HYPERLINK("https://ictv.global/taxonomy/taxondetails?taxnode_id=202302693","ictv.global=202302693")</f>
        <v>ictv.global=202302693</v>
      </c>
    </row>
    <row r="14116" spans="1:21">
      <c r="A14116">
        <v>14115</v>
      </c>
      <c r="H14116" s="30" t="s">
        <v>3853</v>
      </c>
      <c r="J14116" s="30" t="s">
        <v>3854</v>
      </c>
      <c r="L14116" s="30" t="s">
        <v>415</v>
      </c>
      <c r="N14116" s="30" t="s">
        <v>416</v>
      </c>
      <c r="P14116" s="30" t="s">
        <v>11414</v>
      </c>
      <c r="Q14116" t="s">
        <v>619</v>
      </c>
      <c r="R14116" t="s">
        <v>920</v>
      </c>
      <c r="S14116">
        <v>38</v>
      </c>
      <c r="T14116" s="29" t="str">
        <f t="shared" si="589"/>
        <v>2022.003D.Lefavirales_106rensp.zip</v>
      </c>
      <c r="U14116" s="29" t="str">
        <f>HYPERLINK("https://ictv.global/taxonomy/taxondetails?taxnode_id=202302694","ictv.global=202302694")</f>
        <v>ictv.global=202302694</v>
      </c>
    </row>
    <row r="14117" spans="1:21">
      <c r="A14117">
        <v>14116</v>
      </c>
      <c r="H14117" s="30" t="s">
        <v>3853</v>
      </c>
      <c r="J14117" s="30" t="s">
        <v>3854</v>
      </c>
      <c r="L14117" s="30" t="s">
        <v>415</v>
      </c>
      <c r="N14117" s="30" t="s">
        <v>416</v>
      </c>
      <c r="P14117" s="30" t="s">
        <v>11415</v>
      </c>
      <c r="Q14117" t="s">
        <v>619</v>
      </c>
      <c r="R14117" t="s">
        <v>917</v>
      </c>
      <c r="S14117">
        <v>38</v>
      </c>
      <c r="T14117" s="29" t="str">
        <f>HYPERLINK("https://ictv.global/ictv/proposals/2022.004D.Baculoviridae_6nsp.zip","2022.004D.Baculoviridae_6nsp.zip")</f>
        <v>2022.004D.Baculoviridae_6nsp.zip</v>
      </c>
      <c r="U14117" s="29" t="str">
        <f>HYPERLINK("https://ictv.global/taxonomy/taxondetails?taxnode_id=202314026","ictv.global=202314026")</f>
        <v>ictv.global=202314026</v>
      </c>
    </row>
    <row r="14118" spans="1:21">
      <c r="A14118">
        <v>14117</v>
      </c>
      <c r="H14118" s="30" t="s">
        <v>3853</v>
      </c>
      <c r="J14118" s="30" t="s">
        <v>3854</v>
      </c>
      <c r="L14118" s="30" t="s">
        <v>415</v>
      </c>
      <c r="N14118" s="30" t="s">
        <v>416</v>
      </c>
      <c r="P14118" s="30" t="s">
        <v>11416</v>
      </c>
      <c r="Q14118" t="s">
        <v>619</v>
      </c>
      <c r="R14118" t="s">
        <v>920</v>
      </c>
      <c r="S14118">
        <v>38</v>
      </c>
      <c r="T14118" s="29" t="str">
        <f t="shared" ref="T14118:T14138" si="590">HYPERLINK("https://ictv.global/ictv/proposals/2022.003D.Lefavirales_106rensp.zip","2022.003D.Lefavirales_106rensp.zip")</f>
        <v>2022.003D.Lefavirales_106rensp.zip</v>
      </c>
      <c r="U14118" s="29" t="str">
        <f>HYPERLINK("https://ictv.global/taxonomy/taxondetails?taxnode_id=202302695","ictv.global=202302695")</f>
        <v>ictv.global=202302695</v>
      </c>
    </row>
    <row r="14119" spans="1:21">
      <c r="A14119">
        <v>14118</v>
      </c>
      <c r="H14119" s="30" t="s">
        <v>3853</v>
      </c>
      <c r="J14119" s="30" t="s">
        <v>3854</v>
      </c>
      <c r="L14119" s="30" t="s">
        <v>415</v>
      </c>
      <c r="N14119" s="30" t="s">
        <v>416</v>
      </c>
      <c r="P14119" s="30" t="s">
        <v>11417</v>
      </c>
      <c r="Q14119" t="s">
        <v>619</v>
      </c>
      <c r="R14119" t="s">
        <v>920</v>
      </c>
      <c r="S14119">
        <v>38</v>
      </c>
      <c r="T14119" s="29" t="str">
        <f t="shared" si="590"/>
        <v>2022.003D.Lefavirales_106rensp.zip</v>
      </c>
      <c r="U14119" s="29" t="str">
        <f>HYPERLINK("https://ictv.global/taxonomy/taxondetails?taxnode_id=202308668","ictv.global=202308668")</f>
        <v>ictv.global=202308668</v>
      </c>
    </row>
    <row r="14120" spans="1:21">
      <c r="A14120">
        <v>14119</v>
      </c>
      <c r="H14120" s="30" t="s">
        <v>3853</v>
      </c>
      <c r="J14120" s="30" t="s">
        <v>3854</v>
      </c>
      <c r="L14120" s="30" t="s">
        <v>415</v>
      </c>
      <c r="N14120" s="30" t="s">
        <v>416</v>
      </c>
      <c r="P14120" s="30" t="s">
        <v>11418</v>
      </c>
      <c r="Q14120" t="s">
        <v>619</v>
      </c>
      <c r="R14120" t="s">
        <v>920</v>
      </c>
      <c r="S14120">
        <v>38</v>
      </c>
      <c r="T14120" s="29" t="str">
        <f t="shared" si="590"/>
        <v>2022.003D.Lefavirales_106rensp.zip</v>
      </c>
      <c r="U14120" s="29" t="str">
        <f>HYPERLINK("https://ictv.global/taxonomy/taxondetails?taxnode_id=202302696","ictv.global=202302696")</f>
        <v>ictv.global=202302696</v>
      </c>
    </row>
    <row r="14121" spans="1:21">
      <c r="A14121">
        <v>14120</v>
      </c>
      <c r="H14121" s="30" t="s">
        <v>3853</v>
      </c>
      <c r="J14121" s="30" t="s">
        <v>3854</v>
      </c>
      <c r="L14121" s="30" t="s">
        <v>415</v>
      </c>
      <c r="N14121" s="30" t="s">
        <v>313</v>
      </c>
      <c r="P14121" s="30" t="s">
        <v>11419</v>
      </c>
      <c r="Q14121" t="s">
        <v>619</v>
      </c>
      <c r="R14121" t="s">
        <v>920</v>
      </c>
      <c r="S14121">
        <v>38</v>
      </c>
      <c r="T14121" s="29" t="str">
        <f t="shared" si="590"/>
        <v>2022.003D.Lefavirales_106rensp.zip</v>
      </c>
      <c r="U14121" s="29" t="str">
        <f>HYPERLINK("https://ictv.global/taxonomy/taxondetails?taxnode_id=202302698","ictv.global=202302698")</f>
        <v>ictv.global=202302698</v>
      </c>
    </row>
    <row r="14122" spans="1:21">
      <c r="A14122">
        <v>14121</v>
      </c>
      <c r="H14122" s="30" t="s">
        <v>3853</v>
      </c>
      <c r="J14122" s="30" t="s">
        <v>3854</v>
      </c>
      <c r="L14122" s="30" t="s">
        <v>415</v>
      </c>
      <c r="N14122" s="30" t="s">
        <v>313</v>
      </c>
      <c r="P14122" s="30" t="s">
        <v>11420</v>
      </c>
      <c r="Q14122" t="s">
        <v>619</v>
      </c>
      <c r="R14122" t="s">
        <v>920</v>
      </c>
      <c r="S14122">
        <v>38</v>
      </c>
      <c r="T14122" s="29" t="str">
        <f t="shared" si="590"/>
        <v>2022.003D.Lefavirales_106rensp.zip</v>
      </c>
      <c r="U14122" s="29" t="str">
        <f>HYPERLINK("https://ictv.global/taxonomy/taxondetails?taxnode_id=202302699","ictv.global=202302699")</f>
        <v>ictv.global=202302699</v>
      </c>
    </row>
    <row r="14123" spans="1:21">
      <c r="A14123">
        <v>14122</v>
      </c>
      <c r="H14123" s="30" t="s">
        <v>3853</v>
      </c>
      <c r="J14123" s="30" t="s">
        <v>3854</v>
      </c>
      <c r="L14123" s="30" t="s">
        <v>415</v>
      </c>
      <c r="N14123" s="30" t="s">
        <v>313</v>
      </c>
      <c r="P14123" s="30" t="s">
        <v>11421</v>
      </c>
      <c r="Q14123" t="s">
        <v>619</v>
      </c>
      <c r="R14123" t="s">
        <v>920</v>
      </c>
      <c r="S14123">
        <v>38</v>
      </c>
      <c r="T14123" s="29" t="str">
        <f t="shared" si="590"/>
        <v>2022.003D.Lefavirales_106rensp.zip</v>
      </c>
      <c r="U14123" s="29" t="str">
        <f>HYPERLINK("https://ictv.global/taxonomy/taxondetails?taxnode_id=202302704","ictv.global=202302704")</f>
        <v>ictv.global=202302704</v>
      </c>
    </row>
    <row r="14124" spans="1:21">
      <c r="A14124">
        <v>14123</v>
      </c>
      <c r="H14124" s="30" t="s">
        <v>3853</v>
      </c>
      <c r="J14124" s="30" t="s">
        <v>3854</v>
      </c>
      <c r="L14124" s="30" t="s">
        <v>415</v>
      </c>
      <c r="N14124" s="30" t="s">
        <v>313</v>
      </c>
      <c r="P14124" s="30" t="s">
        <v>11422</v>
      </c>
      <c r="Q14124" t="s">
        <v>619</v>
      </c>
      <c r="R14124" t="s">
        <v>920</v>
      </c>
      <c r="S14124">
        <v>38</v>
      </c>
      <c r="T14124" s="29" t="str">
        <f t="shared" si="590"/>
        <v>2022.003D.Lefavirales_106rensp.zip</v>
      </c>
      <c r="U14124" s="29" t="str">
        <f>HYPERLINK("https://ictv.global/taxonomy/taxondetails?taxnode_id=202305757","ictv.global=202305757")</f>
        <v>ictv.global=202305757</v>
      </c>
    </row>
    <row r="14125" spans="1:21">
      <c r="A14125">
        <v>14124</v>
      </c>
      <c r="H14125" s="30" t="s">
        <v>3853</v>
      </c>
      <c r="J14125" s="30" t="s">
        <v>3854</v>
      </c>
      <c r="L14125" s="30" t="s">
        <v>415</v>
      </c>
      <c r="N14125" s="30" t="s">
        <v>313</v>
      </c>
      <c r="P14125" s="30" t="s">
        <v>11423</v>
      </c>
      <c r="Q14125" t="s">
        <v>619</v>
      </c>
      <c r="R14125" t="s">
        <v>920</v>
      </c>
      <c r="S14125">
        <v>38</v>
      </c>
      <c r="T14125" s="29" t="str">
        <f t="shared" si="590"/>
        <v>2022.003D.Lefavirales_106rensp.zip</v>
      </c>
      <c r="U14125" s="29" t="str">
        <f>HYPERLINK("https://ictv.global/taxonomy/taxondetails?taxnode_id=202302700","ictv.global=202302700")</f>
        <v>ictv.global=202302700</v>
      </c>
    </row>
    <row r="14126" spans="1:21">
      <c r="A14126">
        <v>14125</v>
      </c>
      <c r="H14126" s="30" t="s">
        <v>3853</v>
      </c>
      <c r="J14126" s="30" t="s">
        <v>3854</v>
      </c>
      <c r="L14126" s="30" t="s">
        <v>415</v>
      </c>
      <c r="N14126" s="30" t="s">
        <v>313</v>
      </c>
      <c r="P14126" s="30" t="s">
        <v>11424</v>
      </c>
      <c r="Q14126" t="s">
        <v>619</v>
      </c>
      <c r="R14126" t="s">
        <v>920</v>
      </c>
      <c r="S14126">
        <v>38</v>
      </c>
      <c r="T14126" s="29" t="str">
        <f t="shared" si="590"/>
        <v>2022.003D.Lefavirales_106rensp.zip</v>
      </c>
      <c r="U14126" s="29" t="str">
        <f>HYPERLINK("https://ictv.global/taxonomy/taxondetails?taxnode_id=202302701","ictv.global=202302701")</f>
        <v>ictv.global=202302701</v>
      </c>
    </row>
    <row r="14127" spans="1:21">
      <c r="A14127">
        <v>14126</v>
      </c>
      <c r="H14127" s="30" t="s">
        <v>3853</v>
      </c>
      <c r="J14127" s="30" t="s">
        <v>3854</v>
      </c>
      <c r="L14127" s="30" t="s">
        <v>415</v>
      </c>
      <c r="N14127" s="30" t="s">
        <v>313</v>
      </c>
      <c r="P14127" s="30" t="s">
        <v>11425</v>
      </c>
      <c r="Q14127" t="s">
        <v>619</v>
      </c>
      <c r="R14127" t="s">
        <v>920</v>
      </c>
      <c r="S14127">
        <v>38</v>
      </c>
      <c r="T14127" s="29" t="str">
        <f t="shared" si="590"/>
        <v>2022.003D.Lefavirales_106rensp.zip</v>
      </c>
      <c r="U14127" s="29" t="str">
        <f>HYPERLINK("https://ictv.global/taxonomy/taxondetails?taxnode_id=202302702","ictv.global=202302702")</f>
        <v>ictv.global=202302702</v>
      </c>
    </row>
    <row r="14128" spans="1:21">
      <c r="A14128">
        <v>14127</v>
      </c>
      <c r="H14128" s="30" t="s">
        <v>3853</v>
      </c>
      <c r="J14128" s="30" t="s">
        <v>3854</v>
      </c>
      <c r="L14128" s="30" t="s">
        <v>415</v>
      </c>
      <c r="N14128" s="30" t="s">
        <v>313</v>
      </c>
      <c r="P14128" s="30" t="s">
        <v>11426</v>
      </c>
      <c r="Q14128" t="s">
        <v>619</v>
      </c>
      <c r="R14128" t="s">
        <v>920</v>
      </c>
      <c r="S14128">
        <v>38</v>
      </c>
      <c r="T14128" s="29" t="str">
        <f t="shared" si="590"/>
        <v>2022.003D.Lefavirales_106rensp.zip</v>
      </c>
      <c r="U14128" s="29" t="str">
        <f>HYPERLINK("https://ictv.global/taxonomy/taxondetails?taxnode_id=202302703","ictv.global=202302703")</f>
        <v>ictv.global=202302703</v>
      </c>
    </row>
    <row r="14129" spans="1:21">
      <c r="A14129">
        <v>14128</v>
      </c>
      <c r="H14129" s="30" t="s">
        <v>3853</v>
      </c>
      <c r="J14129" s="30" t="s">
        <v>3854</v>
      </c>
      <c r="L14129" s="30" t="s">
        <v>415</v>
      </c>
      <c r="N14129" s="30" t="s">
        <v>313</v>
      </c>
      <c r="P14129" s="30" t="s">
        <v>11427</v>
      </c>
      <c r="Q14129" t="s">
        <v>619</v>
      </c>
      <c r="R14129" t="s">
        <v>920</v>
      </c>
      <c r="S14129">
        <v>38</v>
      </c>
      <c r="T14129" s="29" t="str">
        <f t="shared" si="590"/>
        <v>2022.003D.Lefavirales_106rensp.zip</v>
      </c>
      <c r="U14129" s="29" t="str">
        <f>HYPERLINK("https://ictv.global/taxonomy/taxondetails?taxnode_id=202305756","ictv.global=202305756")</f>
        <v>ictv.global=202305756</v>
      </c>
    </row>
    <row r="14130" spans="1:21">
      <c r="A14130">
        <v>14129</v>
      </c>
      <c r="H14130" s="30" t="s">
        <v>3853</v>
      </c>
      <c r="J14130" s="30" t="s">
        <v>3854</v>
      </c>
      <c r="L14130" s="30" t="s">
        <v>415</v>
      </c>
      <c r="N14130" s="30" t="s">
        <v>313</v>
      </c>
      <c r="P14130" s="30" t="s">
        <v>11428</v>
      </c>
      <c r="Q14130" t="s">
        <v>619</v>
      </c>
      <c r="R14130" t="s">
        <v>920</v>
      </c>
      <c r="S14130">
        <v>38</v>
      </c>
      <c r="T14130" s="29" t="str">
        <f t="shared" si="590"/>
        <v>2022.003D.Lefavirales_106rensp.zip</v>
      </c>
      <c r="U14130" s="29" t="str">
        <f>HYPERLINK("https://ictv.global/taxonomy/taxondetails?taxnode_id=202302705","ictv.global=202302705")</f>
        <v>ictv.global=202302705</v>
      </c>
    </row>
    <row r="14131" spans="1:21">
      <c r="A14131">
        <v>14130</v>
      </c>
      <c r="H14131" s="30" t="s">
        <v>3853</v>
      </c>
      <c r="J14131" s="30" t="s">
        <v>3854</v>
      </c>
      <c r="L14131" s="30" t="s">
        <v>415</v>
      </c>
      <c r="N14131" s="30" t="s">
        <v>313</v>
      </c>
      <c r="P14131" s="30" t="s">
        <v>11429</v>
      </c>
      <c r="Q14131" t="s">
        <v>619</v>
      </c>
      <c r="R14131" t="s">
        <v>920</v>
      </c>
      <c r="S14131">
        <v>38</v>
      </c>
      <c r="T14131" s="29" t="str">
        <f t="shared" si="590"/>
        <v>2022.003D.Lefavirales_106rensp.zip</v>
      </c>
      <c r="U14131" s="29" t="str">
        <f>HYPERLINK("https://ictv.global/taxonomy/taxondetails?taxnode_id=202302706","ictv.global=202302706")</f>
        <v>ictv.global=202302706</v>
      </c>
    </row>
    <row r="14132" spans="1:21">
      <c r="A14132">
        <v>14131</v>
      </c>
      <c r="H14132" s="30" t="s">
        <v>3853</v>
      </c>
      <c r="J14132" s="30" t="s">
        <v>3854</v>
      </c>
      <c r="L14132" s="30" t="s">
        <v>415</v>
      </c>
      <c r="N14132" s="30" t="s">
        <v>313</v>
      </c>
      <c r="P14132" s="30" t="s">
        <v>11430</v>
      </c>
      <c r="Q14132" t="s">
        <v>619</v>
      </c>
      <c r="R14132" t="s">
        <v>920</v>
      </c>
      <c r="S14132">
        <v>38</v>
      </c>
      <c r="T14132" s="29" t="str">
        <f t="shared" si="590"/>
        <v>2022.003D.Lefavirales_106rensp.zip</v>
      </c>
      <c r="U14132" s="29" t="str">
        <f>HYPERLINK("https://ictv.global/taxonomy/taxondetails?taxnode_id=202302707","ictv.global=202302707")</f>
        <v>ictv.global=202302707</v>
      </c>
    </row>
    <row r="14133" spans="1:21">
      <c r="A14133">
        <v>14132</v>
      </c>
      <c r="H14133" s="30" t="s">
        <v>3853</v>
      </c>
      <c r="J14133" s="30" t="s">
        <v>3854</v>
      </c>
      <c r="L14133" s="30" t="s">
        <v>415</v>
      </c>
      <c r="N14133" s="30" t="s">
        <v>313</v>
      </c>
      <c r="P14133" s="30" t="s">
        <v>11431</v>
      </c>
      <c r="Q14133" t="s">
        <v>619</v>
      </c>
      <c r="R14133" t="s">
        <v>920</v>
      </c>
      <c r="S14133">
        <v>38</v>
      </c>
      <c r="T14133" s="29" t="str">
        <f t="shared" si="590"/>
        <v>2022.003D.Lefavirales_106rensp.zip</v>
      </c>
      <c r="U14133" s="29" t="str">
        <f>HYPERLINK("https://ictv.global/taxonomy/taxondetails?taxnode_id=202302708","ictv.global=202302708")</f>
        <v>ictv.global=202302708</v>
      </c>
    </row>
    <row r="14134" spans="1:21">
      <c r="A14134">
        <v>14133</v>
      </c>
      <c r="H14134" s="30" t="s">
        <v>3853</v>
      </c>
      <c r="J14134" s="30" t="s">
        <v>3854</v>
      </c>
      <c r="L14134" s="30" t="s">
        <v>415</v>
      </c>
      <c r="N14134" s="30" t="s">
        <v>313</v>
      </c>
      <c r="P14134" s="30" t="s">
        <v>11432</v>
      </c>
      <c r="Q14134" t="s">
        <v>619</v>
      </c>
      <c r="R14134" t="s">
        <v>920</v>
      </c>
      <c r="S14134">
        <v>38</v>
      </c>
      <c r="T14134" s="29" t="str">
        <f t="shared" si="590"/>
        <v>2022.003D.Lefavirales_106rensp.zip</v>
      </c>
      <c r="U14134" s="29" t="str">
        <f>HYPERLINK("https://ictv.global/taxonomy/taxondetails?taxnode_id=202302709","ictv.global=202302709")</f>
        <v>ictv.global=202302709</v>
      </c>
    </row>
    <row r="14135" spans="1:21">
      <c r="A14135">
        <v>14134</v>
      </c>
      <c r="H14135" s="30" t="s">
        <v>3853</v>
      </c>
      <c r="J14135" s="30" t="s">
        <v>3854</v>
      </c>
      <c r="L14135" s="30" t="s">
        <v>415</v>
      </c>
      <c r="N14135" s="30" t="s">
        <v>313</v>
      </c>
      <c r="P14135" s="30" t="s">
        <v>11433</v>
      </c>
      <c r="Q14135" t="s">
        <v>619</v>
      </c>
      <c r="R14135" t="s">
        <v>920</v>
      </c>
      <c r="S14135">
        <v>38</v>
      </c>
      <c r="T14135" s="29" t="str">
        <f t="shared" si="590"/>
        <v>2022.003D.Lefavirales_106rensp.zip</v>
      </c>
      <c r="U14135" s="29" t="str">
        <f>HYPERLINK("https://ictv.global/taxonomy/taxondetails?taxnode_id=202302710","ictv.global=202302710")</f>
        <v>ictv.global=202302710</v>
      </c>
    </row>
    <row r="14136" spans="1:21">
      <c r="A14136">
        <v>14135</v>
      </c>
      <c r="H14136" s="30" t="s">
        <v>3853</v>
      </c>
      <c r="J14136" s="30" t="s">
        <v>3854</v>
      </c>
      <c r="L14136" s="30" t="s">
        <v>415</v>
      </c>
      <c r="N14136" s="30" t="s">
        <v>313</v>
      </c>
      <c r="P14136" s="30" t="s">
        <v>11434</v>
      </c>
      <c r="Q14136" t="s">
        <v>619</v>
      </c>
      <c r="R14136" t="s">
        <v>920</v>
      </c>
      <c r="S14136">
        <v>38</v>
      </c>
      <c r="T14136" s="29" t="str">
        <f t="shared" si="590"/>
        <v>2022.003D.Lefavirales_106rensp.zip</v>
      </c>
      <c r="U14136" s="29" t="str">
        <f>HYPERLINK("https://ictv.global/taxonomy/taxondetails?taxnode_id=202302711","ictv.global=202302711")</f>
        <v>ictv.global=202302711</v>
      </c>
    </row>
    <row r="14137" spans="1:21">
      <c r="A14137">
        <v>14136</v>
      </c>
      <c r="H14137" s="30" t="s">
        <v>3853</v>
      </c>
      <c r="J14137" s="30" t="s">
        <v>3854</v>
      </c>
      <c r="L14137" s="30" t="s">
        <v>415</v>
      </c>
      <c r="N14137" s="30" t="s">
        <v>313</v>
      </c>
      <c r="P14137" s="30" t="s">
        <v>11435</v>
      </c>
      <c r="Q14137" t="s">
        <v>619</v>
      </c>
      <c r="R14137" t="s">
        <v>920</v>
      </c>
      <c r="S14137">
        <v>38</v>
      </c>
      <c r="T14137" s="29" t="str">
        <f t="shared" si="590"/>
        <v>2022.003D.Lefavirales_106rensp.zip</v>
      </c>
      <c r="U14137" s="29" t="str">
        <f>HYPERLINK("https://ictv.global/taxonomy/taxondetails?taxnode_id=202313429","ictv.global=202313429")</f>
        <v>ictv.global=202313429</v>
      </c>
    </row>
    <row r="14138" spans="1:21">
      <c r="A14138">
        <v>14137</v>
      </c>
      <c r="H14138" s="30" t="s">
        <v>3853</v>
      </c>
      <c r="J14138" s="30" t="s">
        <v>3854</v>
      </c>
      <c r="L14138" s="30" t="s">
        <v>415</v>
      </c>
      <c r="N14138" s="30" t="s">
        <v>313</v>
      </c>
      <c r="P14138" s="30" t="s">
        <v>11436</v>
      </c>
      <c r="Q14138" t="s">
        <v>619</v>
      </c>
      <c r="R14138" t="s">
        <v>920</v>
      </c>
      <c r="S14138">
        <v>38</v>
      </c>
      <c r="T14138" s="29" t="str">
        <f t="shared" si="590"/>
        <v>2022.003D.Lefavirales_106rensp.zip</v>
      </c>
      <c r="U14138" s="29" t="str">
        <f>HYPERLINK("https://ictv.global/taxonomy/taxondetails?taxnode_id=202302712","ictv.global=202302712")</f>
        <v>ictv.global=202302712</v>
      </c>
    </row>
    <row r="14139" spans="1:21">
      <c r="A14139">
        <v>14138</v>
      </c>
      <c r="H14139" s="30" t="s">
        <v>3853</v>
      </c>
      <c r="J14139" s="30" t="s">
        <v>3854</v>
      </c>
      <c r="L14139" s="30" t="s">
        <v>415</v>
      </c>
      <c r="N14139" s="30" t="s">
        <v>313</v>
      </c>
      <c r="P14139" s="30" t="s">
        <v>11437</v>
      </c>
      <c r="Q14139" t="s">
        <v>619</v>
      </c>
      <c r="R14139" t="s">
        <v>917</v>
      </c>
      <c r="S14139">
        <v>37</v>
      </c>
      <c r="T14139" s="29" t="str">
        <f>HYPERLINK("https://ictv.global/ictv/proposals/2021.004D.R.Baculoviridae_6nsp.zip","2021.004D.R.Baculoviridae_6nsp.zip")</f>
        <v>2021.004D.R.Baculoviridae_6nsp.zip</v>
      </c>
      <c r="U14139" s="29" t="str">
        <f>HYPERLINK("https://ictv.global/taxonomy/taxondetails?taxnode_id=202313430","ictv.global=202313430")</f>
        <v>ictv.global=202313430</v>
      </c>
    </row>
    <row r="14140" spans="1:21">
      <c r="A14140">
        <v>14139</v>
      </c>
      <c r="H14140" s="30" t="s">
        <v>3853</v>
      </c>
      <c r="J14140" s="30" t="s">
        <v>3854</v>
      </c>
      <c r="L14140" s="30" t="s">
        <v>415</v>
      </c>
      <c r="N14140" s="30" t="s">
        <v>313</v>
      </c>
      <c r="P14140" s="30" t="s">
        <v>11438</v>
      </c>
      <c r="Q14140" t="s">
        <v>619</v>
      </c>
      <c r="R14140" t="s">
        <v>920</v>
      </c>
      <c r="S14140">
        <v>38</v>
      </c>
      <c r="T14140" s="29" t="str">
        <f t="shared" ref="T14140:T14149" si="591">HYPERLINK("https://ictv.global/ictv/proposals/2022.003D.Lefavirales_106rensp.zip","2022.003D.Lefavirales_106rensp.zip")</f>
        <v>2022.003D.Lefavirales_106rensp.zip</v>
      </c>
      <c r="U14140" s="29" t="str">
        <f>HYPERLINK("https://ictv.global/taxonomy/taxondetails?taxnode_id=202306533","ictv.global=202306533")</f>
        <v>ictv.global=202306533</v>
      </c>
    </row>
    <row r="14141" spans="1:21">
      <c r="A14141">
        <v>14140</v>
      </c>
      <c r="H14141" s="30" t="s">
        <v>3853</v>
      </c>
      <c r="J14141" s="30" t="s">
        <v>3854</v>
      </c>
      <c r="L14141" s="30" t="s">
        <v>415</v>
      </c>
      <c r="N14141" s="30" t="s">
        <v>313</v>
      </c>
      <c r="P14141" s="30" t="s">
        <v>11439</v>
      </c>
      <c r="Q14141" t="s">
        <v>619</v>
      </c>
      <c r="R14141" t="s">
        <v>920</v>
      </c>
      <c r="S14141">
        <v>38</v>
      </c>
      <c r="T14141" s="29" t="str">
        <f t="shared" si="591"/>
        <v>2022.003D.Lefavirales_106rensp.zip</v>
      </c>
      <c r="U14141" s="29" t="str">
        <f>HYPERLINK("https://ictv.global/taxonomy/taxondetails?taxnode_id=202302716","ictv.global=202302716")</f>
        <v>ictv.global=202302716</v>
      </c>
    </row>
    <row r="14142" spans="1:21">
      <c r="A14142">
        <v>14141</v>
      </c>
      <c r="H14142" s="30" t="s">
        <v>3853</v>
      </c>
      <c r="J14142" s="30" t="s">
        <v>3854</v>
      </c>
      <c r="L14142" s="30" t="s">
        <v>415</v>
      </c>
      <c r="N14142" s="30" t="s">
        <v>313</v>
      </c>
      <c r="P14142" s="30" t="s">
        <v>11440</v>
      </c>
      <c r="Q14142" t="s">
        <v>619</v>
      </c>
      <c r="R14142" t="s">
        <v>920</v>
      </c>
      <c r="S14142">
        <v>38</v>
      </c>
      <c r="T14142" s="29" t="str">
        <f t="shared" si="591"/>
        <v>2022.003D.Lefavirales_106rensp.zip</v>
      </c>
      <c r="U14142" s="29" t="str">
        <f>HYPERLINK("https://ictv.global/taxonomy/taxondetails?taxnode_id=202302713","ictv.global=202302713")</f>
        <v>ictv.global=202302713</v>
      </c>
    </row>
    <row r="14143" spans="1:21">
      <c r="A14143">
        <v>14142</v>
      </c>
      <c r="H14143" s="30" t="s">
        <v>3853</v>
      </c>
      <c r="J14143" s="30" t="s">
        <v>3854</v>
      </c>
      <c r="L14143" s="30" t="s">
        <v>415</v>
      </c>
      <c r="N14143" s="30" t="s">
        <v>313</v>
      </c>
      <c r="P14143" s="30" t="s">
        <v>11441</v>
      </c>
      <c r="Q14143" t="s">
        <v>619</v>
      </c>
      <c r="R14143" t="s">
        <v>920</v>
      </c>
      <c r="S14143">
        <v>38</v>
      </c>
      <c r="T14143" s="29" t="str">
        <f t="shared" si="591"/>
        <v>2022.003D.Lefavirales_106rensp.zip</v>
      </c>
      <c r="U14143" s="29" t="str">
        <f>HYPERLINK("https://ictv.global/taxonomy/taxondetails?taxnode_id=202302714","ictv.global=202302714")</f>
        <v>ictv.global=202302714</v>
      </c>
    </row>
    <row r="14144" spans="1:21">
      <c r="A14144">
        <v>14143</v>
      </c>
      <c r="H14144" s="30" t="s">
        <v>3853</v>
      </c>
      <c r="J14144" s="30" t="s">
        <v>3854</v>
      </c>
      <c r="L14144" s="30" t="s">
        <v>415</v>
      </c>
      <c r="N14144" s="30" t="s">
        <v>313</v>
      </c>
      <c r="P14144" s="30" t="s">
        <v>11442</v>
      </c>
      <c r="Q14144" t="s">
        <v>619</v>
      </c>
      <c r="R14144" t="s">
        <v>920</v>
      </c>
      <c r="S14144">
        <v>38</v>
      </c>
      <c r="T14144" s="29" t="str">
        <f t="shared" si="591"/>
        <v>2022.003D.Lefavirales_106rensp.zip</v>
      </c>
      <c r="U14144" s="29" t="str">
        <f>HYPERLINK("https://ictv.global/taxonomy/taxondetails?taxnode_id=202302715","ictv.global=202302715")</f>
        <v>ictv.global=202302715</v>
      </c>
    </row>
    <row r="14145" spans="1:21">
      <c r="A14145">
        <v>14144</v>
      </c>
      <c r="H14145" s="30" t="s">
        <v>3853</v>
      </c>
      <c r="J14145" s="30" t="s">
        <v>3854</v>
      </c>
      <c r="L14145" s="30" t="s">
        <v>415</v>
      </c>
      <c r="N14145" s="30" t="s">
        <v>313</v>
      </c>
      <c r="P14145" s="30" t="s">
        <v>11443</v>
      </c>
      <c r="Q14145" t="s">
        <v>619</v>
      </c>
      <c r="R14145" t="s">
        <v>920</v>
      </c>
      <c r="S14145">
        <v>38</v>
      </c>
      <c r="T14145" s="29" t="str">
        <f t="shared" si="591"/>
        <v>2022.003D.Lefavirales_106rensp.zip</v>
      </c>
      <c r="U14145" s="29" t="str">
        <f>HYPERLINK("https://ictv.global/taxonomy/taxondetails?taxnode_id=202302718","ictv.global=202302718")</f>
        <v>ictv.global=202302718</v>
      </c>
    </row>
    <row r="14146" spans="1:21">
      <c r="A14146">
        <v>14145</v>
      </c>
      <c r="H14146" s="30" t="s">
        <v>3853</v>
      </c>
      <c r="J14146" s="30" t="s">
        <v>3854</v>
      </c>
      <c r="L14146" s="30" t="s">
        <v>415</v>
      </c>
      <c r="N14146" s="30" t="s">
        <v>313</v>
      </c>
      <c r="P14146" s="30" t="s">
        <v>11444</v>
      </c>
      <c r="Q14146" t="s">
        <v>619</v>
      </c>
      <c r="R14146" t="s">
        <v>920</v>
      </c>
      <c r="S14146">
        <v>38</v>
      </c>
      <c r="T14146" s="29" t="str">
        <f t="shared" si="591"/>
        <v>2022.003D.Lefavirales_106rensp.zip</v>
      </c>
      <c r="U14146" s="29" t="str">
        <f>HYPERLINK("https://ictv.global/taxonomy/taxondetails?taxnode_id=202302717","ictv.global=202302717")</f>
        <v>ictv.global=202302717</v>
      </c>
    </row>
    <row r="14147" spans="1:21">
      <c r="A14147">
        <v>14146</v>
      </c>
      <c r="H14147" s="30" t="s">
        <v>3853</v>
      </c>
      <c r="J14147" s="30" t="s">
        <v>3854</v>
      </c>
      <c r="L14147" s="30" t="s">
        <v>415</v>
      </c>
      <c r="N14147" s="30" t="s">
        <v>313</v>
      </c>
      <c r="P14147" s="30" t="s">
        <v>11445</v>
      </c>
      <c r="Q14147" t="s">
        <v>619</v>
      </c>
      <c r="R14147" t="s">
        <v>920</v>
      </c>
      <c r="S14147">
        <v>38</v>
      </c>
      <c r="T14147" s="29" t="str">
        <f t="shared" si="591"/>
        <v>2022.003D.Lefavirales_106rensp.zip</v>
      </c>
      <c r="U14147" s="29" t="str">
        <f>HYPERLINK("https://ictv.global/taxonomy/taxondetails?taxnode_id=202302719","ictv.global=202302719")</f>
        <v>ictv.global=202302719</v>
      </c>
    </row>
    <row r="14148" spans="1:21">
      <c r="A14148">
        <v>14147</v>
      </c>
      <c r="H14148" s="30" t="s">
        <v>3853</v>
      </c>
      <c r="J14148" s="30" t="s">
        <v>3854</v>
      </c>
      <c r="L14148" s="30" t="s">
        <v>415</v>
      </c>
      <c r="N14148" s="30" t="s">
        <v>313</v>
      </c>
      <c r="P14148" s="30" t="s">
        <v>11446</v>
      </c>
      <c r="Q14148" t="s">
        <v>619</v>
      </c>
      <c r="R14148" t="s">
        <v>920</v>
      </c>
      <c r="S14148">
        <v>38</v>
      </c>
      <c r="T14148" s="29" t="str">
        <f t="shared" si="591"/>
        <v>2022.003D.Lefavirales_106rensp.zip</v>
      </c>
      <c r="U14148" s="29" t="str">
        <f>HYPERLINK("https://ictv.global/taxonomy/taxondetails?taxnode_id=202302720","ictv.global=202302720")</f>
        <v>ictv.global=202302720</v>
      </c>
    </row>
    <row r="14149" spans="1:21">
      <c r="A14149">
        <v>14148</v>
      </c>
      <c r="H14149" s="30" t="s">
        <v>3853</v>
      </c>
      <c r="J14149" s="30" t="s">
        <v>3854</v>
      </c>
      <c r="L14149" s="30" t="s">
        <v>415</v>
      </c>
      <c r="N14149" s="30" t="s">
        <v>418</v>
      </c>
      <c r="P14149" s="30" t="s">
        <v>11447</v>
      </c>
      <c r="Q14149" t="s">
        <v>619</v>
      </c>
      <c r="R14149" t="s">
        <v>920</v>
      </c>
      <c r="S14149">
        <v>38</v>
      </c>
      <c r="T14149" s="29" t="str">
        <f t="shared" si="591"/>
        <v>2022.003D.Lefavirales_106rensp.zip</v>
      </c>
      <c r="U14149" s="29" t="str">
        <f>HYPERLINK("https://ictv.global/taxonomy/taxondetails?taxnode_id=202302722","ictv.global=202302722")</f>
        <v>ictv.global=202302722</v>
      </c>
    </row>
    <row r="14150" spans="1:21">
      <c r="A14150">
        <v>14149</v>
      </c>
      <c r="H14150" s="30" t="s">
        <v>3853</v>
      </c>
      <c r="J14150" s="30" t="s">
        <v>3854</v>
      </c>
      <c r="L14150" s="30" t="s">
        <v>415</v>
      </c>
      <c r="N14150" s="30" t="s">
        <v>179</v>
      </c>
      <c r="P14150" s="30" t="s">
        <v>11448</v>
      </c>
      <c r="Q14150" t="s">
        <v>619</v>
      </c>
      <c r="R14150" t="s">
        <v>917</v>
      </c>
      <c r="S14150">
        <v>38</v>
      </c>
      <c r="T14150" s="29" t="str">
        <f>HYPERLINK("https://ictv.global/ictv/proposals/2022.004D.Baculoviridae_6nsp.zip","2022.004D.Baculoviridae_6nsp.zip")</f>
        <v>2022.004D.Baculoviridae_6nsp.zip</v>
      </c>
      <c r="U14150" s="29" t="str">
        <f>HYPERLINK("https://ictv.global/taxonomy/taxondetails?taxnode_id=202314027","ictv.global=202314027")</f>
        <v>ictv.global=202314027</v>
      </c>
    </row>
    <row r="14151" spans="1:21">
      <c r="A14151">
        <v>14150</v>
      </c>
      <c r="H14151" s="30" t="s">
        <v>3853</v>
      </c>
      <c r="J14151" s="30" t="s">
        <v>3854</v>
      </c>
      <c r="L14151" s="30" t="s">
        <v>415</v>
      </c>
      <c r="N14151" s="30" t="s">
        <v>179</v>
      </c>
      <c r="P14151" s="30" t="s">
        <v>11449</v>
      </c>
      <c r="Q14151" t="s">
        <v>619</v>
      </c>
      <c r="R14151" t="s">
        <v>920</v>
      </c>
      <c r="S14151">
        <v>38</v>
      </c>
      <c r="T14151" s="29" t="str">
        <f t="shared" ref="T14151:T14167" si="592">HYPERLINK("https://ictv.global/ictv/proposals/2022.003D.Lefavirales_106rensp.zip","2022.003D.Lefavirales_106rensp.zip")</f>
        <v>2022.003D.Lefavirales_106rensp.zip</v>
      </c>
      <c r="U14151" s="29" t="str">
        <f>HYPERLINK("https://ictv.global/taxonomy/taxondetails?taxnode_id=202302724","ictv.global=202302724")</f>
        <v>ictv.global=202302724</v>
      </c>
    </row>
    <row r="14152" spans="1:21">
      <c r="A14152">
        <v>14151</v>
      </c>
      <c r="H14152" s="30" t="s">
        <v>3853</v>
      </c>
      <c r="J14152" s="30" t="s">
        <v>3854</v>
      </c>
      <c r="L14152" s="30" t="s">
        <v>415</v>
      </c>
      <c r="N14152" s="30" t="s">
        <v>179</v>
      </c>
      <c r="P14152" s="30" t="s">
        <v>11450</v>
      </c>
      <c r="Q14152" t="s">
        <v>619</v>
      </c>
      <c r="R14152" t="s">
        <v>920</v>
      </c>
      <c r="S14152">
        <v>38</v>
      </c>
      <c r="T14152" s="29" t="str">
        <f t="shared" si="592"/>
        <v>2022.003D.Lefavirales_106rensp.zip</v>
      </c>
      <c r="U14152" s="29" t="str">
        <f>HYPERLINK("https://ictv.global/taxonomy/taxondetails?taxnode_id=202302725","ictv.global=202302725")</f>
        <v>ictv.global=202302725</v>
      </c>
    </row>
    <row r="14153" spans="1:21">
      <c r="A14153">
        <v>14152</v>
      </c>
      <c r="H14153" s="30" t="s">
        <v>3853</v>
      </c>
      <c r="J14153" s="30" t="s">
        <v>3854</v>
      </c>
      <c r="L14153" s="30" t="s">
        <v>23</v>
      </c>
      <c r="N14153" s="30" t="s">
        <v>24</v>
      </c>
      <c r="P14153" s="30" t="s">
        <v>11451</v>
      </c>
      <c r="Q14153" t="s">
        <v>619</v>
      </c>
      <c r="R14153" t="s">
        <v>920</v>
      </c>
      <c r="S14153">
        <v>38</v>
      </c>
      <c r="T14153" s="29" t="str">
        <f t="shared" si="592"/>
        <v>2022.003D.Lefavirales_106rensp.zip</v>
      </c>
      <c r="U14153" s="29" t="str">
        <f>HYPERLINK("https://ictv.global/taxonomy/taxondetails?taxnode_id=202303681","ictv.global=202303681")</f>
        <v>ictv.global=202303681</v>
      </c>
    </row>
    <row r="14154" spans="1:21">
      <c r="A14154">
        <v>14153</v>
      </c>
      <c r="H14154" s="30" t="s">
        <v>3853</v>
      </c>
      <c r="J14154" s="30" t="s">
        <v>3854</v>
      </c>
      <c r="L14154" s="30" t="s">
        <v>23</v>
      </c>
      <c r="N14154" s="30" t="s">
        <v>25</v>
      </c>
      <c r="P14154" s="30" t="s">
        <v>11452</v>
      </c>
      <c r="Q14154" t="s">
        <v>619</v>
      </c>
      <c r="R14154" t="s">
        <v>920</v>
      </c>
      <c r="S14154">
        <v>38</v>
      </c>
      <c r="T14154" s="29" t="str">
        <f t="shared" si="592"/>
        <v>2022.003D.Lefavirales_106rensp.zip</v>
      </c>
      <c r="U14154" s="29" t="str">
        <f>HYPERLINK("https://ictv.global/taxonomy/taxondetails?taxnode_id=202303683","ictv.global=202303683")</f>
        <v>ictv.global=202303683</v>
      </c>
    </row>
    <row r="14155" spans="1:21">
      <c r="A14155">
        <v>14154</v>
      </c>
      <c r="H14155" s="30" t="s">
        <v>3853</v>
      </c>
      <c r="J14155" s="30" t="s">
        <v>3854</v>
      </c>
      <c r="L14155" s="30" t="s">
        <v>553</v>
      </c>
      <c r="N14155" s="30" t="s">
        <v>554</v>
      </c>
      <c r="P14155" s="30" t="s">
        <v>11453</v>
      </c>
      <c r="Q14155" t="s">
        <v>619</v>
      </c>
      <c r="R14155" t="s">
        <v>920</v>
      </c>
      <c r="S14155">
        <v>38</v>
      </c>
      <c r="T14155" s="29" t="str">
        <f t="shared" si="592"/>
        <v>2022.003D.Lefavirales_106rensp.zip</v>
      </c>
      <c r="U14155" s="29" t="str">
        <f>HYPERLINK("https://ictv.global/taxonomy/taxondetails?taxnode_id=202308928","ictv.global=202308928")</f>
        <v>ictv.global=202308928</v>
      </c>
    </row>
    <row r="14156" spans="1:21">
      <c r="A14156">
        <v>14155</v>
      </c>
      <c r="H14156" s="30" t="s">
        <v>3853</v>
      </c>
      <c r="J14156" s="30" t="s">
        <v>3854</v>
      </c>
      <c r="L14156" s="30" t="s">
        <v>553</v>
      </c>
      <c r="N14156" s="30" t="s">
        <v>554</v>
      </c>
      <c r="P14156" s="30" t="s">
        <v>11454</v>
      </c>
      <c r="Q14156" t="s">
        <v>619</v>
      </c>
      <c r="R14156" t="s">
        <v>920</v>
      </c>
      <c r="S14156">
        <v>38</v>
      </c>
      <c r="T14156" s="29" t="str">
        <f t="shared" si="592"/>
        <v>2022.003D.Lefavirales_106rensp.zip</v>
      </c>
      <c r="U14156" s="29" t="str">
        <f>HYPERLINK("https://ictv.global/taxonomy/taxondetails?taxnode_id=202308926","ictv.global=202308926")</f>
        <v>ictv.global=202308926</v>
      </c>
    </row>
    <row r="14157" spans="1:21">
      <c r="A14157">
        <v>14156</v>
      </c>
      <c r="H14157" s="30" t="s">
        <v>3853</v>
      </c>
      <c r="J14157" s="30" t="s">
        <v>3854</v>
      </c>
      <c r="L14157" s="30" t="s">
        <v>553</v>
      </c>
      <c r="N14157" s="30" t="s">
        <v>554</v>
      </c>
      <c r="P14157" s="30" t="s">
        <v>11455</v>
      </c>
      <c r="Q14157" t="s">
        <v>619</v>
      </c>
      <c r="R14157" t="s">
        <v>920</v>
      </c>
      <c r="S14157">
        <v>38</v>
      </c>
      <c r="T14157" s="29" t="str">
        <f t="shared" si="592"/>
        <v>2022.003D.Lefavirales_106rensp.zip</v>
      </c>
      <c r="U14157" s="29" t="str">
        <f>HYPERLINK("https://ictv.global/taxonomy/taxondetails?taxnode_id=202308927","ictv.global=202308927")</f>
        <v>ictv.global=202308927</v>
      </c>
    </row>
    <row r="14158" spans="1:21">
      <c r="A14158">
        <v>14157</v>
      </c>
      <c r="H14158" s="30" t="s">
        <v>3853</v>
      </c>
      <c r="J14158" s="30" t="s">
        <v>3854</v>
      </c>
      <c r="L14158" s="30" t="s">
        <v>553</v>
      </c>
      <c r="N14158" s="30" t="s">
        <v>554</v>
      </c>
      <c r="P14158" s="30" t="s">
        <v>11456</v>
      </c>
      <c r="Q14158" t="s">
        <v>619</v>
      </c>
      <c r="R14158" t="s">
        <v>920</v>
      </c>
      <c r="S14158">
        <v>38</v>
      </c>
      <c r="T14158" s="29" t="str">
        <f t="shared" si="592"/>
        <v>2022.003D.Lefavirales_106rensp.zip</v>
      </c>
      <c r="U14158" s="29" t="str">
        <f>HYPERLINK("https://ictv.global/taxonomy/taxondetails?taxnode_id=202303939","ictv.global=202303939")</f>
        <v>ictv.global=202303939</v>
      </c>
    </row>
    <row r="14159" spans="1:21">
      <c r="A14159">
        <v>14158</v>
      </c>
      <c r="H14159" s="30" t="s">
        <v>3853</v>
      </c>
      <c r="J14159" s="30" t="s">
        <v>3854</v>
      </c>
      <c r="L14159" s="30" t="s">
        <v>553</v>
      </c>
      <c r="N14159" s="30" t="s">
        <v>554</v>
      </c>
      <c r="P14159" s="30" t="s">
        <v>11457</v>
      </c>
      <c r="Q14159" t="s">
        <v>619</v>
      </c>
      <c r="R14159" t="s">
        <v>920</v>
      </c>
      <c r="S14159">
        <v>38</v>
      </c>
      <c r="T14159" s="29" t="str">
        <f t="shared" si="592"/>
        <v>2022.003D.Lefavirales_106rensp.zip</v>
      </c>
      <c r="U14159" s="29" t="str">
        <f>HYPERLINK("https://ictv.global/taxonomy/taxondetails?taxnode_id=202303940","ictv.global=202303940")</f>
        <v>ictv.global=202303940</v>
      </c>
    </row>
    <row r="14160" spans="1:21">
      <c r="A14160">
        <v>14159</v>
      </c>
      <c r="H14160" s="30" t="s">
        <v>3853</v>
      </c>
      <c r="J14160" s="30" t="s">
        <v>3854</v>
      </c>
      <c r="L14160" s="30" t="s">
        <v>553</v>
      </c>
      <c r="N14160" s="30" t="s">
        <v>554</v>
      </c>
      <c r="P14160" s="30" t="s">
        <v>11458</v>
      </c>
      <c r="Q14160" t="s">
        <v>619</v>
      </c>
      <c r="R14160" t="s">
        <v>920</v>
      </c>
      <c r="S14160">
        <v>38</v>
      </c>
      <c r="T14160" s="29" t="str">
        <f t="shared" si="592"/>
        <v>2022.003D.Lefavirales_106rensp.zip</v>
      </c>
      <c r="U14160" s="29" t="str">
        <f>HYPERLINK("https://ictv.global/taxonomy/taxondetails?taxnode_id=202308930","ictv.global=202308930")</f>
        <v>ictv.global=202308930</v>
      </c>
    </row>
    <row r="14161" spans="1:21">
      <c r="A14161">
        <v>14160</v>
      </c>
      <c r="H14161" s="30" t="s">
        <v>3853</v>
      </c>
      <c r="J14161" s="30" t="s">
        <v>3854</v>
      </c>
      <c r="L14161" s="30" t="s">
        <v>553</v>
      </c>
      <c r="N14161" s="30" t="s">
        <v>554</v>
      </c>
      <c r="P14161" s="30" t="s">
        <v>11459</v>
      </c>
      <c r="Q14161" t="s">
        <v>619</v>
      </c>
      <c r="R14161" t="s">
        <v>920</v>
      </c>
      <c r="S14161">
        <v>38</v>
      </c>
      <c r="T14161" s="29" t="str">
        <f t="shared" si="592"/>
        <v>2022.003D.Lefavirales_106rensp.zip</v>
      </c>
      <c r="U14161" s="29" t="str">
        <f>HYPERLINK("https://ictv.global/taxonomy/taxondetails?taxnode_id=202308929","ictv.global=202308929")</f>
        <v>ictv.global=202308929</v>
      </c>
    </row>
    <row r="14162" spans="1:21">
      <c r="A14162">
        <v>14161</v>
      </c>
      <c r="H14162" s="30" t="s">
        <v>3853</v>
      </c>
      <c r="J14162" s="30" t="s">
        <v>3854</v>
      </c>
      <c r="L14162" s="30" t="s">
        <v>553</v>
      </c>
      <c r="N14162" s="30" t="s">
        <v>555</v>
      </c>
      <c r="P14162" s="30" t="s">
        <v>11460</v>
      </c>
      <c r="Q14162" t="s">
        <v>619</v>
      </c>
      <c r="R14162" t="s">
        <v>920</v>
      </c>
      <c r="S14162">
        <v>38</v>
      </c>
      <c r="T14162" s="29" t="str">
        <f t="shared" si="592"/>
        <v>2022.003D.Lefavirales_106rensp.zip</v>
      </c>
      <c r="U14162" s="29" t="str">
        <f>HYPERLINK("https://ictv.global/taxonomy/taxondetails?taxnode_id=202303942","ictv.global=202303942")</f>
        <v>ictv.global=202303942</v>
      </c>
    </row>
    <row r="14163" spans="1:21">
      <c r="A14163">
        <v>14162</v>
      </c>
      <c r="H14163" s="30" t="s">
        <v>3853</v>
      </c>
      <c r="J14163" s="30" t="s">
        <v>3854</v>
      </c>
      <c r="L14163" s="30" t="s">
        <v>553</v>
      </c>
      <c r="N14163" s="30" t="s">
        <v>3855</v>
      </c>
      <c r="P14163" s="30" t="s">
        <v>11461</v>
      </c>
      <c r="Q14163" t="s">
        <v>619</v>
      </c>
      <c r="R14163" t="s">
        <v>920</v>
      </c>
      <c r="S14163">
        <v>38</v>
      </c>
      <c r="T14163" s="29" t="str">
        <f t="shared" si="592"/>
        <v>2022.003D.Lefavirales_106rensp.zip</v>
      </c>
      <c r="U14163" s="29" t="str">
        <f>HYPERLINK("https://ictv.global/taxonomy/taxondetails?taxnode_id=202308935","ictv.global=202308935")</f>
        <v>ictv.global=202308935</v>
      </c>
    </row>
    <row r="14164" spans="1:21">
      <c r="A14164">
        <v>14163</v>
      </c>
      <c r="H14164" s="30" t="s">
        <v>3853</v>
      </c>
      <c r="J14164" s="30" t="s">
        <v>3854</v>
      </c>
      <c r="L14164" s="30" t="s">
        <v>553</v>
      </c>
      <c r="N14164" s="30" t="s">
        <v>3856</v>
      </c>
      <c r="P14164" s="30" t="s">
        <v>11462</v>
      </c>
      <c r="Q14164" t="s">
        <v>619</v>
      </c>
      <c r="R14164" t="s">
        <v>920</v>
      </c>
      <c r="S14164">
        <v>38</v>
      </c>
      <c r="T14164" s="29" t="str">
        <f t="shared" si="592"/>
        <v>2022.003D.Lefavirales_106rensp.zip</v>
      </c>
      <c r="U14164" s="29" t="str">
        <f>HYPERLINK("https://ictv.global/taxonomy/taxondetails?taxnode_id=202313432","ictv.global=202313432")</f>
        <v>ictv.global=202313432</v>
      </c>
    </row>
    <row r="14165" spans="1:21">
      <c r="A14165">
        <v>14164</v>
      </c>
      <c r="H14165" s="30" t="s">
        <v>3853</v>
      </c>
      <c r="J14165" s="30" t="s">
        <v>3854</v>
      </c>
      <c r="L14165" s="30" t="s">
        <v>553</v>
      </c>
      <c r="N14165" s="30" t="s">
        <v>3856</v>
      </c>
      <c r="P14165" s="30" t="s">
        <v>11463</v>
      </c>
      <c r="Q14165" t="s">
        <v>619</v>
      </c>
      <c r="R14165" t="s">
        <v>920</v>
      </c>
      <c r="S14165">
        <v>38</v>
      </c>
      <c r="T14165" s="29" t="str">
        <f t="shared" si="592"/>
        <v>2022.003D.Lefavirales_106rensp.zip</v>
      </c>
      <c r="U14165" s="29" t="str">
        <f>HYPERLINK("https://ictv.global/taxonomy/taxondetails?taxnode_id=202313431","ictv.global=202313431")</f>
        <v>ictv.global=202313431</v>
      </c>
    </row>
    <row r="14166" spans="1:21">
      <c r="A14166">
        <v>14165</v>
      </c>
      <c r="H14166" s="30" t="s">
        <v>3853</v>
      </c>
      <c r="J14166" s="30" t="s">
        <v>3854</v>
      </c>
      <c r="L14166" s="30" t="s">
        <v>553</v>
      </c>
      <c r="N14166" s="30" t="s">
        <v>3856</v>
      </c>
      <c r="P14166" s="30" t="s">
        <v>11464</v>
      </c>
      <c r="Q14166" t="s">
        <v>619</v>
      </c>
      <c r="R14166" t="s">
        <v>920</v>
      </c>
      <c r="S14166">
        <v>38</v>
      </c>
      <c r="T14166" s="29" t="str">
        <f t="shared" si="592"/>
        <v>2022.003D.Lefavirales_106rensp.zip</v>
      </c>
      <c r="U14166" s="29" t="str">
        <f>HYPERLINK("https://ictv.global/taxonomy/taxondetails?taxnode_id=202308932","ictv.global=202308932")</f>
        <v>ictv.global=202308932</v>
      </c>
    </row>
    <row r="14167" spans="1:21">
      <c r="A14167">
        <v>14166</v>
      </c>
      <c r="H14167" s="30" t="s">
        <v>3853</v>
      </c>
      <c r="J14167" s="30" t="s">
        <v>3854</v>
      </c>
      <c r="L14167" s="30" t="s">
        <v>553</v>
      </c>
      <c r="N14167" s="30" t="s">
        <v>3856</v>
      </c>
      <c r="P14167" s="30" t="s">
        <v>11465</v>
      </c>
      <c r="Q14167" t="s">
        <v>619</v>
      </c>
      <c r="R14167" t="s">
        <v>920</v>
      </c>
      <c r="S14167">
        <v>38</v>
      </c>
      <c r="T14167" s="29" t="str">
        <f t="shared" si="592"/>
        <v>2022.003D.Lefavirales_106rensp.zip</v>
      </c>
      <c r="U14167" s="29" t="str">
        <f>HYPERLINK("https://ictv.global/taxonomy/taxondetails?taxnode_id=202308933","ictv.global=202308933")</f>
        <v>ictv.global=202308933</v>
      </c>
    </row>
    <row r="14168" spans="1:21">
      <c r="A14168">
        <v>14167</v>
      </c>
      <c r="H14168" s="30" t="s">
        <v>3853</v>
      </c>
      <c r="L14168" s="30" t="s">
        <v>285</v>
      </c>
      <c r="N14168" s="30" t="s">
        <v>286</v>
      </c>
      <c r="P14168" s="30" t="s">
        <v>287</v>
      </c>
      <c r="Q14168" t="s">
        <v>619</v>
      </c>
      <c r="R14168" t="s">
        <v>3892</v>
      </c>
      <c r="S14168">
        <v>36</v>
      </c>
      <c r="T14168" s="29" t="str">
        <f>HYPERLINK("https://ictv.global/ictv/proposals/2020.001G.R.Abolish_type_species.pdf","2020.001G.R.Abolish_type_species.pdf")</f>
        <v>2020.001G.R.Abolish_type_species.pdf</v>
      </c>
      <c r="U14168" s="29" t="str">
        <f>HYPERLINK("https://ictv.global/taxonomy/taxondetails?taxnode_id=202303922","ictv.global=202303922")</f>
        <v>ictv.global=202303922</v>
      </c>
    </row>
    <row r="14169" spans="1:21">
      <c r="A14169">
        <v>14168</v>
      </c>
      <c r="L14169" s="30" t="s">
        <v>969</v>
      </c>
      <c r="M14169" s="30" t="s">
        <v>970</v>
      </c>
      <c r="N14169" s="30" t="s">
        <v>971</v>
      </c>
      <c r="P14169" s="30" t="s">
        <v>18767</v>
      </c>
      <c r="Q14169" t="s">
        <v>622</v>
      </c>
      <c r="R14169" t="s">
        <v>920</v>
      </c>
      <c r="S14169">
        <v>39</v>
      </c>
      <c r="T14169" s="29" t="str">
        <f t="shared" ref="T14169:T14200" si="593">HYPERLINK("https://ictv.global/ictv/proposals/2023.036P.Geminialphasatellitinae_rename.zip","2023.036P.Geminialphasatellitinae_rename.zip")</f>
        <v>2023.036P.Geminialphasatellitinae_rename.zip</v>
      </c>
      <c r="U14169" s="29" t="str">
        <f>HYPERLINK("https://ictv.global/taxonomy/taxondetails?taxnode_id=202306012","ictv.global=202306012")</f>
        <v>ictv.global=202306012</v>
      </c>
    </row>
    <row r="14170" spans="1:21">
      <c r="A14170">
        <v>14169</v>
      </c>
      <c r="L14170" s="30" t="s">
        <v>969</v>
      </c>
      <c r="M14170" s="30" t="s">
        <v>970</v>
      </c>
      <c r="N14170" s="30" t="s">
        <v>971</v>
      </c>
      <c r="P14170" s="30" t="s">
        <v>18768</v>
      </c>
      <c r="Q14170" t="s">
        <v>622</v>
      </c>
      <c r="R14170" t="s">
        <v>920</v>
      </c>
      <c r="S14170">
        <v>39</v>
      </c>
      <c r="T14170" s="29" t="str">
        <f t="shared" si="593"/>
        <v>2023.036P.Geminialphasatellitinae_rename.zip</v>
      </c>
      <c r="U14170" s="29" t="str">
        <f>HYPERLINK("https://ictv.global/taxonomy/taxondetails?taxnode_id=202305664","ictv.global=202305664")</f>
        <v>ictv.global=202305664</v>
      </c>
    </row>
    <row r="14171" spans="1:21">
      <c r="A14171">
        <v>14170</v>
      </c>
      <c r="L14171" s="30" t="s">
        <v>969</v>
      </c>
      <c r="M14171" s="30" t="s">
        <v>970</v>
      </c>
      <c r="N14171" s="30" t="s">
        <v>972</v>
      </c>
      <c r="P14171" s="30" t="s">
        <v>18769</v>
      </c>
      <c r="Q14171" t="s">
        <v>739</v>
      </c>
      <c r="R14171" t="s">
        <v>920</v>
      </c>
      <c r="S14171">
        <v>39</v>
      </c>
      <c r="T14171" s="29" t="str">
        <f t="shared" si="593"/>
        <v>2023.036P.Geminialphasatellitinae_rename.zip</v>
      </c>
      <c r="U14171" s="29" t="str">
        <f>HYPERLINK("https://ictv.global/taxonomy/taxondetails?taxnode_id=202307290","ictv.global=202307290")</f>
        <v>ictv.global=202307290</v>
      </c>
    </row>
    <row r="14172" spans="1:21">
      <c r="A14172">
        <v>14171</v>
      </c>
      <c r="L14172" s="30" t="s">
        <v>969</v>
      </c>
      <c r="M14172" s="30" t="s">
        <v>970</v>
      </c>
      <c r="N14172" s="30" t="s">
        <v>972</v>
      </c>
      <c r="P14172" s="30" t="s">
        <v>18770</v>
      </c>
      <c r="Q14172" t="s">
        <v>739</v>
      </c>
      <c r="R14172" t="s">
        <v>920</v>
      </c>
      <c r="S14172">
        <v>39</v>
      </c>
      <c r="T14172" s="29" t="str">
        <f t="shared" si="593"/>
        <v>2023.036P.Geminialphasatellitinae_rename.zip</v>
      </c>
      <c r="U14172" s="29" t="str">
        <f>HYPERLINK("https://ictv.global/taxonomy/taxondetails?taxnode_id=202307289","ictv.global=202307289")</f>
        <v>ictv.global=202307289</v>
      </c>
    </row>
    <row r="14173" spans="1:21">
      <c r="A14173">
        <v>14172</v>
      </c>
      <c r="L14173" s="30" t="s">
        <v>969</v>
      </c>
      <c r="M14173" s="30" t="s">
        <v>970</v>
      </c>
      <c r="N14173" s="30" t="s">
        <v>972</v>
      </c>
      <c r="P14173" s="30" t="s">
        <v>18771</v>
      </c>
      <c r="Q14173" t="s">
        <v>739</v>
      </c>
      <c r="R14173" t="s">
        <v>920</v>
      </c>
      <c r="S14173">
        <v>39</v>
      </c>
      <c r="T14173" s="29" t="str">
        <f t="shared" si="593"/>
        <v>2023.036P.Geminialphasatellitinae_rename.zip</v>
      </c>
      <c r="U14173" s="29" t="str">
        <f>HYPERLINK("https://ictv.global/taxonomy/taxondetails?taxnode_id=202308800","ictv.global=202308800")</f>
        <v>ictv.global=202308800</v>
      </c>
    </row>
    <row r="14174" spans="1:21">
      <c r="A14174">
        <v>14173</v>
      </c>
      <c r="L14174" s="30" t="s">
        <v>969</v>
      </c>
      <c r="M14174" s="30" t="s">
        <v>970</v>
      </c>
      <c r="N14174" s="30" t="s">
        <v>972</v>
      </c>
      <c r="P14174" s="30" t="s">
        <v>18772</v>
      </c>
      <c r="Q14174" t="s">
        <v>622</v>
      </c>
      <c r="R14174" t="s">
        <v>920</v>
      </c>
      <c r="S14174">
        <v>39</v>
      </c>
      <c r="T14174" s="29" t="str">
        <f t="shared" si="593"/>
        <v>2023.036P.Geminialphasatellitinae_rename.zip</v>
      </c>
      <c r="U14174" s="29" t="str">
        <f>HYPERLINK("https://ictv.global/taxonomy/taxondetails?taxnode_id=202305666","ictv.global=202305666")</f>
        <v>ictv.global=202305666</v>
      </c>
    </row>
    <row r="14175" spans="1:21">
      <c r="A14175">
        <v>14174</v>
      </c>
      <c r="L14175" s="30" t="s">
        <v>969</v>
      </c>
      <c r="M14175" s="30" t="s">
        <v>970</v>
      </c>
      <c r="N14175" s="30" t="s">
        <v>972</v>
      </c>
      <c r="P14175" s="30" t="s">
        <v>18773</v>
      </c>
      <c r="Q14175" t="s">
        <v>622</v>
      </c>
      <c r="R14175" t="s">
        <v>920</v>
      </c>
      <c r="S14175">
        <v>39</v>
      </c>
      <c r="T14175" s="29" t="str">
        <f t="shared" si="593"/>
        <v>2023.036P.Geminialphasatellitinae_rename.zip</v>
      </c>
      <c r="U14175" s="29" t="str">
        <f>HYPERLINK("https://ictv.global/taxonomy/taxondetails?taxnode_id=202305667","ictv.global=202305667")</f>
        <v>ictv.global=202305667</v>
      </c>
    </row>
    <row r="14176" spans="1:21">
      <c r="A14176">
        <v>14175</v>
      </c>
      <c r="L14176" s="30" t="s">
        <v>969</v>
      </c>
      <c r="M14176" s="30" t="s">
        <v>970</v>
      </c>
      <c r="N14176" s="30" t="s">
        <v>972</v>
      </c>
      <c r="P14176" s="30" t="s">
        <v>18774</v>
      </c>
      <c r="Q14176" t="s">
        <v>622</v>
      </c>
      <c r="R14176" t="s">
        <v>920</v>
      </c>
      <c r="S14176">
        <v>39</v>
      </c>
      <c r="T14176" s="29" t="str">
        <f t="shared" si="593"/>
        <v>2023.036P.Geminialphasatellitinae_rename.zip</v>
      </c>
      <c r="U14176" s="29" t="str">
        <f>HYPERLINK("https://ictv.global/taxonomy/taxondetails?taxnode_id=202305669","ictv.global=202305669")</f>
        <v>ictv.global=202305669</v>
      </c>
    </row>
    <row r="14177" spans="1:21">
      <c r="A14177">
        <v>14176</v>
      </c>
      <c r="L14177" s="30" t="s">
        <v>969</v>
      </c>
      <c r="M14177" s="30" t="s">
        <v>970</v>
      </c>
      <c r="N14177" s="30" t="s">
        <v>972</v>
      </c>
      <c r="P14177" s="30" t="s">
        <v>18775</v>
      </c>
      <c r="Q14177" t="s">
        <v>622</v>
      </c>
      <c r="R14177" t="s">
        <v>920</v>
      </c>
      <c r="S14177">
        <v>39</v>
      </c>
      <c r="T14177" s="29" t="str">
        <f t="shared" si="593"/>
        <v>2023.036P.Geminialphasatellitinae_rename.zip</v>
      </c>
      <c r="U14177" s="29" t="str">
        <f>HYPERLINK("https://ictv.global/taxonomy/taxondetails?taxnode_id=202305668","ictv.global=202305668")</f>
        <v>ictv.global=202305668</v>
      </c>
    </row>
    <row r="14178" spans="1:21">
      <c r="A14178">
        <v>14177</v>
      </c>
      <c r="L14178" s="30" t="s">
        <v>969</v>
      </c>
      <c r="M14178" s="30" t="s">
        <v>970</v>
      </c>
      <c r="N14178" s="30" t="s">
        <v>972</v>
      </c>
      <c r="P14178" s="30" t="s">
        <v>18776</v>
      </c>
      <c r="Q14178" t="s">
        <v>622</v>
      </c>
      <c r="R14178" t="s">
        <v>920</v>
      </c>
      <c r="S14178">
        <v>39</v>
      </c>
      <c r="T14178" s="29" t="str">
        <f t="shared" si="593"/>
        <v>2023.036P.Geminialphasatellitinae_rename.zip</v>
      </c>
      <c r="U14178" s="29" t="str">
        <f>HYPERLINK("https://ictv.global/taxonomy/taxondetails?taxnode_id=202305672","ictv.global=202305672")</f>
        <v>ictv.global=202305672</v>
      </c>
    </row>
    <row r="14179" spans="1:21">
      <c r="A14179">
        <v>14178</v>
      </c>
      <c r="L14179" s="30" t="s">
        <v>969</v>
      </c>
      <c r="M14179" s="30" t="s">
        <v>970</v>
      </c>
      <c r="N14179" s="30" t="s">
        <v>972</v>
      </c>
      <c r="P14179" s="30" t="s">
        <v>18777</v>
      </c>
      <c r="Q14179" t="s">
        <v>622</v>
      </c>
      <c r="R14179" t="s">
        <v>920</v>
      </c>
      <c r="S14179">
        <v>39</v>
      </c>
      <c r="T14179" s="29" t="str">
        <f t="shared" si="593"/>
        <v>2023.036P.Geminialphasatellitinae_rename.zip</v>
      </c>
      <c r="U14179" s="29" t="str">
        <f>HYPERLINK("https://ictv.global/taxonomy/taxondetails?taxnode_id=202305673","ictv.global=202305673")</f>
        <v>ictv.global=202305673</v>
      </c>
    </row>
    <row r="14180" spans="1:21">
      <c r="A14180">
        <v>14179</v>
      </c>
      <c r="L14180" s="30" t="s">
        <v>969</v>
      </c>
      <c r="M14180" s="30" t="s">
        <v>970</v>
      </c>
      <c r="N14180" s="30" t="s">
        <v>972</v>
      </c>
      <c r="P14180" s="30" t="s">
        <v>18778</v>
      </c>
      <c r="Q14180" t="s">
        <v>622</v>
      </c>
      <c r="R14180" t="s">
        <v>920</v>
      </c>
      <c r="S14180">
        <v>39</v>
      </c>
      <c r="T14180" s="29" t="str">
        <f t="shared" si="593"/>
        <v>2023.036P.Geminialphasatellitinae_rename.zip</v>
      </c>
      <c r="U14180" s="29" t="str">
        <f>HYPERLINK("https://ictv.global/taxonomy/taxondetails?taxnode_id=202305670","ictv.global=202305670")</f>
        <v>ictv.global=202305670</v>
      </c>
    </row>
    <row r="14181" spans="1:21">
      <c r="A14181">
        <v>14180</v>
      </c>
      <c r="L14181" s="30" t="s">
        <v>969</v>
      </c>
      <c r="M14181" s="30" t="s">
        <v>970</v>
      </c>
      <c r="N14181" s="30" t="s">
        <v>972</v>
      </c>
      <c r="P14181" s="30" t="s">
        <v>18779</v>
      </c>
      <c r="Q14181" t="s">
        <v>739</v>
      </c>
      <c r="R14181" t="s">
        <v>920</v>
      </c>
      <c r="S14181">
        <v>39</v>
      </c>
      <c r="T14181" s="29" t="str">
        <f t="shared" si="593"/>
        <v>2023.036P.Geminialphasatellitinae_rename.zip</v>
      </c>
      <c r="U14181" s="29" t="str">
        <f>HYPERLINK("https://ictv.global/taxonomy/taxondetails?taxnode_id=202308799","ictv.global=202308799")</f>
        <v>ictv.global=202308799</v>
      </c>
    </row>
    <row r="14182" spans="1:21">
      <c r="A14182">
        <v>14181</v>
      </c>
      <c r="L14182" s="30" t="s">
        <v>969</v>
      </c>
      <c r="M14182" s="30" t="s">
        <v>970</v>
      </c>
      <c r="N14182" s="30" t="s">
        <v>972</v>
      </c>
      <c r="P14182" s="30" t="s">
        <v>18780</v>
      </c>
      <c r="Q14182" t="s">
        <v>739</v>
      </c>
      <c r="R14182" t="s">
        <v>920</v>
      </c>
      <c r="S14182">
        <v>39</v>
      </c>
      <c r="T14182" s="29" t="str">
        <f t="shared" si="593"/>
        <v>2023.036P.Geminialphasatellitinae_rename.zip</v>
      </c>
      <c r="U14182" s="29" t="str">
        <f>HYPERLINK("https://ictv.global/taxonomy/taxondetails?taxnode_id=202307291","ictv.global=202307291")</f>
        <v>ictv.global=202307291</v>
      </c>
    </row>
    <row r="14183" spans="1:21">
      <c r="A14183">
        <v>14182</v>
      </c>
      <c r="L14183" s="30" t="s">
        <v>969</v>
      </c>
      <c r="M14183" s="30" t="s">
        <v>970</v>
      </c>
      <c r="N14183" s="30" t="s">
        <v>972</v>
      </c>
      <c r="P14183" s="30" t="s">
        <v>18781</v>
      </c>
      <c r="Q14183" t="s">
        <v>739</v>
      </c>
      <c r="R14183" t="s">
        <v>920</v>
      </c>
      <c r="S14183">
        <v>39</v>
      </c>
      <c r="T14183" s="29" t="str">
        <f t="shared" si="593"/>
        <v>2023.036P.Geminialphasatellitinae_rename.zip</v>
      </c>
      <c r="U14183" s="29" t="str">
        <f>HYPERLINK("https://ictv.global/taxonomy/taxondetails?taxnode_id=202308798","ictv.global=202308798")</f>
        <v>ictv.global=202308798</v>
      </c>
    </row>
    <row r="14184" spans="1:21">
      <c r="A14184">
        <v>14183</v>
      </c>
      <c r="L14184" s="30" t="s">
        <v>969</v>
      </c>
      <c r="M14184" s="30" t="s">
        <v>970</v>
      </c>
      <c r="N14184" s="30" t="s">
        <v>972</v>
      </c>
      <c r="P14184" s="30" t="s">
        <v>18782</v>
      </c>
      <c r="Q14184" t="s">
        <v>622</v>
      </c>
      <c r="R14184" t="s">
        <v>920</v>
      </c>
      <c r="S14184">
        <v>39</v>
      </c>
      <c r="T14184" s="29" t="str">
        <f t="shared" si="593"/>
        <v>2023.036P.Geminialphasatellitinae_rename.zip</v>
      </c>
      <c r="U14184" s="29" t="str">
        <f>HYPERLINK("https://ictv.global/taxonomy/taxondetails?taxnode_id=202305671","ictv.global=202305671")</f>
        <v>ictv.global=202305671</v>
      </c>
    </row>
    <row r="14185" spans="1:21">
      <c r="A14185">
        <v>14184</v>
      </c>
      <c r="L14185" s="30" t="s">
        <v>969</v>
      </c>
      <c r="M14185" s="30" t="s">
        <v>970</v>
      </c>
      <c r="N14185" s="30" t="s">
        <v>972</v>
      </c>
      <c r="P14185" s="30" t="s">
        <v>18783</v>
      </c>
      <c r="Q14185" t="s">
        <v>739</v>
      </c>
      <c r="R14185" t="s">
        <v>920</v>
      </c>
      <c r="S14185">
        <v>39</v>
      </c>
      <c r="T14185" s="29" t="str">
        <f t="shared" si="593"/>
        <v>2023.036P.Geminialphasatellitinae_rename.zip</v>
      </c>
      <c r="U14185" s="29" t="str">
        <f>HYPERLINK("https://ictv.global/taxonomy/taxondetails?taxnode_id=202307292","ictv.global=202307292")</f>
        <v>ictv.global=202307292</v>
      </c>
    </row>
    <row r="14186" spans="1:21">
      <c r="A14186">
        <v>14185</v>
      </c>
      <c r="L14186" s="30" t="s">
        <v>969</v>
      </c>
      <c r="M14186" s="30" t="s">
        <v>970</v>
      </c>
      <c r="N14186" s="30" t="s">
        <v>973</v>
      </c>
      <c r="P14186" s="30" t="s">
        <v>18784</v>
      </c>
      <c r="Q14186" t="s">
        <v>622</v>
      </c>
      <c r="R14186" t="s">
        <v>920</v>
      </c>
      <c r="S14186">
        <v>39</v>
      </c>
      <c r="T14186" s="29" t="str">
        <f t="shared" si="593"/>
        <v>2023.036P.Geminialphasatellitinae_rename.zip</v>
      </c>
      <c r="U14186" s="29" t="str">
        <f>HYPERLINK("https://ictv.global/taxonomy/taxondetails?taxnode_id=202305679","ictv.global=202305679")</f>
        <v>ictv.global=202305679</v>
      </c>
    </row>
    <row r="14187" spans="1:21">
      <c r="A14187">
        <v>14186</v>
      </c>
      <c r="L14187" s="30" t="s">
        <v>969</v>
      </c>
      <c r="M14187" s="30" t="s">
        <v>970</v>
      </c>
      <c r="N14187" s="30" t="s">
        <v>973</v>
      </c>
      <c r="P14187" s="30" t="s">
        <v>18785</v>
      </c>
      <c r="Q14187" t="s">
        <v>622</v>
      </c>
      <c r="R14187" t="s">
        <v>920</v>
      </c>
      <c r="S14187">
        <v>39</v>
      </c>
      <c r="T14187" s="29" t="str">
        <f t="shared" si="593"/>
        <v>2023.036P.Geminialphasatellitinae_rename.zip</v>
      </c>
      <c r="U14187" s="29" t="str">
        <f>HYPERLINK("https://ictv.global/taxonomy/taxondetails?taxnode_id=202305675","ictv.global=202305675")</f>
        <v>ictv.global=202305675</v>
      </c>
    </row>
    <row r="14188" spans="1:21">
      <c r="A14188">
        <v>14187</v>
      </c>
      <c r="L14188" s="30" t="s">
        <v>969</v>
      </c>
      <c r="M14188" s="30" t="s">
        <v>970</v>
      </c>
      <c r="N14188" s="30" t="s">
        <v>973</v>
      </c>
      <c r="P14188" s="30" t="s">
        <v>18786</v>
      </c>
      <c r="Q14188" t="s">
        <v>622</v>
      </c>
      <c r="R14188" t="s">
        <v>920</v>
      </c>
      <c r="S14188">
        <v>39</v>
      </c>
      <c r="T14188" s="29" t="str">
        <f t="shared" si="593"/>
        <v>2023.036P.Geminialphasatellitinae_rename.zip</v>
      </c>
      <c r="U14188" s="29" t="str">
        <f>HYPERLINK("https://ictv.global/taxonomy/taxondetails?taxnode_id=202305677","ictv.global=202305677")</f>
        <v>ictv.global=202305677</v>
      </c>
    </row>
    <row r="14189" spans="1:21">
      <c r="A14189">
        <v>14188</v>
      </c>
      <c r="L14189" s="30" t="s">
        <v>969</v>
      </c>
      <c r="M14189" s="30" t="s">
        <v>970</v>
      </c>
      <c r="N14189" s="30" t="s">
        <v>973</v>
      </c>
      <c r="P14189" s="30" t="s">
        <v>18787</v>
      </c>
      <c r="Q14189" t="s">
        <v>622</v>
      </c>
      <c r="R14189" t="s">
        <v>920</v>
      </c>
      <c r="S14189">
        <v>39</v>
      </c>
      <c r="T14189" s="29" t="str">
        <f t="shared" si="593"/>
        <v>2023.036P.Geminialphasatellitinae_rename.zip</v>
      </c>
      <c r="U14189" s="29" t="str">
        <f>HYPERLINK("https://ictv.global/taxonomy/taxondetails?taxnode_id=202305676","ictv.global=202305676")</f>
        <v>ictv.global=202305676</v>
      </c>
    </row>
    <row r="14190" spans="1:21">
      <c r="A14190">
        <v>14189</v>
      </c>
      <c r="L14190" s="30" t="s">
        <v>969</v>
      </c>
      <c r="M14190" s="30" t="s">
        <v>970</v>
      </c>
      <c r="N14190" s="30" t="s">
        <v>973</v>
      </c>
      <c r="P14190" s="30" t="s">
        <v>18788</v>
      </c>
      <c r="Q14190" t="s">
        <v>622</v>
      </c>
      <c r="R14190" t="s">
        <v>920</v>
      </c>
      <c r="S14190">
        <v>39</v>
      </c>
      <c r="T14190" s="29" t="str">
        <f t="shared" si="593"/>
        <v>2023.036P.Geminialphasatellitinae_rename.zip</v>
      </c>
      <c r="U14190" s="29" t="str">
        <f>HYPERLINK("https://ictv.global/taxonomy/taxondetails?taxnode_id=202305678","ictv.global=202305678")</f>
        <v>ictv.global=202305678</v>
      </c>
    </row>
    <row r="14191" spans="1:21">
      <c r="A14191">
        <v>14190</v>
      </c>
      <c r="L14191" s="30" t="s">
        <v>969</v>
      </c>
      <c r="M14191" s="30" t="s">
        <v>970</v>
      </c>
      <c r="N14191" s="30" t="s">
        <v>973</v>
      </c>
      <c r="P14191" s="30" t="s">
        <v>18789</v>
      </c>
      <c r="Q14191" t="s">
        <v>622</v>
      </c>
      <c r="R14191" t="s">
        <v>920</v>
      </c>
      <c r="S14191">
        <v>39</v>
      </c>
      <c r="T14191" s="29" t="str">
        <f t="shared" si="593"/>
        <v>2023.036P.Geminialphasatellitinae_rename.zip</v>
      </c>
      <c r="U14191" s="29" t="str">
        <f>HYPERLINK("https://ictv.global/taxonomy/taxondetails?taxnode_id=202305681","ictv.global=202305681")</f>
        <v>ictv.global=202305681</v>
      </c>
    </row>
    <row r="14192" spans="1:21">
      <c r="A14192">
        <v>14191</v>
      </c>
      <c r="L14192" s="30" t="s">
        <v>969</v>
      </c>
      <c r="M14192" s="30" t="s">
        <v>970</v>
      </c>
      <c r="N14192" s="30" t="s">
        <v>973</v>
      </c>
      <c r="P14192" s="30" t="s">
        <v>18790</v>
      </c>
      <c r="Q14192" t="s">
        <v>622</v>
      </c>
      <c r="R14192" t="s">
        <v>920</v>
      </c>
      <c r="S14192">
        <v>39</v>
      </c>
      <c r="T14192" s="29" t="str">
        <f t="shared" si="593"/>
        <v>2023.036P.Geminialphasatellitinae_rename.zip</v>
      </c>
      <c r="U14192" s="29" t="str">
        <f>HYPERLINK("https://ictv.global/taxonomy/taxondetails?taxnode_id=202305682","ictv.global=202305682")</f>
        <v>ictv.global=202305682</v>
      </c>
    </row>
    <row r="14193" spans="1:21">
      <c r="A14193">
        <v>14192</v>
      </c>
      <c r="L14193" s="30" t="s">
        <v>969</v>
      </c>
      <c r="M14193" s="30" t="s">
        <v>970</v>
      </c>
      <c r="N14193" s="30" t="s">
        <v>973</v>
      </c>
      <c r="P14193" s="30" t="s">
        <v>18791</v>
      </c>
      <c r="Q14193" t="s">
        <v>622</v>
      </c>
      <c r="R14193" t="s">
        <v>920</v>
      </c>
      <c r="S14193">
        <v>39</v>
      </c>
      <c r="T14193" s="29" t="str">
        <f t="shared" si="593"/>
        <v>2023.036P.Geminialphasatellitinae_rename.zip</v>
      </c>
      <c r="U14193" s="29" t="str">
        <f>HYPERLINK("https://ictv.global/taxonomy/taxondetails?taxnode_id=202305683","ictv.global=202305683")</f>
        <v>ictv.global=202305683</v>
      </c>
    </row>
    <row r="14194" spans="1:21">
      <c r="A14194">
        <v>14193</v>
      </c>
      <c r="L14194" s="30" t="s">
        <v>969</v>
      </c>
      <c r="M14194" s="30" t="s">
        <v>970</v>
      </c>
      <c r="N14194" s="30" t="s">
        <v>973</v>
      </c>
      <c r="P14194" s="30" t="s">
        <v>18792</v>
      </c>
      <c r="Q14194" t="s">
        <v>622</v>
      </c>
      <c r="R14194" t="s">
        <v>920</v>
      </c>
      <c r="S14194">
        <v>39</v>
      </c>
      <c r="T14194" s="29" t="str">
        <f t="shared" si="593"/>
        <v>2023.036P.Geminialphasatellitinae_rename.zip</v>
      </c>
      <c r="U14194" s="29" t="str">
        <f>HYPERLINK("https://ictv.global/taxonomy/taxondetails?taxnode_id=202305684","ictv.global=202305684")</f>
        <v>ictv.global=202305684</v>
      </c>
    </row>
    <row r="14195" spans="1:21">
      <c r="A14195">
        <v>14194</v>
      </c>
      <c r="L14195" s="30" t="s">
        <v>969</v>
      </c>
      <c r="M14195" s="30" t="s">
        <v>970</v>
      </c>
      <c r="N14195" s="30" t="s">
        <v>973</v>
      </c>
      <c r="P14195" s="30" t="s">
        <v>18793</v>
      </c>
      <c r="Q14195" t="s">
        <v>622</v>
      </c>
      <c r="R14195" t="s">
        <v>920</v>
      </c>
      <c r="S14195">
        <v>39</v>
      </c>
      <c r="T14195" s="29" t="str">
        <f t="shared" si="593"/>
        <v>2023.036P.Geminialphasatellitinae_rename.zip</v>
      </c>
      <c r="U14195" s="29" t="str">
        <f>HYPERLINK("https://ictv.global/taxonomy/taxondetails?taxnode_id=202305685","ictv.global=202305685")</f>
        <v>ictv.global=202305685</v>
      </c>
    </row>
    <row r="14196" spans="1:21">
      <c r="A14196">
        <v>14195</v>
      </c>
      <c r="L14196" s="30" t="s">
        <v>969</v>
      </c>
      <c r="M14196" s="30" t="s">
        <v>970</v>
      </c>
      <c r="N14196" s="30" t="s">
        <v>973</v>
      </c>
      <c r="P14196" s="30" t="s">
        <v>18794</v>
      </c>
      <c r="Q14196" t="s">
        <v>622</v>
      </c>
      <c r="R14196" t="s">
        <v>920</v>
      </c>
      <c r="S14196">
        <v>39</v>
      </c>
      <c r="T14196" s="29" t="str">
        <f t="shared" si="593"/>
        <v>2023.036P.Geminialphasatellitinae_rename.zip</v>
      </c>
      <c r="U14196" s="29" t="str">
        <f>HYPERLINK("https://ictv.global/taxonomy/taxondetails?taxnode_id=202305686","ictv.global=202305686")</f>
        <v>ictv.global=202305686</v>
      </c>
    </row>
    <row r="14197" spans="1:21">
      <c r="A14197">
        <v>14196</v>
      </c>
      <c r="L14197" s="30" t="s">
        <v>969</v>
      </c>
      <c r="M14197" s="30" t="s">
        <v>970</v>
      </c>
      <c r="N14197" s="30" t="s">
        <v>973</v>
      </c>
      <c r="P14197" s="30" t="s">
        <v>18795</v>
      </c>
      <c r="Q14197" t="s">
        <v>622</v>
      </c>
      <c r="R14197" t="s">
        <v>920</v>
      </c>
      <c r="S14197">
        <v>39</v>
      </c>
      <c r="T14197" s="29" t="str">
        <f t="shared" si="593"/>
        <v>2023.036P.Geminialphasatellitinae_rename.zip</v>
      </c>
      <c r="U14197" s="29" t="str">
        <f>HYPERLINK("https://ictv.global/taxonomy/taxondetails?taxnode_id=202305692","ictv.global=202305692")</f>
        <v>ictv.global=202305692</v>
      </c>
    </row>
    <row r="14198" spans="1:21">
      <c r="A14198">
        <v>14197</v>
      </c>
      <c r="L14198" s="30" t="s">
        <v>969</v>
      </c>
      <c r="M14198" s="30" t="s">
        <v>970</v>
      </c>
      <c r="N14198" s="30" t="s">
        <v>973</v>
      </c>
      <c r="P14198" s="30" t="s">
        <v>18796</v>
      </c>
      <c r="Q14198" t="s">
        <v>622</v>
      </c>
      <c r="R14198" t="s">
        <v>920</v>
      </c>
      <c r="S14198">
        <v>39</v>
      </c>
      <c r="T14198" s="29" t="str">
        <f t="shared" si="593"/>
        <v>2023.036P.Geminialphasatellitinae_rename.zip</v>
      </c>
      <c r="U14198" s="29" t="str">
        <f>HYPERLINK("https://ictv.global/taxonomy/taxondetails?taxnode_id=202305687","ictv.global=202305687")</f>
        <v>ictv.global=202305687</v>
      </c>
    </row>
    <row r="14199" spans="1:21">
      <c r="A14199">
        <v>14198</v>
      </c>
      <c r="L14199" s="30" t="s">
        <v>969</v>
      </c>
      <c r="M14199" s="30" t="s">
        <v>970</v>
      </c>
      <c r="N14199" s="30" t="s">
        <v>973</v>
      </c>
      <c r="P14199" s="30" t="s">
        <v>18797</v>
      </c>
      <c r="Q14199" t="s">
        <v>622</v>
      </c>
      <c r="R14199" t="s">
        <v>920</v>
      </c>
      <c r="S14199">
        <v>39</v>
      </c>
      <c r="T14199" s="29" t="str">
        <f t="shared" si="593"/>
        <v>2023.036P.Geminialphasatellitinae_rename.zip</v>
      </c>
      <c r="U14199" s="29" t="str">
        <f>HYPERLINK("https://ictv.global/taxonomy/taxondetails?taxnode_id=202305688","ictv.global=202305688")</f>
        <v>ictv.global=202305688</v>
      </c>
    </row>
    <row r="14200" spans="1:21">
      <c r="A14200">
        <v>14199</v>
      </c>
      <c r="L14200" s="30" t="s">
        <v>969</v>
      </c>
      <c r="M14200" s="30" t="s">
        <v>970</v>
      </c>
      <c r="N14200" s="30" t="s">
        <v>973</v>
      </c>
      <c r="P14200" s="30" t="s">
        <v>18798</v>
      </c>
      <c r="Q14200" t="s">
        <v>622</v>
      </c>
      <c r="R14200" t="s">
        <v>920</v>
      </c>
      <c r="S14200">
        <v>39</v>
      </c>
      <c r="T14200" s="29" t="str">
        <f t="shared" si="593"/>
        <v>2023.036P.Geminialphasatellitinae_rename.zip</v>
      </c>
      <c r="U14200" s="29" t="str">
        <f>HYPERLINK("https://ictv.global/taxonomy/taxondetails?taxnode_id=202305680","ictv.global=202305680")</f>
        <v>ictv.global=202305680</v>
      </c>
    </row>
    <row r="14201" spans="1:21">
      <c r="A14201">
        <v>14200</v>
      </c>
      <c r="L14201" s="30" t="s">
        <v>969</v>
      </c>
      <c r="M14201" s="30" t="s">
        <v>970</v>
      </c>
      <c r="N14201" s="30" t="s">
        <v>973</v>
      </c>
      <c r="P14201" s="30" t="s">
        <v>18799</v>
      </c>
      <c r="Q14201" t="s">
        <v>622</v>
      </c>
      <c r="R14201" t="s">
        <v>920</v>
      </c>
      <c r="S14201">
        <v>39</v>
      </c>
      <c r="T14201" s="29" t="str">
        <f t="shared" ref="T14201:T14223" si="594">HYPERLINK("https://ictv.global/ictv/proposals/2023.036P.Geminialphasatellitinae_rename.zip","2023.036P.Geminialphasatellitinae_rename.zip")</f>
        <v>2023.036P.Geminialphasatellitinae_rename.zip</v>
      </c>
      <c r="U14201" s="29" t="str">
        <f>HYPERLINK("https://ictv.global/taxonomy/taxondetails?taxnode_id=202305694","ictv.global=202305694")</f>
        <v>ictv.global=202305694</v>
      </c>
    </row>
    <row r="14202" spans="1:21">
      <c r="A14202">
        <v>14201</v>
      </c>
      <c r="L14202" s="30" t="s">
        <v>969</v>
      </c>
      <c r="M14202" s="30" t="s">
        <v>970</v>
      </c>
      <c r="N14202" s="30" t="s">
        <v>973</v>
      </c>
      <c r="P14202" s="30" t="s">
        <v>18800</v>
      </c>
      <c r="Q14202" t="s">
        <v>622</v>
      </c>
      <c r="R14202" t="s">
        <v>920</v>
      </c>
      <c r="S14202">
        <v>39</v>
      </c>
      <c r="T14202" s="29" t="str">
        <f t="shared" si="594"/>
        <v>2023.036P.Geminialphasatellitinae_rename.zip</v>
      </c>
      <c r="U14202" s="29" t="str">
        <f>HYPERLINK("https://ictv.global/taxonomy/taxondetails?taxnode_id=202305689","ictv.global=202305689")</f>
        <v>ictv.global=202305689</v>
      </c>
    </row>
    <row r="14203" spans="1:21">
      <c r="A14203">
        <v>14202</v>
      </c>
      <c r="L14203" s="30" t="s">
        <v>969</v>
      </c>
      <c r="M14203" s="30" t="s">
        <v>970</v>
      </c>
      <c r="N14203" s="30" t="s">
        <v>973</v>
      </c>
      <c r="P14203" s="30" t="s">
        <v>18801</v>
      </c>
      <c r="Q14203" t="s">
        <v>622</v>
      </c>
      <c r="R14203" t="s">
        <v>920</v>
      </c>
      <c r="S14203">
        <v>39</v>
      </c>
      <c r="T14203" s="29" t="str">
        <f t="shared" si="594"/>
        <v>2023.036P.Geminialphasatellitinae_rename.zip</v>
      </c>
      <c r="U14203" s="29" t="str">
        <f>HYPERLINK("https://ictv.global/taxonomy/taxondetails?taxnode_id=202305690","ictv.global=202305690")</f>
        <v>ictv.global=202305690</v>
      </c>
    </row>
    <row r="14204" spans="1:21">
      <c r="A14204">
        <v>14203</v>
      </c>
      <c r="L14204" s="30" t="s">
        <v>969</v>
      </c>
      <c r="M14204" s="30" t="s">
        <v>970</v>
      </c>
      <c r="N14204" s="30" t="s">
        <v>973</v>
      </c>
      <c r="P14204" s="30" t="s">
        <v>18802</v>
      </c>
      <c r="Q14204" t="s">
        <v>739</v>
      </c>
      <c r="R14204" t="s">
        <v>920</v>
      </c>
      <c r="S14204">
        <v>39</v>
      </c>
      <c r="T14204" s="29" t="str">
        <f t="shared" si="594"/>
        <v>2023.036P.Geminialphasatellitinae_rename.zip</v>
      </c>
      <c r="U14204" s="29" t="str">
        <f>HYPERLINK("https://ictv.global/taxonomy/taxondetails?taxnode_id=202308797","ictv.global=202308797")</f>
        <v>ictv.global=202308797</v>
      </c>
    </row>
    <row r="14205" spans="1:21">
      <c r="A14205">
        <v>14204</v>
      </c>
      <c r="L14205" s="30" t="s">
        <v>969</v>
      </c>
      <c r="M14205" s="30" t="s">
        <v>970</v>
      </c>
      <c r="N14205" s="30" t="s">
        <v>973</v>
      </c>
      <c r="P14205" s="30" t="s">
        <v>18803</v>
      </c>
      <c r="Q14205" t="s">
        <v>622</v>
      </c>
      <c r="R14205" t="s">
        <v>920</v>
      </c>
      <c r="S14205">
        <v>39</v>
      </c>
      <c r="T14205" s="29" t="str">
        <f t="shared" si="594"/>
        <v>2023.036P.Geminialphasatellitinae_rename.zip</v>
      </c>
      <c r="U14205" s="29" t="str">
        <f>HYPERLINK("https://ictv.global/taxonomy/taxondetails?taxnode_id=202305691","ictv.global=202305691")</f>
        <v>ictv.global=202305691</v>
      </c>
    </row>
    <row r="14206" spans="1:21">
      <c r="A14206">
        <v>14205</v>
      </c>
      <c r="L14206" s="30" t="s">
        <v>969</v>
      </c>
      <c r="M14206" s="30" t="s">
        <v>970</v>
      </c>
      <c r="N14206" s="30" t="s">
        <v>973</v>
      </c>
      <c r="P14206" s="30" t="s">
        <v>18804</v>
      </c>
      <c r="Q14206" t="s">
        <v>622</v>
      </c>
      <c r="R14206" t="s">
        <v>920</v>
      </c>
      <c r="S14206">
        <v>39</v>
      </c>
      <c r="T14206" s="29" t="str">
        <f t="shared" si="594"/>
        <v>2023.036P.Geminialphasatellitinae_rename.zip</v>
      </c>
      <c r="U14206" s="29" t="str">
        <f>HYPERLINK("https://ictv.global/taxonomy/taxondetails?taxnode_id=202305695","ictv.global=202305695")</f>
        <v>ictv.global=202305695</v>
      </c>
    </row>
    <row r="14207" spans="1:21">
      <c r="A14207">
        <v>14206</v>
      </c>
      <c r="L14207" s="30" t="s">
        <v>969</v>
      </c>
      <c r="M14207" s="30" t="s">
        <v>970</v>
      </c>
      <c r="N14207" s="30" t="s">
        <v>973</v>
      </c>
      <c r="P14207" s="30" t="s">
        <v>18805</v>
      </c>
      <c r="Q14207" t="s">
        <v>622</v>
      </c>
      <c r="R14207" t="s">
        <v>920</v>
      </c>
      <c r="S14207">
        <v>39</v>
      </c>
      <c r="T14207" s="29" t="str">
        <f t="shared" si="594"/>
        <v>2023.036P.Geminialphasatellitinae_rename.zip</v>
      </c>
      <c r="U14207" s="29" t="str">
        <f>HYPERLINK("https://ictv.global/taxonomy/taxondetails?taxnode_id=202305696","ictv.global=202305696")</f>
        <v>ictv.global=202305696</v>
      </c>
    </row>
    <row r="14208" spans="1:21">
      <c r="A14208">
        <v>14207</v>
      </c>
      <c r="L14208" s="30" t="s">
        <v>969</v>
      </c>
      <c r="M14208" s="30" t="s">
        <v>970</v>
      </c>
      <c r="N14208" s="30" t="s">
        <v>973</v>
      </c>
      <c r="P14208" s="30" t="s">
        <v>18806</v>
      </c>
      <c r="Q14208" t="s">
        <v>622</v>
      </c>
      <c r="R14208" t="s">
        <v>920</v>
      </c>
      <c r="S14208">
        <v>39</v>
      </c>
      <c r="T14208" s="29" t="str">
        <f t="shared" si="594"/>
        <v>2023.036P.Geminialphasatellitinae_rename.zip</v>
      </c>
      <c r="U14208" s="29" t="str">
        <f>HYPERLINK("https://ictv.global/taxonomy/taxondetails?taxnode_id=202305697","ictv.global=202305697")</f>
        <v>ictv.global=202305697</v>
      </c>
    </row>
    <row r="14209" spans="1:21">
      <c r="A14209">
        <v>14208</v>
      </c>
      <c r="L14209" s="30" t="s">
        <v>969</v>
      </c>
      <c r="M14209" s="30" t="s">
        <v>970</v>
      </c>
      <c r="N14209" s="30" t="s">
        <v>973</v>
      </c>
      <c r="P14209" s="30" t="s">
        <v>18807</v>
      </c>
      <c r="Q14209" t="s">
        <v>622</v>
      </c>
      <c r="R14209" t="s">
        <v>920</v>
      </c>
      <c r="S14209">
        <v>39</v>
      </c>
      <c r="T14209" s="29" t="str">
        <f t="shared" si="594"/>
        <v>2023.036P.Geminialphasatellitinae_rename.zip</v>
      </c>
      <c r="U14209" s="29" t="str">
        <f>HYPERLINK("https://ictv.global/taxonomy/taxondetails?taxnode_id=202305698","ictv.global=202305698")</f>
        <v>ictv.global=202305698</v>
      </c>
    </row>
    <row r="14210" spans="1:21">
      <c r="A14210">
        <v>14209</v>
      </c>
      <c r="L14210" s="30" t="s">
        <v>969</v>
      </c>
      <c r="M14210" s="30" t="s">
        <v>970</v>
      </c>
      <c r="N14210" s="30" t="s">
        <v>973</v>
      </c>
      <c r="P14210" s="30" t="s">
        <v>18808</v>
      </c>
      <c r="Q14210" t="s">
        <v>622</v>
      </c>
      <c r="R14210" t="s">
        <v>920</v>
      </c>
      <c r="S14210">
        <v>39</v>
      </c>
      <c r="T14210" s="29" t="str">
        <f t="shared" si="594"/>
        <v>2023.036P.Geminialphasatellitinae_rename.zip</v>
      </c>
      <c r="U14210" s="29" t="str">
        <f>HYPERLINK("https://ictv.global/taxonomy/taxondetails?taxnode_id=202305699","ictv.global=202305699")</f>
        <v>ictv.global=202305699</v>
      </c>
    </row>
    <row r="14211" spans="1:21">
      <c r="A14211">
        <v>14210</v>
      </c>
      <c r="L14211" s="30" t="s">
        <v>969</v>
      </c>
      <c r="M14211" s="30" t="s">
        <v>970</v>
      </c>
      <c r="N14211" s="30" t="s">
        <v>973</v>
      </c>
      <c r="P14211" s="30" t="s">
        <v>18809</v>
      </c>
      <c r="Q14211" t="s">
        <v>739</v>
      </c>
      <c r="R14211" t="s">
        <v>920</v>
      </c>
      <c r="S14211">
        <v>39</v>
      </c>
      <c r="T14211" s="29" t="str">
        <f t="shared" si="594"/>
        <v>2023.036P.Geminialphasatellitinae_rename.zip</v>
      </c>
      <c r="U14211" s="29" t="str">
        <f>HYPERLINK("https://ictv.global/taxonomy/taxondetails?taxnode_id=202307294","ictv.global=202307294")</f>
        <v>ictv.global=202307294</v>
      </c>
    </row>
    <row r="14212" spans="1:21">
      <c r="A14212">
        <v>14211</v>
      </c>
      <c r="L14212" s="30" t="s">
        <v>969</v>
      </c>
      <c r="M14212" s="30" t="s">
        <v>970</v>
      </c>
      <c r="N14212" s="30" t="s">
        <v>973</v>
      </c>
      <c r="P14212" s="30" t="s">
        <v>18810</v>
      </c>
      <c r="Q14212" t="s">
        <v>622</v>
      </c>
      <c r="R14212" t="s">
        <v>920</v>
      </c>
      <c r="S14212">
        <v>39</v>
      </c>
      <c r="T14212" s="29" t="str">
        <f t="shared" si="594"/>
        <v>2023.036P.Geminialphasatellitinae_rename.zip</v>
      </c>
      <c r="U14212" s="29" t="str">
        <f>HYPERLINK("https://ictv.global/taxonomy/taxondetails?taxnode_id=202305693","ictv.global=202305693")</f>
        <v>ictv.global=202305693</v>
      </c>
    </row>
    <row r="14213" spans="1:21">
      <c r="A14213">
        <v>14212</v>
      </c>
      <c r="L14213" s="30" t="s">
        <v>969</v>
      </c>
      <c r="M14213" s="30" t="s">
        <v>970</v>
      </c>
      <c r="N14213" s="30" t="s">
        <v>3857</v>
      </c>
      <c r="P14213" s="30" t="s">
        <v>18811</v>
      </c>
      <c r="Q14213" t="s">
        <v>739</v>
      </c>
      <c r="R14213" t="s">
        <v>920</v>
      </c>
      <c r="S14213">
        <v>39</v>
      </c>
      <c r="T14213" s="29" t="str">
        <f t="shared" si="594"/>
        <v>2023.036P.Geminialphasatellitinae_rename.zip</v>
      </c>
      <c r="U14213" s="29" t="str">
        <f>HYPERLINK("https://ictv.global/taxonomy/taxondetails?taxnode_id=202305708","ictv.global=202305708")</f>
        <v>ictv.global=202305708</v>
      </c>
    </row>
    <row r="14214" spans="1:21">
      <c r="A14214">
        <v>14213</v>
      </c>
      <c r="L14214" s="30" t="s">
        <v>969</v>
      </c>
      <c r="M14214" s="30" t="s">
        <v>970</v>
      </c>
      <c r="N14214" s="30" t="s">
        <v>974</v>
      </c>
      <c r="P14214" s="30" t="s">
        <v>18812</v>
      </c>
      <c r="Q14214" t="s">
        <v>622</v>
      </c>
      <c r="R14214" t="s">
        <v>920</v>
      </c>
      <c r="S14214">
        <v>39</v>
      </c>
      <c r="T14214" s="29" t="str">
        <f t="shared" si="594"/>
        <v>2023.036P.Geminialphasatellitinae_rename.zip</v>
      </c>
      <c r="U14214" s="29" t="str">
        <f>HYPERLINK("https://ictv.global/taxonomy/taxondetails?taxnode_id=202305704","ictv.global=202305704")</f>
        <v>ictv.global=202305704</v>
      </c>
    </row>
    <row r="14215" spans="1:21">
      <c r="A14215">
        <v>14214</v>
      </c>
      <c r="L14215" s="30" t="s">
        <v>969</v>
      </c>
      <c r="M14215" s="30" t="s">
        <v>970</v>
      </c>
      <c r="N14215" s="30" t="s">
        <v>974</v>
      </c>
      <c r="P14215" s="30" t="s">
        <v>18813</v>
      </c>
      <c r="Q14215" t="s">
        <v>622</v>
      </c>
      <c r="R14215" t="s">
        <v>920</v>
      </c>
      <c r="S14215">
        <v>39</v>
      </c>
      <c r="T14215" s="29" t="str">
        <f t="shared" si="594"/>
        <v>2023.036P.Geminialphasatellitinae_rename.zip</v>
      </c>
      <c r="U14215" s="29" t="str">
        <f>HYPERLINK("https://ictv.global/taxonomy/taxondetails?taxnode_id=202305705","ictv.global=202305705")</f>
        <v>ictv.global=202305705</v>
      </c>
    </row>
    <row r="14216" spans="1:21">
      <c r="A14216">
        <v>14215</v>
      </c>
      <c r="L14216" s="30" t="s">
        <v>969</v>
      </c>
      <c r="M14216" s="30" t="s">
        <v>970</v>
      </c>
      <c r="N14216" s="30" t="s">
        <v>974</v>
      </c>
      <c r="P14216" s="30" t="s">
        <v>18814</v>
      </c>
      <c r="Q14216" t="s">
        <v>622</v>
      </c>
      <c r="R14216" t="s">
        <v>920</v>
      </c>
      <c r="S14216">
        <v>39</v>
      </c>
      <c r="T14216" s="29" t="str">
        <f t="shared" si="594"/>
        <v>2023.036P.Geminialphasatellitinae_rename.zip</v>
      </c>
      <c r="U14216" s="29" t="str">
        <f>HYPERLINK("https://ictv.global/taxonomy/taxondetails?taxnode_id=202305702","ictv.global=202305702")</f>
        <v>ictv.global=202305702</v>
      </c>
    </row>
    <row r="14217" spans="1:21">
      <c r="A14217">
        <v>14216</v>
      </c>
      <c r="L14217" s="30" t="s">
        <v>969</v>
      </c>
      <c r="M14217" s="30" t="s">
        <v>970</v>
      </c>
      <c r="N14217" s="30" t="s">
        <v>974</v>
      </c>
      <c r="P14217" s="30" t="s">
        <v>18815</v>
      </c>
      <c r="Q14217" t="s">
        <v>739</v>
      </c>
      <c r="R14217" t="s">
        <v>920</v>
      </c>
      <c r="S14217">
        <v>39</v>
      </c>
      <c r="T14217" s="29" t="str">
        <f t="shared" si="594"/>
        <v>2023.036P.Geminialphasatellitinae_rename.zip</v>
      </c>
      <c r="U14217" s="29" t="str">
        <f>HYPERLINK("https://ictv.global/taxonomy/taxondetails?taxnode_id=202307293","ictv.global=202307293")</f>
        <v>ictv.global=202307293</v>
      </c>
    </row>
    <row r="14218" spans="1:21">
      <c r="A14218">
        <v>14217</v>
      </c>
      <c r="L14218" s="30" t="s">
        <v>969</v>
      </c>
      <c r="M14218" s="30" t="s">
        <v>970</v>
      </c>
      <c r="N14218" s="30" t="s">
        <v>974</v>
      </c>
      <c r="P14218" s="30" t="s">
        <v>18816</v>
      </c>
      <c r="Q14218" t="s">
        <v>739</v>
      </c>
      <c r="R14218" t="s">
        <v>920</v>
      </c>
      <c r="S14218">
        <v>39</v>
      </c>
      <c r="T14218" s="29" t="str">
        <f t="shared" si="594"/>
        <v>2023.036P.Geminialphasatellitinae_rename.zip</v>
      </c>
      <c r="U14218" s="29" t="str">
        <f>HYPERLINK("https://ictv.global/taxonomy/taxondetails?taxnode_id=202308796","ictv.global=202308796")</f>
        <v>ictv.global=202308796</v>
      </c>
    </row>
    <row r="14219" spans="1:21">
      <c r="A14219">
        <v>14218</v>
      </c>
      <c r="L14219" s="30" t="s">
        <v>969</v>
      </c>
      <c r="M14219" s="30" t="s">
        <v>970</v>
      </c>
      <c r="N14219" s="30" t="s">
        <v>974</v>
      </c>
      <c r="P14219" s="30" t="s">
        <v>18817</v>
      </c>
      <c r="Q14219" t="s">
        <v>622</v>
      </c>
      <c r="R14219" t="s">
        <v>920</v>
      </c>
      <c r="S14219">
        <v>39</v>
      </c>
      <c r="T14219" s="29" t="str">
        <f t="shared" si="594"/>
        <v>2023.036P.Geminialphasatellitinae_rename.zip</v>
      </c>
      <c r="U14219" s="29" t="str">
        <f>HYPERLINK("https://ictv.global/taxonomy/taxondetails?taxnode_id=202305701","ictv.global=202305701")</f>
        <v>ictv.global=202305701</v>
      </c>
    </row>
    <row r="14220" spans="1:21">
      <c r="A14220">
        <v>14219</v>
      </c>
      <c r="L14220" s="30" t="s">
        <v>969</v>
      </c>
      <c r="M14220" s="30" t="s">
        <v>970</v>
      </c>
      <c r="N14220" s="30" t="s">
        <v>974</v>
      </c>
      <c r="P14220" s="30" t="s">
        <v>18818</v>
      </c>
      <c r="Q14220" t="s">
        <v>622</v>
      </c>
      <c r="R14220" t="s">
        <v>920</v>
      </c>
      <c r="S14220">
        <v>39</v>
      </c>
      <c r="T14220" s="29" t="str">
        <f t="shared" si="594"/>
        <v>2023.036P.Geminialphasatellitinae_rename.zip</v>
      </c>
      <c r="U14220" s="29" t="str">
        <f>HYPERLINK("https://ictv.global/taxonomy/taxondetails?taxnode_id=202305703","ictv.global=202305703")</f>
        <v>ictv.global=202305703</v>
      </c>
    </row>
    <row r="14221" spans="1:21">
      <c r="A14221">
        <v>14220</v>
      </c>
      <c r="L14221" s="30" t="s">
        <v>969</v>
      </c>
      <c r="M14221" s="30" t="s">
        <v>970</v>
      </c>
      <c r="N14221" s="30" t="s">
        <v>974</v>
      </c>
      <c r="P14221" s="30" t="s">
        <v>18819</v>
      </c>
      <c r="Q14221" t="s">
        <v>622</v>
      </c>
      <c r="R14221" t="s">
        <v>920</v>
      </c>
      <c r="S14221">
        <v>39</v>
      </c>
      <c r="T14221" s="29" t="str">
        <f t="shared" si="594"/>
        <v>2023.036P.Geminialphasatellitinae_rename.zip</v>
      </c>
      <c r="U14221" s="29" t="str">
        <f>HYPERLINK("https://ictv.global/taxonomy/taxondetails?taxnode_id=202305706","ictv.global=202305706")</f>
        <v>ictv.global=202305706</v>
      </c>
    </row>
    <row r="14222" spans="1:21">
      <c r="A14222">
        <v>14221</v>
      </c>
      <c r="L14222" s="30" t="s">
        <v>969</v>
      </c>
      <c r="M14222" s="30" t="s">
        <v>970</v>
      </c>
      <c r="N14222" s="30" t="s">
        <v>3858</v>
      </c>
      <c r="P14222" s="30" t="s">
        <v>18820</v>
      </c>
      <c r="Q14222" t="s">
        <v>739</v>
      </c>
      <c r="R14222" t="s">
        <v>920</v>
      </c>
      <c r="S14222">
        <v>39</v>
      </c>
      <c r="T14222" s="29" t="str">
        <f t="shared" si="594"/>
        <v>2023.036P.Geminialphasatellitinae_rename.zip</v>
      </c>
      <c r="U14222" s="29" t="str">
        <f>HYPERLINK("https://ictv.global/taxonomy/taxondetails?taxnode_id=202308802","ictv.global=202308802")</f>
        <v>ictv.global=202308802</v>
      </c>
    </row>
    <row r="14223" spans="1:21">
      <c r="A14223">
        <v>14222</v>
      </c>
      <c r="L14223" s="30" t="s">
        <v>969</v>
      </c>
      <c r="M14223" s="30" t="s">
        <v>970</v>
      </c>
      <c r="N14223" s="30" t="s">
        <v>3859</v>
      </c>
      <c r="P14223" s="30" t="s">
        <v>18821</v>
      </c>
      <c r="Q14223" t="s">
        <v>739</v>
      </c>
      <c r="R14223" t="s">
        <v>920</v>
      </c>
      <c r="S14223">
        <v>39</v>
      </c>
      <c r="T14223" s="29" t="str">
        <f t="shared" si="594"/>
        <v>2023.036P.Geminialphasatellitinae_rename.zip</v>
      </c>
      <c r="U14223" s="29" t="str">
        <f>HYPERLINK("https://ictv.global/taxonomy/taxondetails?taxnode_id=202305709","ictv.global=202305709")</f>
        <v>ictv.global=202305709</v>
      </c>
    </row>
    <row r="14224" spans="1:21">
      <c r="A14224">
        <v>14223</v>
      </c>
      <c r="L14224" s="30" t="s">
        <v>969</v>
      </c>
      <c r="M14224" s="30" t="s">
        <v>975</v>
      </c>
      <c r="N14224" s="30" t="s">
        <v>977</v>
      </c>
      <c r="P14224" s="30" t="s">
        <v>18822</v>
      </c>
      <c r="Q14224" t="s">
        <v>622</v>
      </c>
      <c r="R14224" t="s">
        <v>920</v>
      </c>
      <c r="S14224">
        <v>39</v>
      </c>
      <c r="T14224" s="29" t="str">
        <f t="shared" ref="T14224:T14253" si="595">HYPERLINK("https://ictv.global/ictv/proposals/2023.006P.Alphasatellitidae_rename_30sp.zip","2023.006P.Alphasatellitidae_rename_30sp.zip")</f>
        <v>2023.006P.Alphasatellitidae_rename_30sp.zip</v>
      </c>
      <c r="U14224" s="29" t="str">
        <f>HYPERLINK("https://ictv.global/taxonomy/taxondetails?taxnode_id=202305716","ictv.global=202305716")</f>
        <v>ictv.global=202305716</v>
      </c>
    </row>
    <row r="14225" spans="1:21">
      <c r="A14225">
        <v>14224</v>
      </c>
      <c r="L14225" s="30" t="s">
        <v>969</v>
      </c>
      <c r="M14225" s="30" t="s">
        <v>975</v>
      </c>
      <c r="N14225" s="30" t="s">
        <v>977</v>
      </c>
      <c r="P14225" s="30" t="s">
        <v>18823</v>
      </c>
      <c r="Q14225" t="s">
        <v>622</v>
      </c>
      <c r="R14225" t="s">
        <v>920</v>
      </c>
      <c r="S14225">
        <v>39</v>
      </c>
      <c r="T14225" s="29" t="str">
        <f t="shared" si="595"/>
        <v>2023.006P.Alphasatellitidae_rename_30sp.zip</v>
      </c>
      <c r="U14225" s="29" t="str">
        <f>HYPERLINK("https://ictv.global/taxonomy/taxondetails?taxnode_id=202305717","ictv.global=202305717")</f>
        <v>ictv.global=202305717</v>
      </c>
    </row>
    <row r="14226" spans="1:21">
      <c r="A14226">
        <v>14225</v>
      </c>
      <c r="L14226" s="30" t="s">
        <v>969</v>
      </c>
      <c r="M14226" s="30" t="s">
        <v>975</v>
      </c>
      <c r="N14226" s="30" t="s">
        <v>977</v>
      </c>
      <c r="P14226" s="30" t="s">
        <v>18824</v>
      </c>
      <c r="Q14226" t="s">
        <v>622</v>
      </c>
      <c r="R14226" t="s">
        <v>920</v>
      </c>
      <c r="S14226">
        <v>39</v>
      </c>
      <c r="T14226" s="29" t="str">
        <f t="shared" si="595"/>
        <v>2023.006P.Alphasatellitidae_rename_30sp.zip</v>
      </c>
      <c r="U14226" s="29" t="str">
        <f>HYPERLINK("https://ictv.global/taxonomy/taxondetails?taxnode_id=202305719","ictv.global=202305719")</f>
        <v>ictv.global=202305719</v>
      </c>
    </row>
    <row r="14227" spans="1:21">
      <c r="A14227">
        <v>14226</v>
      </c>
      <c r="L14227" s="30" t="s">
        <v>969</v>
      </c>
      <c r="M14227" s="30" t="s">
        <v>975</v>
      </c>
      <c r="N14227" s="30" t="s">
        <v>977</v>
      </c>
      <c r="P14227" s="30" t="s">
        <v>18825</v>
      </c>
      <c r="Q14227" t="s">
        <v>622</v>
      </c>
      <c r="R14227" t="s">
        <v>920</v>
      </c>
      <c r="S14227">
        <v>39</v>
      </c>
      <c r="T14227" s="29" t="str">
        <f t="shared" si="595"/>
        <v>2023.006P.Alphasatellitidae_rename_30sp.zip</v>
      </c>
      <c r="U14227" s="29" t="str">
        <f>HYPERLINK("https://ictv.global/taxonomy/taxondetails?taxnode_id=202305718","ictv.global=202305718")</f>
        <v>ictv.global=202305718</v>
      </c>
    </row>
    <row r="14228" spans="1:21">
      <c r="A14228">
        <v>14227</v>
      </c>
      <c r="L14228" s="30" t="s">
        <v>969</v>
      </c>
      <c r="M14228" s="30" t="s">
        <v>975</v>
      </c>
      <c r="N14228" s="30" t="s">
        <v>977</v>
      </c>
      <c r="P14228" s="30" t="s">
        <v>18826</v>
      </c>
      <c r="Q14228" t="s">
        <v>622</v>
      </c>
      <c r="R14228" t="s">
        <v>920</v>
      </c>
      <c r="S14228">
        <v>39</v>
      </c>
      <c r="T14228" s="29" t="str">
        <f t="shared" si="595"/>
        <v>2023.006P.Alphasatellitidae_rename_30sp.zip</v>
      </c>
      <c r="U14228" s="29" t="str">
        <f>HYPERLINK("https://ictv.global/taxonomy/taxondetails?taxnode_id=202305720","ictv.global=202305720")</f>
        <v>ictv.global=202305720</v>
      </c>
    </row>
    <row r="14229" spans="1:21">
      <c r="A14229">
        <v>14228</v>
      </c>
      <c r="L14229" s="30" t="s">
        <v>969</v>
      </c>
      <c r="M14229" s="30" t="s">
        <v>975</v>
      </c>
      <c r="N14229" s="30" t="s">
        <v>978</v>
      </c>
      <c r="P14229" s="30" t="s">
        <v>18827</v>
      </c>
      <c r="Q14229" t="s">
        <v>622</v>
      </c>
      <c r="R14229" t="s">
        <v>920</v>
      </c>
      <c r="S14229">
        <v>39</v>
      </c>
      <c r="T14229" s="29" t="str">
        <f t="shared" si="595"/>
        <v>2023.006P.Alphasatellitidae_rename_30sp.zip</v>
      </c>
      <c r="U14229" s="29" t="str">
        <f>HYPERLINK("https://ictv.global/taxonomy/taxondetails?taxnode_id=202305722","ictv.global=202305722")</f>
        <v>ictv.global=202305722</v>
      </c>
    </row>
    <row r="14230" spans="1:21">
      <c r="A14230">
        <v>14229</v>
      </c>
      <c r="L14230" s="30" t="s">
        <v>969</v>
      </c>
      <c r="M14230" s="30" t="s">
        <v>975</v>
      </c>
      <c r="N14230" s="30" t="s">
        <v>979</v>
      </c>
      <c r="P14230" s="30" t="s">
        <v>18828</v>
      </c>
      <c r="Q14230" t="s">
        <v>622</v>
      </c>
      <c r="R14230" t="s">
        <v>920</v>
      </c>
      <c r="S14230">
        <v>39</v>
      </c>
      <c r="T14230" s="29" t="str">
        <f t="shared" si="595"/>
        <v>2023.006P.Alphasatellitidae_rename_30sp.zip</v>
      </c>
      <c r="U14230" s="29" t="str">
        <f>HYPERLINK("https://ictv.global/taxonomy/taxondetails?taxnode_id=202305724","ictv.global=202305724")</f>
        <v>ictv.global=202305724</v>
      </c>
    </row>
    <row r="14231" spans="1:21">
      <c r="A14231">
        <v>14230</v>
      </c>
      <c r="L14231" s="30" t="s">
        <v>969</v>
      </c>
      <c r="M14231" s="30" t="s">
        <v>975</v>
      </c>
      <c r="N14231" s="30" t="s">
        <v>980</v>
      </c>
      <c r="P14231" s="30" t="s">
        <v>18829</v>
      </c>
      <c r="Q14231" t="s">
        <v>622</v>
      </c>
      <c r="R14231" t="s">
        <v>920</v>
      </c>
      <c r="S14231">
        <v>39</v>
      </c>
      <c r="T14231" s="29" t="str">
        <f t="shared" si="595"/>
        <v>2023.006P.Alphasatellitidae_rename_30sp.zip</v>
      </c>
      <c r="U14231" s="29" t="str">
        <f>HYPERLINK("https://ictv.global/taxonomy/taxondetails?taxnode_id=202305727","ictv.global=202305727")</f>
        <v>ictv.global=202305727</v>
      </c>
    </row>
    <row r="14232" spans="1:21">
      <c r="A14232">
        <v>14231</v>
      </c>
      <c r="L14232" s="30" t="s">
        <v>969</v>
      </c>
      <c r="M14232" s="30" t="s">
        <v>975</v>
      </c>
      <c r="N14232" s="30" t="s">
        <v>980</v>
      </c>
      <c r="P14232" s="30" t="s">
        <v>18830</v>
      </c>
      <c r="Q14232" t="s">
        <v>622</v>
      </c>
      <c r="R14232" t="s">
        <v>920</v>
      </c>
      <c r="S14232">
        <v>39</v>
      </c>
      <c r="T14232" s="29" t="str">
        <f t="shared" si="595"/>
        <v>2023.006P.Alphasatellitidae_rename_30sp.zip</v>
      </c>
      <c r="U14232" s="29" t="str">
        <f>HYPERLINK("https://ictv.global/taxonomy/taxondetails?taxnode_id=202305728","ictv.global=202305728")</f>
        <v>ictv.global=202305728</v>
      </c>
    </row>
    <row r="14233" spans="1:21">
      <c r="A14233">
        <v>14232</v>
      </c>
      <c r="L14233" s="30" t="s">
        <v>969</v>
      </c>
      <c r="M14233" s="30" t="s">
        <v>975</v>
      </c>
      <c r="N14233" s="30" t="s">
        <v>980</v>
      </c>
      <c r="P14233" s="30" t="s">
        <v>18831</v>
      </c>
      <c r="Q14233" t="s">
        <v>622</v>
      </c>
      <c r="R14233" t="s">
        <v>920</v>
      </c>
      <c r="S14233">
        <v>39</v>
      </c>
      <c r="T14233" s="29" t="str">
        <f t="shared" si="595"/>
        <v>2023.006P.Alphasatellitidae_rename_30sp.zip</v>
      </c>
      <c r="U14233" s="29" t="str">
        <f>HYPERLINK("https://ictv.global/taxonomy/taxondetails?taxnode_id=202305726","ictv.global=202305726")</f>
        <v>ictv.global=202305726</v>
      </c>
    </row>
    <row r="14234" spans="1:21">
      <c r="A14234">
        <v>14233</v>
      </c>
      <c r="L14234" s="30" t="s">
        <v>969</v>
      </c>
      <c r="M14234" s="30" t="s">
        <v>975</v>
      </c>
      <c r="N14234" s="30" t="s">
        <v>980</v>
      </c>
      <c r="P14234" s="30" t="s">
        <v>18832</v>
      </c>
      <c r="Q14234" t="s">
        <v>739</v>
      </c>
      <c r="R14234" t="s">
        <v>920</v>
      </c>
      <c r="S14234">
        <v>39</v>
      </c>
      <c r="T14234" s="29" t="str">
        <f t="shared" si="595"/>
        <v>2023.006P.Alphasatellitidae_rename_30sp.zip</v>
      </c>
      <c r="U14234" s="29" t="str">
        <f>HYPERLINK("https://ictv.global/taxonomy/taxondetails?taxnode_id=202308793","ictv.global=202308793")</f>
        <v>ictv.global=202308793</v>
      </c>
    </row>
    <row r="14235" spans="1:21">
      <c r="A14235">
        <v>14234</v>
      </c>
      <c r="L14235" s="30" t="s">
        <v>969</v>
      </c>
      <c r="M14235" s="30" t="s">
        <v>975</v>
      </c>
      <c r="N14235" s="30" t="s">
        <v>980</v>
      </c>
      <c r="P14235" s="30" t="s">
        <v>18833</v>
      </c>
      <c r="Q14235" t="s">
        <v>739</v>
      </c>
      <c r="R14235" t="s">
        <v>920</v>
      </c>
      <c r="S14235">
        <v>39</v>
      </c>
      <c r="T14235" s="29" t="str">
        <f t="shared" si="595"/>
        <v>2023.006P.Alphasatellitidae_rename_30sp.zip</v>
      </c>
      <c r="U14235" s="29" t="str">
        <f>HYPERLINK("https://ictv.global/taxonomy/taxondetails?taxnode_id=202308795","ictv.global=202308795")</f>
        <v>ictv.global=202308795</v>
      </c>
    </row>
    <row r="14236" spans="1:21">
      <c r="A14236">
        <v>14235</v>
      </c>
      <c r="L14236" s="30" t="s">
        <v>969</v>
      </c>
      <c r="M14236" s="30" t="s">
        <v>975</v>
      </c>
      <c r="N14236" s="30" t="s">
        <v>980</v>
      </c>
      <c r="P14236" s="30" t="s">
        <v>18834</v>
      </c>
      <c r="Q14236" t="s">
        <v>739</v>
      </c>
      <c r="R14236" t="s">
        <v>920</v>
      </c>
      <c r="S14236">
        <v>39</v>
      </c>
      <c r="T14236" s="29" t="str">
        <f t="shared" si="595"/>
        <v>2023.006P.Alphasatellitidae_rename_30sp.zip</v>
      </c>
      <c r="U14236" s="29" t="str">
        <f>HYPERLINK("https://ictv.global/taxonomy/taxondetails?taxnode_id=202308794","ictv.global=202308794")</f>
        <v>ictv.global=202308794</v>
      </c>
    </row>
    <row r="14237" spans="1:21">
      <c r="A14237">
        <v>14236</v>
      </c>
      <c r="L14237" s="30" t="s">
        <v>969</v>
      </c>
      <c r="M14237" s="30" t="s">
        <v>975</v>
      </c>
      <c r="N14237" s="30" t="s">
        <v>980</v>
      </c>
      <c r="P14237" s="30" t="s">
        <v>18835</v>
      </c>
      <c r="Q14237" t="s">
        <v>622</v>
      </c>
      <c r="R14237" t="s">
        <v>920</v>
      </c>
      <c r="S14237">
        <v>39</v>
      </c>
      <c r="T14237" s="29" t="str">
        <f t="shared" si="595"/>
        <v>2023.006P.Alphasatellitidae_rename_30sp.zip</v>
      </c>
      <c r="U14237" s="29" t="str">
        <f>HYPERLINK("https://ictv.global/taxonomy/taxondetails?taxnode_id=202305729","ictv.global=202305729")</f>
        <v>ictv.global=202305729</v>
      </c>
    </row>
    <row r="14238" spans="1:21">
      <c r="A14238">
        <v>14237</v>
      </c>
      <c r="L14238" s="30" t="s">
        <v>969</v>
      </c>
      <c r="M14238" s="30" t="s">
        <v>975</v>
      </c>
      <c r="N14238" s="30" t="s">
        <v>981</v>
      </c>
      <c r="P14238" s="30" t="s">
        <v>18836</v>
      </c>
      <c r="Q14238" t="s">
        <v>622</v>
      </c>
      <c r="R14238" t="s">
        <v>920</v>
      </c>
      <c r="S14238">
        <v>39</v>
      </c>
      <c r="T14238" s="29" t="str">
        <f t="shared" si="595"/>
        <v>2023.006P.Alphasatellitidae_rename_30sp.zip</v>
      </c>
      <c r="U14238" s="29" t="str">
        <f>HYPERLINK("https://ictv.global/taxonomy/taxondetails?taxnode_id=202305731","ictv.global=202305731")</f>
        <v>ictv.global=202305731</v>
      </c>
    </row>
    <row r="14239" spans="1:21">
      <c r="A14239">
        <v>14238</v>
      </c>
      <c r="L14239" s="30" t="s">
        <v>969</v>
      </c>
      <c r="M14239" s="30" t="s">
        <v>975</v>
      </c>
      <c r="N14239" s="30" t="s">
        <v>981</v>
      </c>
      <c r="P14239" s="30" t="s">
        <v>18837</v>
      </c>
      <c r="Q14239" t="s">
        <v>739</v>
      </c>
      <c r="R14239" t="s">
        <v>920</v>
      </c>
      <c r="S14239">
        <v>39</v>
      </c>
      <c r="T14239" s="29" t="str">
        <f t="shared" si="595"/>
        <v>2023.006P.Alphasatellitidae_rename_30sp.zip</v>
      </c>
      <c r="U14239" s="29" t="str">
        <f>HYPERLINK("https://ictv.global/taxonomy/taxondetails?taxnode_id=202307296","ictv.global=202307296")</f>
        <v>ictv.global=202307296</v>
      </c>
    </row>
    <row r="14240" spans="1:21">
      <c r="A14240">
        <v>14239</v>
      </c>
      <c r="L14240" s="30" t="s">
        <v>969</v>
      </c>
      <c r="M14240" s="30" t="s">
        <v>975</v>
      </c>
      <c r="N14240" s="30" t="s">
        <v>982</v>
      </c>
      <c r="P14240" s="30" t="s">
        <v>18838</v>
      </c>
      <c r="Q14240" t="s">
        <v>622</v>
      </c>
      <c r="R14240" t="s">
        <v>920</v>
      </c>
      <c r="S14240">
        <v>39</v>
      </c>
      <c r="T14240" s="29" t="str">
        <f t="shared" si="595"/>
        <v>2023.006P.Alphasatellitidae_rename_30sp.zip</v>
      </c>
      <c r="U14240" s="29" t="str">
        <f>HYPERLINK("https://ictv.global/taxonomy/taxondetails?taxnode_id=202305734","ictv.global=202305734")</f>
        <v>ictv.global=202305734</v>
      </c>
    </row>
    <row r="14241" spans="1:21">
      <c r="A14241">
        <v>14240</v>
      </c>
      <c r="L14241" s="30" t="s">
        <v>969</v>
      </c>
      <c r="M14241" s="30" t="s">
        <v>975</v>
      </c>
      <c r="N14241" s="30" t="s">
        <v>982</v>
      </c>
      <c r="P14241" s="30" t="s">
        <v>18839</v>
      </c>
      <c r="Q14241" t="s">
        <v>622</v>
      </c>
      <c r="R14241" t="s">
        <v>920</v>
      </c>
      <c r="S14241">
        <v>39</v>
      </c>
      <c r="T14241" s="29" t="str">
        <f t="shared" si="595"/>
        <v>2023.006P.Alphasatellitidae_rename_30sp.zip</v>
      </c>
      <c r="U14241" s="29" t="str">
        <f>HYPERLINK("https://ictv.global/taxonomy/taxondetails?taxnode_id=202305733","ictv.global=202305733")</f>
        <v>ictv.global=202305733</v>
      </c>
    </row>
    <row r="14242" spans="1:21">
      <c r="A14242">
        <v>14241</v>
      </c>
      <c r="L14242" s="30" t="s">
        <v>969</v>
      </c>
      <c r="M14242" s="30" t="s">
        <v>975</v>
      </c>
      <c r="N14242" s="30" t="s">
        <v>982</v>
      </c>
      <c r="P14242" s="30" t="s">
        <v>18840</v>
      </c>
      <c r="Q14242" t="s">
        <v>622</v>
      </c>
      <c r="R14242" t="s">
        <v>920</v>
      </c>
      <c r="S14242">
        <v>39</v>
      </c>
      <c r="T14242" s="29" t="str">
        <f t="shared" si="595"/>
        <v>2023.006P.Alphasatellitidae_rename_30sp.zip</v>
      </c>
      <c r="U14242" s="29" t="str">
        <f>HYPERLINK("https://ictv.global/taxonomy/taxondetails?taxnode_id=202305735","ictv.global=202305735")</f>
        <v>ictv.global=202305735</v>
      </c>
    </row>
    <row r="14243" spans="1:21">
      <c r="A14243">
        <v>14242</v>
      </c>
      <c r="L14243" s="30" t="s">
        <v>969</v>
      </c>
      <c r="M14243" s="30" t="s">
        <v>975</v>
      </c>
      <c r="N14243" s="30" t="s">
        <v>982</v>
      </c>
      <c r="P14243" s="30" t="s">
        <v>18841</v>
      </c>
      <c r="Q14243" t="s">
        <v>739</v>
      </c>
      <c r="R14243" t="s">
        <v>920</v>
      </c>
      <c r="S14243">
        <v>39</v>
      </c>
      <c r="T14243" s="29" t="str">
        <f t="shared" si="595"/>
        <v>2023.006P.Alphasatellitidae_rename_30sp.zip</v>
      </c>
      <c r="U14243" s="29" t="str">
        <f>HYPERLINK("https://ictv.global/taxonomy/taxondetails?taxnode_id=202307295","ictv.global=202307295")</f>
        <v>ictv.global=202307295</v>
      </c>
    </row>
    <row r="14244" spans="1:21">
      <c r="A14244">
        <v>14243</v>
      </c>
      <c r="L14244" s="30" t="s">
        <v>969</v>
      </c>
      <c r="M14244" s="30" t="s">
        <v>3860</v>
      </c>
      <c r="N14244" s="30" t="s">
        <v>976</v>
      </c>
      <c r="P14244" s="30" t="s">
        <v>18842</v>
      </c>
      <c r="Q14244" t="s">
        <v>739</v>
      </c>
      <c r="R14244" t="s">
        <v>920</v>
      </c>
      <c r="S14244">
        <v>39</v>
      </c>
      <c r="T14244" s="29" t="str">
        <f t="shared" si="595"/>
        <v>2023.006P.Alphasatellitidae_rename_30sp.zip</v>
      </c>
      <c r="U14244" s="29" t="str">
        <f>HYPERLINK("https://ictv.global/taxonomy/taxondetails?taxnode_id=202305712","ictv.global=202305712")</f>
        <v>ictv.global=202305712</v>
      </c>
    </row>
    <row r="14245" spans="1:21">
      <c r="A14245">
        <v>14244</v>
      </c>
      <c r="L14245" s="30" t="s">
        <v>969</v>
      </c>
      <c r="M14245" s="30" t="s">
        <v>3860</v>
      </c>
      <c r="N14245" s="30" t="s">
        <v>3861</v>
      </c>
      <c r="P14245" s="30" t="s">
        <v>18843</v>
      </c>
      <c r="Q14245" t="s">
        <v>739</v>
      </c>
      <c r="R14245" t="s">
        <v>920</v>
      </c>
      <c r="S14245">
        <v>39</v>
      </c>
      <c r="T14245" s="29" t="str">
        <f t="shared" si="595"/>
        <v>2023.006P.Alphasatellitidae_rename_30sp.zip</v>
      </c>
      <c r="U14245" s="29" t="str">
        <f>HYPERLINK("https://ictv.global/taxonomy/taxondetails?taxnode_id=202305738","ictv.global=202305738")</f>
        <v>ictv.global=202305738</v>
      </c>
    </row>
    <row r="14246" spans="1:21">
      <c r="A14246">
        <v>14245</v>
      </c>
      <c r="L14246" s="30" t="s">
        <v>969</v>
      </c>
      <c r="M14246" s="30" t="s">
        <v>3860</v>
      </c>
      <c r="N14246" s="30" t="s">
        <v>3861</v>
      </c>
      <c r="P14246" s="30" t="s">
        <v>18844</v>
      </c>
      <c r="Q14246" t="s">
        <v>739</v>
      </c>
      <c r="R14246" t="s">
        <v>920</v>
      </c>
      <c r="S14246">
        <v>39</v>
      </c>
      <c r="T14246" s="29" t="str">
        <f t="shared" si="595"/>
        <v>2023.006P.Alphasatellitidae_rename_30sp.zip</v>
      </c>
      <c r="U14246" s="29" t="str">
        <f>HYPERLINK("https://ictv.global/taxonomy/taxondetails?taxnode_id=202308765","ictv.global=202308765")</f>
        <v>ictv.global=202308765</v>
      </c>
    </row>
    <row r="14247" spans="1:21">
      <c r="A14247">
        <v>14246</v>
      </c>
      <c r="L14247" s="30" t="s">
        <v>969</v>
      </c>
      <c r="M14247" s="30" t="s">
        <v>3860</v>
      </c>
      <c r="N14247" s="30" t="s">
        <v>3861</v>
      </c>
      <c r="P14247" s="30" t="s">
        <v>18845</v>
      </c>
      <c r="Q14247" t="s">
        <v>739</v>
      </c>
      <c r="R14247" t="s">
        <v>920</v>
      </c>
      <c r="S14247">
        <v>39</v>
      </c>
      <c r="T14247" s="29" t="str">
        <f t="shared" si="595"/>
        <v>2023.006P.Alphasatellitidae_rename_30sp.zip</v>
      </c>
      <c r="U14247" s="29" t="str">
        <f>HYPERLINK("https://ictv.global/taxonomy/taxondetails?taxnode_id=202308763","ictv.global=202308763")</f>
        <v>ictv.global=202308763</v>
      </c>
    </row>
    <row r="14248" spans="1:21">
      <c r="A14248">
        <v>14247</v>
      </c>
      <c r="L14248" s="30" t="s">
        <v>969</v>
      </c>
      <c r="M14248" s="30" t="s">
        <v>3860</v>
      </c>
      <c r="N14248" s="30" t="s">
        <v>3861</v>
      </c>
      <c r="P14248" s="30" t="s">
        <v>18846</v>
      </c>
      <c r="Q14248" t="s">
        <v>739</v>
      </c>
      <c r="R14248" t="s">
        <v>920</v>
      </c>
      <c r="S14248">
        <v>39</v>
      </c>
      <c r="T14248" s="29" t="str">
        <f t="shared" si="595"/>
        <v>2023.006P.Alphasatellitidae_rename_30sp.zip</v>
      </c>
      <c r="U14248" s="29" t="str">
        <f>HYPERLINK("https://ictv.global/taxonomy/taxondetails?taxnode_id=202308764","ictv.global=202308764")</f>
        <v>ictv.global=202308764</v>
      </c>
    </row>
    <row r="14249" spans="1:21">
      <c r="A14249">
        <v>14248</v>
      </c>
      <c r="L14249" s="30" t="s">
        <v>969</v>
      </c>
      <c r="M14249" s="30" t="s">
        <v>3860</v>
      </c>
      <c r="N14249" s="30" t="s">
        <v>3862</v>
      </c>
      <c r="P14249" s="30" t="s">
        <v>18847</v>
      </c>
      <c r="Q14249" t="s">
        <v>739</v>
      </c>
      <c r="R14249" t="s">
        <v>920</v>
      </c>
      <c r="S14249">
        <v>39</v>
      </c>
      <c r="T14249" s="29" t="str">
        <f t="shared" si="595"/>
        <v>2023.006P.Alphasatellitidae_rename_30sp.zip</v>
      </c>
      <c r="U14249" s="29" t="str">
        <f>HYPERLINK("https://ictv.global/taxonomy/taxondetails?taxnode_id=202308767","ictv.global=202308767")</f>
        <v>ictv.global=202308767</v>
      </c>
    </row>
    <row r="14250" spans="1:21">
      <c r="A14250">
        <v>14249</v>
      </c>
      <c r="L14250" s="30" t="s">
        <v>969</v>
      </c>
      <c r="M14250" s="30" t="s">
        <v>3860</v>
      </c>
      <c r="N14250" s="30" t="s">
        <v>3863</v>
      </c>
      <c r="P14250" s="30" t="s">
        <v>18848</v>
      </c>
      <c r="Q14250" t="s">
        <v>739</v>
      </c>
      <c r="R14250" t="s">
        <v>920</v>
      </c>
      <c r="S14250">
        <v>39</v>
      </c>
      <c r="T14250" s="29" t="str">
        <f t="shared" si="595"/>
        <v>2023.006P.Alphasatellitidae_rename_30sp.zip</v>
      </c>
      <c r="U14250" s="29" t="str">
        <f>HYPERLINK("https://ictv.global/taxonomy/taxondetails?taxnode_id=202308769","ictv.global=202308769")</f>
        <v>ictv.global=202308769</v>
      </c>
    </row>
    <row r="14251" spans="1:21">
      <c r="A14251">
        <v>14250</v>
      </c>
      <c r="L14251" s="30" t="s">
        <v>969</v>
      </c>
      <c r="M14251" s="30" t="s">
        <v>3860</v>
      </c>
      <c r="N14251" s="30" t="s">
        <v>3864</v>
      </c>
      <c r="P14251" s="30" t="s">
        <v>18849</v>
      </c>
      <c r="Q14251" t="s">
        <v>739</v>
      </c>
      <c r="R14251" t="s">
        <v>920</v>
      </c>
      <c r="S14251">
        <v>39</v>
      </c>
      <c r="T14251" s="29" t="str">
        <f t="shared" si="595"/>
        <v>2023.006P.Alphasatellitidae_rename_30sp.zip</v>
      </c>
      <c r="U14251" s="29" t="str">
        <f>HYPERLINK("https://ictv.global/taxonomy/taxondetails?taxnode_id=202305714","ictv.global=202305714")</f>
        <v>ictv.global=202305714</v>
      </c>
    </row>
    <row r="14252" spans="1:21">
      <c r="A14252">
        <v>14251</v>
      </c>
      <c r="L14252" s="30" t="s">
        <v>969</v>
      </c>
      <c r="M14252" s="30" t="s">
        <v>3860</v>
      </c>
      <c r="N14252" s="30" t="s">
        <v>3864</v>
      </c>
      <c r="P14252" s="30" t="s">
        <v>18850</v>
      </c>
      <c r="Q14252" t="s">
        <v>739</v>
      </c>
      <c r="R14252" t="s">
        <v>920</v>
      </c>
      <c r="S14252">
        <v>39</v>
      </c>
      <c r="T14252" s="29" t="str">
        <f t="shared" si="595"/>
        <v>2023.006P.Alphasatellitidae_rename_30sp.zip</v>
      </c>
      <c r="U14252" s="29" t="str">
        <f>HYPERLINK("https://ictv.global/taxonomy/taxondetails?taxnode_id=202305713","ictv.global=202305713")</f>
        <v>ictv.global=202305713</v>
      </c>
    </row>
    <row r="14253" spans="1:21">
      <c r="A14253">
        <v>14252</v>
      </c>
      <c r="L14253" s="30" t="s">
        <v>969</v>
      </c>
      <c r="M14253" s="30" t="s">
        <v>3860</v>
      </c>
      <c r="N14253" s="30" t="s">
        <v>3864</v>
      </c>
      <c r="P14253" s="30" t="s">
        <v>18851</v>
      </c>
      <c r="Q14253" t="s">
        <v>739</v>
      </c>
      <c r="R14253" t="s">
        <v>920</v>
      </c>
      <c r="S14253">
        <v>39</v>
      </c>
      <c r="T14253" s="29" t="str">
        <f t="shared" si="595"/>
        <v>2023.006P.Alphasatellitidae_rename_30sp.zip</v>
      </c>
      <c r="U14253" s="29" t="str">
        <f>HYPERLINK("https://ictv.global/taxonomy/taxondetails?taxnode_id=202305711","ictv.global=202305711")</f>
        <v>ictv.global=202305711</v>
      </c>
    </row>
    <row r="14254" spans="1:21">
      <c r="A14254">
        <v>14253</v>
      </c>
      <c r="L14254" s="30" t="s">
        <v>273</v>
      </c>
      <c r="N14254" s="30" t="s">
        <v>3865</v>
      </c>
      <c r="P14254" s="30" t="s">
        <v>18852</v>
      </c>
      <c r="Q14254" t="s">
        <v>619</v>
      </c>
      <c r="R14254" t="s">
        <v>920</v>
      </c>
      <c r="S14254">
        <v>39</v>
      </c>
      <c r="T14254" s="29" t="str">
        <f>HYPERLINK("https://ictv.global/ictv/proposals/2023.001A.Archaeal_binomials.zip","2023.001A.Archaeal_binomials.zip")</f>
        <v>2023.001A.Archaeal_binomials.zip</v>
      </c>
      <c r="U14254" s="29" t="str">
        <f>HYPERLINK("https://ictv.global/taxonomy/taxondetails?taxnode_id=202309184","ictv.global=202309184")</f>
        <v>ictv.global=202309184</v>
      </c>
    </row>
    <row r="14255" spans="1:21">
      <c r="A14255">
        <v>14254</v>
      </c>
      <c r="L14255" s="30" t="s">
        <v>273</v>
      </c>
      <c r="N14255" s="30" t="s">
        <v>3865</v>
      </c>
      <c r="P14255" s="30" t="s">
        <v>18853</v>
      </c>
      <c r="Q14255" t="s">
        <v>619</v>
      </c>
      <c r="R14255" t="s">
        <v>920</v>
      </c>
      <c r="S14255">
        <v>39</v>
      </c>
      <c r="T14255" s="29" t="str">
        <f>HYPERLINK("https://ictv.global/ictv/proposals/2023.001A.Archaeal_binomials.zip","2023.001A.Archaeal_binomials.zip")</f>
        <v>2023.001A.Archaeal_binomials.zip</v>
      </c>
      <c r="U14255" s="29" t="str">
        <f>HYPERLINK("https://ictv.global/taxonomy/taxondetails?taxnode_id=202302484","ictv.global=202302484")</f>
        <v>ictv.global=202302484</v>
      </c>
    </row>
    <row r="14256" spans="1:21">
      <c r="A14256">
        <v>14255</v>
      </c>
      <c r="L14256" s="30" t="s">
        <v>273</v>
      </c>
      <c r="N14256" s="30" t="s">
        <v>3865</v>
      </c>
      <c r="P14256" s="30" t="s">
        <v>18854</v>
      </c>
      <c r="Q14256" t="s">
        <v>619</v>
      </c>
      <c r="R14256" t="s">
        <v>920</v>
      </c>
      <c r="S14256">
        <v>39</v>
      </c>
      <c r="T14256" s="29" t="str">
        <f>HYPERLINK("https://ictv.global/ictv/proposals/2023.001A.Archaeal_binomials.zip","2023.001A.Archaeal_binomials.zip")</f>
        <v>2023.001A.Archaeal_binomials.zip</v>
      </c>
      <c r="U14256" s="29" t="str">
        <f>HYPERLINK("https://ictv.global/taxonomy/taxondetails?taxnode_id=202309183","ictv.global=202309183")</f>
        <v>ictv.global=202309183</v>
      </c>
    </row>
    <row r="14257" spans="1:21">
      <c r="A14257">
        <v>14256</v>
      </c>
      <c r="L14257" s="30" t="s">
        <v>135</v>
      </c>
      <c r="N14257" s="30" t="s">
        <v>3866</v>
      </c>
      <c r="P14257" s="30" t="s">
        <v>11466</v>
      </c>
      <c r="Q14257" t="s">
        <v>731</v>
      </c>
      <c r="R14257" t="s">
        <v>920</v>
      </c>
      <c r="S14257">
        <v>38</v>
      </c>
      <c r="T14257" s="29" t="str">
        <f t="shared" ref="T14257:T14288" si="596">HYPERLINK("https://ictv.global/ictv/proposals/2022.008D.Aelloviridae_146rensp.zip","2022.008D.Aelloviridae_146rensp.zip")</f>
        <v>2022.008D.Aelloviridae_146rensp.zip</v>
      </c>
      <c r="U14257" s="29" t="str">
        <f>HYPERLINK("https://ictv.global/taxonomy/taxondetails?taxnode_id=202309394","ictv.global=202309394")</f>
        <v>ictv.global=202309394</v>
      </c>
    </row>
    <row r="14258" spans="1:21">
      <c r="A14258">
        <v>14257</v>
      </c>
      <c r="L14258" s="30" t="s">
        <v>135</v>
      </c>
      <c r="N14258" s="30" t="s">
        <v>3866</v>
      </c>
      <c r="P14258" s="30" t="s">
        <v>11467</v>
      </c>
      <c r="Q14258" t="s">
        <v>731</v>
      </c>
      <c r="R14258" t="s">
        <v>920</v>
      </c>
      <c r="S14258">
        <v>38</v>
      </c>
      <c r="T14258" s="29" t="str">
        <f t="shared" si="596"/>
        <v>2022.008D.Aelloviridae_146rensp.zip</v>
      </c>
      <c r="U14258" s="29" t="str">
        <f>HYPERLINK("https://ictv.global/taxonomy/taxondetails?taxnode_id=202309393","ictv.global=202309393")</f>
        <v>ictv.global=202309393</v>
      </c>
    </row>
    <row r="14259" spans="1:21">
      <c r="A14259">
        <v>14258</v>
      </c>
      <c r="L14259" s="30" t="s">
        <v>135</v>
      </c>
      <c r="N14259" s="30" t="s">
        <v>136</v>
      </c>
      <c r="P14259" s="30" t="s">
        <v>11468</v>
      </c>
      <c r="Q14259" t="s">
        <v>731</v>
      </c>
      <c r="R14259" t="s">
        <v>920</v>
      </c>
      <c r="S14259">
        <v>38</v>
      </c>
      <c r="T14259" s="29" t="str">
        <f t="shared" si="596"/>
        <v>2022.008D.Aelloviridae_146rensp.zip</v>
      </c>
      <c r="U14259" s="29" t="str">
        <f>HYPERLINK("https://ictv.global/taxonomy/taxondetails?taxnode_id=202309395","ictv.global=202309395")</f>
        <v>ictv.global=202309395</v>
      </c>
    </row>
    <row r="14260" spans="1:21">
      <c r="A14260">
        <v>14259</v>
      </c>
      <c r="L14260" s="30" t="s">
        <v>135</v>
      </c>
      <c r="N14260" s="30" t="s">
        <v>136</v>
      </c>
      <c r="P14260" s="30" t="s">
        <v>11469</v>
      </c>
      <c r="Q14260" t="s">
        <v>731</v>
      </c>
      <c r="R14260" t="s">
        <v>920</v>
      </c>
      <c r="S14260">
        <v>38</v>
      </c>
      <c r="T14260" s="29" t="str">
        <f t="shared" si="596"/>
        <v>2022.008D.Aelloviridae_146rensp.zip</v>
      </c>
      <c r="U14260" s="29" t="str">
        <f>HYPERLINK("https://ictv.global/taxonomy/taxondetails?taxnode_id=202309396","ictv.global=202309396")</f>
        <v>ictv.global=202309396</v>
      </c>
    </row>
    <row r="14261" spans="1:21">
      <c r="A14261">
        <v>14260</v>
      </c>
      <c r="L14261" s="30" t="s">
        <v>135</v>
      </c>
      <c r="N14261" s="30" t="s">
        <v>136</v>
      </c>
      <c r="P14261" s="30" t="s">
        <v>11470</v>
      </c>
      <c r="Q14261" t="s">
        <v>731</v>
      </c>
      <c r="R14261" t="s">
        <v>920</v>
      </c>
      <c r="S14261">
        <v>38</v>
      </c>
      <c r="T14261" s="29" t="str">
        <f t="shared" si="596"/>
        <v>2022.008D.Aelloviridae_146rensp.zip</v>
      </c>
      <c r="U14261" s="29" t="str">
        <f>HYPERLINK("https://ictv.global/taxonomy/taxondetails?taxnode_id=202309397","ictv.global=202309397")</f>
        <v>ictv.global=202309397</v>
      </c>
    </row>
    <row r="14262" spans="1:21">
      <c r="A14262">
        <v>14261</v>
      </c>
      <c r="L14262" s="30" t="s">
        <v>135</v>
      </c>
      <c r="N14262" s="30" t="s">
        <v>136</v>
      </c>
      <c r="P14262" s="30" t="s">
        <v>11471</v>
      </c>
      <c r="Q14262" t="s">
        <v>731</v>
      </c>
      <c r="R14262" t="s">
        <v>920</v>
      </c>
      <c r="S14262">
        <v>38</v>
      </c>
      <c r="T14262" s="29" t="str">
        <f t="shared" si="596"/>
        <v>2022.008D.Aelloviridae_146rensp.zip</v>
      </c>
      <c r="U14262" s="29" t="str">
        <f>HYPERLINK("https://ictv.global/taxonomy/taxondetails?taxnode_id=202309398","ictv.global=202309398")</f>
        <v>ictv.global=202309398</v>
      </c>
    </row>
    <row r="14263" spans="1:21">
      <c r="A14263">
        <v>14262</v>
      </c>
      <c r="L14263" s="30" t="s">
        <v>135</v>
      </c>
      <c r="N14263" s="30" t="s">
        <v>136</v>
      </c>
      <c r="P14263" s="30" t="s">
        <v>11472</v>
      </c>
      <c r="Q14263" t="s">
        <v>731</v>
      </c>
      <c r="R14263" t="s">
        <v>920</v>
      </c>
      <c r="S14263">
        <v>38</v>
      </c>
      <c r="T14263" s="29" t="str">
        <f t="shared" si="596"/>
        <v>2022.008D.Aelloviridae_146rensp.zip</v>
      </c>
      <c r="U14263" s="29" t="str">
        <f>HYPERLINK("https://ictv.global/taxonomy/taxondetails?taxnode_id=202302513","ictv.global=202302513")</f>
        <v>ictv.global=202302513</v>
      </c>
    </row>
    <row r="14264" spans="1:21">
      <c r="A14264">
        <v>14263</v>
      </c>
      <c r="L14264" s="30" t="s">
        <v>135</v>
      </c>
      <c r="N14264" s="30" t="s">
        <v>136</v>
      </c>
      <c r="P14264" s="30" t="s">
        <v>11473</v>
      </c>
      <c r="Q14264" t="s">
        <v>731</v>
      </c>
      <c r="R14264" t="s">
        <v>920</v>
      </c>
      <c r="S14264">
        <v>38</v>
      </c>
      <c r="T14264" s="29" t="str">
        <f t="shared" si="596"/>
        <v>2022.008D.Aelloviridae_146rensp.zip</v>
      </c>
      <c r="U14264" s="29" t="str">
        <f>HYPERLINK("https://ictv.global/taxonomy/taxondetails?taxnode_id=202302512","ictv.global=202302512")</f>
        <v>ictv.global=202302512</v>
      </c>
    </row>
    <row r="14265" spans="1:21">
      <c r="A14265">
        <v>14264</v>
      </c>
      <c r="L14265" s="30" t="s">
        <v>135</v>
      </c>
      <c r="N14265" s="30" t="s">
        <v>136</v>
      </c>
      <c r="P14265" s="30" t="s">
        <v>11474</v>
      </c>
      <c r="Q14265" t="s">
        <v>731</v>
      </c>
      <c r="R14265" t="s">
        <v>920</v>
      </c>
      <c r="S14265">
        <v>38</v>
      </c>
      <c r="T14265" s="29" t="str">
        <f t="shared" si="596"/>
        <v>2022.008D.Aelloviridae_146rensp.zip</v>
      </c>
      <c r="U14265" s="29" t="str">
        <f>HYPERLINK("https://ictv.global/taxonomy/taxondetails?taxnode_id=202302488","ictv.global=202302488")</f>
        <v>ictv.global=202302488</v>
      </c>
    </row>
    <row r="14266" spans="1:21">
      <c r="A14266">
        <v>14265</v>
      </c>
      <c r="L14266" s="30" t="s">
        <v>135</v>
      </c>
      <c r="N14266" s="30" t="s">
        <v>136</v>
      </c>
      <c r="P14266" s="30" t="s">
        <v>11475</v>
      </c>
      <c r="Q14266" t="s">
        <v>731</v>
      </c>
      <c r="R14266" t="s">
        <v>920</v>
      </c>
      <c r="S14266">
        <v>38</v>
      </c>
      <c r="T14266" s="29" t="str">
        <f t="shared" si="596"/>
        <v>2022.008D.Aelloviridae_146rensp.zip</v>
      </c>
      <c r="U14266" s="29" t="str">
        <f>HYPERLINK("https://ictv.global/taxonomy/taxondetails?taxnode_id=202302489","ictv.global=202302489")</f>
        <v>ictv.global=202302489</v>
      </c>
    </row>
    <row r="14267" spans="1:21">
      <c r="A14267">
        <v>14266</v>
      </c>
      <c r="L14267" s="30" t="s">
        <v>135</v>
      </c>
      <c r="N14267" s="30" t="s">
        <v>136</v>
      </c>
      <c r="P14267" s="30" t="s">
        <v>11476</v>
      </c>
      <c r="Q14267" t="s">
        <v>731</v>
      </c>
      <c r="R14267" t="s">
        <v>920</v>
      </c>
      <c r="S14267">
        <v>38</v>
      </c>
      <c r="T14267" s="29" t="str">
        <f t="shared" si="596"/>
        <v>2022.008D.Aelloviridae_146rensp.zip</v>
      </c>
      <c r="U14267" s="29" t="str">
        <f>HYPERLINK("https://ictv.global/taxonomy/taxondetails?taxnode_id=202302490","ictv.global=202302490")</f>
        <v>ictv.global=202302490</v>
      </c>
    </row>
    <row r="14268" spans="1:21">
      <c r="A14268">
        <v>14267</v>
      </c>
      <c r="L14268" s="30" t="s">
        <v>135</v>
      </c>
      <c r="N14268" s="30" t="s">
        <v>136</v>
      </c>
      <c r="P14268" s="30" t="s">
        <v>11477</v>
      </c>
      <c r="Q14268" t="s">
        <v>731</v>
      </c>
      <c r="R14268" t="s">
        <v>920</v>
      </c>
      <c r="S14268">
        <v>38</v>
      </c>
      <c r="T14268" s="29" t="str">
        <f t="shared" si="596"/>
        <v>2022.008D.Aelloviridae_146rensp.zip</v>
      </c>
      <c r="U14268" s="29" t="str">
        <f>HYPERLINK("https://ictv.global/taxonomy/taxondetails?taxnode_id=202302491","ictv.global=202302491")</f>
        <v>ictv.global=202302491</v>
      </c>
    </row>
    <row r="14269" spans="1:21">
      <c r="A14269">
        <v>14268</v>
      </c>
      <c r="L14269" s="30" t="s">
        <v>135</v>
      </c>
      <c r="N14269" s="30" t="s">
        <v>136</v>
      </c>
      <c r="P14269" s="30" t="s">
        <v>11478</v>
      </c>
      <c r="Q14269" t="s">
        <v>731</v>
      </c>
      <c r="R14269" t="s">
        <v>920</v>
      </c>
      <c r="S14269">
        <v>38</v>
      </c>
      <c r="T14269" s="29" t="str">
        <f t="shared" si="596"/>
        <v>2022.008D.Aelloviridae_146rensp.zip</v>
      </c>
      <c r="U14269" s="29" t="str">
        <f>HYPERLINK("https://ictv.global/taxonomy/taxondetails?taxnode_id=202302492","ictv.global=202302492")</f>
        <v>ictv.global=202302492</v>
      </c>
    </row>
    <row r="14270" spans="1:21">
      <c r="A14270">
        <v>14269</v>
      </c>
      <c r="L14270" s="30" t="s">
        <v>135</v>
      </c>
      <c r="N14270" s="30" t="s">
        <v>136</v>
      </c>
      <c r="P14270" s="30" t="s">
        <v>11479</v>
      </c>
      <c r="Q14270" t="s">
        <v>731</v>
      </c>
      <c r="R14270" t="s">
        <v>920</v>
      </c>
      <c r="S14270">
        <v>38</v>
      </c>
      <c r="T14270" s="29" t="str">
        <f t="shared" si="596"/>
        <v>2022.008D.Aelloviridae_146rensp.zip</v>
      </c>
      <c r="U14270" s="29" t="str">
        <f>HYPERLINK("https://ictv.global/taxonomy/taxondetails?taxnode_id=202302493","ictv.global=202302493")</f>
        <v>ictv.global=202302493</v>
      </c>
    </row>
    <row r="14271" spans="1:21">
      <c r="A14271">
        <v>14270</v>
      </c>
      <c r="L14271" s="30" t="s">
        <v>135</v>
      </c>
      <c r="N14271" s="30" t="s">
        <v>136</v>
      </c>
      <c r="P14271" s="30" t="s">
        <v>11480</v>
      </c>
      <c r="Q14271" t="s">
        <v>731</v>
      </c>
      <c r="R14271" t="s">
        <v>920</v>
      </c>
      <c r="S14271">
        <v>38</v>
      </c>
      <c r="T14271" s="29" t="str">
        <f t="shared" si="596"/>
        <v>2022.008D.Aelloviridae_146rensp.zip</v>
      </c>
      <c r="U14271" s="29" t="str">
        <f>HYPERLINK("https://ictv.global/taxonomy/taxondetails?taxnode_id=202302494","ictv.global=202302494")</f>
        <v>ictv.global=202302494</v>
      </c>
    </row>
    <row r="14272" spans="1:21">
      <c r="A14272">
        <v>14271</v>
      </c>
      <c r="L14272" s="30" t="s">
        <v>135</v>
      </c>
      <c r="N14272" s="30" t="s">
        <v>136</v>
      </c>
      <c r="P14272" s="30" t="s">
        <v>11481</v>
      </c>
      <c r="Q14272" t="s">
        <v>731</v>
      </c>
      <c r="R14272" t="s">
        <v>920</v>
      </c>
      <c r="S14272">
        <v>38</v>
      </c>
      <c r="T14272" s="29" t="str">
        <f t="shared" si="596"/>
        <v>2022.008D.Aelloviridae_146rensp.zip</v>
      </c>
      <c r="U14272" s="29" t="str">
        <f>HYPERLINK("https://ictv.global/taxonomy/taxondetails?taxnode_id=202302496","ictv.global=202302496")</f>
        <v>ictv.global=202302496</v>
      </c>
    </row>
    <row r="14273" spans="1:21">
      <c r="A14273">
        <v>14272</v>
      </c>
      <c r="L14273" s="30" t="s">
        <v>135</v>
      </c>
      <c r="N14273" s="30" t="s">
        <v>136</v>
      </c>
      <c r="P14273" s="30" t="s">
        <v>11482</v>
      </c>
      <c r="Q14273" t="s">
        <v>731</v>
      </c>
      <c r="R14273" t="s">
        <v>920</v>
      </c>
      <c r="S14273">
        <v>38</v>
      </c>
      <c r="T14273" s="29" t="str">
        <f t="shared" si="596"/>
        <v>2022.008D.Aelloviridae_146rensp.zip</v>
      </c>
      <c r="U14273" s="29" t="str">
        <f>HYPERLINK("https://ictv.global/taxonomy/taxondetails?taxnode_id=202302497","ictv.global=202302497")</f>
        <v>ictv.global=202302497</v>
      </c>
    </row>
    <row r="14274" spans="1:21">
      <c r="A14274">
        <v>14273</v>
      </c>
      <c r="L14274" s="30" t="s">
        <v>135</v>
      </c>
      <c r="N14274" s="30" t="s">
        <v>136</v>
      </c>
      <c r="P14274" s="30" t="s">
        <v>11483</v>
      </c>
      <c r="Q14274" t="s">
        <v>731</v>
      </c>
      <c r="R14274" t="s">
        <v>920</v>
      </c>
      <c r="S14274">
        <v>38</v>
      </c>
      <c r="T14274" s="29" t="str">
        <f t="shared" si="596"/>
        <v>2022.008D.Aelloviridae_146rensp.zip</v>
      </c>
      <c r="U14274" s="29" t="str">
        <f>HYPERLINK("https://ictv.global/taxonomy/taxondetails?taxnode_id=202302500","ictv.global=202302500")</f>
        <v>ictv.global=202302500</v>
      </c>
    </row>
    <row r="14275" spans="1:21">
      <c r="A14275">
        <v>14274</v>
      </c>
      <c r="L14275" s="30" t="s">
        <v>135</v>
      </c>
      <c r="N14275" s="30" t="s">
        <v>136</v>
      </c>
      <c r="P14275" s="30" t="s">
        <v>11484</v>
      </c>
      <c r="Q14275" t="s">
        <v>731</v>
      </c>
      <c r="R14275" t="s">
        <v>920</v>
      </c>
      <c r="S14275">
        <v>38</v>
      </c>
      <c r="T14275" s="29" t="str">
        <f t="shared" si="596"/>
        <v>2022.008D.Aelloviridae_146rensp.zip</v>
      </c>
      <c r="U14275" s="29" t="str">
        <f>HYPERLINK("https://ictv.global/taxonomy/taxondetails?taxnode_id=202302501","ictv.global=202302501")</f>
        <v>ictv.global=202302501</v>
      </c>
    </row>
    <row r="14276" spans="1:21">
      <c r="A14276">
        <v>14275</v>
      </c>
      <c r="L14276" s="30" t="s">
        <v>135</v>
      </c>
      <c r="N14276" s="30" t="s">
        <v>136</v>
      </c>
      <c r="P14276" s="30" t="s">
        <v>11485</v>
      </c>
      <c r="Q14276" t="s">
        <v>731</v>
      </c>
      <c r="R14276" t="s">
        <v>920</v>
      </c>
      <c r="S14276">
        <v>38</v>
      </c>
      <c r="T14276" s="29" t="str">
        <f t="shared" si="596"/>
        <v>2022.008D.Aelloviridae_146rensp.zip</v>
      </c>
      <c r="U14276" s="29" t="str">
        <f>HYPERLINK("https://ictv.global/taxonomy/taxondetails?taxnode_id=202302502","ictv.global=202302502")</f>
        <v>ictv.global=202302502</v>
      </c>
    </row>
    <row r="14277" spans="1:21">
      <c r="A14277">
        <v>14276</v>
      </c>
      <c r="L14277" s="30" t="s">
        <v>135</v>
      </c>
      <c r="N14277" s="30" t="s">
        <v>136</v>
      </c>
      <c r="P14277" s="30" t="s">
        <v>11486</v>
      </c>
      <c r="Q14277" t="s">
        <v>731</v>
      </c>
      <c r="R14277" t="s">
        <v>920</v>
      </c>
      <c r="S14277">
        <v>38</v>
      </c>
      <c r="T14277" s="29" t="str">
        <f t="shared" si="596"/>
        <v>2022.008D.Aelloviridae_146rensp.zip</v>
      </c>
      <c r="U14277" s="29" t="str">
        <f>HYPERLINK("https://ictv.global/taxonomy/taxondetails?taxnode_id=202302504","ictv.global=202302504")</f>
        <v>ictv.global=202302504</v>
      </c>
    </row>
    <row r="14278" spans="1:21">
      <c r="A14278">
        <v>14277</v>
      </c>
      <c r="L14278" s="30" t="s">
        <v>135</v>
      </c>
      <c r="N14278" s="30" t="s">
        <v>136</v>
      </c>
      <c r="P14278" s="30" t="s">
        <v>11487</v>
      </c>
      <c r="Q14278" t="s">
        <v>731</v>
      </c>
      <c r="R14278" t="s">
        <v>920</v>
      </c>
      <c r="S14278">
        <v>38</v>
      </c>
      <c r="T14278" s="29" t="str">
        <f t="shared" si="596"/>
        <v>2022.008D.Aelloviridae_146rensp.zip</v>
      </c>
      <c r="U14278" s="29" t="str">
        <f>HYPERLINK("https://ictv.global/taxonomy/taxondetails?taxnode_id=202302505","ictv.global=202302505")</f>
        <v>ictv.global=202302505</v>
      </c>
    </row>
    <row r="14279" spans="1:21">
      <c r="A14279">
        <v>14278</v>
      </c>
      <c r="L14279" s="30" t="s">
        <v>135</v>
      </c>
      <c r="N14279" s="30" t="s">
        <v>136</v>
      </c>
      <c r="P14279" s="30" t="s">
        <v>11488</v>
      </c>
      <c r="Q14279" t="s">
        <v>731</v>
      </c>
      <c r="R14279" t="s">
        <v>920</v>
      </c>
      <c r="S14279">
        <v>38</v>
      </c>
      <c r="T14279" s="29" t="str">
        <f t="shared" si="596"/>
        <v>2022.008D.Aelloviridae_146rensp.zip</v>
      </c>
      <c r="U14279" s="29" t="str">
        <f>HYPERLINK("https://ictv.global/taxonomy/taxondetails?taxnode_id=202302506","ictv.global=202302506")</f>
        <v>ictv.global=202302506</v>
      </c>
    </row>
    <row r="14280" spans="1:21">
      <c r="A14280">
        <v>14279</v>
      </c>
      <c r="L14280" s="30" t="s">
        <v>135</v>
      </c>
      <c r="N14280" s="30" t="s">
        <v>136</v>
      </c>
      <c r="P14280" s="30" t="s">
        <v>11489</v>
      </c>
      <c r="Q14280" t="s">
        <v>731</v>
      </c>
      <c r="R14280" t="s">
        <v>920</v>
      </c>
      <c r="S14280">
        <v>38</v>
      </c>
      <c r="T14280" s="29" t="str">
        <f t="shared" si="596"/>
        <v>2022.008D.Aelloviridae_146rensp.zip</v>
      </c>
      <c r="U14280" s="29" t="str">
        <f>HYPERLINK("https://ictv.global/taxonomy/taxondetails?taxnode_id=202302507","ictv.global=202302507")</f>
        <v>ictv.global=202302507</v>
      </c>
    </row>
    <row r="14281" spans="1:21">
      <c r="A14281">
        <v>14280</v>
      </c>
      <c r="L14281" s="30" t="s">
        <v>135</v>
      </c>
      <c r="N14281" s="30" t="s">
        <v>136</v>
      </c>
      <c r="P14281" s="30" t="s">
        <v>11490</v>
      </c>
      <c r="Q14281" t="s">
        <v>731</v>
      </c>
      <c r="R14281" t="s">
        <v>920</v>
      </c>
      <c r="S14281">
        <v>38</v>
      </c>
      <c r="T14281" s="29" t="str">
        <f t="shared" si="596"/>
        <v>2022.008D.Aelloviridae_146rensp.zip</v>
      </c>
      <c r="U14281" s="29" t="str">
        <f>HYPERLINK("https://ictv.global/taxonomy/taxondetails?taxnode_id=202302508","ictv.global=202302508")</f>
        <v>ictv.global=202302508</v>
      </c>
    </row>
    <row r="14282" spans="1:21">
      <c r="A14282">
        <v>14281</v>
      </c>
      <c r="L14282" s="30" t="s">
        <v>135</v>
      </c>
      <c r="N14282" s="30" t="s">
        <v>136</v>
      </c>
      <c r="P14282" s="30" t="s">
        <v>11491</v>
      </c>
      <c r="Q14282" t="s">
        <v>731</v>
      </c>
      <c r="R14282" t="s">
        <v>920</v>
      </c>
      <c r="S14282">
        <v>38</v>
      </c>
      <c r="T14282" s="29" t="str">
        <f t="shared" si="596"/>
        <v>2022.008D.Aelloviridae_146rensp.zip</v>
      </c>
      <c r="U14282" s="29" t="str">
        <f>HYPERLINK("https://ictv.global/taxonomy/taxondetails?taxnode_id=202302511","ictv.global=202302511")</f>
        <v>ictv.global=202302511</v>
      </c>
    </row>
    <row r="14283" spans="1:21">
      <c r="A14283">
        <v>14282</v>
      </c>
      <c r="L14283" s="30" t="s">
        <v>135</v>
      </c>
      <c r="N14283" s="30" t="s">
        <v>136</v>
      </c>
      <c r="P14283" s="30" t="s">
        <v>11492</v>
      </c>
      <c r="Q14283" t="s">
        <v>731</v>
      </c>
      <c r="R14283" t="s">
        <v>920</v>
      </c>
      <c r="S14283">
        <v>38</v>
      </c>
      <c r="T14283" s="29" t="str">
        <f t="shared" si="596"/>
        <v>2022.008D.Aelloviridae_146rensp.zip</v>
      </c>
      <c r="U14283" s="29" t="str">
        <f>HYPERLINK("https://ictv.global/taxonomy/taxondetails?taxnode_id=202302516","ictv.global=202302516")</f>
        <v>ictv.global=202302516</v>
      </c>
    </row>
    <row r="14284" spans="1:21">
      <c r="A14284">
        <v>14283</v>
      </c>
      <c r="L14284" s="30" t="s">
        <v>135</v>
      </c>
      <c r="N14284" s="30" t="s">
        <v>136</v>
      </c>
      <c r="P14284" s="30" t="s">
        <v>11493</v>
      </c>
      <c r="Q14284" t="s">
        <v>731</v>
      </c>
      <c r="R14284" t="s">
        <v>920</v>
      </c>
      <c r="S14284">
        <v>38</v>
      </c>
      <c r="T14284" s="29" t="str">
        <f t="shared" si="596"/>
        <v>2022.008D.Aelloviridae_146rensp.zip</v>
      </c>
      <c r="U14284" s="29" t="str">
        <f>HYPERLINK("https://ictv.global/taxonomy/taxondetails?taxnode_id=202309399","ictv.global=202309399")</f>
        <v>ictv.global=202309399</v>
      </c>
    </row>
    <row r="14285" spans="1:21">
      <c r="A14285">
        <v>14284</v>
      </c>
      <c r="L14285" s="30" t="s">
        <v>135</v>
      </c>
      <c r="N14285" s="30" t="s">
        <v>137</v>
      </c>
      <c r="P14285" s="30" t="s">
        <v>11494</v>
      </c>
      <c r="Q14285" t="s">
        <v>731</v>
      </c>
      <c r="R14285" t="s">
        <v>920</v>
      </c>
      <c r="S14285">
        <v>38</v>
      </c>
      <c r="T14285" s="29" t="str">
        <f t="shared" si="596"/>
        <v>2022.008D.Aelloviridae_146rensp.zip</v>
      </c>
      <c r="U14285" s="29" t="str">
        <f>HYPERLINK("https://ictv.global/taxonomy/taxondetails?taxnode_id=202302518","ictv.global=202302518")</f>
        <v>ictv.global=202302518</v>
      </c>
    </row>
    <row r="14286" spans="1:21">
      <c r="A14286">
        <v>14285</v>
      </c>
      <c r="L14286" s="30" t="s">
        <v>135</v>
      </c>
      <c r="N14286" s="30" t="s">
        <v>137</v>
      </c>
      <c r="P14286" s="30" t="s">
        <v>11495</v>
      </c>
      <c r="Q14286" t="s">
        <v>731</v>
      </c>
      <c r="R14286" t="s">
        <v>920</v>
      </c>
      <c r="S14286">
        <v>38</v>
      </c>
      <c r="T14286" s="29" t="str">
        <f t="shared" si="596"/>
        <v>2022.008D.Aelloviridae_146rensp.zip</v>
      </c>
      <c r="U14286" s="29" t="str">
        <f>HYPERLINK("https://ictv.global/taxonomy/taxondetails?taxnode_id=202302519","ictv.global=202302519")</f>
        <v>ictv.global=202302519</v>
      </c>
    </row>
    <row r="14287" spans="1:21">
      <c r="A14287">
        <v>14286</v>
      </c>
      <c r="L14287" s="30" t="s">
        <v>135</v>
      </c>
      <c r="N14287" s="30" t="s">
        <v>137</v>
      </c>
      <c r="P14287" s="30" t="s">
        <v>11496</v>
      </c>
      <c r="Q14287" t="s">
        <v>731</v>
      </c>
      <c r="R14287" t="s">
        <v>920</v>
      </c>
      <c r="S14287">
        <v>38</v>
      </c>
      <c r="T14287" s="29" t="str">
        <f t="shared" si="596"/>
        <v>2022.008D.Aelloviridae_146rensp.zip</v>
      </c>
      <c r="U14287" s="29" t="str">
        <f>HYPERLINK("https://ictv.global/taxonomy/taxondetails?taxnode_id=202302520","ictv.global=202302520")</f>
        <v>ictv.global=202302520</v>
      </c>
    </row>
    <row r="14288" spans="1:21">
      <c r="A14288">
        <v>14287</v>
      </c>
      <c r="L14288" s="30" t="s">
        <v>135</v>
      </c>
      <c r="N14288" s="30" t="s">
        <v>137</v>
      </c>
      <c r="P14288" s="30" t="s">
        <v>11497</v>
      </c>
      <c r="Q14288" t="s">
        <v>731</v>
      </c>
      <c r="R14288" t="s">
        <v>920</v>
      </c>
      <c r="S14288">
        <v>38</v>
      </c>
      <c r="T14288" s="29" t="str">
        <f t="shared" si="596"/>
        <v>2022.008D.Aelloviridae_146rensp.zip</v>
      </c>
      <c r="U14288" s="29" t="str">
        <f>HYPERLINK("https://ictv.global/taxonomy/taxondetails?taxnode_id=202302521","ictv.global=202302521")</f>
        <v>ictv.global=202302521</v>
      </c>
    </row>
    <row r="14289" spans="1:21">
      <c r="A14289">
        <v>14288</v>
      </c>
      <c r="L14289" s="30" t="s">
        <v>135</v>
      </c>
      <c r="N14289" s="30" t="s">
        <v>137</v>
      </c>
      <c r="P14289" s="30" t="s">
        <v>11498</v>
      </c>
      <c r="Q14289" t="s">
        <v>731</v>
      </c>
      <c r="R14289" t="s">
        <v>920</v>
      </c>
      <c r="S14289">
        <v>38</v>
      </c>
      <c r="T14289" s="29" t="str">
        <f t="shared" ref="T14289:T14320" si="597">HYPERLINK("https://ictv.global/ictv/proposals/2022.008D.Aelloviridae_146rensp.zip","2022.008D.Aelloviridae_146rensp.zip")</f>
        <v>2022.008D.Aelloviridae_146rensp.zip</v>
      </c>
      <c r="U14289" s="29" t="str">
        <f>HYPERLINK("https://ictv.global/taxonomy/taxondetails?taxnode_id=202302522","ictv.global=202302522")</f>
        <v>ictv.global=202302522</v>
      </c>
    </row>
    <row r="14290" spans="1:21">
      <c r="A14290">
        <v>14289</v>
      </c>
      <c r="L14290" s="30" t="s">
        <v>135</v>
      </c>
      <c r="N14290" s="30" t="s">
        <v>137</v>
      </c>
      <c r="P14290" s="30" t="s">
        <v>11499</v>
      </c>
      <c r="Q14290" t="s">
        <v>731</v>
      </c>
      <c r="R14290" t="s">
        <v>920</v>
      </c>
      <c r="S14290">
        <v>38</v>
      </c>
      <c r="T14290" s="29" t="str">
        <f t="shared" si="597"/>
        <v>2022.008D.Aelloviridae_146rensp.zip</v>
      </c>
      <c r="U14290" s="29" t="str">
        <f>HYPERLINK("https://ictv.global/taxonomy/taxondetails?taxnode_id=202302523","ictv.global=202302523")</f>
        <v>ictv.global=202302523</v>
      </c>
    </row>
    <row r="14291" spans="1:21">
      <c r="A14291">
        <v>14290</v>
      </c>
      <c r="L14291" s="30" t="s">
        <v>135</v>
      </c>
      <c r="N14291" s="30" t="s">
        <v>137</v>
      </c>
      <c r="P14291" s="30" t="s">
        <v>11500</v>
      </c>
      <c r="Q14291" t="s">
        <v>731</v>
      </c>
      <c r="R14291" t="s">
        <v>920</v>
      </c>
      <c r="S14291">
        <v>38</v>
      </c>
      <c r="T14291" s="29" t="str">
        <f t="shared" si="597"/>
        <v>2022.008D.Aelloviridae_146rensp.zip</v>
      </c>
      <c r="U14291" s="29" t="str">
        <f>HYPERLINK("https://ictv.global/taxonomy/taxondetails?taxnode_id=202302524","ictv.global=202302524")</f>
        <v>ictv.global=202302524</v>
      </c>
    </row>
    <row r="14292" spans="1:21">
      <c r="A14292">
        <v>14291</v>
      </c>
      <c r="L14292" s="30" t="s">
        <v>135</v>
      </c>
      <c r="N14292" s="30" t="s">
        <v>137</v>
      </c>
      <c r="P14292" s="30" t="s">
        <v>11501</v>
      </c>
      <c r="Q14292" t="s">
        <v>731</v>
      </c>
      <c r="R14292" t="s">
        <v>920</v>
      </c>
      <c r="S14292">
        <v>38</v>
      </c>
      <c r="T14292" s="29" t="str">
        <f t="shared" si="597"/>
        <v>2022.008D.Aelloviridae_146rensp.zip</v>
      </c>
      <c r="U14292" s="29" t="str">
        <f>HYPERLINK("https://ictv.global/taxonomy/taxondetails?taxnode_id=202302525","ictv.global=202302525")</f>
        <v>ictv.global=202302525</v>
      </c>
    </row>
    <row r="14293" spans="1:21">
      <c r="A14293">
        <v>14292</v>
      </c>
      <c r="L14293" s="30" t="s">
        <v>135</v>
      </c>
      <c r="N14293" s="30" t="s">
        <v>137</v>
      </c>
      <c r="P14293" s="30" t="s">
        <v>11502</v>
      </c>
      <c r="Q14293" t="s">
        <v>731</v>
      </c>
      <c r="R14293" t="s">
        <v>920</v>
      </c>
      <c r="S14293">
        <v>38</v>
      </c>
      <c r="T14293" s="29" t="str">
        <f t="shared" si="597"/>
        <v>2022.008D.Aelloviridae_146rensp.zip</v>
      </c>
      <c r="U14293" s="29" t="str">
        <f>HYPERLINK("https://ictv.global/taxonomy/taxondetails?taxnode_id=202302526","ictv.global=202302526")</f>
        <v>ictv.global=202302526</v>
      </c>
    </row>
    <row r="14294" spans="1:21">
      <c r="A14294">
        <v>14293</v>
      </c>
      <c r="L14294" s="30" t="s">
        <v>135</v>
      </c>
      <c r="N14294" s="30" t="s">
        <v>137</v>
      </c>
      <c r="P14294" s="30" t="s">
        <v>11503</v>
      </c>
      <c r="Q14294" t="s">
        <v>731</v>
      </c>
      <c r="R14294" t="s">
        <v>920</v>
      </c>
      <c r="S14294">
        <v>38</v>
      </c>
      <c r="T14294" s="29" t="str">
        <f t="shared" si="597"/>
        <v>2022.008D.Aelloviridae_146rensp.zip</v>
      </c>
      <c r="U14294" s="29" t="str">
        <f>HYPERLINK("https://ictv.global/taxonomy/taxondetails?taxnode_id=202302527","ictv.global=202302527")</f>
        <v>ictv.global=202302527</v>
      </c>
    </row>
    <row r="14295" spans="1:21">
      <c r="A14295">
        <v>14294</v>
      </c>
      <c r="L14295" s="30" t="s">
        <v>135</v>
      </c>
      <c r="N14295" s="30" t="s">
        <v>137</v>
      </c>
      <c r="P14295" s="30" t="s">
        <v>11504</v>
      </c>
      <c r="Q14295" t="s">
        <v>731</v>
      </c>
      <c r="R14295" t="s">
        <v>920</v>
      </c>
      <c r="S14295">
        <v>38</v>
      </c>
      <c r="T14295" s="29" t="str">
        <f t="shared" si="597"/>
        <v>2022.008D.Aelloviridae_146rensp.zip</v>
      </c>
      <c r="U14295" s="29" t="str">
        <f>HYPERLINK("https://ictv.global/taxonomy/taxondetails?taxnode_id=202302528","ictv.global=202302528")</f>
        <v>ictv.global=202302528</v>
      </c>
    </row>
    <row r="14296" spans="1:21">
      <c r="A14296">
        <v>14295</v>
      </c>
      <c r="L14296" s="30" t="s">
        <v>135</v>
      </c>
      <c r="N14296" s="30" t="s">
        <v>137</v>
      </c>
      <c r="P14296" s="30" t="s">
        <v>11505</v>
      </c>
      <c r="Q14296" t="s">
        <v>731</v>
      </c>
      <c r="R14296" t="s">
        <v>920</v>
      </c>
      <c r="S14296">
        <v>38</v>
      </c>
      <c r="T14296" s="29" t="str">
        <f t="shared" si="597"/>
        <v>2022.008D.Aelloviridae_146rensp.zip</v>
      </c>
      <c r="U14296" s="29" t="str">
        <f>HYPERLINK("https://ictv.global/taxonomy/taxondetails?taxnode_id=202302529","ictv.global=202302529")</f>
        <v>ictv.global=202302529</v>
      </c>
    </row>
    <row r="14297" spans="1:21">
      <c r="A14297">
        <v>14296</v>
      </c>
      <c r="L14297" s="30" t="s">
        <v>135</v>
      </c>
      <c r="N14297" s="30" t="s">
        <v>137</v>
      </c>
      <c r="P14297" s="30" t="s">
        <v>11506</v>
      </c>
      <c r="Q14297" t="s">
        <v>731</v>
      </c>
      <c r="R14297" t="s">
        <v>920</v>
      </c>
      <c r="S14297">
        <v>38</v>
      </c>
      <c r="T14297" s="29" t="str">
        <f t="shared" si="597"/>
        <v>2022.008D.Aelloviridae_146rensp.zip</v>
      </c>
      <c r="U14297" s="29" t="str">
        <f>HYPERLINK("https://ictv.global/taxonomy/taxondetails?taxnode_id=202309400","ictv.global=202309400")</f>
        <v>ictv.global=202309400</v>
      </c>
    </row>
    <row r="14298" spans="1:21">
      <c r="A14298">
        <v>14297</v>
      </c>
      <c r="L14298" s="30" t="s">
        <v>135</v>
      </c>
      <c r="N14298" s="30" t="s">
        <v>137</v>
      </c>
      <c r="P14298" s="30" t="s">
        <v>11507</v>
      </c>
      <c r="Q14298" t="s">
        <v>731</v>
      </c>
      <c r="R14298" t="s">
        <v>920</v>
      </c>
      <c r="S14298">
        <v>38</v>
      </c>
      <c r="T14298" s="29" t="str">
        <f t="shared" si="597"/>
        <v>2022.008D.Aelloviridae_146rensp.zip</v>
      </c>
      <c r="U14298" s="29" t="str">
        <f>HYPERLINK("https://ictv.global/taxonomy/taxondetails?taxnode_id=202309401","ictv.global=202309401")</f>
        <v>ictv.global=202309401</v>
      </c>
    </row>
    <row r="14299" spans="1:21">
      <c r="A14299">
        <v>14298</v>
      </c>
      <c r="L14299" s="30" t="s">
        <v>135</v>
      </c>
      <c r="N14299" s="30" t="s">
        <v>137</v>
      </c>
      <c r="P14299" s="30" t="s">
        <v>11508</v>
      </c>
      <c r="Q14299" t="s">
        <v>731</v>
      </c>
      <c r="R14299" t="s">
        <v>920</v>
      </c>
      <c r="S14299">
        <v>38</v>
      </c>
      <c r="T14299" s="29" t="str">
        <f t="shared" si="597"/>
        <v>2022.008D.Aelloviridae_146rensp.zip</v>
      </c>
      <c r="U14299" s="29" t="str">
        <f>HYPERLINK("https://ictv.global/taxonomy/taxondetails?taxnode_id=202309402","ictv.global=202309402")</f>
        <v>ictv.global=202309402</v>
      </c>
    </row>
    <row r="14300" spans="1:21">
      <c r="A14300">
        <v>14299</v>
      </c>
      <c r="L14300" s="30" t="s">
        <v>135</v>
      </c>
      <c r="N14300" s="30" t="s">
        <v>137</v>
      </c>
      <c r="P14300" s="30" t="s">
        <v>11509</v>
      </c>
      <c r="Q14300" t="s">
        <v>731</v>
      </c>
      <c r="R14300" t="s">
        <v>920</v>
      </c>
      <c r="S14300">
        <v>38</v>
      </c>
      <c r="T14300" s="29" t="str">
        <f t="shared" si="597"/>
        <v>2022.008D.Aelloviridae_146rensp.zip</v>
      </c>
      <c r="U14300" s="29" t="str">
        <f>HYPERLINK("https://ictv.global/taxonomy/taxondetails?taxnode_id=202309403","ictv.global=202309403")</f>
        <v>ictv.global=202309403</v>
      </c>
    </row>
    <row r="14301" spans="1:21">
      <c r="A14301">
        <v>14300</v>
      </c>
      <c r="L14301" s="30" t="s">
        <v>135</v>
      </c>
      <c r="N14301" s="30" t="s">
        <v>137</v>
      </c>
      <c r="P14301" s="30" t="s">
        <v>11510</v>
      </c>
      <c r="Q14301" t="s">
        <v>731</v>
      </c>
      <c r="R14301" t="s">
        <v>920</v>
      </c>
      <c r="S14301">
        <v>38</v>
      </c>
      <c r="T14301" s="29" t="str">
        <f t="shared" si="597"/>
        <v>2022.008D.Aelloviridae_146rensp.zip</v>
      </c>
      <c r="U14301" s="29" t="str">
        <f>HYPERLINK("https://ictv.global/taxonomy/taxondetails?taxnode_id=202309404","ictv.global=202309404")</f>
        <v>ictv.global=202309404</v>
      </c>
    </row>
    <row r="14302" spans="1:21">
      <c r="A14302">
        <v>14301</v>
      </c>
      <c r="L14302" s="30" t="s">
        <v>135</v>
      </c>
      <c r="N14302" s="30" t="s">
        <v>137</v>
      </c>
      <c r="P14302" s="30" t="s">
        <v>11511</v>
      </c>
      <c r="Q14302" t="s">
        <v>731</v>
      </c>
      <c r="R14302" t="s">
        <v>920</v>
      </c>
      <c r="S14302">
        <v>38</v>
      </c>
      <c r="T14302" s="29" t="str">
        <f t="shared" si="597"/>
        <v>2022.008D.Aelloviridae_146rensp.zip</v>
      </c>
      <c r="U14302" s="29" t="str">
        <f>HYPERLINK("https://ictv.global/taxonomy/taxondetails?taxnode_id=202309405","ictv.global=202309405")</f>
        <v>ictv.global=202309405</v>
      </c>
    </row>
    <row r="14303" spans="1:21">
      <c r="A14303">
        <v>14302</v>
      </c>
      <c r="L14303" s="30" t="s">
        <v>135</v>
      </c>
      <c r="N14303" s="30" t="s">
        <v>137</v>
      </c>
      <c r="P14303" s="30" t="s">
        <v>11512</v>
      </c>
      <c r="Q14303" t="s">
        <v>731</v>
      </c>
      <c r="R14303" t="s">
        <v>920</v>
      </c>
      <c r="S14303">
        <v>38</v>
      </c>
      <c r="T14303" s="29" t="str">
        <f t="shared" si="597"/>
        <v>2022.008D.Aelloviridae_146rensp.zip</v>
      </c>
      <c r="U14303" s="29" t="str">
        <f>HYPERLINK("https://ictv.global/taxonomy/taxondetails?taxnode_id=202309406","ictv.global=202309406")</f>
        <v>ictv.global=202309406</v>
      </c>
    </row>
    <row r="14304" spans="1:21">
      <c r="A14304">
        <v>14303</v>
      </c>
      <c r="L14304" s="30" t="s">
        <v>135</v>
      </c>
      <c r="N14304" s="30" t="s">
        <v>137</v>
      </c>
      <c r="P14304" s="30" t="s">
        <v>11513</v>
      </c>
      <c r="Q14304" t="s">
        <v>731</v>
      </c>
      <c r="R14304" t="s">
        <v>920</v>
      </c>
      <c r="S14304">
        <v>38</v>
      </c>
      <c r="T14304" s="29" t="str">
        <f t="shared" si="597"/>
        <v>2022.008D.Aelloviridae_146rensp.zip</v>
      </c>
      <c r="U14304" s="29" t="str">
        <f>HYPERLINK("https://ictv.global/taxonomy/taxondetails?taxnode_id=202309407","ictv.global=202309407")</f>
        <v>ictv.global=202309407</v>
      </c>
    </row>
    <row r="14305" spans="1:21">
      <c r="A14305">
        <v>14304</v>
      </c>
      <c r="L14305" s="30" t="s">
        <v>135</v>
      </c>
      <c r="N14305" s="30" t="s">
        <v>137</v>
      </c>
      <c r="P14305" s="30" t="s">
        <v>11514</v>
      </c>
      <c r="Q14305" t="s">
        <v>731</v>
      </c>
      <c r="R14305" t="s">
        <v>920</v>
      </c>
      <c r="S14305">
        <v>38</v>
      </c>
      <c r="T14305" s="29" t="str">
        <f t="shared" si="597"/>
        <v>2022.008D.Aelloviridae_146rensp.zip</v>
      </c>
      <c r="U14305" s="29" t="str">
        <f>HYPERLINK("https://ictv.global/taxonomy/taxondetails?taxnode_id=202309408","ictv.global=202309408")</f>
        <v>ictv.global=202309408</v>
      </c>
    </row>
    <row r="14306" spans="1:21">
      <c r="A14306">
        <v>14305</v>
      </c>
      <c r="L14306" s="30" t="s">
        <v>135</v>
      </c>
      <c r="N14306" s="30" t="s">
        <v>137</v>
      </c>
      <c r="P14306" s="30" t="s">
        <v>11515</v>
      </c>
      <c r="Q14306" t="s">
        <v>731</v>
      </c>
      <c r="R14306" t="s">
        <v>920</v>
      </c>
      <c r="S14306">
        <v>38</v>
      </c>
      <c r="T14306" s="29" t="str">
        <f t="shared" si="597"/>
        <v>2022.008D.Aelloviridae_146rensp.zip</v>
      </c>
      <c r="U14306" s="29" t="str">
        <f>HYPERLINK("https://ictv.global/taxonomy/taxondetails?taxnode_id=202309409","ictv.global=202309409")</f>
        <v>ictv.global=202309409</v>
      </c>
    </row>
    <row r="14307" spans="1:21">
      <c r="A14307">
        <v>14306</v>
      </c>
      <c r="L14307" s="30" t="s">
        <v>135</v>
      </c>
      <c r="N14307" s="30" t="s">
        <v>137</v>
      </c>
      <c r="P14307" s="30" t="s">
        <v>11516</v>
      </c>
      <c r="Q14307" t="s">
        <v>731</v>
      </c>
      <c r="R14307" t="s">
        <v>920</v>
      </c>
      <c r="S14307">
        <v>38</v>
      </c>
      <c r="T14307" s="29" t="str">
        <f t="shared" si="597"/>
        <v>2022.008D.Aelloviridae_146rensp.zip</v>
      </c>
      <c r="U14307" s="29" t="str">
        <f>HYPERLINK("https://ictv.global/taxonomy/taxondetails?taxnode_id=202309410","ictv.global=202309410")</f>
        <v>ictv.global=202309410</v>
      </c>
    </row>
    <row r="14308" spans="1:21">
      <c r="A14308">
        <v>14307</v>
      </c>
      <c r="L14308" s="30" t="s">
        <v>135</v>
      </c>
      <c r="N14308" s="30" t="s">
        <v>137</v>
      </c>
      <c r="P14308" s="30" t="s">
        <v>11517</v>
      </c>
      <c r="Q14308" t="s">
        <v>731</v>
      </c>
      <c r="R14308" t="s">
        <v>920</v>
      </c>
      <c r="S14308">
        <v>38</v>
      </c>
      <c r="T14308" s="29" t="str">
        <f t="shared" si="597"/>
        <v>2022.008D.Aelloviridae_146rensp.zip</v>
      </c>
      <c r="U14308" s="29" t="str">
        <f>HYPERLINK("https://ictv.global/taxonomy/taxondetails?taxnode_id=202309411","ictv.global=202309411")</f>
        <v>ictv.global=202309411</v>
      </c>
    </row>
    <row r="14309" spans="1:21">
      <c r="A14309">
        <v>14308</v>
      </c>
      <c r="L14309" s="30" t="s">
        <v>135</v>
      </c>
      <c r="N14309" s="30" t="s">
        <v>137</v>
      </c>
      <c r="P14309" s="30" t="s">
        <v>11518</v>
      </c>
      <c r="Q14309" t="s">
        <v>731</v>
      </c>
      <c r="R14309" t="s">
        <v>920</v>
      </c>
      <c r="S14309">
        <v>38</v>
      </c>
      <c r="T14309" s="29" t="str">
        <f t="shared" si="597"/>
        <v>2022.008D.Aelloviridae_146rensp.zip</v>
      </c>
      <c r="U14309" s="29" t="str">
        <f>HYPERLINK("https://ictv.global/taxonomy/taxondetails?taxnode_id=202309412","ictv.global=202309412")</f>
        <v>ictv.global=202309412</v>
      </c>
    </row>
    <row r="14310" spans="1:21">
      <c r="A14310">
        <v>14309</v>
      </c>
      <c r="L14310" s="30" t="s">
        <v>135</v>
      </c>
      <c r="N14310" s="30" t="s">
        <v>137</v>
      </c>
      <c r="P14310" s="30" t="s">
        <v>11519</v>
      </c>
      <c r="Q14310" t="s">
        <v>731</v>
      </c>
      <c r="R14310" t="s">
        <v>920</v>
      </c>
      <c r="S14310">
        <v>38</v>
      </c>
      <c r="T14310" s="29" t="str">
        <f t="shared" si="597"/>
        <v>2022.008D.Aelloviridae_146rensp.zip</v>
      </c>
      <c r="U14310" s="29" t="str">
        <f>HYPERLINK("https://ictv.global/taxonomy/taxondetails?taxnode_id=202309413","ictv.global=202309413")</f>
        <v>ictv.global=202309413</v>
      </c>
    </row>
    <row r="14311" spans="1:21">
      <c r="A14311">
        <v>14310</v>
      </c>
      <c r="L14311" s="30" t="s">
        <v>135</v>
      </c>
      <c r="N14311" s="30" t="s">
        <v>137</v>
      </c>
      <c r="P14311" s="30" t="s">
        <v>11520</v>
      </c>
      <c r="Q14311" t="s">
        <v>731</v>
      </c>
      <c r="R14311" t="s">
        <v>920</v>
      </c>
      <c r="S14311">
        <v>38</v>
      </c>
      <c r="T14311" s="29" t="str">
        <f t="shared" si="597"/>
        <v>2022.008D.Aelloviridae_146rensp.zip</v>
      </c>
      <c r="U14311" s="29" t="str">
        <f>HYPERLINK("https://ictv.global/taxonomy/taxondetails?taxnode_id=202309414","ictv.global=202309414")</f>
        <v>ictv.global=202309414</v>
      </c>
    </row>
    <row r="14312" spans="1:21">
      <c r="A14312">
        <v>14311</v>
      </c>
      <c r="L14312" s="30" t="s">
        <v>135</v>
      </c>
      <c r="N14312" s="30" t="s">
        <v>137</v>
      </c>
      <c r="P14312" s="30" t="s">
        <v>11521</v>
      </c>
      <c r="Q14312" t="s">
        <v>731</v>
      </c>
      <c r="R14312" t="s">
        <v>920</v>
      </c>
      <c r="S14312">
        <v>38</v>
      </c>
      <c r="T14312" s="29" t="str">
        <f t="shared" si="597"/>
        <v>2022.008D.Aelloviridae_146rensp.zip</v>
      </c>
      <c r="U14312" s="29" t="str">
        <f>HYPERLINK("https://ictv.global/taxonomy/taxondetails?taxnode_id=202309415","ictv.global=202309415")</f>
        <v>ictv.global=202309415</v>
      </c>
    </row>
    <row r="14313" spans="1:21">
      <c r="A14313">
        <v>14312</v>
      </c>
      <c r="L14313" s="30" t="s">
        <v>135</v>
      </c>
      <c r="N14313" s="30" t="s">
        <v>137</v>
      </c>
      <c r="P14313" s="30" t="s">
        <v>11522</v>
      </c>
      <c r="Q14313" t="s">
        <v>731</v>
      </c>
      <c r="R14313" t="s">
        <v>920</v>
      </c>
      <c r="S14313">
        <v>38</v>
      </c>
      <c r="T14313" s="29" t="str">
        <f t="shared" si="597"/>
        <v>2022.008D.Aelloviridae_146rensp.zip</v>
      </c>
      <c r="U14313" s="29" t="str">
        <f>HYPERLINK("https://ictv.global/taxonomy/taxondetails?taxnode_id=202309416","ictv.global=202309416")</f>
        <v>ictv.global=202309416</v>
      </c>
    </row>
    <row r="14314" spans="1:21">
      <c r="A14314">
        <v>14313</v>
      </c>
      <c r="L14314" s="30" t="s">
        <v>135</v>
      </c>
      <c r="N14314" s="30" t="s">
        <v>137</v>
      </c>
      <c r="P14314" s="30" t="s">
        <v>11523</v>
      </c>
      <c r="Q14314" t="s">
        <v>731</v>
      </c>
      <c r="R14314" t="s">
        <v>920</v>
      </c>
      <c r="S14314">
        <v>38</v>
      </c>
      <c r="T14314" s="29" t="str">
        <f t="shared" si="597"/>
        <v>2022.008D.Aelloviridae_146rensp.zip</v>
      </c>
      <c r="U14314" s="29" t="str">
        <f>HYPERLINK("https://ictv.global/taxonomy/taxondetails?taxnode_id=202309417","ictv.global=202309417")</f>
        <v>ictv.global=202309417</v>
      </c>
    </row>
    <row r="14315" spans="1:21">
      <c r="A14315">
        <v>14314</v>
      </c>
      <c r="L14315" s="30" t="s">
        <v>135</v>
      </c>
      <c r="N14315" s="30" t="s">
        <v>137</v>
      </c>
      <c r="P14315" s="30" t="s">
        <v>11524</v>
      </c>
      <c r="Q14315" t="s">
        <v>731</v>
      </c>
      <c r="R14315" t="s">
        <v>920</v>
      </c>
      <c r="S14315">
        <v>38</v>
      </c>
      <c r="T14315" s="29" t="str">
        <f t="shared" si="597"/>
        <v>2022.008D.Aelloviridae_146rensp.zip</v>
      </c>
      <c r="U14315" s="29" t="str">
        <f>HYPERLINK("https://ictv.global/taxonomy/taxondetails?taxnode_id=202309418","ictv.global=202309418")</f>
        <v>ictv.global=202309418</v>
      </c>
    </row>
    <row r="14316" spans="1:21">
      <c r="A14316">
        <v>14315</v>
      </c>
      <c r="L14316" s="30" t="s">
        <v>135</v>
      </c>
      <c r="N14316" s="30" t="s">
        <v>137</v>
      </c>
      <c r="P14316" s="30" t="s">
        <v>11525</v>
      </c>
      <c r="Q14316" t="s">
        <v>731</v>
      </c>
      <c r="R14316" t="s">
        <v>920</v>
      </c>
      <c r="S14316">
        <v>38</v>
      </c>
      <c r="T14316" s="29" t="str">
        <f t="shared" si="597"/>
        <v>2022.008D.Aelloviridae_146rensp.zip</v>
      </c>
      <c r="U14316" s="29" t="str">
        <f>HYPERLINK("https://ictv.global/taxonomy/taxondetails?taxnode_id=202309419","ictv.global=202309419")</f>
        <v>ictv.global=202309419</v>
      </c>
    </row>
    <row r="14317" spans="1:21">
      <c r="A14317">
        <v>14316</v>
      </c>
      <c r="L14317" s="30" t="s">
        <v>135</v>
      </c>
      <c r="N14317" s="30" t="s">
        <v>137</v>
      </c>
      <c r="P14317" s="30" t="s">
        <v>11526</v>
      </c>
      <c r="Q14317" t="s">
        <v>731</v>
      </c>
      <c r="R14317" t="s">
        <v>920</v>
      </c>
      <c r="S14317">
        <v>38</v>
      </c>
      <c r="T14317" s="29" t="str">
        <f t="shared" si="597"/>
        <v>2022.008D.Aelloviridae_146rensp.zip</v>
      </c>
      <c r="U14317" s="29" t="str">
        <f>HYPERLINK("https://ictv.global/taxonomy/taxondetails?taxnode_id=202309420","ictv.global=202309420")</f>
        <v>ictv.global=202309420</v>
      </c>
    </row>
    <row r="14318" spans="1:21">
      <c r="A14318">
        <v>14317</v>
      </c>
      <c r="L14318" s="30" t="s">
        <v>135</v>
      </c>
      <c r="N14318" s="30" t="s">
        <v>137</v>
      </c>
      <c r="P14318" s="30" t="s">
        <v>11527</v>
      </c>
      <c r="Q14318" t="s">
        <v>731</v>
      </c>
      <c r="R14318" t="s">
        <v>920</v>
      </c>
      <c r="S14318">
        <v>38</v>
      </c>
      <c r="T14318" s="29" t="str">
        <f t="shared" si="597"/>
        <v>2022.008D.Aelloviridae_146rensp.zip</v>
      </c>
      <c r="U14318" s="29" t="str">
        <f>HYPERLINK("https://ictv.global/taxonomy/taxondetails?taxnode_id=202309421","ictv.global=202309421")</f>
        <v>ictv.global=202309421</v>
      </c>
    </row>
    <row r="14319" spans="1:21">
      <c r="A14319">
        <v>14318</v>
      </c>
      <c r="L14319" s="30" t="s">
        <v>135</v>
      </c>
      <c r="N14319" s="30" t="s">
        <v>137</v>
      </c>
      <c r="P14319" s="30" t="s">
        <v>11528</v>
      </c>
      <c r="Q14319" t="s">
        <v>731</v>
      </c>
      <c r="R14319" t="s">
        <v>920</v>
      </c>
      <c r="S14319">
        <v>38</v>
      </c>
      <c r="T14319" s="29" t="str">
        <f t="shared" si="597"/>
        <v>2022.008D.Aelloviridae_146rensp.zip</v>
      </c>
      <c r="U14319" s="29" t="str">
        <f>HYPERLINK("https://ictv.global/taxonomy/taxondetails?taxnode_id=202309422","ictv.global=202309422")</f>
        <v>ictv.global=202309422</v>
      </c>
    </row>
    <row r="14320" spans="1:21">
      <c r="A14320">
        <v>14319</v>
      </c>
      <c r="L14320" s="30" t="s">
        <v>135</v>
      </c>
      <c r="N14320" s="30" t="s">
        <v>137</v>
      </c>
      <c r="P14320" s="30" t="s">
        <v>11529</v>
      </c>
      <c r="Q14320" t="s">
        <v>731</v>
      </c>
      <c r="R14320" t="s">
        <v>920</v>
      </c>
      <c r="S14320">
        <v>38</v>
      </c>
      <c r="T14320" s="29" t="str">
        <f t="shared" si="597"/>
        <v>2022.008D.Aelloviridae_146rensp.zip</v>
      </c>
      <c r="U14320" s="29" t="str">
        <f>HYPERLINK("https://ictv.global/taxonomy/taxondetails?taxnode_id=202309423","ictv.global=202309423")</f>
        <v>ictv.global=202309423</v>
      </c>
    </row>
    <row r="14321" spans="1:21">
      <c r="A14321">
        <v>14320</v>
      </c>
      <c r="L14321" s="30" t="s">
        <v>135</v>
      </c>
      <c r="N14321" s="30" t="s">
        <v>137</v>
      </c>
      <c r="P14321" s="30" t="s">
        <v>11530</v>
      </c>
      <c r="Q14321" t="s">
        <v>731</v>
      </c>
      <c r="R14321" t="s">
        <v>920</v>
      </c>
      <c r="S14321">
        <v>38</v>
      </c>
      <c r="T14321" s="29" t="str">
        <f t="shared" ref="T14321:T14349" si="598">HYPERLINK("https://ictv.global/ictv/proposals/2022.008D.Aelloviridae_146rensp.zip","2022.008D.Aelloviridae_146rensp.zip")</f>
        <v>2022.008D.Aelloviridae_146rensp.zip</v>
      </c>
      <c r="U14321" s="29" t="str">
        <f>HYPERLINK("https://ictv.global/taxonomy/taxondetails?taxnode_id=202309424","ictv.global=202309424")</f>
        <v>ictv.global=202309424</v>
      </c>
    </row>
    <row r="14322" spans="1:21">
      <c r="A14322">
        <v>14321</v>
      </c>
      <c r="L14322" s="30" t="s">
        <v>135</v>
      </c>
      <c r="N14322" s="30" t="s">
        <v>137</v>
      </c>
      <c r="P14322" s="30" t="s">
        <v>11531</v>
      </c>
      <c r="Q14322" t="s">
        <v>731</v>
      </c>
      <c r="R14322" t="s">
        <v>920</v>
      </c>
      <c r="S14322">
        <v>38</v>
      </c>
      <c r="T14322" s="29" t="str">
        <f t="shared" si="598"/>
        <v>2022.008D.Aelloviridae_146rensp.zip</v>
      </c>
      <c r="U14322" s="29" t="str">
        <f>HYPERLINK("https://ictv.global/taxonomy/taxondetails?taxnode_id=202309425","ictv.global=202309425")</f>
        <v>ictv.global=202309425</v>
      </c>
    </row>
    <row r="14323" spans="1:21">
      <c r="A14323">
        <v>14322</v>
      </c>
      <c r="L14323" s="30" t="s">
        <v>135</v>
      </c>
      <c r="N14323" s="30" t="s">
        <v>3867</v>
      </c>
      <c r="P14323" s="30" t="s">
        <v>11532</v>
      </c>
      <c r="Q14323" t="s">
        <v>731</v>
      </c>
      <c r="R14323" t="s">
        <v>920</v>
      </c>
      <c r="S14323">
        <v>38</v>
      </c>
      <c r="T14323" s="29" t="str">
        <f t="shared" si="598"/>
        <v>2022.008D.Aelloviridae_146rensp.zip</v>
      </c>
      <c r="U14323" s="29" t="str">
        <f>HYPERLINK("https://ictv.global/taxonomy/taxondetails?taxnode_id=202309427","ictv.global=202309427")</f>
        <v>ictv.global=202309427</v>
      </c>
    </row>
    <row r="14324" spans="1:21">
      <c r="A14324">
        <v>14323</v>
      </c>
      <c r="L14324" s="30" t="s">
        <v>135</v>
      </c>
      <c r="N14324" s="30" t="s">
        <v>3868</v>
      </c>
      <c r="P14324" s="30" t="s">
        <v>11533</v>
      </c>
      <c r="Q14324" t="s">
        <v>731</v>
      </c>
      <c r="R14324" t="s">
        <v>920</v>
      </c>
      <c r="S14324">
        <v>38</v>
      </c>
      <c r="T14324" s="29" t="str">
        <f t="shared" si="598"/>
        <v>2022.008D.Aelloviridae_146rensp.zip</v>
      </c>
      <c r="U14324" s="29" t="str">
        <f>HYPERLINK("https://ictv.global/taxonomy/taxondetails?taxnode_id=202309429","ictv.global=202309429")</f>
        <v>ictv.global=202309429</v>
      </c>
    </row>
    <row r="14325" spans="1:21">
      <c r="A14325">
        <v>14324</v>
      </c>
      <c r="L14325" s="30" t="s">
        <v>135</v>
      </c>
      <c r="N14325" s="30" t="s">
        <v>139</v>
      </c>
      <c r="P14325" s="30" t="s">
        <v>11534</v>
      </c>
      <c r="Q14325" t="s">
        <v>731</v>
      </c>
      <c r="R14325" t="s">
        <v>920</v>
      </c>
      <c r="S14325">
        <v>38</v>
      </c>
      <c r="T14325" s="29" t="str">
        <f t="shared" si="598"/>
        <v>2022.008D.Aelloviridae_146rensp.zip</v>
      </c>
      <c r="U14325" s="29" t="str">
        <f>HYPERLINK("https://ictv.global/taxonomy/taxondetails?taxnode_id=202302531","ictv.global=202302531")</f>
        <v>ictv.global=202302531</v>
      </c>
    </row>
    <row r="14326" spans="1:21">
      <c r="A14326">
        <v>14325</v>
      </c>
      <c r="L14326" s="30" t="s">
        <v>135</v>
      </c>
      <c r="N14326" s="30" t="s">
        <v>408</v>
      </c>
      <c r="P14326" s="30" t="s">
        <v>11535</v>
      </c>
      <c r="Q14326" t="s">
        <v>731</v>
      </c>
      <c r="R14326" t="s">
        <v>920</v>
      </c>
      <c r="S14326">
        <v>38</v>
      </c>
      <c r="T14326" s="29" t="str">
        <f t="shared" si="598"/>
        <v>2022.008D.Aelloviridae_146rensp.zip</v>
      </c>
      <c r="U14326" s="29" t="str">
        <f>HYPERLINK("https://ictv.global/taxonomy/taxondetails?taxnode_id=202302533","ictv.global=202302533")</f>
        <v>ictv.global=202302533</v>
      </c>
    </row>
    <row r="14327" spans="1:21">
      <c r="A14327">
        <v>14326</v>
      </c>
      <c r="L14327" s="30" t="s">
        <v>135</v>
      </c>
      <c r="N14327" s="30" t="s">
        <v>410</v>
      </c>
      <c r="P14327" s="30" t="s">
        <v>11536</v>
      </c>
      <c r="Q14327" t="s">
        <v>731</v>
      </c>
      <c r="R14327" t="s">
        <v>920</v>
      </c>
      <c r="S14327">
        <v>38</v>
      </c>
      <c r="T14327" s="29" t="str">
        <f t="shared" si="598"/>
        <v>2022.008D.Aelloviridae_146rensp.zip</v>
      </c>
      <c r="U14327" s="29" t="str">
        <f>HYPERLINK("https://ictv.global/taxonomy/taxondetails?taxnode_id=202302535","ictv.global=202302535")</f>
        <v>ictv.global=202302535</v>
      </c>
    </row>
    <row r="14328" spans="1:21">
      <c r="A14328">
        <v>14327</v>
      </c>
      <c r="L14328" s="30" t="s">
        <v>135</v>
      </c>
      <c r="N14328" s="30" t="s">
        <v>410</v>
      </c>
      <c r="P14328" s="30" t="s">
        <v>11537</v>
      </c>
      <c r="Q14328" t="s">
        <v>731</v>
      </c>
      <c r="R14328" t="s">
        <v>920</v>
      </c>
      <c r="S14328">
        <v>38</v>
      </c>
      <c r="T14328" s="29" t="str">
        <f t="shared" si="598"/>
        <v>2022.008D.Aelloviridae_146rensp.zip</v>
      </c>
      <c r="U14328" s="29" t="str">
        <f>HYPERLINK("https://ictv.global/taxonomy/taxondetails?taxnode_id=202302536","ictv.global=202302536")</f>
        <v>ictv.global=202302536</v>
      </c>
    </row>
    <row r="14329" spans="1:21">
      <c r="A14329">
        <v>14328</v>
      </c>
      <c r="L14329" s="30" t="s">
        <v>135</v>
      </c>
      <c r="N14329" s="30" t="s">
        <v>410</v>
      </c>
      <c r="P14329" s="30" t="s">
        <v>11538</v>
      </c>
      <c r="Q14329" t="s">
        <v>731</v>
      </c>
      <c r="R14329" t="s">
        <v>920</v>
      </c>
      <c r="S14329">
        <v>38</v>
      </c>
      <c r="T14329" s="29" t="str">
        <f t="shared" si="598"/>
        <v>2022.008D.Aelloviridae_146rensp.zip</v>
      </c>
      <c r="U14329" s="29" t="str">
        <f>HYPERLINK("https://ictv.global/taxonomy/taxondetails?taxnode_id=202309430","ictv.global=202309430")</f>
        <v>ictv.global=202309430</v>
      </c>
    </row>
    <row r="14330" spans="1:21">
      <c r="A14330">
        <v>14329</v>
      </c>
      <c r="L14330" s="30" t="s">
        <v>135</v>
      </c>
      <c r="N14330" s="30" t="s">
        <v>410</v>
      </c>
      <c r="P14330" s="30" t="s">
        <v>11539</v>
      </c>
      <c r="Q14330" t="s">
        <v>731</v>
      </c>
      <c r="R14330" t="s">
        <v>920</v>
      </c>
      <c r="S14330">
        <v>38</v>
      </c>
      <c r="T14330" s="29" t="str">
        <f t="shared" si="598"/>
        <v>2022.008D.Aelloviridae_146rensp.zip</v>
      </c>
      <c r="U14330" s="29" t="str">
        <f>HYPERLINK("https://ictv.global/taxonomy/taxondetails?taxnode_id=202309431","ictv.global=202309431")</f>
        <v>ictv.global=202309431</v>
      </c>
    </row>
    <row r="14331" spans="1:21">
      <c r="A14331">
        <v>14330</v>
      </c>
      <c r="L14331" s="30" t="s">
        <v>135</v>
      </c>
      <c r="N14331" s="30" t="s">
        <v>410</v>
      </c>
      <c r="P14331" s="30" t="s">
        <v>11540</v>
      </c>
      <c r="Q14331" t="s">
        <v>731</v>
      </c>
      <c r="R14331" t="s">
        <v>920</v>
      </c>
      <c r="S14331">
        <v>38</v>
      </c>
      <c r="T14331" s="29" t="str">
        <f t="shared" si="598"/>
        <v>2022.008D.Aelloviridae_146rensp.zip</v>
      </c>
      <c r="U14331" s="29" t="str">
        <f>HYPERLINK("https://ictv.global/taxonomy/taxondetails?taxnode_id=202309456","ictv.global=202309456")</f>
        <v>ictv.global=202309456</v>
      </c>
    </row>
    <row r="14332" spans="1:21">
      <c r="A14332">
        <v>14331</v>
      </c>
      <c r="L14332" s="30" t="s">
        <v>135</v>
      </c>
      <c r="N14332" s="30" t="s">
        <v>410</v>
      </c>
      <c r="P14332" s="30" t="s">
        <v>11541</v>
      </c>
      <c r="Q14332" t="s">
        <v>731</v>
      </c>
      <c r="R14332" t="s">
        <v>920</v>
      </c>
      <c r="S14332">
        <v>38</v>
      </c>
      <c r="T14332" s="29" t="str">
        <f t="shared" si="598"/>
        <v>2022.008D.Aelloviridae_146rensp.zip</v>
      </c>
      <c r="U14332" s="29" t="str">
        <f>HYPERLINK("https://ictv.global/taxonomy/taxondetails?taxnode_id=202309432","ictv.global=202309432")</f>
        <v>ictv.global=202309432</v>
      </c>
    </row>
    <row r="14333" spans="1:21">
      <c r="A14333">
        <v>14332</v>
      </c>
      <c r="L14333" s="30" t="s">
        <v>135</v>
      </c>
      <c r="N14333" s="30" t="s">
        <v>138</v>
      </c>
      <c r="P14333" s="30" t="s">
        <v>11542</v>
      </c>
      <c r="Q14333" t="s">
        <v>731</v>
      </c>
      <c r="R14333" t="s">
        <v>920</v>
      </c>
      <c r="S14333">
        <v>38</v>
      </c>
      <c r="T14333" s="29" t="str">
        <f t="shared" si="598"/>
        <v>2022.008D.Aelloviridae_146rensp.zip</v>
      </c>
      <c r="U14333" s="29" t="str">
        <f>HYPERLINK("https://ictv.global/taxonomy/taxondetails?taxnode_id=202302538","ictv.global=202302538")</f>
        <v>ictv.global=202302538</v>
      </c>
    </row>
    <row r="14334" spans="1:21">
      <c r="A14334">
        <v>14333</v>
      </c>
      <c r="L14334" s="30" t="s">
        <v>135</v>
      </c>
      <c r="N14334" s="30" t="s">
        <v>138</v>
      </c>
      <c r="P14334" s="30" t="s">
        <v>11543</v>
      </c>
      <c r="Q14334" t="s">
        <v>731</v>
      </c>
      <c r="R14334" t="s">
        <v>920</v>
      </c>
      <c r="S14334">
        <v>38</v>
      </c>
      <c r="T14334" s="29" t="str">
        <f t="shared" si="598"/>
        <v>2022.008D.Aelloviridae_146rensp.zip</v>
      </c>
      <c r="U14334" s="29" t="str">
        <f>HYPERLINK("https://ictv.global/taxonomy/taxondetails?taxnode_id=202302539","ictv.global=202302539")</f>
        <v>ictv.global=202302539</v>
      </c>
    </row>
    <row r="14335" spans="1:21">
      <c r="A14335">
        <v>14334</v>
      </c>
      <c r="L14335" s="30" t="s">
        <v>135</v>
      </c>
      <c r="N14335" s="30" t="s">
        <v>138</v>
      </c>
      <c r="P14335" s="30" t="s">
        <v>11544</v>
      </c>
      <c r="Q14335" t="s">
        <v>731</v>
      </c>
      <c r="R14335" t="s">
        <v>920</v>
      </c>
      <c r="S14335">
        <v>38</v>
      </c>
      <c r="T14335" s="29" t="str">
        <f t="shared" si="598"/>
        <v>2022.008D.Aelloviridae_146rensp.zip</v>
      </c>
      <c r="U14335" s="29" t="str">
        <f>HYPERLINK("https://ictv.global/taxonomy/taxondetails?taxnode_id=202302540","ictv.global=202302540")</f>
        <v>ictv.global=202302540</v>
      </c>
    </row>
    <row r="14336" spans="1:21">
      <c r="A14336">
        <v>14335</v>
      </c>
      <c r="L14336" s="30" t="s">
        <v>135</v>
      </c>
      <c r="N14336" s="30" t="s">
        <v>138</v>
      </c>
      <c r="P14336" s="30" t="s">
        <v>11545</v>
      </c>
      <c r="Q14336" t="s">
        <v>731</v>
      </c>
      <c r="R14336" t="s">
        <v>920</v>
      </c>
      <c r="S14336">
        <v>38</v>
      </c>
      <c r="T14336" s="29" t="str">
        <f t="shared" si="598"/>
        <v>2022.008D.Aelloviridae_146rensp.zip</v>
      </c>
      <c r="U14336" s="29" t="str">
        <f>HYPERLINK("https://ictv.global/taxonomy/taxondetails?taxnode_id=202302541","ictv.global=202302541")</f>
        <v>ictv.global=202302541</v>
      </c>
    </row>
    <row r="14337" spans="1:21">
      <c r="A14337">
        <v>14336</v>
      </c>
      <c r="L14337" s="30" t="s">
        <v>135</v>
      </c>
      <c r="N14337" s="30" t="s">
        <v>138</v>
      </c>
      <c r="P14337" s="30" t="s">
        <v>11546</v>
      </c>
      <c r="Q14337" t="s">
        <v>731</v>
      </c>
      <c r="R14337" t="s">
        <v>920</v>
      </c>
      <c r="S14337">
        <v>38</v>
      </c>
      <c r="T14337" s="29" t="str">
        <f t="shared" si="598"/>
        <v>2022.008D.Aelloviridae_146rensp.zip</v>
      </c>
      <c r="U14337" s="29" t="str">
        <f>HYPERLINK("https://ictv.global/taxonomy/taxondetails?taxnode_id=202302542","ictv.global=202302542")</f>
        <v>ictv.global=202302542</v>
      </c>
    </row>
    <row r="14338" spans="1:21">
      <c r="A14338">
        <v>14337</v>
      </c>
      <c r="L14338" s="30" t="s">
        <v>135</v>
      </c>
      <c r="N14338" s="30" t="s">
        <v>138</v>
      </c>
      <c r="P14338" s="30" t="s">
        <v>11547</v>
      </c>
      <c r="Q14338" t="s">
        <v>731</v>
      </c>
      <c r="R14338" t="s">
        <v>920</v>
      </c>
      <c r="S14338">
        <v>38</v>
      </c>
      <c r="T14338" s="29" t="str">
        <f t="shared" si="598"/>
        <v>2022.008D.Aelloviridae_146rensp.zip</v>
      </c>
      <c r="U14338" s="29" t="str">
        <f>HYPERLINK("https://ictv.global/taxonomy/taxondetails?taxnode_id=202302543","ictv.global=202302543")</f>
        <v>ictv.global=202302543</v>
      </c>
    </row>
    <row r="14339" spans="1:21">
      <c r="A14339">
        <v>14338</v>
      </c>
      <c r="L14339" s="30" t="s">
        <v>135</v>
      </c>
      <c r="N14339" s="30" t="s">
        <v>138</v>
      </c>
      <c r="P14339" s="30" t="s">
        <v>11548</v>
      </c>
      <c r="Q14339" t="s">
        <v>731</v>
      </c>
      <c r="R14339" t="s">
        <v>920</v>
      </c>
      <c r="S14339">
        <v>38</v>
      </c>
      <c r="T14339" s="29" t="str">
        <f t="shared" si="598"/>
        <v>2022.008D.Aelloviridae_146rensp.zip</v>
      </c>
      <c r="U14339" s="29" t="str">
        <f>HYPERLINK("https://ictv.global/taxonomy/taxondetails?taxnode_id=202302544","ictv.global=202302544")</f>
        <v>ictv.global=202302544</v>
      </c>
    </row>
    <row r="14340" spans="1:21">
      <c r="A14340">
        <v>14339</v>
      </c>
      <c r="L14340" s="30" t="s">
        <v>135</v>
      </c>
      <c r="N14340" s="30" t="s">
        <v>138</v>
      </c>
      <c r="P14340" s="30" t="s">
        <v>11549</v>
      </c>
      <c r="Q14340" t="s">
        <v>731</v>
      </c>
      <c r="R14340" t="s">
        <v>920</v>
      </c>
      <c r="S14340">
        <v>38</v>
      </c>
      <c r="T14340" s="29" t="str">
        <f t="shared" si="598"/>
        <v>2022.008D.Aelloviridae_146rensp.zip</v>
      </c>
      <c r="U14340" s="29" t="str">
        <f>HYPERLINK("https://ictv.global/taxonomy/taxondetails?taxnode_id=202302545","ictv.global=202302545")</f>
        <v>ictv.global=202302545</v>
      </c>
    </row>
    <row r="14341" spans="1:21">
      <c r="A14341">
        <v>14340</v>
      </c>
      <c r="L14341" s="30" t="s">
        <v>135</v>
      </c>
      <c r="N14341" s="30" t="s">
        <v>138</v>
      </c>
      <c r="P14341" s="30" t="s">
        <v>11550</v>
      </c>
      <c r="Q14341" t="s">
        <v>731</v>
      </c>
      <c r="R14341" t="s">
        <v>920</v>
      </c>
      <c r="S14341">
        <v>38</v>
      </c>
      <c r="T14341" s="29" t="str">
        <f t="shared" si="598"/>
        <v>2022.008D.Aelloviridae_146rensp.zip</v>
      </c>
      <c r="U14341" s="29" t="str">
        <f>HYPERLINK("https://ictv.global/taxonomy/taxondetails?taxnode_id=202302546","ictv.global=202302546")</f>
        <v>ictv.global=202302546</v>
      </c>
    </row>
    <row r="14342" spans="1:21">
      <c r="A14342">
        <v>14341</v>
      </c>
      <c r="L14342" s="30" t="s">
        <v>135</v>
      </c>
      <c r="N14342" s="30" t="s">
        <v>138</v>
      </c>
      <c r="P14342" s="30" t="s">
        <v>11551</v>
      </c>
      <c r="Q14342" t="s">
        <v>731</v>
      </c>
      <c r="R14342" t="s">
        <v>920</v>
      </c>
      <c r="S14342">
        <v>38</v>
      </c>
      <c r="T14342" s="29" t="str">
        <f t="shared" si="598"/>
        <v>2022.008D.Aelloviridae_146rensp.zip</v>
      </c>
      <c r="U14342" s="29" t="str">
        <f>HYPERLINK("https://ictv.global/taxonomy/taxondetails?taxnode_id=202302547","ictv.global=202302547")</f>
        <v>ictv.global=202302547</v>
      </c>
    </row>
    <row r="14343" spans="1:21">
      <c r="A14343">
        <v>14342</v>
      </c>
      <c r="L14343" s="30" t="s">
        <v>135</v>
      </c>
      <c r="N14343" s="30" t="s">
        <v>138</v>
      </c>
      <c r="P14343" s="30" t="s">
        <v>11552</v>
      </c>
      <c r="Q14343" t="s">
        <v>731</v>
      </c>
      <c r="R14343" t="s">
        <v>920</v>
      </c>
      <c r="S14343">
        <v>38</v>
      </c>
      <c r="T14343" s="29" t="str">
        <f t="shared" si="598"/>
        <v>2022.008D.Aelloviridae_146rensp.zip</v>
      </c>
      <c r="U14343" s="29" t="str">
        <f>HYPERLINK("https://ictv.global/taxonomy/taxondetails?taxnode_id=202302548","ictv.global=202302548")</f>
        <v>ictv.global=202302548</v>
      </c>
    </row>
    <row r="14344" spans="1:21">
      <c r="A14344">
        <v>14343</v>
      </c>
      <c r="L14344" s="30" t="s">
        <v>135</v>
      </c>
      <c r="N14344" s="30" t="s">
        <v>138</v>
      </c>
      <c r="P14344" s="30" t="s">
        <v>11553</v>
      </c>
      <c r="Q14344" t="s">
        <v>731</v>
      </c>
      <c r="R14344" t="s">
        <v>920</v>
      </c>
      <c r="S14344">
        <v>38</v>
      </c>
      <c r="T14344" s="29" t="str">
        <f t="shared" si="598"/>
        <v>2022.008D.Aelloviridae_146rensp.zip</v>
      </c>
      <c r="U14344" s="29" t="str">
        <f>HYPERLINK("https://ictv.global/taxonomy/taxondetails?taxnode_id=202302549","ictv.global=202302549")</f>
        <v>ictv.global=202302549</v>
      </c>
    </row>
    <row r="14345" spans="1:21">
      <c r="A14345">
        <v>14344</v>
      </c>
      <c r="L14345" s="30" t="s">
        <v>135</v>
      </c>
      <c r="N14345" s="30" t="s">
        <v>138</v>
      </c>
      <c r="P14345" s="30" t="s">
        <v>11554</v>
      </c>
      <c r="Q14345" t="s">
        <v>731</v>
      </c>
      <c r="R14345" t="s">
        <v>920</v>
      </c>
      <c r="S14345">
        <v>38</v>
      </c>
      <c r="T14345" s="29" t="str">
        <f t="shared" si="598"/>
        <v>2022.008D.Aelloviridae_146rensp.zip</v>
      </c>
      <c r="U14345" s="29" t="str">
        <f>HYPERLINK("https://ictv.global/taxonomy/taxondetails?taxnode_id=202302550","ictv.global=202302550")</f>
        <v>ictv.global=202302550</v>
      </c>
    </row>
    <row r="14346" spans="1:21">
      <c r="A14346">
        <v>14345</v>
      </c>
      <c r="L14346" s="30" t="s">
        <v>135</v>
      </c>
      <c r="N14346" s="30" t="s">
        <v>138</v>
      </c>
      <c r="P14346" s="30" t="s">
        <v>11555</v>
      </c>
      <c r="Q14346" t="s">
        <v>731</v>
      </c>
      <c r="R14346" t="s">
        <v>920</v>
      </c>
      <c r="S14346">
        <v>38</v>
      </c>
      <c r="T14346" s="29" t="str">
        <f t="shared" si="598"/>
        <v>2022.008D.Aelloviridae_146rensp.zip</v>
      </c>
      <c r="U14346" s="29" t="str">
        <f>HYPERLINK("https://ictv.global/taxonomy/taxondetails?taxnode_id=202302551","ictv.global=202302551")</f>
        <v>ictv.global=202302551</v>
      </c>
    </row>
    <row r="14347" spans="1:21">
      <c r="A14347">
        <v>14346</v>
      </c>
      <c r="L14347" s="30" t="s">
        <v>135</v>
      </c>
      <c r="N14347" s="30" t="s">
        <v>138</v>
      </c>
      <c r="P14347" s="30" t="s">
        <v>11556</v>
      </c>
      <c r="Q14347" t="s">
        <v>731</v>
      </c>
      <c r="R14347" t="s">
        <v>920</v>
      </c>
      <c r="S14347">
        <v>38</v>
      </c>
      <c r="T14347" s="29" t="str">
        <f t="shared" si="598"/>
        <v>2022.008D.Aelloviridae_146rensp.zip</v>
      </c>
      <c r="U14347" s="29" t="str">
        <f>HYPERLINK("https://ictv.global/taxonomy/taxondetails?taxnode_id=202302552","ictv.global=202302552")</f>
        <v>ictv.global=202302552</v>
      </c>
    </row>
    <row r="14348" spans="1:21">
      <c r="A14348">
        <v>14347</v>
      </c>
      <c r="L14348" s="30" t="s">
        <v>135</v>
      </c>
      <c r="N14348" s="30" t="s">
        <v>3869</v>
      </c>
      <c r="P14348" s="30" t="s">
        <v>11557</v>
      </c>
      <c r="Q14348" t="s">
        <v>731</v>
      </c>
      <c r="R14348" t="s">
        <v>920</v>
      </c>
      <c r="S14348">
        <v>38</v>
      </c>
      <c r="T14348" s="29" t="str">
        <f t="shared" si="598"/>
        <v>2022.008D.Aelloviridae_146rensp.zip</v>
      </c>
      <c r="U14348" s="29" t="str">
        <f>HYPERLINK("https://ictv.global/taxonomy/taxondetails?taxnode_id=202309434","ictv.global=202309434")</f>
        <v>ictv.global=202309434</v>
      </c>
    </row>
    <row r="14349" spans="1:21">
      <c r="A14349">
        <v>14348</v>
      </c>
      <c r="L14349" s="30" t="s">
        <v>135</v>
      </c>
      <c r="N14349" s="30" t="s">
        <v>460</v>
      </c>
      <c r="P14349" s="30" t="s">
        <v>11558</v>
      </c>
      <c r="Q14349" t="s">
        <v>731</v>
      </c>
      <c r="R14349" t="s">
        <v>920</v>
      </c>
      <c r="S14349">
        <v>38</v>
      </c>
      <c r="T14349" s="29" t="str">
        <f t="shared" si="598"/>
        <v>2022.008D.Aelloviridae_146rensp.zip</v>
      </c>
      <c r="U14349" s="29" t="str">
        <f>HYPERLINK("https://ictv.global/taxonomy/taxondetails?taxnode_id=202302554","ictv.global=202302554")</f>
        <v>ictv.global=202302554</v>
      </c>
    </row>
    <row r="14350" spans="1:21">
      <c r="A14350">
        <v>14349</v>
      </c>
      <c r="L14350" s="30" t="s">
        <v>135</v>
      </c>
      <c r="N14350" s="30" t="s">
        <v>460</v>
      </c>
      <c r="P14350" s="30" t="s">
        <v>3870</v>
      </c>
      <c r="Q14350" t="s">
        <v>731</v>
      </c>
      <c r="R14350" t="s">
        <v>917</v>
      </c>
      <c r="S14350">
        <v>36</v>
      </c>
      <c r="T14350" s="29" t="str">
        <f t="shared" ref="T14350:T14358" si="599">HYPERLINK("https://ictv.global/ictv/proposals/2020.014D.R.Gyrovirus_9nsp.zip","2020.014D.R.Gyrovirus_9nsp.zip")</f>
        <v>2020.014D.R.Gyrovirus_9nsp.zip</v>
      </c>
      <c r="U14350" s="29" t="str">
        <f>HYPERLINK("https://ictv.global/taxonomy/taxondetails?taxnode_id=202309379","ictv.global=202309379")</f>
        <v>ictv.global=202309379</v>
      </c>
    </row>
    <row r="14351" spans="1:21">
      <c r="A14351">
        <v>14350</v>
      </c>
      <c r="L14351" s="30" t="s">
        <v>135</v>
      </c>
      <c r="N14351" s="30" t="s">
        <v>460</v>
      </c>
      <c r="P14351" s="30" t="s">
        <v>3871</v>
      </c>
      <c r="Q14351" t="s">
        <v>731</v>
      </c>
      <c r="R14351" t="s">
        <v>917</v>
      </c>
      <c r="S14351">
        <v>36</v>
      </c>
      <c r="T14351" s="29" t="str">
        <f t="shared" si="599"/>
        <v>2020.014D.R.Gyrovirus_9nsp.zip</v>
      </c>
      <c r="U14351" s="29" t="str">
        <f>HYPERLINK("https://ictv.global/taxonomy/taxondetails?taxnode_id=202309375","ictv.global=202309375")</f>
        <v>ictv.global=202309375</v>
      </c>
    </row>
    <row r="14352" spans="1:21">
      <c r="A14352">
        <v>14351</v>
      </c>
      <c r="L14352" s="30" t="s">
        <v>135</v>
      </c>
      <c r="N14352" s="30" t="s">
        <v>460</v>
      </c>
      <c r="P14352" s="30" t="s">
        <v>3872</v>
      </c>
      <c r="Q14352" t="s">
        <v>731</v>
      </c>
      <c r="R14352" t="s">
        <v>917</v>
      </c>
      <c r="S14352">
        <v>36</v>
      </c>
      <c r="T14352" s="29" t="str">
        <f t="shared" si="599"/>
        <v>2020.014D.R.Gyrovirus_9nsp.zip</v>
      </c>
      <c r="U14352" s="29" t="str">
        <f>HYPERLINK("https://ictv.global/taxonomy/taxondetails?taxnode_id=202309380","ictv.global=202309380")</f>
        <v>ictv.global=202309380</v>
      </c>
    </row>
    <row r="14353" spans="1:21">
      <c r="A14353">
        <v>14352</v>
      </c>
      <c r="L14353" s="30" t="s">
        <v>135</v>
      </c>
      <c r="N14353" s="30" t="s">
        <v>460</v>
      </c>
      <c r="P14353" s="30" t="s">
        <v>3873</v>
      </c>
      <c r="Q14353" t="s">
        <v>731</v>
      </c>
      <c r="R14353" t="s">
        <v>917</v>
      </c>
      <c r="S14353">
        <v>36</v>
      </c>
      <c r="T14353" s="29" t="str">
        <f t="shared" si="599"/>
        <v>2020.014D.R.Gyrovirus_9nsp.zip</v>
      </c>
      <c r="U14353" s="29" t="str">
        <f>HYPERLINK("https://ictv.global/taxonomy/taxondetails?taxnode_id=202309374","ictv.global=202309374")</f>
        <v>ictv.global=202309374</v>
      </c>
    </row>
    <row r="14354" spans="1:21">
      <c r="A14354">
        <v>14353</v>
      </c>
      <c r="L14354" s="30" t="s">
        <v>135</v>
      </c>
      <c r="N14354" s="30" t="s">
        <v>460</v>
      </c>
      <c r="P14354" s="30" t="s">
        <v>3874</v>
      </c>
      <c r="Q14354" t="s">
        <v>731</v>
      </c>
      <c r="R14354" t="s">
        <v>917</v>
      </c>
      <c r="S14354">
        <v>36</v>
      </c>
      <c r="T14354" s="29" t="str">
        <f t="shared" si="599"/>
        <v>2020.014D.R.Gyrovirus_9nsp.zip</v>
      </c>
      <c r="U14354" s="29" t="str">
        <f>HYPERLINK("https://ictv.global/taxonomy/taxondetails?taxnode_id=202309376","ictv.global=202309376")</f>
        <v>ictv.global=202309376</v>
      </c>
    </row>
    <row r="14355" spans="1:21">
      <c r="A14355">
        <v>14354</v>
      </c>
      <c r="L14355" s="30" t="s">
        <v>135</v>
      </c>
      <c r="N14355" s="30" t="s">
        <v>460</v>
      </c>
      <c r="P14355" s="30" t="s">
        <v>3875</v>
      </c>
      <c r="Q14355" t="s">
        <v>731</v>
      </c>
      <c r="R14355" t="s">
        <v>917</v>
      </c>
      <c r="S14355">
        <v>36</v>
      </c>
      <c r="T14355" s="29" t="str">
        <f t="shared" si="599"/>
        <v>2020.014D.R.Gyrovirus_9nsp.zip</v>
      </c>
      <c r="U14355" s="29" t="str">
        <f>HYPERLINK("https://ictv.global/taxonomy/taxondetails?taxnode_id=202309377","ictv.global=202309377")</f>
        <v>ictv.global=202309377</v>
      </c>
    </row>
    <row r="14356" spans="1:21">
      <c r="A14356">
        <v>14355</v>
      </c>
      <c r="L14356" s="30" t="s">
        <v>135</v>
      </c>
      <c r="N14356" s="30" t="s">
        <v>460</v>
      </c>
      <c r="P14356" s="30" t="s">
        <v>3876</v>
      </c>
      <c r="Q14356" t="s">
        <v>731</v>
      </c>
      <c r="R14356" t="s">
        <v>917</v>
      </c>
      <c r="S14356">
        <v>36</v>
      </c>
      <c r="T14356" s="29" t="str">
        <f t="shared" si="599"/>
        <v>2020.014D.R.Gyrovirus_9nsp.zip</v>
      </c>
      <c r="U14356" s="29" t="str">
        <f>HYPERLINK("https://ictv.global/taxonomy/taxondetails?taxnode_id=202309378","ictv.global=202309378")</f>
        <v>ictv.global=202309378</v>
      </c>
    </row>
    <row r="14357" spans="1:21">
      <c r="A14357">
        <v>14356</v>
      </c>
      <c r="L14357" s="30" t="s">
        <v>135</v>
      </c>
      <c r="N14357" s="30" t="s">
        <v>460</v>
      </c>
      <c r="P14357" s="30" t="s">
        <v>3877</v>
      </c>
      <c r="Q14357" t="s">
        <v>731</v>
      </c>
      <c r="R14357" t="s">
        <v>917</v>
      </c>
      <c r="S14357">
        <v>36</v>
      </c>
      <c r="T14357" s="29" t="str">
        <f t="shared" si="599"/>
        <v>2020.014D.R.Gyrovirus_9nsp.zip</v>
      </c>
      <c r="U14357" s="29" t="str">
        <f>HYPERLINK("https://ictv.global/taxonomy/taxondetails?taxnode_id=202309381","ictv.global=202309381")</f>
        <v>ictv.global=202309381</v>
      </c>
    </row>
    <row r="14358" spans="1:21">
      <c r="A14358">
        <v>14357</v>
      </c>
      <c r="L14358" s="30" t="s">
        <v>135</v>
      </c>
      <c r="N14358" s="30" t="s">
        <v>460</v>
      </c>
      <c r="P14358" s="30" t="s">
        <v>3878</v>
      </c>
      <c r="Q14358" t="s">
        <v>731</v>
      </c>
      <c r="R14358" t="s">
        <v>917</v>
      </c>
      <c r="S14358">
        <v>36</v>
      </c>
      <c r="T14358" s="29" t="str">
        <f t="shared" si="599"/>
        <v>2020.014D.R.Gyrovirus_9nsp.zip</v>
      </c>
      <c r="U14358" s="29" t="str">
        <f>HYPERLINK("https://ictv.global/taxonomy/taxondetails?taxnode_id=202309382","ictv.global=202309382")</f>
        <v>ictv.global=202309382</v>
      </c>
    </row>
    <row r="14359" spans="1:21">
      <c r="A14359">
        <v>14358</v>
      </c>
      <c r="L14359" s="30" t="s">
        <v>135</v>
      </c>
      <c r="N14359" s="30" t="s">
        <v>460</v>
      </c>
      <c r="P14359" s="30" t="s">
        <v>18855</v>
      </c>
      <c r="Q14359" t="s">
        <v>731</v>
      </c>
      <c r="R14359" t="s">
        <v>917</v>
      </c>
      <c r="S14359">
        <v>39</v>
      </c>
      <c r="T14359" s="29" t="str">
        <f>HYPERLINK("https://ictv.global/ictv/proposals/2023.004D.Anelloviride_1nsp.zip","2023.004D.Anelloviride_1nsp.zip")</f>
        <v>2023.004D.Anelloviride_1nsp.zip</v>
      </c>
      <c r="U14359" s="29" t="str">
        <f>HYPERLINK("https://ictv.global/taxonomy/taxondetails?taxnode_id=202317787","ictv.global=202317787")</f>
        <v>ictv.global=202317787</v>
      </c>
    </row>
    <row r="14360" spans="1:21">
      <c r="A14360">
        <v>14359</v>
      </c>
      <c r="L14360" s="30" t="s">
        <v>135</v>
      </c>
      <c r="N14360" s="30" t="s">
        <v>3879</v>
      </c>
      <c r="P14360" s="30" t="s">
        <v>11559</v>
      </c>
      <c r="Q14360" t="s">
        <v>731</v>
      </c>
      <c r="R14360" t="s">
        <v>920</v>
      </c>
      <c r="S14360">
        <v>38</v>
      </c>
      <c r="T14360" s="29" t="str">
        <f>HYPERLINK("https://ictv.global/ictv/proposals/2022.008D.Aelloviridae_146rensp.zip","2022.008D.Aelloviridae_146rensp.zip")</f>
        <v>2022.008D.Aelloviridae_146rensp.zip</v>
      </c>
      <c r="U14360" s="29" t="str">
        <f>HYPERLINK("https://ictv.global/taxonomy/taxondetails?taxnode_id=202309436","ictv.global=202309436")</f>
        <v>ictv.global=202309436</v>
      </c>
    </row>
    <row r="14361" spans="1:21">
      <c r="A14361">
        <v>14360</v>
      </c>
      <c r="L14361" s="30" t="s">
        <v>135</v>
      </c>
      <c r="N14361" s="30" t="s">
        <v>3879</v>
      </c>
      <c r="P14361" s="30" t="s">
        <v>18856</v>
      </c>
      <c r="Q14361" t="s">
        <v>731</v>
      </c>
      <c r="R14361" t="s">
        <v>917</v>
      </c>
      <c r="S14361">
        <v>39</v>
      </c>
      <c r="T14361" s="29" t="str">
        <f t="shared" ref="T14361:T14366" si="600">HYPERLINK("https://ictv.global/ictv/proposals/2023.005D.Anelloviride_4ngen_16nsp.zip","2023.005D.Anelloviride_4ngen_16nsp.zip")</f>
        <v>2023.005D.Anelloviride_4ngen_16nsp.zip</v>
      </c>
      <c r="U14361" s="29" t="str">
        <f>HYPERLINK("https://ictv.global/taxonomy/taxondetails?taxnode_id=202317799","ictv.global=202317799")</f>
        <v>ictv.global=202317799</v>
      </c>
    </row>
    <row r="14362" spans="1:21">
      <c r="A14362">
        <v>14361</v>
      </c>
      <c r="L14362" s="30" t="s">
        <v>135</v>
      </c>
      <c r="N14362" s="30" t="s">
        <v>3879</v>
      </c>
      <c r="P14362" s="30" t="s">
        <v>18857</v>
      </c>
      <c r="Q14362" t="s">
        <v>731</v>
      </c>
      <c r="R14362" t="s">
        <v>917</v>
      </c>
      <c r="S14362">
        <v>39</v>
      </c>
      <c r="T14362" s="29" t="str">
        <f t="shared" si="600"/>
        <v>2023.005D.Anelloviride_4ngen_16nsp.zip</v>
      </c>
      <c r="U14362" s="29" t="str">
        <f>HYPERLINK("https://ictv.global/taxonomy/taxondetails?taxnode_id=202317800","ictv.global=202317800")</f>
        <v>ictv.global=202317800</v>
      </c>
    </row>
    <row r="14363" spans="1:21">
      <c r="A14363">
        <v>14362</v>
      </c>
      <c r="L14363" s="30" t="s">
        <v>135</v>
      </c>
      <c r="N14363" s="30" t="s">
        <v>3879</v>
      </c>
      <c r="P14363" s="30" t="s">
        <v>18858</v>
      </c>
      <c r="Q14363" t="s">
        <v>731</v>
      </c>
      <c r="R14363" t="s">
        <v>917</v>
      </c>
      <c r="S14363">
        <v>39</v>
      </c>
      <c r="T14363" s="29" t="str">
        <f t="shared" si="600"/>
        <v>2023.005D.Anelloviride_4ngen_16nsp.zip</v>
      </c>
      <c r="U14363" s="29" t="str">
        <f>HYPERLINK("https://ictv.global/taxonomy/taxondetails?taxnode_id=202317801","ictv.global=202317801")</f>
        <v>ictv.global=202317801</v>
      </c>
    </row>
    <row r="14364" spans="1:21">
      <c r="A14364">
        <v>14363</v>
      </c>
      <c r="L14364" s="30" t="s">
        <v>135</v>
      </c>
      <c r="N14364" s="30" t="s">
        <v>3879</v>
      </c>
      <c r="P14364" s="30" t="s">
        <v>18859</v>
      </c>
      <c r="Q14364" t="s">
        <v>731</v>
      </c>
      <c r="R14364" t="s">
        <v>917</v>
      </c>
      <c r="S14364">
        <v>39</v>
      </c>
      <c r="T14364" s="29" t="str">
        <f t="shared" si="600"/>
        <v>2023.005D.Anelloviride_4ngen_16nsp.zip</v>
      </c>
      <c r="U14364" s="29" t="str">
        <f>HYPERLINK("https://ictv.global/taxonomy/taxondetails?taxnode_id=202317802","ictv.global=202317802")</f>
        <v>ictv.global=202317802</v>
      </c>
    </row>
    <row r="14365" spans="1:21">
      <c r="A14365">
        <v>14364</v>
      </c>
      <c r="L14365" s="30" t="s">
        <v>135</v>
      </c>
      <c r="N14365" s="30" t="s">
        <v>3879</v>
      </c>
      <c r="P14365" s="30" t="s">
        <v>18860</v>
      </c>
      <c r="Q14365" t="s">
        <v>731</v>
      </c>
      <c r="R14365" t="s">
        <v>917</v>
      </c>
      <c r="S14365">
        <v>39</v>
      </c>
      <c r="T14365" s="29" t="str">
        <f t="shared" si="600"/>
        <v>2023.005D.Anelloviride_4ngen_16nsp.zip</v>
      </c>
      <c r="U14365" s="29" t="str">
        <f>HYPERLINK("https://ictv.global/taxonomy/taxondetails?taxnode_id=202317803","ictv.global=202317803")</f>
        <v>ictv.global=202317803</v>
      </c>
    </row>
    <row r="14366" spans="1:21">
      <c r="A14366">
        <v>14365</v>
      </c>
      <c r="L14366" s="30" t="s">
        <v>135</v>
      </c>
      <c r="N14366" s="30" t="s">
        <v>3879</v>
      </c>
      <c r="P14366" s="30" t="s">
        <v>18861</v>
      </c>
      <c r="Q14366" t="s">
        <v>731</v>
      </c>
      <c r="R14366" t="s">
        <v>917</v>
      </c>
      <c r="S14366">
        <v>39</v>
      </c>
      <c r="T14366" s="29" t="str">
        <f t="shared" si="600"/>
        <v>2023.005D.Anelloviride_4ngen_16nsp.zip</v>
      </c>
      <c r="U14366" s="29" t="str">
        <f>HYPERLINK("https://ictv.global/taxonomy/taxondetails?taxnode_id=202317804","ictv.global=202317804")</f>
        <v>ictv.global=202317804</v>
      </c>
    </row>
    <row r="14367" spans="1:21">
      <c r="A14367">
        <v>14366</v>
      </c>
      <c r="L14367" s="30" t="s">
        <v>135</v>
      </c>
      <c r="N14367" s="30" t="s">
        <v>412</v>
      </c>
      <c r="P14367" s="30" t="s">
        <v>11560</v>
      </c>
      <c r="Q14367" t="s">
        <v>731</v>
      </c>
      <c r="R14367" t="s">
        <v>920</v>
      </c>
      <c r="S14367">
        <v>38</v>
      </c>
      <c r="T14367" s="29" t="str">
        <f t="shared" ref="T14367:T14374" si="601">HYPERLINK("https://ictv.global/ictv/proposals/2022.008D.Aelloviridae_146rensp.zip","2022.008D.Aelloviridae_146rensp.zip")</f>
        <v>2022.008D.Aelloviridae_146rensp.zip</v>
      </c>
      <c r="U14367" s="29" t="str">
        <f>HYPERLINK("https://ictv.global/taxonomy/taxondetails?taxnode_id=202302556","ictv.global=202302556")</f>
        <v>ictv.global=202302556</v>
      </c>
    </row>
    <row r="14368" spans="1:21">
      <c r="A14368">
        <v>14367</v>
      </c>
      <c r="L14368" s="30" t="s">
        <v>135</v>
      </c>
      <c r="N14368" s="30" t="s">
        <v>13</v>
      </c>
      <c r="P14368" s="30" t="s">
        <v>11561</v>
      </c>
      <c r="Q14368" t="s">
        <v>731</v>
      </c>
      <c r="R14368" t="s">
        <v>920</v>
      </c>
      <c r="S14368">
        <v>38</v>
      </c>
      <c r="T14368" s="29" t="str">
        <f t="shared" si="601"/>
        <v>2022.008D.Aelloviridae_146rensp.zip</v>
      </c>
      <c r="U14368" s="29" t="str">
        <f>HYPERLINK("https://ictv.global/taxonomy/taxondetails?taxnode_id=202302559","ictv.global=202302559")</f>
        <v>ictv.global=202302559</v>
      </c>
    </row>
    <row r="14369" spans="1:21">
      <c r="A14369">
        <v>14368</v>
      </c>
      <c r="L14369" s="30" t="s">
        <v>135</v>
      </c>
      <c r="N14369" s="30" t="s">
        <v>13</v>
      </c>
      <c r="P14369" s="30" t="s">
        <v>11562</v>
      </c>
      <c r="Q14369" t="s">
        <v>731</v>
      </c>
      <c r="R14369" t="s">
        <v>920</v>
      </c>
      <c r="S14369">
        <v>38</v>
      </c>
      <c r="T14369" s="29" t="str">
        <f t="shared" si="601"/>
        <v>2022.008D.Aelloviridae_146rensp.zip</v>
      </c>
      <c r="U14369" s="29" t="str">
        <f>HYPERLINK("https://ictv.global/taxonomy/taxondetails?taxnode_id=202302560","ictv.global=202302560")</f>
        <v>ictv.global=202302560</v>
      </c>
    </row>
    <row r="14370" spans="1:21">
      <c r="A14370">
        <v>14369</v>
      </c>
      <c r="L14370" s="30" t="s">
        <v>135</v>
      </c>
      <c r="N14370" s="30" t="s">
        <v>14</v>
      </c>
      <c r="P14370" s="30" t="s">
        <v>11563</v>
      </c>
      <c r="Q14370" t="s">
        <v>731</v>
      </c>
      <c r="R14370" t="s">
        <v>920</v>
      </c>
      <c r="S14370">
        <v>38</v>
      </c>
      <c r="T14370" s="29" t="str">
        <f t="shared" si="601"/>
        <v>2022.008D.Aelloviridae_146rensp.zip</v>
      </c>
      <c r="U14370" s="29" t="str">
        <f>HYPERLINK("https://ictv.global/taxonomy/taxondetails?taxnode_id=202306510","ictv.global=202306510")</f>
        <v>ictv.global=202306510</v>
      </c>
    </row>
    <row r="14371" spans="1:21">
      <c r="A14371">
        <v>14370</v>
      </c>
      <c r="L14371" s="30" t="s">
        <v>135</v>
      </c>
      <c r="N14371" s="30" t="s">
        <v>14</v>
      </c>
      <c r="P14371" s="30" t="s">
        <v>11564</v>
      </c>
      <c r="Q14371" t="s">
        <v>731</v>
      </c>
      <c r="R14371" t="s">
        <v>920</v>
      </c>
      <c r="S14371">
        <v>38</v>
      </c>
      <c r="T14371" s="29" t="str">
        <f t="shared" si="601"/>
        <v>2022.008D.Aelloviridae_146rensp.zip</v>
      </c>
      <c r="U14371" s="29" t="str">
        <f>HYPERLINK("https://ictv.global/taxonomy/taxondetails?taxnode_id=202306511","ictv.global=202306511")</f>
        <v>ictv.global=202306511</v>
      </c>
    </row>
    <row r="14372" spans="1:21">
      <c r="A14372">
        <v>14371</v>
      </c>
      <c r="L14372" s="30" t="s">
        <v>135</v>
      </c>
      <c r="N14372" s="30" t="s">
        <v>14</v>
      </c>
      <c r="P14372" s="30" t="s">
        <v>11565</v>
      </c>
      <c r="Q14372" t="s">
        <v>731</v>
      </c>
      <c r="R14372" t="s">
        <v>920</v>
      </c>
      <c r="S14372">
        <v>38</v>
      </c>
      <c r="T14372" s="29" t="str">
        <f t="shared" si="601"/>
        <v>2022.008D.Aelloviridae_146rensp.zip</v>
      </c>
      <c r="U14372" s="29" t="str">
        <f>HYPERLINK("https://ictv.global/taxonomy/taxondetails?taxnode_id=202306512","ictv.global=202306512")</f>
        <v>ictv.global=202306512</v>
      </c>
    </row>
    <row r="14373" spans="1:21">
      <c r="A14373">
        <v>14372</v>
      </c>
      <c r="L14373" s="30" t="s">
        <v>135</v>
      </c>
      <c r="N14373" s="30" t="s">
        <v>14</v>
      </c>
      <c r="P14373" s="30" t="s">
        <v>11566</v>
      </c>
      <c r="Q14373" t="s">
        <v>731</v>
      </c>
      <c r="R14373" t="s">
        <v>920</v>
      </c>
      <c r="S14373">
        <v>38</v>
      </c>
      <c r="T14373" s="29" t="str">
        <f t="shared" si="601"/>
        <v>2022.008D.Aelloviridae_146rensp.zip</v>
      </c>
      <c r="U14373" s="29" t="str">
        <f>HYPERLINK("https://ictv.global/taxonomy/taxondetails?taxnode_id=202306513","ictv.global=202306513")</f>
        <v>ictv.global=202306513</v>
      </c>
    </row>
    <row r="14374" spans="1:21">
      <c r="A14374">
        <v>14373</v>
      </c>
      <c r="L14374" s="30" t="s">
        <v>135</v>
      </c>
      <c r="N14374" s="30" t="s">
        <v>14</v>
      </c>
      <c r="P14374" s="30" t="s">
        <v>11567</v>
      </c>
      <c r="Q14374" t="s">
        <v>731</v>
      </c>
      <c r="R14374" t="s">
        <v>920</v>
      </c>
      <c r="S14374">
        <v>38</v>
      </c>
      <c r="T14374" s="29" t="str">
        <f t="shared" si="601"/>
        <v>2022.008D.Aelloviridae_146rensp.zip</v>
      </c>
      <c r="U14374" s="29" t="str">
        <f>HYPERLINK("https://ictv.global/taxonomy/taxondetails?taxnode_id=202306514","ictv.global=202306514")</f>
        <v>ictv.global=202306514</v>
      </c>
    </row>
    <row r="14375" spans="1:21">
      <c r="A14375">
        <v>14374</v>
      </c>
      <c r="L14375" s="30" t="s">
        <v>135</v>
      </c>
      <c r="N14375" s="30" t="s">
        <v>18862</v>
      </c>
      <c r="P14375" s="30" t="s">
        <v>18863</v>
      </c>
      <c r="Q14375" t="s">
        <v>731</v>
      </c>
      <c r="R14375" t="s">
        <v>917</v>
      </c>
      <c r="S14375">
        <v>39</v>
      </c>
      <c r="T14375" s="29" t="str">
        <f>HYPERLINK("https://ictv.global/ictv/proposals/2023.005D.Anelloviride_4ngen_16nsp.zip","2023.005D.Anelloviride_4ngen_16nsp.zip")</f>
        <v>2023.005D.Anelloviride_4ngen_16nsp.zip</v>
      </c>
      <c r="U14375" s="29" t="str">
        <f>HYPERLINK("https://ictv.global/taxonomy/taxondetails?taxnode_id=202317807","ictv.global=202317807")</f>
        <v>ictv.global=202317807</v>
      </c>
    </row>
    <row r="14376" spans="1:21">
      <c r="A14376">
        <v>14375</v>
      </c>
      <c r="L14376" s="30" t="s">
        <v>135</v>
      </c>
      <c r="N14376" s="30" t="s">
        <v>18864</v>
      </c>
      <c r="P14376" s="30" t="s">
        <v>18865</v>
      </c>
      <c r="Q14376" t="s">
        <v>731</v>
      </c>
      <c r="R14376" t="s">
        <v>917</v>
      </c>
      <c r="S14376">
        <v>39</v>
      </c>
      <c r="T14376" s="29" t="str">
        <f>HYPERLINK("https://ictv.global/ictv/proposals/2023.005D.Anelloviride_4ngen_16nsp.zip","2023.005D.Anelloviride_4ngen_16nsp.zip")</f>
        <v>2023.005D.Anelloviride_4ngen_16nsp.zip</v>
      </c>
      <c r="U14376" s="29" t="str">
        <f>HYPERLINK("https://ictv.global/taxonomy/taxondetails?taxnode_id=202317808","ictv.global=202317808")</f>
        <v>ictv.global=202317808</v>
      </c>
    </row>
    <row r="14377" spans="1:21">
      <c r="A14377">
        <v>14376</v>
      </c>
      <c r="L14377" s="30" t="s">
        <v>135</v>
      </c>
      <c r="N14377" s="30" t="s">
        <v>18864</v>
      </c>
      <c r="P14377" s="30" t="s">
        <v>18866</v>
      </c>
      <c r="Q14377" t="s">
        <v>731</v>
      </c>
      <c r="R14377" t="s">
        <v>917</v>
      </c>
      <c r="S14377">
        <v>39</v>
      </c>
      <c r="T14377" s="29" t="str">
        <f>HYPERLINK("https://ictv.global/ictv/proposals/2023.005D.Anelloviride_4ngen_16nsp.zip","2023.005D.Anelloviride_4ngen_16nsp.zip")</f>
        <v>2023.005D.Anelloviride_4ngen_16nsp.zip</v>
      </c>
      <c r="U14377" s="29" t="str">
        <f>HYPERLINK("https://ictv.global/taxonomy/taxondetails?taxnode_id=202317809","ictv.global=202317809")</f>
        <v>ictv.global=202317809</v>
      </c>
    </row>
    <row r="14378" spans="1:21">
      <c r="A14378">
        <v>14377</v>
      </c>
      <c r="L14378" s="30" t="s">
        <v>135</v>
      </c>
      <c r="N14378" s="30" t="s">
        <v>18864</v>
      </c>
      <c r="P14378" s="30" t="s">
        <v>18867</v>
      </c>
      <c r="Q14378" t="s">
        <v>731</v>
      </c>
      <c r="R14378" t="s">
        <v>917</v>
      </c>
      <c r="S14378">
        <v>39</v>
      </c>
      <c r="T14378" s="29" t="str">
        <f>HYPERLINK("https://ictv.global/ictv/proposals/2023.005D.Anelloviride_4ngen_16nsp.zip","2023.005D.Anelloviride_4ngen_16nsp.zip")</f>
        <v>2023.005D.Anelloviride_4ngen_16nsp.zip</v>
      </c>
      <c r="U14378" s="29" t="str">
        <f>HYPERLINK("https://ictv.global/taxonomy/taxondetails?taxnode_id=202317810","ictv.global=202317810")</f>
        <v>ictv.global=202317810</v>
      </c>
    </row>
    <row r="14379" spans="1:21">
      <c r="A14379">
        <v>14378</v>
      </c>
      <c r="L14379" s="30" t="s">
        <v>135</v>
      </c>
      <c r="N14379" s="30" t="s">
        <v>1577</v>
      </c>
      <c r="P14379" s="30" t="s">
        <v>11568</v>
      </c>
      <c r="Q14379" t="s">
        <v>731</v>
      </c>
      <c r="R14379" t="s">
        <v>920</v>
      </c>
      <c r="S14379">
        <v>38</v>
      </c>
      <c r="T14379" s="29" t="str">
        <f>HYPERLINK("https://ictv.global/ictv/proposals/2022.008D.Aelloviridae_146rensp.zip","2022.008D.Aelloviridae_146rensp.zip")</f>
        <v>2022.008D.Aelloviridae_146rensp.zip</v>
      </c>
      <c r="U14379" s="29" t="str">
        <f>HYPERLINK("https://ictv.global/taxonomy/taxondetails?taxnode_id=202306509","ictv.global=202306509")</f>
        <v>ictv.global=202306509</v>
      </c>
    </row>
    <row r="14380" spans="1:21">
      <c r="A14380">
        <v>14379</v>
      </c>
      <c r="L14380" s="30" t="s">
        <v>135</v>
      </c>
      <c r="N14380" s="30" t="s">
        <v>1577</v>
      </c>
      <c r="P14380" s="30" t="s">
        <v>11569</v>
      </c>
      <c r="Q14380" t="s">
        <v>731</v>
      </c>
      <c r="R14380" t="s">
        <v>917</v>
      </c>
      <c r="S14380">
        <v>37</v>
      </c>
      <c r="T14380" s="29" t="str">
        <f>HYPERLINK("https://ictv.global/ictv/proposals/2021.002D.R.Anelloviridae_1nsp.zip","2021.002D.R.Anelloviridae_1nsp.zip")</f>
        <v>2021.002D.R.Anelloviridae_1nsp.zip</v>
      </c>
      <c r="U14380" s="29" t="str">
        <f>HYPERLINK("https://ictv.global/taxonomy/taxondetails?taxnode_id=202313424","ictv.global=202313424")</f>
        <v>ictv.global=202313424</v>
      </c>
    </row>
    <row r="14381" spans="1:21">
      <c r="A14381">
        <v>14380</v>
      </c>
      <c r="L14381" s="30" t="s">
        <v>135</v>
      </c>
      <c r="N14381" s="30" t="s">
        <v>1578</v>
      </c>
      <c r="P14381" s="30" t="s">
        <v>11570</v>
      </c>
      <c r="Q14381" t="s">
        <v>731</v>
      </c>
      <c r="R14381" t="s">
        <v>920</v>
      </c>
      <c r="S14381">
        <v>38</v>
      </c>
      <c r="T14381" s="29" t="str">
        <f t="shared" ref="T14381:T14391" si="602">HYPERLINK("https://ictv.global/ictv/proposals/2022.008D.Aelloviridae_146rensp.zip","2022.008D.Aelloviridae_146rensp.zip")</f>
        <v>2022.008D.Aelloviridae_146rensp.zip</v>
      </c>
      <c r="U14381" s="29" t="str">
        <f>HYPERLINK("https://ictv.global/taxonomy/taxondetails?taxnode_id=202306516","ictv.global=202306516")</f>
        <v>ictv.global=202306516</v>
      </c>
    </row>
    <row r="14382" spans="1:21">
      <c r="A14382">
        <v>14381</v>
      </c>
      <c r="L14382" s="30" t="s">
        <v>135</v>
      </c>
      <c r="N14382" s="30" t="s">
        <v>3880</v>
      </c>
      <c r="P14382" s="30" t="s">
        <v>11571</v>
      </c>
      <c r="Q14382" t="s">
        <v>731</v>
      </c>
      <c r="R14382" t="s">
        <v>920</v>
      </c>
      <c r="S14382">
        <v>38</v>
      </c>
      <c r="T14382" s="29" t="str">
        <f t="shared" si="602"/>
        <v>2022.008D.Aelloviridae_146rensp.zip</v>
      </c>
      <c r="U14382" s="29" t="str">
        <f>HYPERLINK("https://ictv.global/taxonomy/taxondetails?taxnode_id=202309438","ictv.global=202309438")</f>
        <v>ictv.global=202309438</v>
      </c>
    </row>
    <row r="14383" spans="1:21">
      <c r="A14383">
        <v>14382</v>
      </c>
      <c r="L14383" s="30" t="s">
        <v>135</v>
      </c>
      <c r="N14383" s="30" t="s">
        <v>3881</v>
      </c>
      <c r="P14383" s="30" t="s">
        <v>11572</v>
      </c>
      <c r="Q14383" t="s">
        <v>731</v>
      </c>
      <c r="R14383" t="s">
        <v>920</v>
      </c>
      <c r="S14383">
        <v>38</v>
      </c>
      <c r="T14383" s="29" t="str">
        <f t="shared" si="602"/>
        <v>2022.008D.Aelloviridae_146rensp.zip</v>
      </c>
      <c r="U14383" s="29" t="str">
        <f>HYPERLINK("https://ictv.global/taxonomy/taxondetails?taxnode_id=202309440","ictv.global=202309440")</f>
        <v>ictv.global=202309440</v>
      </c>
    </row>
    <row r="14384" spans="1:21">
      <c r="A14384">
        <v>14383</v>
      </c>
      <c r="L14384" s="30" t="s">
        <v>135</v>
      </c>
      <c r="N14384" s="30" t="s">
        <v>3882</v>
      </c>
      <c r="P14384" s="30" t="s">
        <v>11573</v>
      </c>
      <c r="Q14384" t="s">
        <v>731</v>
      </c>
      <c r="R14384" t="s">
        <v>920</v>
      </c>
      <c r="S14384">
        <v>38</v>
      </c>
      <c r="T14384" s="29" t="str">
        <f t="shared" si="602"/>
        <v>2022.008D.Aelloviridae_146rensp.zip</v>
      </c>
      <c r="U14384" s="29" t="str">
        <f>HYPERLINK("https://ictv.global/taxonomy/taxondetails?taxnode_id=202309442","ictv.global=202309442")</f>
        <v>ictv.global=202309442</v>
      </c>
    </row>
    <row r="14385" spans="1:21">
      <c r="A14385">
        <v>14384</v>
      </c>
      <c r="L14385" s="30" t="s">
        <v>135</v>
      </c>
      <c r="N14385" s="30" t="s">
        <v>3882</v>
      </c>
      <c r="P14385" s="30" t="s">
        <v>11574</v>
      </c>
      <c r="Q14385" t="s">
        <v>731</v>
      </c>
      <c r="R14385" t="s">
        <v>920</v>
      </c>
      <c r="S14385">
        <v>38</v>
      </c>
      <c r="T14385" s="29" t="str">
        <f t="shared" si="602"/>
        <v>2022.008D.Aelloviridae_146rensp.zip</v>
      </c>
      <c r="U14385" s="29" t="str">
        <f>HYPERLINK("https://ictv.global/taxonomy/taxondetails?taxnode_id=202309443","ictv.global=202309443")</f>
        <v>ictv.global=202309443</v>
      </c>
    </row>
    <row r="14386" spans="1:21">
      <c r="A14386">
        <v>14385</v>
      </c>
      <c r="L14386" s="30" t="s">
        <v>135</v>
      </c>
      <c r="N14386" s="30" t="s">
        <v>3882</v>
      </c>
      <c r="P14386" s="30" t="s">
        <v>11575</v>
      </c>
      <c r="Q14386" t="s">
        <v>731</v>
      </c>
      <c r="R14386" t="s">
        <v>920</v>
      </c>
      <c r="S14386">
        <v>38</v>
      </c>
      <c r="T14386" s="29" t="str">
        <f t="shared" si="602"/>
        <v>2022.008D.Aelloviridae_146rensp.zip</v>
      </c>
      <c r="U14386" s="29" t="str">
        <f>HYPERLINK("https://ictv.global/taxonomy/taxondetails?taxnode_id=202309444","ictv.global=202309444")</f>
        <v>ictv.global=202309444</v>
      </c>
    </row>
    <row r="14387" spans="1:21">
      <c r="A14387">
        <v>14386</v>
      </c>
      <c r="L14387" s="30" t="s">
        <v>135</v>
      </c>
      <c r="N14387" s="30" t="s">
        <v>3882</v>
      </c>
      <c r="P14387" s="30" t="s">
        <v>11576</v>
      </c>
      <c r="Q14387" t="s">
        <v>731</v>
      </c>
      <c r="R14387" t="s">
        <v>920</v>
      </c>
      <c r="S14387">
        <v>38</v>
      </c>
      <c r="T14387" s="29" t="str">
        <f t="shared" si="602"/>
        <v>2022.008D.Aelloviridae_146rensp.zip</v>
      </c>
      <c r="U14387" s="29" t="str">
        <f>HYPERLINK("https://ictv.global/taxonomy/taxondetails?taxnode_id=202309445","ictv.global=202309445")</f>
        <v>ictv.global=202309445</v>
      </c>
    </row>
    <row r="14388" spans="1:21">
      <c r="A14388">
        <v>14387</v>
      </c>
      <c r="L14388" s="30" t="s">
        <v>135</v>
      </c>
      <c r="N14388" s="30" t="s">
        <v>3882</v>
      </c>
      <c r="P14388" s="30" t="s">
        <v>11577</v>
      </c>
      <c r="Q14388" t="s">
        <v>731</v>
      </c>
      <c r="R14388" t="s">
        <v>920</v>
      </c>
      <c r="S14388">
        <v>38</v>
      </c>
      <c r="T14388" s="29" t="str">
        <f t="shared" si="602"/>
        <v>2022.008D.Aelloviridae_146rensp.zip</v>
      </c>
      <c r="U14388" s="29" t="str">
        <f>HYPERLINK("https://ictv.global/taxonomy/taxondetails?taxnode_id=202309446","ictv.global=202309446")</f>
        <v>ictv.global=202309446</v>
      </c>
    </row>
    <row r="14389" spans="1:21">
      <c r="A14389">
        <v>14388</v>
      </c>
      <c r="L14389" s="30" t="s">
        <v>135</v>
      </c>
      <c r="N14389" s="30" t="s">
        <v>3882</v>
      </c>
      <c r="P14389" s="30" t="s">
        <v>11578</v>
      </c>
      <c r="Q14389" t="s">
        <v>731</v>
      </c>
      <c r="R14389" t="s">
        <v>920</v>
      </c>
      <c r="S14389">
        <v>38</v>
      </c>
      <c r="T14389" s="29" t="str">
        <f t="shared" si="602"/>
        <v>2022.008D.Aelloviridae_146rensp.zip</v>
      </c>
      <c r="U14389" s="29" t="str">
        <f>HYPERLINK("https://ictv.global/taxonomy/taxondetails?taxnode_id=202309447","ictv.global=202309447")</f>
        <v>ictv.global=202309447</v>
      </c>
    </row>
    <row r="14390" spans="1:21">
      <c r="A14390">
        <v>14389</v>
      </c>
      <c r="L14390" s="30" t="s">
        <v>135</v>
      </c>
      <c r="N14390" s="30" t="s">
        <v>3883</v>
      </c>
      <c r="P14390" s="30" t="s">
        <v>11579</v>
      </c>
      <c r="Q14390" t="s">
        <v>731</v>
      </c>
      <c r="R14390" t="s">
        <v>920</v>
      </c>
      <c r="S14390">
        <v>38</v>
      </c>
      <c r="T14390" s="29" t="str">
        <f t="shared" si="602"/>
        <v>2022.008D.Aelloviridae_146rensp.zip</v>
      </c>
      <c r="U14390" s="29" t="str">
        <f>HYPERLINK("https://ictv.global/taxonomy/taxondetails?taxnode_id=202309449","ictv.global=202309449")</f>
        <v>ictv.global=202309449</v>
      </c>
    </row>
    <row r="14391" spans="1:21">
      <c r="A14391">
        <v>14390</v>
      </c>
      <c r="L14391" s="30" t="s">
        <v>135</v>
      </c>
      <c r="N14391" s="30" t="s">
        <v>3884</v>
      </c>
      <c r="P14391" s="30" t="s">
        <v>11580</v>
      </c>
      <c r="Q14391" t="s">
        <v>731</v>
      </c>
      <c r="R14391" t="s">
        <v>920</v>
      </c>
      <c r="S14391">
        <v>38</v>
      </c>
      <c r="T14391" s="29" t="str">
        <f t="shared" si="602"/>
        <v>2022.008D.Aelloviridae_146rensp.zip</v>
      </c>
      <c r="U14391" s="29" t="str">
        <f>HYPERLINK("https://ictv.global/taxonomy/taxondetails?taxnode_id=202309451","ictv.global=202309451")</f>
        <v>ictv.global=202309451</v>
      </c>
    </row>
    <row r="14392" spans="1:21">
      <c r="A14392">
        <v>14391</v>
      </c>
      <c r="L14392" s="30" t="s">
        <v>135</v>
      </c>
      <c r="N14392" s="30" t="s">
        <v>18868</v>
      </c>
      <c r="P14392" s="30" t="s">
        <v>18869</v>
      </c>
      <c r="Q14392" t="s">
        <v>731</v>
      </c>
      <c r="R14392" t="s">
        <v>917</v>
      </c>
      <c r="S14392">
        <v>39</v>
      </c>
      <c r="T14392" s="29" t="str">
        <f>HYPERLINK("https://ictv.global/ictv/proposals/2023.005D.Anelloviride_4ngen_16nsp.zip","2023.005D.Anelloviride_4ngen_16nsp.zip")</f>
        <v>2023.005D.Anelloviride_4ngen_16nsp.zip</v>
      </c>
      <c r="U14392" s="29" t="str">
        <f>HYPERLINK("https://ictv.global/taxonomy/taxondetails?taxnode_id=202317811","ictv.global=202317811")</f>
        <v>ictv.global=202317811</v>
      </c>
    </row>
    <row r="14393" spans="1:21">
      <c r="A14393">
        <v>14392</v>
      </c>
      <c r="L14393" s="30" t="s">
        <v>135</v>
      </c>
      <c r="N14393" s="30" t="s">
        <v>18868</v>
      </c>
      <c r="P14393" s="30" t="s">
        <v>18870</v>
      </c>
      <c r="Q14393" t="s">
        <v>731</v>
      </c>
      <c r="R14393" t="s">
        <v>917</v>
      </c>
      <c r="S14393">
        <v>39</v>
      </c>
      <c r="T14393" s="29" t="str">
        <f>HYPERLINK("https://ictv.global/ictv/proposals/2023.005D.Anelloviride_4ngen_16nsp.zip","2023.005D.Anelloviride_4ngen_16nsp.zip")</f>
        <v>2023.005D.Anelloviride_4ngen_16nsp.zip</v>
      </c>
      <c r="U14393" s="29" t="str">
        <f>HYPERLINK("https://ictv.global/taxonomy/taxondetails?taxnode_id=202317812","ictv.global=202317812")</f>
        <v>ictv.global=202317812</v>
      </c>
    </row>
    <row r="14394" spans="1:21">
      <c r="A14394">
        <v>14393</v>
      </c>
      <c r="L14394" s="30" t="s">
        <v>135</v>
      </c>
      <c r="N14394" s="30" t="s">
        <v>18868</v>
      </c>
      <c r="P14394" s="30" t="s">
        <v>18871</v>
      </c>
      <c r="Q14394" t="s">
        <v>731</v>
      </c>
      <c r="R14394" t="s">
        <v>917</v>
      </c>
      <c r="S14394">
        <v>39</v>
      </c>
      <c r="T14394" s="29" t="str">
        <f>HYPERLINK("https://ictv.global/ictv/proposals/2023.005D.Anelloviride_4ngen_16nsp.zip","2023.005D.Anelloviride_4ngen_16nsp.zip")</f>
        <v>2023.005D.Anelloviride_4ngen_16nsp.zip</v>
      </c>
      <c r="U14394" s="29" t="str">
        <f>HYPERLINK("https://ictv.global/taxonomy/taxondetails?taxnode_id=202317813","ictv.global=202317813")</f>
        <v>ictv.global=202317813</v>
      </c>
    </row>
    <row r="14395" spans="1:21">
      <c r="A14395">
        <v>14394</v>
      </c>
      <c r="L14395" s="30" t="s">
        <v>135</v>
      </c>
      <c r="N14395" s="30" t="s">
        <v>18868</v>
      </c>
      <c r="P14395" s="30" t="s">
        <v>18872</v>
      </c>
      <c r="Q14395" t="s">
        <v>731</v>
      </c>
      <c r="R14395" t="s">
        <v>917</v>
      </c>
      <c r="S14395">
        <v>39</v>
      </c>
      <c r="T14395" s="29" t="str">
        <f>HYPERLINK("https://ictv.global/ictv/proposals/2023.005D.Anelloviride_4ngen_16nsp.zip","2023.005D.Anelloviride_4ngen_16nsp.zip")</f>
        <v>2023.005D.Anelloviride_4ngen_16nsp.zip</v>
      </c>
      <c r="U14395" s="29" t="str">
        <f>HYPERLINK("https://ictv.global/taxonomy/taxondetails?taxnode_id=202317814","ictv.global=202317814")</f>
        <v>ictv.global=202317814</v>
      </c>
    </row>
    <row r="14396" spans="1:21">
      <c r="A14396">
        <v>14395</v>
      </c>
      <c r="L14396" s="30" t="s">
        <v>135</v>
      </c>
      <c r="N14396" s="30" t="s">
        <v>3885</v>
      </c>
      <c r="P14396" s="30" t="s">
        <v>11581</v>
      </c>
      <c r="Q14396" t="s">
        <v>731</v>
      </c>
      <c r="R14396" t="s">
        <v>920</v>
      </c>
      <c r="S14396">
        <v>38</v>
      </c>
      <c r="T14396" s="29" t="str">
        <f t="shared" ref="T14396:T14424" si="603">HYPERLINK("https://ictv.global/ictv/proposals/2022.008D.Aelloviridae_146rensp.zip","2022.008D.Aelloviridae_146rensp.zip")</f>
        <v>2022.008D.Aelloviridae_146rensp.zip</v>
      </c>
      <c r="U14396" s="29" t="str">
        <f>HYPERLINK("https://ictv.global/taxonomy/taxondetails?taxnode_id=202302562","ictv.global=202302562")</f>
        <v>ictv.global=202302562</v>
      </c>
    </row>
    <row r="14397" spans="1:21">
      <c r="A14397">
        <v>14396</v>
      </c>
      <c r="L14397" s="30" t="s">
        <v>135</v>
      </c>
      <c r="N14397" s="30" t="s">
        <v>3885</v>
      </c>
      <c r="P14397" s="30" t="s">
        <v>11582</v>
      </c>
      <c r="Q14397" t="s">
        <v>731</v>
      </c>
      <c r="R14397" t="s">
        <v>920</v>
      </c>
      <c r="S14397">
        <v>38</v>
      </c>
      <c r="T14397" s="29" t="str">
        <f t="shared" si="603"/>
        <v>2022.008D.Aelloviridae_146rensp.zip</v>
      </c>
      <c r="U14397" s="29" t="str">
        <f>HYPERLINK("https://ictv.global/taxonomy/taxondetails?taxnode_id=202309453","ictv.global=202309453")</f>
        <v>ictv.global=202309453</v>
      </c>
    </row>
    <row r="14398" spans="1:21">
      <c r="A14398">
        <v>14397</v>
      </c>
      <c r="L14398" s="30" t="s">
        <v>135</v>
      </c>
      <c r="N14398" s="30" t="s">
        <v>3885</v>
      </c>
      <c r="P14398" s="30" t="s">
        <v>11583</v>
      </c>
      <c r="Q14398" t="s">
        <v>731</v>
      </c>
      <c r="R14398" t="s">
        <v>920</v>
      </c>
      <c r="S14398">
        <v>38</v>
      </c>
      <c r="T14398" s="29" t="str">
        <f t="shared" si="603"/>
        <v>2022.008D.Aelloviridae_146rensp.zip</v>
      </c>
      <c r="U14398" s="29" t="str">
        <f>HYPERLINK("https://ictv.global/taxonomy/taxondetails?taxnode_id=202309454","ictv.global=202309454")</f>
        <v>ictv.global=202309454</v>
      </c>
    </row>
    <row r="14399" spans="1:21">
      <c r="A14399">
        <v>14398</v>
      </c>
      <c r="L14399" s="30" t="s">
        <v>135</v>
      </c>
      <c r="N14399" s="30" t="s">
        <v>3886</v>
      </c>
      <c r="P14399" s="30" t="s">
        <v>11584</v>
      </c>
      <c r="Q14399" t="s">
        <v>731</v>
      </c>
      <c r="R14399" t="s">
        <v>920</v>
      </c>
      <c r="S14399">
        <v>38</v>
      </c>
      <c r="T14399" s="29" t="str">
        <f t="shared" si="603"/>
        <v>2022.008D.Aelloviridae_146rensp.zip</v>
      </c>
      <c r="U14399" s="29" t="str">
        <f>HYPERLINK("https://ictv.global/taxonomy/taxondetails?taxnode_id=202309458","ictv.global=202309458")</f>
        <v>ictv.global=202309458</v>
      </c>
    </row>
    <row r="14400" spans="1:21">
      <c r="A14400">
        <v>14399</v>
      </c>
      <c r="L14400" s="30" t="s">
        <v>135</v>
      </c>
      <c r="N14400" s="30" t="s">
        <v>411</v>
      </c>
      <c r="P14400" s="30" t="s">
        <v>11585</v>
      </c>
      <c r="Q14400" t="s">
        <v>731</v>
      </c>
      <c r="R14400" t="s">
        <v>920</v>
      </c>
      <c r="S14400">
        <v>38</v>
      </c>
      <c r="T14400" s="29" t="str">
        <f t="shared" si="603"/>
        <v>2022.008D.Aelloviridae_146rensp.zip</v>
      </c>
      <c r="U14400" s="29" t="str">
        <f>HYPERLINK("https://ictv.global/taxonomy/taxondetails?taxnode_id=202302564","ictv.global=202302564")</f>
        <v>ictv.global=202302564</v>
      </c>
    </row>
    <row r="14401" spans="1:21">
      <c r="A14401">
        <v>14400</v>
      </c>
      <c r="L14401" s="30" t="s">
        <v>135</v>
      </c>
      <c r="N14401" s="30" t="s">
        <v>411</v>
      </c>
      <c r="P14401" s="30" t="s">
        <v>11586</v>
      </c>
      <c r="Q14401" t="s">
        <v>731</v>
      </c>
      <c r="R14401" t="s">
        <v>920</v>
      </c>
      <c r="S14401">
        <v>38</v>
      </c>
      <c r="T14401" s="29" t="str">
        <f t="shared" si="603"/>
        <v>2022.008D.Aelloviridae_146rensp.zip</v>
      </c>
      <c r="U14401" s="29" t="str">
        <f>HYPERLINK("https://ictv.global/taxonomy/taxondetails?taxnode_id=202309459","ictv.global=202309459")</f>
        <v>ictv.global=202309459</v>
      </c>
    </row>
    <row r="14402" spans="1:21">
      <c r="A14402">
        <v>14401</v>
      </c>
      <c r="L14402" s="30" t="s">
        <v>135</v>
      </c>
      <c r="N14402" s="30" t="s">
        <v>411</v>
      </c>
      <c r="P14402" s="30" t="s">
        <v>11587</v>
      </c>
      <c r="Q14402" t="s">
        <v>731</v>
      </c>
      <c r="R14402" t="s">
        <v>920</v>
      </c>
      <c r="S14402">
        <v>38</v>
      </c>
      <c r="T14402" s="29" t="str">
        <f t="shared" si="603"/>
        <v>2022.008D.Aelloviridae_146rensp.zip</v>
      </c>
      <c r="U14402" s="29" t="str">
        <f>HYPERLINK("https://ictv.global/taxonomy/taxondetails?taxnode_id=202309460","ictv.global=202309460")</f>
        <v>ictv.global=202309460</v>
      </c>
    </row>
    <row r="14403" spans="1:21">
      <c r="A14403">
        <v>14402</v>
      </c>
      <c r="L14403" s="30" t="s">
        <v>135</v>
      </c>
      <c r="N14403" s="30" t="s">
        <v>411</v>
      </c>
      <c r="P14403" s="30" t="s">
        <v>11588</v>
      </c>
      <c r="Q14403" t="s">
        <v>731</v>
      </c>
      <c r="R14403" t="s">
        <v>920</v>
      </c>
      <c r="S14403">
        <v>38</v>
      </c>
      <c r="T14403" s="29" t="str">
        <f t="shared" si="603"/>
        <v>2022.008D.Aelloviridae_146rensp.zip</v>
      </c>
      <c r="U14403" s="29" t="str">
        <f>HYPERLINK("https://ictv.global/taxonomy/taxondetails?taxnode_id=202309461","ictv.global=202309461")</f>
        <v>ictv.global=202309461</v>
      </c>
    </row>
    <row r="14404" spans="1:21">
      <c r="A14404">
        <v>14403</v>
      </c>
      <c r="L14404" s="30" t="s">
        <v>135</v>
      </c>
      <c r="N14404" s="30" t="s">
        <v>411</v>
      </c>
      <c r="P14404" s="30" t="s">
        <v>11589</v>
      </c>
      <c r="Q14404" t="s">
        <v>731</v>
      </c>
      <c r="R14404" t="s">
        <v>920</v>
      </c>
      <c r="S14404">
        <v>38</v>
      </c>
      <c r="T14404" s="29" t="str">
        <f t="shared" si="603"/>
        <v>2022.008D.Aelloviridae_146rensp.zip</v>
      </c>
      <c r="U14404" s="29" t="str">
        <f>HYPERLINK("https://ictv.global/taxonomy/taxondetails?taxnode_id=202309462","ictv.global=202309462")</f>
        <v>ictv.global=202309462</v>
      </c>
    </row>
    <row r="14405" spans="1:21">
      <c r="A14405">
        <v>14404</v>
      </c>
      <c r="L14405" s="30" t="s">
        <v>135</v>
      </c>
      <c r="N14405" s="30" t="s">
        <v>411</v>
      </c>
      <c r="P14405" s="30" t="s">
        <v>11590</v>
      </c>
      <c r="Q14405" t="s">
        <v>731</v>
      </c>
      <c r="R14405" t="s">
        <v>920</v>
      </c>
      <c r="S14405">
        <v>38</v>
      </c>
      <c r="T14405" s="29" t="str">
        <f t="shared" si="603"/>
        <v>2022.008D.Aelloviridae_146rensp.zip</v>
      </c>
      <c r="U14405" s="29" t="str">
        <f>HYPERLINK("https://ictv.global/taxonomy/taxondetails?taxnode_id=202309463","ictv.global=202309463")</f>
        <v>ictv.global=202309463</v>
      </c>
    </row>
    <row r="14406" spans="1:21">
      <c r="A14406">
        <v>14405</v>
      </c>
      <c r="L14406" s="30" t="s">
        <v>135</v>
      </c>
      <c r="N14406" s="30" t="s">
        <v>411</v>
      </c>
      <c r="P14406" s="30" t="s">
        <v>11591</v>
      </c>
      <c r="Q14406" t="s">
        <v>731</v>
      </c>
      <c r="R14406" t="s">
        <v>920</v>
      </c>
      <c r="S14406">
        <v>38</v>
      </c>
      <c r="T14406" s="29" t="str">
        <f t="shared" si="603"/>
        <v>2022.008D.Aelloviridae_146rensp.zip</v>
      </c>
      <c r="U14406" s="29" t="str">
        <f>HYPERLINK("https://ictv.global/taxonomy/taxondetails?taxnode_id=202309464","ictv.global=202309464")</f>
        <v>ictv.global=202309464</v>
      </c>
    </row>
    <row r="14407" spans="1:21">
      <c r="A14407">
        <v>14406</v>
      </c>
      <c r="L14407" s="30" t="s">
        <v>135</v>
      </c>
      <c r="N14407" s="30" t="s">
        <v>411</v>
      </c>
      <c r="P14407" s="30" t="s">
        <v>11592</v>
      </c>
      <c r="Q14407" t="s">
        <v>731</v>
      </c>
      <c r="R14407" t="s">
        <v>920</v>
      </c>
      <c r="S14407">
        <v>38</v>
      </c>
      <c r="T14407" s="29" t="str">
        <f t="shared" si="603"/>
        <v>2022.008D.Aelloviridae_146rensp.zip</v>
      </c>
      <c r="U14407" s="29" t="str">
        <f>HYPERLINK("https://ictv.global/taxonomy/taxondetails?taxnode_id=202309465","ictv.global=202309465")</f>
        <v>ictv.global=202309465</v>
      </c>
    </row>
    <row r="14408" spans="1:21">
      <c r="A14408">
        <v>14407</v>
      </c>
      <c r="L14408" s="30" t="s">
        <v>135</v>
      </c>
      <c r="N14408" s="30" t="s">
        <v>411</v>
      </c>
      <c r="P14408" s="30" t="s">
        <v>11593</v>
      </c>
      <c r="Q14408" t="s">
        <v>731</v>
      </c>
      <c r="R14408" t="s">
        <v>920</v>
      </c>
      <c r="S14408">
        <v>38</v>
      </c>
      <c r="T14408" s="29" t="str">
        <f t="shared" si="603"/>
        <v>2022.008D.Aelloviridae_146rensp.zip</v>
      </c>
      <c r="U14408" s="29" t="str">
        <f>HYPERLINK("https://ictv.global/taxonomy/taxondetails?taxnode_id=202309466","ictv.global=202309466")</f>
        <v>ictv.global=202309466</v>
      </c>
    </row>
    <row r="14409" spans="1:21">
      <c r="A14409">
        <v>14408</v>
      </c>
      <c r="L14409" s="30" t="s">
        <v>135</v>
      </c>
      <c r="N14409" s="30" t="s">
        <v>411</v>
      </c>
      <c r="P14409" s="30" t="s">
        <v>11594</v>
      </c>
      <c r="Q14409" t="s">
        <v>731</v>
      </c>
      <c r="R14409" t="s">
        <v>920</v>
      </c>
      <c r="S14409">
        <v>38</v>
      </c>
      <c r="T14409" s="29" t="str">
        <f t="shared" si="603"/>
        <v>2022.008D.Aelloviridae_146rensp.zip</v>
      </c>
      <c r="U14409" s="29" t="str">
        <f>HYPERLINK("https://ictv.global/taxonomy/taxondetails?taxnode_id=202309467","ictv.global=202309467")</f>
        <v>ictv.global=202309467</v>
      </c>
    </row>
    <row r="14410" spans="1:21">
      <c r="A14410">
        <v>14409</v>
      </c>
      <c r="L14410" s="30" t="s">
        <v>135</v>
      </c>
      <c r="N14410" s="30" t="s">
        <v>3887</v>
      </c>
      <c r="P14410" s="30" t="s">
        <v>11595</v>
      </c>
      <c r="Q14410" t="s">
        <v>731</v>
      </c>
      <c r="R14410" t="s">
        <v>920</v>
      </c>
      <c r="S14410">
        <v>38</v>
      </c>
      <c r="T14410" s="29" t="str">
        <f t="shared" si="603"/>
        <v>2022.008D.Aelloviridae_146rensp.zip</v>
      </c>
      <c r="U14410" s="29" t="str">
        <f>HYPERLINK("https://ictv.global/taxonomy/taxondetails?taxnode_id=202309469","ictv.global=202309469")</f>
        <v>ictv.global=202309469</v>
      </c>
    </row>
    <row r="14411" spans="1:21">
      <c r="A14411">
        <v>14410</v>
      </c>
      <c r="L14411" s="30" t="s">
        <v>135</v>
      </c>
      <c r="N14411" s="30" t="s">
        <v>3887</v>
      </c>
      <c r="P14411" s="30" t="s">
        <v>11596</v>
      </c>
      <c r="Q14411" t="s">
        <v>731</v>
      </c>
      <c r="R14411" t="s">
        <v>920</v>
      </c>
      <c r="S14411">
        <v>38</v>
      </c>
      <c r="T14411" s="29" t="str">
        <f t="shared" si="603"/>
        <v>2022.008D.Aelloviridae_146rensp.zip</v>
      </c>
      <c r="U14411" s="29" t="str">
        <f>HYPERLINK("https://ictv.global/taxonomy/taxondetails?taxnode_id=202309470","ictv.global=202309470")</f>
        <v>ictv.global=202309470</v>
      </c>
    </row>
    <row r="14412" spans="1:21">
      <c r="A14412">
        <v>14411</v>
      </c>
      <c r="L14412" s="30" t="s">
        <v>135</v>
      </c>
      <c r="N14412" s="30" t="s">
        <v>3887</v>
      </c>
      <c r="P14412" s="30" t="s">
        <v>11597</v>
      </c>
      <c r="Q14412" t="s">
        <v>731</v>
      </c>
      <c r="R14412" t="s">
        <v>920</v>
      </c>
      <c r="S14412">
        <v>38</v>
      </c>
      <c r="T14412" s="29" t="str">
        <f t="shared" si="603"/>
        <v>2022.008D.Aelloviridae_146rensp.zip</v>
      </c>
      <c r="U14412" s="29" t="str">
        <f>HYPERLINK("https://ictv.global/taxonomy/taxondetails?taxnode_id=202309471","ictv.global=202309471")</f>
        <v>ictv.global=202309471</v>
      </c>
    </row>
    <row r="14413" spans="1:21">
      <c r="A14413">
        <v>14412</v>
      </c>
      <c r="L14413" s="30" t="s">
        <v>135</v>
      </c>
      <c r="N14413" s="30" t="s">
        <v>3887</v>
      </c>
      <c r="P14413" s="30" t="s">
        <v>11598</v>
      </c>
      <c r="Q14413" t="s">
        <v>731</v>
      </c>
      <c r="R14413" t="s">
        <v>920</v>
      </c>
      <c r="S14413">
        <v>38</v>
      </c>
      <c r="T14413" s="29" t="str">
        <f t="shared" si="603"/>
        <v>2022.008D.Aelloviridae_146rensp.zip</v>
      </c>
      <c r="U14413" s="29" t="str">
        <f>HYPERLINK("https://ictv.global/taxonomy/taxondetails?taxnode_id=202309472","ictv.global=202309472")</f>
        <v>ictv.global=202309472</v>
      </c>
    </row>
    <row r="14414" spans="1:21">
      <c r="A14414">
        <v>14413</v>
      </c>
      <c r="L14414" s="30" t="s">
        <v>135</v>
      </c>
      <c r="N14414" s="30" t="s">
        <v>3887</v>
      </c>
      <c r="P14414" s="30" t="s">
        <v>11599</v>
      </c>
      <c r="Q14414" t="s">
        <v>731</v>
      </c>
      <c r="R14414" t="s">
        <v>920</v>
      </c>
      <c r="S14414">
        <v>38</v>
      </c>
      <c r="T14414" s="29" t="str">
        <f t="shared" si="603"/>
        <v>2022.008D.Aelloviridae_146rensp.zip</v>
      </c>
      <c r="U14414" s="29" t="str">
        <f>HYPERLINK("https://ictv.global/taxonomy/taxondetails?taxnode_id=202309473","ictv.global=202309473")</f>
        <v>ictv.global=202309473</v>
      </c>
    </row>
    <row r="14415" spans="1:21">
      <c r="A14415">
        <v>14414</v>
      </c>
      <c r="L14415" s="30" t="s">
        <v>135</v>
      </c>
      <c r="N14415" s="30" t="s">
        <v>3887</v>
      </c>
      <c r="P14415" s="30" t="s">
        <v>11600</v>
      </c>
      <c r="Q14415" t="s">
        <v>731</v>
      </c>
      <c r="R14415" t="s">
        <v>920</v>
      </c>
      <c r="S14415">
        <v>38</v>
      </c>
      <c r="T14415" s="29" t="str">
        <f t="shared" si="603"/>
        <v>2022.008D.Aelloviridae_146rensp.zip</v>
      </c>
      <c r="U14415" s="29" t="str">
        <f>HYPERLINK("https://ictv.global/taxonomy/taxondetails?taxnode_id=202309474","ictv.global=202309474")</f>
        <v>ictv.global=202309474</v>
      </c>
    </row>
    <row r="14416" spans="1:21">
      <c r="A14416">
        <v>14415</v>
      </c>
      <c r="L14416" s="30" t="s">
        <v>135</v>
      </c>
      <c r="N14416" s="30" t="s">
        <v>3887</v>
      </c>
      <c r="P14416" s="30" t="s">
        <v>11601</v>
      </c>
      <c r="Q14416" t="s">
        <v>731</v>
      </c>
      <c r="R14416" t="s">
        <v>920</v>
      </c>
      <c r="S14416">
        <v>38</v>
      </c>
      <c r="T14416" s="29" t="str">
        <f t="shared" si="603"/>
        <v>2022.008D.Aelloviridae_146rensp.zip</v>
      </c>
      <c r="U14416" s="29" t="str">
        <f>HYPERLINK("https://ictv.global/taxonomy/taxondetails?taxnode_id=202309475","ictv.global=202309475")</f>
        <v>ictv.global=202309475</v>
      </c>
    </row>
    <row r="14417" spans="1:21">
      <c r="A14417">
        <v>14416</v>
      </c>
      <c r="L14417" s="30" t="s">
        <v>135</v>
      </c>
      <c r="N14417" s="30" t="s">
        <v>3888</v>
      </c>
      <c r="P14417" s="30" t="s">
        <v>11602</v>
      </c>
      <c r="Q14417" t="s">
        <v>731</v>
      </c>
      <c r="R14417" t="s">
        <v>920</v>
      </c>
      <c r="S14417">
        <v>38</v>
      </c>
      <c r="T14417" s="29" t="str">
        <f t="shared" si="603"/>
        <v>2022.008D.Aelloviridae_146rensp.zip</v>
      </c>
      <c r="U14417" s="29" t="str">
        <f>HYPERLINK("https://ictv.global/taxonomy/taxondetails?taxnode_id=202309482","ictv.global=202309482")</f>
        <v>ictv.global=202309482</v>
      </c>
    </row>
    <row r="14418" spans="1:21">
      <c r="A14418">
        <v>14417</v>
      </c>
      <c r="L14418" s="30" t="s">
        <v>135</v>
      </c>
      <c r="N14418" s="30" t="s">
        <v>3888</v>
      </c>
      <c r="P14418" s="30" t="s">
        <v>11603</v>
      </c>
      <c r="Q14418" t="s">
        <v>731</v>
      </c>
      <c r="R14418" t="s">
        <v>920</v>
      </c>
      <c r="S14418">
        <v>38</v>
      </c>
      <c r="T14418" s="29" t="str">
        <f t="shared" si="603"/>
        <v>2022.008D.Aelloviridae_146rensp.zip</v>
      </c>
      <c r="U14418" s="29" t="str">
        <f>HYPERLINK("https://ictv.global/taxonomy/taxondetails?taxnode_id=202309478","ictv.global=202309478")</f>
        <v>ictv.global=202309478</v>
      </c>
    </row>
    <row r="14419" spans="1:21">
      <c r="A14419">
        <v>14418</v>
      </c>
      <c r="L14419" s="30" t="s">
        <v>135</v>
      </c>
      <c r="N14419" s="30" t="s">
        <v>3888</v>
      </c>
      <c r="P14419" s="30" t="s">
        <v>11604</v>
      </c>
      <c r="Q14419" t="s">
        <v>731</v>
      </c>
      <c r="R14419" t="s">
        <v>920</v>
      </c>
      <c r="S14419">
        <v>38</v>
      </c>
      <c r="T14419" s="29" t="str">
        <f t="shared" si="603"/>
        <v>2022.008D.Aelloviridae_146rensp.zip</v>
      </c>
      <c r="U14419" s="29" t="str">
        <f>HYPERLINK("https://ictv.global/taxonomy/taxondetails?taxnode_id=202309479","ictv.global=202309479")</f>
        <v>ictv.global=202309479</v>
      </c>
    </row>
    <row r="14420" spans="1:21">
      <c r="A14420">
        <v>14419</v>
      </c>
      <c r="L14420" s="30" t="s">
        <v>135</v>
      </c>
      <c r="N14420" s="30" t="s">
        <v>3888</v>
      </c>
      <c r="P14420" s="30" t="s">
        <v>11605</v>
      </c>
      <c r="Q14420" t="s">
        <v>731</v>
      </c>
      <c r="R14420" t="s">
        <v>920</v>
      </c>
      <c r="S14420">
        <v>38</v>
      </c>
      <c r="T14420" s="29" t="str">
        <f t="shared" si="603"/>
        <v>2022.008D.Aelloviridae_146rensp.zip</v>
      </c>
      <c r="U14420" s="29" t="str">
        <f>HYPERLINK("https://ictv.global/taxonomy/taxondetails?taxnode_id=202309477","ictv.global=202309477")</f>
        <v>ictv.global=202309477</v>
      </c>
    </row>
    <row r="14421" spans="1:21">
      <c r="A14421">
        <v>14420</v>
      </c>
      <c r="L14421" s="30" t="s">
        <v>135</v>
      </c>
      <c r="N14421" s="30" t="s">
        <v>3888</v>
      </c>
      <c r="P14421" s="30" t="s">
        <v>11606</v>
      </c>
      <c r="Q14421" t="s">
        <v>731</v>
      </c>
      <c r="R14421" t="s">
        <v>920</v>
      </c>
      <c r="S14421">
        <v>38</v>
      </c>
      <c r="T14421" s="29" t="str">
        <f t="shared" si="603"/>
        <v>2022.008D.Aelloviridae_146rensp.zip</v>
      </c>
      <c r="U14421" s="29" t="str">
        <f>HYPERLINK("https://ictv.global/taxonomy/taxondetails?taxnode_id=202309480","ictv.global=202309480")</f>
        <v>ictv.global=202309480</v>
      </c>
    </row>
    <row r="14422" spans="1:21">
      <c r="A14422">
        <v>14421</v>
      </c>
      <c r="L14422" s="30" t="s">
        <v>135</v>
      </c>
      <c r="N14422" s="30" t="s">
        <v>3888</v>
      </c>
      <c r="P14422" s="30" t="s">
        <v>11607</v>
      </c>
      <c r="Q14422" t="s">
        <v>731</v>
      </c>
      <c r="R14422" t="s">
        <v>920</v>
      </c>
      <c r="S14422">
        <v>38</v>
      </c>
      <c r="T14422" s="29" t="str">
        <f t="shared" si="603"/>
        <v>2022.008D.Aelloviridae_146rensp.zip</v>
      </c>
      <c r="U14422" s="29" t="str">
        <f>HYPERLINK("https://ictv.global/taxonomy/taxondetails?taxnode_id=202309481","ictv.global=202309481")</f>
        <v>ictv.global=202309481</v>
      </c>
    </row>
    <row r="14423" spans="1:21">
      <c r="A14423">
        <v>14422</v>
      </c>
      <c r="L14423" s="30" t="s">
        <v>135</v>
      </c>
      <c r="N14423" s="30" t="s">
        <v>3889</v>
      </c>
      <c r="P14423" s="30" t="s">
        <v>11608</v>
      </c>
      <c r="Q14423" t="s">
        <v>731</v>
      </c>
      <c r="R14423" t="s">
        <v>920</v>
      </c>
      <c r="S14423">
        <v>38</v>
      </c>
      <c r="T14423" s="29" t="str">
        <f t="shared" si="603"/>
        <v>2022.008D.Aelloviridae_146rensp.zip</v>
      </c>
      <c r="U14423" s="29" t="str">
        <f>HYPERLINK("https://ictv.global/taxonomy/taxondetails?taxnode_id=202309485","ictv.global=202309485")</f>
        <v>ictv.global=202309485</v>
      </c>
    </row>
    <row r="14424" spans="1:21">
      <c r="A14424">
        <v>14423</v>
      </c>
      <c r="L14424" s="30" t="s">
        <v>135</v>
      </c>
      <c r="N14424" s="30" t="s">
        <v>3889</v>
      </c>
      <c r="P14424" s="30" t="s">
        <v>11609</v>
      </c>
      <c r="Q14424" t="s">
        <v>731</v>
      </c>
      <c r="R14424" t="s">
        <v>920</v>
      </c>
      <c r="S14424">
        <v>38</v>
      </c>
      <c r="T14424" s="29" t="str">
        <f t="shared" si="603"/>
        <v>2022.008D.Aelloviridae_146rensp.zip</v>
      </c>
      <c r="U14424" s="29" t="str">
        <f>HYPERLINK("https://ictv.global/taxonomy/taxondetails?taxnode_id=202309484","ictv.global=202309484")</f>
        <v>ictv.global=202309484</v>
      </c>
    </row>
    <row r="14425" spans="1:21">
      <c r="A14425">
        <v>14424</v>
      </c>
      <c r="L14425" s="30" t="s">
        <v>135</v>
      </c>
      <c r="N14425" s="30" t="s">
        <v>18873</v>
      </c>
      <c r="P14425" s="30" t="s">
        <v>18874</v>
      </c>
      <c r="Q14425" t="s">
        <v>731</v>
      </c>
      <c r="R14425" t="s">
        <v>917</v>
      </c>
      <c r="S14425">
        <v>39</v>
      </c>
      <c r="T14425" s="29" t="str">
        <f>HYPERLINK("https://ictv.global/ictv/proposals/2023.005D.Anelloviride_4ngen_16nsp.zip","2023.005D.Anelloviride_4ngen_16nsp.zip")</f>
        <v>2023.005D.Anelloviride_4ngen_16nsp.zip</v>
      </c>
      <c r="U14425" s="29" t="str">
        <f>HYPERLINK("https://ictv.global/taxonomy/taxondetails?taxnode_id=202317805","ictv.global=202317805")</f>
        <v>ictv.global=202317805</v>
      </c>
    </row>
    <row r="14426" spans="1:21">
      <c r="A14426">
        <v>14425</v>
      </c>
      <c r="L14426" s="30" t="s">
        <v>135</v>
      </c>
      <c r="N14426" s="30" t="s">
        <v>18873</v>
      </c>
      <c r="P14426" s="30" t="s">
        <v>18875</v>
      </c>
      <c r="Q14426" t="s">
        <v>731</v>
      </c>
      <c r="R14426" t="s">
        <v>917</v>
      </c>
      <c r="S14426">
        <v>39</v>
      </c>
      <c r="T14426" s="29" t="str">
        <f>HYPERLINK("https://ictv.global/ictv/proposals/2023.005D.Anelloviride_4ngen_16nsp.zip","2023.005D.Anelloviride_4ngen_16nsp.zip")</f>
        <v>2023.005D.Anelloviride_4ngen_16nsp.zip</v>
      </c>
      <c r="U14426" s="29" t="str">
        <f>HYPERLINK("https://ictv.global/taxonomy/taxondetails?taxnode_id=202317806","ictv.global=202317806")</f>
        <v>ictv.global=202317806</v>
      </c>
    </row>
    <row r="14427" spans="1:21">
      <c r="A14427">
        <v>14426</v>
      </c>
      <c r="L14427" s="30" t="s">
        <v>135</v>
      </c>
      <c r="N14427" s="30" t="s">
        <v>3890</v>
      </c>
      <c r="P14427" s="30" t="s">
        <v>11610</v>
      </c>
      <c r="Q14427" t="s">
        <v>731</v>
      </c>
      <c r="R14427" t="s">
        <v>920</v>
      </c>
      <c r="S14427">
        <v>38</v>
      </c>
      <c r="T14427" s="29" t="str">
        <f>HYPERLINK("https://ictv.global/ictv/proposals/2022.008D.Aelloviridae_146rensp.zip","2022.008D.Aelloviridae_146rensp.zip")</f>
        <v>2022.008D.Aelloviridae_146rensp.zip</v>
      </c>
      <c r="U14427" s="29" t="str">
        <f>HYPERLINK("https://ictv.global/taxonomy/taxondetails?taxnode_id=202309487","ictv.global=202309487")</f>
        <v>ictv.global=202309487</v>
      </c>
    </row>
    <row r="14428" spans="1:21">
      <c r="A14428">
        <v>14427</v>
      </c>
      <c r="L14428" s="30" t="s">
        <v>135</v>
      </c>
      <c r="N14428" s="30" t="s">
        <v>3890</v>
      </c>
      <c r="P14428" s="30" t="s">
        <v>11611</v>
      </c>
      <c r="Q14428" t="s">
        <v>731</v>
      </c>
      <c r="R14428" t="s">
        <v>920</v>
      </c>
      <c r="S14428">
        <v>38</v>
      </c>
      <c r="T14428" s="29" t="str">
        <f>HYPERLINK("https://ictv.global/ictv/proposals/2022.008D.Aelloviridae_146rensp.zip","2022.008D.Aelloviridae_146rensp.zip")</f>
        <v>2022.008D.Aelloviridae_146rensp.zip</v>
      </c>
      <c r="U14428" s="29" t="str">
        <f>HYPERLINK("https://ictv.global/taxonomy/taxondetails?taxnode_id=202309488","ictv.global=202309488")</f>
        <v>ictv.global=202309488</v>
      </c>
    </row>
    <row r="14429" spans="1:21">
      <c r="A14429">
        <v>14428</v>
      </c>
      <c r="L14429" s="30" t="s">
        <v>135</v>
      </c>
      <c r="N14429" s="30" t="s">
        <v>409</v>
      </c>
      <c r="P14429" s="30" t="s">
        <v>11612</v>
      </c>
      <c r="Q14429" t="s">
        <v>731</v>
      </c>
      <c r="R14429" t="s">
        <v>920</v>
      </c>
      <c r="S14429">
        <v>38</v>
      </c>
      <c r="T14429" s="29" t="str">
        <f>HYPERLINK("https://ictv.global/ictv/proposals/2022.008D.Aelloviridae_146rensp.zip","2022.008D.Aelloviridae_146rensp.zip")</f>
        <v>2022.008D.Aelloviridae_146rensp.zip</v>
      </c>
      <c r="U14429" s="29" t="str">
        <f>HYPERLINK("https://ictv.global/taxonomy/taxondetails?taxnode_id=202302566","ictv.global=202302566")</f>
        <v>ictv.global=202302566</v>
      </c>
    </row>
    <row r="14430" spans="1:21">
      <c r="A14430">
        <v>14429</v>
      </c>
      <c r="L14430" s="30" t="s">
        <v>169</v>
      </c>
      <c r="N14430" s="30" t="s">
        <v>170</v>
      </c>
      <c r="P14430" s="30" t="s">
        <v>18876</v>
      </c>
      <c r="Q14430" t="s">
        <v>1208</v>
      </c>
      <c r="R14430" t="s">
        <v>920</v>
      </c>
      <c r="S14430">
        <v>39</v>
      </c>
      <c r="T14430" s="29" t="str">
        <f>HYPERLINK("https://ictv.global/ictv/proposals/2023.032P.Avsunviroidae_and_Pospiviroidae_rename_sp.zip","2023.032P.Avsunviroidae_and_Pospiviroidae_rename_sp.zip")</f>
        <v>2023.032P.Avsunviroidae_and_Pospiviroidae_rename_sp.zip</v>
      </c>
      <c r="U14430" s="29" t="str">
        <f>HYPERLINK("https://ictv.global/taxonomy/taxondetails?taxnode_id=202302648","ictv.global=202302648")</f>
        <v>ictv.global=202302648</v>
      </c>
    </row>
    <row r="14431" spans="1:21">
      <c r="A14431">
        <v>14430</v>
      </c>
      <c r="L14431" s="30" t="s">
        <v>169</v>
      </c>
      <c r="N14431" s="30" t="s">
        <v>171</v>
      </c>
      <c r="P14431" s="30" t="s">
        <v>18877</v>
      </c>
      <c r="Q14431" t="s">
        <v>1208</v>
      </c>
      <c r="R14431" t="s">
        <v>920</v>
      </c>
      <c r="S14431">
        <v>39</v>
      </c>
      <c r="T14431" s="29" t="str">
        <f>HYPERLINK("https://ictv.global/ictv/proposals/2023.032P.Avsunviroidae_and_Pospiviroidae_rename_sp.zip","2023.032P.Avsunviroidae_and_Pospiviroidae_rename_sp.zip")</f>
        <v>2023.032P.Avsunviroidae_and_Pospiviroidae_rename_sp.zip</v>
      </c>
      <c r="U14431" s="29" t="str">
        <f>HYPERLINK("https://ictv.global/taxonomy/taxondetails?taxnode_id=202302650","ictv.global=202302650")</f>
        <v>ictv.global=202302650</v>
      </c>
    </row>
    <row r="14432" spans="1:21">
      <c r="A14432">
        <v>14431</v>
      </c>
      <c r="L14432" s="30" t="s">
        <v>169</v>
      </c>
      <c r="N14432" s="30" t="s">
        <v>172</v>
      </c>
      <c r="P14432" s="30" t="s">
        <v>18878</v>
      </c>
      <c r="Q14432" t="s">
        <v>1208</v>
      </c>
      <c r="R14432" t="s">
        <v>920</v>
      </c>
      <c r="S14432">
        <v>39</v>
      </c>
      <c r="T14432" s="29" t="str">
        <f>HYPERLINK("https://ictv.global/ictv/proposals/2023.032P.Avsunviroidae_and_Pospiviroidae_rename_sp.zip","2023.032P.Avsunviroidae_and_Pospiviroidae_rename_sp.zip")</f>
        <v>2023.032P.Avsunviroidae_and_Pospiviroidae_rename_sp.zip</v>
      </c>
      <c r="U14432" s="29" t="str">
        <f>HYPERLINK("https://ictv.global/taxonomy/taxondetails?taxnode_id=202302653","ictv.global=202302653")</f>
        <v>ictv.global=202302653</v>
      </c>
    </row>
    <row r="14433" spans="1:21">
      <c r="A14433">
        <v>14432</v>
      </c>
      <c r="L14433" s="30" t="s">
        <v>169</v>
      </c>
      <c r="N14433" s="30" t="s">
        <v>172</v>
      </c>
      <c r="P14433" s="30" t="s">
        <v>18879</v>
      </c>
      <c r="Q14433" t="s">
        <v>1208</v>
      </c>
      <c r="R14433" t="s">
        <v>920</v>
      </c>
      <c r="S14433">
        <v>39</v>
      </c>
      <c r="T14433" s="29" t="str">
        <f>HYPERLINK("https://ictv.global/ictv/proposals/2023.032P.Avsunviroidae_and_Pospiviroidae_rename_sp.zip","2023.032P.Avsunviroidae_and_Pospiviroidae_rename_sp.zip")</f>
        <v>2023.032P.Avsunviroidae_and_Pospiviroidae_rename_sp.zip</v>
      </c>
      <c r="U14433" s="29" t="str">
        <f>HYPERLINK("https://ictv.global/taxonomy/taxondetails?taxnode_id=202302652","ictv.global=202302652")</f>
        <v>ictv.global=202302652</v>
      </c>
    </row>
    <row r="14434" spans="1:21">
      <c r="A14434">
        <v>14433</v>
      </c>
      <c r="L14434" s="30" t="s">
        <v>169</v>
      </c>
      <c r="N14434" s="30" t="s">
        <v>172</v>
      </c>
      <c r="P14434" s="30" t="s">
        <v>18880</v>
      </c>
      <c r="Q14434" t="s">
        <v>1208</v>
      </c>
      <c r="R14434" t="s">
        <v>920</v>
      </c>
      <c r="S14434">
        <v>39</v>
      </c>
      <c r="T14434" s="29" t="str">
        <f>HYPERLINK("https://ictv.global/ictv/proposals/2023.032P.Avsunviroidae_and_Pospiviroidae_rename_sp.zip","2023.032P.Avsunviroidae_and_Pospiviroidae_rename_sp.zip")</f>
        <v>2023.032P.Avsunviroidae_and_Pospiviroidae_rename_sp.zip</v>
      </c>
      <c r="U14434" s="29" t="str">
        <f>HYPERLINK("https://ictv.global/taxonomy/taxondetails?taxnode_id=202307651","ictv.global=202307651")</f>
        <v>ictv.global=202307651</v>
      </c>
    </row>
    <row r="14435" spans="1:21">
      <c r="A14435">
        <v>14434</v>
      </c>
      <c r="L14435" s="30" t="s">
        <v>11701</v>
      </c>
      <c r="N14435" s="30" t="s">
        <v>11702</v>
      </c>
      <c r="P14435" s="30" t="s">
        <v>11693</v>
      </c>
      <c r="Q14435" t="s">
        <v>619</v>
      </c>
      <c r="R14435" t="s">
        <v>917</v>
      </c>
      <c r="S14435">
        <v>38</v>
      </c>
      <c r="T14435" s="29" t="str">
        <f>HYPERLINK("https://ictv.global/ictv/proposals/2022.001G.GTA_viriforms.zip","2022.001G.GTA_viriforms.zip")</f>
        <v>2022.001G.GTA_viriforms.zip</v>
      </c>
      <c r="U14435" s="29" t="str">
        <f>HYPERLINK("https://ictv.global/taxonomy/taxondetails?taxnode_id=202315076","ictv.global=202315076")</f>
        <v>ictv.global=202315076</v>
      </c>
    </row>
    <row r="14436" spans="1:21">
      <c r="A14436">
        <v>14435</v>
      </c>
      <c r="L14436" s="30" t="s">
        <v>182</v>
      </c>
      <c r="N14436" s="30" t="s">
        <v>183</v>
      </c>
      <c r="P14436" s="30" t="s">
        <v>18881</v>
      </c>
      <c r="Q14436" t="s">
        <v>619</v>
      </c>
      <c r="R14436" t="s">
        <v>920</v>
      </c>
      <c r="S14436">
        <v>39</v>
      </c>
      <c r="T14436" s="29" t="str">
        <f>HYPERLINK("https://ictv.global/ictv/proposals/2023.001A.Archaeal_binomials.zip","2023.001A.Archaeal_binomials.zip")</f>
        <v>2023.001A.Archaeal_binomials.zip</v>
      </c>
      <c r="U14436" s="29" t="str">
        <f>HYPERLINK("https://ictv.global/taxonomy/taxondetails?taxnode_id=202302740","ictv.global=202302740")</f>
        <v>ictv.global=202302740</v>
      </c>
    </row>
    <row r="14437" spans="1:21">
      <c r="A14437">
        <v>14436</v>
      </c>
      <c r="L14437" s="30" t="s">
        <v>11703</v>
      </c>
      <c r="N14437" s="30" t="s">
        <v>11704</v>
      </c>
      <c r="P14437" s="30" t="s">
        <v>11694</v>
      </c>
      <c r="Q14437" t="s">
        <v>619</v>
      </c>
      <c r="R14437" t="s">
        <v>917</v>
      </c>
      <c r="S14437">
        <v>38</v>
      </c>
      <c r="T14437" s="29" t="str">
        <f>HYPERLINK("https://ictv.global/ictv/proposals/2022.001G.GTA_viriforms.zip","2022.001G.GTA_viriforms.zip")</f>
        <v>2022.001G.GTA_viriforms.zip</v>
      </c>
      <c r="U14437" s="29" t="str">
        <f>HYPERLINK("https://ictv.global/taxonomy/taxondetails?taxnode_id=202315077","ictv.global=202315077")</f>
        <v>ictv.global=202315077</v>
      </c>
    </row>
    <row r="14438" spans="1:21">
      <c r="A14438">
        <v>14437</v>
      </c>
      <c r="L14438" s="30" t="s">
        <v>21</v>
      </c>
      <c r="N14438" s="30" t="s">
        <v>22</v>
      </c>
      <c r="P14438" s="30" t="s">
        <v>18882</v>
      </c>
      <c r="Q14438" t="s">
        <v>619</v>
      </c>
      <c r="R14438" t="s">
        <v>920</v>
      </c>
      <c r="S14438">
        <v>39</v>
      </c>
      <c r="T14438" s="29" t="str">
        <f t="shared" ref="T14438:T14453" si="604">HYPERLINK("https://ictv.global/ictv/proposals/2023.001A.Archaeal_binomials.zip","2023.001A.Archaeal_binomials.zip")</f>
        <v>2023.001A.Archaeal_binomials.zip</v>
      </c>
      <c r="U14438" s="29" t="str">
        <f>HYPERLINK("https://ictv.global/taxonomy/taxondetails?taxnode_id=202302977","ictv.global=202302977")</f>
        <v>ictv.global=202302977</v>
      </c>
    </row>
    <row r="14439" spans="1:21">
      <c r="A14439">
        <v>14438</v>
      </c>
      <c r="L14439" s="30" t="s">
        <v>498</v>
      </c>
      <c r="N14439" s="30" t="s">
        <v>519</v>
      </c>
      <c r="P14439" s="30" t="s">
        <v>18883</v>
      </c>
      <c r="Q14439" t="s">
        <v>619</v>
      </c>
      <c r="R14439" t="s">
        <v>920</v>
      </c>
      <c r="S14439">
        <v>39</v>
      </c>
      <c r="T14439" s="29" t="str">
        <f t="shared" si="604"/>
        <v>2023.001A.Archaeal_binomials.zip</v>
      </c>
      <c r="U14439" s="29" t="str">
        <f>HYPERLINK("https://ictv.global/taxonomy/taxondetails?taxnode_id=202303161","ictv.global=202303161")</f>
        <v>ictv.global=202303161</v>
      </c>
    </row>
    <row r="14440" spans="1:21">
      <c r="A14440">
        <v>14439</v>
      </c>
      <c r="L14440" s="30" t="s">
        <v>498</v>
      </c>
      <c r="N14440" s="30" t="s">
        <v>519</v>
      </c>
      <c r="P14440" s="30" t="s">
        <v>18884</v>
      </c>
      <c r="Q14440" t="s">
        <v>619</v>
      </c>
      <c r="R14440" t="s">
        <v>920</v>
      </c>
      <c r="S14440">
        <v>39</v>
      </c>
      <c r="T14440" s="29" t="str">
        <f t="shared" si="604"/>
        <v>2023.001A.Archaeal_binomials.zip</v>
      </c>
      <c r="U14440" s="29" t="str">
        <f>HYPERLINK("https://ictv.global/taxonomy/taxondetails?taxnode_id=202303159","ictv.global=202303159")</f>
        <v>ictv.global=202303159</v>
      </c>
    </row>
    <row r="14441" spans="1:21">
      <c r="A14441">
        <v>14440</v>
      </c>
      <c r="L14441" s="30" t="s">
        <v>498</v>
      </c>
      <c r="N14441" s="30" t="s">
        <v>519</v>
      </c>
      <c r="P14441" s="30" t="s">
        <v>18885</v>
      </c>
      <c r="Q14441" t="s">
        <v>619</v>
      </c>
      <c r="R14441" t="s">
        <v>920</v>
      </c>
      <c r="S14441">
        <v>39</v>
      </c>
      <c r="T14441" s="29" t="str">
        <f t="shared" si="604"/>
        <v>2023.001A.Archaeal_binomials.zip</v>
      </c>
      <c r="U14441" s="29" t="str">
        <f>HYPERLINK("https://ictv.global/taxonomy/taxondetails?taxnode_id=202303163","ictv.global=202303163")</f>
        <v>ictv.global=202303163</v>
      </c>
    </row>
    <row r="14442" spans="1:21">
      <c r="A14442">
        <v>14441</v>
      </c>
      <c r="L14442" s="30" t="s">
        <v>498</v>
      </c>
      <c r="N14442" s="30" t="s">
        <v>519</v>
      </c>
      <c r="P14442" s="30" t="s">
        <v>18886</v>
      </c>
      <c r="Q14442" t="s">
        <v>619</v>
      </c>
      <c r="R14442" t="s">
        <v>920</v>
      </c>
      <c r="S14442">
        <v>39</v>
      </c>
      <c r="T14442" s="29" t="str">
        <f t="shared" si="604"/>
        <v>2023.001A.Archaeal_binomials.zip</v>
      </c>
      <c r="U14442" s="29" t="str">
        <f>HYPERLINK("https://ictv.global/taxonomy/taxondetails?taxnode_id=202303162","ictv.global=202303162")</f>
        <v>ictv.global=202303162</v>
      </c>
    </row>
    <row r="14443" spans="1:21">
      <c r="A14443">
        <v>14442</v>
      </c>
      <c r="L14443" s="30" t="s">
        <v>498</v>
      </c>
      <c r="N14443" s="30" t="s">
        <v>519</v>
      </c>
      <c r="P14443" s="30" t="s">
        <v>18887</v>
      </c>
      <c r="Q14443" t="s">
        <v>619</v>
      </c>
      <c r="R14443" t="s">
        <v>920</v>
      </c>
      <c r="S14443">
        <v>39</v>
      </c>
      <c r="T14443" s="29" t="str">
        <f t="shared" si="604"/>
        <v>2023.001A.Archaeal_binomials.zip</v>
      </c>
      <c r="U14443" s="29" t="str">
        <f>HYPERLINK("https://ictv.global/taxonomy/taxondetails?taxnode_id=202303165","ictv.global=202303165")</f>
        <v>ictv.global=202303165</v>
      </c>
    </row>
    <row r="14444" spans="1:21">
      <c r="A14444">
        <v>14443</v>
      </c>
      <c r="L14444" s="30" t="s">
        <v>498</v>
      </c>
      <c r="N14444" s="30" t="s">
        <v>519</v>
      </c>
      <c r="P14444" s="30" t="s">
        <v>18888</v>
      </c>
      <c r="Q14444" t="s">
        <v>619</v>
      </c>
      <c r="R14444" t="s">
        <v>920</v>
      </c>
      <c r="S14444">
        <v>39</v>
      </c>
      <c r="T14444" s="29" t="str">
        <f t="shared" si="604"/>
        <v>2023.001A.Archaeal_binomials.zip</v>
      </c>
      <c r="U14444" s="29" t="str">
        <f>HYPERLINK("https://ictv.global/taxonomy/taxondetails?taxnode_id=202303160","ictv.global=202303160")</f>
        <v>ictv.global=202303160</v>
      </c>
    </row>
    <row r="14445" spans="1:21">
      <c r="A14445">
        <v>14444</v>
      </c>
      <c r="L14445" s="30" t="s">
        <v>498</v>
      </c>
      <c r="N14445" s="30" t="s">
        <v>519</v>
      </c>
      <c r="P14445" s="30" t="s">
        <v>18889</v>
      </c>
      <c r="Q14445" t="s">
        <v>619</v>
      </c>
      <c r="R14445" t="s">
        <v>920</v>
      </c>
      <c r="S14445">
        <v>39</v>
      </c>
      <c r="T14445" s="29" t="str">
        <f t="shared" si="604"/>
        <v>2023.001A.Archaeal_binomials.zip</v>
      </c>
      <c r="U14445" s="29" t="str">
        <f>HYPERLINK("https://ictv.global/taxonomy/taxondetails?taxnode_id=202303164","ictv.global=202303164")</f>
        <v>ictv.global=202303164</v>
      </c>
    </row>
    <row r="14446" spans="1:21">
      <c r="A14446">
        <v>14445</v>
      </c>
      <c r="L14446" s="30" t="s">
        <v>498</v>
      </c>
      <c r="N14446" s="30" t="s">
        <v>520</v>
      </c>
      <c r="P14446" s="30" t="s">
        <v>18890</v>
      </c>
      <c r="Q14446" t="s">
        <v>619</v>
      </c>
      <c r="R14446" t="s">
        <v>920</v>
      </c>
      <c r="S14446">
        <v>39</v>
      </c>
      <c r="T14446" s="29" t="str">
        <f t="shared" si="604"/>
        <v>2023.001A.Archaeal_binomials.zip</v>
      </c>
      <c r="U14446" s="29" t="str">
        <f>HYPERLINK("https://ictv.global/taxonomy/taxondetails?taxnode_id=202303168","ictv.global=202303168")</f>
        <v>ictv.global=202303168</v>
      </c>
    </row>
    <row r="14447" spans="1:21">
      <c r="A14447">
        <v>14446</v>
      </c>
      <c r="L14447" s="30" t="s">
        <v>498</v>
      </c>
      <c r="N14447" s="30" t="s">
        <v>520</v>
      </c>
      <c r="P14447" s="30" t="s">
        <v>18891</v>
      </c>
      <c r="Q14447" t="s">
        <v>619</v>
      </c>
      <c r="R14447" t="s">
        <v>920</v>
      </c>
      <c r="S14447">
        <v>39</v>
      </c>
      <c r="T14447" s="29" t="str">
        <f t="shared" si="604"/>
        <v>2023.001A.Archaeal_binomials.zip</v>
      </c>
      <c r="U14447" s="29" t="str">
        <f>HYPERLINK("https://ictv.global/taxonomy/taxondetails?taxnode_id=202303167","ictv.global=202303167")</f>
        <v>ictv.global=202303167</v>
      </c>
    </row>
    <row r="14448" spans="1:21">
      <c r="A14448">
        <v>14447</v>
      </c>
      <c r="L14448" s="30" t="s">
        <v>147</v>
      </c>
      <c r="N14448" s="30" t="s">
        <v>3891</v>
      </c>
      <c r="P14448" s="30" t="s">
        <v>18892</v>
      </c>
      <c r="Q14448" t="s">
        <v>619</v>
      </c>
      <c r="R14448" t="s">
        <v>920</v>
      </c>
      <c r="S14448">
        <v>39</v>
      </c>
      <c r="T14448" s="29" t="str">
        <f t="shared" si="604"/>
        <v>2023.001A.Archaeal_binomials.zip</v>
      </c>
      <c r="U14448" s="29" t="str">
        <f>HYPERLINK("https://ictv.global/taxonomy/taxondetails?taxnode_id=202303638","ictv.global=202303638")</f>
        <v>ictv.global=202303638</v>
      </c>
    </row>
    <row r="14449" spans="1:21">
      <c r="A14449">
        <v>14448</v>
      </c>
      <c r="L14449" s="30" t="s">
        <v>147</v>
      </c>
      <c r="N14449" s="30" t="s">
        <v>3891</v>
      </c>
      <c r="P14449" s="30" t="s">
        <v>18893</v>
      </c>
      <c r="Q14449" t="s">
        <v>619</v>
      </c>
      <c r="R14449" t="s">
        <v>920</v>
      </c>
      <c r="S14449">
        <v>39</v>
      </c>
      <c r="T14449" s="29" t="str">
        <f t="shared" si="604"/>
        <v>2023.001A.Archaeal_binomials.zip</v>
      </c>
      <c r="U14449" s="29" t="str">
        <f>HYPERLINK("https://ictv.global/taxonomy/taxondetails?taxnode_id=202303637","ictv.global=202303637")</f>
        <v>ictv.global=202303637</v>
      </c>
    </row>
    <row r="14450" spans="1:21">
      <c r="A14450">
        <v>14449</v>
      </c>
      <c r="L14450" s="30" t="s">
        <v>147</v>
      </c>
      <c r="N14450" s="30" t="s">
        <v>3891</v>
      </c>
      <c r="P14450" s="30" t="s">
        <v>18894</v>
      </c>
      <c r="Q14450" t="s">
        <v>619</v>
      </c>
      <c r="R14450" t="s">
        <v>920</v>
      </c>
      <c r="S14450">
        <v>39</v>
      </c>
      <c r="T14450" s="29" t="str">
        <f t="shared" si="604"/>
        <v>2023.001A.Archaeal_binomials.zip</v>
      </c>
      <c r="U14450" s="29" t="str">
        <f>HYPERLINK("https://ictv.global/taxonomy/taxondetails?taxnode_id=202310043","ictv.global=202310043")</f>
        <v>ictv.global=202310043</v>
      </c>
    </row>
    <row r="14451" spans="1:21">
      <c r="A14451">
        <v>14450</v>
      </c>
      <c r="L14451" s="30" t="s">
        <v>147</v>
      </c>
      <c r="N14451" s="30" t="s">
        <v>3891</v>
      </c>
      <c r="P14451" s="30" t="s">
        <v>18895</v>
      </c>
      <c r="Q14451" t="s">
        <v>619</v>
      </c>
      <c r="R14451" t="s">
        <v>920</v>
      </c>
      <c r="S14451">
        <v>39</v>
      </c>
      <c r="T14451" s="29" t="str">
        <f t="shared" si="604"/>
        <v>2023.001A.Archaeal_binomials.zip</v>
      </c>
      <c r="U14451" s="29" t="str">
        <f>HYPERLINK("https://ictv.global/taxonomy/taxondetails?taxnode_id=202310044","ictv.global=202310044")</f>
        <v>ictv.global=202310044</v>
      </c>
    </row>
    <row r="14452" spans="1:21">
      <c r="A14452">
        <v>14451</v>
      </c>
      <c r="L14452" s="30" t="s">
        <v>380</v>
      </c>
      <c r="N14452" s="30" t="s">
        <v>524</v>
      </c>
      <c r="P14452" s="30" t="s">
        <v>18896</v>
      </c>
      <c r="Q14452" t="s">
        <v>619</v>
      </c>
      <c r="R14452" t="s">
        <v>920</v>
      </c>
      <c r="S14452">
        <v>39</v>
      </c>
      <c r="T14452" s="29" t="str">
        <f t="shared" si="604"/>
        <v>2023.001A.Archaeal_binomials.zip</v>
      </c>
      <c r="U14452" s="29" t="str">
        <f>HYPERLINK("https://ictv.global/taxonomy/taxondetails?taxnode_id=202303644","ictv.global=202303644")</f>
        <v>ictv.global=202303644</v>
      </c>
    </row>
    <row r="14453" spans="1:21">
      <c r="A14453">
        <v>14452</v>
      </c>
      <c r="L14453" s="30" t="s">
        <v>2178</v>
      </c>
      <c r="N14453" s="30" t="s">
        <v>257</v>
      </c>
      <c r="P14453" s="30" t="s">
        <v>18897</v>
      </c>
      <c r="Q14453" t="s">
        <v>619</v>
      </c>
      <c r="R14453" t="s">
        <v>920</v>
      </c>
      <c r="S14453">
        <v>39</v>
      </c>
      <c r="T14453" s="29" t="str">
        <f t="shared" si="604"/>
        <v>2023.001A.Archaeal_binomials.zip</v>
      </c>
      <c r="U14453" s="29" t="str">
        <f>HYPERLINK("https://ictv.global/taxonomy/taxondetails?taxnode_id=202305366","ictv.global=202305366")</f>
        <v>ictv.global=202305366</v>
      </c>
    </row>
    <row r="14454" spans="1:21">
      <c r="A14454">
        <v>14453</v>
      </c>
      <c r="L14454" s="30" t="s">
        <v>11705</v>
      </c>
      <c r="N14454" s="30" t="s">
        <v>11706</v>
      </c>
      <c r="P14454" s="30" t="s">
        <v>11695</v>
      </c>
      <c r="Q14454" t="s">
        <v>619</v>
      </c>
      <c r="R14454" t="s">
        <v>917</v>
      </c>
      <c r="S14454">
        <v>38</v>
      </c>
      <c r="T14454" s="29" t="str">
        <f>HYPERLINK("https://ictv.global/ictv/proposals/2022.001A.Nakonvirales_Maximonvirales_Coyopavirales_3no.zip","2022.001A.Nakonvirales_Maximonvirales_Coyopavirales_3no.zip")</f>
        <v>2022.001A.Nakonvirales_Maximonvirales_Coyopavirales_3no.zip</v>
      </c>
      <c r="U14454" s="29" t="str">
        <f>HYPERLINK("https://ictv.global/taxonomy/taxondetails?taxnode_id=202314296","ictv.global=202314296")</f>
        <v>ictv.global=202314296</v>
      </c>
    </row>
    <row r="14455" spans="1:21">
      <c r="A14455">
        <v>14454</v>
      </c>
      <c r="L14455" s="30" t="s">
        <v>11705</v>
      </c>
      <c r="N14455" s="30" t="s">
        <v>11707</v>
      </c>
      <c r="P14455" s="30" t="s">
        <v>11697</v>
      </c>
      <c r="Q14455" t="s">
        <v>619</v>
      </c>
      <c r="R14455" t="s">
        <v>917</v>
      </c>
      <c r="S14455">
        <v>38</v>
      </c>
      <c r="T14455" s="29" t="str">
        <f>HYPERLINK("https://ictv.global/ictv/proposals/2022.001A.Nakonvirales_Maximonvirales_Coyopavirales_3no.zip","2022.001A.Nakonvirales_Maximonvirales_Coyopavirales_3no.zip")</f>
        <v>2022.001A.Nakonvirales_Maximonvirales_Coyopavirales_3no.zip</v>
      </c>
      <c r="U14455" s="29" t="str">
        <f>HYPERLINK("https://ictv.global/taxonomy/taxondetails?taxnode_id=202314295","ictv.global=202314295")</f>
        <v>ictv.global=202314295</v>
      </c>
    </row>
    <row r="14456" spans="1:21">
      <c r="A14456">
        <v>14455</v>
      </c>
      <c r="L14456" s="30" t="s">
        <v>1583</v>
      </c>
      <c r="N14456" s="30" t="s">
        <v>1584</v>
      </c>
      <c r="P14456" s="30" t="s">
        <v>18898</v>
      </c>
      <c r="Q14456" t="s">
        <v>619</v>
      </c>
      <c r="R14456" t="s">
        <v>920</v>
      </c>
      <c r="S14456">
        <v>39</v>
      </c>
      <c r="T14456" s="29" t="str">
        <f>HYPERLINK("https://ictv.global/ictv/proposals/2023.001A.Archaeal_binomials.zip","2023.001A.Archaeal_binomials.zip")</f>
        <v>2023.001A.Archaeal_binomials.zip</v>
      </c>
      <c r="U14456" s="29" t="str">
        <f>HYPERLINK("https://ictv.global/taxonomy/taxondetails?taxnode_id=202306901","ictv.global=202306901")</f>
        <v>ictv.global=202306901</v>
      </c>
    </row>
    <row r="14457" spans="1:21">
      <c r="A14457">
        <v>14456</v>
      </c>
      <c r="L14457" s="30" t="s">
        <v>247</v>
      </c>
      <c r="N14457" s="30" t="s">
        <v>248</v>
      </c>
      <c r="P14457" s="30" t="s">
        <v>11613</v>
      </c>
      <c r="Q14457" t="s">
        <v>619</v>
      </c>
      <c r="R14457" t="s">
        <v>920</v>
      </c>
      <c r="S14457">
        <v>37</v>
      </c>
      <c r="T14457" s="29" t="str">
        <f>HYPERLINK("https://ictv.global/ictv/proposals/2021.010B.R.Binomial_names.zip","2021.010B.R.Binomial_names.zip")</f>
        <v>2021.010B.R.Binomial_names.zip</v>
      </c>
      <c r="U14457" s="29" t="str">
        <f>HYPERLINK("https://ictv.global/taxonomy/taxondetails?taxnode_id=202304339","ictv.global=202304339")</f>
        <v>ictv.global=202304339</v>
      </c>
    </row>
    <row r="14458" spans="1:21">
      <c r="A14458">
        <v>14457</v>
      </c>
      <c r="L14458" s="30" t="s">
        <v>11614</v>
      </c>
      <c r="N14458" s="30" t="s">
        <v>11615</v>
      </c>
      <c r="P14458" s="30" t="s">
        <v>11616</v>
      </c>
      <c r="Q14458" t="s">
        <v>619</v>
      </c>
      <c r="R14458" t="s">
        <v>918</v>
      </c>
      <c r="S14458">
        <v>37</v>
      </c>
      <c r="T14458" s="29" t="str">
        <f t="shared" ref="T14458:T14489" si="605">HYPERLINK("https://ictv.global/ictv/proposals/2021.006D.R.Polydnaviriformidae_1renfam_3rensp.zip","2021.006D.R.Polydnaviriformidae_1renfam_3rensp.zip")</f>
        <v>2021.006D.R.Polydnaviriformidae_1renfam_3rensp.zip</v>
      </c>
      <c r="U14458" s="29" t="str">
        <f>HYPERLINK("https://ictv.global/taxonomy/taxondetails?taxnode_id=202304360","ictv.global=202304360")</f>
        <v>ictv.global=202304360</v>
      </c>
    </row>
    <row r="14459" spans="1:21">
      <c r="A14459">
        <v>14458</v>
      </c>
      <c r="L14459" s="30" t="s">
        <v>11614</v>
      </c>
      <c r="N14459" s="30" t="s">
        <v>11615</v>
      </c>
      <c r="P14459" s="30" t="s">
        <v>11617</v>
      </c>
      <c r="Q14459" t="s">
        <v>619</v>
      </c>
      <c r="R14459" t="s">
        <v>918</v>
      </c>
      <c r="S14459">
        <v>37</v>
      </c>
      <c r="T14459" s="29" t="str">
        <f t="shared" si="605"/>
        <v>2021.006D.R.Polydnaviriformidae_1renfam_3rensp.zip</v>
      </c>
      <c r="U14459" s="29" t="str">
        <f>HYPERLINK("https://ictv.global/taxonomy/taxondetails?taxnode_id=202304357","ictv.global=202304357")</f>
        <v>ictv.global=202304357</v>
      </c>
    </row>
    <row r="14460" spans="1:21">
      <c r="A14460">
        <v>14459</v>
      </c>
      <c r="L14460" s="30" t="s">
        <v>11614</v>
      </c>
      <c r="N14460" s="30" t="s">
        <v>11615</v>
      </c>
      <c r="P14460" s="30" t="s">
        <v>11618</v>
      </c>
      <c r="Q14460" t="s">
        <v>619</v>
      </c>
      <c r="R14460" t="s">
        <v>918</v>
      </c>
      <c r="S14460">
        <v>37</v>
      </c>
      <c r="T14460" s="29" t="str">
        <f t="shared" si="605"/>
        <v>2021.006D.R.Polydnaviriformidae_1renfam_3rensp.zip</v>
      </c>
      <c r="U14460" s="29" t="str">
        <f>HYPERLINK("https://ictv.global/taxonomy/taxondetails?taxnode_id=202304361","ictv.global=202304361")</f>
        <v>ictv.global=202304361</v>
      </c>
    </row>
    <row r="14461" spans="1:21">
      <c r="A14461">
        <v>14460</v>
      </c>
      <c r="L14461" s="30" t="s">
        <v>11614</v>
      </c>
      <c r="N14461" s="30" t="s">
        <v>11615</v>
      </c>
      <c r="P14461" s="30" t="s">
        <v>11619</v>
      </c>
      <c r="Q14461" t="s">
        <v>619</v>
      </c>
      <c r="R14461" t="s">
        <v>918</v>
      </c>
      <c r="S14461">
        <v>37</v>
      </c>
      <c r="T14461" s="29" t="str">
        <f t="shared" si="605"/>
        <v>2021.006D.R.Polydnaviriformidae_1renfam_3rensp.zip</v>
      </c>
      <c r="U14461" s="29" t="str">
        <f>HYPERLINK("https://ictv.global/taxonomy/taxondetails?taxnode_id=202304379","ictv.global=202304379")</f>
        <v>ictv.global=202304379</v>
      </c>
    </row>
    <row r="14462" spans="1:21">
      <c r="A14462">
        <v>14461</v>
      </c>
      <c r="L14462" s="30" t="s">
        <v>11614</v>
      </c>
      <c r="N14462" s="30" t="s">
        <v>11615</v>
      </c>
      <c r="P14462" s="30" t="s">
        <v>11620</v>
      </c>
      <c r="Q14462" t="s">
        <v>619</v>
      </c>
      <c r="R14462" t="s">
        <v>918</v>
      </c>
      <c r="S14462">
        <v>37</v>
      </c>
      <c r="T14462" s="29" t="str">
        <f t="shared" si="605"/>
        <v>2021.006D.R.Polydnaviriformidae_1renfam_3rensp.zip</v>
      </c>
      <c r="U14462" s="29" t="str">
        <f>HYPERLINK("https://ictv.global/taxonomy/taxondetails?taxnode_id=202304366","ictv.global=202304366")</f>
        <v>ictv.global=202304366</v>
      </c>
    </row>
    <row r="14463" spans="1:21">
      <c r="A14463">
        <v>14462</v>
      </c>
      <c r="L14463" s="30" t="s">
        <v>11614</v>
      </c>
      <c r="N14463" s="30" t="s">
        <v>11615</v>
      </c>
      <c r="P14463" s="30" t="s">
        <v>11621</v>
      </c>
      <c r="Q14463" t="s">
        <v>619</v>
      </c>
      <c r="R14463" t="s">
        <v>918</v>
      </c>
      <c r="S14463">
        <v>37</v>
      </c>
      <c r="T14463" s="29" t="str">
        <f t="shared" si="605"/>
        <v>2021.006D.R.Polydnaviriformidae_1renfam_3rensp.zip</v>
      </c>
      <c r="U14463" s="29" t="str">
        <f>HYPERLINK("https://ictv.global/taxonomy/taxondetails?taxnode_id=202304355","ictv.global=202304355")</f>
        <v>ictv.global=202304355</v>
      </c>
    </row>
    <row r="14464" spans="1:21">
      <c r="A14464">
        <v>14463</v>
      </c>
      <c r="L14464" s="30" t="s">
        <v>11614</v>
      </c>
      <c r="N14464" s="30" t="s">
        <v>11615</v>
      </c>
      <c r="P14464" s="30" t="s">
        <v>11622</v>
      </c>
      <c r="Q14464" t="s">
        <v>619</v>
      </c>
      <c r="R14464" t="s">
        <v>918</v>
      </c>
      <c r="S14464">
        <v>37</v>
      </c>
      <c r="T14464" s="29" t="str">
        <f t="shared" si="605"/>
        <v>2021.006D.R.Polydnaviriformidae_1renfam_3rensp.zip</v>
      </c>
      <c r="U14464" s="29" t="str">
        <f>HYPERLINK("https://ictv.global/taxonomy/taxondetails?taxnode_id=202304381","ictv.global=202304381")</f>
        <v>ictv.global=202304381</v>
      </c>
    </row>
    <row r="14465" spans="1:21">
      <c r="A14465">
        <v>14464</v>
      </c>
      <c r="L14465" s="30" t="s">
        <v>11614</v>
      </c>
      <c r="N14465" s="30" t="s">
        <v>11615</v>
      </c>
      <c r="P14465" s="30" t="s">
        <v>11623</v>
      </c>
      <c r="Q14465" t="s">
        <v>619</v>
      </c>
      <c r="R14465" t="s">
        <v>918</v>
      </c>
      <c r="S14465">
        <v>37</v>
      </c>
      <c r="T14465" s="29" t="str">
        <f t="shared" si="605"/>
        <v>2021.006D.R.Polydnaviriformidae_1renfam_3rensp.zip</v>
      </c>
      <c r="U14465" s="29" t="str">
        <f>HYPERLINK("https://ictv.global/taxonomy/taxondetails?taxnode_id=202304364","ictv.global=202304364")</f>
        <v>ictv.global=202304364</v>
      </c>
    </row>
    <row r="14466" spans="1:21">
      <c r="A14466">
        <v>14465</v>
      </c>
      <c r="L14466" s="30" t="s">
        <v>11614</v>
      </c>
      <c r="N14466" s="30" t="s">
        <v>11615</v>
      </c>
      <c r="P14466" s="30" t="s">
        <v>11624</v>
      </c>
      <c r="Q14466" t="s">
        <v>619</v>
      </c>
      <c r="R14466" t="s">
        <v>918</v>
      </c>
      <c r="S14466">
        <v>37</v>
      </c>
      <c r="T14466" s="29" t="str">
        <f t="shared" si="605"/>
        <v>2021.006D.R.Polydnaviriformidae_1renfam_3rensp.zip</v>
      </c>
      <c r="U14466" s="29" t="str">
        <f>HYPERLINK("https://ictv.global/taxonomy/taxondetails?taxnode_id=202304382","ictv.global=202304382")</f>
        <v>ictv.global=202304382</v>
      </c>
    </row>
    <row r="14467" spans="1:21">
      <c r="A14467">
        <v>14466</v>
      </c>
      <c r="L14467" s="30" t="s">
        <v>11614</v>
      </c>
      <c r="N14467" s="30" t="s">
        <v>11615</v>
      </c>
      <c r="P14467" s="30" t="s">
        <v>11625</v>
      </c>
      <c r="Q14467" t="s">
        <v>619</v>
      </c>
      <c r="R14467" t="s">
        <v>918</v>
      </c>
      <c r="S14467">
        <v>37</v>
      </c>
      <c r="T14467" s="29" t="str">
        <f t="shared" si="605"/>
        <v>2021.006D.R.Polydnaviriformidae_1renfam_3rensp.zip</v>
      </c>
      <c r="U14467" s="29" t="str">
        <f>HYPERLINK("https://ictv.global/taxonomy/taxondetails?taxnode_id=202304380","ictv.global=202304380")</f>
        <v>ictv.global=202304380</v>
      </c>
    </row>
    <row r="14468" spans="1:21">
      <c r="A14468">
        <v>14467</v>
      </c>
      <c r="L14468" s="30" t="s">
        <v>11614</v>
      </c>
      <c r="N14468" s="30" t="s">
        <v>11615</v>
      </c>
      <c r="P14468" s="30" t="s">
        <v>11626</v>
      </c>
      <c r="Q14468" t="s">
        <v>619</v>
      </c>
      <c r="R14468" t="s">
        <v>918</v>
      </c>
      <c r="S14468">
        <v>37</v>
      </c>
      <c r="T14468" s="29" t="str">
        <f t="shared" si="605"/>
        <v>2021.006D.R.Polydnaviriformidae_1renfam_3rensp.zip</v>
      </c>
      <c r="U14468" s="29" t="str">
        <f>HYPERLINK("https://ictv.global/taxonomy/taxondetails?taxnode_id=202304375","ictv.global=202304375")</f>
        <v>ictv.global=202304375</v>
      </c>
    </row>
    <row r="14469" spans="1:21">
      <c r="A14469">
        <v>14468</v>
      </c>
      <c r="L14469" s="30" t="s">
        <v>11614</v>
      </c>
      <c r="N14469" s="30" t="s">
        <v>11615</v>
      </c>
      <c r="P14469" s="30" t="s">
        <v>11627</v>
      </c>
      <c r="Q14469" t="s">
        <v>619</v>
      </c>
      <c r="R14469" t="s">
        <v>918</v>
      </c>
      <c r="S14469">
        <v>37</v>
      </c>
      <c r="T14469" s="29" t="str">
        <f t="shared" si="605"/>
        <v>2021.006D.R.Polydnaviriformidae_1renfam_3rensp.zip</v>
      </c>
      <c r="U14469" s="29" t="str">
        <f>HYPERLINK("https://ictv.global/taxonomy/taxondetails?taxnode_id=202304376","ictv.global=202304376")</f>
        <v>ictv.global=202304376</v>
      </c>
    </row>
    <row r="14470" spans="1:21">
      <c r="A14470">
        <v>14469</v>
      </c>
      <c r="L14470" s="30" t="s">
        <v>11614</v>
      </c>
      <c r="N14470" s="30" t="s">
        <v>11615</v>
      </c>
      <c r="P14470" s="30" t="s">
        <v>11628</v>
      </c>
      <c r="Q14470" t="s">
        <v>619</v>
      </c>
      <c r="R14470" t="s">
        <v>918</v>
      </c>
      <c r="S14470">
        <v>37</v>
      </c>
      <c r="T14470" s="29" t="str">
        <f t="shared" si="605"/>
        <v>2021.006D.R.Polydnaviriformidae_1renfam_3rensp.zip</v>
      </c>
      <c r="U14470" s="29" t="str">
        <f>HYPERLINK("https://ictv.global/taxonomy/taxondetails?taxnode_id=202304367","ictv.global=202304367")</f>
        <v>ictv.global=202304367</v>
      </c>
    </row>
    <row r="14471" spans="1:21">
      <c r="A14471">
        <v>14470</v>
      </c>
      <c r="L14471" s="30" t="s">
        <v>11614</v>
      </c>
      <c r="N14471" s="30" t="s">
        <v>11615</v>
      </c>
      <c r="P14471" s="30" t="s">
        <v>11629</v>
      </c>
      <c r="Q14471" t="s">
        <v>619</v>
      </c>
      <c r="R14471" t="s">
        <v>918</v>
      </c>
      <c r="S14471">
        <v>37</v>
      </c>
      <c r="T14471" s="29" t="str">
        <f t="shared" si="605"/>
        <v>2021.006D.R.Polydnaviriformidae_1renfam_3rensp.zip</v>
      </c>
      <c r="U14471" s="29" t="str">
        <f>HYPERLINK("https://ictv.global/taxonomy/taxondetails?taxnode_id=202304383","ictv.global=202304383")</f>
        <v>ictv.global=202304383</v>
      </c>
    </row>
    <row r="14472" spans="1:21">
      <c r="A14472">
        <v>14471</v>
      </c>
      <c r="L14472" s="30" t="s">
        <v>11614</v>
      </c>
      <c r="N14472" s="30" t="s">
        <v>11615</v>
      </c>
      <c r="P14472" s="30" t="s">
        <v>11630</v>
      </c>
      <c r="Q14472" t="s">
        <v>619</v>
      </c>
      <c r="R14472" t="s">
        <v>918</v>
      </c>
      <c r="S14472">
        <v>37</v>
      </c>
      <c r="T14472" s="29" t="str">
        <f t="shared" si="605"/>
        <v>2021.006D.R.Polydnaviriformidae_1renfam_3rensp.zip</v>
      </c>
      <c r="U14472" s="29" t="str">
        <f>HYPERLINK("https://ictv.global/taxonomy/taxondetails?taxnode_id=202304356","ictv.global=202304356")</f>
        <v>ictv.global=202304356</v>
      </c>
    </row>
    <row r="14473" spans="1:21">
      <c r="A14473">
        <v>14472</v>
      </c>
      <c r="L14473" s="30" t="s">
        <v>11614</v>
      </c>
      <c r="N14473" s="30" t="s">
        <v>11615</v>
      </c>
      <c r="P14473" s="30" t="s">
        <v>11631</v>
      </c>
      <c r="Q14473" t="s">
        <v>619</v>
      </c>
      <c r="R14473" t="s">
        <v>918</v>
      </c>
      <c r="S14473">
        <v>37</v>
      </c>
      <c r="T14473" s="29" t="str">
        <f t="shared" si="605"/>
        <v>2021.006D.R.Polydnaviriformidae_1renfam_3rensp.zip</v>
      </c>
      <c r="U14473" s="29" t="str">
        <f>HYPERLINK("https://ictv.global/taxonomy/taxondetails?taxnode_id=202304368","ictv.global=202304368")</f>
        <v>ictv.global=202304368</v>
      </c>
    </row>
    <row r="14474" spans="1:21">
      <c r="A14474">
        <v>14473</v>
      </c>
      <c r="L14474" s="30" t="s">
        <v>11614</v>
      </c>
      <c r="N14474" s="30" t="s">
        <v>11615</v>
      </c>
      <c r="P14474" s="30" t="s">
        <v>11632</v>
      </c>
      <c r="Q14474" t="s">
        <v>619</v>
      </c>
      <c r="R14474" t="s">
        <v>918</v>
      </c>
      <c r="S14474">
        <v>37</v>
      </c>
      <c r="T14474" s="29" t="str">
        <f t="shared" si="605"/>
        <v>2021.006D.R.Polydnaviriformidae_1renfam_3rensp.zip</v>
      </c>
      <c r="U14474" s="29" t="str">
        <f>HYPERLINK("https://ictv.global/taxonomy/taxondetails?taxnode_id=202304369","ictv.global=202304369")</f>
        <v>ictv.global=202304369</v>
      </c>
    </row>
    <row r="14475" spans="1:21">
      <c r="A14475">
        <v>14474</v>
      </c>
      <c r="L14475" s="30" t="s">
        <v>11614</v>
      </c>
      <c r="N14475" s="30" t="s">
        <v>11615</v>
      </c>
      <c r="P14475" s="30" t="s">
        <v>11633</v>
      </c>
      <c r="Q14475" t="s">
        <v>619</v>
      </c>
      <c r="R14475" t="s">
        <v>918</v>
      </c>
      <c r="S14475">
        <v>37</v>
      </c>
      <c r="T14475" s="29" t="str">
        <f t="shared" si="605"/>
        <v>2021.006D.R.Polydnaviriformidae_1renfam_3rensp.zip</v>
      </c>
      <c r="U14475" s="29" t="str">
        <f>HYPERLINK("https://ictv.global/taxonomy/taxondetails?taxnode_id=202304362","ictv.global=202304362")</f>
        <v>ictv.global=202304362</v>
      </c>
    </row>
    <row r="14476" spans="1:21">
      <c r="A14476">
        <v>14475</v>
      </c>
      <c r="L14476" s="30" t="s">
        <v>11614</v>
      </c>
      <c r="N14476" s="30" t="s">
        <v>11615</v>
      </c>
      <c r="P14476" s="30" t="s">
        <v>11634</v>
      </c>
      <c r="Q14476" t="s">
        <v>619</v>
      </c>
      <c r="R14476" t="s">
        <v>918</v>
      </c>
      <c r="S14476">
        <v>37</v>
      </c>
      <c r="T14476" s="29" t="str">
        <f t="shared" si="605"/>
        <v>2021.006D.R.Polydnaviriformidae_1renfam_3rensp.zip</v>
      </c>
      <c r="U14476" s="29" t="str">
        <f>HYPERLINK("https://ictv.global/taxonomy/taxondetails?taxnode_id=202304377","ictv.global=202304377")</f>
        <v>ictv.global=202304377</v>
      </c>
    </row>
    <row r="14477" spans="1:21">
      <c r="A14477">
        <v>14476</v>
      </c>
      <c r="L14477" s="30" t="s">
        <v>11614</v>
      </c>
      <c r="N14477" s="30" t="s">
        <v>11615</v>
      </c>
      <c r="P14477" s="30" t="s">
        <v>11635</v>
      </c>
      <c r="Q14477" t="s">
        <v>619</v>
      </c>
      <c r="R14477" t="s">
        <v>918</v>
      </c>
      <c r="S14477">
        <v>37</v>
      </c>
      <c r="T14477" s="29" t="str">
        <f t="shared" si="605"/>
        <v>2021.006D.R.Polydnaviriformidae_1renfam_3rensp.zip</v>
      </c>
      <c r="U14477" s="29" t="str">
        <f>HYPERLINK("https://ictv.global/taxonomy/taxondetails?taxnode_id=202304363","ictv.global=202304363")</f>
        <v>ictv.global=202304363</v>
      </c>
    </row>
    <row r="14478" spans="1:21">
      <c r="A14478">
        <v>14477</v>
      </c>
      <c r="L14478" s="30" t="s">
        <v>11614</v>
      </c>
      <c r="N14478" s="30" t="s">
        <v>11615</v>
      </c>
      <c r="P14478" s="30" t="s">
        <v>11636</v>
      </c>
      <c r="Q14478" t="s">
        <v>619</v>
      </c>
      <c r="R14478" t="s">
        <v>918</v>
      </c>
      <c r="S14478">
        <v>37</v>
      </c>
      <c r="T14478" s="29" t="str">
        <f t="shared" si="605"/>
        <v>2021.006D.R.Polydnaviriformidae_1renfam_3rensp.zip</v>
      </c>
      <c r="U14478" s="29" t="str">
        <f>HYPERLINK("https://ictv.global/taxonomy/taxondetails?taxnode_id=202304370","ictv.global=202304370")</f>
        <v>ictv.global=202304370</v>
      </c>
    </row>
    <row r="14479" spans="1:21">
      <c r="A14479">
        <v>14478</v>
      </c>
      <c r="L14479" s="30" t="s">
        <v>11614</v>
      </c>
      <c r="N14479" s="30" t="s">
        <v>11615</v>
      </c>
      <c r="P14479" s="30" t="s">
        <v>11637</v>
      </c>
      <c r="Q14479" t="s">
        <v>619</v>
      </c>
      <c r="R14479" t="s">
        <v>918</v>
      </c>
      <c r="S14479">
        <v>37</v>
      </c>
      <c r="T14479" s="29" t="str">
        <f t="shared" si="605"/>
        <v>2021.006D.R.Polydnaviriformidae_1renfam_3rensp.zip</v>
      </c>
      <c r="U14479" s="29" t="str">
        <f>HYPERLINK("https://ictv.global/taxonomy/taxondetails?taxnode_id=202304378","ictv.global=202304378")</f>
        <v>ictv.global=202304378</v>
      </c>
    </row>
    <row r="14480" spans="1:21">
      <c r="A14480">
        <v>14479</v>
      </c>
      <c r="L14480" s="30" t="s">
        <v>11614</v>
      </c>
      <c r="N14480" s="30" t="s">
        <v>11615</v>
      </c>
      <c r="P14480" s="30" t="s">
        <v>11638</v>
      </c>
      <c r="Q14480" t="s">
        <v>619</v>
      </c>
      <c r="R14480" t="s">
        <v>918</v>
      </c>
      <c r="S14480">
        <v>37</v>
      </c>
      <c r="T14480" s="29" t="str">
        <f t="shared" si="605"/>
        <v>2021.006D.R.Polydnaviriformidae_1renfam_3rensp.zip</v>
      </c>
      <c r="U14480" s="29" t="str">
        <f>HYPERLINK("https://ictv.global/taxonomy/taxondetails?taxnode_id=202304371","ictv.global=202304371")</f>
        <v>ictv.global=202304371</v>
      </c>
    </row>
    <row r="14481" spans="1:21">
      <c r="A14481">
        <v>14480</v>
      </c>
      <c r="L14481" s="30" t="s">
        <v>11614</v>
      </c>
      <c r="N14481" s="30" t="s">
        <v>11615</v>
      </c>
      <c r="P14481" s="30" t="s">
        <v>11639</v>
      </c>
      <c r="Q14481" t="s">
        <v>619</v>
      </c>
      <c r="R14481" t="s">
        <v>918</v>
      </c>
      <c r="S14481">
        <v>37</v>
      </c>
      <c r="T14481" s="29" t="str">
        <f t="shared" si="605"/>
        <v>2021.006D.R.Polydnaviriformidae_1renfam_3rensp.zip</v>
      </c>
      <c r="U14481" s="29" t="str">
        <f>HYPERLINK("https://ictv.global/taxonomy/taxondetails?taxnode_id=202304372","ictv.global=202304372")</f>
        <v>ictv.global=202304372</v>
      </c>
    </row>
    <row r="14482" spans="1:21">
      <c r="A14482">
        <v>14481</v>
      </c>
      <c r="L14482" s="30" t="s">
        <v>11614</v>
      </c>
      <c r="N14482" s="30" t="s">
        <v>11615</v>
      </c>
      <c r="P14482" s="30" t="s">
        <v>11640</v>
      </c>
      <c r="Q14482" t="s">
        <v>619</v>
      </c>
      <c r="R14482" t="s">
        <v>918</v>
      </c>
      <c r="S14482">
        <v>37</v>
      </c>
      <c r="T14482" s="29" t="str">
        <f t="shared" si="605"/>
        <v>2021.006D.R.Polydnaviriformidae_1renfam_3rensp.zip</v>
      </c>
      <c r="U14482" s="29" t="str">
        <f>HYPERLINK("https://ictv.global/taxonomy/taxondetails?taxnode_id=202304359","ictv.global=202304359")</f>
        <v>ictv.global=202304359</v>
      </c>
    </row>
    <row r="14483" spans="1:21">
      <c r="A14483">
        <v>14482</v>
      </c>
      <c r="L14483" s="30" t="s">
        <v>11614</v>
      </c>
      <c r="N14483" s="30" t="s">
        <v>11615</v>
      </c>
      <c r="P14483" s="30" t="s">
        <v>11641</v>
      </c>
      <c r="Q14483" t="s">
        <v>619</v>
      </c>
      <c r="R14483" t="s">
        <v>918</v>
      </c>
      <c r="S14483">
        <v>37</v>
      </c>
      <c r="T14483" s="29" t="str">
        <f t="shared" si="605"/>
        <v>2021.006D.R.Polydnaviriformidae_1renfam_3rensp.zip</v>
      </c>
      <c r="U14483" s="29" t="str">
        <f>HYPERLINK("https://ictv.global/taxonomy/taxondetails?taxnode_id=202304384","ictv.global=202304384")</f>
        <v>ictv.global=202304384</v>
      </c>
    </row>
    <row r="14484" spans="1:21">
      <c r="A14484">
        <v>14483</v>
      </c>
      <c r="L14484" s="30" t="s">
        <v>11614</v>
      </c>
      <c r="N14484" s="30" t="s">
        <v>11615</v>
      </c>
      <c r="P14484" s="30" t="s">
        <v>11642</v>
      </c>
      <c r="Q14484" t="s">
        <v>619</v>
      </c>
      <c r="R14484" t="s">
        <v>918</v>
      </c>
      <c r="S14484">
        <v>37</v>
      </c>
      <c r="T14484" s="29" t="str">
        <f t="shared" si="605"/>
        <v>2021.006D.R.Polydnaviriformidae_1renfam_3rensp.zip</v>
      </c>
      <c r="U14484" s="29" t="str">
        <f>HYPERLINK("https://ictv.global/taxonomy/taxondetails?taxnode_id=202304385","ictv.global=202304385")</f>
        <v>ictv.global=202304385</v>
      </c>
    </row>
    <row r="14485" spans="1:21">
      <c r="A14485">
        <v>14484</v>
      </c>
      <c r="L14485" s="30" t="s">
        <v>11614</v>
      </c>
      <c r="N14485" s="30" t="s">
        <v>11615</v>
      </c>
      <c r="P14485" s="30" t="s">
        <v>11643</v>
      </c>
      <c r="Q14485" t="s">
        <v>619</v>
      </c>
      <c r="R14485" t="s">
        <v>918</v>
      </c>
      <c r="S14485">
        <v>37</v>
      </c>
      <c r="T14485" s="29" t="str">
        <f t="shared" si="605"/>
        <v>2021.006D.R.Polydnaviriformidae_1renfam_3rensp.zip</v>
      </c>
      <c r="U14485" s="29" t="str">
        <f>HYPERLINK("https://ictv.global/taxonomy/taxondetails?taxnode_id=202304358","ictv.global=202304358")</f>
        <v>ictv.global=202304358</v>
      </c>
    </row>
    <row r="14486" spans="1:21">
      <c r="A14486">
        <v>14485</v>
      </c>
      <c r="L14486" s="30" t="s">
        <v>11614</v>
      </c>
      <c r="N14486" s="30" t="s">
        <v>11615</v>
      </c>
      <c r="P14486" s="30" t="s">
        <v>11644</v>
      </c>
      <c r="Q14486" t="s">
        <v>619</v>
      </c>
      <c r="R14486" t="s">
        <v>918</v>
      </c>
      <c r="S14486">
        <v>37</v>
      </c>
      <c r="T14486" s="29" t="str">
        <f t="shared" si="605"/>
        <v>2021.006D.R.Polydnaviriformidae_1renfam_3rensp.zip</v>
      </c>
      <c r="U14486" s="29" t="str">
        <f>HYPERLINK("https://ictv.global/taxonomy/taxondetails?taxnode_id=202304373","ictv.global=202304373")</f>
        <v>ictv.global=202304373</v>
      </c>
    </row>
    <row r="14487" spans="1:21">
      <c r="A14487">
        <v>14486</v>
      </c>
      <c r="L14487" s="30" t="s">
        <v>11614</v>
      </c>
      <c r="N14487" s="30" t="s">
        <v>11615</v>
      </c>
      <c r="P14487" s="30" t="s">
        <v>11645</v>
      </c>
      <c r="Q14487" t="s">
        <v>619</v>
      </c>
      <c r="R14487" t="s">
        <v>918</v>
      </c>
      <c r="S14487">
        <v>37</v>
      </c>
      <c r="T14487" s="29" t="str">
        <f t="shared" si="605"/>
        <v>2021.006D.R.Polydnaviriformidae_1renfam_3rensp.zip</v>
      </c>
      <c r="U14487" s="29" t="str">
        <f>HYPERLINK("https://ictv.global/taxonomy/taxondetails?taxnode_id=202304374","ictv.global=202304374")</f>
        <v>ictv.global=202304374</v>
      </c>
    </row>
    <row r="14488" spans="1:21">
      <c r="A14488">
        <v>14487</v>
      </c>
      <c r="L14488" s="30" t="s">
        <v>11614</v>
      </c>
      <c r="N14488" s="30" t="s">
        <v>11615</v>
      </c>
      <c r="P14488" s="30" t="s">
        <v>11646</v>
      </c>
      <c r="Q14488" t="s">
        <v>619</v>
      </c>
      <c r="R14488" t="s">
        <v>918</v>
      </c>
      <c r="S14488">
        <v>37</v>
      </c>
      <c r="T14488" s="29" t="str">
        <f t="shared" si="605"/>
        <v>2021.006D.R.Polydnaviriformidae_1renfam_3rensp.zip</v>
      </c>
      <c r="U14488" s="29" t="str">
        <f>HYPERLINK("https://ictv.global/taxonomy/taxondetails?taxnode_id=202304365","ictv.global=202304365")</f>
        <v>ictv.global=202304365</v>
      </c>
    </row>
    <row r="14489" spans="1:21">
      <c r="A14489">
        <v>14488</v>
      </c>
      <c r="L14489" s="30" t="s">
        <v>11614</v>
      </c>
      <c r="N14489" s="30" t="s">
        <v>11647</v>
      </c>
      <c r="P14489" s="30" t="s">
        <v>11648</v>
      </c>
      <c r="Q14489" t="s">
        <v>619</v>
      </c>
      <c r="R14489" t="s">
        <v>918</v>
      </c>
      <c r="S14489">
        <v>37</v>
      </c>
      <c r="T14489" s="29" t="str">
        <f t="shared" si="605"/>
        <v>2021.006D.R.Polydnaviriformidae_1renfam_3rensp.zip</v>
      </c>
      <c r="U14489" s="29" t="str">
        <f>HYPERLINK("https://ictv.global/taxonomy/taxondetails?taxnode_id=202304394","ictv.global=202304394")</f>
        <v>ictv.global=202304394</v>
      </c>
    </row>
    <row r="14490" spans="1:21">
      <c r="A14490">
        <v>14489</v>
      </c>
      <c r="L14490" s="30" t="s">
        <v>11614</v>
      </c>
      <c r="N14490" s="30" t="s">
        <v>11647</v>
      </c>
      <c r="P14490" s="30" t="s">
        <v>11649</v>
      </c>
      <c r="Q14490" t="s">
        <v>619</v>
      </c>
      <c r="R14490" t="s">
        <v>918</v>
      </c>
      <c r="S14490">
        <v>37</v>
      </c>
      <c r="T14490" s="29" t="str">
        <f t="shared" ref="T14490:T14510" si="606">HYPERLINK("https://ictv.global/ictv/proposals/2021.006D.R.Polydnaviriformidae_1renfam_3rensp.zip","2021.006D.R.Polydnaviriformidae_1renfam_3rensp.zip")</f>
        <v>2021.006D.R.Polydnaviriformidae_1renfam_3rensp.zip</v>
      </c>
      <c r="U14490" s="29" t="str">
        <f>HYPERLINK("https://ictv.global/taxonomy/taxondetails?taxnode_id=202304400","ictv.global=202304400")</f>
        <v>ictv.global=202304400</v>
      </c>
    </row>
    <row r="14491" spans="1:21">
      <c r="A14491">
        <v>14490</v>
      </c>
      <c r="L14491" s="30" t="s">
        <v>11614</v>
      </c>
      <c r="N14491" s="30" t="s">
        <v>11647</v>
      </c>
      <c r="P14491" s="30" t="s">
        <v>11650</v>
      </c>
      <c r="Q14491" t="s">
        <v>619</v>
      </c>
      <c r="R14491" t="s">
        <v>918</v>
      </c>
      <c r="S14491">
        <v>37</v>
      </c>
      <c r="T14491" s="29" t="str">
        <f t="shared" si="606"/>
        <v>2021.006D.R.Polydnaviriformidae_1renfam_3rensp.zip</v>
      </c>
      <c r="U14491" s="29" t="str">
        <f>HYPERLINK("https://ictv.global/taxonomy/taxondetails?taxnode_id=202304388","ictv.global=202304388")</f>
        <v>ictv.global=202304388</v>
      </c>
    </row>
    <row r="14492" spans="1:21">
      <c r="A14492">
        <v>14491</v>
      </c>
      <c r="L14492" s="30" t="s">
        <v>11614</v>
      </c>
      <c r="N14492" s="30" t="s">
        <v>11647</v>
      </c>
      <c r="P14492" s="30" t="s">
        <v>11651</v>
      </c>
      <c r="Q14492" t="s">
        <v>619</v>
      </c>
      <c r="R14492" t="s">
        <v>918</v>
      </c>
      <c r="S14492">
        <v>37</v>
      </c>
      <c r="T14492" s="29" t="str">
        <f t="shared" si="606"/>
        <v>2021.006D.R.Polydnaviriformidae_1renfam_3rensp.zip</v>
      </c>
      <c r="U14492" s="29" t="str">
        <f>HYPERLINK("https://ictv.global/taxonomy/taxondetails?taxnode_id=202304391","ictv.global=202304391")</f>
        <v>ictv.global=202304391</v>
      </c>
    </row>
    <row r="14493" spans="1:21">
      <c r="A14493">
        <v>14492</v>
      </c>
      <c r="L14493" s="30" t="s">
        <v>11614</v>
      </c>
      <c r="N14493" s="30" t="s">
        <v>11647</v>
      </c>
      <c r="P14493" s="30" t="s">
        <v>11652</v>
      </c>
      <c r="Q14493" t="s">
        <v>619</v>
      </c>
      <c r="R14493" t="s">
        <v>918</v>
      </c>
      <c r="S14493">
        <v>37</v>
      </c>
      <c r="T14493" s="29" t="str">
        <f t="shared" si="606"/>
        <v>2021.006D.R.Polydnaviriformidae_1renfam_3rensp.zip</v>
      </c>
      <c r="U14493" s="29" t="str">
        <f>HYPERLINK("https://ictv.global/taxonomy/taxondetails?taxnode_id=202304406","ictv.global=202304406")</f>
        <v>ictv.global=202304406</v>
      </c>
    </row>
    <row r="14494" spans="1:21">
      <c r="A14494">
        <v>14493</v>
      </c>
      <c r="L14494" s="30" t="s">
        <v>11614</v>
      </c>
      <c r="N14494" s="30" t="s">
        <v>11647</v>
      </c>
      <c r="P14494" s="30" t="s">
        <v>11653</v>
      </c>
      <c r="Q14494" t="s">
        <v>619</v>
      </c>
      <c r="R14494" t="s">
        <v>918</v>
      </c>
      <c r="S14494">
        <v>37</v>
      </c>
      <c r="T14494" s="29" t="str">
        <f t="shared" si="606"/>
        <v>2021.006D.R.Polydnaviriformidae_1renfam_3rensp.zip</v>
      </c>
      <c r="U14494" s="29" t="str">
        <f>HYPERLINK("https://ictv.global/taxonomy/taxondetails?taxnode_id=202304398","ictv.global=202304398")</f>
        <v>ictv.global=202304398</v>
      </c>
    </row>
    <row r="14495" spans="1:21">
      <c r="A14495">
        <v>14494</v>
      </c>
      <c r="L14495" s="30" t="s">
        <v>11614</v>
      </c>
      <c r="N14495" s="30" t="s">
        <v>11647</v>
      </c>
      <c r="P14495" s="30" t="s">
        <v>11654</v>
      </c>
      <c r="Q14495" t="s">
        <v>619</v>
      </c>
      <c r="R14495" t="s">
        <v>918</v>
      </c>
      <c r="S14495">
        <v>37</v>
      </c>
      <c r="T14495" s="29" t="str">
        <f t="shared" si="606"/>
        <v>2021.006D.R.Polydnaviriformidae_1renfam_3rensp.zip</v>
      </c>
      <c r="U14495" s="29" t="str">
        <f>HYPERLINK("https://ictv.global/taxonomy/taxondetails?taxnode_id=202304401","ictv.global=202304401")</f>
        <v>ictv.global=202304401</v>
      </c>
    </row>
    <row r="14496" spans="1:21">
      <c r="A14496">
        <v>14495</v>
      </c>
      <c r="L14496" s="30" t="s">
        <v>11614</v>
      </c>
      <c r="N14496" s="30" t="s">
        <v>11647</v>
      </c>
      <c r="P14496" s="30" t="s">
        <v>11655</v>
      </c>
      <c r="Q14496" t="s">
        <v>619</v>
      </c>
      <c r="R14496" t="s">
        <v>918</v>
      </c>
      <c r="S14496">
        <v>37</v>
      </c>
      <c r="T14496" s="29" t="str">
        <f t="shared" si="606"/>
        <v>2021.006D.R.Polydnaviriformidae_1renfam_3rensp.zip</v>
      </c>
      <c r="U14496" s="29" t="str">
        <f>HYPERLINK("https://ictv.global/taxonomy/taxondetails?taxnode_id=202304389","ictv.global=202304389")</f>
        <v>ictv.global=202304389</v>
      </c>
    </row>
    <row r="14497" spans="1:21">
      <c r="A14497">
        <v>14496</v>
      </c>
      <c r="L14497" s="30" t="s">
        <v>11614</v>
      </c>
      <c r="N14497" s="30" t="s">
        <v>11647</v>
      </c>
      <c r="P14497" s="30" t="s">
        <v>11656</v>
      </c>
      <c r="Q14497" t="s">
        <v>619</v>
      </c>
      <c r="R14497" t="s">
        <v>918</v>
      </c>
      <c r="S14497">
        <v>37</v>
      </c>
      <c r="T14497" s="29" t="str">
        <f t="shared" si="606"/>
        <v>2021.006D.R.Polydnaviriformidae_1renfam_3rensp.zip</v>
      </c>
      <c r="U14497" s="29" t="str">
        <f>HYPERLINK("https://ictv.global/taxonomy/taxondetails?taxnode_id=202304392","ictv.global=202304392")</f>
        <v>ictv.global=202304392</v>
      </c>
    </row>
    <row r="14498" spans="1:21">
      <c r="A14498">
        <v>14497</v>
      </c>
      <c r="L14498" s="30" t="s">
        <v>11614</v>
      </c>
      <c r="N14498" s="30" t="s">
        <v>11647</v>
      </c>
      <c r="P14498" s="30" t="s">
        <v>11657</v>
      </c>
      <c r="Q14498" t="s">
        <v>619</v>
      </c>
      <c r="R14498" t="s">
        <v>918</v>
      </c>
      <c r="S14498">
        <v>37</v>
      </c>
      <c r="T14498" s="29" t="str">
        <f t="shared" si="606"/>
        <v>2021.006D.R.Polydnaviriformidae_1renfam_3rensp.zip</v>
      </c>
      <c r="U14498" s="29" t="str">
        <f>HYPERLINK("https://ictv.global/taxonomy/taxondetails?taxnode_id=202304402","ictv.global=202304402")</f>
        <v>ictv.global=202304402</v>
      </c>
    </row>
    <row r="14499" spans="1:21">
      <c r="A14499">
        <v>14498</v>
      </c>
      <c r="L14499" s="30" t="s">
        <v>11614</v>
      </c>
      <c r="N14499" s="30" t="s">
        <v>11647</v>
      </c>
      <c r="P14499" s="30" t="s">
        <v>11658</v>
      </c>
      <c r="Q14499" t="s">
        <v>619</v>
      </c>
      <c r="R14499" t="s">
        <v>918</v>
      </c>
      <c r="S14499">
        <v>37</v>
      </c>
      <c r="T14499" s="29" t="str">
        <f t="shared" si="606"/>
        <v>2021.006D.R.Polydnaviriformidae_1renfam_3rensp.zip</v>
      </c>
      <c r="U14499" s="29" t="str">
        <f>HYPERLINK("https://ictv.global/taxonomy/taxondetails?taxnode_id=202304399","ictv.global=202304399")</f>
        <v>ictv.global=202304399</v>
      </c>
    </row>
    <row r="14500" spans="1:21">
      <c r="A14500">
        <v>14499</v>
      </c>
      <c r="L14500" s="30" t="s">
        <v>11614</v>
      </c>
      <c r="N14500" s="30" t="s">
        <v>11647</v>
      </c>
      <c r="P14500" s="30" t="s">
        <v>11659</v>
      </c>
      <c r="Q14500" t="s">
        <v>619</v>
      </c>
      <c r="R14500" t="s">
        <v>918</v>
      </c>
      <c r="S14500">
        <v>37</v>
      </c>
      <c r="T14500" s="29" t="str">
        <f t="shared" si="606"/>
        <v>2021.006D.R.Polydnaviriformidae_1renfam_3rensp.zip</v>
      </c>
      <c r="U14500" s="29" t="str">
        <f>HYPERLINK("https://ictv.global/taxonomy/taxondetails?taxnode_id=202304407","ictv.global=202304407")</f>
        <v>ictv.global=202304407</v>
      </c>
    </row>
    <row r="14501" spans="1:21">
      <c r="A14501">
        <v>14500</v>
      </c>
      <c r="L14501" s="30" t="s">
        <v>11614</v>
      </c>
      <c r="N14501" s="30" t="s">
        <v>11647</v>
      </c>
      <c r="P14501" s="30" t="s">
        <v>11660</v>
      </c>
      <c r="Q14501" t="s">
        <v>619</v>
      </c>
      <c r="R14501" t="s">
        <v>918</v>
      </c>
      <c r="S14501">
        <v>37</v>
      </c>
      <c r="T14501" s="29" t="str">
        <f t="shared" si="606"/>
        <v>2021.006D.R.Polydnaviriformidae_1renfam_3rensp.zip</v>
      </c>
      <c r="U14501" s="29" t="str">
        <f>HYPERLINK("https://ictv.global/taxonomy/taxondetails?taxnode_id=202304393","ictv.global=202304393")</f>
        <v>ictv.global=202304393</v>
      </c>
    </row>
    <row r="14502" spans="1:21">
      <c r="A14502">
        <v>14501</v>
      </c>
      <c r="L14502" s="30" t="s">
        <v>11614</v>
      </c>
      <c r="N14502" s="30" t="s">
        <v>11647</v>
      </c>
      <c r="P14502" s="30" t="s">
        <v>11661</v>
      </c>
      <c r="Q14502" t="s">
        <v>619</v>
      </c>
      <c r="R14502" t="s">
        <v>918</v>
      </c>
      <c r="S14502">
        <v>37</v>
      </c>
      <c r="T14502" s="29" t="str">
        <f t="shared" si="606"/>
        <v>2021.006D.R.Polydnaviriformidae_1renfam_3rensp.zip</v>
      </c>
      <c r="U14502" s="29" t="str">
        <f>HYPERLINK("https://ictv.global/taxonomy/taxondetails?taxnode_id=202304395","ictv.global=202304395")</f>
        <v>ictv.global=202304395</v>
      </c>
    </row>
    <row r="14503" spans="1:21">
      <c r="A14503">
        <v>14502</v>
      </c>
      <c r="L14503" s="30" t="s">
        <v>11614</v>
      </c>
      <c r="N14503" s="30" t="s">
        <v>11647</v>
      </c>
      <c r="P14503" s="30" t="s">
        <v>11662</v>
      </c>
      <c r="Q14503" t="s">
        <v>619</v>
      </c>
      <c r="R14503" t="s">
        <v>918</v>
      </c>
      <c r="S14503">
        <v>37</v>
      </c>
      <c r="T14503" s="29" t="str">
        <f t="shared" si="606"/>
        <v>2021.006D.R.Polydnaviriformidae_1renfam_3rensp.zip</v>
      </c>
      <c r="U14503" s="29" t="str">
        <f>HYPERLINK("https://ictv.global/taxonomy/taxondetails?taxnode_id=202304403","ictv.global=202304403")</f>
        <v>ictv.global=202304403</v>
      </c>
    </row>
    <row r="14504" spans="1:21">
      <c r="A14504">
        <v>14503</v>
      </c>
      <c r="L14504" s="30" t="s">
        <v>11614</v>
      </c>
      <c r="N14504" s="30" t="s">
        <v>11647</v>
      </c>
      <c r="P14504" s="30" t="s">
        <v>11663</v>
      </c>
      <c r="Q14504" t="s">
        <v>619</v>
      </c>
      <c r="R14504" t="s">
        <v>918</v>
      </c>
      <c r="S14504">
        <v>37</v>
      </c>
      <c r="T14504" s="29" t="str">
        <f t="shared" si="606"/>
        <v>2021.006D.R.Polydnaviriformidae_1renfam_3rensp.zip</v>
      </c>
      <c r="U14504" s="29" t="str">
        <f>HYPERLINK("https://ictv.global/taxonomy/taxondetails?taxnode_id=202304397","ictv.global=202304397")</f>
        <v>ictv.global=202304397</v>
      </c>
    </row>
    <row r="14505" spans="1:21">
      <c r="A14505">
        <v>14504</v>
      </c>
      <c r="L14505" s="30" t="s">
        <v>11614</v>
      </c>
      <c r="N14505" s="30" t="s">
        <v>11647</v>
      </c>
      <c r="P14505" s="30" t="s">
        <v>11664</v>
      </c>
      <c r="Q14505" t="s">
        <v>619</v>
      </c>
      <c r="R14505" t="s">
        <v>918</v>
      </c>
      <c r="S14505">
        <v>37</v>
      </c>
      <c r="T14505" s="29" t="str">
        <f t="shared" si="606"/>
        <v>2021.006D.R.Polydnaviriformidae_1renfam_3rensp.zip</v>
      </c>
      <c r="U14505" s="29" t="str">
        <f>HYPERLINK("https://ictv.global/taxonomy/taxondetails?taxnode_id=202304404","ictv.global=202304404")</f>
        <v>ictv.global=202304404</v>
      </c>
    </row>
    <row r="14506" spans="1:21">
      <c r="A14506">
        <v>14505</v>
      </c>
      <c r="L14506" s="30" t="s">
        <v>11614</v>
      </c>
      <c r="N14506" s="30" t="s">
        <v>11647</v>
      </c>
      <c r="P14506" s="30" t="s">
        <v>11665</v>
      </c>
      <c r="Q14506" t="s">
        <v>619</v>
      </c>
      <c r="R14506" t="s">
        <v>918</v>
      </c>
      <c r="S14506">
        <v>37</v>
      </c>
      <c r="T14506" s="29" t="str">
        <f t="shared" si="606"/>
        <v>2021.006D.R.Polydnaviriformidae_1renfam_3rensp.zip</v>
      </c>
      <c r="U14506" s="29" t="str">
        <f>HYPERLINK("https://ictv.global/taxonomy/taxondetails?taxnode_id=202304405","ictv.global=202304405")</f>
        <v>ictv.global=202304405</v>
      </c>
    </row>
    <row r="14507" spans="1:21">
      <c r="A14507">
        <v>14506</v>
      </c>
      <c r="L14507" s="30" t="s">
        <v>11614</v>
      </c>
      <c r="N14507" s="30" t="s">
        <v>11647</v>
      </c>
      <c r="P14507" s="30" t="s">
        <v>11666</v>
      </c>
      <c r="Q14507" t="s">
        <v>619</v>
      </c>
      <c r="R14507" t="s">
        <v>918</v>
      </c>
      <c r="S14507">
        <v>37</v>
      </c>
      <c r="T14507" s="29" t="str">
        <f t="shared" si="606"/>
        <v>2021.006D.R.Polydnaviriformidae_1renfam_3rensp.zip</v>
      </c>
      <c r="U14507" s="29" t="str">
        <f>HYPERLINK("https://ictv.global/taxonomy/taxondetails?taxnode_id=202304386","ictv.global=202304386")</f>
        <v>ictv.global=202304386</v>
      </c>
    </row>
    <row r="14508" spans="1:21">
      <c r="A14508">
        <v>14507</v>
      </c>
      <c r="L14508" s="30" t="s">
        <v>11614</v>
      </c>
      <c r="N14508" s="30" t="s">
        <v>11647</v>
      </c>
      <c r="P14508" s="30" t="s">
        <v>11667</v>
      </c>
      <c r="Q14508" t="s">
        <v>619</v>
      </c>
      <c r="R14508" t="s">
        <v>918</v>
      </c>
      <c r="S14508">
        <v>37</v>
      </c>
      <c r="T14508" s="29" t="str">
        <f t="shared" si="606"/>
        <v>2021.006D.R.Polydnaviriformidae_1renfam_3rensp.zip</v>
      </c>
      <c r="U14508" s="29" t="str">
        <f>HYPERLINK("https://ictv.global/taxonomy/taxondetails?taxnode_id=202304390","ictv.global=202304390")</f>
        <v>ictv.global=202304390</v>
      </c>
    </row>
    <row r="14509" spans="1:21">
      <c r="A14509">
        <v>14508</v>
      </c>
      <c r="L14509" s="30" t="s">
        <v>11614</v>
      </c>
      <c r="N14509" s="30" t="s">
        <v>11647</v>
      </c>
      <c r="P14509" s="30" t="s">
        <v>11668</v>
      </c>
      <c r="Q14509" t="s">
        <v>619</v>
      </c>
      <c r="R14509" t="s">
        <v>918</v>
      </c>
      <c r="S14509">
        <v>37</v>
      </c>
      <c r="T14509" s="29" t="str">
        <f t="shared" si="606"/>
        <v>2021.006D.R.Polydnaviriformidae_1renfam_3rensp.zip</v>
      </c>
      <c r="U14509" s="29" t="str">
        <f>HYPERLINK("https://ictv.global/taxonomy/taxondetails?taxnode_id=202304408","ictv.global=202304408")</f>
        <v>ictv.global=202304408</v>
      </c>
    </row>
    <row r="14510" spans="1:21">
      <c r="A14510">
        <v>14509</v>
      </c>
      <c r="L14510" s="30" t="s">
        <v>11614</v>
      </c>
      <c r="N14510" s="30" t="s">
        <v>11647</v>
      </c>
      <c r="P14510" s="30" t="s">
        <v>11669</v>
      </c>
      <c r="Q14510" t="s">
        <v>619</v>
      </c>
      <c r="R14510" t="s">
        <v>918</v>
      </c>
      <c r="S14510">
        <v>37</v>
      </c>
      <c r="T14510" s="29" t="str">
        <f t="shared" si="606"/>
        <v>2021.006D.R.Polydnaviriformidae_1renfam_3rensp.zip</v>
      </c>
      <c r="U14510" s="29" t="str">
        <f>HYPERLINK("https://ictv.global/taxonomy/taxondetails?taxnode_id=202304396","ictv.global=202304396")</f>
        <v>ictv.global=202304396</v>
      </c>
    </row>
    <row r="14511" spans="1:21">
      <c r="A14511">
        <v>14510</v>
      </c>
      <c r="L14511" s="30" t="s">
        <v>1016</v>
      </c>
      <c r="N14511" s="30" t="s">
        <v>1017</v>
      </c>
      <c r="P14511" s="30" t="s">
        <v>18899</v>
      </c>
      <c r="Q14511" t="s">
        <v>619</v>
      </c>
      <c r="R14511" t="s">
        <v>920</v>
      </c>
      <c r="S14511">
        <v>39</v>
      </c>
      <c r="T14511" s="29" t="str">
        <f>HYPERLINK("https://ictv.global/ictv/proposals/2023.001A.Archaeal_binomials.zip","2023.001A.Archaeal_binomials.zip")</f>
        <v>2023.001A.Archaeal_binomials.zip</v>
      </c>
      <c r="U14511" s="29" t="str">
        <f>HYPERLINK("https://ictv.global/taxonomy/taxondetails?taxnode_id=202305912","ictv.global=202305912")</f>
        <v>ictv.global=202305912</v>
      </c>
    </row>
    <row r="14512" spans="1:21">
      <c r="A14512">
        <v>14511</v>
      </c>
      <c r="L14512" s="30" t="s">
        <v>1016</v>
      </c>
      <c r="N14512" s="30" t="s">
        <v>1017</v>
      </c>
      <c r="P14512" s="30" t="s">
        <v>18900</v>
      </c>
      <c r="Q14512" t="s">
        <v>619</v>
      </c>
      <c r="R14512" t="s">
        <v>920</v>
      </c>
      <c r="S14512">
        <v>39</v>
      </c>
      <c r="T14512" s="29" t="str">
        <f>HYPERLINK("https://ictv.global/ictv/proposals/2023.001A.Archaeal_binomials.zip","2023.001A.Archaeal_binomials.zip")</f>
        <v>2023.001A.Archaeal_binomials.zip</v>
      </c>
      <c r="U14512" s="29" t="str">
        <f>HYPERLINK("https://ictv.global/taxonomy/taxondetails?taxnode_id=202308646","ictv.global=202308646")</f>
        <v>ictv.global=202308646</v>
      </c>
    </row>
    <row r="14513" spans="1:21">
      <c r="A14513">
        <v>14512</v>
      </c>
      <c r="L14513" s="30" t="s">
        <v>486</v>
      </c>
      <c r="N14513" s="30" t="s">
        <v>487</v>
      </c>
      <c r="P14513" s="30" t="s">
        <v>18901</v>
      </c>
      <c r="Q14513" t="s">
        <v>1208</v>
      </c>
      <c r="R14513" t="s">
        <v>920</v>
      </c>
      <c r="S14513">
        <v>39</v>
      </c>
      <c r="T14513" s="29" t="str">
        <f t="shared" ref="T14513:T14523" si="607">HYPERLINK("https://ictv.global/ictv/proposals/2023.032P.Avsunviroidae_and_Pospiviroidae_rename_sp.zip","2023.032P.Avsunviroidae_and_Pospiviroidae_rename_sp.zip")</f>
        <v>2023.032P.Avsunviroidae_and_Pospiviroidae_rename_sp.zip</v>
      </c>
      <c r="U14513" s="29" t="str">
        <f>HYPERLINK("https://ictv.global/taxonomy/taxondetails?taxnode_id=202304506","ictv.global=202304506")</f>
        <v>ictv.global=202304506</v>
      </c>
    </row>
    <row r="14514" spans="1:21">
      <c r="A14514">
        <v>14513</v>
      </c>
      <c r="L14514" s="30" t="s">
        <v>486</v>
      </c>
      <c r="N14514" s="30" t="s">
        <v>487</v>
      </c>
      <c r="P14514" s="30" t="s">
        <v>18902</v>
      </c>
      <c r="Q14514" t="s">
        <v>1208</v>
      </c>
      <c r="R14514" t="s">
        <v>920</v>
      </c>
      <c r="S14514">
        <v>39</v>
      </c>
      <c r="T14514" s="29" t="str">
        <f t="shared" si="607"/>
        <v>2023.032P.Avsunviroidae_and_Pospiviroidae_rename_sp.zip</v>
      </c>
      <c r="U14514" s="29" t="str">
        <f>HYPERLINK("https://ictv.global/taxonomy/taxondetails?taxnode_id=202304501","ictv.global=202304501")</f>
        <v>ictv.global=202304501</v>
      </c>
    </row>
    <row r="14515" spans="1:21">
      <c r="A14515">
        <v>14514</v>
      </c>
      <c r="L14515" s="30" t="s">
        <v>486</v>
      </c>
      <c r="N14515" s="30" t="s">
        <v>487</v>
      </c>
      <c r="P14515" s="30" t="s">
        <v>18903</v>
      </c>
      <c r="Q14515" t="s">
        <v>1208</v>
      </c>
      <c r="R14515" t="s">
        <v>920</v>
      </c>
      <c r="S14515">
        <v>39</v>
      </c>
      <c r="T14515" s="29" t="str">
        <f t="shared" si="607"/>
        <v>2023.032P.Avsunviroidae_and_Pospiviroidae_rename_sp.zip</v>
      </c>
      <c r="U14515" s="29" t="str">
        <f>HYPERLINK("https://ictv.global/taxonomy/taxondetails?taxnode_id=202313873","ictv.global=202313873")</f>
        <v>ictv.global=202313873</v>
      </c>
    </row>
    <row r="14516" spans="1:21">
      <c r="A14516">
        <v>14515</v>
      </c>
      <c r="L14516" s="30" t="s">
        <v>486</v>
      </c>
      <c r="N14516" s="30" t="s">
        <v>487</v>
      </c>
      <c r="P14516" s="30" t="s">
        <v>18904</v>
      </c>
      <c r="Q14516" t="s">
        <v>1208</v>
      </c>
      <c r="R14516" t="s">
        <v>920</v>
      </c>
      <c r="S14516">
        <v>39</v>
      </c>
      <c r="T14516" s="29" t="str">
        <f t="shared" si="607"/>
        <v>2023.032P.Avsunviroidae_and_Pospiviroidae_rename_sp.zip</v>
      </c>
      <c r="U14516" s="29" t="str">
        <f>HYPERLINK("https://ictv.global/taxonomy/taxondetails?taxnode_id=202304507","ictv.global=202304507")</f>
        <v>ictv.global=202304507</v>
      </c>
    </row>
    <row r="14517" spans="1:21">
      <c r="A14517">
        <v>14516</v>
      </c>
      <c r="L14517" s="30" t="s">
        <v>486</v>
      </c>
      <c r="N14517" s="30" t="s">
        <v>487</v>
      </c>
      <c r="P14517" s="30" t="s">
        <v>18905</v>
      </c>
      <c r="Q14517" t="s">
        <v>1208</v>
      </c>
      <c r="R14517" t="s">
        <v>920</v>
      </c>
      <c r="S14517">
        <v>39</v>
      </c>
      <c r="T14517" s="29" t="str">
        <f t="shared" si="607"/>
        <v>2023.032P.Avsunviroidae_and_Pospiviroidae_rename_sp.zip</v>
      </c>
      <c r="U14517" s="29" t="str">
        <f>HYPERLINK("https://ictv.global/taxonomy/taxondetails?taxnode_id=202304500","ictv.global=202304500")</f>
        <v>ictv.global=202304500</v>
      </c>
    </row>
    <row r="14518" spans="1:21">
      <c r="A14518">
        <v>14517</v>
      </c>
      <c r="L14518" s="30" t="s">
        <v>486</v>
      </c>
      <c r="N14518" s="30" t="s">
        <v>487</v>
      </c>
      <c r="P14518" s="30" t="s">
        <v>18906</v>
      </c>
      <c r="Q14518" t="s">
        <v>1208</v>
      </c>
      <c r="R14518" t="s">
        <v>920</v>
      </c>
      <c r="S14518">
        <v>39</v>
      </c>
      <c r="T14518" s="29" t="str">
        <f t="shared" si="607"/>
        <v>2023.032P.Avsunviroidae_and_Pospiviroidae_rename_sp.zip</v>
      </c>
      <c r="U14518" s="29" t="str">
        <f>HYPERLINK("https://ictv.global/taxonomy/taxondetails?taxnode_id=202304502","ictv.global=202304502")</f>
        <v>ictv.global=202304502</v>
      </c>
    </row>
    <row r="14519" spans="1:21">
      <c r="A14519">
        <v>14518</v>
      </c>
      <c r="L14519" s="30" t="s">
        <v>486</v>
      </c>
      <c r="N14519" s="30" t="s">
        <v>487</v>
      </c>
      <c r="P14519" s="30" t="s">
        <v>18907</v>
      </c>
      <c r="Q14519" t="s">
        <v>1208</v>
      </c>
      <c r="R14519" t="s">
        <v>920</v>
      </c>
      <c r="S14519">
        <v>39</v>
      </c>
      <c r="T14519" s="29" t="str">
        <f t="shared" si="607"/>
        <v>2023.032P.Avsunviroidae_and_Pospiviroidae_rename_sp.zip</v>
      </c>
      <c r="U14519" s="29" t="str">
        <f>HYPERLINK("https://ictv.global/taxonomy/taxondetails?taxnode_id=202313869","ictv.global=202313869")</f>
        <v>ictv.global=202313869</v>
      </c>
    </row>
    <row r="14520" spans="1:21">
      <c r="A14520">
        <v>14519</v>
      </c>
      <c r="L14520" s="30" t="s">
        <v>486</v>
      </c>
      <c r="N14520" s="30" t="s">
        <v>487</v>
      </c>
      <c r="P14520" s="30" t="s">
        <v>18908</v>
      </c>
      <c r="Q14520" t="s">
        <v>1208</v>
      </c>
      <c r="R14520" t="s">
        <v>920</v>
      </c>
      <c r="S14520">
        <v>39</v>
      </c>
      <c r="T14520" s="29" t="str">
        <f t="shared" si="607"/>
        <v>2023.032P.Avsunviroidae_and_Pospiviroidae_rename_sp.zip</v>
      </c>
      <c r="U14520" s="29" t="str">
        <f>HYPERLINK("https://ictv.global/taxonomy/taxondetails?taxnode_id=202313872","ictv.global=202313872")</f>
        <v>ictv.global=202313872</v>
      </c>
    </row>
    <row r="14521" spans="1:21">
      <c r="A14521">
        <v>14520</v>
      </c>
      <c r="L14521" s="30" t="s">
        <v>486</v>
      </c>
      <c r="N14521" s="30" t="s">
        <v>487</v>
      </c>
      <c r="P14521" s="30" t="s">
        <v>18909</v>
      </c>
      <c r="Q14521" t="s">
        <v>1208</v>
      </c>
      <c r="R14521" t="s">
        <v>920</v>
      </c>
      <c r="S14521">
        <v>39</v>
      </c>
      <c r="T14521" s="29" t="str">
        <f t="shared" si="607"/>
        <v>2023.032P.Avsunviroidae_and_Pospiviroidae_rename_sp.zip</v>
      </c>
      <c r="U14521" s="29" t="str">
        <f>HYPERLINK("https://ictv.global/taxonomy/taxondetails?taxnode_id=202304504","ictv.global=202304504")</f>
        <v>ictv.global=202304504</v>
      </c>
    </row>
    <row r="14522" spans="1:21">
      <c r="A14522">
        <v>14521</v>
      </c>
      <c r="L14522" s="30" t="s">
        <v>486</v>
      </c>
      <c r="N14522" s="30" t="s">
        <v>487</v>
      </c>
      <c r="P14522" s="30" t="s">
        <v>18910</v>
      </c>
      <c r="Q14522" t="s">
        <v>1208</v>
      </c>
      <c r="R14522" t="s">
        <v>920</v>
      </c>
      <c r="S14522">
        <v>39</v>
      </c>
      <c r="T14522" s="29" t="str">
        <f t="shared" si="607"/>
        <v>2023.032P.Avsunviroidae_and_Pospiviroidae_rename_sp.zip</v>
      </c>
      <c r="U14522" s="29" t="str">
        <f>HYPERLINK("https://ictv.global/taxonomy/taxondetails?taxnode_id=202313868","ictv.global=202313868")</f>
        <v>ictv.global=202313868</v>
      </c>
    </row>
    <row r="14523" spans="1:21">
      <c r="A14523">
        <v>14522</v>
      </c>
      <c r="L14523" s="30" t="s">
        <v>486</v>
      </c>
      <c r="N14523" s="30" t="s">
        <v>487</v>
      </c>
      <c r="P14523" s="30" t="s">
        <v>18911</v>
      </c>
      <c r="Q14523" t="s">
        <v>1208</v>
      </c>
      <c r="R14523" t="s">
        <v>920</v>
      </c>
      <c r="S14523">
        <v>39</v>
      </c>
      <c r="T14523" s="29" t="str">
        <f t="shared" si="607"/>
        <v>2023.032P.Avsunviroidae_and_Pospiviroidae_rename_sp.zip</v>
      </c>
      <c r="U14523" s="29" t="str">
        <f>HYPERLINK("https://ictv.global/taxonomy/taxondetails?taxnode_id=202304499","ictv.global=202304499")</f>
        <v>ictv.global=202304499</v>
      </c>
    </row>
    <row r="14524" spans="1:21">
      <c r="A14524">
        <v>14523</v>
      </c>
      <c r="L14524" s="30" t="s">
        <v>486</v>
      </c>
      <c r="N14524" s="30" t="s">
        <v>487</v>
      </c>
      <c r="P14524" s="30" t="s">
        <v>18912</v>
      </c>
      <c r="Q14524" t="s">
        <v>1208</v>
      </c>
      <c r="R14524" t="s">
        <v>917</v>
      </c>
      <c r="S14524">
        <v>39</v>
      </c>
      <c r="T14524" s="29" t="str">
        <f>HYPERLINK("https://ictv.global/ictv/proposals/2023.031P.Apscaviroid_1nsp.zip","2023.031P.Apscaviroid_1nsp.zip")</f>
        <v>2023.031P.Apscaviroid_1nsp.zip</v>
      </c>
      <c r="U14524" s="29" t="str">
        <f>HYPERLINK("https://ictv.global/taxonomy/taxondetails?taxnode_id=202319071","ictv.global=202319071")</f>
        <v>ictv.global=202319071</v>
      </c>
    </row>
    <row r="14525" spans="1:21">
      <c r="A14525">
        <v>14524</v>
      </c>
      <c r="L14525" s="30" t="s">
        <v>486</v>
      </c>
      <c r="N14525" s="30" t="s">
        <v>487</v>
      </c>
      <c r="P14525" s="30" t="s">
        <v>18913</v>
      </c>
      <c r="Q14525" t="s">
        <v>1208</v>
      </c>
      <c r="R14525" t="s">
        <v>920</v>
      </c>
      <c r="S14525">
        <v>39</v>
      </c>
      <c r="T14525" s="29" t="str">
        <f t="shared" ref="T14525:T14552" si="608">HYPERLINK("https://ictv.global/ictv/proposals/2023.032P.Avsunviroidae_and_Pospiviroidae_rename_sp.zip","2023.032P.Avsunviroidae_and_Pospiviroidae_rename_sp.zip")</f>
        <v>2023.032P.Avsunviroidae_and_Pospiviroidae_rename_sp.zip</v>
      </c>
      <c r="U14525" s="29" t="str">
        <f>HYPERLINK("https://ictv.global/taxonomy/taxondetails?taxnode_id=202313874","ictv.global=202313874")</f>
        <v>ictv.global=202313874</v>
      </c>
    </row>
    <row r="14526" spans="1:21">
      <c r="A14526">
        <v>14525</v>
      </c>
      <c r="L14526" s="30" t="s">
        <v>486</v>
      </c>
      <c r="N14526" s="30" t="s">
        <v>487</v>
      </c>
      <c r="P14526" s="30" t="s">
        <v>18914</v>
      </c>
      <c r="Q14526" t="s">
        <v>1208</v>
      </c>
      <c r="R14526" t="s">
        <v>920</v>
      </c>
      <c r="S14526">
        <v>39</v>
      </c>
      <c r="T14526" s="29" t="str">
        <f t="shared" si="608"/>
        <v>2023.032P.Avsunviroidae_and_Pospiviroidae_rename_sp.zip</v>
      </c>
      <c r="U14526" s="29" t="str">
        <f>HYPERLINK("https://ictv.global/taxonomy/taxondetails?taxnode_id=202313870","ictv.global=202313870")</f>
        <v>ictv.global=202313870</v>
      </c>
    </row>
    <row r="14527" spans="1:21">
      <c r="A14527">
        <v>14526</v>
      </c>
      <c r="L14527" s="30" t="s">
        <v>486</v>
      </c>
      <c r="N14527" s="30" t="s">
        <v>487</v>
      </c>
      <c r="P14527" s="30" t="s">
        <v>18915</v>
      </c>
      <c r="Q14527" t="s">
        <v>1208</v>
      </c>
      <c r="R14527" t="s">
        <v>920</v>
      </c>
      <c r="S14527">
        <v>39</v>
      </c>
      <c r="T14527" s="29" t="str">
        <f t="shared" si="608"/>
        <v>2023.032P.Avsunviroidae_and_Pospiviroidae_rename_sp.zip</v>
      </c>
      <c r="U14527" s="29" t="str">
        <f>HYPERLINK("https://ictv.global/taxonomy/taxondetails?taxnode_id=202313871","ictv.global=202313871")</f>
        <v>ictv.global=202313871</v>
      </c>
    </row>
    <row r="14528" spans="1:21">
      <c r="A14528">
        <v>14527</v>
      </c>
      <c r="L14528" s="30" t="s">
        <v>486</v>
      </c>
      <c r="N14528" s="30" t="s">
        <v>487</v>
      </c>
      <c r="P14528" s="30" t="s">
        <v>18916</v>
      </c>
      <c r="Q14528" t="s">
        <v>1208</v>
      </c>
      <c r="R14528" t="s">
        <v>920</v>
      </c>
      <c r="S14528">
        <v>39</v>
      </c>
      <c r="T14528" s="29" t="str">
        <f t="shared" si="608"/>
        <v>2023.032P.Avsunviroidae_and_Pospiviroidae_rename_sp.zip</v>
      </c>
      <c r="U14528" s="29" t="str">
        <f>HYPERLINK("https://ictv.global/taxonomy/taxondetails?taxnode_id=202313867","ictv.global=202313867")</f>
        <v>ictv.global=202313867</v>
      </c>
    </row>
    <row r="14529" spans="1:21">
      <c r="A14529">
        <v>14528</v>
      </c>
      <c r="L14529" s="30" t="s">
        <v>486</v>
      </c>
      <c r="N14529" s="30" t="s">
        <v>487</v>
      </c>
      <c r="P14529" s="30" t="s">
        <v>18917</v>
      </c>
      <c r="Q14529" t="s">
        <v>1208</v>
      </c>
      <c r="R14529" t="s">
        <v>920</v>
      </c>
      <c r="S14529">
        <v>39</v>
      </c>
      <c r="T14529" s="29" t="str">
        <f t="shared" si="608"/>
        <v>2023.032P.Avsunviroidae_and_Pospiviroidae_rename_sp.zip</v>
      </c>
      <c r="U14529" s="29" t="str">
        <f>HYPERLINK("https://ictv.global/taxonomy/taxondetails?taxnode_id=202304503","ictv.global=202304503")</f>
        <v>ictv.global=202304503</v>
      </c>
    </row>
    <row r="14530" spans="1:21">
      <c r="A14530">
        <v>14529</v>
      </c>
      <c r="L14530" s="30" t="s">
        <v>486</v>
      </c>
      <c r="N14530" s="30" t="s">
        <v>487</v>
      </c>
      <c r="P14530" s="30" t="s">
        <v>18918</v>
      </c>
      <c r="Q14530" t="s">
        <v>1208</v>
      </c>
      <c r="R14530" t="s">
        <v>920</v>
      </c>
      <c r="S14530">
        <v>39</v>
      </c>
      <c r="T14530" s="29" t="str">
        <f t="shared" si="608"/>
        <v>2023.032P.Avsunviroidae_and_Pospiviroidae_rename_sp.zip</v>
      </c>
      <c r="U14530" s="29" t="str">
        <f>HYPERLINK("https://ictv.global/taxonomy/taxondetails?taxnode_id=202304508","ictv.global=202304508")</f>
        <v>ictv.global=202304508</v>
      </c>
    </row>
    <row r="14531" spans="1:21">
      <c r="A14531">
        <v>14530</v>
      </c>
      <c r="L14531" s="30" t="s">
        <v>486</v>
      </c>
      <c r="N14531" s="30" t="s">
        <v>487</v>
      </c>
      <c r="P14531" s="30" t="s">
        <v>18919</v>
      </c>
      <c r="Q14531" t="s">
        <v>1208</v>
      </c>
      <c r="R14531" t="s">
        <v>920</v>
      </c>
      <c r="S14531">
        <v>39</v>
      </c>
      <c r="T14531" s="29" t="str">
        <f t="shared" si="608"/>
        <v>2023.032P.Avsunviroidae_and_Pospiviroidae_rename_sp.zip</v>
      </c>
      <c r="U14531" s="29" t="str">
        <f>HYPERLINK("https://ictv.global/taxonomy/taxondetails?taxnode_id=202304505","ictv.global=202304505")</f>
        <v>ictv.global=202304505</v>
      </c>
    </row>
    <row r="14532" spans="1:21">
      <c r="A14532">
        <v>14531</v>
      </c>
      <c r="L14532" s="30" t="s">
        <v>486</v>
      </c>
      <c r="N14532" s="30" t="s">
        <v>488</v>
      </c>
      <c r="P14532" s="30" t="s">
        <v>18920</v>
      </c>
      <c r="Q14532" t="s">
        <v>1208</v>
      </c>
      <c r="R14532" t="s">
        <v>920</v>
      </c>
      <c r="S14532">
        <v>39</v>
      </c>
      <c r="T14532" s="29" t="str">
        <f t="shared" si="608"/>
        <v>2023.032P.Avsunviroidae_and_Pospiviroidae_rename_sp.zip</v>
      </c>
      <c r="U14532" s="29" t="str">
        <f>HYPERLINK("https://ictv.global/taxonomy/taxondetails?taxnode_id=202304511","ictv.global=202304511")</f>
        <v>ictv.global=202304511</v>
      </c>
    </row>
    <row r="14533" spans="1:21">
      <c r="A14533">
        <v>14532</v>
      </c>
      <c r="L14533" s="30" t="s">
        <v>486</v>
      </c>
      <c r="N14533" s="30" t="s">
        <v>488</v>
      </c>
      <c r="P14533" s="30" t="s">
        <v>18921</v>
      </c>
      <c r="Q14533" t="s">
        <v>1208</v>
      </c>
      <c r="R14533" t="s">
        <v>920</v>
      </c>
      <c r="S14533">
        <v>39</v>
      </c>
      <c r="T14533" s="29" t="str">
        <f t="shared" si="608"/>
        <v>2023.032P.Avsunviroidae_and_Pospiviroidae_rename_sp.zip</v>
      </c>
      <c r="U14533" s="29" t="str">
        <f>HYPERLINK("https://ictv.global/taxonomy/taxondetails?taxnode_id=202304513","ictv.global=202304513")</f>
        <v>ictv.global=202304513</v>
      </c>
    </row>
    <row r="14534" spans="1:21">
      <c r="A14534">
        <v>14533</v>
      </c>
      <c r="L14534" s="30" t="s">
        <v>486</v>
      </c>
      <c r="N14534" s="30" t="s">
        <v>488</v>
      </c>
      <c r="P14534" s="30" t="s">
        <v>18922</v>
      </c>
      <c r="Q14534" t="s">
        <v>1208</v>
      </c>
      <c r="R14534" t="s">
        <v>920</v>
      </c>
      <c r="S14534">
        <v>39</v>
      </c>
      <c r="T14534" s="29" t="str">
        <f t="shared" si="608"/>
        <v>2023.032P.Avsunviroidae_and_Pospiviroidae_rename_sp.zip</v>
      </c>
      <c r="U14534" s="29" t="str">
        <f>HYPERLINK("https://ictv.global/taxonomy/taxondetails?taxnode_id=202304510","ictv.global=202304510")</f>
        <v>ictv.global=202304510</v>
      </c>
    </row>
    <row r="14535" spans="1:21">
      <c r="A14535">
        <v>14534</v>
      </c>
      <c r="L14535" s="30" t="s">
        <v>486</v>
      </c>
      <c r="N14535" s="30" t="s">
        <v>488</v>
      </c>
      <c r="P14535" s="30" t="s">
        <v>18923</v>
      </c>
      <c r="Q14535" t="s">
        <v>1208</v>
      </c>
      <c r="R14535" t="s">
        <v>920</v>
      </c>
      <c r="S14535">
        <v>39</v>
      </c>
      <c r="T14535" s="29" t="str">
        <f t="shared" si="608"/>
        <v>2023.032P.Avsunviroidae_and_Pospiviroidae_rename_sp.zip</v>
      </c>
      <c r="U14535" s="29" t="str">
        <f>HYPERLINK("https://ictv.global/taxonomy/taxondetails?taxnode_id=202304512","ictv.global=202304512")</f>
        <v>ictv.global=202304512</v>
      </c>
    </row>
    <row r="14536" spans="1:21">
      <c r="A14536">
        <v>14535</v>
      </c>
      <c r="L14536" s="30" t="s">
        <v>486</v>
      </c>
      <c r="N14536" s="30" t="s">
        <v>158</v>
      </c>
      <c r="P14536" s="30" t="s">
        <v>18924</v>
      </c>
      <c r="Q14536" t="s">
        <v>1208</v>
      </c>
      <c r="R14536" t="s">
        <v>920</v>
      </c>
      <c r="S14536">
        <v>39</v>
      </c>
      <c r="T14536" s="29" t="str">
        <f t="shared" si="608"/>
        <v>2023.032P.Avsunviroidae_and_Pospiviroidae_rename_sp.zip</v>
      </c>
      <c r="U14536" s="29" t="str">
        <f>HYPERLINK("https://ictv.global/taxonomy/taxondetails?taxnode_id=202304515","ictv.global=202304515")</f>
        <v>ictv.global=202304515</v>
      </c>
    </row>
    <row r="14537" spans="1:21">
      <c r="A14537">
        <v>14536</v>
      </c>
      <c r="L14537" s="30" t="s">
        <v>486</v>
      </c>
      <c r="N14537" s="30" t="s">
        <v>158</v>
      </c>
      <c r="P14537" s="30" t="s">
        <v>18925</v>
      </c>
      <c r="Q14537" t="s">
        <v>1208</v>
      </c>
      <c r="R14537" t="s">
        <v>920</v>
      </c>
      <c r="S14537">
        <v>39</v>
      </c>
      <c r="T14537" s="29" t="str">
        <f t="shared" si="608"/>
        <v>2023.032P.Avsunviroidae_and_Pospiviroidae_rename_sp.zip</v>
      </c>
      <c r="U14537" s="29" t="str">
        <f>HYPERLINK("https://ictv.global/taxonomy/taxondetails?taxnode_id=202304516","ictv.global=202304516")</f>
        <v>ictv.global=202304516</v>
      </c>
    </row>
    <row r="14538" spans="1:21">
      <c r="A14538">
        <v>14537</v>
      </c>
      <c r="L14538" s="30" t="s">
        <v>486</v>
      </c>
      <c r="N14538" s="30" t="s">
        <v>158</v>
      </c>
      <c r="P14538" s="30" t="s">
        <v>18926</v>
      </c>
      <c r="Q14538" t="s">
        <v>1208</v>
      </c>
      <c r="R14538" t="s">
        <v>920</v>
      </c>
      <c r="S14538">
        <v>39</v>
      </c>
      <c r="T14538" s="29" t="str">
        <f t="shared" si="608"/>
        <v>2023.032P.Avsunviroidae_and_Pospiviroidae_rename_sp.zip</v>
      </c>
      <c r="U14538" s="29" t="str">
        <f>HYPERLINK("https://ictv.global/taxonomy/taxondetails?taxnode_id=202313875","ictv.global=202313875")</f>
        <v>ictv.global=202313875</v>
      </c>
    </row>
    <row r="14539" spans="1:21">
      <c r="A14539">
        <v>14538</v>
      </c>
      <c r="L14539" s="30" t="s">
        <v>486</v>
      </c>
      <c r="N14539" s="30" t="s">
        <v>158</v>
      </c>
      <c r="P14539" s="30" t="s">
        <v>18927</v>
      </c>
      <c r="Q14539" t="s">
        <v>1208</v>
      </c>
      <c r="R14539" t="s">
        <v>920</v>
      </c>
      <c r="S14539">
        <v>39</v>
      </c>
      <c r="T14539" s="29" t="str">
        <f t="shared" si="608"/>
        <v>2023.032P.Avsunviroidae_and_Pospiviroidae_rename_sp.zip</v>
      </c>
      <c r="U14539" s="29" t="str">
        <f>HYPERLINK("https://ictv.global/taxonomy/taxondetails?taxnode_id=202304517","ictv.global=202304517")</f>
        <v>ictv.global=202304517</v>
      </c>
    </row>
    <row r="14540" spans="1:21">
      <c r="A14540">
        <v>14539</v>
      </c>
      <c r="L14540" s="30" t="s">
        <v>486</v>
      </c>
      <c r="N14540" s="30" t="s">
        <v>158</v>
      </c>
      <c r="P14540" s="30" t="s">
        <v>18928</v>
      </c>
      <c r="Q14540" t="s">
        <v>1208</v>
      </c>
      <c r="R14540" t="s">
        <v>920</v>
      </c>
      <c r="S14540">
        <v>39</v>
      </c>
      <c r="T14540" s="29" t="str">
        <f t="shared" si="608"/>
        <v>2023.032P.Avsunviroidae_and_Pospiviroidae_rename_sp.zip</v>
      </c>
      <c r="U14540" s="29" t="str">
        <f>HYPERLINK("https://ictv.global/taxonomy/taxondetails?taxnode_id=202313876","ictv.global=202313876")</f>
        <v>ictv.global=202313876</v>
      </c>
    </row>
    <row r="14541" spans="1:21">
      <c r="A14541">
        <v>14540</v>
      </c>
      <c r="L14541" s="30" t="s">
        <v>486</v>
      </c>
      <c r="N14541" s="30" t="s">
        <v>159</v>
      </c>
      <c r="P14541" s="30" t="s">
        <v>18929</v>
      </c>
      <c r="Q14541" t="s">
        <v>1208</v>
      </c>
      <c r="R14541" t="s">
        <v>920</v>
      </c>
      <c r="S14541">
        <v>39</v>
      </c>
      <c r="T14541" s="29" t="str">
        <f t="shared" si="608"/>
        <v>2023.032P.Avsunviroidae_and_Pospiviroidae_rename_sp.zip</v>
      </c>
      <c r="U14541" s="29" t="str">
        <f>HYPERLINK("https://ictv.global/taxonomy/taxondetails?taxnode_id=202304520","ictv.global=202304520")</f>
        <v>ictv.global=202304520</v>
      </c>
    </row>
    <row r="14542" spans="1:21">
      <c r="A14542">
        <v>14541</v>
      </c>
      <c r="L14542" s="30" t="s">
        <v>486</v>
      </c>
      <c r="N14542" s="30" t="s">
        <v>159</v>
      </c>
      <c r="P14542" s="30" t="s">
        <v>18930</v>
      </c>
      <c r="Q14542" t="s">
        <v>1208</v>
      </c>
      <c r="R14542" t="s">
        <v>920</v>
      </c>
      <c r="S14542">
        <v>39</v>
      </c>
      <c r="T14542" s="29" t="str">
        <f t="shared" si="608"/>
        <v>2023.032P.Avsunviroidae_and_Pospiviroidae_rename_sp.zip</v>
      </c>
      <c r="U14542" s="29" t="str">
        <f>HYPERLINK("https://ictv.global/taxonomy/taxondetails?taxnode_id=202304519","ictv.global=202304519")</f>
        <v>ictv.global=202304519</v>
      </c>
    </row>
    <row r="14543" spans="1:21">
      <c r="A14543">
        <v>14542</v>
      </c>
      <c r="L14543" s="30" t="s">
        <v>486</v>
      </c>
      <c r="N14543" s="30" t="s">
        <v>160</v>
      </c>
      <c r="P14543" s="30" t="s">
        <v>18931</v>
      </c>
      <c r="Q14543" t="s">
        <v>1208</v>
      </c>
      <c r="R14543" t="s">
        <v>920</v>
      </c>
      <c r="S14543">
        <v>39</v>
      </c>
      <c r="T14543" s="29" t="str">
        <f t="shared" si="608"/>
        <v>2023.032P.Avsunviroidae_and_Pospiviroidae_rename_sp.zip</v>
      </c>
      <c r="U14543" s="29" t="str">
        <f>HYPERLINK("https://ictv.global/taxonomy/taxondetails?taxnode_id=202304525","ictv.global=202304525")</f>
        <v>ictv.global=202304525</v>
      </c>
    </row>
    <row r="14544" spans="1:21">
      <c r="A14544">
        <v>14543</v>
      </c>
      <c r="L14544" s="30" t="s">
        <v>486</v>
      </c>
      <c r="N14544" s="30" t="s">
        <v>160</v>
      </c>
      <c r="P14544" s="30" t="s">
        <v>18932</v>
      </c>
      <c r="Q14544" t="s">
        <v>1208</v>
      </c>
      <c r="R14544" t="s">
        <v>920</v>
      </c>
      <c r="S14544">
        <v>39</v>
      </c>
      <c r="T14544" s="29" t="str">
        <f t="shared" si="608"/>
        <v>2023.032P.Avsunviroidae_and_Pospiviroidae_rename_sp.zip</v>
      </c>
      <c r="U14544" s="29" t="str">
        <f>HYPERLINK("https://ictv.global/taxonomy/taxondetails?taxnode_id=202304528","ictv.global=202304528")</f>
        <v>ictv.global=202304528</v>
      </c>
    </row>
    <row r="14545" spans="1:21">
      <c r="A14545">
        <v>14544</v>
      </c>
      <c r="L14545" s="30" t="s">
        <v>486</v>
      </c>
      <c r="N14545" s="30" t="s">
        <v>160</v>
      </c>
      <c r="P14545" s="30" t="s">
        <v>18933</v>
      </c>
      <c r="Q14545" t="s">
        <v>1208</v>
      </c>
      <c r="R14545" t="s">
        <v>920</v>
      </c>
      <c r="S14545">
        <v>39</v>
      </c>
      <c r="T14545" s="29" t="str">
        <f t="shared" si="608"/>
        <v>2023.032P.Avsunviroidae_and_Pospiviroidae_rename_sp.zip</v>
      </c>
      <c r="U14545" s="29" t="str">
        <f>HYPERLINK("https://ictv.global/taxonomy/taxondetails?taxnode_id=202304529","ictv.global=202304529")</f>
        <v>ictv.global=202304529</v>
      </c>
    </row>
    <row r="14546" spans="1:21">
      <c r="A14546">
        <v>14545</v>
      </c>
      <c r="L14546" s="30" t="s">
        <v>486</v>
      </c>
      <c r="N14546" s="30" t="s">
        <v>160</v>
      </c>
      <c r="P14546" s="30" t="s">
        <v>18934</v>
      </c>
      <c r="Q14546" t="s">
        <v>1208</v>
      </c>
      <c r="R14546" t="s">
        <v>920</v>
      </c>
      <c r="S14546">
        <v>39</v>
      </c>
      <c r="T14546" s="29" t="str">
        <f t="shared" si="608"/>
        <v>2023.032P.Avsunviroidae_and_Pospiviroidae_rename_sp.zip</v>
      </c>
      <c r="U14546" s="29" t="str">
        <f>HYPERLINK("https://ictv.global/taxonomy/taxondetails?taxnode_id=202304523","ictv.global=202304523")</f>
        <v>ictv.global=202304523</v>
      </c>
    </row>
    <row r="14547" spans="1:21">
      <c r="A14547">
        <v>14546</v>
      </c>
      <c r="L14547" s="30" t="s">
        <v>486</v>
      </c>
      <c r="N14547" s="30" t="s">
        <v>160</v>
      </c>
      <c r="P14547" s="30" t="s">
        <v>18935</v>
      </c>
      <c r="Q14547" t="s">
        <v>1208</v>
      </c>
      <c r="R14547" t="s">
        <v>920</v>
      </c>
      <c r="S14547">
        <v>39</v>
      </c>
      <c r="T14547" s="29" t="str">
        <f t="shared" si="608"/>
        <v>2023.032P.Avsunviroidae_and_Pospiviroidae_rename_sp.zip</v>
      </c>
      <c r="U14547" s="29" t="str">
        <f>HYPERLINK("https://ictv.global/taxonomy/taxondetails?taxnode_id=202304527","ictv.global=202304527")</f>
        <v>ictv.global=202304527</v>
      </c>
    </row>
    <row r="14548" spans="1:21">
      <c r="A14548">
        <v>14547</v>
      </c>
      <c r="L14548" s="30" t="s">
        <v>486</v>
      </c>
      <c r="N14548" s="30" t="s">
        <v>160</v>
      </c>
      <c r="P14548" s="30" t="s">
        <v>18936</v>
      </c>
      <c r="Q14548" t="s">
        <v>1208</v>
      </c>
      <c r="R14548" t="s">
        <v>920</v>
      </c>
      <c r="S14548">
        <v>39</v>
      </c>
      <c r="T14548" s="29" t="str">
        <f t="shared" si="608"/>
        <v>2023.032P.Avsunviroidae_and_Pospiviroidae_rename_sp.zip</v>
      </c>
      <c r="U14548" s="29" t="str">
        <f>HYPERLINK("https://ictv.global/taxonomy/taxondetails?taxnode_id=202304522","ictv.global=202304522")</f>
        <v>ictv.global=202304522</v>
      </c>
    </row>
    <row r="14549" spans="1:21">
      <c r="A14549">
        <v>14548</v>
      </c>
      <c r="L14549" s="30" t="s">
        <v>486</v>
      </c>
      <c r="N14549" s="30" t="s">
        <v>160</v>
      </c>
      <c r="P14549" s="30" t="s">
        <v>18937</v>
      </c>
      <c r="Q14549" t="s">
        <v>1208</v>
      </c>
      <c r="R14549" t="s">
        <v>920</v>
      </c>
      <c r="S14549">
        <v>39</v>
      </c>
      <c r="T14549" s="29" t="str">
        <f t="shared" si="608"/>
        <v>2023.032P.Avsunviroidae_and_Pospiviroidae_rename_sp.zip</v>
      </c>
      <c r="U14549" s="29" t="str">
        <f>HYPERLINK("https://ictv.global/taxonomy/taxondetails?taxnode_id=202304524","ictv.global=202304524")</f>
        <v>ictv.global=202304524</v>
      </c>
    </row>
    <row r="14550" spans="1:21">
      <c r="A14550">
        <v>14549</v>
      </c>
      <c r="L14550" s="30" t="s">
        <v>486</v>
      </c>
      <c r="N14550" s="30" t="s">
        <v>160</v>
      </c>
      <c r="P14550" s="30" t="s">
        <v>18938</v>
      </c>
      <c r="Q14550" t="s">
        <v>1208</v>
      </c>
      <c r="R14550" t="s">
        <v>920</v>
      </c>
      <c r="S14550">
        <v>39</v>
      </c>
      <c r="T14550" s="29" t="str">
        <f t="shared" si="608"/>
        <v>2023.032P.Avsunviroidae_and_Pospiviroidae_rename_sp.zip</v>
      </c>
      <c r="U14550" s="29" t="str">
        <f>HYPERLINK("https://ictv.global/taxonomy/taxondetails?taxnode_id=202313877","ictv.global=202313877")</f>
        <v>ictv.global=202313877</v>
      </c>
    </row>
    <row r="14551" spans="1:21">
      <c r="A14551">
        <v>14550</v>
      </c>
      <c r="L14551" s="30" t="s">
        <v>486</v>
      </c>
      <c r="N14551" s="30" t="s">
        <v>160</v>
      </c>
      <c r="P14551" s="30" t="s">
        <v>18939</v>
      </c>
      <c r="Q14551" t="s">
        <v>1208</v>
      </c>
      <c r="R14551" t="s">
        <v>920</v>
      </c>
      <c r="S14551">
        <v>39</v>
      </c>
      <c r="T14551" s="29" t="str">
        <f t="shared" si="608"/>
        <v>2023.032P.Avsunviroidae_and_Pospiviroidae_rename_sp.zip</v>
      </c>
      <c r="U14551" s="29" t="str">
        <f>HYPERLINK("https://ictv.global/taxonomy/taxondetails?taxnode_id=202304530","ictv.global=202304530")</f>
        <v>ictv.global=202304530</v>
      </c>
    </row>
    <row r="14552" spans="1:21">
      <c r="A14552">
        <v>14551</v>
      </c>
      <c r="L14552" s="30" t="s">
        <v>486</v>
      </c>
      <c r="N14552" s="30" t="s">
        <v>160</v>
      </c>
      <c r="P14552" s="30" t="s">
        <v>18940</v>
      </c>
      <c r="Q14552" t="s">
        <v>1208</v>
      </c>
      <c r="R14552" t="s">
        <v>920</v>
      </c>
      <c r="S14552">
        <v>39</v>
      </c>
      <c r="T14552" s="29" t="str">
        <f t="shared" si="608"/>
        <v>2023.032P.Avsunviroidae_and_Pospiviroidae_rename_sp.zip</v>
      </c>
      <c r="U14552" s="29" t="str">
        <f>HYPERLINK("https://ictv.global/taxonomy/taxondetails?taxnode_id=202304526","ictv.global=202304526")</f>
        <v>ictv.global=202304526</v>
      </c>
    </row>
    <row r="14553" spans="1:21">
      <c r="A14553">
        <v>14552</v>
      </c>
      <c r="L14553" s="30" t="s">
        <v>11708</v>
      </c>
      <c r="N14553" s="30" t="s">
        <v>11709</v>
      </c>
      <c r="P14553" s="30" t="s">
        <v>11696</v>
      </c>
      <c r="Q14553" t="s">
        <v>619</v>
      </c>
      <c r="R14553" t="s">
        <v>917</v>
      </c>
      <c r="S14553">
        <v>38</v>
      </c>
      <c r="T14553" s="29" t="str">
        <f>HYPERLINK("https://ictv.global/ictv/proposals/2022.001G.GTA_viriforms.zip","2022.001G.GTA_viriforms.zip")</f>
        <v>2022.001G.GTA_viriforms.zip</v>
      </c>
      <c r="U14553" s="29" t="str">
        <f>HYPERLINK("https://ictv.global/taxonomy/taxondetails?taxnode_id=202315072","ictv.global=202315072")</f>
        <v>ictv.global=202315072</v>
      </c>
    </row>
    <row r="14554" spans="1:21">
      <c r="A14554">
        <v>14553</v>
      </c>
      <c r="L14554" s="30" t="s">
        <v>11708</v>
      </c>
      <c r="N14554" s="30" t="s">
        <v>11710</v>
      </c>
      <c r="P14554" s="30" t="s">
        <v>11698</v>
      </c>
      <c r="Q14554" t="s">
        <v>619</v>
      </c>
      <c r="R14554" t="s">
        <v>917</v>
      </c>
      <c r="S14554">
        <v>38</v>
      </c>
      <c r="T14554" s="29" t="str">
        <f>HYPERLINK("https://ictv.global/ictv/proposals/2022.001G.GTA_viriforms.zip","2022.001G.GTA_viriforms.zip")</f>
        <v>2022.001G.GTA_viriforms.zip</v>
      </c>
      <c r="U14554" s="29" t="str">
        <f>HYPERLINK("https://ictv.global/taxonomy/taxondetails?taxnode_id=202315073","ictv.global=202315073")</f>
        <v>ictv.global=202315073</v>
      </c>
    </row>
    <row r="14555" spans="1:21">
      <c r="A14555">
        <v>14554</v>
      </c>
      <c r="L14555" s="30" t="s">
        <v>11708</v>
      </c>
      <c r="N14555" s="30" t="s">
        <v>11711</v>
      </c>
      <c r="P14555" s="30" t="s">
        <v>11699</v>
      </c>
      <c r="Q14555" t="s">
        <v>619</v>
      </c>
      <c r="R14555" t="s">
        <v>917</v>
      </c>
      <c r="S14555">
        <v>38</v>
      </c>
      <c r="T14555" s="29" t="str">
        <f>HYPERLINK("https://ictv.global/ictv/proposals/2022.001G.GTA_viriforms.zip","2022.001G.GTA_viriforms.zip")</f>
        <v>2022.001G.GTA_viriforms.zip</v>
      </c>
      <c r="U14555" s="29" t="str">
        <f>HYPERLINK("https://ictv.global/taxonomy/taxondetails?taxnode_id=202315074","ictv.global=202315074")</f>
        <v>ictv.global=202315074</v>
      </c>
    </row>
    <row r="14556" spans="1:21">
      <c r="A14556">
        <v>14555</v>
      </c>
      <c r="L14556" s="30" t="s">
        <v>11708</v>
      </c>
      <c r="N14556" s="30" t="s">
        <v>11712</v>
      </c>
      <c r="P14556" s="30" t="s">
        <v>11700</v>
      </c>
      <c r="Q14556" t="s">
        <v>619</v>
      </c>
      <c r="R14556" t="s">
        <v>917</v>
      </c>
      <c r="S14556">
        <v>38</v>
      </c>
      <c r="T14556" s="29" t="str">
        <f>HYPERLINK("https://ictv.global/ictv/proposals/2022.001G.GTA_viriforms.zip","2022.001G.GTA_viriforms.zip")</f>
        <v>2022.001G.GTA_viriforms.zip</v>
      </c>
      <c r="U14556" s="29" t="str">
        <f>HYPERLINK("https://ictv.global/taxonomy/taxondetails?taxnode_id=202315075","ictv.global=202315075")</f>
        <v>ictv.global=202315075</v>
      </c>
    </row>
    <row r="14557" spans="1:21">
      <c r="A14557">
        <v>14556</v>
      </c>
      <c r="L14557" s="30" t="s">
        <v>604</v>
      </c>
      <c r="N14557" s="30" t="s">
        <v>605</v>
      </c>
      <c r="P14557" s="30" t="s">
        <v>18941</v>
      </c>
      <c r="Q14557" t="s">
        <v>739</v>
      </c>
      <c r="R14557" t="s">
        <v>920</v>
      </c>
      <c r="S14557">
        <v>39</v>
      </c>
      <c r="T14557" s="29" t="str">
        <f>HYPERLINK("https://ictv.global/ictv/proposals/2023.001A.Archaeal_binomials.zip","2023.001A.Archaeal_binomials.zip")</f>
        <v>2023.001A.Archaeal_binomials.zip</v>
      </c>
      <c r="U14557" s="29" t="str">
        <f>HYPERLINK("https://ictv.global/taxonomy/taxondetails?taxnode_id=202305069","ictv.global=202305069")</f>
        <v>ictv.global=202305069</v>
      </c>
    </row>
    <row r="14558" spans="1:21">
      <c r="A14558">
        <v>14557</v>
      </c>
      <c r="L14558" s="30" t="s">
        <v>2179</v>
      </c>
      <c r="N14558" s="30" t="s">
        <v>2180</v>
      </c>
      <c r="P14558" s="30" t="s">
        <v>18942</v>
      </c>
      <c r="Q14558" t="s">
        <v>619</v>
      </c>
      <c r="R14558" t="s">
        <v>920</v>
      </c>
      <c r="S14558">
        <v>39</v>
      </c>
      <c r="T14558" s="29" t="str">
        <f>HYPERLINK("https://ictv.global/ictv/proposals/2023.001A.Archaeal_binomials.zip","2023.001A.Archaeal_binomials.zip")</f>
        <v>2023.001A.Archaeal_binomials.zip</v>
      </c>
      <c r="U14558" s="29" t="str">
        <f>HYPERLINK("https://ictv.global/taxonomy/taxondetails?taxnode_id=202308059","ictv.global=202308059")</f>
        <v>ictv.global=202308059</v>
      </c>
    </row>
    <row r="14559" spans="1:21">
      <c r="A14559">
        <v>14558</v>
      </c>
      <c r="L14559" s="30" t="s">
        <v>912</v>
      </c>
      <c r="N14559" s="30" t="s">
        <v>913</v>
      </c>
      <c r="P14559" s="30" t="s">
        <v>18943</v>
      </c>
      <c r="Q14559" t="s">
        <v>739</v>
      </c>
      <c r="R14559" t="s">
        <v>920</v>
      </c>
      <c r="S14559">
        <v>39</v>
      </c>
      <c r="T14559" s="29" t="str">
        <f t="shared" ref="T14559:T14590" si="609">HYPERLINK("https://ictv.global/ictv/proposals/2023.035P.Tolecusatellitidae_rename.zip","2023.035P.Tolecusatellitidae_rename.zip")</f>
        <v>2023.035P.Tolecusatellitidae_rename.zip</v>
      </c>
      <c r="U14559" s="29" t="str">
        <f>HYPERLINK("https://ictv.global/taxonomy/taxondetails?taxnode_id=202309214","ictv.global=202309214")</f>
        <v>ictv.global=202309214</v>
      </c>
    </row>
    <row r="14560" spans="1:21">
      <c r="A14560">
        <v>14559</v>
      </c>
      <c r="L14560" s="30" t="s">
        <v>912</v>
      </c>
      <c r="N14560" s="30" t="s">
        <v>913</v>
      </c>
      <c r="P14560" s="30" t="s">
        <v>18944</v>
      </c>
      <c r="Q14560" t="s">
        <v>622</v>
      </c>
      <c r="R14560" t="s">
        <v>920</v>
      </c>
      <c r="S14560">
        <v>39</v>
      </c>
      <c r="T14560" s="29" t="str">
        <f t="shared" si="609"/>
        <v>2023.035P.Tolecusatellitidae_rename.zip</v>
      </c>
      <c r="U14560" s="29" t="str">
        <f>HYPERLINK("https://ictv.global/taxonomy/taxondetails?taxnode_id=202305127","ictv.global=202305127")</f>
        <v>ictv.global=202305127</v>
      </c>
    </row>
    <row r="14561" spans="1:21">
      <c r="A14561">
        <v>14560</v>
      </c>
      <c r="L14561" s="30" t="s">
        <v>912</v>
      </c>
      <c r="N14561" s="30" t="s">
        <v>913</v>
      </c>
      <c r="P14561" s="30" t="s">
        <v>18945</v>
      </c>
      <c r="Q14561" t="s">
        <v>622</v>
      </c>
      <c r="R14561" t="s">
        <v>920</v>
      </c>
      <c r="S14561">
        <v>39</v>
      </c>
      <c r="T14561" s="29" t="str">
        <f t="shared" si="609"/>
        <v>2023.035P.Tolecusatellitidae_rename.zip</v>
      </c>
      <c r="U14561" s="29" t="str">
        <f>HYPERLINK("https://ictv.global/taxonomy/taxondetails?taxnode_id=202305146","ictv.global=202305146")</f>
        <v>ictv.global=202305146</v>
      </c>
    </row>
    <row r="14562" spans="1:21">
      <c r="A14562">
        <v>14561</v>
      </c>
      <c r="L14562" s="30" t="s">
        <v>912</v>
      </c>
      <c r="N14562" s="30" t="s">
        <v>913</v>
      </c>
      <c r="P14562" s="30" t="s">
        <v>18946</v>
      </c>
      <c r="Q14562" t="s">
        <v>622</v>
      </c>
      <c r="R14562" t="s">
        <v>920</v>
      </c>
      <c r="S14562">
        <v>39</v>
      </c>
      <c r="T14562" s="29" t="str">
        <f t="shared" si="609"/>
        <v>2023.035P.Tolecusatellitidae_rename.zip</v>
      </c>
      <c r="U14562" s="29" t="str">
        <f>HYPERLINK("https://ictv.global/taxonomy/taxondetails?taxnode_id=202305119","ictv.global=202305119")</f>
        <v>ictv.global=202305119</v>
      </c>
    </row>
    <row r="14563" spans="1:21">
      <c r="A14563">
        <v>14562</v>
      </c>
      <c r="L14563" s="30" t="s">
        <v>912</v>
      </c>
      <c r="N14563" s="30" t="s">
        <v>913</v>
      </c>
      <c r="P14563" s="30" t="s">
        <v>18947</v>
      </c>
      <c r="Q14563" t="s">
        <v>622</v>
      </c>
      <c r="R14563" t="s">
        <v>920</v>
      </c>
      <c r="S14563">
        <v>39</v>
      </c>
      <c r="T14563" s="29" t="str">
        <f t="shared" si="609"/>
        <v>2023.035P.Tolecusatellitidae_rename.zip</v>
      </c>
      <c r="U14563" s="29" t="str">
        <f>HYPERLINK("https://ictv.global/taxonomy/taxondetails?taxnode_id=202305120","ictv.global=202305120")</f>
        <v>ictv.global=202305120</v>
      </c>
    </row>
    <row r="14564" spans="1:21">
      <c r="A14564">
        <v>14563</v>
      </c>
      <c r="L14564" s="30" t="s">
        <v>912</v>
      </c>
      <c r="N14564" s="30" t="s">
        <v>913</v>
      </c>
      <c r="P14564" s="30" t="s">
        <v>18948</v>
      </c>
      <c r="Q14564" t="s">
        <v>622</v>
      </c>
      <c r="R14564" t="s">
        <v>920</v>
      </c>
      <c r="S14564">
        <v>39</v>
      </c>
      <c r="T14564" s="29" t="str">
        <f t="shared" si="609"/>
        <v>2023.035P.Tolecusatellitidae_rename.zip</v>
      </c>
      <c r="U14564" s="29" t="str">
        <f>HYPERLINK("https://ictv.global/taxonomy/taxondetails?taxnode_id=202305122","ictv.global=202305122")</f>
        <v>ictv.global=202305122</v>
      </c>
    </row>
    <row r="14565" spans="1:21">
      <c r="A14565">
        <v>14564</v>
      </c>
      <c r="L14565" s="30" t="s">
        <v>912</v>
      </c>
      <c r="N14565" s="30" t="s">
        <v>913</v>
      </c>
      <c r="P14565" s="30" t="s">
        <v>18949</v>
      </c>
      <c r="Q14565" t="s">
        <v>739</v>
      </c>
      <c r="R14565" t="s">
        <v>920</v>
      </c>
      <c r="S14565">
        <v>39</v>
      </c>
      <c r="T14565" s="29" t="str">
        <f t="shared" si="609"/>
        <v>2023.035P.Tolecusatellitidae_rename.zip</v>
      </c>
      <c r="U14565" s="29" t="str">
        <f>HYPERLINK("https://ictv.global/taxonomy/taxondetails?taxnode_id=202309187","ictv.global=202309187")</f>
        <v>ictv.global=202309187</v>
      </c>
    </row>
    <row r="14566" spans="1:21">
      <c r="A14566">
        <v>14565</v>
      </c>
      <c r="L14566" s="30" t="s">
        <v>912</v>
      </c>
      <c r="N14566" s="30" t="s">
        <v>913</v>
      </c>
      <c r="P14566" s="30" t="s">
        <v>18950</v>
      </c>
      <c r="Q14566" t="s">
        <v>622</v>
      </c>
      <c r="R14566" t="s">
        <v>920</v>
      </c>
      <c r="S14566">
        <v>39</v>
      </c>
      <c r="T14566" s="29" t="str">
        <f t="shared" si="609"/>
        <v>2023.035P.Tolecusatellitidae_rename.zip</v>
      </c>
      <c r="U14566" s="29" t="str">
        <f>HYPERLINK("https://ictv.global/taxonomy/taxondetails?taxnode_id=202305121","ictv.global=202305121")</f>
        <v>ictv.global=202305121</v>
      </c>
    </row>
    <row r="14567" spans="1:21">
      <c r="A14567">
        <v>14566</v>
      </c>
      <c r="L14567" s="30" t="s">
        <v>912</v>
      </c>
      <c r="N14567" s="30" t="s">
        <v>913</v>
      </c>
      <c r="P14567" s="30" t="s">
        <v>18951</v>
      </c>
      <c r="Q14567" t="s">
        <v>622</v>
      </c>
      <c r="R14567" t="s">
        <v>920</v>
      </c>
      <c r="S14567">
        <v>39</v>
      </c>
      <c r="T14567" s="29" t="str">
        <f t="shared" si="609"/>
        <v>2023.035P.Tolecusatellitidae_rename.zip</v>
      </c>
      <c r="U14567" s="29" t="str">
        <f>HYPERLINK("https://ictv.global/taxonomy/taxondetails?taxnode_id=202305124","ictv.global=202305124")</f>
        <v>ictv.global=202305124</v>
      </c>
    </row>
    <row r="14568" spans="1:21">
      <c r="A14568">
        <v>14567</v>
      </c>
      <c r="L14568" s="30" t="s">
        <v>912</v>
      </c>
      <c r="N14568" s="30" t="s">
        <v>913</v>
      </c>
      <c r="P14568" s="30" t="s">
        <v>18952</v>
      </c>
      <c r="Q14568" t="s">
        <v>622</v>
      </c>
      <c r="R14568" t="s">
        <v>920</v>
      </c>
      <c r="S14568">
        <v>39</v>
      </c>
      <c r="T14568" s="29" t="str">
        <f t="shared" si="609"/>
        <v>2023.035P.Tolecusatellitidae_rename.zip</v>
      </c>
      <c r="U14568" s="29" t="str">
        <f>HYPERLINK("https://ictv.global/taxonomy/taxondetails?taxnode_id=202305125","ictv.global=202305125")</f>
        <v>ictv.global=202305125</v>
      </c>
    </row>
    <row r="14569" spans="1:21">
      <c r="A14569">
        <v>14568</v>
      </c>
      <c r="L14569" s="30" t="s">
        <v>912</v>
      </c>
      <c r="N14569" s="30" t="s">
        <v>913</v>
      </c>
      <c r="P14569" s="30" t="s">
        <v>18953</v>
      </c>
      <c r="Q14569" t="s">
        <v>622</v>
      </c>
      <c r="R14569" t="s">
        <v>920</v>
      </c>
      <c r="S14569">
        <v>39</v>
      </c>
      <c r="T14569" s="29" t="str">
        <f t="shared" si="609"/>
        <v>2023.035P.Tolecusatellitidae_rename.zip</v>
      </c>
      <c r="U14569" s="29" t="str">
        <f>HYPERLINK("https://ictv.global/taxonomy/taxondetails?taxnode_id=202305126","ictv.global=202305126")</f>
        <v>ictv.global=202305126</v>
      </c>
    </row>
    <row r="14570" spans="1:21">
      <c r="A14570">
        <v>14569</v>
      </c>
      <c r="L14570" s="30" t="s">
        <v>912</v>
      </c>
      <c r="N14570" s="30" t="s">
        <v>913</v>
      </c>
      <c r="P14570" s="30" t="s">
        <v>18954</v>
      </c>
      <c r="Q14570" t="s">
        <v>622</v>
      </c>
      <c r="R14570" t="s">
        <v>920</v>
      </c>
      <c r="S14570">
        <v>39</v>
      </c>
      <c r="T14570" s="29" t="str">
        <f t="shared" si="609"/>
        <v>2023.035P.Tolecusatellitidae_rename.zip</v>
      </c>
      <c r="U14570" s="29" t="str">
        <f>HYPERLINK("https://ictv.global/taxonomy/taxondetails?taxnode_id=202305129","ictv.global=202305129")</f>
        <v>ictv.global=202305129</v>
      </c>
    </row>
    <row r="14571" spans="1:21">
      <c r="A14571">
        <v>14570</v>
      </c>
      <c r="L14571" s="30" t="s">
        <v>912</v>
      </c>
      <c r="N14571" s="30" t="s">
        <v>913</v>
      </c>
      <c r="P14571" s="30" t="s">
        <v>18955</v>
      </c>
      <c r="Q14571" t="s">
        <v>622</v>
      </c>
      <c r="R14571" t="s">
        <v>920</v>
      </c>
      <c r="S14571">
        <v>39</v>
      </c>
      <c r="T14571" s="29" t="str">
        <f t="shared" si="609"/>
        <v>2023.035P.Tolecusatellitidae_rename.zip</v>
      </c>
      <c r="U14571" s="29" t="str">
        <f>HYPERLINK("https://ictv.global/taxonomy/taxondetails?taxnode_id=202305130","ictv.global=202305130")</f>
        <v>ictv.global=202305130</v>
      </c>
    </row>
    <row r="14572" spans="1:21">
      <c r="A14572">
        <v>14571</v>
      </c>
      <c r="L14572" s="30" t="s">
        <v>912</v>
      </c>
      <c r="N14572" s="30" t="s">
        <v>913</v>
      </c>
      <c r="P14572" s="30" t="s">
        <v>18956</v>
      </c>
      <c r="Q14572" t="s">
        <v>622</v>
      </c>
      <c r="R14572" t="s">
        <v>920</v>
      </c>
      <c r="S14572">
        <v>39</v>
      </c>
      <c r="T14572" s="29" t="str">
        <f t="shared" si="609"/>
        <v>2023.035P.Tolecusatellitidae_rename.zip</v>
      </c>
      <c r="U14572" s="29" t="str">
        <f>HYPERLINK("https://ictv.global/taxonomy/taxondetails?taxnode_id=202305131","ictv.global=202305131")</f>
        <v>ictv.global=202305131</v>
      </c>
    </row>
    <row r="14573" spans="1:21">
      <c r="A14573">
        <v>14572</v>
      </c>
      <c r="L14573" s="30" t="s">
        <v>912</v>
      </c>
      <c r="N14573" s="30" t="s">
        <v>913</v>
      </c>
      <c r="P14573" s="30" t="s">
        <v>18957</v>
      </c>
      <c r="Q14573" t="s">
        <v>622</v>
      </c>
      <c r="R14573" t="s">
        <v>920</v>
      </c>
      <c r="S14573">
        <v>39</v>
      </c>
      <c r="T14573" s="29" t="str">
        <f t="shared" si="609"/>
        <v>2023.035P.Tolecusatellitidae_rename.zip</v>
      </c>
      <c r="U14573" s="29" t="str">
        <f>HYPERLINK("https://ictv.global/taxonomy/taxondetails?taxnode_id=202305128","ictv.global=202305128")</f>
        <v>ictv.global=202305128</v>
      </c>
    </row>
    <row r="14574" spans="1:21">
      <c r="A14574">
        <v>14573</v>
      </c>
      <c r="L14574" s="30" t="s">
        <v>912</v>
      </c>
      <c r="N14574" s="30" t="s">
        <v>913</v>
      </c>
      <c r="P14574" s="30" t="s">
        <v>18958</v>
      </c>
      <c r="Q14574" t="s">
        <v>622</v>
      </c>
      <c r="R14574" t="s">
        <v>920</v>
      </c>
      <c r="S14574">
        <v>39</v>
      </c>
      <c r="T14574" s="29" t="str">
        <f t="shared" si="609"/>
        <v>2023.035P.Tolecusatellitidae_rename.zip</v>
      </c>
      <c r="U14574" s="29" t="str">
        <f>HYPERLINK("https://ictv.global/taxonomy/taxondetails?taxnode_id=202305148","ictv.global=202305148")</f>
        <v>ictv.global=202305148</v>
      </c>
    </row>
    <row r="14575" spans="1:21">
      <c r="A14575">
        <v>14574</v>
      </c>
      <c r="L14575" s="30" t="s">
        <v>912</v>
      </c>
      <c r="N14575" s="30" t="s">
        <v>913</v>
      </c>
      <c r="P14575" s="30" t="s">
        <v>18959</v>
      </c>
      <c r="Q14575" t="s">
        <v>622</v>
      </c>
      <c r="R14575" t="s">
        <v>920</v>
      </c>
      <c r="S14575">
        <v>39</v>
      </c>
      <c r="T14575" s="29" t="str">
        <f t="shared" si="609"/>
        <v>2023.035P.Tolecusatellitidae_rename.zip</v>
      </c>
      <c r="U14575" s="29" t="str">
        <f>HYPERLINK("https://ictv.global/taxonomy/taxondetails?taxnode_id=202305147","ictv.global=202305147")</f>
        <v>ictv.global=202305147</v>
      </c>
    </row>
    <row r="14576" spans="1:21">
      <c r="A14576">
        <v>14575</v>
      </c>
      <c r="L14576" s="30" t="s">
        <v>912</v>
      </c>
      <c r="N14576" s="30" t="s">
        <v>913</v>
      </c>
      <c r="P14576" s="30" t="s">
        <v>18960</v>
      </c>
      <c r="Q14576" t="s">
        <v>739</v>
      </c>
      <c r="R14576" t="s">
        <v>920</v>
      </c>
      <c r="S14576">
        <v>39</v>
      </c>
      <c r="T14576" s="29" t="str">
        <f t="shared" si="609"/>
        <v>2023.035P.Tolecusatellitidae_rename.zip</v>
      </c>
      <c r="U14576" s="29" t="str">
        <f>HYPERLINK("https://ictv.global/taxonomy/taxondetails?taxnode_id=202309215","ictv.global=202309215")</f>
        <v>ictv.global=202309215</v>
      </c>
    </row>
    <row r="14577" spans="1:21">
      <c r="A14577">
        <v>14576</v>
      </c>
      <c r="L14577" s="30" t="s">
        <v>912</v>
      </c>
      <c r="N14577" s="30" t="s">
        <v>913</v>
      </c>
      <c r="P14577" s="30" t="s">
        <v>18961</v>
      </c>
      <c r="Q14577" t="s">
        <v>622</v>
      </c>
      <c r="R14577" t="s">
        <v>920</v>
      </c>
      <c r="S14577">
        <v>39</v>
      </c>
      <c r="T14577" s="29" t="str">
        <f t="shared" si="609"/>
        <v>2023.035P.Tolecusatellitidae_rename.zip</v>
      </c>
      <c r="U14577" s="29" t="str">
        <f>HYPERLINK("https://ictv.global/taxonomy/taxondetails?taxnode_id=202305149","ictv.global=202305149")</f>
        <v>ictv.global=202305149</v>
      </c>
    </row>
    <row r="14578" spans="1:21">
      <c r="A14578">
        <v>14577</v>
      </c>
      <c r="L14578" s="30" t="s">
        <v>912</v>
      </c>
      <c r="N14578" s="30" t="s">
        <v>913</v>
      </c>
      <c r="P14578" s="30" t="s">
        <v>18962</v>
      </c>
      <c r="Q14578" t="s">
        <v>739</v>
      </c>
      <c r="R14578" t="s">
        <v>920</v>
      </c>
      <c r="S14578">
        <v>39</v>
      </c>
      <c r="T14578" s="29" t="str">
        <f t="shared" si="609"/>
        <v>2023.035P.Tolecusatellitidae_rename.zip</v>
      </c>
      <c r="U14578" s="29" t="str">
        <f>HYPERLINK("https://ictv.global/taxonomy/taxondetails?taxnode_id=202309216","ictv.global=202309216")</f>
        <v>ictv.global=202309216</v>
      </c>
    </row>
    <row r="14579" spans="1:21">
      <c r="A14579">
        <v>14578</v>
      </c>
      <c r="L14579" s="30" t="s">
        <v>912</v>
      </c>
      <c r="N14579" s="30" t="s">
        <v>913</v>
      </c>
      <c r="P14579" s="30" t="s">
        <v>18963</v>
      </c>
      <c r="Q14579" t="s">
        <v>739</v>
      </c>
      <c r="R14579" t="s">
        <v>920</v>
      </c>
      <c r="S14579">
        <v>39</v>
      </c>
      <c r="T14579" s="29" t="str">
        <f t="shared" si="609"/>
        <v>2023.035P.Tolecusatellitidae_rename.zip</v>
      </c>
      <c r="U14579" s="29" t="str">
        <f>HYPERLINK("https://ictv.global/taxonomy/taxondetails?taxnode_id=202309188","ictv.global=202309188")</f>
        <v>ictv.global=202309188</v>
      </c>
    </row>
    <row r="14580" spans="1:21">
      <c r="A14580">
        <v>14579</v>
      </c>
      <c r="L14580" s="30" t="s">
        <v>912</v>
      </c>
      <c r="N14580" s="30" t="s">
        <v>913</v>
      </c>
      <c r="P14580" s="30" t="s">
        <v>18964</v>
      </c>
      <c r="Q14580" t="s">
        <v>622</v>
      </c>
      <c r="R14580" t="s">
        <v>920</v>
      </c>
      <c r="S14580">
        <v>39</v>
      </c>
      <c r="T14580" s="29" t="str">
        <f t="shared" si="609"/>
        <v>2023.035P.Tolecusatellitidae_rename.zip</v>
      </c>
      <c r="U14580" s="29" t="str">
        <f>HYPERLINK("https://ictv.global/taxonomy/taxondetails?taxnode_id=202305134","ictv.global=202305134")</f>
        <v>ictv.global=202305134</v>
      </c>
    </row>
    <row r="14581" spans="1:21">
      <c r="A14581">
        <v>14580</v>
      </c>
      <c r="L14581" s="30" t="s">
        <v>912</v>
      </c>
      <c r="N14581" s="30" t="s">
        <v>913</v>
      </c>
      <c r="P14581" s="30" t="s">
        <v>18965</v>
      </c>
      <c r="Q14581" t="s">
        <v>739</v>
      </c>
      <c r="R14581" t="s">
        <v>920</v>
      </c>
      <c r="S14581">
        <v>39</v>
      </c>
      <c r="T14581" s="29" t="str">
        <f t="shared" si="609"/>
        <v>2023.035P.Tolecusatellitidae_rename.zip</v>
      </c>
      <c r="U14581" s="29" t="str">
        <f>HYPERLINK("https://ictv.global/taxonomy/taxondetails?taxnode_id=202309197","ictv.global=202309197")</f>
        <v>ictv.global=202309197</v>
      </c>
    </row>
    <row r="14582" spans="1:21">
      <c r="A14582">
        <v>14581</v>
      </c>
      <c r="L14582" s="30" t="s">
        <v>912</v>
      </c>
      <c r="N14582" s="30" t="s">
        <v>913</v>
      </c>
      <c r="P14582" s="30" t="s">
        <v>18966</v>
      </c>
      <c r="Q14582" t="s">
        <v>739</v>
      </c>
      <c r="R14582" t="s">
        <v>920</v>
      </c>
      <c r="S14582">
        <v>39</v>
      </c>
      <c r="T14582" s="29" t="str">
        <f t="shared" si="609"/>
        <v>2023.035P.Tolecusatellitidae_rename.zip</v>
      </c>
      <c r="U14582" s="29" t="str">
        <f>HYPERLINK("https://ictv.global/taxonomy/taxondetails?taxnode_id=202309198","ictv.global=202309198")</f>
        <v>ictv.global=202309198</v>
      </c>
    </row>
    <row r="14583" spans="1:21">
      <c r="A14583">
        <v>14582</v>
      </c>
      <c r="L14583" s="30" t="s">
        <v>912</v>
      </c>
      <c r="N14583" s="30" t="s">
        <v>913</v>
      </c>
      <c r="P14583" s="30" t="s">
        <v>18967</v>
      </c>
      <c r="Q14583" t="s">
        <v>739</v>
      </c>
      <c r="R14583" t="s">
        <v>920</v>
      </c>
      <c r="S14583">
        <v>39</v>
      </c>
      <c r="T14583" s="29" t="str">
        <f t="shared" si="609"/>
        <v>2023.035P.Tolecusatellitidae_rename.zip</v>
      </c>
      <c r="U14583" s="29" t="str">
        <f>HYPERLINK("https://ictv.global/taxonomy/taxondetails?taxnode_id=202309199","ictv.global=202309199")</f>
        <v>ictv.global=202309199</v>
      </c>
    </row>
    <row r="14584" spans="1:21">
      <c r="A14584">
        <v>14583</v>
      </c>
      <c r="L14584" s="30" t="s">
        <v>912</v>
      </c>
      <c r="N14584" s="30" t="s">
        <v>913</v>
      </c>
      <c r="P14584" s="30" t="s">
        <v>18968</v>
      </c>
      <c r="Q14584" t="s">
        <v>622</v>
      </c>
      <c r="R14584" t="s">
        <v>920</v>
      </c>
      <c r="S14584">
        <v>39</v>
      </c>
      <c r="T14584" s="29" t="str">
        <f t="shared" si="609"/>
        <v>2023.035P.Tolecusatellitidae_rename.zip</v>
      </c>
      <c r="U14584" s="29" t="str">
        <f>HYPERLINK("https://ictv.global/taxonomy/taxondetails?taxnode_id=202305135","ictv.global=202305135")</f>
        <v>ictv.global=202305135</v>
      </c>
    </row>
    <row r="14585" spans="1:21">
      <c r="A14585">
        <v>14584</v>
      </c>
      <c r="L14585" s="30" t="s">
        <v>912</v>
      </c>
      <c r="N14585" s="30" t="s">
        <v>913</v>
      </c>
      <c r="P14585" s="30" t="s">
        <v>18969</v>
      </c>
      <c r="Q14585" t="s">
        <v>622</v>
      </c>
      <c r="R14585" t="s">
        <v>920</v>
      </c>
      <c r="S14585">
        <v>39</v>
      </c>
      <c r="T14585" s="29" t="str">
        <f t="shared" si="609"/>
        <v>2023.035P.Tolecusatellitidae_rename.zip</v>
      </c>
      <c r="U14585" s="29" t="str">
        <f>HYPERLINK("https://ictv.global/taxonomy/taxondetails?taxnode_id=202305136","ictv.global=202305136")</f>
        <v>ictv.global=202305136</v>
      </c>
    </row>
    <row r="14586" spans="1:21">
      <c r="A14586">
        <v>14585</v>
      </c>
      <c r="L14586" s="30" t="s">
        <v>912</v>
      </c>
      <c r="N14586" s="30" t="s">
        <v>913</v>
      </c>
      <c r="P14586" s="30" t="s">
        <v>18970</v>
      </c>
      <c r="Q14586" t="s">
        <v>739</v>
      </c>
      <c r="R14586" t="s">
        <v>920</v>
      </c>
      <c r="S14586">
        <v>39</v>
      </c>
      <c r="T14586" s="29" t="str">
        <f t="shared" si="609"/>
        <v>2023.035P.Tolecusatellitidae_rename.zip</v>
      </c>
      <c r="U14586" s="29" t="str">
        <f>HYPERLINK("https://ictv.global/taxonomy/taxondetails?taxnode_id=202309189","ictv.global=202309189")</f>
        <v>ictv.global=202309189</v>
      </c>
    </row>
    <row r="14587" spans="1:21">
      <c r="A14587">
        <v>14586</v>
      </c>
      <c r="L14587" s="30" t="s">
        <v>912</v>
      </c>
      <c r="N14587" s="30" t="s">
        <v>913</v>
      </c>
      <c r="P14587" s="30" t="s">
        <v>18971</v>
      </c>
      <c r="Q14587" t="s">
        <v>739</v>
      </c>
      <c r="R14587" t="s">
        <v>920</v>
      </c>
      <c r="S14587">
        <v>39</v>
      </c>
      <c r="T14587" s="29" t="str">
        <f t="shared" si="609"/>
        <v>2023.035P.Tolecusatellitidae_rename.zip</v>
      </c>
      <c r="U14587" s="29" t="str">
        <f>HYPERLINK("https://ictv.global/taxonomy/taxondetails?taxnode_id=202309190","ictv.global=202309190")</f>
        <v>ictv.global=202309190</v>
      </c>
    </row>
    <row r="14588" spans="1:21">
      <c r="A14588">
        <v>14587</v>
      </c>
      <c r="L14588" s="30" t="s">
        <v>912</v>
      </c>
      <c r="N14588" s="30" t="s">
        <v>913</v>
      </c>
      <c r="P14588" s="30" t="s">
        <v>18972</v>
      </c>
      <c r="Q14588" t="s">
        <v>739</v>
      </c>
      <c r="R14588" t="s">
        <v>920</v>
      </c>
      <c r="S14588">
        <v>39</v>
      </c>
      <c r="T14588" s="29" t="str">
        <f t="shared" si="609"/>
        <v>2023.035P.Tolecusatellitidae_rename.zip</v>
      </c>
      <c r="U14588" s="29" t="str">
        <f>HYPERLINK("https://ictv.global/taxonomy/taxondetails?taxnode_id=202309193","ictv.global=202309193")</f>
        <v>ictv.global=202309193</v>
      </c>
    </row>
    <row r="14589" spans="1:21">
      <c r="A14589">
        <v>14588</v>
      </c>
      <c r="L14589" s="30" t="s">
        <v>912</v>
      </c>
      <c r="N14589" s="30" t="s">
        <v>913</v>
      </c>
      <c r="P14589" s="30" t="s">
        <v>18973</v>
      </c>
      <c r="Q14589" t="s">
        <v>739</v>
      </c>
      <c r="R14589" t="s">
        <v>920</v>
      </c>
      <c r="S14589">
        <v>39</v>
      </c>
      <c r="T14589" s="29" t="str">
        <f t="shared" si="609"/>
        <v>2023.035P.Tolecusatellitidae_rename.zip</v>
      </c>
      <c r="U14589" s="29" t="str">
        <f>HYPERLINK("https://ictv.global/taxonomy/taxondetails?taxnode_id=202309191","ictv.global=202309191")</f>
        <v>ictv.global=202309191</v>
      </c>
    </row>
    <row r="14590" spans="1:21">
      <c r="A14590">
        <v>14589</v>
      </c>
      <c r="L14590" s="30" t="s">
        <v>912</v>
      </c>
      <c r="N14590" s="30" t="s">
        <v>913</v>
      </c>
      <c r="P14590" s="30" t="s">
        <v>18974</v>
      </c>
      <c r="Q14590" t="s">
        <v>739</v>
      </c>
      <c r="R14590" t="s">
        <v>920</v>
      </c>
      <c r="S14590">
        <v>39</v>
      </c>
      <c r="T14590" s="29" t="str">
        <f t="shared" si="609"/>
        <v>2023.035P.Tolecusatellitidae_rename.zip</v>
      </c>
      <c r="U14590" s="29" t="str">
        <f>HYPERLINK("https://ictv.global/taxonomy/taxondetails?taxnode_id=202309192","ictv.global=202309192")</f>
        <v>ictv.global=202309192</v>
      </c>
    </row>
    <row r="14591" spans="1:21">
      <c r="A14591">
        <v>14590</v>
      </c>
      <c r="L14591" s="30" t="s">
        <v>912</v>
      </c>
      <c r="N14591" s="30" t="s">
        <v>913</v>
      </c>
      <c r="P14591" s="30" t="s">
        <v>18975</v>
      </c>
      <c r="Q14591" t="s">
        <v>739</v>
      </c>
      <c r="R14591" t="s">
        <v>920</v>
      </c>
      <c r="S14591">
        <v>39</v>
      </c>
      <c r="T14591" s="29" t="str">
        <f t="shared" ref="T14591:T14622" si="610">HYPERLINK("https://ictv.global/ictv/proposals/2023.035P.Tolecusatellitidae_rename.zip","2023.035P.Tolecusatellitidae_rename.zip")</f>
        <v>2023.035P.Tolecusatellitidae_rename.zip</v>
      </c>
      <c r="U14591" s="29" t="str">
        <f>HYPERLINK("https://ictv.global/taxonomy/taxondetails?taxnode_id=202309194","ictv.global=202309194")</f>
        <v>ictv.global=202309194</v>
      </c>
    </row>
    <row r="14592" spans="1:21">
      <c r="A14592">
        <v>14591</v>
      </c>
      <c r="L14592" s="30" t="s">
        <v>912</v>
      </c>
      <c r="N14592" s="30" t="s">
        <v>913</v>
      </c>
      <c r="P14592" s="30" t="s">
        <v>18976</v>
      </c>
      <c r="Q14592" t="s">
        <v>622</v>
      </c>
      <c r="R14592" t="s">
        <v>920</v>
      </c>
      <c r="S14592">
        <v>39</v>
      </c>
      <c r="T14592" s="29" t="str">
        <f t="shared" si="610"/>
        <v>2023.035P.Tolecusatellitidae_rename.zip</v>
      </c>
      <c r="U14592" s="29" t="str">
        <f>HYPERLINK("https://ictv.global/taxonomy/taxondetails?taxnode_id=202305132","ictv.global=202305132")</f>
        <v>ictv.global=202305132</v>
      </c>
    </row>
    <row r="14593" spans="1:21">
      <c r="A14593">
        <v>14592</v>
      </c>
      <c r="L14593" s="30" t="s">
        <v>912</v>
      </c>
      <c r="N14593" s="30" t="s">
        <v>913</v>
      </c>
      <c r="P14593" s="30" t="s">
        <v>18977</v>
      </c>
      <c r="Q14593" t="s">
        <v>739</v>
      </c>
      <c r="R14593" t="s">
        <v>920</v>
      </c>
      <c r="S14593">
        <v>39</v>
      </c>
      <c r="T14593" s="29" t="str">
        <f t="shared" si="610"/>
        <v>2023.035P.Tolecusatellitidae_rename.zip</v>
      </c>
      <c r="U14593" s="29" t="str">
        <f>HYPERLINK("https://ictv.global/taxonomy/taxondetails?taxnode_id=202309195","ictv.global=202309195")</f>
        <v>ictv.global=202309195</v>
      </c>
    </row>
    <row r="14594" spans="1:21">
      <c r="A14594">
        <v>14593</v>
      </c>
      <c r="L14594" s="30" t="s">
        <v>912</v>
      </c>
      <c r="N14594" s="30" t="s">
        <v>913</v>
      </c>
      <c r="P14594" s="30" t="s">
        <v>18978</v>
      </c>
      <c r="Q14594" t="s">
        <v>622</v>
      </c>
      <c r="R14594" t="s">
        <v>920</v>
      </c>
      <c r="S14594">
        <v>39</v>
      </c>
      <c r="T14594" s="29" t="str">
        <f t="shared" si="610"/>
        <v>2023.035P.Tolecusatellitidae_rename.zip</v>
      </c>
      <c r="U14594" s="29" t="str">
        <f>HYPERLINK("https://ictv.global/taxonomy/taxondetails?taxnode_id=202305133","ictv.global=202305133")</f>
        <v>ictv.global=202305133</v>
      </c>
    </row>
    <row r="14595" spans="1:21">
      <c r="A14595">
        <v>14594</v>
      </c>
      <c r="L14595" s="30" t="s">
        <v>912</v>
      </c>
      <c r="N14595" s="30" t="s">
        <v>913</v>
      </c>
      <c r="P14595" s="30" t="s">
        <v>18979</v>
      </c>
      <c r="Q14595" t="s">
        <v>739</v>
      </c>
      <c r="R14595" t="s">
        <v>920</v>
      </c>
      <c r="S14595">
        <v>39</v>
      </c>
      <c r="T14595" s="29" t="str">
        <f t="shared" si="610"/>
        <v>2023.035P.Tolecusatellitidae_rename.zip</v>
      </c>
      <c r="U14595" s="29" t="str">
        <f>HYPERLINK("https://ictv.global/taxonomy/taxondetails?taxnode_id=202309196","ictv.global=202309196")</f>
        <v>ictv.global=202309196</v>
      </c>
    </row>
    <row r="14596" spans="1:21">
      <c r="A14596">
        <v>14595</v>
      </c>
      <c r="L14596" s="30" t="s">
        <v>912</v>
      </c>
      <c r="N14596" s="30" t="s">
        <v>913</v>
      </c>
      <c r="P14596" s="30" t="s">
        <v>18980</v>
      </c>
      <c r="Q14596" t="s">
        <v>622</v>
      </c>
      <c r="R14596" t="s">
        <v>920</v>
      </c>
      <c r="S14596">
        <v>39</v>
      </c>
      <c r="T14596" s="29" t="str">
        <f t="shared" si="610"/>
        <v>2023.035P.Tolecusatellitidae_rename.zip</v>
      </c>
      <c r="U14596" s="29" t="str">
        <f>HYPERLINK("https://ictv.global/taxonomy/taxondetails?taxnode_id=202305138","ictv.global=202305138")</f>
        <v>ictv.global=202305138</v>
      </c>
    </row>
    <row r="14597" spans="1:21">
      <c r="A14597">
        <v>14596</v>
      </c>
      <c r="L14597" s="30" t="s">
        <v>912</v>
      </c>
      <c r="N14597" s="30" t="s">
        <v>913</v>
      </c>
      <c r="P14597" s="30" t="s">
        <v>18981</v>
      </c>
      <c r="Q14597" t="s">
        <v>739</v>
      </c>
      <c r="R14597" t="s">
        <v>920</v>
      </c>
      <c r="S14597">
        <v>39</v>
      </c>
      <c r="T14597" s="29" t="str">
        <f t="shared" si="610"/>
        <v>2023.035P.Tolecusatellitidae_rename.zip</v>
      </c>
      <c r="U14597" s="29" t="str">
        <f>HYPERLINK("https://ictv.global/taxonomy/taxondetails?taxnode_id=202309203","ictv.global=202309203")</f>
        <v>ictv.global=202309203</v>
      </c>
    </row>
    <row r="14598" spans="1:21">
      <c r="A14598">
        <v>14597</v>
      </c>
      <c r="L14598" s="30" t="s">
        <v>912</v>
      </c>
      <c r="N14598" s="30" t="s">
        <v>913</v>
      </c>
      <c r="P14598" s="30" t="s">
        <v>18982</v>
      </c>
      <c r="Q14598" t="s">
        <v>739</v>
      </c>
      <c r="R14598" t="s">
        <v>920</v>
      </c>
      <c r="S14598">
        <v>39</v>
      </c>
      <c r="T14598" s="29" t="str">
        <f t="shared" si="610"/>
        <v>2023.035P.Tolecusatellitidae_rename.zip</v>
      </c>
      <c r="U14598" s="29" t="str">
        <f>HYPERLINK("https://ictv.global/taxonomy/taxondetails?taxnode_id=202309200","ictv.global=202309200")</f>
        <v>ictv.global=202309200</v>
      </c>
    </row>
    <row r="14599" spans="1:21">
      <c r="A14599">
        <v>14598</v>
      </c>
      <c r="L14599" s="30" t="s">
        <v>912</v>
      </c>
      <c r="N14599" s="30" t="s">
        <v>913</v>
      </c>
      <c r="P14599" s="30" t="s">
        <v>18983</v>
      </c>
      <c r="Q14599" t="s">
        <v>622</v>
      </c>
      <c r="R14599" t="s">
        <v>920</v>
      </c>
      <c r="S14599">
        <v>39</v>
      </c>
      <c r="T14599" s="29" t="str">
        <f t="shared" si="610"/>
        <v>2023.035P.Tolecusatellitidae_rename.zip</v>
      </c>
      <c r="U14599" s="29" t="str">
        <f>HYPERLINK("https://ictv.global/taxonomy/taxondetails?taxnode_id=202305139","ictv.global=202305139")</f>
        <v>ictv.global=202305139</v>
      </c>
    </row>
    <row r="14600" spans="1:21">
      <c r="A14600">
        <v>14599</v>
      </c>
      <c r="L14600" s="30" t="s">
        <v>912</v>
      </c>
      <c r="N14600" s="30" t="s">
        <v>913</v>
      </c>
      <c r="P14600" s="30" t="s">
        <v>18984</v>
      </c>
      <c r="Q14600" t="s">
        <v>739</v>
      </c>
      <c r="R14600" t="s">
        <v>920</v>
      </c>
      <c r="S14600">
        <v>39</v>
      </c>
      <c r="T14600" s="29" t="str">
        <f t="shared" si="610"/>
        <v>2023.035P.Tolecusatellitidae_rename.zip</v>
      </c>
      <c r="U14600" s="29" t="str">
        <f>HYPERLINK("https://ictv.global/taxonomy/taxondetails?taxnode_id=202309201","ictv.global=202309201")</f>
        <v>ictv.global=202309201</v>
      </c>
    </row>
    <row r="14601" spans="1:21">
      <c r="A14601">
        <v>14600</v>
      </c>
      <c r="L14601" s="30" t="s">
        <v>912</v>
      </c>
      <c r="N14601" s="30" t="s">
        <v>913</v>
      </c>
      <c r="P14601" s="30" t="s">
        <v>18985</v>
      </c>
      <c r="Q14601" t="s">
        <v>622</v>
      </c>
      <c r="R14601" t="s">
        <v>920</v>
      </c>
      <c r="S14601">
        <v>39</v>
      </c>
      <c r="T14601" s="29" t="str">
        <f t="shared" si="610"/>
        <v>2023.035P.Tolecusatellitidae_rename.zip</v>
      </c>
      <c r="U14601" s="29" t="str">
        <f>HYPERLINK("https://ictv.global/taxonomy/taxondetails?taxnode_id=202305140","ictv.global=202305140")</f>
        <v>ictv.global=202305140</v>
      </c>
    </row>
    <row r="14602" spans="1:21">
      <c r="A14602">
        <v>14601</v>
      </c>
      <c r="L14602" s="30" t="s">
        <v>912</v>
      </c>
      <c r="N14602" s="30" t="s">
        <v>913</v>
      </c>
      <c r="P14602" s="30" t="s">
        <v>18986</v>
      </c>
      <c r="Q14602" t="s">
        <v>739</v>
      </c>
      <c r="R14602" t="s">
        <v>920</v>
      </c>
      <c r="S14602">
        <v>39</v>
      </c>
      <c r="T14602" s="29" t="str">
        <f t="shared" si="610"/>
        <v>2023.035P.Tolecusatellitidae_rename.zip</v>
      </c>
      <c r="U14602" s="29" t="str">
        <f>HYPERLINK("https://ictv.global/taxonomy/taxondetails?taxnode_id=202309202","ictv.global=202309202")</f>
        <v>ictv.global=202309202</v>
      </c>
    </row>
    <row r="14603" spans="1:21">
      <c r="A14603">
        <v>14602</v>
      </c>
      <c r="L14603" s="30" t="s">
        <v>912</v>
      </c>
      <c r="N14603" s="30" t="s">
        <v>913</v>
      </c>
      <c r="P14603" s="30" t="s">
        <v>18987</v>
      </c>
      <c r="Q14603" t="s">
        <v>739</v>
      </c>
      <c r="R14603" t="s">
        <v>920</v>
      </c>
      <c r="S14603">
        <v>39</v>
      </c>
      <c r="T14603" s="29" t="str">
        <f t="shared" si="610"/>
        <v>2023.035P.Tolecusatellitidae_rename.zip</v>
      </c>
      <c r="U14603" s="29" t="str">
        <f>HYPERLINK("https://ictv.global/taxonomy/taxondetails?taxnode_id=202309204","ictv.global=202309204")</f>
        <v>ictv.global=202309204</v>
      </c>
    </row>
    <row r="14604" spans="1:21">
      <c r="A14604">
        <v>14603</v>
      </c>
      <c r="L14604" s="30" t="s">
        <v>912</v>
      </c>
      <c r="N14604" s="30" t="s">
        <v>913</v>
      </c>
      <c r="P14604" s="30" t="s">
        <v>18988</v>
      </c>
      <c r="Q14604" t="s">
        <v>739</v>
      </c>
      <c r="R14604" t="s">
        <v>920</v>
      </c>
      <c r="S14604">
        <v>39</v>
      </c>
      <c r="T14604" s="29" t="str">
        <f t="shared" si="610"/>
        <v>2023.035P.Tolecusatellitidae_rename.zip</v>
      </c>
      <c r="U14604" s="29" t="str">
        <f>HYPERLINK("https://ictv.global/taxonomy/taxondetails?taxnode_id=202309205","ictv.global=202309205")</f>
        <v>ictv.global=202309205</v>
      </c>
    </row>
    <row r="14605" spans="1:21">
      <c r="A14605">
        <v>14604</v>
      </c>
      <c r="L14605" s="30" t="s">
        <v>912</v>
      </c>
      <c r="N14605" s="30" t="s">
        <v>913</v>
      </c>
      <c r="P14605" s="30" t="s">
        <v>18989</v>
      </c>
      <c r="Q14605" t="s">
        <v>739</v>
      </c>
      <c r="R14605" t="s">
        <v>920</v>
      </c>
      <c r="S14605">
        <v>39</v>
      </c>
      <c r="T14605" s="29" t="str">
        <f t="shared" si="610"/>
        <v>2023.035P.Tolecusatellitidae_rename.zip</v>
      </c>
      <c r="U14605" s="29" t="str">
        <f>HYPERLINK("https://ictv.global/taxonomy/taxondetails?taxnode_id=202309209","ictv.global=202309209")</f>
        <v>ictv.global=202309209</v>
      </c>
    </row>
    <row r="14606" spans="1:21">
      <c r="A14606">
        <v>14605</v>
      </c>
      <c r="L14606" s="30" t="s">
        <v>912</v>
      </c>
      <c r="N14606" s="30" t="s">
        <v>913</v>
      </c>
      <c r="P14606" s="30" t="s">
        <v>18990</v>
      </c>
      <c r="Q14606" t="s">
        <v>739</v>
      </c>
      <c r="R14606" t="s">
        <v>920</v>
      </c>
      <c r="S14606">
        <v>39</v>
      </c>
      <c r="T14606" s="29" t="str">
        <f t="shared" si="610"/>
        <v>2023.035P.Tolecusatellitidae_rename.zip</v>
      </c>
      <c r="U14606" s="29" t="str">
        <f>HYPERLINK("https://ictv.global/taxonomy/taxondetails?taxnode_id=202309206","ictv.global=202309206")</f>
        <v>ictv.global=202309206</v>
      </c>
    </row>
    <row r="14607" spans="1:21">
      <c r="A14607">
        <v>14606</v>
      </c>
      <c r="L14607" s="30" t="s">
        <v>912</v>
      </c>
      <c r="N14607" s="30" t="s">
        <v>913</v>
      </c>
      <c r="P14607" s="30" t="s">
        <v>18991</v>
      </c>
      <c r="Q14607" t="s">
        <v>739</v>
      </c>
      <c r="R14607" t="s">
        <v>920</v>
      </c>
      <c r="S14607">
        <v>39</v>
      </c>
      <c r="T14607" s="29" t="str">
        <f t="shared" si="610"/>
        <v>2023.035P.Tolecusatellitidae_rename.zip</v>
      </c>
      <c r="U14607" s="29" t="str">
        <f>HYPERLINK("https://ictv.global/taxonomy/taxondetails?taxnode_id=202309207","ictv.global=202309207")</f>
        <v>ictv.global=202309207</v>
      </c>
    </row>
    <row r="14608" spans="1:21">
      <c r="A14608">
        <v>14607</v>
      </c>
      <c r="L14608" s="30" t="s">
        <v>912</v>
      </c>
      <c r="N14608" s="30" t="s">
        <v>913</v>
      </c>
      <c r="P14608" s="30" t="s">
        <v>18992</v>
      </c>
      <c r="Q14608" t="s">
        <v>739</v>
      </c>
      <c r="R14608" t="s">
        <v>920</v>
      </c>
      <c r="S14608">
        <v>39</v>
      </c>
      <c r="T14608" s="29" t="str">
        <f t="shared" si="610"/>
        <v>2023.035P.Tolecusatellitidae_rename.zip</v>
      </c>
      <c r="U14608" s="29" t="str">
        <f>HYPERLINK("https://ictv.global/taxonomy/taxondetails?taxnode_id=202309208","ictv.global=202309208")</f>
        <v>ictv.global=202309208</v>
      </c>
    </row>
    <row r="14609" spans="1:21">
      <c r="A14609">
        <v>14608</v>
      </c>
      <c r="L14609" s="30" t="s">
        <v>912</v>
      </c>
      <c r="N14609" s="30" t="s">
        <v>913</v>
      </c>
      <c r="P14609" s="30" t="s">
        <v>18993</v>
      </c>
      <c r="Q14609" t="s">
        <v>622</v>
      </c>
      <c r="R14609" t="s">
        <v>920</v>
      </c>
      <c r="S14609">
        <v>39</v>
      </c>
      <c r="T14609" s="29" t="str">
        <f t="shared" si="610"/>
        <v>2023.035P.Tolecusatellitidae_rename.zip</v>
      </c>
      <c r="U14609" s="29" t="str">
        <f>HYPERLINK("https://ictv.global/taxonomy/taxondetails?taxnode_id=202305141","ictv.global=202305141")</f>
        <v>ictv.global=202305141</v>
      </c>
    </row>
    <row r="14610" spans="1:21">
      <c r="A14610">
        <v>14609</v>
      </c>
      <c r="L14610" s="30" t="s">
        <v>912</v>
      </c>
      <c r="N14610" s="30" t="s">
        <v>913</v>
      </c>
      <c r="P14610" s="30" t="s">
        <v>18994</v>
      </c>
      <c r="Q14610" t="s">
        <v>739</v>
      </c>
      <c r="R14610" t="s">
        <v>920</v>
      </c>
      <c r="S14610">
        <v>39</v>
      </c>
      <c r="T14610" s="29" t="str">
        <f t="shared" si="610"/>
        <v>2023.035P.Tolecusatellitidae_rename.zip</v>
      </c>
      <c r="U14610" s="29" t="str">
        <f>HYPERLINK("https://ictv.global/taxonomy/taxondetails?taxnode_id=202309211","ictv.global=202309211")</f>
        <v>ictv.global=202309211</v>
      </c>
    </row>
    <row r="14611" spans="1:21">
      <c r="A14611">
        <v>14610</v>
      </c>
      <c r="L14611" s="30" t="s">
        <v>912</v>
      </c>
      <c r="N14611" s="30" t="s">
        <v>913</v>
      </c>
      <c r="P14611" s="30" t="s">
        <v>18995</v>
      </c>
      <c r="Q14611" t="s">
        <v>739</v>
      </c>
      <c r="R14611" t="s">
        <v>920</v>
      </c>
      <c r="S14611">
        <v>39</v>
      </c>
      <c r="T14611" s="29" t="str">
        <f t="shared" si="610"/>
        <v>2023.035P.Tolecusatellitidae_rename.zip</v>
      </c>
      <c r="U14611" s="29" t="str">
        <f>HYPERLINK("https://ictv.global/taxonomy/taxondetails?taxnode_id=202309210","ictv.global=202309210")</f>
        <v>ictv.global=202309210</v>
      </c>
    </row>
    <row r="14612" spans="1:21">
      <c r="A14612">
        <v>14611</v>
      </c>
      <c r="L14612" s="30" t="s">
        <v>912</v>
      </c>
      <c r="N14612" s="30" t="s">
        <v>913</v>
      </c>
      <c r="P14612" s="30" t="s">
        <v>18996</v>
      </c>
      <c r="Q14612" t="s">
        <v>739</v>
      </c>
      <c r="R14612" t="s">
        <v>920</v>
      </c>
      <c r="S14612">
        <v>39</v>
      </c>
      <c r="T14612" s="29" t="str">
        <f t="shared" si="610"/>
        <v>2023.035P.Tolecusatellitidae_rename.zip</v>
      </c>
      <c r="U14612" s="29" t="str">
        <f>HYPERLINK("https://ictv.global/taxonomy/taxondetails?taxnode_id=202309212","ictv.global=202309212")</f>
        <v>ictv.global=202309212</v>
      </c>
    </row>
    <row r="14613" spans="1:21">
      <c r="A14613">
        <v>14612</v>
      </c>
      <c r="L14613" s="30" t="s">
        <v>912</v>
      </c>
      <c r="N14613" s="30" t="s">
        <v>913</v>
      </c>
      <c r="P14613" s="30" t="s">
        <v>18997</v>
      </c>
      <c r="Q14613" t="s">
        <v>739</v>
      </c>
      <c r="R14613" t="s">
        <v>920</v>
      </c>
      <c r="S14613">
        <v>39</v>
      </c>
      <c r="T14613" s="29" t="str">
        <f t="shared" si="610"/>
        <v>2023.035P.Tolecusatellitidae_rename.zip</v>
      </c>
      <c r="U14613" s="29" t="str">
        <f>HYPERLINK("https://ictv.global/taxonomy/taxondetails?taxnode_id=202309213","ictv.global=202309213")</f>
        <v>ictv.global=202309213</v>
      </c>
    </row>
    <row r="14614" spans="1:21">
      <c r="A14614">
        <v>14613</v>
      </c>
      <c r="L14614" s="30" t="s">
        <v>912</v>
      </c>
      <c r="N14614" s="30" t="s">
        <v>913</v>
      </c>
      <c r="P14614" s="30" t="s">
        <v>18998</v>
      </c>
      <c r="Q14614" t="s">
        <v>622</v>
      </c>
      <c r="R14614" t="s">
        <v>920</v>
      </c>
      <c r="S14614">
        <v>39</v>
      </c>
      <c r="T14614" s="29" t="str">
        <f t="shared" si="610"/>
        <v>2023.035P.Tolecusatellitidae_rename.zip</v>
      </c>
      <c r="U14614" s="29" t="str">
        <f>HYPERLINK("https://ictv.global/taxonomy/taxondetails?taxnode_id=202305143","ictv.global=202305143")</f>
        <v>ictv.global=202305143</v>
      </c>
    </row>
    <row r="14615" spans="1:21">
      <c r="A14615">
        <v>14614</v>
      </c>
      <c r="L14615" s="30" t="s">
        <v>912</v>
      </c>
      <c r="N14615" s="30" t="s">
        <v>913</v>
      </c>
      <c r="P14615" s="30" t="s">
        <v>18999</v>
      </c>
      <c r="Q14615" t="s">
        <v>622</v>
      </c>
      <c r="R14615" t="s">
        <v>920</v>
      </c>
      <c r="S14615">
        <v>39</v>
      </c>
      <c r="T14615" s="29" t="str">
        <f t="shared" si="610"/>
        <v>2023.035P.Tolecusatellitidae_rename.zip</v>
      </c>
      <c r="U14615" s="29" t="str">
        <f>HYPERLINK("https://ictv.global/taxonomy/taxondetails?taxnode_id=202305144","ictv.global=202305144")</f>
        <v>ictv.global=202305144</v>
      </c>
    </row>
    <row r="14616" spans="1:21">
      <c r="A14616">
        <v>14615</v>
      </c>
      <c r="L14616" s="30" t="s">
        <v>912</v>
      </c>
      <c r="N14616" s="30" t="s">
        <v>913</v>
      </c>
      <c r="P14616" s="30" t="s">
        <v>19000</v>
      </c>
      <c r="Q14616" t="s">
        <v>739</v>
      </c>
      <c r="R14616" t="s">
        <v>920</v>
      </c>
      <c r="S14616">
        <v>39</v>
      </c>
      <c r="T14616" s="29" t="str">
        <f t="shared" si="610"/>
        <v>2023.035P.Tolecusatellitidae_rename.zip</v>
      </c>
      <c r="U14616" s="29" t="str">
        <f>HYPERLINK("https://ictv.global/taxonomy/taxondetails?taxnode_id=202309227","ictv.global=202309227")</f>
        <v>ictv.global=202309227</v>
      </c>
    </row>
    <row r="14617" spans="1:21">
      <c r="A14617">
        <v>14616</v>
      </c>
      <c r="L14617" s="30" t="s">
        <v>912</v>
      </c>
      <c r="N14617" s="30" t="s">
        <v>913</v>
      </c>
      <c r="P14617" s="30" t="s">
        <v>19001</v>
      </c>
      <c r="Q14617" t="s">
        <v>622</v>
      </c>
      <c r="R14617" t="s">
        <v>920</v>
      </c>
      <c r="S14617">
        <v>39</v>
      </c>
      <c r="T14617" s="29" t="str">
        <f t="shared" si="610"/>
        <v>2023.035P.Tolecusatellitidae_rename.zip</v>
      </c>
      <c r="U14617" s="29" t="str">
        <f>HYPERLINK("https://ictv.global/taxonomy/taxondetails?taxnode_id=202305153","ictv.global=202305153")</f>
        <v>ictv.global=202305153</v>
      </c>
    </row>
    <row r="14618" spans="1:21">
      <c r="A14618">
        <v>14617</v>
      </c>
      <c r="L14618" s="30" t="s">
        <v>912</v>
      </c>
      <c r="N14618" s="30" t="s">
        <v>913</v>
      </c>
      <c r="P14618" s="30" t="s">
        <v>19002</v>
      </c>
      <c r="Q14618" t="s">
        <v>622</v>
      </c>
      <c r="R14618" t="s">
        <v>920</v>
      </c>
      <c r="S14618">
        <v>39</v>
      </c>
      <c r="T14618" s="29" t="str">
        <f t="shared" si="610"/>
        <v>2023.035P.Tolecusatellitidae_rename.zip</v>
      </c>
      <c r="U14618" s="29" t="str">
        <f>HYPERLINK("https://ictv.global/taxonomy/taxondetails?taxnode_id=202305155","ictv.global=202305155")</f>
        <v>ictv.global=202305155</v>
      </c>
    </row>
    <row r="14619" spans="1:21">
      <c r="A14619">
        <v>14618</v>
      </c>
      <c r="L14619" s="30" t="s">
        <v>912</v>
      </c>
      <c r="N14619" s="30" t="s">
        <v>913</v>
      </c>
      <c r="P14619" s="30" t="s">
        <v>19003</v>
      </c>
      <c r="Q14619" t="s">
        <v>622</v>
      </c>
      <c r="R14619" t="s">
        <v>920</v>
      </c>
      <c r="S14619">
        <v>39</v>
      </c>
      <c r="T14619" s="29" t="str">
        <f t="shared" si="610"/>
        <v>2023.035P.Tolecusatellitidae_rename.zip</v>
      </c>
      <c r="U14619" s="29" t="str">
        <f>HYPERLINK("https://ictv.global/taxonomy/taxondetails?taxnode_id=202305156","ictv.global=202305156")</f>
        <v>ictv.global=202305156</v>
      </c>
    </row>
    <row r="14620" spans="1:21">
      <c r="A14620">
        <v>14619</v>
      </c>
      <c r="L14620" s="30" t="s">
        <v>912</v>
      </c>
      <c r="N14620" s="30" t="s">
        <v>913</v>
      </c>
      <c r="P14620" s="30" t="s">
        <v>19004</v>
      </c>
      <c r="Q14620" t="s">
        <v>739</v>
      </c>
      <c r="R14620" t="s">
        <v>920</v>
      </c>
      <c r="S14620">
        <v>39</v>
      </c>
      <c r="T14620" s="29" t="str">
        <f t="shared" si="610"/>
        <v>2023.035P.Tolecusatellitidae_rename.zip</v>
      </c>
      <c r="U14620" s="29" t="str">
        <f>HYPERLINK("https://ictv.global/taxonomy/taxondetails?taxnode_id=202309228","ictv.global=202309228")</f>
        <v>ictv.global=202309228</v>
      </c>
    </row>
    <row r="14621" spans="1:21">
      <c r="A14621">
        <v>14620</v>
      </c>
      <c r="L14621" s="30" t="s">
        <v>912</v>
      </c>
      <c r="N14621" s="30" t="s">
        <v>913</v>
      </c>
      <c r="P14621" s="30" t="s">
        <v>19005</v>
      </c>
      <c r="Q14621" t="s">
        <v>739</v>
      </c>
      <c r="R14621" t="s">
        <v>920</v>
      </c>
      <c r="S14621">
        <v>39</v>
      </c>
      <c r="T14621" s="29" t="str">
        <f t="shared" si="610"/>
        <v>2023.035P.Tolecusatellitidae_rename.zip</v>
      </c>
      <c r="U14621" s="29" t="str">
        <f>HYPERLINK("https://ictv.global/taxonomy/taxondetails?taxnode_id=202309229","ictv.global=202309229")</f>
        <v>ictv.global=202309229</v>
      </c>
    </row>
    <row r="14622" spans="1:21">
      <c r="A14622">
        <v>14621</v>
      </c>
      <c r="L14622" s="30" t="s">
        <v>912</v>
      </c>
      <c r="N14622" s="30" t="s">
        <v>913</v>
      </c>
      <c r="P14622" s="30" t="s">
        <v>19006</v>
      </c>
      <c r="Q14622" t="s">
        <v>622</v>
      </c>
      <c r="R14622" t="s">
        <v>920</v>
      </c>
      <c r="S14622">
        <v>39</v>
      </c>
      <c r="T14622" s="29" t="str">
        <f t="shared" si="610"/>
        <v>2023.035P.Tolecusatellitidae_rename.zip</v>
      </c>
      <c r="U14622" s="29" t="str">
        <f>HYPERLINK("https://ictv.global/taxonomy/taxondetails?taxnode_id=202305154","ictv.global=202305154")</f>
        <v>ictv.global=202305154</v>
      </c>
    </row>
    <row r="14623" spans="1:21">
      <c r="A14623">
        <v>14622</v>
      </c>
      <c r="L14623" s="30" t="s">
        <v>912</v>
      </c>
      <c r="N14623" s="30" t="s">
        <v>913</v>
      </c>
      <c r="P14623" s="30" t="s">
        <v>19007</v>
      </c>
      <c r="Q14623" t="s">
        <v>622</v>
      </c>
      <c r="R14623" t="s">
        <v>920</v>
      </c>
      <c r="S14623">
        <v>39</v>
      </c>
      <c r="T14623" s="29" t="str">
        <f t="shared" ref="T14623:T14654" si="611">HYPERLINK("https://ictv.global/ictv/proposals/2023.035P.Tolecusatellitidae_rename.zip","2023.035P.Tolecusatellitidae_rename.zip")</f>
        <v>2023.035P.Tolecusatellitidae_rename.zip</v>
      </c>
      <c r="U14623" s="29" t="str">
        <f>HYPERLINK("https://ictv.global/taxonomy/taxondetails?taxnode_id=202305137","ictv.global=202305137")</f>
        <v>ictv.global=202305137</v>
      </c>
    </row>
    <row r="14624" spans="1:21">
      <c r="A14624">
        <v>14623</v>
      </c>
      <c r="L14624" s="30" t="s">
        <v>912</v>
      </c>
      <c r="N14624" s="30" t="s">
        <v>913</v>
      </c>
      <c r="P14624" s="30" t="s">
        <v>19008</v>
      </c>
      <c r="Q14624" t="s">
        <v>739</v>
      </c>
      <c r="R14624" t="s">
        <v>920</v>
      </c>
      <c r="S14624">
        <v>39</v>
      </c>
      <c r="T14624" s="29" t="str">
        <f t="shared" si="611"/>
        <v>2023.035P.Tolecusatellitidae_rename.zip</v>
      </c>
      <c r="U14624" s="29" t="str">
        <f>HYPERLINK("https://ictv.global/taxonomy/taxondetails?taxnode_id=202309217","ictv.global=202309217")</f>
        <v>ictv.global=202309217</v>
      </c>
    </row>
    <row r="14625" spans="1:21">
      <c r="A14625">
        <v>14624</v>
      </c>
      <c r="L14625" s="30" t="s">
        <v>912</v>
      </c>
      <c r="N14625" s="30" t="s">
        <v>913</v>
      </c>
      <c r="P14625" s="30" t="s">
        <v>19009</v>
      </c>
      <c r="Q14625" t="s">
        <v>739</v>
      </c>
      <c r="R14625" t="s">
        <v>920</v>
      </c>
      <c r="S14625">
        <v>39</v>
      </c>
      <c r="T14625" s="29" t="str">
        <f t="shared" si="611"/>
        <v>2023.035P.Tolecusatellitidae_rename.zip</v>
      </c>
      <c r="U14625" s="29" t="str">
        <f>HYPERLINK("https://ictv.global/taxonomy/taxondetails?taxnode_id=202309218","ictv.global=202309218")</f>
        <v>ictv.global=202309218</v>
      </c>
    </row>
    <row r="14626" spans="1:21">
      <c r="A14626">
        <v>14625</v>
      </c>
      <c r="L14626" s="30" t="s">
        <v>912</v>
      </c>
      <c r="N14626" s="30" t="s">
        <v>913</v>
      </c>
      <c r="P14626" s="30" t="s">
        <v>19010</v>
      </c>
      <c r="Q14626" t="s">
        <v>622</v>
      </c>
      <c r="R14626" t="s">
        <v>920</v>
      </c>
      <c r="S14626">
        <v>39</v>
      </c>
      <c r="T14626" s="29" t="str">
        <f t="shared" si="611"/>
        <v>2023.035P.Tolecusatellitidae_rename.zip</v>
      </c>
      <c r="U14626" s="29" t="str">
        <f>HYPERLINK("https://ictv.global/taxonomy/taxondetails?taxnode_id=202305150","ictv.global=202305150")</f>
        <v>ictv.global=202305150</v>
      </c>
    </row>
    <row r="14627" spans="1:21">
      <c r="A14627">
        <v>14626</v>
      </c>
      <c r="L14627" s="30" t="s">
        <v>912</v>
      </c>
      <c r="N14627" s="30" t="s">
        <v>913</v>
      </c>
      <c r="P14627" s="30" t="s">
        <v>19011</v>
      </c>
      <c r="Q14627" t="s">
        <v>622</v>
      </c>
      <c r="R14627" t="s">
        <v>920</v>
      </c>
      <c r="S14627">
        <v>39</v>
      </c>
      <c r="T14627" s="29" t="str">
        <f t="shared" si="611"/>
        <v>2023.035P.Tolecusatellitidae_rename.zip</v>
      </c>
      <c r="U14627" s="29" t="str">
        <f>HYPERLINK("https://ictv.global/taxonomy/taxondetails?taxnode_id=202305151","ictv.global=202305151")</f>
        <v>ictv.global=202305151</v>
      </c>
    </row>
    <row r="14628" spans="1:21">
      <c r="A14628">
        <v>14627</v>
      </c>
      <c r="L14628" s="30" t="s">
        <v>912</v>
      </c>
      <c r="N14628" s="30" t="s">
        <v>913</v>
      </c>
      <c r="P14628" s="30" t="s">
        <v>19012</v>
      </c>
      <c r="Q14628" t="s">
        <v>739</v>
      </c>
      <c r="R14628" t="s">
        <v>920</v>
      </c>
      <c r="S14628">
        <v>39</v>
      </c>
      <c r="T14628" s="29" t="str">
        <f t="shared" si="611"/>
        <v>2023.035P.Tolecusatellitidae_rename.zip</v>
      </c>
      <c r="U14628" s="29" t="str">
        <f>HYPERLINK("https://ictv.global/taxonomy/taxondetails?taxnode_id=202309221","ictv.global=202309221")</f>
        <v>ictv.global=202309221</v>
      </c>
    </row>
    <row r="14629" spans="1:21">
      <c r="A14629">
        <v>14628</v>
      </c>
      <c r="L14629" s="30" t="s">
        <v>912</v>
      </c>
      <c r="N14629" s="30" t="s">
        <v>913</v>
      </c>
      <c r="P14629" s="30" t="s">
        <v>19013</v>
      </c>
      <c r="Q14629" t="s">
        <v>739</v>
      </c>
      <c r="R14629" t="s">
        <v>920</v>
      </c>
      <c r="S14629">
        <v>39</v>
      </c>
      <c r="T14629" s="29" t="str">
        <f t="shared" si="611"/>
        <v>2023.035P.Tolecusatellitidae_rename.zip</v>
      </c>
      <c r="U14629" s="29" t="str">
        <f>HYPERLINK("https://ictv.global/taxonomy/taxondetails?taxnode_id=202309219","ictv.global=202309219")</f>
        <v>ictv.global=202309219</v>
      </c>
    </row>
    <row r="14630" spans="1:21">
      <c r="A14630">
        <v>14629</v>
      </c>
      <c r="L14630" s="30" t="s">
        <v>912</v>
      </c>
      <c r="N14630" s="30" t="s">
        <v>913</v>
      </c>
      <c r="P14630" s="30" t="s">
        <v>19014</v>
      </c>
      <c r="Q14630" t="s">
        <v>739</v>
      </c>
      <c r="R14630" t="s">
        <v>920</v>
      </c>
      <c r="S14630">
        <v>39</v>
      </c>
      <c r="T14630" s="29" t="str">
        <f t="shared" si="611"/>
        <v>2023.035P.Tolecusatellitidae_rename.zip</v>
      </c>
      <c r="U14630" s="29" t="str">
        <f>HYPERLINK("https://ictv.global/taxonomy/taxondetails?taxnode_id=202309222","ictv.global=202309222")</f>
        <v>ictv.global=202309222</v>
      </c>
    </row>
    <row r="14631" spans="1:21">
      <c r="A14631">
        <v>14630</v>
      </c>
      <c r="L14631" s="30" t="s">
        <v>912</v>
      </c>
      <c r="N14631" s="30" t="s">
        <v>913</v>
      </c>
      <c r="P14631" s="30" t="s">
        <v>19015</v>
      </c>
      <c r="Q14631" t="s">
        <v>739</v>
      </c>
      <c r="R14631" t="s">
        <v>920</v>
      </c>
      <c r="S14631">
        <v>39</v>
      </c>
      <c r="T14631" s="29" t="str">
        <f t="shared" si="611"/>
        <v>2023.035P.Tolecusatellitidae_rename.zip</v>
      </c>
      <c r="U14631" s="29" t="str">
        <f>HYPERLINK("https://ictv.global/taxonomy/taxondetails?taxnode_id=202309220","ictv.global=202309220")</f>
        <v>ictv.global=202309220</v>
      </c>
    </row>
    <row r="14632" spans="1:21">
      <c r="A14632">
        <v>14631</v>
      </c>
      <c r="L14632" s="30" t="s">
        <v>912</v>
      </c>
      <c r="N14632" s="30" t="s">
        <v>913</v>
      </c>
      <c r="P14632" s="30" t="s">
        <v>19016</v>
      </c>
      <c r="Q14632" t="s">
        <v>739</v>
      </c>
      <c r="R14632" t="s">
        <v>920</v>
      </c>
      <c r="S14632">
        <v>39</v>
      </c>
      <c r="T14632" s="29" t="str">
        <f t="shared" si="611"/>
        <v>2023.035P.Tolecusatellitidae_rename.zip</v>
      </c>
      <c r="U14632" s="29" t="str">
        <f>HYPERLINK("https://ictv.global/taxonomy/taxondetails?taxnode_id=202309223","ictv.global=202309223")</f>
        <v>ictv.global=202309223</v>
      </c>
    </row>
    <row r="14633" spans="1:21">
      <c r="A14633">
        <v>14632</v>
      </c>
      <c r="L14633" s="30" t="s">
        <v>912</v>
      </c>
      <c r="N14633" s="30" t="s">
        <v>913</v>
      </c>
      <c r="P14633" s="30" t="s">
        <v>19017</v>
      </c>
      <c r="Q14633" t="s">
        <v>739</v>
      </c>
      <c r="R14633" t="s">
        <v>920</v>
      </c>
      <c r="S14633">
        <v>39</v>
      </c>
      <c r="T14633" s="29" t="str">
        <f t="shared" si="611"/>
        <v>2023.035P.Tolecusatellitidae_rename.zip</v>
      </c>
      <c r="U14633" s="29" t="str">
        <f>HYPERLINK("https://ictv.global/taxonomy/taxondetails?taxnode_id=202309224","ictv.global=202309224")</f>
        <v>ictv.global=202309224</v>
      </c>
    </row>
    <row r="14634" spans="1:21">
      <c r="A14634">
        <v>14633</v>
      </c>
      <c r="L14634" s="30" t="s">
        <v>912</v>
      </c>
      <c r="N14634" s="30" t="s">
        <v>913</v>
      </c>
      <c r="P14634" s="30" t="s">
        <v>19018</v>
      </c>
      <c r="Q14634" t="s">
        <v>622</v>
      </c>
      <c r="R14634" t="s">
        <v>920</v>
      </c>
      <c r="S14634">
        <v>39</v>
      </c>
      <c r="T14634" s="29" t="str">
        <f t="shared" si="611"/>
        <v>2023.035P.Tolecusatellitidae_rename.zip</v>
      </c>
      <c r="U14634" s="29" t="str">
        <f>HYPERLINK("https://ictv.global/taxonomy/taxondetails?taxnode_id=202305152","ictv.global=202305152")</f>
        <v>ictv.global=202305152</v>
      </c>
    </row>
    <row r="14635" spans="1:21">
      <c r="A14635">
        <v>14634</v>
      </c>
      <c r="L14635" s="30" t="s">
        <v>912</v>
      </c>
      <c r="N14635" s="30" t="s">
        <v>913</v>
      </c>
      <c r="P14635" s="30" t="s">
        <v>19019</v>
      </c>
      <c r="Q14635" t="s">
        <v>739</v>
      </c>
      <c r="R14635" t="s">
        <v>920</v>
      </c>
      <c r="S14635">
        <v>39</v>
      </c>
      <c r="T14635" s="29" t="str">
        <f t="shared" si="611"/>
        <v>2023.035P.Tolecusatellitidae_rename.zip</v>
      </c>
      <c r="U14635" s="29" t="str">
        <f>HYPERLINK("https://ictv.global/taxonomy/taxondetails?taxnode_id=202309226","ictv.global=202309226")</f>
        <v>ictv.global=202309226</v>
      </c>
    </row>
    <row r="14636" spans="1:21">
      <c r="A14636">
        <v>14635</v>
      </c>
      <c r="L14636" s="30" t="s">
        <v>912</v>
      </c>
      <c r="N14636" s="30" t="s">
        <v>913</v>
      </c>
      <c r="P14636" s="30" t="s">
        <v>19020</v>
      </c>
      <c r="Q14636" t="s">
        <v>739</v>
      </c>
      <c r="R14636" t="s">
        <v>920</v>
      </c>
      <c r="S14636">
        <v>39</v>
      </c>
      <c r="T14636" s="29" t="str">
        <f t="shared" si="611"/>
        <v>2023.035P.Tolecusatellitidae_rename.zip</v>
      </c>
      <c r="U14636" s="29" t="str">
        <f>HYPERLINK("https://ictv.global/taxonomy/taxondetails?taxnode_id=202309225","ictv.global=202309225")</f>
        <v>ictv.global=202309225</v>
      </c>
    </row>
    <row r="14637" spans="1:21">
      <c r="A14637">
        <v>14636</v>
      </c>
      <c r="L14637" s="30" t="s">
        <v>912</v>
      </c>
      <c r="N14637" s="30" t="s">
        <v>913</v>
      </c>
      <c r="P14637" s="30" t="s">
        <v>19021</v>
      </c>
      <c r="Q14637" t="s">
        <v>622</v>
      </c>
      <c r="R14637" t="s">
        <v>920</v>
      </c>
      <c r="S14637">
        <v>39</v>
      </c>
      <c r="T14637" s="29" t="str">
        <f t="shared" si="611"/>
        <v>2023.035P.Tolecusatellitidae_rename.zip</v>
      </c>
      <c r="U14637" s="29" t="str">
        <f>HYPERLINK("https://ictv.global/taxonomy/taxondetails?taxnode_id=202305159","ictv.global=202305159")</f>
        <v>ictv.global=202305159</v>
      </c>
    </row>
    <row r="14638" spans="1:21">
      <c r="A14638">
        <v>14637</v>
      </c>
      <c r="L14638" s="30" t="s">
        <v>912</v>
      </c>
      <c r="N14638" s="30" t="s">
        <v>913</v>
      </c>
      <c r="P14638" s="30" t="s">
        <v>19022</v>
      </c>
      <c r="Q14638" t="s">
        <v>622</v>
      </c>
      <c r="R14638" t="s">
        <v>920</v>
      </c>
      <c r="S14638">
        <v>39</v>
      </c>
      <c r="T14638" s="29" t="str">
        <f t="shared" si="611"/>
        <v>2023.035P.Tolecusatellitidae_rename.zip</v>
      </c>
      <c r="U14638" s="29" t="str">
        <f>HYPERLINK("https://ictv.global/taxonomy/taxondetails?taxnode_id=202305157","ictv.global=202305157")</f>
        <v>ictv.global=202305157</v>
      </c>
    </row>
    <row r="14639" spans="1:21">
      <c r="A14639">
        <v>14638</v>
      </c>
      <c r="L14639" s="30" t="s">
        <v>912</v>
      </c>
      <c r="N14639" s="30" t="s">
        <v>913</v>
      </c>
      <c r="P14639" s="30" t="s">
        <v>19023</v>
      </c>
      <c r="Q14639" t="s">
        <v>739</v>
      </c>
      <c r="R14639" t="s">
        <v>920</v>
      </c>
      <c r="S14639">
        <v>39</v>
      </c>
      <c r="T14639" s="29" t="str">
        <f t="shared" si="611"/>
        <v>2023.035P.Tolecusatellitidae_rename.zip</v>
      </c>
      <c r="U14639" s="29" t="str">
        <f>HYPERLINK("https://ictv.global/taxonomy/taxondetails?taxnode_id=202309230","ictv.global=202309230")</f>
        <v>ictv.global=202309230</v>
      </c>
    </row>
    <row r="14640" spans="1:21">
      <c r="A14640">
        <v>14639</v>
      </c>
      <c r="L14640" s="30" t="s">
        <v>912</v>
      </c>
      <c r="N14640" s="30" t="s">
        <v>913</v>
      </c>
      <c r="P14640" s="30" t="s">
        <v>19024</v>
      </c>
      <c r="Q14640" t="s">
        <v>622</v>
      </c>
      <c r="R14640" t="s">
        <v>920</v>
      </c>
      <c r="S14640">
        <v>39</v>
      </c>
      <c r="T14640" s="29" t="str">
        <f t="shared" si="611"/>
        <v>2023.035P.Tolecusatellitidae_rename.zip</v>
      </c>
      <c r="U14640" s="29" t="str">
        <f>HYPERLINK("https://ictv.global/taxonomy/taxondetails?taxnode_id=202305158","ictv.global=202305158")</f>
        <v>ictv.global=202305158</v>
      </c>
    </row>
    <row r="14641" spans="1:21">
      <c r="A14641">
        <v>14640</v>
      </c>
      <c r="L14641" s="30" t="s">
        <v>912</v>
      </c>
      <c r="N14641" s="30" t="s">
        <v>913</v>
      </c>
      <c r="P14641" s="30" t="s">
        <v>19025</v>
      </c>
      <c r="Q14641" t="s">
        <v>739</v>
      </c>
      <c r="R14641" t="s">
        <v>920</v>
      </c>
      <c r="S14641">
        <v>39</v>
      </c>
      <c r="T14641" s="29" t="str">
        <f t="shared" si="611"/>
        <v>2023.035P.Tolecusatellitidae_rename.zip</v>
      </c>
      <c r="U14641" s="29" t="str">
        <f>HYPERLINK("https://ictv.global/taxonomy/taxondetails?taxnode_id=202309232","ictv.global=202309232")</f>
        <v>ictv.global=202309232</v>
      </c>
    </row>
    <row r="14642" spans="1:21">
      <c r="A14642">
        <v>14641</v>
      </c>
      <c r="L14642" s="30" t="s">
        <v>912</v>
      </c>
      <c r="N14642" s="30" t="s">
        <v>913</v>
      </c>
      <c r="P14642" s="30" t="s">
        <v>19026</v>
      </c>
      <c r="Q14642" t="s">
        <v>622</v>
      </c>
      <c r="R14642" t="s">
        <v>920</v>
      </c>
      <c r="S14642">
        <v>39</v>
      </c>
      <c r="T14642" s="29" t="str">
        <f t="shared" si="611"/>
        <v>2023.035P.Tolecusatellitidae_rename.zip</v>
      </c>
      <c r="U14642" s="29" t="str">
        <f>HYPERLINK("https://ictv.global/taxonomy/taxondetails?taxnode_id=202305160","ictv.global=202305160")</f>
        <v>ictv.global=202305160</v>
      </c>
    </row>
    <row r="14643" spans="1:21">
      <c r="A14643">
        <v>14642</v>
      </c>
      <c r="L14643" s="30" t="s">
        <v>912</v>
      </c>
      <c r="N14643" s="30" t="s">
        <v>913</v>
      </c>
      <c r="P14643" s="30" t="s">
        <v>19027</v>
      </c>
      <c r="Q14643" t="s">
        <v>622</v>
      </c>
      <c r="R14643" t="s">
        <v>920</v>
      </c>
      <c r="S14643">
        <v>39</v>
      </c>
      <c r="T14643" s="29" t="str">
        <f t="shared" si="611"/>
        <v>2023.035P.Tolecusatellitidae_rename.zip</v>
      </c>
      <c r="U14643" s="29" t="str">
        <f>HYPERLINK("https://ictv.global/taxonomy/taxondetails?taxnode_id=202305172","ictv.global=202305172")</f>
        <v>ictv.global=202305172</v>
      </c>
    </row>
    <row r="14644" spans="1:21">
      <c r="A14644">
        <v>14643</v>
      </c>
      <c r="L14644" s="30" t="s">
        <v>912</v>
      </c>
      <c r="N14644" s="30" t="s">
        <v>913</v>
      </c>
      <c r="P14644" s="30" t="s">
        <v>19028</v>
      </c>
      <c r="Q14644" t="s">
        <v>622</v>
      </c>
      <c r="R14644" t="s">
        <v>920</v>
      </c>
      <c r="S14644">
        <v>39</v>
      </c>
      <c r="T14644" s="29" t="str">
        <f t="shared" si="611"/>
        <v>2023.035P.Tolecusatellitidae_rename.zip</v>
      </c>
      <c r="U14644" s="29" t="str">
        <f>HYPERLINK("https://ictv.global/taxonomy/taxondetails?taxnode_id=202305174","ictv.global=202305174")</f>
        <v>ictv.global=202305174</v>
      </c>
    </row>
    <row r="14645" spans="1:21">
      <c r="A14645">
        <v>14644</v>
      </c>
      <c r="L14645" s="30" t="s">
        <v>912</v>
      </c>
      <c r="N14645" s="30" t="s">
        <v>913</v>
      </c>
      <c r="P14645" s="30" t="s">
        <v>19029</v>
      </c>
      <c r="Q14645" t="s">
        <v>739</v>
      </c>
      <c r="R14645" t="s">
        <v>920</v>
      </c>
      <c r="S14645">
        <v>39</v>
      </c>
      <c r="T14645" s="29" t="str">
        <f t="shared" si="611"/>
        <v>2023.035P.Tolecusatellitidae_rename.zip</v>
      </c>
      <c r="U14645" s="29" t="str">
        <f>HYPERLINK("https://ictv.global/taxonomy/taxondetails?taxnode_id=202309245","ictv.global=202309245")</f>
        <v>ictv.global=202309245</v>
      </c>
    </row>
    <row r="14646" spans="1:21">
      <c r="A14646">
        <v>14645</v>
      </c>
      <c r="L14646" s="30" t="s">
        <v>912</v>
      </c>
      <c r="N14646" s="30" t="s">
        <v>913</v>
      </c>
      <c r="P14646" s="30" t="s">
        <v>19030</v>
      </c>
      <c r="Q14646" t="s">
        <v>622</v>
      </c>
      <c r="R14646" t="s">
        <v>920</v>
      </c>
      <c r="S14646">
        <v>39</v>
      </c>
      <c r="T14646" s="29" t="str">
        <f t="shared" si="611"/>
        <v>2023.035P.Tolecusatellitidae_rename.zip</v>
      </c>
      <c r="U14646" s="29" t="str">
        <f>HYPERLINK("https://ictv.global/taxonomy/taxondetails?taxnode_id=202305175","ictv.global=202305175")</f>
        <v>ictv.global=202305175</v>
      </c>
    </row>
    <row r="14647" spans="1:21">
      <c r="A14647">
        <v>14646</v>
      </c>
      <c r="L14647" s="30" t="s">
        <v>912</v>
      </c>
      <c r="N14647" s="30" t="s">
        <v>913</v>
      </c>
      <c r="P14647" s="30" t="s">
        <v>19031</v>
      </c>
      <c r="Q14647" t="s">
        <v>622</v>
      </c>
      <c r="R14647" t="s">
        <v>920</v>
      </c>
      <c r="S14647">
        <v>39</v>
      </c>
      <c r="T14647" s="29" t="str">
        <f t="shared" si="611"/>
        <v>2023.035P.Tolecusatellitidae_rename.zip</v>
      </c>
      <c r="U14647" s="29" t="str">
        <f>HYPERLINK("https://ictv.global/taxonomy/taxondetails?taxnode_id=202305176","ictv.global=202305176")</f>
        <v>ictv.global=202305176</v>
      </c>
    </row>
    <row r="14648" spans="1:21">
      <c r="A14648">
        <v>14647</v>
      </c>
      <c r="L14648" s="30" t="s">
        <v>912</v>
      </c>
      <c r="N14648" s="30" t="s">
        <v>913</v>
      </c>
      <c r="P14648" s="30" t="s">
        <v>19032</v>
      </c>
      <c r="Q14648" t="s">
        <v>622</v>
      </c>
      <c r="R14648" t="s">
        <v>920</v>
      </c>
      <c r="S14648">
        <v>39</v>
      </c>
      <c r="T14648" s="29" t="str">
        <f t="shared" si="611"/>
        <v>2023.035P.Tolecusatellitidae_rename.zip</v>
      </c>
      <c r="U14648" s="29" t="str">
        <f>HYPERLINK("https://ictv.global/taxonomy/taxondetails?taxnode_id=202305177","ictv.global=202305177")</f>
        <v>ictv.global=202305177</v>
      </c>
    </row>
    <row r="14649" spans="1:21">
      <c r="A14649">
        <v>14648</v>
      </c>
      <c r="L14649" s="30" t="s">
        <v>912</v>
      </c>
      <c r="N14649" s="30" t="s">
        <v>913</v>
      </c>
      <c r="P14649" s="30" t="s">
        <v>19033</v>
      </c>
      <c r="Q14649" t="s">
        <v>739</v>
      </c>
      <c r="R14649" t="s">
        <v>920</v>
      </c>
      <c r="S14649">
        <v>39</v>
      </c>
      <c r="T14649" s="29" t="str">
        <f t="shared" si="611"/>
        <v>2023.035P.Tolecusatellitidae_rename.zip</v>
      </c>
      <c r="U14649" s="29" t="str">
        <f>HYPERLINK("https://ictv.global/taxonomy/taxondetails?taxnode_id=202309233","ictv.global=202309233")</f>
        <v>ictv.global=202309233</v>
      </c>
    </row>
    <row r="14650" spans="1:21">
      <c r="A14650">
        <v>14649</v>
      </c>
      <c r="L14650" s="30" t="s">
        <v>912</v>
      </c>
      <c r="N14650" s="30" t="s">
        <v>913</v>
      </c>
      <c r="P14650" s="30" t="s">
        <v>19034</v>
      </c>
      <c r="Q14650" t="s">
        <v>739</v>
      </c>
      <c r="R14650" t="s">
        <v>920</v>
      </c>
      <c r="S14650">
        <v>39</v>
      </c>
      <c r="T14650" s="29" t="str">
        <f t="shared" si="611"/>
        <v>2023.035P.Tolecusatellitidae_rename.zip</v>
      </c>
      <c r="U14650" s="29" t="str">
        <f>HYPERLINK("https://ictv.global/taxonomy/taxondetails?taxnode_id=202309234","ictv.global=202309234")</f>
        <v>ictv.global=202309234</v>
      </c>
    </row>
    <row r="14651" spans="1:21">
      <c r="A14651">
        <v>14650</v>
      </c>
      <c r="L14651" s="30" t="s">
        <v>912</v>
      </c>
      <c r="N14651" s="30" t="s">
        <v>913</v>
      </c>
      <c r="P14651" s="30" t="s">
        <v>19035</v>
      </c>
      <c r="Q14651" t="s">
        <v>622</v>
      </c>
      <c r="R14651" t="s">
        <v>920</v>
      </c>
      <c r="S14651">
        <v>39</v>
      </c>
      <c r="T14651" s="29" t="str">
        <f t="shared" si="611"/>
        <v>2023.035P.Tolecusatellitidae_rename.zip</v>
      </c>
      <c r="U14651" s="29" t="str">
        <f>HYPERLINK("https://ictv.global/taxonomy/taxondetails?taxnode_id=202305161","ictv.global=202305161")</f>
        <v>ictv.global=202305161</v>
      </c>
    </row>
    <row r="14652" spans="1:21">
      <c r="A14652">
        <v>14651</v>
      </c>
      <c r="L14652" s="30" t="s">
        <v>912</v>
      </c>
      <c r="N14652" s="30" t="s">
        <v>913</v>
      </c>
      <c r="P14652" s="30" t="s">
        <v>19036</v>
      </c>
      <c r="Q14652" t="s">
        <v>739</v>
      </c>
      <c r="R14652" t="s">
        <v>920</v>
      </c>
      <c r="S14652">
        <v>39</v>
      </c>
      <c r="T14652" s="29" t="str">
        <f t="shared" si="611"/>
        <v>2023.035P.Tolecusatellitidae_rename.zip</v>
      </c>
      <c r="U14652" s="29" t="str">
        <f>HYPERLINK("https://ictv.global/taxonomy/taxondetails?taxnode_id=202309235","ictv.global=202309235")</f>
        <v>ictv.global=202309235</v>
      </c>
    </row>
    <row r="14653" spans="1:21">
      <c r="A14653">
        <v>14652</v>
      </c>
      <c r="L14653" s="30" t="s">
        <v>912</v>
      </c>
      <c r="N14653" s="30" t="s">
        <v>913</v>
      </c>
      <c r="P14653" s="30" t="s">
        <v>19037</v>
      </c>
      <c r="Q14653" t="s">
        <v>622</v>
      </c>
      <c r="R14653" t="s">
        <v>920</v>
      </c>
      <c r="S14653">
        <v>39</v>
      </c>
      <c r="T14653" s="29" t="str">
        <f t="shared" si="611"/>
        <v>2023.035P.Tolecusatellitidae_rename.zip</v>
      </c>
      <c r="U14653" s="29" t="str">
        <f>HYPERLINK("https://ictv.global/taxonomy/taxondetails?taxnode_id=202305162","ictv.global=202305162")</f>
        <v>ictv.global=202305162</v>
      </c>
    </row>
    <row r="14654" spans="1:21">
      <c r="A14654">
        <v>14653</v>
      </c>
      <c r="L14654" s="30" t="s">
        <v>912</v>
      </c>
      <c r="N14654" s="30" t="s">
        <v>913</v>
      </c>
      <c r="P14654" s="30" t="s">
        <v>19038</v>
      </c>
      <c r="Q14654" t="s">
        <v>622</v>
      </c>
      <c r="R14654" t="s">
        <v>920</v>
      </c>
      <c r="S14654">
        <v>39</v>
      </c>
      <c r="T14654" s="29" t="str">
        <f t="shared" si="611"/>
        <v>2023.035P.Tolecusatellitidae_rename.zip</v>
      </c>
      <c r="U14654" s="29" t="str">
        <f>HYPERLINK("https://ictv.global/taxonomy/taxondetails?taxnode_id=202305163","ictv.global=202305163")</f>
        <v>ictv.global=202305163</v>
      </c>
    </row>
    <row r="14655" spans="1:21">
      <c r="A14655">
        <v>14654</v>
      </c>
      <c r="L14655" s="30" t="s">
        <v>912</v>
      </c>
      <c r="N14655" s="30" t="s">
        <v>913</v>
      </c>
      <c r="P14655" s="30" t="s">
        <v>19039</v>
      </c>
      <c r="Q14655" t="s">
        <v>739</v>
      </c>
      <c r="R14655" t="s">
        <v>920</v>
      </c>
      <c r="S14655">
        <v>39</v>
      </c>
      <c r="T14655" s="29" t="str">
        <f t="shared" ref="T14655:T14689" si="612">HYPERLINK("https://ictv.global/ictv/proposals/2023.035P.Tolecusatellitidae_rename.zip","2023.035P.Tolecusatellitidae_rename.zip")</f>
        <v>2023.035P.Tolecusatellitidae_rename.zip</v>
      </c>
      <c r="U14655" s="29" t="str">
        <f>HYPERLINK("https://ictv.global/taxonomy/taxondetails?taxnode_id=202309237","ictv.global=202309237")</f>
        <v>ictv.global=202309237</v>
      </c>
    </row>
    <row r="14656" spans="1:21">
      <c r="A14656">
        <v>14655</v>
      </c>
      <c r="L14656" s="30" t="s">
        <v>912</v>
      </c>
      <c r="N14656" s="30" t="s">
        <v>913</v>
      </c>
      <c r="P14656" s="30" t="s">
        <v>19040</v>
      </c>
      <c r="Q14656" t="s">
        <v>739</v>
      </c>
      <c r="R14656" t="s">
        <v>920</v>
      </c>
      <c r="S14656">
        <v>39</v>
      </c>
      <c r="T14656" s="29" t="str">
        <f t="shared" si="612"/>
        <v>2023.035P.Tolecusatellitidae_rename.zip</v>
      </c>
      <c r="U14656" s="29" t="str">
        <f>HYPERLINK("https://ictv.global/taxonomy/taxondetails?taxnode_id=202309238","ictv.global=202309238")</f>
        <v>ictv.global=202309238</v>
      </c>
    </row>
    <row r="14657" spans="1:21">
      <c r="A14657">
        <v>14656</v>
      </c>
      <c r="L14657" s="30" t="s">
        <v>912</v>
      </c>
      <c r="N14657" s="30" t="s">
        <v>913</v>
      </c>
      <c r="P14657" s="30" t="s">
        <v>19041</v>
      </c>
      <c r="Q14657" t="s">
        <v>622</v>
      </c>
      <c r="R14657" t="s">
        <v>920</v>
      </c>
      <c r="S14657">
        <v>39</v>
      </c>
      <c r="T14657" s="29" t="str">
        <f t="shared" si="612"/>
        <v>2023.035P.Tolecusatellitidae_rename.zip</v>
      </c>
      <c r="U14657" s="29" t="str">
        <f>HYPERLINK("https://ictv.global/taxonomy/taxondetails?taxnode_id=202305164","ictv.global=202305164")</f>
        <v>ictv.global=202305164</v>
      </c>
    </row>
    <row r="14658" spans="1:21">
      <c r="A14658">
        <v>14657</v>
      </c>
      <c r="L14658" s="30" t="s">
        <v>912</v>
      </c>
      <c r="N14658" s="30" t="s">
        <v>913</v>
      </c>
      <c r="P14658" s="30" t="s">
        <v>19042</v>
      </c>
      <c r="Q14658" t="s">
        <v>622</v>
      </c>
      <c r="R14658" t="s">
        <v>920</v>
      </c>
      <c r="S14658">
        <v>39</v>
      </c>
      <c r="T14658" s="29" t="str">
        <f t="shared" si="612"/>
        <v>2023.035P.Tolecusatellitidae_rename.zip</v>
      </c>
      <c r="U14658" s="29" t="str">
        <f>HYPERLINK("https://ictv.global/taxonomy/taxondetails?taxnode_id=202305165","ictv.global=202305165")</f>
        <v>ictv.global=202305165</v>
      </c>
    </row>
    <row r="14659" spans="1:21">
      <c r="A14659">
        <v>14658</v>
      </c>
      <c r="L14659" s="30" t="s">
        <v>912</v>
      </c>
      <c r="N14659" s="30" t="s">
        <v>913</v>
      </c>
      <c r="P14659" s="30" t="s">
        <v>19043</v>
      </c>
      <c r="Q14659" t="s">
        <v>739</v>
      </c>
      <c r="R14659" t="s">
        <v>920</v>
      </c>
      <c r="S14659">
        <v>39</v>
      </c>
      <c r="T14659" s="29" t="str">
        <f t="shared" si="612"/>
        <v>2023.035P.Tolecusatellitidae_rename.zip</v>
      </c>
      <c r="U14659" s="29" t="str">
        <f>HYPERLINK("https://ictv.global/taxonomy/taxondetails?taxnode_id=202309239","ictv.global=202309239")</f>
        <v>ictv.global=202309239</v>
      </c>
    </row>
    <row r="14660" spans="1:21">
      <c r="A14660">
        <v>14659</v>
      </c>
      <c r="L14660" s="30" t="s">
        <v>912</v>
      </c>
      <c r="N14660" s="30" t="s">
        <v>913</v>
      </c>
      <c r="P14660" s="30" t="s">
        <v>19044</v>
      </c>
      <c r="Q14660" t="s">
        <v>622</v>
      </c>
      <c r="R14660" t="s">
        <v>920</v>
      </c>
      <c r="S14660">
        <v>39</v>
      </c>
      <c r="T14660" s="29" t="str">
        <f t="shared" si="612"/>
        <v>2023.035P.Tolecusatellitidae_rename.zip</v>
      </c>
      <c r="U14660" s="29" t="str">
        <f>HYPERLINK("https://ictv.global/taxonomy/taxondetails?taxnode_id=202305166","ictv.global=202305166")</f>
        <v>ictv.global=202305166</v>
      </c>
    </row>
    <row r="14661" spans="1:21">
      <c r="A14661">
        <v>14660</v>
      </c>
      <c r="L14661" s="30" t="s">
        <v>912</v>
      </c>
      <c r="N14661" s="30" t="s">
        <v>913</v>
      </c>
      <c r="P14661" s="30" t="s">
        <v>19045</v>
      </c>
      <c r="Q14661" t="s">
        <v>739</v>
      </c>
      <c r="R14661" t="s">
        <v>920</v>
      </c>
      <c r="S14661">
        <v>39</v>
      </c>
      <c r="T14661" s="29" t="str">
        <f t="shared" si="612"/>
        <v>2023.035P.Tolecusatellitidae_rename.zip</v>
      </c>
      <c r="U14661" s="29" t="str">
        <f>HYPERLINK("https://ictv.global/taxonomy/taxondetails?taxnode_id=202309236","ictv.global=202309236")</f>
        <v>ictv.global=202309236</v>
      </c>
    </row>
    <row r="14662" spans="1:21">
      <c r="A14662">
        <v>14661</v>
      </c>
      <c r="L14662" s="30" t="s">
        <v>912</v>
      </c>
      <c r="N14662" s="30" t="s">
        <v>913</v>
      </c>
      <c r="P14662" s="30" t="s">
        <v>19046</v>
      </c>
      <c r="Q14662" t="s">
        <v>622</v>
      </c>
      <c r="R14662" t="s">
        <v>920</v>
      </c>
      <c r="S14662">
        <v>39</v>
      </c>
      <c r="T14662" s="29" t="str">
        <f t="shared" si="612"/>
        <v>2023.035P.Tolecusatellitidae_rename.zip</v>
      </c>
      <c r="U14662" s="29" t="str">
        <f>HYPERLINK("https://ictv.global/taxonomy/taxondetails?taxnode_id=202305167","ictv.global=202305167")</f>
        <v>ictv.global=202305167</v>
      </c>
    </row>
    <row r="14663" spans="1:21">
      <c r="A14663">
        <v>14662</v>
      </c>
      <c r="L14663" s="30" t="s">
        <v>912</v>
      </c>
      <c r="N14663" s="30" t="s">
        <v>913</v>
      </c>
      <c r="P14663" s="30" t="s">
        <v>19047</v>
      </c>
      <c r="Q14663" t="s">
        <v>739</v>
      </c>
      <c r="R14663" t="s">
        <v>920</v>
      </c>
      <c r="S14663">
        <v>39</v>
      </c>
      <c r="T14663" s="29" t="str">
        <f t="shared" si="612"/>
        <v>2023.035P.Tolecusatellitidae_rename.zip</v>
      </c>
      <c r="U14663" s="29" t="str">
        <f>HYPERLINK("https://ictv.global/taxonomy/taxondetails?taxnode_id=202309240","ictv.global=202309240")</f>
        <v>ictv.global=202309240</v>
      </c>
    </row>
    <row r="14664" spans="1:21">
      <c r="A14664">
        <v>14663</v>
      </c>
      <c r="L14664" s="30" t="s">
        <v>912</v>
      </c>
      <c r="N14664" s="30" t="s">
        <v>913</v>
      </c>
      <c r="P14664" s="30" t="s">
        <v>19048</v>
      </c>
      <c r="Q14664" t="s">
        <v>739</v>
      </c>
      <c r="R14664" t="s">
        <v>920</v>
      </c>
      <c r="S14664">
        <v>39</v>
      </c>
      <c r="T14664" s="29" t="str">
        <f t="shared" si="612"/>
        <v>2023.035P.Tolecusatellitidae_rename.zip</v>
      </c>
      <c r="U14664" s="29" t="str">
        <f>HYPERLINK("https://ictv.global/taxonomy/taxondetails?taxnode_id=202309241","ictv.global=202309241")</f>
        <v>ictv.global=202309241</v>
      </c>
    </row>
    <row r="14665" spans="1:21">
      <c r="A14665">
        <v>14664</v>
      </c>
      <c r="L14665" s="30" t="s">
        <v>912</v>
      </c>
      <c r="N14665" s="30" t="s">
        <v>913</v>
      </c>
      <c r="P14665" s="30" t="s">
        <v>19049</v>
      </c>
      <c r="Q14665" t="s">
        <v>622</v>
      </c>
      <c r="R14665" t="s">
        <v>920</v>
      </c>
      <c r="S14665">
        <v>39</v>
      </c>
      <c r="T14665" s="29" t="str">
        <f t="shared" si="612"/>
        <v>2023.035P.Tolecusatellitidae_rename.zip</v>
      </c>
      <c r="U14665" s="29" t="str">
        <f>HYPERLINK("https://ictv.global/taxonomy/taxondetails?taxnode_id=202305168","ictv.global=202305168")</f>
        <v>ictv.global=202305168</v>
      </c>
    </row>
    <row r="14666" spans="1:21">
      <c r="A14666">
        <v>14665</v>
      </c>
      <c r="L14666" s="30" t="s">
        <v>912</v>
      </c>
      <c r="N14666" s="30" t="s">
        <v>913</v>
      </c>
      <c r="P14666" s="30" t="s">
        <v>19050</v>
      </c>
      <c r="Q14666" t="s">
        <v>622</v>
      </c>
      <c r="R14666" t="s">
        <v>920</v>
      </c>
      <c r="S14666">
        <v>39</v>
      </c>
      <c r="T14666" s="29" t="str">
        <f t="shared" si="612"/>
        <v>2023.035P.Tolecusatellitidae_rename.zip</v>
      </c>
      <c r="U14666" s="29" t="str">
        <f>HYPERLINK("https://ictv.global/taxonomy/taxondetails?taxnode_id=202305169","ictv.global=202305169")</f>
        <v>ictv.global=202305169</v>
      </c>
    </row>
    <row r="14667" spans="1:21">
      <c r="A14667">
        <v>14666</v>
      </c>
      <c r="L14667" s="30" t="s">
        <v>912</v>
      </c>
      <c r="N14667" s="30" t="s">
        <v>913</v>
      </c>
      <c r="P14667" s="30" t="s">
        <v>19051</v>
      </c>
      <c r="Q14667" t="s">
        <v>739</v>
      </c>
      <c r="R14667" t="s">
        <v>920</v>
      </c>
      <c r="S14667">
        <v>39</v>
      </c>
      <c r="T14667" s="29" t="str">
        <f t="shared" si="612"/>
        <v>2023.035P.Tolecusatellitidae_rename.zip</v>
      </c>
      <c r="U14667" s="29" t="str">
        <f>HYPERLINK("https://ictv.global/taxonomy/taxondetails?taxnode_id=202309242","ictv.global=202309242")</f>
        <v>ictv.global=202309242</v>
      </c>
    </row>
    <row r="14668" spans="1:21">
      <c r="A14668">
        <v>14667</v>
      </c>
      <c r="L14668" s="30" t="s">
        <v>912</v>
      </c>
      <c r="N14668" s="30" t="s">
        <v>913</v>
      </c>
      <c r="P14668" s="30" t="s">
        <v>19052</v>
      </c>
      <c r="Q14668" t="s">
        <v>739</v>
      </c>
      <c r="R14668" t="s">
        <v>920</v>
      </c>
      <c r="S14668">
        <v>39</v>
      </c>
      <c r="T14668" s="29" t="str">
        <f t="shared" si="612"/>
        <v>2023.035P.Tolecusatellitidae_rename.zip</v>
      </c>
      <c r="U14668" s="29" t="str">
        <f>HYPERLINK("https://ictv.global/taxonomy/taxondetails?taxnode_id=202309243","ictv.global=202309243")</f>
        <v>ictv.global=202309243</v>
      </c>
    </row>
    <row r="14669" spans="1:21">
      <c r="A14669">
        <v>14668</v>
      </c>
      <c r="L14669" s="30" t="s">
        <v>912</v>
      </c>
      <c r="N14669" s="30" t="s">
        <v>913</v>
      </c>
      <c r="P14669" s="30" t="s">
        <v>19053</v>
      </c>
      <c r="Q14669" t="s">
        <v>739</v>
      </c>
      <c r="R14669" t="s">
        <v>920</v>
      </c>
      <c r="S14669">
        <v>39</v>
      </c>
      <c r="T14669" s="29" t="str">
        <f t="shared" si="612"/>
        <v>2023.035P.Tolecusatellitidae_rename.zip</v>
      </c>
      <c r="U14669" s="29" t="str">
        <f>HYPERLINK("https://ictv.global/taxonomy/taxondetails?taxnode_id=202309231","ictv.global=202309231")</f>
        <v>ictv.global=202309231</v>
      </c>
    </row>
    <row r="14670" spans="1:21">
      <c r="A14670">
        <v>14669</v>
      </c>
      <c r="L14670" s="30" t="s">
        <v>912</v>
      </c>
      <c r="N14670" s="30" t="s">
        <v>913</v>
      </c>
      <c r="P14670" s="30" t="s">
        <v>19054</v>
      </c>
      <c r="Q14670" t="s">
        <v>622</v>
      </c>
      <c r="R14670" t="s">
        <v>920</v>
      </c>
      <c r="S14670">
        <v>39</v>
      </c>
      <c r="T14670" s="29" t="str">
        <f t="shared" si="612"/>
        <v>2023.035P.Tolecusatellitidae_rename.zip</v>
      </c>
      <c r="U14670" s="29" t="str">
        <f>HYPERLINK("https://ictv.global/taxonomy/taxondetails?taxnode_id=202305170","ictv.global=202305170")</f>
        <v>ictv.global=202305170</v>
      </c>
    </row>
    <row r="14671" spans="1:21">
      <c r="A14671">
        <v>14670</v>
      </c>
      <c r="L14671" s="30" t="s">
        <v>912</v>
      </c>
      <c r="N14671" s="30" t="s">
        <v>913</v>
      </c>
      <c r="P14671" s="30" t="s">
        <v>19055</v>
      </c>
      <c r="Q14671" t="s">
        <v>739</v>
      </c>
      <c r="R14671" t="s">
        <v>920</v>
      </c>
      <c r="S14671">
        <v>39</v>
      </c>
      <c r="T14671" s="29" t="str">
        <f t="shared" si="612"/>
        <v>2023.035P.Tolecusatellitidae_rename.zip</v>
      </c>
      <c r="U14671" s="29" t="str">
        <f>HYPERLINK("https://ictv.global/taxonomy/taxondetails?taxnode_id=202309244","ictv.global=202309244")</f>
        <v>ictv.global=202309244</v>
      </c>
    </row>
    <row r="14672" spans="1:21">
      <c r="A14672">
        <v>14671</v>
      </c>
      <c r="L14672" s="30" t="s">
        <v>912</v>
      </c>
      <c r="N14672" s="30" t="s">
        <v>913</v>
      </c>
      <c r="P14672" s="30" t="s">
        <v>19056</v>
      </c>
      <c r="Q14672" t="s">
        <v>622</v>
      </c>
      <c r="R14672" t="s">
        <v>920</v>
      </c>
      <c r="S14672">
        <v>39</v>
      </c>
      <c r="T14672" s="29" t="str">
        <f t="shared" si="612"/>
        <v>2023.035P.Tolecusatellitidae_rename.zip</v>
      </c>
      <c r="U14672" s="29" t="str">
        <f>HYPERLINK("https://ictv.global/taxonomy/taxondetails?taxnode_id=202305171","ictv.global=202305171")</f>
        <v>ictv.global=202305171</v>
      </c>
    </row>
    <row r="14673" spans="1:21">
      <c r="A14673">
        <v>14672</v>
      </c>
      <c r="L14673" s="30" t="s">
        <v>912</v>
      </c>
      <c r="N14673" s="30" t="s">
        <v>913</v>
      </c>
      <c r="P14673" s="30" t="s">
        <v>19057</v>
      </c>
      <c r="Q14673" t="s">
        <v>739</v>
      </c>
      <c r="R14673" t="s">
        <v>920</v>
      </c>
      <c r="S14673">
        <v>39</v>
      </c>
      <c r="T14673" s="29" t="str">
        <f t="shared" si="612"/>
        <v>2023.035P.Tolecusatellitidae_rename.zip</v>
      </c>
      <c r="U14673" s="29" t="str">
        <f>HYPERLINK("https://ictv.global/taxonomy/taxondetails?taxnode_id=202309246","ictv.global=202309246")</f>
        <v>ictv.global=202309246</v>
      </c>
    </row>
    <row r="14674" spans="1:21">
      <c r="A14674">
        <v>14673</v>
      </c>
      <c r="L14674" s="30" t="s">
        <v>912</v>
      </c>
      <c r="N14674" s="30" t="s">
        <v>913</v>
      </c>
      <c r="P14674" s="30" t="s">
        <v>19058</v>
      </c>
      <c r="Q14674" t="s">
        <v>622</v>
      </c>
      <c r="R14674" t="s">
        <v>920</v>
      </c>
      <c r="S14674">
        <v>39</v>
      </c>
      <c r="T14674" s="29" t="str">
        <f t="shared" si="612"/>
        <v>2023.035P.Tolecusatellitidae_rename.zip</v>
      </c>
      <c r="U14674" s="29" t="str">
        <f>HYPERLINK("https://ictv.global/taxonomy/taxondetails?taxnode_id=202305178","ictv.global=202305178")</f>
        <v>ictv.global=202305178</v>
      </c>
    </row>
    <row r="14675" spans="1:21">
      <c r="A14675">
        <v>14674</v>
      </c>
      <c r="L14675" s="30" t="s">
        <v>912</v>
      </c>
      <c r="N14675" s="30" t="s">
        <v>913</v>
      </c>
      <c r="P14675" s="30" t="s">
        <v>19059</v>
      </c>
      <c r="Q14675" t="s">
        <v>622</v>
      </c>
      <c r="R14675" t="s">
        <v>920</v>
      </c>
      <c r="S14675">
        <v>39</v>
      </c>
      <c r="T14675" s="29" t="str">
        <f t="shared" si="612"/>
        <v>2023.035P.Tolecusatellitidae_rename.zip</v>
      </c>
      <c r="U14675" s="29" t="str">
        <f>HYPERLINK("https://ictv.global/taxonomy/taxondetails?taxnode_id=202305179","ictv.global=202305179")</f>
        <v>ictv.global=202305179</v>
      </c>
    </row>
    <row r="14676" spans="1:21">
      <c r="A14676">
        <v>14675</v>
      </c>
      <c r="L14676" s="30" t="s">
        <v>912</v>
      </c>
      <c r="N14676" s="30" t="s">
        <v>913</v>
      </c>
      <c r="P14676" s="30" t="s">
        <v>19060</v>
      </c>
      <c r="Q14676" t="s">
        <v>622</v>
      </c>
      <c r="R14676" t="s">
        <v>920</v>
      </c>
      <c r="S14676">
        <v>39</v>
      </c>
      <c r="T14676" s="29" t="str">
        <f t="shared" si="612"/>
        <v>2023.035P.Tolecusatellitidae_rename.zip</v>
      </c>
      <c r="U14676" s="29" t="str">
        <f>HYPERLINK("https://ictv.global/taxonomy/taxondetails?taxnode_id=202305145","ictv.global=202305145")</f>
        <v>ictv.global=202305145</v>
      </c>
    </row>
    <row r="14677" spans="1:21">
      <c r="A14677">
        <v>14676</v>
      </c>
      <c r="L14677" s="30" t="s">
        <v>912</v>
      </c>
      <c r="N14677" s="30" t="s">
        <v>913</v>
      </c>
      <c r="P14677" s="30" t="s">
        <v>19061</v>
      </c>
      <c r="Q14677" t="s">
        <v>739</v>
      </c>
      <c r="R14677" t="s">
        <v>920</v>
      </c>
      <c r="S14677">
        <v>39</v>
      </c>
      <c r="T14677" s="29" t="str">
        <f t="shared" si="612"/>
        <v>2023.035P.Tolecusatellitidae_rename.zip</v>
      </c>
      <c r="U14677" s="29" t="str">
        <f>HYPERLINK("https://ictv.global/taxonomy/taxondetails?taxnode_id=202309247","ictv.global=202309247")</f>
        <v>ictv.global=202309247</v>
      </c>
    </row>
    <row r="14678" spans="1:21">
      <c r="A14678">
        <v>14677</v>
      </c>
      <c r="L14678" s="30" t="s">
        <v>912</v>
      </c>
      <c r="N14678" s="30" t="s">
        <v>914</v>
      </c>
      <c r="P14678" s="30" t="s">
        <v>19062</v>
      </c>
      <c r="Q14678" t="s">
        <v>622</v>
      </c>
      <c r="R14678" t="s">
        <v>920</v>
      </c>
      <c r="S14678">
        <v>39</v>
      </c>
      <c r="T14678" s="29" t="str">
        <f t="shared" si="612"/>
        <v>2023.035P.Tolecusatellitidae_rename.zip</v>
      </c>
      <c r="U14678" s="29" t="str">
        <f>HYPERLINK("https://ictv.global/taxonomy/taxondetails?taxnode_id=202305181","ictv.global=202305181")</f>
        <v>ictv.global=202305181</v>
      </c>
    </row>
    <row r="14679" spans="1:21">
      <c r="A14679">
        <v>14678</v>
      </c>
      <c r="L14679" s="30" t="s">
        <v>912</v>
      </c>
      <c r="N14679" s="30" t="s">
        <v>914</v>
      </c>
      <c r="P14679" s="30" t="s">
        <v>19063</v>
      </c>
      <c r="Q14679" t="s">
        <v>739</v>
      </c>
      <c r="R14679" t="s">
        <v>920</v>
      </c>
      <c r="S14679">
        <v>39</v>
      </c>
      <c r="T14679" s="29" t="str">
        <f t="shared" si="612"/>
        <v>2023.035P.Tolecusatellitidae_rename.zip</v>
      </c>
      <c r="U14679" s="29" t="str">
        <f>HYPERLINK("https://ictv.global/taxonomy/taxondetails?taxnode_id=202309156","ictv.global=202309156")</f>
        <v>ictv.global=202309156</v>
      </c>
    </row>
    <row r="14680" spans="1:21">
      <c r="A14680">
        <v>14679</v>
      </c>
      <c r="L14680" s="30" t="s">
        <v>912</v>
      </c>
      <c r="N14680" s="30" t="s">
        <v>914</v>
      </c>
      <c r="P14680" s="30" t="s">
        <v>19064</v>
      </c>
      <c r="Q14680" t="s">
        <v>622</v>
      </c>
      <c r="R14680" t="s">
        <v>920</v>
      </c>
      <c r="S14680">
        <v>39</v>
      </c>
      <c r="T14680" s="29" t="str">
        <f t="shared" si="612"/>
        <v>2023.035P.Tolecusatellitidae_rename.zip</v>
      </c>
      <c r="U14680" s="29" t="str">
        <f>HYPERLINK("https://ictv.global/taxonomy/taxondetails?taxnode_id=202305186","ictv.global=202305186")</f>
        <v>ictv.global=202305186</v>
      </c>
    </row>
    <row r="14681" spans="1:21">
      <c r="A14681">
        <v>14680</v>
      </c>
      <c r="L14681" s="30" t="s">
        <v>912</v>
      </c>
      <c r="N14681" s="30" t="s">
        <v>914</v>
      </c>
      <c r="P14681" s="30" t="s">
        <v>19065</v>
      </c>
      <c r="Q14681" t="s">
        <v>622</v>
      </c>
      <c r="R14681" t="s">
        <v>920</v>
      </c>
      <c r="S14681">
        <v>39</v>
      </c>
      <c r="T14681" s="29" t="str">
        <f t="shared" si="612"/>
        <v>2023.035P.Tolecusatellitidae_rename.zip</v>
      </c>
      <c r="U14681" s="29" t="str">
        <f>HYPERLINK("https://ictv.global/taxonomy/taxondetails?taxnode_id=202305187","ictv.global=202305187")</f>
        <v>ictv.global=202305187</v>
      </c>
    </row>
    <row r="14682" spans="1:21">
      <c r="A14682">
        <v>14681</v>
      </c>
      <c r="L14682" s="30" t="s">
        <v>912</v>
      </c>
      <c r="N14682" s="30" t="s">
        <v>914</v>
      </c>
      <c r="P14682" s="30" t="s">
        <v>19066</v>
      </c>
      <c r="Q14682" t="s">
        <v>622</v>
      </c>
      <c r="R14682" t="s">
        <v>920</v>
      </c>
      <c r="S14682">
        <v>39</v>
      </c>
      <c r="T14682" s="29" t="str">
        <f t="shared" si="612"/>
        <v>2023.035P.Tolecusatellitidae_rename.zip</v>
      </c>
      <c r="U14682" s="29" t="str">
        <f>HYPERLINK("https://ictv.global/taxonomy/taxondetails?taxnode_id=202305188","ictv.global=202305188")</f>
        <v>ictv.global=202305188</v>
      </c>
    </row>
    <row r="14683" spans="1:21">
      <c r="A14683">
        <v>14682</v>
      </c>
      <c r="L14683" s="30" t="s">
        <v>912</v>
      </c>
      <c r="N14683" s="30" t="s">
        <v>914</v>
      </c>
      <c r="P14683" s="30" t="s">
        <v>19067</v>
      </c>
      <c r="Q14683" t="s">
        <v>622</v>
      </c>
      <c r="R14683" t="s">
        <v>920</v>
      </c>
      <c r="S14683">
        <v>39</v>
      </c>
      <c r="T14683" s="29" t="str">
        <f t="shared" si="612"/>
        <v>2023.035P.Tolecusatellitidae_rename.zip</v>
      </c>
      <c r="U14683" s="29" t="str">
        <f>HYPERLINK("https://ictv.global/taxonomy/taxondetails?taxnode_id=202305182","ictv.global=202305182")</f>
        <v>ictv.global=202305182</v>
      </c>
    </row>
    <row r="14684" spans="1:21">
      <c r="A14684">
        <v>14683</v>
      </c>
      <c r="L14684" s="30" t="s">
        <v>912</v>
      </c>
      <c r="N14684" s="30" t="s">
        <v>914</v>
      </c>
      <c r="P14684" s="30" t="s">
        <v>19068</v>
      </c>
      <c r="Q14684" t="s">
        <v>622</v>
      </c>
      <c r="R14684" t="s">
        <v>920</v>
      </c>
      <c r="S14684">
        <v>39</v>
      </c>
      <c r="T14684" s="29" t="str">
        <f t="shared" si="612"/>
        <v>2023.035P.Tolecusatellitidae_rename.zip</v>
      </c>
      <c r="U14684" s="29" t="str">
        <f>HYPERLINK("https://ictv.global/taxonomy/taxondetails?taxnode_id=202305183","ictv.global=202305183")</f>
        <v>ictv.global=202305183</v>
      </c>
    </row>
    <row r="14685" spans="1:21">
      <c r="A14685">
        <v>14684</v>
      </c>
      <c r="L14685" s="30" t="s">
        <v>912</v>
      </c>
      <c r="N14685" s="30" t="s">
        <v>914</v>
      </c>
      <c r="P14685" s="30" t="s">
        <v>19069</v>
      </c>
      <c r="Q14685" t="s">
        <v>622</v>
      </c>
      <c r="R14685" t="s">
        <v>920</v>
      </c>
      <c r="S14685">
        <v>39</v>
      </c>
      <c r="T14685" s="29" t="str">
        <f t="shared" si="612"/>
        <v>2023.035P.Tolecusatellitidae_rename.zip</v>
      </c>
      <c r="U14685" s="29" t="str">
        <f>HYPERLINK("https://ictv.global/taxonomy/taxondetails?taxnode_id=202305184","ictv.global=202305184")</f>
        <v>ictv.global=202305184</v>
      </c>
    </row>
    <row r="14686" spans="1:21">
      <c r="A14686">
        <v>14685</v>
      </c>
      <c r="L14686" s="30" t="s">
        <v>912</v>
      </c>
      <c r="N14686" s="30" t="s">
        <v>914</v>
      </c>
      <c r="P14686" s="30" t="s">
        <v>19070</v>
      </c>
      <c r="Q14686" t="s">
        <v>622</v>
      </c>
      <c r="R14686" t="s">
        <v>920</v>
      </c>
      <c r="S14686">
        <v>39</v>
      </c>
      <c r="T14686" s="29" t="str">
        <f t="shared" si="612"/>
        <v>2023.035P.Tolecusatellitidae_rename.zip</v>
      </c>
      <c r="U14686" s="29" t="str">
        <f>HYPERLINK("https://ictv.global/taxonomy/taxondetails?taxnode_id=202305185","ictv.global=202305185")</f>
        <v>ictv.global=202305185</v>
      </c>
    </row>
    <row r="14687" spans="1:21">
      <c r="A14687">
        <v>14686</v>
      </c>
      <c r="L14687" s="30" t="s">
        <v>912</v>
      </c>
      <c r="N14687" s="30" t="s">
        <v>914</v>
      </c>
      <c r="P14687" s="30" t="s">
        <v>19071</v>
      </c>
      <c r="Q14687" t="s">
        <v>622</v>
      </c>
      <c r="R14687" t="s">
        <v>920</v>
      </c>
      <c r="S14687">
        <v>39</v>
      </c>
      <c r="T14687" s="29" t="str">
        <f t="shared" si="612"/>
        <v>2023.035P.Tolecusatellitidae_rename.zip</v>
      </c>
      <c r="U14687" s="29" t="str">
        <f>HYPERLINK("https://ictv.global/taxonomy/taxondetails?taxnode_id=202305189","ictv.global=202305189")</f>
        <v>ictv.global=202305189</v>
      </c>
    </row>
    <row r="14688" spans="1:21">
      <c r="A14688">
        <v>14687</v>
      </c>
      <c r="L14688" s="30" t="s">
        <v>912</v>
      </c>
      <c r="N14688" s="30" t="s">
        <v>914</v>
      </c>
      <c r="P14688" s="30" t="s">
        <v>19072</v>
      </c>
      <c r="Q14688" t="s">
        <v>622</v>
      </c>
      <c r="R14688" t="s">
        <v>920</v>
      </c>
      <c r="S14688">
        <v>39</v>
      </c>
      <c r="T14688" s="29" t="str">
        <f t="shared" si="612"/>
        <v>2023.035P.Tolecusatellitidae_rename.zip</v>
      </c>
      <c r="U14688" s="29" t="str">
        <f>HYPERLINK("https://ictv.global/taxonomy/taxondetails?taxnode_id=202305190","ictv.global=202305190")</f>
        <v>ictv.global=202305190</v>
      </c>
    </row>
    <row r="14689" spans="1:21">
      <c r="A14689">
        <v>14688</v>
      </c>
      <c r="L14689" s="30" t="s">
        <v>912</v>
      </c>
      <c r="N14689" s="30" t="s">
        <v>914</v>
      </c>
      <c r="P14689" s="30" t="s">
        <v>19073</v>
      </c>
      <c r="Q14689" t="s">
        <v>622</v>
      </c>
      <c r="R14689" t="s">
        <v>920</v>
      </c>
      <c r="S14689">
        <v>39</v>
      </c>
      <c r="T14689" s="29" t="str">
        <f t="shared" si="612"/>
        <v>2023.035P.Tolecusatellitidae_rename.zip</v>
      </c>
      <c r="U14689" s="29" t="str">
        <f>HYPERLINK("https://ictv.global/taxonomy/taxondetails?taxnode_id=202305191","ictv.global=202305191")</f>
        <v>ictv.global=202305191</v>
      </c>
    </row>
    <row r="14690" spans="1:21">
      <c r="A14690">
        <v>14689</v>
      </c>
      <c r="N14690" s="30" t="s">
        <v>116</v>
      </c>
      <c r="P14690" s="30" t="s">
        <v>117</v>
      </c>
      <c r="Q14690" t="s">
        <v>619</v>
      </c>
      <c r="R14690" t="s">
        <v>3894</v>
      </c>
      <c r="S14690">
        <v>36</v>
      </c>
      <c r="T14690" s="29" t="str">
        <f>HYPERLINK("https://ictv.global/ictv/proposals/2020.001G.R.Abolish_type_species.pdf","2020.001G.R.Abolish_type_species.pdf")</f>
        <v>2020.001G.R.Abolish_type_species.pdf</v>
      </c>
      <c r="U14690" s="29" t="str">
        <f>HYPERLINK("https://ictv.global/taxonomy/taxondetails?taxnode_id=202305350","ictv.global=202305350")</f>
        <v>ictv.global=202305350</v>
      </c>
    </row>
    <row r="14691" spans="1:21">
      <c r="A14691">
        <v>14690</v>
      </c>
      <c r="N14691" s="30" t="s">
        <v>150</v>
      </c>
      <c r="P14691" s="30" t="s">
        <v>151</v>
      </c>
      <c r="Q14691" t="s">
        <v>619</v>
      </c>
      <c r="R14691" t="s">
        <v>3894</v>
      </c>
      <c r="S14691">
        <v>36</v>
      </c>
      <c r="T14691" s="29" t="str">
        <f>HYPERLINK("https://ictv.global/ictv/proposals/2020.001G.R.Abolish_type_species.pdf","2020.001G.R.Abolish_type_species.pdf")</f>
        <v>2020.001G.R.Abolish_type_species.pdf</v>
      </c>
      <c r="U14691" s="29" t="str">
        <f>HYPERLINK("https://ictv.global/taxonomy/taxondetails?taxnode_id=202305364","ictv.global=202305364")</f>
        <v>ictv.global=202305364</v>
      </c>
    </row>
  </sheetData>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2E7E-4B90-CE41-B385-0A9384F9B613}">
  <dimension ref="A1:B23"/>
  <sheetViews>
    <sheetView showGridLines="0" zoomScaleNormal="100" workbookViewId="0">
      <pane ySplit="1" topLeftCell="A2" activePane="bottomLeft" state="frozen"/>
      <selection pane="bottomLeft"/>
    </sheetView>
  </sheetViews>
  <sheetFormatPr baseColWidth="10" defaultColWidth="10.83203125" defaultRowHeight="16"/>
  <cols>
    <col min="1" max="1" width="32.6640625" style="20" bestFit="1" customWidth="1"/>
    <col min="2" max="2" width="124" style="20" bestFit="1" customWidth="1"/>
    <col min="3" max="3" width="130.5" style="20" bestFit="1" customWidth="1"/>
    <col min="4" max="16384" width="10.83203125" style="20"/>
  </cols>
  <sheetData>
    <row r="1" spans="1:2" s="19" customFormat="1" ht="19">
      <c r="A1" s="35" t="s">
        <v>805</v>
      </c>
      <c r="B1" s="35" t="s">
        <v>806</v>
      </c>
    </row>
    <row r="2" spans="1:2" s="19" customFormat="1" ht="18">
      <c r="A2" s="21" t="s">
        <v>1586</v>
      </c>
      <c r="B2" s="18" t="s">
        <v>1225</v>
      </c>
    </row>
    <row r="3" spans="1:2" s="19" customFormat="1" ht="18">
      <c r="A3" s="21" t="s">
        <v>1030</v>
      </c>
      <c r="B3" s="22" t="s">
        <v>1222</v>
      </c>
    </row>
    <row r="4" spans="1:2" s="19" customFormat="1" ht="18">
      <c r="A4" s="21" t="s">
        <v>1031</v>
      </c>
      <c r="B4" s="18" t="s">
        <v>1210</v>
      </c>
    </row>
    <row r="5" spans="1:2" s="19" customFormat="1" ht="18">
      <c r="A5" s="21" t="s">
        <v>1032</v>
      </c>
      <c r="B5" s="18" t="s">
        <v>1211</v>
      </c>
    </row>
    <row r="6" spans="1:2" s="19" customFormat="1" ht="18">
      <c r="A6" s="21" t="s">
        <v>1033</v>
      </c>
      <c r="B6" s="18" t="s">
        <v>1212</v>
      </c>
    </row>
    <row r="7" spans="1:2" s="19" customFormat="1" ht="18">
      <c r="A7" s="21" t="s">
        <v>1034</v>
      </c>
      <c r="B7" s="18" t="s">
        <v>1213</v>
      </c>
    </row>
    <row r="8" spans="1:2" s="19" customFormat="1" ht="18">
      <c r="A8" s="21" t="s">
        <v>1035</v>
      </c>
      <c r="B8" s="18" t="s">
        <v>1214</v>
      </c>
    </row>
    <row r="9" spans="1:2" s="19" customFormat="1" ht="18">
      <c r="A9" s="21" t="s">
        <v>1036</v>
      </c>
      <c r="B9" s="18" t="s">
        <v>1215</v>
      </c>
    </row>
    <row r="10" spans="1:2" s="19" customFormat="1" ht="18">
      <c r="A10" s="21" t="s">
        <v>1037</v>
      </c>
      <c r="B10" s="18" t="s">
        <v>1216</v>
      </c>
    </row>
    <row r="11" spans="1:2" ht="17">
      <c r="A11" s="21" t="s">
        <v>269</v>
      </c>
      <c r="B11" s="18" t="s">
        <v>1217</v>
      </c>
    </row>
    <row r="12" spans="1:2" ht="17">
      <c r="A12" s="21" t="s">
        <v>1038</v>
      </c>
      <c r="B12" s="18" t="s">
        <v>1218</v>
      </c>
    </row>
    <row r="13" spans="1:2" ht="17">
      <c r="A13" s="21" t="s">
        <v>436</v>
      </c>
      <c r="B13" s="18" t="s">
        <v>1209</v>
      </c>
    </row>
    <row r="14" spans="1:2" ht="17">
      <c r="A14" s="21" t="s">
        <v>437</v>
      </c>
      <c r="B14" s="18" t="s">
        <v>1219</v>
      </c>
    </row>
    <row r="15" spans="1:2" ht="17">
      <c r="A15" s="21" t="s">
        <v>438</v>
      </c>
      <c r="B15" s="18" t="s">
        <v>1220</v>
      </c>
    </row>
    <row r="16" spans="1:2" ht="17">
      <c r="A16" s="21" t="s">
        <v>1039</v>
      </c>
      <c r="B16" s="18" t="s">
        <v>1221</v>
      </c>
    </row>
    <row r="17" spans="1:2" ht="34">
      <c r="A17" s="21" t="s">
        <v>439</v>
      </c>
      <c r="B17" s="18" t="s">
        <v>1223</v>
      </c>
    </row>
    <row r="18" spans="1:2" ht="221">
      <c r="A18" s="21" t="s">
        <v>625</v>
      </c>
      <c r="B18" s="18" t="s">
        <v>1224</v>
      </c>
    </row>
    <row r="19" spans="1:2" ht="170">
      <c r="A19" s="21" t="s">
        <v>627</v>
      </c>
      <c r="B19" s="18" t="s">
        <v>3898</v>
      </c>
    </row>
    <row r="20" spans="1:2" ht="404">
      <c r="A20" s="21" t="s">
        <v>3897</v>
      </c>
      <c r="B20" s="18" t="s">
        <v>3896</v>
      </c>
    </row>
    <row r="21" spans="1:2" ht="34">
      <c r="A21" s="21" t="s">
        <v>808</v>
      </c>
      <c r="B21" s="18" t="s">
        <v>11714</v>
      </c>
    </row>
    <row r="22" spans="1:2" ht="34">
      <c r="A22" s="21" t="s">
        <v>951</v>
      </c>
      <c r="B22" s="18" t="s">
        <v>11713</v>
      </c>
    </row>
    <row r="23" spans="1:2" ht="34">
      <c r="A23" s="21" t="s">
        <v>626</v>
      </c>
      <c r="B23" s="18" t="s">
        <v>807</v>
      </c>
    </row>
  </sheetData>
  <pageMargins left="0.7" right="0.7" top="0.75" bottom="0.75" header="0.5" footer="0.5"/>
  <pageSetup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E107-12A6-634D-BF7C-63CF135669C3}">
  <dimension ref="A1:D4498"/>
  <sheetViews>
    <sheetView workbookViewId="0">
      <pane ySplit="1" topLeftCell="A2" activePane="bottomLeft" state="frozen"/>
      <selection pane="bottomLeft"/>
    </sheetView>
  </sheetViews>
  <sheetFormatPr baseColWidth="10" defaultRowHeight="16"/>
  <cols>
    <col min="1" max="1" width="8.33203125" style="44" bestFit="1" customWidth="1"/>
    <col min="2" max="2" width="159.33203125" style="44" bestFit="1" customWidth="1"/>
    <col min="3" max="3" width="142.1640625" style="44" bestFit="1" customWidth="1"/>
    <col min="4" max="4" width="75.1640625" style="44" bestFit="1" customWidth="1"/>
    <col min="5" max="16384" width="10.83203125" style="44"/>
  </cols>
  <sheetData>
    <row r="1" spans="1:4" s="25" customFormat="1">
      <c r="A1" s="34" t="s">
        <v>11688</v>
      </c>
      <c r="B1" s="34" t="s">
        <v>11687</v>
      </c>
      <c r="C1" s="34" t="s">
        <v>11686</v>
      </c>
      <c r="D1" s="34" t="s">
        <v>11685</v>
      </c>
    </row>
    <row r="2" spans="1:4">
      <c r="A2" t="s">
        <v>20334</v>
      </c>
      <c r="B2" t="s">
        <v>22268</v>
      </c>
      <c r="C2" t="s">
        <v>22269</v>
      </c>
      <c r="D2" s="45" t="str">
        <f>HYPERLINK("https://ictv.global/ictv/proposals/2023.024M.Bunyaviricetes.zip","2023.024M.Bunyaviricetes.zip")</f>
        <v>2023.024M.Bunyaviricetes.zip</v>
      </c>
    </row>
    <row r="3" spans="1:4">
      <c r="A3" t="s">
        <v>19227</v>
      </c>
      <c r="B3" t="s">
        <v>22251</v>
      </c>
      <c r="C3" t="s">
        <v>22252</v>
      </c>
      <c r="D3" s="45" t="str">
        <f>HYPERLINK("https://ictv.global/ictv/proposals/2023.007P.Serpentovirales_1nord_rename.zip","2023.007P.Serpentovirales_1nord_rename.zip")</f>
        <v>2023.007P.Serpentovirales_1nord_rename.zip</v>
      </c>
    </row>
    <row r="4" spans="1:4">
      <c r="A4" t="s">
        <v>19227</v>
      </c>
      <c r="B4" t="s">
        <v>22270</v>
      </c>
      <c r="C4" t="s">
        <v>22271</v>
      </c>
      <c r="D4" s="45" t="str">
        <f>HYPERLINK("https://ictv.global/ictv/proposals/2023.024M.Bunyaviricetes.zip","2023.024M.Bunyaviricetes.zip")</f>
        <v>2023.024M.Bunyaviricetes.zip</v>
      </c>
    </row>
    <row r="5" spans="1:4">
      <c r="A5" t="s">
        <v>19227</v>
      </c>
      <c r="B5" t="s">
        <v>24083</v>
      </c>
      <c r="C5" t="s">
        <v>24084</v>
      </c>
      <c r="D5" s="45" t="str">
        <f>HYPERLINK("https://ictv.global/ictv/proposals/2023.009F.Virophages_reorg.zip","2023.009F.Virophages_reorg.zip")</f>
        <v>2023.009F.Virophages_reorg.zip</v>
      </c>
    </row>
    <row r="6" spans="1:4">
      <c r="A6" t="s">
        <v>11670</v>
      </c>
      <c r="B6" t="s">
        <v>20385</v>
      </c>
      <c r="C6" t="s">
        <v>20386</v>
      </c>
      <c r="D6" s="45" t="str">
        <f>HYPERLINK("https://ictv.global/ictv/proposals/2023.015F.Ghabrivirales_reorg.zip","2023.015F.Ghabrivirales_reorg.zip")</f>
        <v>2023.015F.Ghabrivirales_reorg.zip</v>
      </c>
    </row>
    <row r="7" spans="1:4">
      <c r="A7" t="s">
        <v>11670</v>
      </c>
      <c r="B7" t="s">
        <v>24269</v>
      </c>
      <c r="C7" t="s">
        <v>24270</v>
      </c>
      <c r="D7" s="45" t="str">
        <f>HYPERLINK("https://ictv.global/ictv/proposals/2023.047B.Matsushitaviridae_error_correction.zip","2023.047B.Matsushitaviridae_error_correction.zip")</f>
        <v>2023.047B.Matsushitaviridae_error_correction.zip</v>
      </c>
    </row>
    <row r="8" spans="1:4">
      <c r="A8" t="s">
        <v>19184</v>
      </c>
      <c r="B8" t="s">
        <v>19189</v>
      </c>
      <c r="C8" t="s">
        <v>19190</v>
      </c>
      <c r="D8" s="45" t="str">
        <f>HYPERLINK("https://ictv.global/ictv/proposals/2023.024B.Error_correction_JasinSkavirinae.zip","2023.024B.Error_correction_JasinSkavirinae.zip")</f>
        <v>2023.024B.Error_correction_JasinSkavirinae.zip</v>
      </c>
    </row>
    <row r="9" spans="1:4">
      <c r="A9" t="s">
        <v>11671</v>
      </c>
      <c r="B9" t="s">
        <v>24125</v>
      </c>
      <c r="C9" t="s">
        <v>24126</v>
      </c>
      <c r="D9" s="45" t="str">
        <f>HYPERLINK("https://ictv.global/ictv/proposals/2023.008D.Adenoviridae_1reng_22ns_86rensp.zip","2023.008D.Adenoviridae_1reng_22ns_86rensp.zip")</f>
        <v>2023.008D.Adenoviridae_1reng_22ns_86rensp.zip</v>
      </c>
    </row>
    <row r="10" spans="1:4">
      <c r="A10" t="s">
        <v>11672</v>
      </c>
      <c r="B10" t="s">
        <v>19076</v>
      </c>
      <c r="C10" t="s">
        <v>19077</v>
      </c>
      <c r="D10" s="45" t="str">
        <f t="shared" ref="D10:D41" si="0">HYPERLINK("https://ictv.global/ictv/proposals/2023.001A.Archaeal_binomials.zip","2023.001A.Archaeal_binomials.zip")</f>
        <v>2023.001A.Archaeal_binomials.zip</v>
      </c>
    </row>
    <row r="11" spans="1:4">
      <c r="A11" t="s">
        <v>11672</v>
      </c>
      <c r="B11" t="s">
        <v>19078</v>
      </c>
      <c r="C11" t="s">
        <v>19079</v>
      </c>
      <c r="D11" s="45" t="str">
        <f t="shared" si="0"/>
        <v>2023.001A.Archaeal_binomials.zip</v>
      </c>
    </row>
    <row r="12" spans="1:4">
      <c r="A12" t="s">
        <v>11672</v>
      </c>
      <c r="B12" t="s">
        <v>19080</v>
      </c>
      <c r="C12" t="s">
        <v>19081</v>
      </c>
      <c r="D12" s="45" t="str">
        <f t="shared" si="0"/>
        <v>2023.001A.Archaeal_binomials.zip</v>
      </c>
    </row>
    <row r="13" spans="1:4">
      <c r="A13" t="s">
        <v>11672</v>
      </c>
      <c r="B13" t="s">
        <v>19082</v>
      </c>
      <c r="C13" t="s">
        <v>19083</v>
      </c>
      <c r="D13" s="45" t="str">
        <f t="shared" si="0"/>
        <v>2023.001A.Archaeal_binomials.zip</v>
      </c>
    </row>
    <row r="14" spans="1:4">
      <c r="A14" t="s">
        <v>11672</v>
      </c>
      <c r="B14" t="s">
        <v>19084</v>
      </c>
      <c r="C14" t="s">
        <v>19085</v>
      </c>
      <c r="D14" s="45" t="str">
        <f t="shared" si="0"/>
        <v>2023.001A.Archaeal_binomials.zip</v>
      </c>
    </row>
    <row r="15" spans="1:4">
      <c r="A15" t="s">
        <v>11672</v>
      </c>
      <c r="B15" t="s">
        <v>19086</v>
      </c>
      <c r="C15" t="s">
        <v>19087</v>
      </c>
      <c r="D15" s="45" t="str">
        <f t="shared" si="0"/>
        <v>2023.001A.Archaeal_binomials.zip</v>
      </c>
    </row>
    <row r="16" spans="1:4">
      <c r="A16" t="s">
        <v>11672</v>
      </c>
      <c r="B16" t="s">
        <v>19088</v>
      </c>
      <c r="C16" t="s">
        <v>19089</v>
      </c>
      <c r="D16" s="45" t="str">
        <f t="shared" si="0"/>
        <v>2023.001A.Archaeal_binomials.zip</v>
      </c>
    </row>
    <row r="17" spans="1:4">
      <c r="A17" t="s">
        <v>11672</v>
      </c>
      <c r="B17" t="s">
        <v>19090</v>
      </c>
      <c r="C17" t="s">
        <v>19091</v>
      </c>
      <c r="D17" s="45" t="str">
        <f t="shared" si="0"/>
        <v>2023.001A.Archaeal_binomials.zip</v>
      </c>
    </row>
    <row r="18" spans="1:4">
      <c r="A18" t="s">
        <v>11672</v>
      </c>
      <c r="B18" t="s">
        <v>19092</v>
      </c>
      <c r="C18" t="s">
        <v>19093</v>
      </c>
      <c r="D18" s="45" t="str">
        <f t="shared" si="0"/>
        <v>2023.001A.Archaeal_binomials.zip</v>
      </c>
    </row>
    <row r="19" spans="1:4">
      <c r="A19" t="s">
        <v>11672</v>
      </c>
      <c r="B19" t="s">
        <v>19094</v>
      </c>
      <c r="C19" t="s">
        <v>19095</v>
      </c>
      <c r="D19" s="45" t="str">
        <f t="shared" si="0"/>
        <v>2023.001A.Archaeal_binomials.zip</v>
      </c>
    </row>
    <row r="20" spans="1:4">
      <c r="A20" t="s">
        <v>11672</v>
      </c>
      <c r="B20" t="s">
        <v>19096</v>
      </c>
      <c r="C20" t="s">
        <v>19097</v>
      </c>
      <c r="D20" s="45" t="str">
        <f t="shared" si="0"/>
        <v>2023.001A.Archaeal_binomials.zip</v>
      </c>
    </row>
    <row r="21" spans="1:4">
      <c r="A21" t="s">
        <v>11672</v>
      </c>
      <c r="B21" t="s">
        <v>19098</v>
      </c>
      <c r="C21" t="s">
        <v>19099</v>
      </c>
      <c r="D21" s="45" t="str">
        <f t="shared" si="0"/>
        <v>2023.001A.Archaeal_binomials.zip</v>
      </c>
    </row>
    <row r="22" spans="1:4">
      <c r="A22" t="s">
        <v>11672</v>
      </c>
      <c r="B22" t="s">
        <v>19100</v>
      </c>
      <c r="C22" t="s">
        <v>19101</v>
      </c>
      <c r="D22" s="45" t="str">
        <f t="shared" si="0"/>
        <v>2023.001A.Archaeal_binomials.zip</v>
      </c>
    </row>
    <row r="23" spans="1:4">
      <c r="A23" t="s">
        <v>11672</v>
      </c>
      <c r="B23" t="s">
        <v>19102</v>
      </c>
      <c r="C23" t="s">
        <v>19103</v>
      </c>
      <c r="D23" s="45" t="str">
        <f t="shared" si="0"/>
        <v>2023.001A.Archaeal_binomials.zip</v>
      </c>
    </row>
    <row r="24" spans="1:4">
      <c r="A24" t="s">
        <v>11672</v>
      </c>
      <c r="B24" t="s">
        <v>19104</v>
      </c>
      <c r="C24" t="s">
        <v>19105</v>
      </c>
      <c r="D24" s="45" t="str">
        <f t="shared" si="0"/>
        <v>2023.001A.Archaeal_binomials.zip</v>
      </c>
    </row>
    <row r="25" spans="1:4">
      <c r="A25" t="s">
        <v>11672</v>
      </c>
      <c r="B25" t="s">
        <v>19106</v>
      </c>
      <c r="C25" t="s">
        <v>19107</v>
      </c>
      <c r="D25" s="45" t="str">
        <f t="shared" si="0"/>
        <v>2023.001A.Archaeal_binomials.zip</v>
      </c>
    </row>
    <row r="26" spans="1:4">
      <c r="A26" t="s">
        <v>11672</v>
      </c>
      <c r="B26" t="s">
        <v>19108</v>
      </c>
      <c r="C26" t="s">
        <v>19109</v>
      </c>
      <c r="D26" s="45" t="str">
        <f t="shared" si="0"/>
        <v>2023.001A.Archaeal_binomials.zip</v>
      </c>
    </row>
    <row r="27" spans="1:4">
      <c r="A27" t="s">
        <v>11672</v>
      </c>
      <c r="B27" t="s">
        <v>19110</v>
      </c>
      <c r="C27" t="s">
        <v>19111</v>
      </c>
      <c r="D27" s="45" t="str">
        <f t="shared" si="0"/>
        <v>2023.001A.Archaeal_binomials.zip</v>
      </c>
    </row>
    <row r="28" spans="1:4">
      <c r="A28" t="s">
        <v>11672</v>
      </c>
      <c r="B28" t="s">
        <v>19112</v>
      </c>
      <c r="C28" t="s">
        <v>19113</v>
      </c>
      <c r="D28" s="45" t="str">
        <f t="shared" si="0"/>
        <v>2023.001A.Archaeal_binomials.zip</v>
      </c>
    </row>
    <row r="29" spans="1:4">
      <c r="A29" t="s">
        <v>11672</v>
      </c>
      <c r="B29" t="s">
        <v>19114</v>
      </c>
      <c r="C29" t="s">
        <v>19115</v>
      </c>
      <c r="D29" s="45" t="str">
        <f t="shared" si="0"/>
        <v>2023.001A.Archaeal_binomials.zip</v>
      </c>
    </row>
    <row r="30" spans="1:4">
      <c r="A30" t="s">
        <v>11672</v>
      </c>
      <c r="B30" t="s">
        <v>19116</v>
      </c>
      <c r="C30" t="s">
        <v>19117</v>
      </c>
      <c r="D30" s="45" t="str">
        <f t="shared" si="0"/>
        <v>2023.001A.Archaeal_binomials.zip</v>
      </c>
    </row>
    <row r="31" spans="1:4">
      <c r="A31" t="s">
        <v>11672</v>
      </c>
      <c r="B31" t="s">
        <v>19118</v>
      </c>
      <c r="C31" t="s">
        <v>19119</v>
      </c>
      <c r="D31" s="45" t="str">
        <f t="shared" si="0"/>
        <v>2023.001A.Archaeal_binomials.zip</v>
      </c>
    </row>
    <row r="32" spans="1:4">
      <c r="A32" t="s">
        <v>11672</v>
      </c>
      <c r="B32" t="s">
        <v>19120</v>
      </c>
      <c r="C32" t="s">
        <v>19121</v>
      </c>
      <c r="D32" s="45" t="str">
        <f t="shared" si="0"/>
        <v>2023.001A.Archaeal_binomials.zip</v>
      </c>
    </row>
    <row r="33" spans="1:4">
      <c r="A33" t="s">
        <v>11672</v>
      </c>
      <c r="B33" t="s">
        <v>19122</v>
      </c>
      <c r="C33" t="s">
        <v>19123</v>
      </c>
      <c r="D33" s="45" t="str">
        <f t="shared" si="0"/>
        <v>2023.001A.Archaeal_binomials.zip</v>
      </c>
    </row>
    <row r="34" spans="1:4">
      <c r="A34" t="s">
        <v>11672</v>
      </c>
      <c r="B34" t="s">
        <v>19124</v>
      </c>
      <c r="C34" t="s">
        <v>19125</v>
      </c>
      <c r="D34" s="45" t="str">
        <f t="shared" si="0"/>
        <v>2023.001A.Archaeal_binomials.zip</v>
      </c>
    </row>
    <row r="35" spans="1:4">
      <c r="A35" t="s">
        <v>11672</v>
      </c>
      <c r="B35" t="s">
        <v>19126</v>
      </c>
      <c r="C35" t="s">
        <v>19127</v>
      </c>
      <c r="D35" s="45" t="str">
        <f t="shared" si="0"/>
        <v>2023.001A.Archaeal_binomials.zip</v>
      </c>
    </row>
    <row r="36" spans="1:4">
      <c r="A36" t="s">
        <v>11672</v>
      </c>
      <c r="B36" t="s">
        <v>19128</v>
      </c>
      <c r="C36" t="s">
        <v>19129</v>
      </c>
      <c r="D36" s="45" t="str">
        <f t="shared" si="0"/>
        <v>2023.001A.Archaeal_binomials.zip</v>
      </c>
    </row>
    <row r="37" spans="1:4">
      <c r="A37" t="s">
        <v>11672</v>
      </c>
      <c r="B37" t="s">
        <v>19130</v>
      </c>
      <c r="C37" t="s">
        <v>19131</v>
      </c>
      <c r="D37" s="45" t="str">
        <f t="shared" si="0"/>
        <v>2023.001A.Archaeal_binomials.zip</v>
      </c>
    </row>
    <row r="38" spans="1:4">
      <c r="A38" t="s">
        <v>11672</v>
      </c>
      <c r="B38" t="s">
        <v>19132</v>
      </c>
      <c r="C38" t="s">
        <v>19133</v>
      </c>
      <c r="D38" s="45" t="str">
        <f t="shared" si="0"/>
        <v>2023.001A.Archaeal_binomials.zip</v>
      </c>
    </row>
    <row r="39" spans="1:4">
      <c r="A39" t="s">
        <v>11672</v>
      </c>
      <c r="B39" t="s">
        <v>19134</v>
      </c>
      <c r="C39" t="s">
        <v>19135</v>
      </c>
      <c r="D39" s="45" t="str">
        <f t="shared" si="0"/>
        <v>2023.001A.Archaeal_binomials.zip</v>
      </c>
    </row>
    <row r="40" spans="1:4">
      <c r="A40" t="s">
        <v>11672</v>
      </c>
      <c r="B40" t="s">
        <v>19136</v>
      </c>
      <c r="C40" t="s">
        <v>19137</v>
      </c>
      <c r="D40" s="45" t="str">
        <f t="shared" si="0"/>
        <v>2023.001A.Archaeal_binomials.zip</v>
      </c>
    </row>
    <row r="41" spans="1:4">
      <c r="A41" t="s">
        <v>11672</v>
      </c>
      <c r="B41" t="s">
        <v>19138</v>
      </c>
      <c r="C41" t="s">
        <v>19139</v>
      </c>
      <c r="D41" s="45" t="str">
        <f t="shared" si="0"/>
        <v>2023.001A.Archaeal_binomials.zip</v>
      </c>
    </row>
    <row r="42" spans="1:4">
      <c r="A42" t="s">
        <v>11672</v>
      </c>
      <c r="B42" t="s">
        <v>19140</v>
      </c>
      <c r="C42" t="s">
        <v>19141</v>
      </c>
      <c r="D42" s="45" t="str">
        <f t="shared" ref="D42:D63" si="1">HYPERLINK("https://ictv.global/ictv/proposals/2023.001A.Archaeal_binomials.zip","2023.001A.Archaeal_binomials.zip")</f>
        <v>2023.001A.Archaeal_binomials.zip</v>
      </c>
    </row>
    <row r="43" spans="1:4">
      <c r="A43" t="s">
        <v>11672</v>
      </c>
      <c r="B43" t="s">
        <v>19142</v>
      </c>
      <c r="C43" t="s">
        <v>19143</v>
      </c>
      <c r="D43" s="45" t="str">
        <f t="shared" si="1"/>
        <v>2023.001A.Archaeal_binomials.zip</v>
      </c>
    </row>
    <row r="44" spans="1:4">
      <c r="A44" t="s">
        <v>11672</v>
      </c>
      <c r="B44" t="s">
        <v>19144</v>
      </c>
      <c r="C44" t="s">
        <v>19145</v>
      </c>
      <c r="D44" s="45" t="str">
        <f t="shared" si="1"/>
        <v>2023.001A.Archaeal_binomials.zip</v>
      </c>
    </row>
    <row r="45" spans="1:4">
      <c r="A45" t="s">
        <v>11672</v>
      </c>
      <c r="B45" t="s">
        <v>19146</v>
      </c>
      <c r="C45" t="s">
        <v>19147</v>
      </c>
      <c r="D45" s="45" t="str">
        <f t="shared" si="1"/>
        <v>2023.001A.Archaeal_binomials.zip</v>
      </c>
    </row>
    <row r="46" spans="1:4">
      <c r="A46" t="s">
        <v>11672</v>
      </c>
      <c r="B46" t="s">
        <v>19148</v>
      </c>
      <c r="C46" t="s">
        <v>19149</v>
      </c>
      <c r="D46" s="45" t="str">
        <f t="shared" si="1"/>
        <v>2023.001A.Archaeal_binomials.zip</v>
      </c>
    </row>
    <row r="47" spans="1:4">
      <c r="A47" t="s">
        <v>11672</v>
      </c>
      <c r="B47" t="s">
        <v>19150</v>
      </c>
      <c r="C47" t="s">
        <v>19151</v>
      </c>
      <c r="D47" s="45" t="str">
        <f t="shared" si="1"/>
        <v>2023.001A.Archaeal_binomials.zip</v>
      </c>
    </row>
    <row r="48" spans="1:4">
      <c r="A48" t="s">
        <v>11672</v>
      </c>
      <c r="B48" t="s">
        <v>19152</v>
      </c>
      <c r="C48" t="s">
        <v>19153</v>
      </c>
      <c r="D48" s="45" t="str">
        <f t="shared" si="1"/>
        <v>2023.001A.Archaeal_binomials.zip</v>
      </c>
    </row>
    <row r="49" spans="1:4">
      <c r="A49" t="s">
        <v>11672</v>
      </c>
      <c r="B49" t="s">
        <v>19154</v>
      </c>
      <c r="C49" t="s">
        <v>19155</v>
      </c>
      <c r="D49" s="45" t="str">
        <f t="shared" si="1"/>
        <v>2023.001A.Archaeal_binomials.zip</v>
      </c>
    </row>
    <row r="50" spans="1:4">
      <c r="A50" t="s">
        <v>11672</v>
      </c>
      <c r="B50" t="s">
        <v>19156</v>
      </c>
      <c r="C50" t="s">
        <v>19157</v>
      </c>
      <c r="D50" s="45" t="str">
        <f t="shared" si="1"/>
        <v>2023.001A.Archaeal_binomials.zip</v>
      </c>
    </row>
    <row r="51" spans="1:4">
      <c r="A51" t="s">
        <v>11672</v>
      </c>
      <c r="B51" t="s">
        <v>19158</v>
      </c>
      <c r="C51" t="s">
        <v>19159</v>
      </c>
      <c r="D51" s="45" t="str">
        <f t="shared" si="1"/>
        <v>2023.001A.Archaeal_binomials.zip</v>
      </c>
    </row>
    <row r="52" spans="1:4">
      <c r="A52" t="s">
        <v>11672</v>
      </c>
      <c r="B52" t="s">
        <v>19160</v>
      </c>
      <c r="C52" t="s">
        <v>19161</v>
      </c>
      <c r="D52" s="45" t="str">
        <f t="shared" si="1"/>
        <v>2023.001A.Archaeal_binomials.zip</v>
      </c>
    </row>
    <row r="53" spans="1:4">
      <c r="A53" t="s">
        <v>11672</v>
      </c>
      <c r="B53" t="s">
        <v>19162</v>
      </c>
      <c r="C53" t="s">
        <v>19163</v>
      </c>
      <c r="D53" s="45" t="str">
        <f t="shared" si="1"/>
        <v>2023.001A.Archaeal_binomials.zip</v>
      </c>
    </row>
    <row r="54" spans="1:4">
      <c r="A54" t="s">
        <v>11672</v>
      </c>
      <c r="B54" t="s">
        <v>19164</v>
      </c>
      <c r="C54" t="s">
        <v>19165</v>
      </c>
      <c r="D54" s="45" t="str">
        <f t="shared" si="1"/>
        <v>2023.001A.Archaeal_binomials.zip</v>
      </c>
    </row>
    <row r="55" spans="1:4">
      <c r="A55" t="s">
        <v>11672</v>
      </c>
      <c r="B55" t="s">
        <v>19166</v>
      </c>
      <c r="C55" t="s">
        <v>19167</v>
      </c>
      <c r="D55" s="45" t="str">
        <f t="shared" si="1"/>
        <v>2023.001A.Archaeal_binomials.zip</v>
      </c>
    </row>
    <row r="56" spans="1:4">
      <c r="A56" t="s">
        <v>11672</v>
      </c>
      <c r="B56" t="s">
        <v>19168</v>
      </c>
      <c r="C56" t="s">
        <v>19169</v>
      </c>
      <c r="D56" s="45" t="str">
        <f t="shared" si="1"/>
        <v>2023.001A.Archaeal_binomials.zip</v>
      </c>
    </row>
    <row r="57" spans="1:4">
      <c r="A57" t="s">
        <v>11672</v>
      </c>
      <c r="B57" t="s">
        <v>19170</v>
      </c>
      <c r="C57" t="s">
        <v>19171</v>
      </c>
      <c r="D57" s="45" t="str">
        <f t="shared" si="1"/>
        <v>2023.001A.Archaeal_binomials.zip</v>
      </c>
    </row>
    <row r="58" spans="1:4">
      <c r="A58" t="s">
        <v>11672</v>
      </c>
      <c r="B58" t="s">
        <v>19172</v>
      </c>
      <c r="C58" t="s">
        <v>19173</v>
      </c>
      <c r="D58" s="45" t="str">
        <f t="shared" si="1"/>
        <v>2023.001A.Archaeal_binomials.zip</v>
      </c>
    </row>
    <row r="59" spans="1:4">
      <c r="A59" t="s">
        <v>11672</v>
      </c>
      <c r="B59" t="s">
        <v>19174</v>
      </c>
      <c r="C59" t="s">
        <v>19175</v>
      </c>
      <c r="D59" s="45" t="str">
        <f t="shared" si="1"/>
        <v>2023.001A.Archaeal_binomials.zip</v>
      </c>
    </row>
    <row r="60" spans="1:4">
      <c r="A60" t="s">
        <v>11672</v>
      </c>
      <c r="B60" t="s">
        <v>19176</v>
      </c>
      <c r="C60" t="s">
        <v>19177</v>
      </c>
      <c r="D60" s="45" t="str">
        <f t="shared" si="1"/>
        <v>2023.001A.Archaeal_binomials.zip</v>
      </c>
    </row>
    <row r="61" spans="1:4">
      <c r="A61" t="s">
        <v>11672</v>
      </c>
      <c r="B61" t="s">
        <v>19178</v>
      </c>
      <c r="C61" t="s">
        <v>19179</v>
      </c>
      <c r="D61" s="45" t="str">
        <f t="shared" si="1"/>
        <v>2023.001A.Archaeal_binomials.zip</v>
      </c>
    </row>
    <row r="62" spans="1:4">
      <c r="A62" t="s">
        <v>11672</v>
      </c>
      <c r="B62" t="s">
        <v>19180</v>
      </c>
      <c r="C62" t="s">
        <v>19181</v>
      </c>
      <c r="D62" s="45" t="str">
        <f t="shared" si="1"/>
        <v>2023.001A.Archaeal_binomials.zip</v>
      </c>
    </row>
    <row r="63" spans="1:4">
      <c r="A63" t="s">
        <v>11672</v>
      </c>
      <c r="B63" t="s">
        <v>19182</v>
      </c>
      <c r="C63" t="s">
        <v>19183</v>
      </c>
      <c r="D63" s="45" t="str">
        <f t="shared" si="1"/>
        <v>2023.001A.Archaeal_binomials.zip</v>
      </c>
    </row>
    <row r="64" spans="1:4">
      <c r="A64" t="s">
        <v>11672</v>
      </c>
      <c r="B64" t="s">
        <v>19185</v>
      </c>
      <c r="C64" t="s">
        <v>19186</v>
      </c>
      <c r="D64" s="45" t="str">
        <f>HYPERLINK("https://ictv.global/ictv/proposals/2023.011B.Braunvirinae_3ng.zip","2023.011B.Braunvirinae_3ng.zip")</f>
        <v>2023.011B.Braunvirinae_3ng.zip</v>
      </c>
    </row>
    <row r="65" spans="1:4">
      <c r="A65" t="s">
        <v>11672</v>
      </c>
      <c r="B65" t="s">
        <v>19187</v>
      </c>
      <c r="C65" t="s">
        <v>19188</v>
      </c>
      <c r="D65" s="45" t="str">
        <f>HYPERLINK("https://ictv.global/ictv/proposals/2023.065B.Tempevirinae_4ng_33ns.zip","2023.065B.Tempevirinae_4ng_33ns.zip")</f>
        <v>2023.065B.Tempevirinae_4ng_33ns.zip</v>
      </c>
    </row>
    <row r="66" spans="1:4">
      <c r="A66" t="s">
        <v>11672</v>
      </c>
      <c r="B66" t="s">
        <v>19191</v>
      </c>
      <c r="C66" t="s">
        <v>19192</v>
      </c>
      <c r="D66" s="45" t="str">
        <f>HYPERLINK("https://ictv.global/ictv/proposals/2023.001A.Archaeal_binomials.zip","2023.001A.Archaeal_binomials.zip")</f>
        <v>2023.001A.Archaeal_binomials.zip</v>
      </c>
    </row>
    <row r="67" spans="1:4">
      <c r="A67" t="s">
        <v>11672</v>
      </c>
      <c r="B67" t="s">
        <v>19193</v>
      </c>
      <c r="C67" t="s">
        <v>19194</v>
      </c>
      <c r="D67" s="45" t="str">
        <f>HYPERLINK("https://ictv.global/ictv/proposals/2023.010B.Bradleyvirinae_5ng.zip","2023.010B.Bradleyvirinae_5ng.zip")</f>
        <v>2023.010B.Bradleyvirinae_5ng.zip</v>
      </c>
    </row>
    <row r="68" spans="1:4">
      <c r="A68" t="s">
        <v>11672</v>
      </c>
      <c r="B68" t="s">
        <v>19195</v>
      </c>
      <c r="C68" t="s">
        <v>19196</v>
      </c>
      <c r="D68" s="45" t="str">
        <f>HYPERLINK("https://ictv.global/ictv/proposals/2023.051B.Peduoviridae_reorg.zip","2023.051B.Peduoviridae_reorg.zip")</f>
        <v>2023.051B.Peduoviridae_reorg.zip</v>
      </c>
    </row>
    <row r="69" spans="1:4">
      <c r="A69" t="s">
        <v>11672</v>
      </c>
      <c r="B69" t="s">
        <v>19197</v>
      </c>
      <c r="C69" t="s">
        <v>19198</v>
      </c>
      <c r="D69" s="45" t="str">
        <f>HYPERLINK("https://ictv.global/ictv/proposals/2023.051B.Peduoviridae_reorg.zip","2023.051B.Peduoviridae_reorg.zip")</f>
        <v>2023.051B.Peduoviridae_reorg.zip</v>
      </c>
    </row>
    <row r="70" spans="1:4">
      <c r="A70" t="s">
        <v>11672</v>
      </c>
      <c r="B70" t="s">
        <v>19199</v>
      </c>
      <c r="C70" t="s">
        <v>19200</v>
      </c>
      <c r="D70" s="45" t="str">
        <f>HYPERLINK("https://ictv.global/ictv/proposals/2023.051B.Peduoviridae_reorg.zip","2023.051B.Peduoviridae_reorg.zip")</f>
        <v>2023.051B.Peduoviridae_reorg.zip</v>
      </c>
    </row>
    <row r="71" spans="1:4">
      <c r="A71" t="s">
        <v>11672</v>
      </c>
      <c r="B71" t="s">
        <v>19201</v>
      </c>
      <c r="C71" t="s">
        <v>19202</v>
      </c>
      <c r="D71" s="45" t="str">
        <f t="shared" ref="D71:D76" si="2">HYPERLINK("https://ictv.global/ictv/proposals/2023.001A.Archaeal_binomials.zip","2023.001A.Archaeal_binomials.zip")</f>
        <v>2023.001A.Archaeal_binomials.zip</v>
      </c>
    </row>
    <row r="72" spans="1:4">
      <c r="A72" t="s">
        <v>11672</v>
      </c>
      <c r="B72" t="s">
        <v>19203</v>
      </c>
      <c r="C72" t="s">
        <v>19204</v>
      </c>
      <c r="D72" s="45" t="str">
        <f t="shared" si="2"/>
        <v>2023.001A.Archaeal_binomials.zip</v>
      </c>
    </row>
    <row r="73" spans="1:4">
      <c r="A73" t="s">
        <v>11672</v>
      </c>
      <c r="B73" t="s">
        <v>19205</v>
      </c>
      <c r="C73" t="s">
        <v>19206</v>
      </c>
      <c r="D73" s="45" t="str">
        <f t="shared" si="2"/>
        <v>2023.001A.Archaeal_binomials.zip</v>
      </c>
    </row>
    <row r="74" spans="1:4">
      <c r="A74" t="s">
        <v>11672</v>
      </c>
      <c r="B74" t="s">
        <v>19207</v>
      </c>
      <c r="C74" t="s">
        <v>19208</v>
      </c>
      <c r="D74" s="45" t="str">
        <f t="shared" si="2"/>
        <v>2023.001A.Archaeal_binomials.zip</v>
      </c>
    </row>
    <row r="75" spans="1:4">
      <c r="A75" t="s">
        <v>11672</v>
      </c>
      <c r="B75" t="s">
        <v>19209</v>
      </c>
      <c r="C75" t="s">
        <v>19210</v>
      </c>
      <c r="D75" s="45" t="str">
        <f t="shared" si="2"/>
        <v>2023.001A.Archaeal_binomials.zip</v>
      </c>
    </row>
    <row r="76" spans="1:4">
      <c r="A76" t="s">
        <v>11672</v>
      </c>
      <c r="B76" t="s">
        <v>19211</v>
      </c>
      <c r="C76" t="s">
        <v>19212</v>
      </c>
      <c r="D76" s="45" t="str">
        <f t="shared" si="2"/>
        <v>2023.001A.Archaeal_binomials.zip</v>
      </c>
    </row>
    <row r="77" spans="1:4">
      <c r="A77" t="s">
        <v>11672</v>
      </c>
      <c r="B77" t="s">
        <v>19213</v>
      </c>
      <c r="C77" t="s">
        <v>19214</v>
      </c>
      <c r="D77" s="45" t="str">
        <f>HYPERLINK("https://ictv.global/ictv/proposals/2023.027B.Gorskivirinae_nsf.zip","2023.027B.Gorskivirinae_nsf.zip")</f>
        <v>2023.027B.Gorskivirinae_nsf.zip</v>
      </c>
    </row>
    <row r="78" spans="1:4">
      <c r="A78" t="s">
        <v>11672</v>
      </c>
      <c r="B78" t="s">
        <v>19215</v>
      </c>
      <c r="C78" t="s">
        <v>19216</v>
      </c>
      <c r="D78" s="45" t="str">
        <f>HYPERLINK("https://ictv.global/ictv/proposals/2023.029B.Guarnerosvirinae_nsf.zip","2023.029B.Guarnerosvirinae_nsf.zip")</f>
        <v>2023.029B.Guarnerosvirinae_nsf.zip</v>
      </c>
    </row>
    <row r="79" spans="1:4">
      <c r="A79" t="s">
        <v>11672</v>
      </c>
      <c r="B79" t="s">
        <v>19217</v>
      </c>
      <c r="C79" t="s">
        <v>19218</v>
      </c>
      <c r="D79" s="45" t="str">
        <f>HYPERLINK("https://ictv.global/ictv/proposals/2023.029B.Guarnerosvirinae_nsf.zip","2023.029B.Guarnerosvirinae_nsf.zip")</f>
        <v>2023.029B.Guarnerosvirinae_nsf.zip</v>
      </c>
    </row>
    <row r="80" spans="1:4">
      <c r="A80" t="s">
        <v>11672</v>
      </c>
      <c r="B80" t="s">
        <v>19219</v>
      </c>
      <c r="C80" t="s">
        <v>19220</v>
      </c>
      <c r="D80" s="45" t="str">
        <f>HYPERLINK("https://ictv.global/ictv/proposals/2023.029B.Guarnerosvirinae_nsf.zip","2023.029B.Guarnerosvirinae_nsf.zip")</f>
        <v>2023.029B.Guarnerosvirinae_nsf.zip</v>
      </c>
    </row>
    <row r="81" spans="1:4">
      <c r="A81" t="s">
        <v>11672</v>
      </c>
      <c r="B81" t="s">
        <v>19221</v>
      </c>
      <c r="C81" t="s">
        <v>19222</v>
      </c>
      <c r="D81" s="45" t="str">
        <f>HYPERLINK("https://ictv.global/ictv/proposals/2023.036B.Jameshumphriesvirinae_8ng.zip","2023.036B.Jameshumphriesvirinae_8ng.zip")</f>
        <v>2023.036B.Jameshumphriesvirinae_8ng.zip</v>
      </c>
    </row>
    <row r="82" spans="1:4">
      <c r="A82" t="s">
        <v>11672</v>
      </c>
      <c r="B82" t="s">
        <v>19223</v>
      </c>
      <c r="C82" t="s">
        <v>19224</v>
      </c>
      <c r="D82" s="45" t="str">
        <f>HYPERLINK("https://ictv.global/ictv/proposals/2023.036B.Jameshumphriesvirinae_8ng.zip","2023.036B.Jameshumphriesvirinae_8ng.zip")</f>
        <v>2023.036B.Jameshumphriesvirinae_8ng.zip</v>
      </c>
    </row>
    <row r="83" spans="1:4">
      <c r="A83" t="s">
        <v>11672</v>
      </c>
      <c r="B83" t="s">
        <v>19225</v>
      </c>
      <c r="C83" t="s">
        <v>19226</v>
      </c>
      <c r="D83" s="45" t="str">
        <f>HYPERLINK("https://ictv.global/ictv/proposals/2023.043B.Kutznervirinae_nsf.zip","2023.043B.Kutznervirinae_nsf.zip")</f>
        <v>2023.043B.Kutznervirinae_nsf.zip</v>
      </c>
    </row>
    <row r="84" spans="1:4">
      <c r="A84" t="s">
        <v>11672</v>
      </c>
      <c r="B84" t="s">
        <v>19228</v>
      </c>
      <c r="C84" t="s">
        <v>19229</v>
      </c>
      <c r="D84" s="45" t="str">
        <f>HYPERLINK("https://ictv.global/ictv/proposals/2023.003P.Metaxyviridae_rename_1sp.zip","2023.003P.Metaxyviridae_rename_1sp.zip")</f>
        <v>2023.003P.Metaxyviridae_rename_1sp.zip</v>
      </c>
    </row>
    <row r="85" spans="1:4">
      <c r="A85" t="s">
        <v>11672</v>
      </c>
      <c r="B85" t="s">
        <v>19230</v>
      </c>
      <c r="C85" t="s">
        <v>19231</v>
      </c>
      <c r="D85" s="45" t="str">
        <f t="shared" ref="D85:D98" si="3">HYPERLINK("https://ictv.global/ictv/proposals/2023.024P.Nanoviridae_rename_sp.zip","2023.024P.Nanoviridae_rename_sp.zip")</f>
        <v>2023.024P.Nanoviridae_rename_sp.zip</v>
      </c>
    </row>
    <row r="86" spans="1:4">
      <c r="A86" t="s">
        <v>11672</v>
      </c>
      <c r="B86" t="s">
        <v>19232</v>
      </c>
      <c r="C86" t="s">
        <v>19233</v>
      </c>
      <c r="D86" s="45" t="str">
        <f t="shared" si="3"/>
        <v>2023.024P.Nanoviridae_rename_sp.zip</v>
      </c>
    </row>
    <row r="87" spans="1:4">
      <c r="A87" t="s">
        <v>11672</v>
      </c>
      <c r="B87" t="s">
        <v>19234</v>
      </c>
      <c r="C87" t="s">
        <v>19235</v>
      </c>
      <c r="D87" s="45" t="str">
        <f t="shared" si="3"/>
        <v>2023.024P.Nanoviridae_rename_sp.zip</v>
      </c>
    </row>
    <row r="88" spans="1:4">
      <c r="A88" t="s">
        <v>11672</v>
      </c>
      <c r="B88" t="s">
        <v>19236</v>
      </c>
      <c r="C88" t="s">
        <v>19237</v>
      </c>
      <c r="D88" s="45" t="str">
        <f t="shared" si="3"/>
        <v>2023.024P.Nanoviridae_rename_sp.zip</v>
      </c>
    </row>
    <row r="89" spans="1:4">
      <c r="A89" t="s">
        <v>11672</v>
      </c>
      <c r="B89" t="s">
        <v>19238</v>
      </c>
      <c r="C89" t="s">
        <v>19239</v>
      </c>
      <c r="D89" s="45" t="str">
        <f t="shared" si="3"/>
        <v>2023.024P.Nanoviridae_rename_sp.zip</v>
      </c>
    </row>
    <row r="90" spans="1:4">
      <c r="A90" t="s">
        <v>11672</v>
      </c>
      <c r="B90" t="s">
        <v>19240</v>
      </c>
      <c r="C90" t="s">
        <v>19241</v>
      </c>
      <c r="D90" s="45" t="str">
        <f t="shared" si="3"/>
        <v>2023.024P.Nanoviridae_rename_sp.zip</v>
      </c>
    </row>
    <row r="91" spans="1:4">
      <c r="A91" t="s">
        <v>11672</v>
      </c>
      <c r="B91" t="s">
        <v>19242</v>
      </c>
      <c r="C91" t="s">
        <v>19243</v>
      </c>
      <c r="D91" s="45" t="str">
        <f t="shared" si="3"/>
        <v>2023.024P.Nanoviridae_rename_sp.zip</v>
      </c>
    </row>
    <row r="92" spans="1:4">
      <c r="A92" t="s">
        <v>11672</v>
      </c>
      <c r="B92" t="s">
        <v>19244</v>
      </c>
      <c r="C92" t="s">
        <v>19245</v>
      </c>
      <c r="D92" s="45" t="str">
        <f t="shared" si="3"/>
        <v>2023.024P.Nanoviridae_rename_sp.zip</v>
      </c>
    </row>
    <row r="93" spans="1:4">
      <c r="A93" t="s">
        <v>11672</v>
      </c>
      <c r="B93" t="s">
        <v>19246</v>
      </c>
      <c r="C93" t="s">
        <v>19247</v>
      </c>
      <c r="D93" s="45" t="str">
        <f t="shared" si="3"/>
        <v>2023.024P.Nanoviridae_rename_sp.zip</v>
      </c>
    </row>
    <row r="94" spans="1:4">
      <c r="A94" t="s">
        <v>11672</v>
      </c>
      <c r="B94" t="s">
        <v>19248</v>
      </c>
      <c r="C94" t="s">
        <v>19249</v>
      </c>
      <c r="D94" s="45" t="str">
        <f t="shared" si="3"/>
        <v>2023.024P.Nanoviridae_rename_sp.zip</v>
      </c>
    </row>
    <row r="95" spans="1:4">
      <c r="A95" t="s">
        <v>11672</v>
      </c>
      <c r="B95" t="s">
        <v>19250</v>
      </c>
      <c r="C95" t="s">
        <v>19251</v>
      </c>
      <c r="D95" s="45" t="str">
        <f t="shared" si="3"/>
        <v>2023.024P.Nanoviridae_rename_sp.zip</v>
      </c>
    </row>
    <row r="96" spans="1:4">
      <c r="A96" t="s">
        <v>11672</v>
      </c>
      <c r="B96" t="s">
        <v>19252</v>
      </c>
      <c r="C96" t="s">
        <v>19253</v>
      </c>
      <c r="D96" s="45" t="str">
        <f t="shared" si="3"/>
        <v>2023.024P.Nanoviridae_rename_sp.zip</v>
      </c>
    </row>
    <row r="97" spans="1:4">
      <c r="A97" t="s">
        <v>11672</v>
      </c>
      <c r="B97" t="s">
        <v>19254</v>
      </c>
      <c r="C97" t="s">
        <v>19255</v>
      </c>
      <c r="D97" s="45" t="str">
        <f t="shared" si="3"/>
        <v>2023.024P.Nanoviridae_rename_sp.zip</v>
      </c>
    </row>
    <row r="98" spans="1:4">
      <c r="A98" t="s">
        <v>11672</v>
      </c>
      <c r="B98" t="s">
        <v>19256</v>
      </c>
      <c r="C98" t="s">
        <v>19257</v>
      </c>
      <c r="D98" s="45" t="str">
        <f t="shared" si="3"/>
        <v>2023.024P.Nanoviridae_rename_sp.zip</v>
      </c>
    </row>
    <row r="99" spans="1:4">
      <c r="A99" t="s">
        <v>11672</v>
      </c>
      <c r="B99" t="s">
        <v>19258</v>
      </c>
      <c r="C99" t="s">
        <v>19259</v>
      </c>
      <c r="D99" s="45" t="str">
        <f>HYPERLINK("https://ictv.global/ictv/proposals/2023.006D.Redondoviride_2ren.zip","2023.006D.Redondoviride_2ren.zip")</f>
        <v>2023.006D.Redondoviride_2ren.zip</v>
      </c>
    </row>
    <row r="100" spans="1:4">
      <c r="A100" t="s">
        <v>11672</v>
      </c>
      <c r="B100" t="s">
        <v>19260</v>
      </c>
      <c r="C100" t="s">
        <v>19261</v>
      </c>
      <c r="D100" s="45" t="str">
        <f>HYPERLINK("https://ictv.global/ictv/proposals/2023.006D.Redondoviride_2ren.zip","2023.006D.Redondoviride_2ren.zip")</f>
        <v>2023.006D.Redondoviride_2ren.zip</v>
      </c>
    </row>
    <row r="101" spans="1:4">
      <c r="A101" t="s">
        <v>11672</v>
      </c>
      <c r="B101" t="s">
        <v>19262</v>
      </c>
      <c r="C101" t="s">
        <v>19263</v>
      </c>
      <c r="D101" s="45" t="str">
        <f t="shared" ref="D101:D164" si="4">HYPERLINK("https://ictv.global/ictv/proposals/2023.015P.Geminiviridae_rename_sp.zip","2023.015P.Geminiviridae_rename_sp.zip")</f>
        <v>2023.015P.Geminiviridae_rename_sp.zip</v>
      </c>
    </row>
    <row r="102" spans="1:4">
      <c r="A102" t="s">
        <v>11672</v>
      </c>
      <c r="B102" t="s">
        <v>19264</v>
      </c>
      <c r="C102" t="s">
        <v>19265</v>
      </c>
      <c r="D102" s="45" t="str">
        <f t="shared" si="4"/>
        <v>2023.015P.Geminiviridae_rename_sp.zip</v>
      </c>
    </row>
    <row r="103" spans="1:4">
      <c r="A103" t="s">
        <v>11672</v>
      </c>
      <c r="B103" t="s">
        <v>19266</v>
      </c>
      <c r="C103" t="s">
        <v>19267</v>
      </c>
      <c r="D103" s="45" t="str">
        <f t="shared" si="4"/>
        <v>2023.015P.Geminiviridae_rename_sp.zip</v>
      </c>
    </row>
    <row r="104" spans="1:4">
      <c r="A104" t="s">
        <v>11672</v>
      </c>
      <c r="B104" t="s">
        <v>19268</v>
      </c>
      <c r="C104" t="s">
        <v>19269</v>
      </c>
      <c r="D104" s="45" t="str">
        <f t="shared" si="4"/>
        <v>2023.015P.Geminiviridae_rename_sp.zip</v>
      </c>
    </row>
    <row r="105" spans="1:4">
      <c r="A105" t="s">
        <v>11672</v>
      </c>
      <c r="B105" t="s">
        <v>19270</v>
      </c>
      <c r="C105" t="s">
        <v>19271</v>
      </c>
      <c r="D105" s="45" t="str">
        <f t="shared" si="4"/>
        <v>2023.015P.Geminiviridae_rename_sp.zip</v>
      </c>
    </row>
    <row r="106" spans="1:4">
      <c r="A106" t="s">
        <v>11672</v>
      </c>
      <c r="B106" t="s">
        <v>19272</v>
      </c>
      <c r="C106" t="s">
        <v>19273</v>
      </c>
      <c r="D106" s="45" t="str">
        <f t="shared" si="4"/>
        <v>2023.015P.Geminiviridae_rename_sp.zip</v>
      </c>
    </row>
    <row r="107" spans="1:4">
      <c r="A107" t="s">
        <v>11672</v>
      </c>
      <c r="B107" t="s">
        <v>19274</v>
      </c>
      <c r="C107" t="s">
        <v>19275</v>
      </c>
      <c r="D107" s="45" t="str">
        <f t="shared" si="4"/>
        <v>2023.015P.Geminiviridae_rename_sp.zip</v>
      </c>
    </row>
    <row r="108" spans="1:4">
      <c r="A108" t="s">
        <v>11672</v>
      </c>
      <c r="B108" t="s">
        <v>19276</v>
      </c>
      <c r="C108" t="s">
        <v>19277</v>
      </c>
      <c r="D108" s="45" t="str">
        <f t="shared" si="4"/>
        <v>2023.015P.Geminiviridae_rename_sp.zip</v>
      </c>
    </row>
    <row r="109" spans="1:4">
      <c r="A109" t="s">
        <v>11672</v>
      </c>
      <c r="B109" t="s">
        <v>19278</v>
      </c>
      <c r="C109" t="s">
        <v>19279</v>
      </c>
      <c r="D109" s="45" t="str">
        <f t="shared" si="4"/>
        <v>2023.015P.Geminiviridae_rename_sp.zip</v>
      </c>
    </row>
    <row r="110" spans="1:4">
      <c r="A110" t="s">
        <v>11672</v>
      </c>
      <c r="B110" t="s">
        <v>19280</v>
      </c>
      <c r="C110" t="s">
        <v>19281</v>
      </c>
      <c r="D110" s="45" t="str">
        <f t="shared" si="4"/>
        <v>2023.015P.Geminiviridae_rename_sp.zip</v>
      </c>
    </row>
    <row r="111" spans="1:4">
      <c r="A111" t="s">
        <v>11672</v>
      </c>
      <c r="B111" t="s">
        <v>19282</v>
      </c>
      <c r="C111" t="s">
        <v>19283</v>
      </c>
      <c r="D111" s="45" t="str">
        <f t="shared" si="4"/>
        <v>2023.015P.Geminiviridae_rename_sp.zip</v>
      </c>
    </row>
    <row r="112" spans="1:4">
      <c r="A112" t="s">
        <v>11672</v>
      </c>
      <c r="B112" t="s">
        <v>19284</v>
      </c>
      <c r="C112" t="s">
        <v>19285</v>
      </c>
      <c r="D112" s="45" t="str">
        <f t="shared" si="4"/>
        <v>2023.015P.Geminiviridae_rename_sp.zip</v>
      </c>
    </row>
    <row r="113" spans="1:4">
      <c r="A113" t="s">
        <v>11672</v>
      </c>
      <c r="B113" t="s">
        <v>19286</v>
      </c>
      <c r="C113" t="s">
        <v>19287</v>
      </c>
      <c r="D113" s="45" t="str">
        <f t="shared" si="4"/>
        <v>2023.015P.Geminiviridae_rename_sp.zip</v>
      </c>
    </row>
    <row r="114" spans="1:4">
      <c r="A114" t="s">
        <v>11672</v>
      </c>
      <c r="B114" t="s">
        <v>19288</v>
      </c>
      <c r="C114" t="s">
        <v>19289</v>
      </c>
      <c r="D114" s="45" t="str">
        <f t="shared" si="4"/>
        <v>2023.015P.Geminiviridae_rename_sp.zip</v>
      </c>
    </row>
    <row r="115" spans="1:4">
      <c r="A115" t="s">
        <v>11672</v>
      </c>
      <c r="B115" t="s">
        <v>19290</v>
      </c>
      <c r="C115" t="s">
        <v>19291</v>
      </c>
      <c r="D115" s="45" t="str">
        <f t="shared" si="4"/>
        <v>2023.015P.Geminiviridae_rename_sp.zip</v>
      </c>
    </row>
    <row r="116" spans="1:4">
      <c r="A116" t="s">
        <v>11672</v>
      </c>
      <c r="B116" t="s">
        <v>19292</v>
      </c>
      <c r="C116" t="s">
        <v>19293</v>
      </c>
      <c r="D116" s="45" t="str">
        <f t="shared" si="4"/>
        <v>2023.015P.Geminiviridae_rename_sp.zip</v>
      </c>
    </row>
    <row r="117" spans="1:4">
      <c r="A117" t="s">
        <v>11672</v>
      </c>
      <c r="B117" t="s">
        <v>19294</v>
      </c>
      <c r="C117" t="s">
        <v>19295</v>
      </c>
      <c r="D117" s="45" t="str">
        <f t="shared" si="4"/>
        <v>2023.015P.Geminiviridae_rename_sp.zip</v>
      </c>
    </row>
    <row r="118" spans="1:4">
      <c r="A118" t="s">
        <v>11672</v>
      </c>
      <c r="B118" t="s">
        <v>19296</v>
      </c>
      <c r="C118" t="s">
        <v>19297</v>
      </c>
      <c r="D118" s="45" t="str">
        <f t="shared" si="4"/>
        <v>2023.015P.Geminiviridae_rename_sp.zip</v>
      </c>
    </row>
    <row r="119" spans="1:4">
      <c r="A119" t="s">
        <v>11672</v>
      </c>
      <c r="B119" t="s">
        <v>19298</v>
      </c>
      <c r="C119" t="s">
        <v>19299</v>
      </c>
      <c r="D119" s="45" t="str">
        <f t="shared" si="4"/>
        <v>2023.015P.Geminiviridae_rename_sp.zip</v>
      </c>
    </row>
    <row r="120" spans="1:4">
      <c r="A120" t="s">
        <v>11672</v>
      </c>
      <c r="B120" t="s">
        <v>19300</v>
      </c>
      <c r="C120" t="s">
        <v>19301</v>
      </c>
      <c r="D120" s="45" t="str">
        <f t="shared" si="4"/>
        <v>2023.015P.Geminiviridae_rename_sp.zip</v>
      </c>
    </row>
    <row r="121" spans="1:4">
      <c r="A121" t="s">
        <v>11672</v>
      </c>
      <c r="B121" t="s">
        <v>19302</v>
      </c>
      <c r="C121" t="s">
        <v>19303</v>
      </c>
      <c r="D121" s="45" t="str">
        <f t="shared" si="4"/>
        <v>2023.015P.Geminiviridae_rename_sp.zip</v>
      </c>
    </row>
    <row r="122" spans="1:4">
      <c r="A122" t="s">
        <v>11672</v>
      </c>
      <c r="B122" t="s">
        <v>19304</v>
      </c>
      <c r="C122" t="s">
        <v>19305</v>
      </c>
      <c r="D122" s="45" t="str">
        <f t="shared" si="4"/>
        <v>2023.015P.Geminiviridae_rename_sp.zip</v>
      </c>
    </row>
    <row r="123" spans="1:4">
      <c r="A123" t="s">
        <v>11672</v>
      </c>
      <c r="B123" t="s">
        <v>19306</v>
      </c>
      <c r="C123" t="s">
        <v>19307</v>
      </c>
      <c r="D123" s="45" t="str">
        <f t="shared" si="4"/>
        <v>2023.015P.Geminiviridae_rename_sp.zip</v>
      </c>
    </row>
    <row r="124" spans="1:4">
      <c r="A124" t="s">
        <v>11672</v>
      </c>
      <c r="B124" t="s">
        <v>19308</v>
      </c>
      <c r="C124" t="s">
        <v>19309</v>
      </c>
      <c r="D124" s="45" t="str">
        <f t="shared" si="4"/>
        <v>2023.015P.Geminiviridae_rename_sp.zip</v>
      </c>
    </row>
    <row r="125" spans="1:4">
      <c r="A125" t="s">
        <v>11672</v>
      </c>
      <c r="B125" t="s">
        <v>19310</v>
      </c>
      <c r="C125" t="s">
        <v>19311</v>
      </c>
      <c r="D125" s="45" t="str">
        <f t="shared" si="4"/>
        <v>2023.015P.Geminiviridae_rename_sp.zip</v>
      </c>
    </row>
    <row r="126" spans="1:4">
      <c r="A126" t="s">
        <v>11672</v>
      </c>
      <c r="B126" t="s">
        <v>19312</v>
      </c>
      <c r="C126" t="s">
        <v>19313</v>
      </c>
      <c r="D126" s="45" t="str">
        <f t="shared" si="4"/>
        <v>2023.015P.Geminiviridae_rename_sp.zip</v>
      </c>
    </row>
    <row r="127" spans="1:4">
      <c r="A127" t="s">
        <v>11672</v>
      </c>
      <c r="B127" t="s">
        <v>19314</v>
      </c>
      <c r="C127" t="s">
        <v>19315</v>
      </c>
      <c r="D127" s="45" t="str">
        <f t="shared" si="4"/>
        <v>2023.015P.Geminiviridae_rename_sp.zip</v>
      </c>
    </row>
    <row r="128" spans="1:4">
      <c r="A128" t="s">
        <v>11672</v>
      </c>
      <c r="B128" t="s">
        <v>19316</v>
      </c>
      <c r="C128" t="s">
        <v>19317</v>
      </c>
      <c r="D128" s="45" t="str">
        <f t="shared" si="4"/>
        <v>2023.015P.Geminiviridae_rename_sp.zip</v>
      </c>
    </row>
    <row r="129" spans="1:4">
      <c r="A129" t="s">
        <v>11672</v>
      </c>
      <c r="B129" t="s">
        <v>19318</v>
      </c>
      <c r="C129" t="s">
        <v>19319</v>
      </c>
      <c r="D129" s="45" t="str">
        <f t="shared" si="4"/>
        <v>2023.015P.Geminiviridae_rename_sp.zip</v>
      </c>
    </row>
    <row r="130" spans="1:4">
      <c r="A130" t="s">
        <v>11672</v>
      </c>
      <c r="B130" t="s">
        <v>19320</v>
      </c>
      <c r="C130" t="s">
        <v>19321</v>
      </c>
      <c r="D130" s="45" t="str">
        <f t="shared" si="4"/>
        <v>2023.015P.Geminiviridae_rename_sp.zip</v>
      </c>
    </row>
    <row r="131" spans="1:4">
      <c r="A131" t="s">
        <v>11672</v>
      </c>
      <c r="B131" t="s">
        <v>19322</v>
      </c>
      <c r="C131" t="s">
        <v>19323</v>
      </c>
      <c r="D131" s="45" t="str">
        <f t="shared" si="4"/>
        <v>2023.015P.Geminiviridae_rename_sp.zip</v>
      </c>
    </row>
    <row r="132" spans="1:4">
      <c r="A132" t="s">
        <v>11672</v>
      </c>
      <c r="B132" t="s">
        <v>19324</v>
      </c>
      <c r="C132" t="s">
        <v>19325</v>
      </c>
      <c r="D132" s="45" t="str">
        <f t="shared" si="4"/>
        <v>2023.015P.Geminiviridae_rename_sp.zip</v>
      </c>
    </row>
    <row r="133" spans="1:4">
      <c r="A133" t="s">
        <v>11672</v>
      </c>
      <c r="B133" t="s">
        <v>19326</v>
      </c>
      <c r="C133" t="s">
        <v>19327</v>
      </c>
      <c r="D133" s="45" t="str">
        <f t="shared" si="4"/>
        <v>2023.015P.Geminiviridae_rename_sp.zip</v>
      </c>
    </row>
    <row r="134" spans="1:4">
      <c r="A134" t="s">
        <v>11672</v>
      </c>
      <c r="B134" t="s">
        <v>19328</v>
      </c>
      <c r="C134" t="s">
        <v>19329</v>
      </c>
      <c r="D134" s="45" t="str">
        <f t="shared" si="4"/>
        <v>2023.015P.Geminiviridae_rename_sp.zip</v>
      </c>
    </row>
    <row r="135" spans="1:4">
      <c r="A135" t="s">
        <v>11672</v>
      </c>
      <c r="B135" t="s">
        <v>19330</v>
      </c>
      <c r="C135" t="s">
        <v>19331</v>
      </c>
      <c r="D135" s="45" t="str">
        <f t="shared" si="4"/>
        <v>2023.015P.Geminiviridae_rename_sp.zip</v>
      </c>
    </row>
    <row r="136" spans="1:4">
      <c r="A136" t="s">
        <v>11672</v>
      </c>
      <c r="B136" t="s">
        <v>19332</v>
      </c>
      <c r="C136" t="s">
        <v>19333</v>
      </c>
      <c r="D136" s="45" t="str">
        <f t="shared" si="4"/>
        <v>2023.015P.Geminiviridae_rename_sp.zip</v>
      </c>
    </row>
    <row r="137" spans="1:4">
      <c r="A137" t="s">
        <v>11672</v>
      </c>
      <c r="B137" t="s">
        <v>19334</v>
      </c>
      <c r="C137" t="s">
        <v>19335</v>
      </c>
      <c r="D137" s="45" t="str">
        <f t="shared" si="4"/>
        <v>2023.015P.Geminiviridae_rename_sp.zip</v>
      </c>
    </row>
    <row r="138" spans="1:4">
      <c r="A138" t="s">
        <v>11672</v>
      </c>
      <c r="B138" t="s">
        <v>19336</v>
      </c>
      <c r="C138" t="s">
        <v>19337</v>
      </c>
      <c r="D138" s="45" t="str">
        <f t="shared" si="4"/>
        <v>2023.015P.Geminiviridae_rename_sp.zip</v>
      </c>
    </row>
    <row r="139" spans="1:4">
      <c r="A139" t="s">
        <v>11672</v>
      </c>
      <c r="B139" t="s">
        <v>19338</v>
      </c>
      <c r="C139" t="s">
        <v>19339</v>
      </c>
      <c r="D139" s="45" t="str">
        <f t="shared" si="4"/>
        <v>2023.015P.Geminiviridae_rename_sp.zip</v>
      </c>
    </row>
    <row r="140" spans="1:4">
      <c r="A140" t="s">
        <v>11672</v>
      </c>
      <c r="B140" t="s">
        <v>19340</v>
      </c>
      <c r="C140" t="s">
        <v>19341</v>
      </c>
      <c r="D140" s="45" t="str">
        <f t="shared" si="4"/>
        <v>2023.015P.Geminiviridae_rename_sp.zip</v>
      </c>
    </row>
    <row r="141" spans="1:4">
      <c r="A141" t="s">
        <v>11672</v>
      </c>
      <c r="B141" t="s">
        <v>19342</v>
      </c>
      <c r="C141" t="s">
        <v>19343</v>
      </c>
      <c r="D141" s="45" t="str">
        <f t="shared" si="4"/>
        <v>2023.015P.Geminiviridae_rename_sp.zip</v>
      </c>
    </row>
    <row r="142" spans="1:4">
      <c r="A142" t="s">
        <v>11672</v>
      </c>
      <c r="B142" t="s">
        <v>19344</v>
      </c>
      <c r="C142" t="s">
        <v>19345</v>
      </c>
      <c r="D142" s="45" t="str">
        <f t="shared" si="4"/>
        <v>2023.015P.Geminiviridae_rename_sp.zip</v>
      </c>
    </row>
    <row r="143" spans="1:4">
      <c r="A143" t="s">
        <v>11672</v>
      </c>
      <c r="B143" t="s">
        <v>19346</v>
      </c>
      <c r="C143" t="s">
        <v>19347</v>
      </c>
      <c r="D143" s="45" t="str">
        <f t="shared" si="4"/>
        <v>2023.015P.Geminiviridae_rename_sp.zip</v>
      </c>
    </row>
    <row r="144" spans="1:4">
      <c r="A144" t="s">
        <v>11672</v>
      </c>
      <c r="B144" t="s">
        <v>19348</v>
      </c>
      <c r="C144" t="s">
        <v>19349</v>
      </c>
      <c r="D144" s="45" t="str">
        <f t="shared" si="4"/>
        <v>2023.015P.Geminiviridae_rename_sp.zip</v>
      </c>
    </row>
    <row r="145" spans="1:4">
      <c r="A145" t="s">
        <v>11672</v>
      </c>
      <c r="B145" t="s">
        <v>19350</v>
      </c>
      <c r="C145" t="s">
        <v>19351</v>
      </c>
      <c r="D145" s="45" t="str">
        <f t="shared" si="4"/>
        <v>2023.015P.Geminiviridae_rename_sp.zip</v>
      </c>
    </row>
    <row r="146" spans="1:4">
      <c r="A146" t="s">
        <v>11672</v>
      </c>
      <c r="B146" t="s">
        <v>19352</v>
      </c>
      <c r="C146" t="s">
        <v>19353</v>
      </c>
      <c r="D146" s="45" t="str">
        <f t="shared" si="4"/>
        <v>2023.015P.Geminiviridae_rename_sp.zip</v>
      </c>
    </row>
    <row r="147" spans="1:4">
      <c r="A147" t="s">
        <v>11672</v>
      </c>
      <c r="B147" t="s">
        <v>19354</v>
      </c>
      <c r="C147" t="s">
        <v>19355</v>
      </c>
      <c r="D147" s="45" t="str">
        <f t="shared" si="4"/>
        <v>2023.015P.Geminiviridae_rename_sp.zip</v>
      </c>
    </row>
    <row r="148" spans="1:4">
      <c r="A148" t="s">
        <v>11672</v>
      </c>
      <c r="B148" t="s">
        <v>19356</v>
      </c>
      <c r="C148" t="s">
        <v>19357</v>
      </c>
      <c r="D148" s="45" t="str">
        <f t="shared" si="4"/>
        <v>2023.015P.Geminiviridae_rename_sp.zip</v>
      </c>
    </row>
    <row r="149" spans="1:4">
      <c r="A149" t="s">
        <v>11672</v>
      </c>
      <c r="B149" t="s">
        <v>19358</v>
      </c>
      <c r="C149" t="s">
        <v>19359</v>
      </c>
      <c r="D149" s="45" t="str">
        <f t="shared" si="4"/>
        <v>2023.015P.Geminiviridae_rename_sp.zip</v>
      </c>
    </row>
    <row r="150" spans="1:4">
      <c r="A150" t="s">
        <v>11672</v>
      </c>
      <c r="B150" t="s">
        <v>19360</v>
      </c>
      <c r="C150" t="s">
        <v>19361</v>
      </c>
      <c r="D150" s="45" t="str">
        <f t="shared" si="4"/>
        <v>2023.015P.Geminiviridae_rename_sp.zip</v>
      </c>
    </row>
    <row r="151" spans="1:4">
      <c r="A151" t="s">
        <v>11672</v>
      </c>
      <c r="B151" t="s">
        <v>19362</v>
      </c>
      <c r="C151" t="s">
        <v>19363</v>
      </c>
      <c r="D151" s="45" t="str">
        <f t="shared" si="4"/>
        <v>2023.015P.Geminiviridae_rename_sp.zip</v>
      </c>
    </row>
    <row r="152" spans="1:4">
      <c r="A152" t="s">
        <v>11672</v>
      </c>
      <c r="B152" t="s">
        <v>19364</v>
      </c>
      <c r="C152" t="s">
        <v>19365</v>
      </c>
      <c r="D152" s="45" t="str">
        <f t="shared" si="4"/>
        <v>2023.015P.Geminiviridae_rename_sp.zip</v>
      </c>
    </row>
    <row r="153" spans="1:4">
      <c r="A153" t="s">
        <v>11672</v>
      </c>
      <c r="B153" t="s">
        <v>19366</v>
      </c>
      <c r="C153" t="s">
        <v>19367</v>
      </c>
      <c r="D153" s="45" t="str">
        <f t="shared" si="4"/>
        <v>2023.015P.Geminiviridae_rename_sp.zip</v>
      </c>
    </row>
    <row r="154" spans="1:4">
      <c r="A154" t="s">
        <v>11672</v>
      </c>
      <c r="B154" t="s">
        <v>19368</v>
      </c>
      <c r="C154" t="s">
        <v>19369</v>
      </c>
      <c r="D154" s="45" t="str">
        <f t="shared" si="4"/>
        <v>2023.015P.Geminiviridae_rename_sp.zip</v>
      </c>
    </row>
    <row r="155" spans="1:4">
      <c r="A155" t="s">
        <v>11672</v>
      </c>
      <c r="B155" t="s">
        <v>19370</v>
      </c>
      <c r="C155" t="s">
        <v>19371</v>
      </c>
      <c r="D155" s="45" t="str">
        <f t="shared" si="4"/>
        <v>2023.015P.Geminiviridae_rename_sp.zip</v>
      </c>
    </row>
    <row r="156" spans="1:4">
      <c r="A156" t="s">
        <v>11672</v>
      </c>
      <c r="B156" t="s">
        <v>19372</v>
      </c>
      <c r="C156" t="s">
        <v>19373</v>
      </c>
      <c r="D156" s="45" t="str">
        <f t="shared" si="4"/>
        <v>2023.015P.Geminiviridae_rename_sp.zip</v>
      </c>
    </row>
    <row r="157" spans="1:4">
      <c r="A157" t="s">
        <v>11672</v>
      </c>
      <c r="B157" t="s">
        <v>19374</v>
      </c>
      <c r="C157" t="s">
        <v>19375</v>
      </c>
      <c r="D157" s="45" t="str">
        <f t="shared" si="4"/>
        <v>2023.015P.Geminiviridae_rename_sp.zip</v>
      </c>
    </row>
    <row r="158" spans="1:4">
      <c r="A158" t="s">
        <v>11672</v>
      </c>
      <c r="B158" t="s">
        <v>19376</v>
      </c>
      <c r="C158" t="s">
        <v>19377</v>
      </c>
      <c r="D158" s="45" t="str">
        <f t="shared" si="4"/>
        <v>2023.015P.Geminiviridae_rename_sp.zip</v>
      </c>
    </row>
    <row r="159" spans="1:4">
      <c r="A159" t="s">
        <v>11672</v>
      </c>
      <c r="B159" t="s">
        <v>19378</v>
      </c>
      <c r="C159" t="s">
        <v>19379</v>
      </c>
      <c r="D159" s="45" t="str">
        <f t="shared" si="4"/>
        <v>2023.015P.Geminiviridae_rename_sp.zip</v>
      </c>
    </row>
    <row r="160" spans="1:4">
      <c r="A160" t="s">
        <v>11672</v>
      </c>
      <c r="B160" t="s">
        <v>19380</v>
      </c>
      <c r="C160" t="s">
        <v>19381</v>
      </c>
      <c r="D160" s="45" t="str">
        <f t="shared" si="4"/>
        <v>2023.015P.Geminiviridae_rename_sp.zip</v>
      </c>
    </row>
    <row r="161" spans="1:4">
      <c r="A161" t="s">
        <v>11672</v>
      </c>
      <c r="B161" t="s">
        <v>19382</v>
      </c>
      <c r="C161" t="s">
        <v>19383</v>
      </c>
      <c r="D161" s="45" t="str">
        <f t="shared" si="4"/>
        <v>2023.015P.Geminiviridae_rename_sp.zip</v>
      </c>
    </row>
    <row r="162" spans="1:4">
      <c r="A162" t="s">
        <v>11672</v>
      </c>
      <c r="B162" t="s">
        <v>19384</v>
      </c>
      <c r="C162" t="s">
        <v>19385</v>
      </c>
      <c r="D162" s="45" t="str">
        <f t="shared" si="4"/>
        <v>2023.015P.Geminiviridae_rename_sp.zip</v>
      </c>
    </row>
    <row r="163" spans="1:4">
      <c r="A163" t="s">
        <v>11672</v>
      </c>
      <c r="B163" t="s">
        <v>19386</v>
      </c>
      <c r="C163" t="s">
        <v>19387</v>
      </c>
      <c r="D163" s="45" t="str">
        <f t="shared" si="4"/>
        <v>2023.015P.Geminiviridae_rename_sp.zip</v>
      </c>
    </row>
    <row r="164" spans="1:4">
      <c r="A164" t="s">
        <v>11672</v>
      </c>
      <c r="B164" t="s">
        <v>19388</v>
      </c>
      <c r="C164" t="s">
        <v>19389</v>
      </c>
      <c r="D164" s="45" t="str">
        <f t="shared" si="4"/>
        <v>2023.015P.Geminiviridae_rename_sp.zip</v>
      </c>
    </row>
    <row r="165" spans="1:4">
      <c r="A165" t="s">
        <v>11672</v>
      </c>
      <c r="B165" t="s">
        <v>19390</v>
      </c>
      <c r="C165" t="s">
        <v>19391</v>
      </c>
      <c r="D165" s="45" t="str">
        <f t="shared" ref="D165:D228" si="5">HYPERLINK("https://ictv.global/ictv/proposals/2023.015P.Geminiviridae_rename_sp.zip","2023.015P.Geminiviridae_rename_sp.zip")</f>
        <v>2023.015P.Geminiviridae_rename_sp.zip</v>
      </c>
    </row>
    <row r="166" spans="1:4">
      <c r="A166" t="s">
        <v>11672</v>
      </c>
      <c r="B166" t="s">
        <v>19392</v>
      </c>
      <c r="C166" t="s">
        <v>19393</v>
      </c>
      <c r="D166" s="45" t="str">
        <f t="shared" si="5"/>
        <v>2023.015P.Geminiviridae_rename_sp.zip</v>
      </c>
    </row>
    <row r="167" spans="1:4">
      <c r="A167" t="s">
        <v>11672</v>
      </c>
      <c r="B167" t="s">
        <v>19394</v>
      </c>
      <c r="C167" t="s">
        <v>19395</v>
      </c>
      <c r="D167" s="45" t="str">
        <f t="shared" si="5"/>
        <v>2023.015P.Geminiviridae_rename_sp.zip</v>
      </c>
    </row>
    <row r="168" spans="1:4">
      <c r="A168" t="s">
        <v>11672</v>
      </c>
      <c r="B168" t="s">
        <v>19396</v>
      </c>
      <c r="C168" t="s">
        <v>19397</v>
      </c>
      <c r="D168" s="45" t="str">
        <f t="shared" si="5"/>
        <v>2023.015P.Geminiviridae_rename_sp.zip</v>
      </c>
    </row>
    <row r="169" spans="1:4">
      <c r="A169" t="s">
        <v>11672</v>
      </c>
      <c r="B169" t="s">
        <v>19398</v>
      </c>
      <c r="C169" t="s">
        <v>19399</v>
      </c>
      <c r="D169" s="45" t="str">
        <f t="shared" si="5"/>
        <v>2023.015P.Geminiviridae_rename_sp.zip</v>
      </c>
    </row>
    <row r="170" spans="1:4">
      <c r="A170" t="s">
        <v>11672</v>
      </c>
      <c r="B170" t="s">
        <v>19400</v>
      </c>
      <c r="C170" t="s">
        <v>19401</v>
      </c>
      <c r="D170" s="45" t="str">
        <f t="shared" si="5"/>
        <v>2023.015P.Geminiviridae_rename_sp.zip</v>
      </c>
    </row>
    <row r="171" spans="1:4">
      <c r="A171" t="s">
        <v>11672</v>
      </c>
      <c r="B171" t="s">
        <v>19402</v>
      </c>
      <c r="C171" t="s">
        <v>19403</v>
      </c>
      <c r="D171" s="45" t="str">
        <f t="shared" si="5"/>
        <v>2023.015P.Geminiviridae_rename_sp.zip</v>
      </c>
    </row>
    <row r="172" spans="1:4">
      <c r="A172" t="s">
        <v>11672</v>
      </c>
      <c r="B172" t="s">
        <v>19404</v>
      </c>
      <c r="C172" t="s">
        <v>19405</v>
      </c>
      <c r="D172" s="45" t="str">
        <f t="shared" si="5"/>
        <v>2023.015P.Geminiviridae_rename_sp.zip</v>
      </c>
    </row>
    <row r="173" spans="1:4">
      <c r="A173" t="s">
        <v>11672</v>
      </c>
      <c r="B173" t="s">
        <v>19406</v>
      </c>
      <c r="C173" t="s">
        <v>19407</v>
      </c>
      <c r="D173" s="45" t="str">
        <f t="shared" si="5"/>
        <v>2023.015P.Geminiviridae_rename_sp.zip</v>
      </c>
    </row>
    <row r="174" spans="1:4">
      <c r="A174" t="s">
        <v>11672</v>
      </c>
      <c r="B174" t="s">
        <v>19408</v>
      </c>
      <c r="C174" t="s">
        <v>19409</v>
      </c>
      <c r="D174" s="45" t="str">
        <f t="shared" si="5"/>
        <v>2023.015P.Geminiviridae_rename_sp.zip</v>
      </c>
    </row>
    <row r="175" spans="1:4">
      <c r="A175" t="s">
        <v>11672</v>
      </c>
      <c r="B175" t="s">
        <v>19410</v>
      </c>
      <c r="C175" t="s">
        <v>19411</v>
      </c>
      <c r="D175" s="45" t="str">
        <f t="shared" si="5"/>
        <v>2023.015P.Geminiviridae_rename_sp.zip</v>
      </c>
    </row>
    <row r="176" spans="1:4">
      <c r="A176" t="s">
        <v>11672</v>
      </c>
      <c r="B176" t="s">
        <v>19412</v>
      </c>
      <c r="C176" t="s">
        <v>19413</v>
      </c>
      <c r="D176" s="45" t="str">
        <f t="shared" si="5"/>
        <v>2023.015P.Geminiviridae_rename_sp.zip</v>
      </c>
    </row>
    <row r="177" spans="1:4">
      <c r="A177" t="s">
        <v>11672</v>
      </c>
      <c r="B177" t="s">
        <v>19414</v>
      </c>
      <c r="C177" t="s">
        <v>19415</v>
      </c>
      <c r="D177" s="45" t="str">
        <f t="shared" si="5"/>
        <v>2023.015P.Geminiviridae_rename_sp.zip</v>
      </c>
    </row>
    <row r="178" spans="1:4">
      <c r="A178" t="s">
        <v>11672</v>
      </c>
      <c r="B178" t="s">
        <v>19416</v>
      </c>
      <c r="C178" t="s">
        <v>19417</v>
      </c>
      <c r="D178" s="45" t="str">
        <f t="shared" si="5"/>
        <v>2023.015P.Geminiviridae_rename_sp.zip</v>
      </c>
    </row>
    <row r="179" spans="1:4">
      <c r="A179" t="s">
        <v>11672</v>
      </c>
      <c r="B179" t="s">
        <v>19418</v>
      </c>
      <c r="C179" t="s">
        <v>19419</v>
      </c>
      <c r="D179" s="45" t="str">
        <f t="shared" si="5"/>
        <v>2023.015P.Geminiviridae_rename_sp.zip</v>
      </c>
    </row>
    <row r="180" spans="1:4">
      <c r="A180" t="s">
        <v>11672</v>
      </c>
      <c r="B180" t="s">
        <v>19420</v>
      </c>
      <c r="C180" t="s">
        <v>19421</v>
      </c>
      <c r="D180" s="45" t="str">
        <f t="shared" si="5"/>
        <v>2023.015P.Geminiviridae_rename_sp.zip</v>
      </c>
    </row>
    <row r="181" spans="1:4">
      <c r="A181" t="s">
        <v>11672</v>
      </c>
      <c r="B181" t="s">
        <v>19422</v>
      </c>
      <c r="C181" t="s">
        <v>19423</v>
      </c>
      <c r="D181" s="45" t="str">
        <f t="shared" si="5"/>
        <v>2023.015P.Geminiviridae_rename_sp.zip</v>
      </c>
    </row>
    <row r="182" spans="1:4">
      <c r="A182" t="s">
        <v>11672</v>
      </c>
      <c r="B182" t="s">
        <v>19424</v>
      </c>
      <c r="C182" t="s">
        <v>19425</v>
      </c>
      <c r="D182" s="45" t="str">
        <f t="shared" si="5"/>
        <v>2023.015P.Geminiviridae_rename_sp.zip</v>
      </c>
    </row>
    <row r="183" spans="1:4">
      <c r="A183" t="s">
        <v>11672</v>
      </c>
      <c r="B183" t="s">
        <v>19426</v>
      </c>
      <c r="C183" t="s">
        <v>19427</v>
      </c>
      <c r="D183" s="45" t="str">
        <f t="shared" si="5"/>
        <v>2023.015P.Geminiviridae_rename_sp.zip</v>
      </c>
    </row>
    <row r="184" spans="1:4">
      <c r="A184" t="s">
        <v>11672</v>
      </c>
      <c r="B184" t="s">
        <v>19428</v>
      </c>
      <c r="C184" t="s">
        <v>19429</v>
      </c>
      <c r="D184" s="45" t="str">
        <f t="shared" si="5"/>
        <v>2023.015P.Geminiviridae_rename_sp.zip</v>
      </c>
    </row>
    <row r="185" spans="1:4">
      <c r="A185" t="s">
        <v>11672</v>
      </c>
      <c r="B185" t="s">
        <v>19430</v>
      </c>
      <c r="C185" t="s">
        <v>19431</v>
      </c>
      <c r="D185" s="45" t="str">
        <f t="shared" si="5"/>
        <v>2023.015P.Geminiviridae_rename_sp.zip</v>
      </c>
    </row>
    <row r="186" spans="1:4">
      <c r="A186" t="s">
        <v>11672</v>
      </c>
      <c r="B186" t="s">
        <v>19432</v>
      </c>
      <c r="C186" t="s">
        <v>19433</v>
      </c>
      <c r="D186" s="45" t="str">
        <f t="shared" si="5"/>
        <v>2023.015P.Geminiviridae_rename_sp.zip</v>
      </c>
    </row>
    <row r="187" spans="1:4">
      <c r="A187" t="s">
        <v>11672</v>
      </c>
      <c r="B187" t="s">
        <v>19434</v>
      </c>
      <c r="C187" t="s">
        <v>19435</v>
      </c>
      <c r="D187" s="45" t="str">
        <f t="shared" si="5"/>
        <v>2023.015P.Geminiviridae_rename_sp.zip</v>
      </c>
    </row>
    <row r="188" spans="1:4">
      <c r="A188" t="s">
        <v>11672</v>
      </c>
      <c r="B188" t="s">
        <v>19436</v>
      </c>
      <c r="C188" t="s">
        <v>19437</v>
      </c>
      <c r="D188" s="45" t="str">
        <f t="shared" si="5"/>
        <v>2023.015P.Geminiviridae_rename_sp.zip</v>
      </c>
    </row>
    <row r="189" spans="1:4">
      <c r="A189" t="s">
        <v>11672</v>
      </c>
      <c r="B189" t="s">
        <v>19438</v>
      </c>
      <c r="C189" t="s">
        <v>19439</v>
      </c>
      <c r="D189" s="45" t="str">
        <f t="shared" si="5"/>
        <v>2023.015P.Geminiviridae_rename_sp.zip</v>
      </c>
    </row>
    <row r="190" spans="1:4">
      <c r="A190" t="s">
        <v>11672</v>
      </c>
      <c r="B190" t="s">
        <v>19440</v>
      </c>
      <c r="C190" t="s">
        <v>19441</v>
      </c>
      <c r="D190" s="45" t="str">
        <f t="shared" si="5"/>
        <v>2023.015P.Geminiviridae_rename_sp.zip</v>
      </c>
    </row>
    <row r="191" spans="1:4">
      <c r="A191" t="s">
        <v>11672</v>
      </c>
      <c r="B191" t="s">
        <v>19442</v>
      </c>
      <c r="C191" t="s">
        <v>19443</v>
      </c>
      <c r="D191" s="45" t="str">
        <f t="shared" si="5"/>
        <v>2023.015P.Geminiviridae_rename_sp.zip</v>
      </c>
    </row>
    <row r="192" spans="1:4">
      <c r="A192" t="s">
        <v>11672</v>
      </c>
      <c r="B192" t="s">
        <v>19444</v>
      </c>
      <c r="C192" t="s">
        <v>19445</v>
      </c>
      <c r="D192" s="45" t="str">
        <f t="shared" si="5"/>
        <v>2023.015P.Geminiviridae_rename_sp.zip</v>
      </c>
    </row>
    <row r="193" spans="1:4">
      <c r="A193" t="s">
        <v>11672</v>
      </c>
      <c r="B193" t="s">
        <v>19446</v>
      </c>
      <c r="C193" t="s">
        <v>19447</v>
      </c>
      <c r="D193" s="45" t="str">
        <f t="shared" si="5"/>
        <v>2023.015P.Geminiviridae_rename_sp.zip</v>
      </c>
    </row>
    <row r="194" spans="1:4">
      <c r="A194" t="s">
        <v>11672</v>
      </c>
      <c r="B194" t="s">
        <v>19448</v>
      </c>
      <c r="C194" t="s">
        <v>19449</v>
      </c>
      <c r="D194" s="45" t="str">
        <f t="shared" si="5"/>
        <v>2023.015P.Geminiviridae_rename_sp.zip</v>
      </c>
    </row>
    <row r="195" spans="1:4">
      <c r="A195" t="s">
        <v>11672</v>
      </c>
      <c r="B195" t="s">
        <v>19450</v>
      </c>
      <c r="C195" t="s">
        <v>19451</v>
      </c>
      <c r="D195" s="45" t="str">
        <f t="shared" si="5"/>
        <v>2023.015P.Geminiviridae_rename_sp.zip</v>
      </c>
    </row>
    <row r="196" spans="1:4">
      <c r="A196" t="s">
        <v>11672</v>
      </c>
      <c r="B196" t="s">
        <v>19452</v>
      </c>
      <c r="C196" t="s">
        <v>19453</v>
      </c>
      <c r="D196" s="45" t="str">
        <f t="shared" si="5"/>
        <v>2023.015P.Geminiviridae_rename_sp.zip</v>
      </c>
    </row>
    <row r="197" spans="1:4">
      <c r="A197" t="s">
        <v>11672</v>
      </c>
      <c r="B197" t="s">
        <v>19454</v>
      </c>
      <c r="C197" t="s">
        <v>19455</v>
      </c>
      <c r="D197" s="45" t="str">
        <f t="shared" si="5"/>
        <v>2023.015P.Geminiviridae_rename_sp.zip</v>
      </c>
    </row>
    <row r="198" spans="1:4">
      <c r="A198" t="s">
        <v>11672</v>
      </c>
      <c r="B198" t="s">
        <v>19456</v>
      </c>
      <c r="C198" t="s">
        <v>19457</v>
      </c>
      <c r="D198" s="45" t="str">
        <f t="shared" si="5"/>
        <v>2023.015P.Geminiviridae_rename_sp.zip</v>
      </c>
    </row>
    <row r="199" spans="1:4">
      <c r="A199" t="s">
        <v>11672</v>
      </c>
      <c r="B199" t="s">
        <v>19458</v>
      </c>
      <c r="C199" t="s">
        <v>19459</v>
      </c>
      <c r="D199" s="45" t="str">
        <f t="shared" si="5"/>
        <v>2023.015P.Geminiviridae_rename_sp.zip</v>
      </c>
    </row>
    <row r="200" spans="1:4">
      <c r="A200" t="s">
        <v>11672</v>
      </c>
      <c r="B200" t="s">
        <v>19460</v>
      </c>
      <c r="C200" t="s">
        <v>19461</v>
      </c>
      <c r="D200" s="45" t="str">
        <f t="shared" si="5"/>
        <v>2023.015P.Geminiviridae_rename_sp.zip</v>
      </c>
    </row>
    <row r="201" spans="1:4">
      <c r="A201" t="s">
        <v>11672</v>
      </c>
      <c r="B201" t="s">
        <v>19462</v>
      </c>
      <c r="C201" t="s">
        <v>19463</v>
      </c>
      <c r="D201" s="45" t="str">
        <f t="shared" si="5"/>
        <v>2023.015P.Geminiviridae_rename_sp.zip</v>
      </c>
    </row>
    <row r="202" spans="1:4">
      <c r="A202" t="s">
        <v>11672</v>
      </c>
      <c r="B202" t="s">
        <v>19464</v>
      </c>
      <c r="C202" t="s">
        <v>19465</v>
      </c>
      <c r="D202" s="45" t="str">
        <f t="shared" si="5"/>
        <v>2023.015P.Geminiviridae_rename_sp.zip</v>
      </c>
    </row>
    <row r="203" spans="1:4">
      <c r="A203" t="s">
        <v>11672</v>
      </c>
      <c r="B203" t="s">
        <v>19466</v>
      </c>
      <c r="C203" t="s">
        <v>19467</v>
      </c>
      <c r="D203" s="45" t="str">
        <f t="shared" si="5"/>
        <v>2023.015P.Geminiviridae_rename_sp.zip</v>
      </c>
    </row>
    <row r="204" spans="1:4">
      <c r="A204" t="s">
        <v>11672</v>
      </c>
      <c r="B204" t="s">
        <v>19468</v>
      </c>
      <c r="C204" t="s">
        <v>19469</v>
      </c>
      <c r="D204" s="45" t="str">
        <f t="shared" si="5"/>
        <v>2023.015P.Geminiviridae_rename_sp.zip</v>
      </c>
    </row>
    <row r="205" spans="1:4">
      <c r="A205" t="s">
        <v>11672</v>
      </c>
      <c r="B205" t="s">
        <v>19470</v>
      </c>
      <c r="C205" t="s">
        <v>19471</v>
      </c>
      <c r="D205" s="45" t="str">
        <f t="shared" si="5"/>
        <v>2023.015P.Geminiviridae_rename_sp.zip</v>
      </c>
    </row>
    <row r="206" spans="1:4">
      <c r="A206" t="s">
        <v>11672</v>
      </c>
      <c r="B206" t="s">
        <v>19472</v>
      </c>
      <c r="C206" t="s">
        <v>19473</v>
      </c>
      <c r="D206" s="45" t="str">
        <f t="shared" si="5"/>
        <v>2023.015P.Geminiviridae_rename_sp.zip</v>
      </c>
    </row>
    <row r="207" spans="1:4">
      <c r="A207" t="s">
        <v>11672</v>
      </c>
      <c r="B207" t="s">
        <v>19474</v>
      </c>
      <c r="C207" t="s">
        <v>19475</v>
      </c>
      <c r="D207" s="45" t="str">
        <f t="shared" si="5"/>
        <v>2023.015P.Geminiviridae_rename_sp.zip</v>
      </c>
    </row>
    <row r="208" spans="1:4">
      <c r="A208" t="s">
        <v>11672</v>
      </c>
      <c r="B208" t="s">
        <v>19476</v>
      </c>
      <c r="C208" t="s">
        <v>19477</v>
      </c>
      <c r="D208" s="45" t="str">
        <f t="shared" si="5"/>
        <v>2023.015P.Geminiviridae_rename_sp.zip</v>
      </c>
    </row>
    <row r="209" spans="1:4">
      <c r="A209" t="s">
        <v>11672</v>
      </c>
      <c r="B209" t="s">
        <v>19478</v>
      </c>
      <c r="C209" t="s">
        <v>19479</v>
      </c>
      <c r="D209" s="45" t="str">
        <f t="shared" si="5"/>
        <v>2023.015P.Geminiviridae_rename_sp.zip</v>
      </c>
    </row>
    <row r="210" spans="1:4">
      <c r="A210" t="s">
        <v>11672</v>
      </c>
      <c r="B210" t="s">
        <v>19480</v>
      </c>
      <c r="C210" t="s">
        <v>19481</v>
      </c>
      <c r="D210" s="45" t="str">
        <f t="shared" si="5"/>
        <v>2023.015P.Geminiviridae_rename_sp.zip</v>
      </c>
    </row>
    <row r="211" spans="1:4">
      <c r="A211" t="s">
        <v>11672</v>
      </c>
      <c r="B211" t="s">
        <v>19482</v>
      </c>
      <c r="C211" t="s">
        <v>19483</v>
      </c>
      <c r="D211" s="45" t="str">
        <f t="shared" si="5"/>
        <v>2023.015P.Geminiviridae_rename_sp.zip</v>
      </c>
    </row>
    <row r="212" spans="1:4">
      <c r="A212" t="s">
        <v>11672</v>
      </c>
      <c r="B212" t="s">
        <v>19484</v>
      </c>
      <c r="C212" t="s">
        <v>19485</v>
      </c>
      <c r="D212" s="45" t="str">
        <f t="shared" si="5"/>
        <v>2023.015P.Geminiviridae_rename_sp.zip</v>
      </c>
    </row>
    <row r="213" spans="1:4">
      <c r="A213" t="s">
        <v>11672</v>
      </c>
      <c r="B213" t="s">
        <v>19486</v>
      </c>
      <c r="C213" t="s">
        <v>19487</v>
      </c>
      <c r="D213" s="45" t="str">
        <f t="shared" si="5"/>
        <v>2023.015P.Geminiviridae_rename_sp.zip</v>
      </c>
    </row>
    <row r="214" spans="1:4">
      <c r="A214" t="s">
        <v>11672</v>
      </c>
      <c r="B214" t="s">
        <v>19488</v>
      </c>
      <c r="C214" t="s">
        <v>19489</v>
      </c>
      <c r="D214" s="45" t="str">
        <f t="shared" si="5"/>
        <v>2023.015P.Geminiviridae_rename_sp.zip</v>
      </c>
    </row>
    <row r="215" spans="1:4">
      <c r="A215" t="s">
        <v>11672</v>
      </c>
      <c r="B215" t="s">
        <v>19490</v>
      </c>
      <c r="C215" t="s">
        <v>19491</v>
      </c>
      <c r="D215" s="45" t="str">
        <f t="shared" si="5"/>
        <v>2023.015P.Geminiviridae_rename_sp.zip</v>
      </c>
    </row>
    <row r="216" spans="1:4">
      <c r="A216" t="s">
        <v>11672</v>
      </c>
      <c r="B216" t="s">
        <v>19492</v>
      </c>
      <c r="C216" t="s">
        <v>19493</v>
      </c>
      <c r="D216" s="45" t="str">
        <f t="shared" si="5"/>
        <v>2023.015P.Geminiviridae_rename_sp.zip</v>
      </c>
    </row>
    <row r="217" spans="1:4">
      <c r="A217" t="s">
        <v>11672</v>
      </c>
      <c r="B217" t="s">
        <v>19494</v>
      </c>
      <c r="C217" t="s">
        <v>19495</v>
      </c>
      <c r="D217" s="45" t="str">
        <f t="shared" si="5"/>
        <v>2023.015P.Geminiviridae_rename_sp.zip</v>
      </c>
    </row>
    <row r="218" spans="1:4">
      <c r="A218" t="s">
        <v>11672</v>
      </c>
      <c r="B218" t="s">
        <v>19496</v>
      </c>
      <c r="C218" t="s">
        <v>19497</v>
      </c>
      <c r="D218" s="45" t="str">
        <f t="shared" si="5"/>
        <v>2023.015P.Geminiviridae_rename_sp.zip</v>
      </c>
    </row>
    <row r="219" spans="1:4">
      <c r="A219" t="s">
        <v>11672</v>
      </c>
      <c r="B219" t="s">
        <v>19498</v>
      </c>
      <c r="C219" t="s">
        <v>19499</v>
      </c>
      <c r="D219" s="45" t="str">
        <f t="shared" si="5"/>
        <v>2023.015P.Geminiviridae_rename_sp.zip</v>
      </c>
    </row>
    <row r="220" spans="1:4">
      <c r="A220" t="s">
        <v>11672</v>
      </c>
      <c r="B220" t="s">
        <v>19500</v>
      </c>
      <c r="C220" t="s">
        <v>19501</v>
      </c>
      <c r="D220" s="45" t="str">
        <f t="shared" si="5"/>
        <v>2023.015P.Geminiviridae_rename_sp.zip</v>
      </c>
    </row>
    <row r="221" spans="1:4">
      <c r="A221" t="s">
        <v>11672</v>
      </c>
      <c r="B221" t="s">
        <v>19502</v>
      </c>
      <c r="C221" t="s">
        <v>19503</v>
      </c>
      <c r="D221" s="45" t="str">
        <f t="shared" si="5"/>
        <v>2023.015P.Geminiviridae_rename_sp.zip</v>
      </c>
    </row>
    <row r="222" spans="1:4">
      <c r="A222" t="s">
        <v>11672</v>
      </c>
      <c r="B222" t="s">
        <v>19504</v>
      </c>
      <c r="C222" t="s">
        <v>19505</v>
      </c>
      <c r="D222" s="45" t="str">
        <f t="shared" si="5"/>
        <v>2023.015P.Geminiviridae_rename_sp.zip</v>
      </c>
    </row>
    <row r="223" spans="1:4">
      <c r="A223" t="s">
        <v>11672</v>
      </c>
      <c r="B223" t="s">
        <v>19506</v>
      </c>
      <c r="C223" t="s">
        <v>19507</v>
      </c>
      <c r="D223" s="45" t="str">
        <f t="shared" si="5"/>
        <v>2023.015P.Geminiviridae_rename_sp.zip</v>
      </c>
    </row>
    <row r="224" spans="1:4">
      <c r="A224" t="s">
        <v>11672</v>
      </c>
      <c r="B224" t="s">
        <v>19508</v>
      </c>
      <c r="C224" t="s">
        <v>19509</v>
      </c>
      <c r="D224" s="45" t="str">
        <f t="shared" si="5"/>
        <v>2023.015P.Geminiviridae_rename_sp.zip</v>
      </c>
    </row>
    <row r="225" spans="1:4">
      <c r="A225" t="s">
        <v>11672</v>
      </c>
      <c r="B225" t="s">
        <v>19510</v>
      </c>
      <c r="C225" t="s">
        <v>19511</v>
      </c>
      <c r="D225" s="45" t="str">
        <f t="shared" si="5"/>
        <v>2023.015P.Geminiviridae_rename_sp.zip</v>
      </c>
    </row>
    <row r="226" spans="1:4">
      <c r="A226" t="s">
        <v>11672</v>
      </c>
      <c r="B226" t="s">
        <v>19512</v>
      </c>
      <c r="C226" t="s">
        <v>19513</v>
      </c>
      <c r="D226" s="45" t="str">
        <f t="shared" si="5"/>
        <v>2023.015P.Geminiviridae_rename_sp.zip</v>
      </c>
    </row>
    <row r="227" spans="1:4">
      <c r="A227" t="s">
        <v>11672</v>
      </c>
      <c r="B227" t="s">
        <v>19514</v>
      </c>
      <c r="C227" t="s">
        <v>19515</v>
      </c>
      <c r="D227" s="45" t="str">
        <f t="shared" si="5"/>
        <v>2023.015P.Geminiviridae_rename_sp.zip</v>
      </c>
    </row>
    <row r="228" spans="1:4">
      <c r="A228" t="s">
        <v>11672</v>
      </c>
      <c r="B228" t="s">
        <v>19516</v>
      </c>
      <c r="C228" t="s">
        <v>19517</v>
      </c>
      <c r="D228" s="45" t="str">
        <f t="shared" si="5"/>
        <v>2023.015P.Geminiviridae_rename_sp.zip</v>
      </c>
    </row>
    <row r="229" spans="1:4">
      <c r="A229" t="s">
        <v>11672</v>
      </c>
      <c r="B229" t="s">
        <v>19518</v>
      </c>
      <c r="C229" t="s">
        <v>19519</v>
      </c>
      <c r="D229" s="45" t="str">
        <f t="shared" ref="D229:D292" si="6">HYPERLINK("https://ictv.global/ictv/proposals/2023.015P.Geminiviridae_rename_sp.zip","2023.015P.Geminiviridae_rename_sp.zip")</f>
        <v>2023.015P.Geminiviridae_rename_sp.zip</v>
      </c>
    </row>
    <row r="230" spans="1:4">
      <c r="A230" t="s">
        <v>11672</v>
      </c>
      <c r="B230" t="s">
        <v>19520</v>
      </c>
      <c r="C230" t="s">
        <v>19521</v>
      </c>
      <c r="D230" s="45" t="str">
        <f t="shared" si="6"/>
        <v>2023.015P.Geminiviridae_rename_sp.zip</v>
      </c>
    </row>
    <row r="231" spans="1:4">
      <c r="A231" t="s">
        <v>11672</v>
      </c>
      <c r="B231" t="s">
        <v>19522</v>
      </c>
      <c r="C231" t="s">
        <v>19523</v>
      </c>
      <c r="D231" s="45" t="str">
        <f t="shared" si="6"/>
        <v>2023.015P.Geminiviridae_rename_sp.zip</v>
      </c>
    </row>
    <row r="232" spans="1:4">
      <c r="A232" t="s">
        <v>11672</v>
      </c>
      <c r="B232" t="s">
        <v>19524</v>
      </c>
      <c r="C232" t="s">
        <v>19525</v>
      </c>
      <c r="D232" s="45" t="str">
        <f t="shared" si="6"/>
        <v>2023.015P.Geminiviridae_rename_sp.zip</v>
      </c>
    </row>
    <row r="233" spans="1:4">
      <c r="A233" t="s">
        <v>11672</v>
      </c>
      <c r="B233" t="s">
        <v>19526</v>
      </c>
      <c r="C233" t="s">
        <v>19527</v>
      </c>
      <c r="D233" s="45" t="str">
        <f t="shared" si="6"/>
        <v>2023.015P.Geminiviridae_rename_sp.zip</v>
      </c>
    </row>
    <row r="234" spans="1:4">
      <c r="A234" t="s">
        <v>11672</v>
      </c>
      <c r="B234" t="s">
        <v>19528</v>
      </c>
      <c r="C234" t="s">
        <v>19529</v>
      </c>
      <c r="D234" s="45" t="str">
        <f t="shared" si="6"/>
        <v>2023.015P.Geminiviridae_rename_sp.zip</v>
      </c>
    </row>
    <row r="235" spans="1:4">
      <c r="A235" t="s">
        <v>11672</v>
      </c>
      <c r="B235" t="s">
        <v>19530</v>
      </c>
      <c r="C235" t="s">
        <v>19531</v>
      </c>
      <c r="D235" s="45" t="str">
        <f t="shared" si="6"/>
        <v>2023.015P.Geminiviridae_rename_sp.zip</v>
      </c>
    </row>
    <row r="236" spans="1:4">
      <c r="A236" t="s">
        <v>11672</v>
      </c>
      <c r="B236" t="s">
        <v>19532</v>
      </c>
      <c r="C236" t="s">
        <v>19533</v>
      </c>
      <c r="D236" s="45" t="str">
        <f t="shared" si="6"/>
        <v>2023.015P.Geminiviridae_rename_sp.zip</v>
      </c>
    </row>
    <row r="237" spans="1:4">
      <c r="A237" t="s">
        <v>11672</v>
      </c>
      <c r="B237" t="s">
        <v>19534</v>
      </c>
      <c r="C237" t="s">
        <v>19535</v>
      </c>
      <c r="D237" s="45" t="str">
        <f t="shared" si="6"/>
        <v>2023.015P.Geminiviridae_rename_sp.zip</v>
      </c>
    </row>
    <row r="238" spans="1:4">
      <c r="A238" t="s">
        <v>11672</v>
      </c>
      <c r="B238" t="s">
        <v>19536</v>
      </c>
      <c r="C238" t="s">
        <v>19537</v>
      </c>
      <c r="D238" s="45" t="str">
        <f t="shared" si="6"/>
        <v>2023.015P.Geminiviridae_rename_sp.zip</v>
      </c>
    </row>
    <row r="239" spans="1:4">
      <c r="A239" t="s">
        <v>11672</v>
      </c>
      <c r="B239" t="s">
        <v>19538</v>
      </c>
      <c r="C239" t="s">
        <v>19539</v>
      </c>
      <c r="D239" s="45" t="str">
        <f t="shared" si="6"/>
        <v>2023.015P.Geminiviridae_rename_sp.zip</v>
      </c>
    </row>
    <row r="240" spans="1:4">
      <c r="A240" t="s">
        <v>11672</v>
      </c>
      <c r="B240" t="s">
        <v>19540</v>
      </c>
      <c r="C240" t="s">
        <v>19541</v>
      </c>
      <c r="D240" s="45" t="str">
        <f t="shared" si="6"/>
        <v>2023.015P.Geminiviridae_rename_sp.zip</v>
      </c>
    </row>
    <row r="241" spans="1:4">
      <c r="A241" t="s">
        <v>11672</v>
      </c>
      <c r="B241" t="s">
        <v>19542</v>
      </c>
      <c r="C241" t="s">
        <v>19543</v>
      </c>
      <c r="D241" s="45" t="str">
        <f t="shared" si="6"/>
        <v>2023.015P.Geminiviridae_rename_sp.zip</v>
      </c>
    </row>
    <row r="242" spans="1:4">
      <c r="A242" t="s">
        <v>11672</v>
      </c>
      <c r="B242" t="s">
        <v>19544</v>
      </c>
      <c r="C242" t="s">
        <v>19545</v>
      </c>
      <c r="D242" s="45" t="str">
        <f t="shared" si="6"/>
        <v>2023.015P.Geminiviridae_rename_sp.zip</v>
      </c>
    </row>
    <row r="243" spans="1:4">
      <c r="A243" t="s">
        <v>11672</v>
      </c>
      <c r="B243" t="s">
        <v>19546</v>
      </c>
      <c r="C243" t="s">
        <v>19547</v>
      </c>
      <c r="D243" s="45" t="str">
        <f t="shared" si="6"/>
        <v>2023.015P.Geminiviridae_rename_sp.zip</v>
      </c>
    </row>
    <row r="244" spans="1:4">
      <c r="A244" t="s">
        <v>11672</v>
      </c>
      <c r="B244" t="s">
        <v>19548</v>
      </c>
      <c r="C244" t="s">
        <v>19549</v>
      </c>
      <c r="D244" s="45" t="str">
        <f t="shared" si="6"/>
        <v>2023.015P.Geminiviridae_rename_sp.zip</v>
      </c>
    </row>
    <row r="245" spans="1:4">
      <c r="A245" t="s">
        <v>11672</v>
      </c>
      <c r="B245" t="s">
        <v>19550</v>
      </c>
      <c r="C245" t="s">
        <v>19551</v>
      </c>
      <c r="D245" s="45" t="str">
        <f t="shared" si="6"/>
        <v>2023.015P.Geminiviridae_rename_sp.zip</v>
      </c>
    </row>
    <row r="246" spans="1:4">
      <c r="A246" t="s">
        <v>11672</v>
      </c>
      <c r="B246" t="s">
        <v>19552</v>
      </c>
      <c r="C246" t="s">
        <v>19553</v>
      </c>
      <c r="D246" s="45" t="str">
        <f t="shared" si="6"/>
        <v>2023.015P.Geminiviridae_rename_sp.zip</v>
      </c>
    </row>
    <row r="247" spans="1:4">
      <c r="A247" t="s">
        <v>11672</v>
      </c>
      <c r="B247" t="s">
        <v>19554</v>
      </c>
      <c r="C247" t="s">
        <v>19555</v>
      </c>
      <c r="D247" s="45" t="str">
        <f t="shared" si="6"/>
        <v>2023.015P.Geminiviridae_rename_sp.zip</v>
      </c>
    </row>
    <row r="248" spans="1:4">
      <c r="A248" t="s">
        <v>11672</v>
      </c>
      <c r="B248" t="s">
        <v>19556</v>
      </c>
      <c r="C248" t="s">
        <v>19557</v>
      </c>
      <c r="D248" s="45" t="str">
        <f t="shared" si="6"/>
        <v>2023.015P.Geminiviridae_rename_sp.zip</v>
      </c>
    </row>
    <row r="249" spans="1:4">
      <c r="A249" t="s">
        <v>11672</v>
      </c>
      <c r="B249" t="s">
        <v>19558</v>
      </c>
      <c r="C249" t="s">
        <v>19559</v>
      </c>
      <c r="D249" s="45" t="str">
        <f t="shared" si="6"/>
        <v>2023.015P.Geminiviridae_rename_sp.zip</v>
      </c>
    </row>
    <row r="250" spans="1:4">
      <c r="A250" t="s">
        <v>11672</v>
      </c>
      <c r="B250" t="s">
        <v>19560</v>
      </c>
      <c r="C250" t="s">
        <v>19561</v>
      </c>
      <c r="D250" s="45" t="str">
        <f t="shared" si="6"/>
        <v>2023.015P.Geminiviridae_rename_sp.zip</v>
      </c>
    </row>
    <row r="251" spans="1:4">
      <c r="A251" t="s">
        <v>11672</v>
      </c>
      <c r="B251" t="s">
        <v>19562</v>
      </c>
      <c r="C251" t="s">
        <v>19563</v>
      </c>
      <c r="D251" s="45" t="str">
        <f t="shared" si="6"/>
        <v>2023.015P.Geminiviridae_rename_sp.zip</v>
      </c>
    </row>
    <row r="252" spans="1:4">
      <c r="A252" t="s">
        <v>11672</v>
      </c>
      <c r="B252" t="s">
        <v>19564</v>
      </c>
      <c r="C252" t="s">
        <v>19565</v>
      </c>
      <c r="D252" s="45" t="str">
        <f t="shared" si="6"/>
        <v>2023.015P.Geminiviridae_rename_sp.zip</v>
      </c>
    </row>
    <row r="253" spans="1:4">
      <c r="A253" t="s">
        <v>11672</v>
      </c>
      <c r="B253" t="s">
        <v>19566</v>
      </c>
      <c r="C253" t="s">
        <v>19567</v>
      </c>
      <c r="D253" s="45" t="str">
        <f t="shared" si="6"/>
        <v>2023.015P.Geminiviridae_rename_sp.zip</v>
      </c>
    </row>
    <row r="254" spans="1:4">
      <c r="A254" t="s">
        <v>11672</v>
      </c>
      <c r="B254" t="s">
        <v>19568</v>
      </c>
      <c r="C254" t="s">
        <v>19569</v>
      </c>
      <c r="D254" s="45" t="str">
        <f t="shared" si="6"/>
        <v>2023.015P.Geminiviridae_rename_sp.zip</v>
      </c>
    </row>
    <row r="255" spans="1:4">
      <c r="A255" t="s">
        <v>11672</v>
      </c>
      <c r="B255" t="s">
        <v>19570</v>
      </c>
      <c r="C255" t="s">
        <v>19571</v>
      </c>
      <c r="D255" s="45" t="str">
        <f t="shared" si="6"/>
        <v>2023.015P.Geminiviridae_rename_sp.zip</v>
      </c>
    </row>
    <row r="256" spans="1:4">
      <c r="A256" t="s">
        <v>11672</v>
      </c>
      <c r="B256" t="s">
        <v>19572</v>
      </c>
      <c r="C256" t="s">
        <v>19573</v>
      </c>
      <c r="D256" s="45" t="str">
        <f t="shared" si="6"/>
        <v>2023.015P.Geminiviridae_rename_sp.zip</v>
      </c>
    </row>
    <row r="257" spans="1:4">
      <c r="A257" t="s">
        <v>11672</v>
      </c>
      <c r="B257" t="s">
        <v>19574</v>
      </c>
      <c r="C257" t="s">
        <v>19575</v>
      </c>
      <c r="D257" s="45" t="str">
        <f t="shared" si="6"/>
        <v>2023.015P.Geminiviridae_rename_sp.zip</v>
      </c>
    </row>
    <row r="258" spans="1:4">
      <c r="A258" t="s">
        <v>11672</v>
      </c>
      <c r="B258" t="s">
        <v>19576</v>
      </c>
      <c r="C258" t="s">
        <v>19577</v>
      </c>
      <c r="D258" s="45" t="str">
        <f t="shared" si="6"/>
        <v>2023.015P.Geminiviridae_rename_sp.zip</v>
      </c>
    </row>
    <row r="259" spans="1:4">
      <c r="A259" t="s">
        <v>11672</v>
      </c>
      <c r="B259" t="s">
        <v>19578</v>
      </c>
      <c r="C259" t="s">
        <v>19579</v>
      </c>
      <c r="D259" s="45" t="str">
        <f t="shared" si="6"/>
        <v>2023.015P.Geminiviridae_rename_sp.zip</v>
      </c>
    </row>
    <row r="260" spans="1:4">
      <c r="A260" t="s">
        <v>11672</v>
      </c>
      <c r="B260" t="s">
        <v>19580</v>
      </c>
      <c r="C260" t="s">
        <v>19581</v>
      </c>
      <c r="D260" s="45" t="str">
        <f t="shared" si="6"/>
        <v>2023.015P.Geminiviridae_rename_sp.zip</v>
      </c>
    </row>
    <row r="261" spans="1:4">
      <c r="A261" t="s">
        <v>11672</v>
      </c>
      <c r="B261" t="s">
        <v>19582</v>
      </c>
      <c r="C261" t="s">
        <v>19583</v>
      </c>
      <c r="D261" s="45" t="str">
        <f t="shared" si="6"/>
        <v>2023.015P.Geminiviridae_rename_sp.zip</v>
      </c>
    </row>
    <row r="262" spans="1:4">
      <c r="A262" t="s">
        <v>11672</v>
      </c>
      <c r="B262" t="s">
        <v>19584</v>
      </c>
      <c r="C262" t="s">
        <v>19585</v>
      </c>
      <c r="D262" s="45" t="str">
        <f t="shared" si="6"/>
        <v>2023.015P.Geminiviridae_rename_sp.zip</v>
      </c>
    </row>
    <row r="263" spans="1:4">
      <c r="A263" t="s">
        <v>11672</v>
      </c>
      <c r="B263" t="s">
        <v>19586</v>
      </c>
      <c r="C263" t="s">
        <v>19587</v>
      </c>
      <c r="D263" s="45" t="str">
        <f t="shared" si="6"/>
        <v>2023.015P.Geminiviridae_rename_sp.zip</v>
      </c>
    </row>
    <row r="264" spans="1:4">
      <c r="A264" t="s">
        <v>11672</v>
      </c>
      <c r="B264" t="s">
        <v>19588</v>
      </c>
      <c r="C264" t="s">
        <v>19589</v>
      </c>
      <c r="D264" s="45" t="str">
        <f t="shared" si="6"/>
        <v>2023.015P.Geminiviridae_rename_sp.zip</v>
      </c>
    </row>
    <row r="265" spans="1:4">
      <c r="A265" t="s">
        <v>11672</v>
      </c>
      <c r="B265" t="s">
        <v>19590</v>
      </c>
      <c r="C265" t="s">
        <v>19591</v>
      </c>
      <c r="D265" s="45" t="str">
        <f t="shared" si="6"/>
        <v>2023.015P.Geminiviridae_rename_sp.zip</v>
      </c>
    </row>
    <row r="266" spans="1:4">
      <c r="A266" t="s">
        <v>11672</v>
      </c>
      <c r="B266" t="s">
        <v>19592</v>
      </c>
      <c r="C266" t="s">
        <v>19593</v>
      </c>
      <c r="D266" s="45" t="str">
        <f t="shared" si="6"/>
        <v>2023.015P.Geminiviridae_rename_sp.zip</v>
      </c>
    </row>
    <row r="267" spans="1:4">
      <c r="A267" t="s">
        <v>11672</v>
      </c>
      <c r="B267" t="s">
        <v>19594</v>
      </c>
      <c r="C267" t="s">
        <v>19595</v>
      </c>
      <c r="D267" s="45" t="str">
        <f t="shared" si="6"/>
        <v>2023.015P.Geminiviridae_rename_sp.zip</v>
      </c>
    </row>
    <row r="268" spans="1:4">
      <c r="A268" t="s">
        <v>11672</v>
      </c>
      <c r="B268" t="s">
        <v>19596</v>
      </c>
      <c r="C268" t="s">
        <v>19597</v>
      </c>
      <c r="D268" s="45" t="str">
        <f t="shared" si="6"/>
        <v>2023.015P.Geminiviridae_rename_sp.zip</v>
      </c>
    </row>
    <row r="269" spans="1:4">
      <c r="A269" t="s">
        <v>11672</v>
      </c>
      <c r="B269" t="s">
        <v>19598</v>
      </c>
      <c r="C269" t="s">
        <v>19599</v>
      </c>
      <c r="D269" s="45" t="str">
        <f t="shared" si="6"/>
        <v>2023.015P.Geminiviridae_rename_sp.zip</v>
      </c>
    </row>
    <row r="270" spans="1:4">
      <c r="A270" t="s">
        <v>11672</v>
      </c>
      <c r="B270" t="s">
        <v>19600</v>
      </c>
      <c r="C270" t="s">
        <v>19601</v>
      </c>
      <c r="D270" s="45" t="str">
        <f t="shared" si="6"/>
        <v>2023.015P.Geminiviridae_rename_sp.zip</v>
      </c>
    </row>
    <row r="271" spans="1:4">
      <c r="A271" t="s">
        <v>11672</v>
      </c>
      <c r="B271" t="s">
        <v>19602</v>
      </c>
      <c r="C271" t="s">
        <v>19603</v>
      </c>
      <c r="D271" s="45" t="str">
        <f t="shared" si="6"/>
        <v>2023.015P.Geminiviridae_rename_sp.zip</v>
      </c>
    </row>
    <row r="272" spans="1:4">
      <c r="A272" t="s">
        <v>11672</v>
      </c>
      <c r="B272" t="s">
        <v>19604</v>
      </c>
      <c r="C272" t="s">
        <v>19605</v>
      </c>
      <c r="D272" s="45" t="str">
        <f t="shared" si="6"/>
        <v>2023.015P.Geminiviridae_rename_sp.zip</v>
      </c>
    </row>
    <row r="273" spans="1:4">
      <c r="A273" t="s">
        <v>11672</v>
      </c>
      <c r="B273" t="s">
        <v>19606</v>
      </c>
      <c r="C273" t="s">
        <v>19607</v>
      </c>
      <c r="D273" s="45" t="str">
        <f t="shared" si="6"/>
        <v>2023.015P.Geminiviridae_rename_sp.zip</v>
      </c>
    </row>
    <row r="274" spans="1:4">
      <c r="A274" t="s">
        <v>11672</v>
      </c>
      <c r="B274" t="s">
        <v>19608</v>
      </c>
      <c r="C274" t="s">
        <v>19609</v>
      </c>
      <c r="D274" s="45" t="str">
        <f t="shared" si="6"/>
        <v>2023.015P.Geminiviridae_rename_sp.zip</v>
      </c>
    </row>
    <row r="275" spans="1:4">
      <c r="A275" t="s">
        <v>11672</v>
      </c>
      <c r="B275" t="s">
        <v>19610</v>
      </c>
      <c r="C275" t="s">
        <v>19611</v>
      </c>
      <c r="D275" s="45" t="str">
        <f t="shared" si="6"/>
        <v>2023.015P.Geminiviridae_rename_sp.zip</v>
      </c>
    </row>
    <row r="276" spans="1:4">
      <c r="A276" t="s">
        <v>11672</v>
      </c>
      <c r="B276" t="s">
        <v>19612</v>
      </c>
      <c r="C276" t="s">
        <v>19613</v>
      </c>
      <c r="D276" s="45" t="str">
        <f t="shared" si="6"/>
        <v>2023.015P.Geminiviridae_rename_sp.zip</v>
      </c>
    </row>
    <row r="277" spans="1:4">
      <c r="A277" t="s">
        <v>11672</v>
      </c>
      <c r="B277" t="s">
        <v>19614</v>
      </c>
      <c r="C277" t="s">
        <v>19615</v>
      </c>
      <c r="D277" s="45" t="str">
        <f t="shared" si="6"/>
        <v>2023.015P.Geminiviridae_rename_sp.zip</v>
      </c>
    </row>
    <row r="278" spans="1:4">
      <c r="A278" t="s">
        <v>11672</v>
      </c>
      <c r="B278" t="s">
        <v>19616</v>
      </c>
      <c r="C278" t="s">
        <v>19617</v>
      </c>
      <c r="D278" s="45" t="str">
        <f t="shared" si="6"/>
        <v>2023.015P.Geminiviridae_rename_sp.zip</v>
      </c>
    </row>
    <row r="279" spans="1:4">
      <c r="A279" t="s">
        <v>11672</v>
      </c>
      <c r="B279" t="s">
        <v>19618</v>
      </c>
      <c r="C279" t="s">
        <v>19619</v>
      </c>
      <c r="D279" s="45" t="str">
        <f t="shared" si="6"/>
        <v>2023.015P.Geminiviridae_rename_sp.zip</v>
      </c>
    </row>
    <row r="280" spans="1:4">
      <c r="A280" t="s">
        <v>11672</v>
      </c>
      <c r="B280" t="s">
        <v>19620</v>
      </c>
      <c r="C280" t="s">
        <v>19621</v>
      </c>
      <c r="D280" s="45" t="str">
        <f t="shared" si="6"/>
        <v>2023.015P.Geminiviridae_rename_sp.zip</v>
      </c>
    </row>
    <row r="281" spans="1:4">
      <c r="A281" t="s">
        <v>11672</v>
      </c>
      <c r="B281" t="s">
        <v>19622</v>
      </c>
      <c r="C281" t="s">
        <v>19623</v>
      </c>
      <c r="D281" s="45" t="str">
        <f t="shared" si="6"/>
        <v>2023.015P.Geminiviridae_rename_sp.zip</v>
      </c>
    </row>
    <row r="282" spans="1:4">
      <c r="A282" t="s">
        <v>11672</v>
      </c>
      <c r="B282" t="s">
        <v>19624</v>
      </c>
      <c r="C282" t="s">
        <v>19625</v>
      </c>
      <c r="D282" s="45" t="str">
        <f t="shared" si="6"/>
        <v>2023.015P.Geminiviridae_rename_sp.zip</v>
      </c>
    </row>
    <row r="283" spans="1:4">
      <c r="A283" t="s">
        <v>11672</v>
      </c>
      <c r="B283" t="s">
        <v>19626</v>
      </c>
      <c r="C283" t="s">
        <v>19627</v>
      </c>
      <c r="D283" s="45" t="str">
        <f t="shared" si="6"/>
        <v>2023.015P.Geminiviridae_rename_sp.zip</v>
      </c>
    </row>
    <row r="284" spans="1:4">
      <c r="A284" t="s">
        <v>11672</v>
      </c>
      <c r="B284" t="s">
        <v>19628</v>
      </c>
      <c r="C284" t="s">
        <v>19629</v>
      </c>
      <c r="D284" s="45" t="str">
        <f t="shared" si="6"/>
        <v>2023.015P.Geminiviridae_rename_sp.zip</v>
      </c>
    </row>
    <row r="285" spans="1:4">
      <c r="A285" t="s">
        <v>11672</v>
      </c>
      <c r="B285" t="s">
        <v>19630</v>
      </c>
      <c r="C285" t="s">
        <v>19631</v>
      </c>
      <c r="D285" s="45" t="str">
        <f t="shared" si="6"/>
        <v>2023.015P.Geminiviridae_rename_sp.zip</v>
      </c>
    </row>
    <row r="286" spans="1:4">
      <c r="A286" t="s">
        <v>11672</v>
      </c>
      <c r="B286" t="s">
        <v>19632</v>
      </c>
      <c r="C286" t="s">
        <v>19633</v>
      </c>
      <c r="D286" s="45" t="str">
        <f t="shared" si="6"/>
        <v>2023.015P.Geminiviridae_rename_sp.zip</v>
      </c>
    </row>
    <row r="287" spans="1:4">
      <c r="A287" t="s">
        <v>11672</v>
      </c>
      <c r="B287" t="s">
        <v>19634</v>
      </c>
      <c r="C287" t="s">
        <v>19635</v>
      </c>
      <c r="D287" s="45" t="str">
        <f t="shared" si="6"/>
        <v>2023.015P.Geminiviridae_rename_sp.zip</v>
      </c>
    </row>
    <row r="288" spans="1:4">
      <c r="A288" t="s">
        <v>11672</v>
      </c>
      <c r="B288" t="s">
        <v>19636</v>
      </c>
      <c r="C288" t="s">
        <v>19637</v>
      </c>
      <c r="D288" s="45" t="str">
        <f t="shared" si="6"/>
        <v>2023.015P.Geminiviridae_rename_sp.zip</v>
      </c>
    </row>
    <row r="289" spans="1:4">
      <c r="A289" t="s">
        <v>11672</v>
      </c>
      <c r="B289" t="s">
        <v>19638</v>
      </c>
      <c r="C289" t="s">
        <v>19639</v>
      </c>
      <c r="D289" s="45" t="str">
        <f t="shared" si="6"/>
        <v>2023.015P.Geminiviridae_rename_sp.zip</v>
      </c>
    </row>
    <row r="290" spans="1:4">
      <c r="A290" t="s">
        <v>11672</v>
      </c>
      <c r="B290" t="s">
        <v>19640</v>
      </c>
      <c r="C290" t="s">
        <v>19641</v>
      </c>
      <c r="D290" s="45" t="str">
        <f t="shared" si="6"/>
        <v>2023.015P.Geminiviridae_rename_sp.zip</v>
      </c>
    </row>
    <row r="291" spans="1:4">
      <c r="A291" t="s">
        <v>11672</v>
      </c>
      <c r="B291" t="s">
        <v>19642</v>
      </c>
      <c r="C291" t="s">
        <v>19643</v>
      </c>
      <c r="D291" s="45" t="str">
        <f t="shared" si="6"/>
        <v>2023.015P.Geminiviridae_rename_sp.zip</v>
      </c>
    </row>
    <row r="292" spans="1:4">
      <c r="A292" t="s">
        <v>11672</v>
      </c>
      <c r="B292" t="s">
        <v>19644</v>
      </c>
      <c r="C292" t="s">
        <v>19645</v>
      </c>
      <c r="D292" s="45" t="str">
        <f t="shared" si="6"/>
        <v>2023.015P.Geminiviridae_rename_sp.zip</v>
      </c>
    </row>
    <row r="293" spans="1:4">
      <c r="A293" t="s">
        <v>11672</v>
      </c>
      <c r="B293" t="s">
        <v>19646</v>
      </c>
      <c r="C293" t="s">
        <v>19647</v>
      </c>
      <c r="D293" s="45" t="str">
        <f t="shared" ref="D293:D356" si="7">HYPERLINK("https://ictv.global/ictv/proposals/2023.015P.Geminiviridae_rename_sp.zip","2023.015P.Geminiviridae_rename_sp.zip")</f>
        <v>2023.015P.Geminiviridae_rename_sp.zip</v>
      </c>
    </row>
    <row r="294" spans="1:4">
      <c r="A294" t="s">
        <v>11672</v>
      </c>
      <c r="B294" t="s">
        <v>19648</v>
      </c>
      <c r="C294" t="s">
        <v>19649</v>
      </c>
      <c r="D294" s="45" t="str">
        <f t="shared" si="7"/>
        <v>2023.015P.Geminiviridae_rename_sp.zip</v>
      </c>
    </row>
    <row r="295" spans="1:4">
      <c r="A295" t="s">
        <v>11672</v>
      </c>
      <c r="B295" t="s">
        <v>19650</v>
      </c>
      <c r="C295" t="s">
        <v>19651</v>
      </c>
      <c r="D295" s="45" t="str">
        <f t="shared" si="7"/>
        <v>2023.015P.Geminiviridae_rename_sp.zip</v>
      </c>
    </row>
    <row r="296" spans="1:4">
      <c r="A296" t="s">
        <v>11672</v>
      </c>
      <c r="B296" t="s">
        <v>19652</v>
      </c>
      <c r="C296" t="s">
        <v>19653</v>
      </c>
      <c r="D296" s="45" t="str">
        <f t="shared" si="7"/>
        <v>2023.015P.Geminiviridae_rename_sp.zip</v>
      </c>
    </row>
    <row r="297" spans="1:4">
      <c r="A297" t="s">
        <v>11672</v>
      </c>
      <c r="B297" t="s">
        <v>19654</v>
      </c>
      <c r="C297" t="s">
        <v>19655</v>
      </c>
      <c r="D297" s="45" t="str">
        <f t="shared" si="7"/>
        <v>2023.015P.Geminiviridae_rename_sp.zip</v>
      </c>
    </row>
    <row r="298" spans="1:4">
      <c r="A298" t="s">
        <v>11672</v>
      </c>
      <c r="B298" t="s">
        <v>19656</v>
      </c>
      <c r="C298" t="s">
        <v>19657</v>
      </c>
      <c r="D298" s="45" t="str">
        <f t="shared" si="7"/>
        <v>2023.015P.Geminiviridae_rename_sp.zip</v>
      </c>
    </row>
    <row r="299" spans="1:4">
      <c r="A299" t="s">
        <v>11672</v>
      </c>
      <c r="B299" t="s">
        <v>19658</v>
      </c>
      <c r="C299" t="s">
        <v>19659</v>
      </c>
      <c r="D299" s="45" t="str">
        <f t="shared" si="7"/>
        <v>2023.015P.Geminiviridae_rename_sp.zip</v>
      </c>
    </row>
    <row r="300" spans="1:4">
      <c r="A300" t="s">
        <v>11672</v>
      </c>
      <c r="B300" t="s">
        <v>19660</v>
      </c>
      <c r="C300" t="s">
        <v>19661</v>
      </c>
      <c r="D300" s="45" t="str">
        <f t="shared" si="7"/>
        <v>2023.015P.Geminiviridae_rename_sp.zip</v>
      </c>
    </row>
    <row r="301" spans="1:4">
      <c r="A301" t="s">
        <v>11672</v>
      </c>
      <c r="B301" t="s">
        <v>19662</v>
      </c>
      <c r="C301" t="s">
        <v>19663</v>
      </c>
      <c r="D301" s="45" t="str">
        <f t="shared" si="7"/>
        <v>2023.015P.Geminiviridae_rename_sp.zip</v>
      </c>
    </row>
    <row r="302" spans="1:4">
      <c r="A302" t="s">
        <v>11672</v>
      </c>
      <c r="B302" t="s">
        <v>19664</v>
      </c>
      <c r="C302" t="s">
        <v>19665</v>
      </c>
      <c r="D302" s="45" t="str">
        <f t="shared" si="7"/>
        <v>2023.015P.Geminiviridae_rename_sp.zip</v>
      </c>
    </row>
    <row r="303" spans="1:4">
      <c r="A303" t="s">
        <v>11672</v>
      </c>
      <c r="B303" t="s">
        <v>19666</v>
      </c>
      <c r="C303" t="s">
        <v>19667</v>
      </c>
      <c r="D303" s="45" t="str">
        <f t="shared" si="7"/>
        <v>2023.015P.Geminiviridae_rename_sp.zip</v>
      </c>
    </row>
    <row r="304" spans="1:4">
      <c r="A304" t="s">
        <v>11672</v>
      </c>
      <c r="B304" t="s">
        <v>19668</v>
      </c>
      <c r="C304" t="s">
        <v>19669</v>
      </c>
      <c r="D304" s="45" t="str">
        <f t="shared" si="7"/>
        <v>2023.015P.Geminiviridae_rename_sp.zip</v>
      </c>
    </row>
    <row r="305" spans="1:4">
      <c r="A305" t="s">
        <v>11672</v>
      </c>
      <c r="B305" t="s">
        <v>19670</v>
      </c>
      <c r="C305" t="s">
        <v>19671</v>
      </c>
      <c r="D305" s="45" t="str">
        <f t="shared" si="7"/>
        <v>2023.015P.Geminiviridae_rename_sp.zip</v>
      </c>
    </row>
    <row r="306" spans="1:4">
      <c r="A306" t="s">
        <v>11672</v>
      </c>
      <c r="B306" t="s">
        <v>19672</v>
      </c>
      <c r="C306" t="s">
        <v>19673</v>
      </c>
      <c r="D306" s="45" t="str">
        <f t="shared" si="7"/>
        <v>2023.015P.Geminiviridae_rename_sp.zip</v>
      </c>
    </row>
    <row r="307" spans="1:4">
      <c r="A307" t="s">
        <v>11672</v>
      </c>
      <c r="B307" t="s">
        <v>19674</v>
      </c>
      <c r="C307" t="s">
        <v>19675</v>
      </c>
      <c r="D307" s="45" t="str">
        <f t="shared" si="7"/>
        <v>2023.015P.Geminiviridae_rename_sp.zip</v>
      </c>
    </row>
    <row r="308" spans="1:4">
      <c r="A308" t="s">
        <v>11672</v>
      </c>
      <c r="B308" t="s">
        <v>19676</v>
      </c>
      <c r="C308" t="s">
        <v>19677</v>
      </c>
      <c r="D308" s="45" t="str">
        <f t="shared" si="7"/>
        <v>2023.015P.Geminiviridae_rename_sp.zip</v>
      </c>
    </row>
    <row r="309" spans="1:4">
      <c r="A309" t="s">
        <v>11672</v>
      </c>
      <c r="B309" t="s">
        <v>19678</v>
      </c>
      <c r="C309" t="s">
        <v>19679</v>
      </c>
      <c r="D309" s="45" t="str">
        <f t="shared" si="7"/>
        <v>2023.015P.Geminiviridae_rename_sp.zip</v>
      </c>
    </row>
    <row r="310" spans="1:4">
      <c r="A310" t="s">
        <v>11672</v>
      </c>
      <c r="B310" t="s">
        <v>19680</v>
      </c>
      <c r="C310" t="s">
        <v>19681</v>
      </c>
      <c r="D310" s="45" t="str">
        <f t="shared" si="7"/>
        <v>2023.015P.Geminiviridae_rename_sp.zip</v>
      </c>
    </row>
    <row r="311" spans="1:4">
      <c r="A311" t="s">
        <v>11672</v>
      </c>
      <c r="B311" t="s">
        <v>19682</v>
      </c>
      <c r="C311" t="s">
        <v>19683</v>
      </c>
      <c r="D311" s="45" t="str">
        <f t="shared" si="7"/>
        <v>2023.015P.Geminiviridae_rename_sp.zip</v>
      </c>
    </row>
    <row r="312" spans="1:4">
      <c r="A312" t="s">
        <v>11672</v>
      </c>
      <c r="B312" t="s">
        <v>19684</v>
      </c>
      <c r="C312" t="s">
        <v>19685</v>
      </c>
      <c r="D312" s="45" t="str">
        <f t="shared" si="7"/>
        <v>2023.015P.Geminiviridae_rename_sp.zip</v>
      </c>
    </row>
    <row r="313" spans="1:4">
      <c r="A313" t="s">
        <v>11672</v>
      </c>
      <c r="B313" t="s">
        <v>19686</v>
      </c>
      <c r="C313" t="s">
        <v>19687</v>
      </c>
      <c r="D313" s="45" t="str">
        <f t="shared" si="7"/>
        <v>2023.015P.Geminiviridae_rename_sp.zip</v>
      </c>
    </row>
    <row r="314" spans="1:4">
      <c r="A314" t="s">
        <v>11672</v>
      </c>
      <c r="B314" t="s">
        <v>19688</v>
      </c>
      <c r="C314" t="s">
        <v>19689</v>
      </c>
      <c r="D314" s="45" t="str">
        <f t="shared" si="7"/>
        <v>2023.015P.Geminiviridae_rename_sp.zip</v>
      </c>
    </row>
    <row r="315" spans="1:4">
      <c r="A315" t="s">
        <v>11672</v>
      </c>
      <c r="B315" t="s">
        <v>19690</v>
      </c>
      <c r="C315" t="s">
        <v>19691</v>
      </c>
      <c r="D315" s="45" t="str">
        <f t="shared" si="7"/>
        <v>2023.015P.Geminiviridae_rename_sp.zip</v>
      </c>
    </row>
    <row r="316" spans="1:4">
      <c r="A316" t="s">
        <v>11672</v>
      </c>
      <c r="B316" t="s">
        <v>19692</v>
      </c>
      <c r="C316" t="s">
        <v>19693</v>
      </c>
      <c r="D316" s="45" t="str">
        <f t="shared" si="7"/>
        <v>2023.015P.Geminiviridae_rename_sp.zip</v>
      </c>
    </row>
    <row r="317" spans="1:4">
      <c r="A317" t="s">
        <v>11672</v>
      </c>
      <c r="B317" t="s">
        <v>19694</v>
      </c>
      <c r="C317" t="s">
        <v>19695</v>
      </c>
      <c r="D317" s="45" t="str">
        <f t="shared" si="7"/>
        <v>2023.015P.Geminiviridae_rename_sp.zip</v>
      </c>
    </row>
    <row r="318" spans="1:4">
      <c r="A318" t="s">
        <v>11672</v>
      </c>
      <c r="B318" t="s">
        <v>19696</v>
      </c>
      <c r="C318" t="s">
        <v>19697</v>
      </c>
      <c r="D318" s="45" t="str">
        <f t="shared" si="7"/>
        <v>2023.015P.Geminiviridae_rename_sp.zip</v>
      </c>
    </row>
    <row r="319" spans="1:4">
      <c r="A319" t="s">
        <v>11672</v>
      </c>
      <c r="B319" t="s">
        <v>19698</v>
      </c>
      <c r="C319" t="s">
        <v>19699</v>
      </c>
      <c r="D319" s="45" t="str">
        <f t="shared" si="7"/>
        <v>2023.015P.Geminiviridae_rename_sp.zip</v>
      </c>
    </row>
    <row r="320" spans="1:4">
      <c r="A320" t="s">
        <v>11672</v>
      </c>
      <c r="B320" t="s">
        <v>19700</v>
      </c>
      <c r="C320" t="s">
        <v>19701</v>
      </c>
      <c r="D320" s="45" t="str">
        <f t="shared" si="7"/>
        <v>2023.015P.Geminiviridae_rename_sp.zip</v>
      </c>
    </row>
    <row r="321" spans="1:4">
      <c r="A321" t="s">
        <v>11672</v>
      </c>
      <c r="B321" t="s">
        <v>19702</v>
      </c>
      <c r="C321" t="s">
        <v>19703</v>
      </c>
      <c r="D321" s="45" t="str">
        <f t="shared" si="7"/>
        <v>2023.015P.Geminiviridae_rename_sp.zip</v>
      </c>
    </row>
    <row r="322" spans="1:4">
      <c r="A322" t="s">
        <v>11672</v>
      </c>
      <c r="B322" t="s">
        <v>19704</v>
      </c>
      <c r="C322" t="s">
        <v>19705</v>
      </c>
      <c r="D322" s="45" t="str">
        <f t="shared" si="7"/>
        <v>2023.015P.Geminiviridae_rename_sp.zip</v>
      </c>
    </row>
    <row r="323" spans="1:4">
      <c r="A323" t="s">
        <v>11672</v>
      </c>
      <c r="B323" t="s">
        <v>19706</v>
      </c>
      <c r="C323" t="s">
        <v>19707</v>
      </c>
      <c r="D323" s="45" t="str">
        <f t="shared" si="7"/>
        <v>2023.015P.Geminiviridae_rename_sp.zip</v>
      </c>
    </row>
    <row r="324" spans="1:4">
      <c r="A324" t="s">
        <v>11672</v>
      </c>
      <c r="B324" t="s">
        <v>19708</v>
      </c>
      <c r="C324" t="s">
        <v>19709</v>
      </c>
      <c r="D324" s="45" t="str">
        <f t="shared" si="7"/>
        <v>2023.015P.Geminiviridae_rename_sp.zip</v>
      </c>
    </row>
    <row r="325" spans="1:4">
      <c r="A325" t="s">
        <v>11672</v>
      </c>
      <c r="B325" t="s">
        <v>19710</v>
      </c>
      <c r="C325" t="s">
        <v>19711</v>
      </c>
      <c r="D325" s="45" t="str">
        <f t="shared" si="7"/>
        <v>2023.015P.Geminiviridae_rename_sp.zip</v>
      </c>
    </row>
    <row r="326" spans="1:4">
      <c r="A326" t="s">
        <v>11672</v>
      </c>
      <c r="B326" t="s">
        <v>19712</v>
      </c>
      <c r="C326" t="s">
        <v>19713</v>
      </c>
      <c r="D326" s="45" t="str">
        <f t="shared" si="7"/>
        <v>2023.015P.Geminiviridae_rename_sp.zip</v>
      </c>
    </row>
    <row r="327" spans="1:4">
      <c r="A327" t="s">
        <v>11672</v>
      </c>
      <c r="B327" t="s">
        <v>19714</v>
      </c>
      <c r="C327" t="s">
        <v>19715</v>
      </c>
      <c r="D327" s="45" t="str">
        <f t="shared" si="7"/>
        <v>2023.015P.Geminiviridae_rename_sp.zip</v>
      </c>
    </row>
    <row r="328" spans="1:4">
      <c r="A328" t="s">
        <v>11672</v>
      </c>
      <c r="B328" t="s">
        <v>19716</v>
      </c>
      <c r="C328" t="s">
        <v>19717</v>
      </c>
      <c r="D328" s="45" t="str">
        <f t="shared" si="7"/>
        <v>2023.015P.Geminiviridae_rename_sp.zip</v>
      </c>
    </row>
    <row r="329" spans="1:4">
      <c r="A329" t="s">
        <v>11672</v>
      </c>
      <c r="B329" t="s">
        <v>19718</v>
      </c>
      <c r="C329" t="s">
        <v>19719</v>
      </c>
      <c r="D329" s="45" t="str">
        <f t="shared" si="7"/>
        <v>2023.015P.Geminiviridae_rename_sp.zip</v>
      </c>
    </row>
    <row r="330" spans="1:4">
      <c r="A330" t="s">
        <v>11672</v>
      </c>
      <c r="B330" t="s">
        <v>19720</v>
      </c>
      <c r="C330" t="s">
        <v>19721</v>
      </c>
      <c r="D330" s="45" t="str">
        <f t="shared" si="7"/>
        <v>2023.015P.Geminiviridae_rename_sp.zip</v>
      </c>
    </row>
    <row r="331" spans="1:4">
      <c r="A331" t="s">
        <v>11672</v>
      </c>
      <c r="B331" t="s">
        <v>19722</v>
      </c>
      <c r="C331" t="s">
        <v>19723</v>
      </c>
      <c r="D331" s="45" t="str">
        <f t="shared" si="7"/>
        <v>2023.015P.Geminiviridae_rename_sp.zip</v>
      </c>
    </row>
    <row r="332" spans="1:4">
      <c r="A332" t="s">
        <v>11672</v>
      </c>
      <c r="B332" t="s">
        <v>19724</v>
      </c>
      <c r="C332" t="s">
        <v>19725</v>
      </c>
      <c r="D332" s="45" t="str">
        <f t="shared" si="7"/>
        <v>2023.015P.Geminiviridae_rename_sp.zip</v>
      </c>
    </row>
    <row r="333" spans="1:4">
      <c r="A333" t="s">
        <v>11672</v>
      </c>
      <c r="B333" t="s">
        <v>19726</v>
      </c>
      <c r="C333" t="s">
        <v>19727</v>
      </c>
      <c r="D333" s="45" t="str">
        <f t="shared" si="7"/>
        <v>2023.015P.Geminiviridae_rename_sp.zip</v>
      </c>
    </row>
    <row r="334" spans="1:4">
      <c r="A334" t="s">
        <v>11672</v>
      </c>
      <c r="B334" t="s">
        <v>19728</v>
      </c>
      <c r="C334" t="s">
        <v>19729</v>
      </c>
      <c r="D334" s="45" t="str">
        <f t="shared" si="7"/>
        <v>2023.015P.Geminiviridae_rename_sp.zip</v>
      </c>
    </row>
    <row r="335" spans="1:4">
      <c r="A335" t="s">
        <v>11672</v>
      </c>
      <c r="B335" t="s">
        <v>19730</v>
      </c>
      <c r="C335" t="s">
        <v>19731</v>
      </c>
      <c r="D335" s="45" t="str">
        <f t="shared" si="7"/>
        <v>2023.015P.Geminiviridae_rename_sp.zip</v>
      </c>
    </row>
    <row r="336" spans="1:4">
      <c r="A336" t="s">
        <v>11672</v>
      </c>
      <c r="B336" t="s">
        <v>19732</v>
      </c>
      <c r="C336" t="s">
        <v>19733</v>
      </c>
      <c r="D336" s="45" t="str">
        <f t="shared" si="7"/>
        <v>2023.015P.Geminiviridae_rename_sp.zip</v>
      </c>
    </row>
    <row r="337" spans="1:4">
      <c r="A337" t="s">
        <v>11672</v>
      </c>
      <c r="B337" t="s">
        <v>19734</v>
      </c>
      <c r="C337" t="s">
        <v>19735</v>
      </c>
      <c r="D337" s="45" t="str">
        <f t="shared" si="7"/>
        <v>2023.015P.Geminiviridae_rename_sp.zip</v>
      </c>
    </row>
    <row r="338" spans="1:4">
      <c r="A338" t="s">
        <v>11672</v>
      </c>
      <c r="B338" t="s">
        <v>19736</v>
      </c>
      <c r="C338" t="s">
        <v>19737</v>
      </c>
      <c r="D338" s="45" t="str">
        <f t="shared" si="7"/>
        <v>2023.015P.Geminiviridae_rename_sp.zip</v>
      </c>
    </row>
    <row r="339" spans="1:4">
      <c r="A339" t="s">
        <v>11672</v>
      </c>
      <c r="B339" t="s">
        <v>19738</v>
      </c>
      <c r="C339" t="s">
        <v>19739</v>
      </c>
      <c r="D339" s="45" t="str">
        <f t="shared" si="7"/>
        <v>2023.015P.Geminiviridae_rename_sp.zip</v>
      </c>
    </row>
    <row r="340" spans="1:4">
      <c r="A340" t="s">
        <v>11672</v>
      </c>
      <c r="B340" t="s">
        <v>19740</v>
      </c>
      <c r="C340" t="s">
        <v>19741</v>
      </c>
      <c r="D340" s="45" t="str">
        <f t="shared" si="7"/>
        <v>2023.015P.Geminiviridae_rename_sp.zip</v>
      </c>
    </row>
    <row r="341" spans="1:4">
      <c r="A341" t="s">
        <v>11672</v>
      </c>
      <c r="B341" t="s">
        <v>19742</v>
      </c>
      <c r="C341" t="s">
        <v>19743</v>
      </c>
      <c r="D341" s="45" t="str">
        <f t="shared" si="7"/>
        <v>2023.015P.Geminiviridae_rename_sp.zip</v>
      </c>
    </row>
    <row r="342" spans="1:4">
      <c r="A342" t="s">
        <v>11672</v>
      </c>
      <c r="B342" t="s">
        <v>19744</v>
      </c>
      <c r="C342" t="s">
        <v>19745</v>
      </c>
      <c r="D342" s="45" t="str">
        <f t="shared" si="7"/>
        <v>2023.015P.Geminiviridae_rename_sp.zip</v>
      </c>
    </row>
    <row r="343" spans="1:4">
      <c r="A343" t="s">
        <v>11672</v>
      </c>
      <c r="B343" t="s">
        <v>19746</v>
      </c>
      <c r="C343" t="s">
        <v>19747</v>
      </c>
      <c r="D343" s="45" t="str">
        <f t="shared" si="7"/>
        <v>2023.015P.Geminiviridae_rename_sp.zip</v>
      </c>
    </row>
    <row r="344" spans="1:4">
      <c r="A344" t="s">
        <v>11672</v>
      </c>
      <c r="B344" t="s">
        <v>19748</v>
      </c>
      <c r="C344" t="s">
        <v>19749</v>
      </c>
      <c r="D344" s="45" t="str">
        <f t="shared" si="7"/>
        <v>2023.015P.Geminiviridae_rename_sp.zip</v>
      </c>
    </row>
    <row r="345" spans="1:4">
      <c r="A345" t="s">
        <v>11672</v>
      </c>
      <c r="B345" t="s">
        <v>19750</v>
      </c>
      <c r="C345" t="s">
        <v>19751</v>
      </c>
      <c r="D345" s="45" t="str">
        <f t="shared" si="7"/>
        <v>2023.015P.Geminiviridae_rename_sp.zip</v>
      </c>
    </row>
    <row r="346" spans="1:4">
      <c r="A346" t="s">
        <v>11672</v>
      </c>
      <c r="B346" t="s">
        <v>19752</v>
      </c>
      <c r="C346" t="s">
        <v>19753</v>
      </c>
      <c r="D346" s="45" t="str">
        <f t="shared" si="7"/>
        <v>2023.015P.Geminiviridae_rename_sp.zip</v>
      </c>
    </row>
    <row r="347" spans="1:4">
      <c r="A347" t="s">
        <v>11672</v>
      </c>
      <c r="B347" t="s">
        <v>19754</v>
      </c>
      <c r="C347" t="s">
        <v>19755</v>
      </c>
      <c r="D347" s="45" t="str">
        <f t="shared" si="7"/>
        <v>2023.015P.Geminiviridae_rename_sp.zip</v>
      </c>
    </row>
    <row r="348" spans="1:4">
      <c r="A348" t="s">
        <v>11672</v>
      </c>
      <c r="B348" t="s">
        <v>19756</v>
      </c>
      <c r="C348" t="s">
        <v>19757</v>
      </c>
      <c r="D348" s="45" t="str">
        <f t="shared" si="7"/>
        <v>2023.015P.Geminiviridae_rename_sp.zip</v>
      </c>
    </row>
    <row r="349" spans="1:4">
      <c r="A349" t="s">
        <v>11672</v>
      </c>
      <c r="B349" t="s">
        <v>19758</v>
      </c>
      <c r="C349" t="s">
        <v>19759</v>
      </c>
      <c r="D349" s="45" t="str">
        <f t="shared" si="7"/>
        <v>2023.015P.Geminiviridae_rename_sp.zip</v>
      </c>
    </row>
    <row r="350" spans="1:4">
      <c r="A350" t="s">
        <v>11672</v>
      </c>
      <c r="B350" t="s">
        <v>19760</v>
      </c>
      <c r="C350" t="s">
        <v>19761</v>
      </c>
      <c r="D350" s="45" t="str">
        <f t="shared" si="7"/>
        <v>2023.015P.Geminiviridae_rename_sp.zip</v>
      </c>
    </row>
    <row r="351" spans="1:4">
      <c r="A351" t="s">
        <v>11672</v>
      </c>
      <c r="B351" t="s">
        <v>19762</v>
      </c>
      <c r="C351" t="s">
        <v>19763</v>
      </c>
      <c r="D351" s="45" t="str">
        <f t="shared" si="7"/>
        <v>2023.015P.Geminiviridae_rename_sp.zip</v>
      </c>
    </row>
    <row r="352" spans="1:4">
      <c r="A352" t="s">
        <v>11672</v>
      </c>
      <c r="B352" t="s">
        <v>19764</v>
      </c>
      <c r="C352" t="s">
        <v>19765</v>
      </c>
      <c r="D352" s="45" t="str">
        <f t="shared" si="7"/>
        <v>2023.015P.Geminiviridae_rename_sp.zip</v>
      </c>
    </row>
    <row r="353" spans="1:4">
      <c r="A353" t="s">
        <v>11672</v>
      </c>
      <c r="B353" t="s">
        <v>19766</v>
      </c>
      <c r="C353" t="s">
        <v>19767</v>
      </c>
      <c r="D353" s="45" t="str">
        <f t="shared" si="7"/>
        <v>2023.015P.Geminiviridae_rename_sp.zip</v>
      </c>
    </row>
    <row r="354" spans="1:4">
      <c r="A354" t="s">
        <v>11672</v>
      </c>
      <c r="B354" t="s">
        <v>19768</v>
      </c>
      <c r="C354" t="s">
        <v>19769</v>
      </c>
      <c r="D354" s="45" t="str">
        <f t="shared" si="7"/>
        <v>2023.015P.Geminiviridae_rename_sp.zip</v>
      </c>
    </row>
    <row r="355" spans="1:4">
      <c r="A355" t="s">
        <v>11672</v>
      </c>
      <c r="B355" t="s">
        <v>19770</v>
      </c>
      <c r="C355" t="s">
        <v>19771</v>
      </c>
      <c r="D355" s="45" t="str">
        <f t="shared" si="7"/>
        <v>2023.015P.Geminiviridae_rename_sp.zip</v>
      </c>
    </row>
    <row r="356" spans="1:4">
      <c r="A356" t="s">
        <v>11672</v>
      </c>
      <c r="B356" t="s">
        <v>19772</v>
      </c>
      <c r="C356" t="s">
        <v>19773</v>
      </c>
      <c r="D356" s="45" t="str">
        <f t="shared" si="7"/>
        <v>2023.015P.Geminiviridae_rename_sp.zip</v>
      </c>
    </row>
    <row r="357" spans="1:4">
      <c r="A357" t="s">
        <v>11672</v>
      </c>
      <c r="B357" t="s">
        <v>19774</v>
      </c>
      <c r="C357" t="s">
        <v>19775</v>
      </c>
      <c r="D357" s="45" t="str">
        <f t="shared" ref="D357:D420" si="8">HYPERLINK("https://ictv.global/ictv/proposals/2023.015P.Geminiviridae_rename_sp.zip","2023.015P.Geminiviridae_rename_sp.zip")</f>
        <v>2023.015P.Geminiviridae_rename_sp.zip</v>
      </c>
    </row>
    <row r="358" spans="1:4">
      <c r="A358" t="s">
        <v>11672</v>
      </c>
      <c r="B358" t="s">
        <v>19776</v>
      </c>
      <c r="C358" t="s">
        <v>19777</v>
      </c>
      <c r="D358" s="45" t="str">
        <f t="shared" si="8"/>
        <v>2023.015P.Geminiviridae_rename_sp.zip</v>
      </c>
    </row>
    <row r="359" spans="1:4">
      <c r="A359" t="s">
        <v>11672</v>
      </c>
      <c r="B359" t="s">
        <v>19778</v>
      </c>
      <c r="C359" t="s">
        <v>19779</v>
      </c>
      <c r="D359" s="45" t="str">
        <f t="shared" si="8"/>
        <v>2023.015P.Geminiviridae_rename_sp.zip</v>
      </c>
    </row>
    <row r="360" spans="1:4">
      <c r="A360" t="s">
        <v>11672</v>
      </c>
      <c r="B360" t="s">
        <v>19780</v>
      </c>
      <c r="C360" t="s">
        <v>19781</v>
      </c>
      <c r="D360" s="45" t="str">
        <f t="shared" si="8"/>
        <v>2023.015P.Geminiviridae_rename_sp.zip</v>
      </c>
    </row>
    <row r="361" spans="1:4">
      <c r="A361" t="s">
        <v>11672</v>
      </c>
      <c r="B361" t="s">
        <v>19782</v>
      </c>
      <c r="C361" t="s">
        <v>19783</v>
      </c>
      <c r="D361" s="45" t="str">
        <f t="shared" si="8"/>
        <v>2023.015P.Geminiviridae_rename_sp.zip</v>
      </c>
    </row>
    <row r="362" spans="1:4">
      <c r="A362" t="s">
        <v>11672</v>
      </c>
      <c r="B362" t="s">
        <v>19784</v>
      </c>
      <c r="C362" t="s">
        <v>19785</v>
      </c>
      <c r="D362" s="45" t="str">
        <f t="shared" si="8"/>
        <v>2023.015P.Geminiviridae_rename_sp.zip</v>
      </c>
    </row>
    <row r="363" spans="1:4">
      <c r="A363" t="s">
        <v>11672</v>
      </c>
      <c r="B363" t="s">
        <v>19786</v>
      </c>
      <c r="C363" t="s">
        <v>19787</v>
      </c>
      <c r="D363" s="45" t="str">
        <f t="shared" si="8"/>
        <v>2023.015P.Geminiviridae_rename_sp.zip</v>
      </c>
    </row>
    <row r="364" spans="1:4">
      <c r="A364" t="s">
        <v>11672</v>
      </c>
      <c r="B364" t="s">
        <v>19788</v>
      </c>
      <c r="C364" t="s">
        <v>19789</v>
      </c>
      <c r="D364" s="45" t="str">
        <f t="shared" si="8"/>
        <v>2023.015P.Geminiviridae_rename_sp.zip</v>
      </c>
    </row>
    <row r="365" spans="1:4">
      <c r="A365" t="s">
        <v>11672</v>
      </c>
      <c r="B365" t="s">
        <v>19790</v>
      </c>
      <c r="C365" t="s">
        <v>19791</v>
      </c>
      <c r="D365" s="45" t="str">
        <f t="shared" si="8"/>
        <v>2023.015P.Geminiviridae_rename_sp.zip</v>
      </c>
    </row>
    <row r="366" spans="1:4">
      <c r="A366" t="s">
        <v>11672</v>
      </c>
      <c r="B366" t="s">
        <v>19792</v>
      </c>
      <c r="C366" t="s">
        <v>19793</v>
      </c>
      <c r="D366" s="45" t="str">
        <f t="shared" si="8"/>
        <v>2023.015P.Geminiviridae_rename_sp.zip</v>
      </c>
    </row>
    <row r="367" spans="1:4">
      <c r="A367" t="s">
        <v>11672</v>
      </c>
      <c r="B367" t="s">
        <v>19794</v>
      </c>
      <c r="C367" t="s">
        <v>19795</v>
      </c>
      <c r="D367" s="45" t="str">
        <f t="shared" si="8"/>
        <v>2023.015P.Geminiviridae_rename_sp.zip</v>
      </c>
    </row>
    <row r="368" spans="1:4">
      <c r="A368" t="s">
        <v>11672</v>
      </c>
      <c r="B368" t="s">
        <v>19796</v>
      </c>
      <c r="C368" t="s">
        <v>19797</v>
      </c>
      <c r="D368" s="45" t="str">
        <f t="shared" si="8"/>
        <v>2023.015P.Geminiviridae_rename_sp.zip</v>
      </c>
    </row>
    <row r="369" spans="1:4">
      <c r="A369" t="s">
        <v>11672</v>
      </c>
      <c r="B369" t="s">
        <v>19798</v>
      </c>
      <c r="C369" t="s">
        <v>19799</v>
      </c>
      <c r="D369" s="45" t="str">
        <f t="shared" si="8"/>
        <v>2023.015P.Geminiviridae_rename_sp.zip</v>
      </c>
    </row>
    <row r="370" spans="1:4">
      <c r="A370" t="s">
        <v>11672</v>
      </c>
      <c r="B370" t="s">
        <v>19800</v>
      </c>
      <c r="C370" t="s">
        <v>19801</v>
      </c>
      <c r="D370" s="45" t="str">
        <f t="shared" si="8"/>
        <v>2023.015P.Geminiviridae_rename_sp.zip</v>
      </c>
    </row>
    <row r="371" spans="1:4">
      <c r="A371" t="s">
        <v>11672</v>
      </c>
      <c r="B371" t="s">
        <v>19802</v>
      </c>
      <c r="C371" t="s">
        <v>19803</v>
      </c>
      <c r="D371" s="45" t="str">
        <f t="shared" si="8"/>
        <v>2023.015P.Geminiviridae_rename_sp.zip</v>
      </c>
    </row>
    <row r="372" spans="1:4">
      <c r="A372" t="s">
        <v>11672</v>
      </c>
      <c r="B372" t="s">
        <v>19804</v>
      </c>
      <c r="C372" t="s">
        <v>19805</v>
      </c>
      <c r="D372" s="45" t="str">
        <f t="shared" si="8"/>
        <v>2023.015P.Geminiviridae_rename_sp.zip</v>
      </c>
    </row>
    <row r="373" spans="1:4">
      <c r="A373" t="s">
        <v>11672</v>
      </c>
      <c r="B373" t="s">
        <v>19806</v>
      </c>
      <c r="C373" t="s">
        <v>19807</v>
      </c>
      <c r="D373" s="45" t="str">
        <f t="shared" si="8"/>
        <v>2023.015P.Geminiviridae_rename_sp.zip</v>
      </c>
    </row>
    <row r="374" spans="1:4">
      <c r="A374" t="s">
        <v>11672</v>
      </c>
      <c r="B374" t="s">
        <v>19808</v>
      </c>
      <c r="C374" t="s">
        <v>19809</v>
      </c>
      <c r="D374" s="45" t="str">
        <f t="shared" si="8"/>
        <v>2023.015P.Geminiviridae_rename_sp.zip</v>
      </c>
    </row>
    <row r="375" spans="1:4">
      <c r="A375" t="s">
        <v>11672</v>
      </c>
      <c r="B375" t="s">
        <v>19810</v>
      </c>
      <c r="C375" t="s">
        <v>19811</v>
      </c>
      <c r="D375" s="45" t="str">
        <f t="shared" si="8"/>
        <v>2023.015P.Geminiviridae_rename_sp.zip</v>
      </c>
    </row>
    <row r="376" spans="1:4">
      <c r="A376" t="s">
        <v>11672</v>
      </c>
      <c r="B376" t="s">
        <v>19812</v>
      </c>
      <c r="C376" t="s">
        <v>19813</v>
      </c>
      <c r="D376" s="45" t="str">
        <f t="shared" si="8"/>
        <v>2023.015P.Geminiviridae_rename_sp.zip</v>
      </c>
    </row>
    <row r="377" spans="1:4">
      <c r="A377" t="s">
        <v>11672</v>
      </c>
      <c r="B377" t="s">
        <v>19814</v>
      </c>
      <c r="C377" t="s">
        <v>19815</v>
      </c>
      <c r="D377" s="45" t="str">
        <f t="shared" si="8"/>
        <v>2023.015P.Geminiviridae_rename_sp.zip</v>
      </c>
    </row>
    <row r="378" spans="1:4">
      <c r="A378" t="s">
        <v>11672</v>
      </c>
      <c r="B378" t="s">
        <v>19816</v>
      </c>
      <c r="C378" t="s">
        <v>19817</v>
      </c>
      <c r="D378" s="45" t="str">
        <f t="shared" si="8"/>
        <v>2023.015P.Geminiviridae_rename_sp.zip</v>
      </c>
    </row>
    <row r="379" spans="1:4">
      <c r="A379" t="s">
        <v>11672</v>
      </c>
      <c r="B379" t="s">
        <v>19818</v>
      </c>
      <c r="C379" t="s">
        <v>19819</v>
      </c>
      <c r="D379" s="45" t="str">
        <f t="shared" si="8"/>
        <v>2023.015P.Geminiviridae_rename_sp.zip</v>
      </c>
    </row>
    <row r="380" spans="1:4">
      <c r="A380" t="s">
        <v>11672</v>
      </c>
      <c r="B380" t="s">
        <v>19820</v>
      </c>
      <c r="C380" t="s">
        <v>19821</v>
      </c>
      <c r="D380" s="45" t="str">
        <f t="shared" si="8"/>
        <v>2023.015P.Geminiviridae_rename_sp.zip</v>
      </c>
    </row>
    <row r="381" spans="1:4">
      <c r="A381" t="s">
        <v>11672</v>
      </c>
      <c r="B381" t="s">
        <v>19822</v>
      </c>
      <c r="C381" t="s">
        <v>19823</v>
      </c>
      <c r="D381" s="45" t="str">
        <f t="shared" si="8"/>
        <v>2023.015P.Geminiviridae_rename_sp.zip</v>
      </c>
    </row>
    <row r="382" spans="1:4">
      <c r="A382" t="s">
        <v>11672</v>
      </c>
      <c r="B382" t="s">
        <v>19824</v>
      </c>
      <c r="C382" t="s">
        <v>19825</v>
      </c>
      <c r="D382" s="45" t="str">
        <f t="shared" si="8"/>
        <v>2023.015P.Geminiviridae_rename_sp.zip</v>
      </c>
    </row>
    <row r="383" spans="1:4">
      <c r="A383" t="s">
        <v>11672</v>
      </c>
      <c r="B383" t="s">
        <v>19826</v>
      </c>
      <c r="C383" t="s">
        <v>19827</v>
      </c>
      <c r="D383" s="45" t="str">
        <f t="shared" si="8"/>
        <v>2023.015P.Geminiviridae_rename_sp.zip</v>
      </c>
    </row>
    <row r="384" spans="1:4">
      <c r="A384" t="s">
        <v>11672</v>
      </c>
      <c r="B384" t="s">
        <v>19828</v>
      </c>
      <c r="C384" t="s">
        <v>19829</v>
      </c>
      <c r="D384" s="45" t="str">
        <f t="shared" si="8"/>
        <v>2023.015P.Geminiviridae_rename_sp.zip</v>
      </c>
    </row>
    <row r="385" spans="1:4">
      <c r="A385" t="s">
        <v>11672</v>
      </c>
      <c r="B385" t="s">
        <v>19830</v>
      </c>
      <c r="C385" t="s">
        <v>19831</v>
      </c>
      <c r="D385" s="45" t="str">
        <f t="shared" si="8"/>
        <v>2023.015P.Geminiviridae_rename_sp.zip</v>
      </c>
    </row>
    <row r="386" spans="1:4">
      <c r="A386" t="s">
        <v>11672</v>
      </c>
      <c r="B386" t="s">
        <v>19832</v>
      </c>
      <c r="C386" t="s">
        <v>19833</v>
      </c>
      <c r="D386" s="45" t="str">
        <f t="shared" si="8"/>
        <v>2023.015P.Geminiviridae_rename_sp.zip</v>
      </c>
    </row>
    <row r="387" spans="1:4">
      <c r="A387" t="s">
        <v>11672</v>
      </c>
      <c r="B387" t="s">
        <v>19834</v>
      </c>
      <c r="C387" t="s">
        <v>19835</v>
      </c>
      <c r="D387" s="45" t="str">
        <f t="shared" si="8"/>
        <v>2023.015P.Geminiviridae_rename_sp.zip</v>
      </c>
    </row>
    <row r="388" spans="1:4">
      <c r="A388" t="s">
        <v>11672</v>
      </c>
      <c r="B388" t="s">
        <v>19836</v>
      </c>
      <c r="C388" t="s">
        <v>19837</v>
      </c>
      <c r="D388" s="45" t="str">
        <f t="shared" si="8"/>
        <v>2023.015P.Geminiviridae_rename_sp.zip</v>
      </c>
    </row>
    <row r="389" spans="1:4">
      <c r="A389" t="s">
        <v>11672</v>
      </c>
      <c r="B389" t="s">
        <v>19838</v>
      </c>
      <c r="C389" t="s">
        <v>19839</v>
      </c>
      <c r="D389" s="45" t="str">
        <f t="shared" si="8"/>
        <v>2023.015P.Geminiviridae_rename_sp.zip</v>
      </c>
    </row>
    <row r="390" spans="1:4">
      <c r="A390" t="s">
        <v>11672</v>
      </c>
      <c r="B390" t="s">
        <v>19840</v>
      </c>
      <c r="C390" t="s">
        <v>19841</v>
      </c>
      <c r="D390" s="45" t="str">
        <f t="shared" si="8"/>
        <v>2023.015P.Geminiviridae_rename_sp.zip</v>
      </c>
    </row>
    <row r="391" spans="1:4">
      <c r="A391" t="s">
        <v>11672</v>
      </c>
      <c r="B391" t="s">
        <v>19842</v>
      </c>
      <c r="C391" t="s">
        <v>19843</v>
      </c>
      <c r="D391" s="45" t="str">
        <f t="shared" si="8"/>
        <v>2023.015P.Geminiviridae_rename_sp.zip</v>
      </c>
    </row>
    <row r="392" spans="1:4">
      <c r="A392" t="s">
        <v>11672</v>
      </c>
      <c r="B392" t="s">
        <v>19844</v>
      </c>
      <c r="C392" t="s">
        <v>19845</v>
      </c>
      <c r="D392" s="45" t="str">
        <f t="shared" si="8"/>
        <v>2023.015P.Geminiviridae_rename_sp.zip</v>
      </c>
    </row>
    <row r="393" spans="1:4">
      <c r="A393" t="s">
        <v>11672</v>
      </c>
      <c r="B393" t="s">
        <v>19846</v>
      </c>
      <c r="C393" t="s">
        <v>19847</v>
      </c>
      <c r="D393" s="45" t="str">
        <f t="shared" si="8"/>
        <v>2023.015P.Geminiviridae_rename_sp.zip</v>
      </c>
    </row>
    <row r="394" spans="1:4">
      <c r="A394" t="s">
        <v>11672</v>
      </c>
      <c r="B394" t="s">
        <v>19848</v>
      </c>
      <c r="C394" t="s">
        <v>19849</v>
      </c>
      <c r="D394" s="45" t="str">
        <f t="shared" si="8"/>
        <v>2023.015P.Geminiviridae_rename_sp.zip</v>
      </c>
    </row>
    <row r="395" spans="1:4">
      <c r="A395" t="s">
        <v>11672</v>
      </c>
      <c r="B395" t="s">
        <v>19850</v>
      </c>
      <c r="C395" t="s">
        <v>19851</v>
      </c>
      <c r="D395" s="45" t="str">
        <f t="shared" si="8"/>
        <v>2023.015P.Geminiviridae_rename_sp.zip</v>
      </c>
    </row>
    <row r="396" spans="1:4">
      <c r="A396" t="s">
        <v>11672</v>
      </c>
      <c r="B396" t="s">
        <v>19852</v>
      </c>
      <c r="C396" t="s">
        <v>19853</v>
      </c>
      <c r="D396" s="45" t="str">
        <f t="shared" si="8"/>
        <v>2023.015P.Geminiviridae_rename_sp.zip</v>
      </c>
    </row>
    <row r="397" spans="1:4">
      <c r="A397" t="s">
        <v>11672</v>
      </c>
      <c r="B397" t="s">
        <v>19854</v>
      </c>
      <c r="C397" t="s">
        <v>19855</v>
      </c>
      <c r="D397" s="45" t="str">
        <f t="shared" si="8"/>
        <v>2023.015P.Geminiviridae_rename_sp.zip</v>
      </c>
    </row>
    <row r="398" spans="1:4">
      <c r="A398" t="s">
        <v>11672</v>
      </c>
      <c r="B398" t="s">
        <v>19856</v>
      </c>
      <c r="C398" t="s">
        <v>19857</v>
      </c>
      <c r="D398" s="45" t="str">
        <f t="shared" si="8"/>
        <v>2023.015P.Geminiviridae_rename_sp.zip</v>
      </c>
    </row>
    <row r="399" spans="1:4">
      <c r="A399" t="s">
        <v>11672</v>
      </c>
      <c r="B399" t="s">
        <v>19858</v>
      </c>
      <c r="C399" t="s">
        <v>19859</v>
      </c>
      <c r="D399" s="45" t="str">
        <f t="shared" si="8"/>
        <v>2023.015P.Geminiviridae_rename_sp.zip</v>
      </c>
    </row>
    <row r="400" spans="1:4">
      <c r="A400" t="s">
        <v>11672</v>
      </c>
      <c r="B400" t="s">
        <v>19860</v>
      </c>
      <c r="C400" t="s">
        <v>19861</v>
      </c>
      <c r="D400" s="45" t="str">
        <f t="shared" si="8"/>
        <v>2023.015P.Geminiviridae_rename_sp.zip</v>
      </c>
    </row>
    <row r="401" spans="1:4">
      <c r="A401" t="s">
        <v>11672</v>
      </c>
      <c r="B401" t="s">
        <v>19862</v>
      </c>
      <c r="C401" t="s">
        <v>19863</v>
      </c>
      <c r="D401" s="45" t="str">
        <f t="shared" si="8"/>
        <v>2023.015P.Geminiviridae_rename_sp.zip</v>
      </c>
    </row>
    <row r="402" spans="1:4">
      <c r="A402" t="s">
        <v>11672</v>
      </c>
      <c r="B402" t="s">
        <v>19864</v>
      </c>
      <c r="C402" t="s">
        <v>19865</v>
      </c>
      <c r="D402" s="45" t="str">
        <f t="shared" si="8"/>
        <v>2023.015P.Geminiviridae_rename_sp.zip</v>
      </c>
    </row>
    <row r="403" spans="1:4">
      <c r="A403" t="s">
        <v>11672</v>
      </c>
      <c r="B403" t="s">
        <v>19866</v>
      </c>
      <c r="C403" t="s">
        <v>19867</v>
      </c>
      <c r="D403" s="45" t="str">
        <f t="shared" si="8"/>
        <v>2023.015P.Geminiviridae_rename_sp.zip</v>
      </c>
    </row>
    <row r="404" spans="1:4">
      <c r="A404" t="s">
        <v>11672</v>
      </c>
      <c r="B404" t="s">
        <v>19868</v>
      </c>
      <c r="C404" t="s">
        <v>19869</v>
      </c>
      <c r="D404" s="45" t="str">
        <f t="shared" si="8"/>
        <v>2023.015P.Geminiviridae_rename_sp.zip</v>
      </c>
    </row>
    <row r="405" spans="1:4">
      <c r="A405" t="s">
        <v>11672</v>
      </c>
      <c r="B405" t="s">
        <v>19870</v>
      </c>
      <c r="C405" t="s">
        <v>19871</v>
      </c>
      <c r="D405" s="45" t="str">
        <f t="shared" si="8"/>
        <v>2023.015P.Geminiviridae_rename_sp.zip</v>
      </c>
    </row>
    <row r="406" spans="1:4">
      <c r="A406" t="s">
        <v>11672</v>
      </c>
      <c r="B406" t="s">
        <v>19872</v>
      </c>
      <c r="C406" t="s">
        <v>19873</v>
      </c>
      <c r="D406" s="45" t="str">
        <f t="shared" si="8"/>
        <v>2023.015P.Geminiviridae_rename_sp.zip</v>
      </c>
    </row>
    <row r="407" spans="1:4">
      <c r="A407" t="s">
        <v>11672</v>
      </c>
      <c r="B407" t="s">
        <v>19874</v>
      </c>
      <c r="C407" t="s">
        <v>19875</v>
      </c>
      <c r="D407" s="45" t="str">
        <f t="shared" si="8"/>
        <v>2023.015P.Geminiviridae_rename_sp.zip</v>
      </c>
    </row>
    <row r="408" spans="1:4">
      <c r="A408" t="s">
        <v>11672</v>
      </c>
      <c r="B408" t="s">
        <v>19876</v>
      </c>
      <c r="C408" t="s">
        <v>19877</v>
      </c>
      <c r="D408" s="45" t="str">
        <f t="shared" si="8"/>
        <v>2023.015P.Geminiviridae_rename_sp.zip</v>
      </c>
    </row>
    <row r="409" spans="1:4">
      <c r="A409" t="s">
        <v>11672</v>
      </c>
      <c r="B409" t="s">
        <v>19878</v>
      </c>
      <c r="C409" t="s">
        <v>19879</v>
      </c>
      <c r="D409" s="45" t="str">
        <f t="shared" si="8"/>
        <v>2023.015P.Geminiviridae_rename_sp.zip</v>
      </c>
    </row>
    <row r="410" spans="1:4">
      <c r="A410" t="s">
        <v>11672</v>
      </c>
      <c r="B410" t="s">
        <v>19880</v>
      </c>
      <c r="C410" t="s">
        <v>19881</v>
      </c>
      <c r="D410" s="45" t="str">
        <f t="shared" si="8"/>
        <v>2023.015P.Geminiviridae_rename_sp.zip</v>
      </c>
    </row>
    <row r="411" spans="1:4">
      <c r="A411" t="s">
        <v>11672</v>
      </c>
      <c r="B411" t="s">
        <v>19882</v>
      </c>
      <c r="C411" t="s">
        <v>19883</v>
      </c>
      <c r="D411" s="45" t="str">
        <f t="shared" si="8"/>
        <v>2023.015P.Geminiviridae_rename_sp.zip</v>
      </c>
    </row>
    <row r="412" spans="1:4">
      <c r="A412" t="s">
        <v>11672</v>
      </c>
      <c r="B412" t="s">
        <v>19884</v>
      </c>
      <c r="C412" t="s">
        <v>19885</v>
      </c>
      <c r="D412" s="45" t="str">
        <f t="shared" si="8"/>
        <v>2023.015P.Geminiviridae_rename_sp.zip</v>
      </c>
    </row>
    <row r="413" spans="1:4">
      <c r="A413" t="s">
        <v>11672</v>
      </c>
      <c r="B413" t="s">
        <v>19886</v>
      </c>
      <c r="C413" t="s">
        <v>19887</v>
      </c>
      <c r="D413" s="45" t="str">
        <f t="shared" si="8"/>
        <v>2023.015P.Geminiviridae_rename_sp.zip</v>
      </c>
    </row>
    <row r="414" spans="1:4">
      <c r="A414" t="s">
        <v>11672</v>
      </c>
      <c r="B414" t="s">
        <v>19888</v>
      </c>
      <c r="C414" t="s">
        <v>19889</v>
      </c>
      <c r="D414" s="45" t="str">
        <f t="shared" si="8"/>
        <v>2023.015P.Geminiviridae_rename_sp.zip</v>
      </c>
    </row>
    <row r="415" spans="1:4">
      <c r="A415" t="s">
        <v>11672</v>
      </c>
      <c r="B415" t="s">
        <v>19890</v>
      </c>
      <c r="C415" t="s">
        <v>19891</v>
      </c>
      <c r="D415" s="45" t="str">
        <f t="shared" si="8"/>
        <v>2023.015P.Geminiviridae_rename_sp.zip</v>
      </c>
    </row>
    <row r="416" spans="1:4">
      <c r="A416" t="s">
        <v>11672</v>
      </c>
      <c r="B416" t="s">
        <v>19892</v>
      </c>
      <c r="C416" t="s">
        <v>19893</v>
      </c>
      <c r="D416" s="45" t="str">
        <f t="shared" si="8"/>
        <v>2023.015P.Geminiviridae_rename_sp.zip</v>
      </c>
    </row>
    <row r="417" spans="1:4">
      <c r="A417" t="s">
        <v>11672</v>
      </c>
      <c r="B417" t="s">
        <v>19894</v>
      </c>
      <c r="C417" t="s">
        <v>19895</v>
      </c>
      <c r="D417" s="45" t="str">
        <f t="shared" si="8"/>
        <v>2023.015P.Geminiviridae_rename_sp.zip</v>
      </c>
    </row>
    <row r="418" spans="1:4">
      <c r="A418" t="s">
        <v>11672</v>
      </c>
      <c r="B418" t="s">
        <v>19896</v>
      </c>
      <c r="C418" t="s">
        <v>19897</v>
      </c>
      <c r="D418" s="45" t="str">
        <f t="shared" si="8"/>
        <v>2023.015P.Geminiviridae_rename_sp.zip</v>
      </c>
    </row>
    <row r="419" spans="1:4">
      <c r="A419" t="s">
        <v>11672</v>
      </c>
      <c r="B419" t="s">
        <v>19898</v>
      </c>
      <c r="C419" t="s">
        <v>19899</v>
      </c>
      <c r="D419" s="45" t="str">
        <f t="shared" si="8"/>
        <v>2023.015P.Geminiviridae_rename_sp.zip</v>
      </c>
    </row>
    <row r="420" spans="1:4">
      <c r="A420" t="s">
        <v>11672</v>
      </c>
      <c r="B420" t="s">
        <v>19900</v>
      </c>
      <c r="C420" t="s">
        <v>19901</v>
      </c>
      <c r="D420" s="45" t="str">
        <f t="shared" si="8"/>
        <v>2023.015P.Geminiviridae_rename_sp.zip</v>
      </c>
    </row>
    <row r="421" spans="1:4">
      <c r="A421" t="s">
        <v>11672</v>
      </c>
      <c r="B421" t="s">
        <v>19902</v>
      </c>
      <c r="C421" t="s">
        <v>19903</v>
      </c>
      <c r="D421" s="45" t="str">
        <f t="shared" ref="D421:D484" si="9">HYPERLINK("https://ictv.global/ictv/proposals/2023.015P.Geminiviridae_rename_sp.zip","2023.015P.Geminiviridae_rename_sp.zip")</f>
        <v>2023.015P.Geminiviridae_rename_sp.zip</v>
      </c>
    </row>
    <row r="422" spans="1:4">
      <c r="A422" t="s">
        <v>11672</v>
      </c>
      <c r="B422" t="s">
        <v>19904</v>
      </c>
      <c r="C422" t="s">
        <v>19905</v>
      </c>
      <c r="D422" s="45" t="str">
        <f t="shared" si="9"/>
        <v>2023.015P.Geminiviridae_rename_sp.zip</v>
      </c>
    </row>
    <row r="423" spans="1:4">
      <c r="A423" t="s">
        <v>11672</v>
      </c>
      <c r="B423" t="s">
        <v>19906</v>
      </c>
      <c r="C423" t="s">
        <v>19907</v>
      </c>
      <c r="D423" s="45" t="str">
        <f t="shared" si="9"/>
        <v>2023.015P.Geminiviridae_rename_sp.zip</v>
      </c>
    </row>
    <row r="424" spans="1:4">
      <c r="A424" t="s">
        <v>11672</v>
      </c>
      <c r="B424" t="s">
        <v>19908</v>
      </c>
      <c r="C424" t="s">
        <v>19909</v>
      </c>
      <c r="D424" s="45" t="str">
        <f t="shared" si="9"/>
        <v>2023.015P.Geminiviridae_rename_sp.zip</v>
      </c>
    </row>
    <row r="425" spans="1:4">
      <c r="A425" t="s">
        <v>11672</v>
      </c>
      <c r="B425" t="s">
        <v>19910</v>
      </c>
      <c r="C425" t="s">
        <v>19911</v>
      </c>
      <c r="D425" s="45" t="str">
        <f t="shared" si="9"/>
        <v>2023.015P.Geminiviridae_rename_sp.zip</v>
      </c>
    </row>
    <row r="426" spans="1:4">
      <c r="A426" t="s">
        <v>11672</v>
      </c>
      <c r="B426" t="s">
        <v>19912</v>
      </c>
      <c r="C426" t="s">
        <v>19913</v>
      </c>
      <c r="D426" s="45" t="str">
        <f t="shared" si="9"/>
        <v>2023.015P.Geminiviridae_rename_sp.zip</v>
      </c>
    </row>
    <row r="427" spans="1:4">
      <c r="A427" t="s">
        <v>11672</v>
      </c>
      <c r="B427" t="s">
        <v>19914</v>
      </c>
      <c r="C427" t="s">
        <v>19915</v>
      </c>
      <c r="D427" s="45" t="str">
        <f t="shared" si="9"/>
        <v>2023.015P.Geminiviridae_rename_sp.zip</v>
      </c>
    </row>
    <row r="428" spans="1:4">
      <c r="A428" t="s">
        <v>11672</v>
      </c>
      <c r="B428" t="s">
        <v>19916</v>
      </c>
      <c r="C428" t="s">
        <v>19917</v>
      </c>
      <c r="D428" s="45" t="str">
        <f t="shared" si="9"/>
        <v>2023.015P.Geminiviridae_rename_sp.zip</v>
      </c>
    </row>
    <row r="429" spans="1:4">
      <c r="A429" t="s">
        <v>11672</v>
      </c>
      <c r="B429" t="s">
        <v>19918</v>
      </c>
      <c r="C429" t="s">
        <v>19919</v>
      </c>
      <c r="D429" s="45" t="str">
        <f t="shared" si="9"/>
        <v>2023.015P.Geminiviridae_rename_sp.zip</v>
      </c>
    </row>
    <row r="430" spans="1:4">
      <c r="A430" t="s">
        <v>11672</v>
      </c>
      <c r="B430" t="s">
        <v>19920</v>
      </c>
      <c r="C430" t="s">
        <v>19921</v>
      </c>
      <c r="D430" s="45" t="str">
        <f t="shared" si="9"/>
        <v>2023.015P.Geminiviridae_rename_sp.zip</v>
      </c>
    </row>
    <row r="431" spans="1:4">
      <c r="A431" t="s">
        <v>11672</v>
      </c>
      <c r="B431" t="s">
        <v>19922</v>
      </c>
      <c r="C431" t="s">
        <v>19923</v>
      </c>
      <c r="D431" s="45" t="str">
        <f t="shared" si="9"/>
        <v>2023.015P.Geminiviridae_rename_sp.zip</v>
      </c>
    </row>
    <row r="432" spans="1:4">
      <c r="A432" t="s">
        <v>11672</v>
      </c>
      <c r="B432" t="s">
        <v>19924</v>
      </c>
      <c r="C432" t="s">
        <v>19925</v>
      </c>
      <c r="D432" s="45" t="str">
        <f t="shared" si="9"/>
        <v>2023.015P.Geminiviridae_rename_sp.zip</v>
      </c>
    </row>
    <row r="433" spans="1:4">
      <c r="A433" t="s">
        <v>11672</v>
      </c>
      <c r="B433" t="s">
        <v>19926</v>
      </c>
      <c r="C433" t="s">
        <v>19927</v>
      </c>
      <c r="D433" s="45" t="str">
        <f t="shared" si="9"/>
        <v>2023.015P.Geminiviridae_rename_sp.zip</v>
      </c>
    </row>
    <row r="434" spans="1:4">
      <c r="A434" t="s">
        <v>11672</v>
      </c>
      <c r="B434" t="s">
        <v>19928</v>
      </c>
      <c r="C434" t="s">
        <v>19929</v>
      </c>
      <c r="D434" s="45" t="str">
        <f t="shared" si="9"/>
        <v>2023.015P.Geminiviridae_rename_sp.zip</v>
      </c>
    </row>
    <row r="435" spans="1:4">
      <c r="A435" t="s">
        <v>11672</v>
      </c>
      <c r="B435" t="s">
        <v>19930</v>
      </c>
      <c r="C435" t="s">
        <v>19931</v>
      </c>
      <c r="D435" s="45" t="str">
        <f t="shared" si="9"/>
        <v>2023.015P.Geminiviridae_rename_sp.zip</v>
      </c>
    </row>
    <row r="436" spans="1:4">
      <c r="A436" t="s">
        <v>11672</v>
      </c>
      <c r="B436" t="s">
        <v>19932</v>
      </c>
      <c r="C436" t="s">
        <v>19933</v>
      </c>
      <c r="D436" s="45" t="str">
        <f t="shared" si="9"/>
        <v>2023.015P.Geminiviridae_rename_sp.zip</v>
      </c>
    </row>
    <row r="437" spans="1:4">
      <c r="A437" t="s">
        <v>11672</v>
      </c>
      <c r="B437" t="s">
        <v>19934</v>
      </c>
      <c r="C437" t="s">
        <v>19935</v>
      </c>
      <c r="D437" s="45" t="str">
        <f t="shared" si="9"/>
        <v>2023.015P.Geminiviridae_rename_sp.zip</v>
      </c>
    </row>
    <row r="438" spans="1:4">
      <c r="A438" t="s">
        <v>11672</v>
      </c>
      <c r="B438" t="s">
        <v>19936</v>
      </c>
      <c r="C438" t="s">
        <v>19937</v>
      </c>
      <c r="D438" s="45" t="str">
        <f t="shared" si="9"/>
        <v>2023.015P.Geminiviridae_rename_sp.zip</v>
      </c>
    </row>
    <row r="439" spans="1:4">
      <c r="A439" t="s">
        <v>11672</v>
      </c>
      <c r="B439" t="s">
        <v>19938</v>
      </c>
      <c r="C439" t="s">
        <v>19939</v>
      </c>
      <c r="D439" s="45" t="str">
        <f t="shared" si="9"/>
        <v>2023.015P.Geminiviridae_rename_sp.zip</v>
      </c>
    </row>
    <row r="440" spans="1:4">
      <c r="A440" t="s">
        <v>11672</v>
      </c>
      <c r="B440" t="s">
        <v>19940</v>
      </c>
      <c r="C440" t="s">
        <v>19941</v>
      </c>
      <c r="D440" s="45" t="str">
        <f t="shared" si="9"/>
        <v>2023.015P.Geminiviridae_rename_sp.zip</v>
      </c>
    </row>
    <row r="441" spans="1:4">
      <c r="A441" t="s">
        <v>11672</v>
      </c>
      <c r="B441" t="s">
        <v>19942</v>
      </c>
      <c r="C441" t="s">
        <v>19943</v>
      </c>
      <c r="D441" s="45" t="str">
        <f t="shared" si="9"/>
        <v>2023.015P.Geminiviridae_rename_sp.zip</v>
      </c>
    </row>
    <row r="442" spans="1:4">
      <c r="A442" t="s">
        <v>11672</v>
      </c>
      <c r="B442" t="s">
        <v>19944</v>
      </c>
      <c r="C442" t="s">
        <v>19945</v>
      </c>
      <c r="D442" s="45" t="str">
        <f t="shared" si="9"/>
        <v>2023.015P.Geminiviridae_rename_sp.zip</v>
      </c>
    </row>
    <row r="443" spans="1:4">
      <c r="A443" t="s">
        <v>11672</v>
      </c>
      <c r="B443" t="s">
        <v>19946</v>
      </c>
      <c r="C443" t="s">
        <v>19947</v>
      </c>
      <c r="D443" s="45" t="str">
        <f t="shared" si="9"/>
        <v>2023.015P.Geminiviridae_rename_sp.zip</v>
      </c>
    </row>
    <row r="444" spans="1:4">
      <c r="A444" t="s">
        <v>11672</v>
      </c>
      <c r="B444" t="s">
        <v>19948</v>
      </c>
      <c r="C444" t="s">
        <v>19949</v>
      </c>
      <c r="D444" s="45" t="str">
        <f t="shared" si="9"/>
        <v>2023.015P.Geminiviridae_rename_sp.zip</v>
      </c>
    </row>
    <row r="445" spans="1:4">
      <c r="A445" t="s">
        <v>11672</v>
      </c>
      <c r="B445" t="s">
        <v>19950</v>
      </c>
      <c r="C445" t="s">
        <v>19951</v>
      </c>
      <c r="D445" s="45" t="str">
        <f t="shared" si="9"/>
        <v>2023.015P.Geminiviridae_rename_sp.zip</v>
      </c>
    </row>
    <row r="446" spans="1:4">
      <c r="A446" t="s">
        <v>11672</v>
      </c>
      <c r="B446" t="s">
        <v>19952</v>
      </c>
      <c r="C446" t="s">
        <v>19953</v>
      </c>
      <c r="D446" s="45" t="str">
        <f t="shared" si="9"/>
        <v>2023.015P.Geminiviridae_rename_sp.zip</v>
      </c>
    </row>
    <row r="447" spans="1:4">
      <c r="A447" t="s">
        <v>11672</v>
      </c>
      <c r="B447" t="s">
        <v>19954</v>
      </c>
      <c r="C447" t="s">
        <v>19955</v>
      </c>
      <c r="D447" s="45" t="str">
        <f t="shared" si="9"/>
        <v>2023.015P.Geminiviridae_rename_sp.zip</v>
      </c>
    </row>
    <row r="448" spans="1:4">
      <c r="A448" t="s">
        <v>11672</v>
      </c>
      <c r="B448" t="s">
        <v>19956</v>
      </c>
      <c r="C448" t="s">
        <v>19957</v>
      </c>
      <c r="D448" s="45" t="str">
        <f t="shared" si="9"/>
        <v>2023.015P.Geminiviridae_rename_sp.zip</v>
      </c>
    </row>
    <row r="449" spans="1:4">
      <c r="A449" t="s">
        <v>11672</v>
      </c>
      <c r="B449" t="s">
        <v>19958</v>
      </c>
      <c r="C449" t="s">
        <v>19959</v>
      </c>
      <c r="D449" s="45" t="str">
        <f t="shared" si="9"/>
        <v>2023.015P.Geminiviridae_rename_sp.zip</v>
      </c>
    </row>
    <row r="450" spans="1:4">
      <c r="A450" t="s">
        <v>11672</v>
      </c>
      <c r="B450" t="s">
        <v>19960</v>
      </c>
      <c r="C450" t="s">
        <v>19961</v>
      </c>
      <c r="D450" s="45" t="str">
        <f t="shared" si="9"/>
        <v>2023.015P.Geminiviridae_rename_sp.zip</v>
      </c>
    </row>
    <row r="451" spans="1:4">
      <c r="A451" t="s">
        <v>11672</v>
      </c>
      <c r="B451" t="s">
        <v>19962</v>
      </c>
      <c r="C451" t="s">
        <v>19963</v>
      </c>
      <c r="D451" s="45" t="str">
        <f t="shared" si="9"/>
        <v>2023.015P.Geminiviridae_rename_sp.zip</v>
      </c>
    </row>
    <row r="452" spans="1:4">
      <c r="A452" t="s">
        <v>11672</v>
      </c>
      <c r="B452" t="s">
        <v>19964</v>
      </c>
      <c r="C452" t="s">
        <v>19965</v>
      </c>
      <c r="D452" s="45" t="str">
        <f t="shared" si="9"/>
        <v>2023.015P.Geminiviridae_rename_sp.zip</v>
      </c>
    </row>
    <row r="453" spans="1:4">
      <c r="A453" t="s">
        <v>11672</v>
      </c>
      <c r="B453" t="s">
        <v>19966</v>
      </c>
      <c r="C453" t="s">
        <v>19967</v>
      </c>
      <c r="D453" s="45" t="str">
        <f t="shared" si="9"/>
        <v>2023.015P.Geminiviridae_rename_sp.zip</v>
      </c>
    </row>
    <row r="454" spans="1:4">
      <c r="A454" t="s">
        <v>11672</v>
      </c>
      <c r="B454" t="s">
        <v>19968</v>
      </c>
      <c r="C454" t="s">
        <v>19969</v>
      </c>
      <c r="D454" s="45" t="str">
        <f t="shared" si="9"/>
        <v>2023.015P.Geminiviridae_rename_sp.zip</v>
      </c>
    </row>
    <row r="455" spans="1:4">
      <c r="A455" t="s">
        <v>11672</v>
      </c>
      <c r="B455" t="s">
        <v>19970</v>
      </c>
      <c r="C455" t="s">
        <v>19971</v>
      </c>
      <c r="D455" s="45" t="str">
        <f t="shared" si="9"/>
        <v>2023.015P.Geminiviridae_rename_sp.zip</v>
      </c>
    </row>
    <row r="456" spans="1:4">
      <c r="A456" t="s">
        <v>11672</v>
      </c>
      <c r="B456" t="s">
        <v>19972</v>
      </c>
      <c r="C456" t="s">
        <v>19973</v>
      </c>
      <c r="D456" s="45" t="str">
        <f t="shared" si="9"/>
        <v>2023.015P.Geminiviridae_rename_sp.zip</v>
      </c>
    </row>
    <row r="457" spans="1:4">
      <c r="A457" t="s">
        <v>11672</v>
      </c>
      <c r="B457" t="s">
        <v>19974</v>
      </c>
      <c r="C457" t="s">
        <v>19975</v>
      </c>
      <c r="D457" s="45" t="str">
        <f t="shared" si="9"/>
        <v>2023.015P.Geminiviridae_rename_sp.zip</v>
      </c>
    </row>
    <row r="458" spans="1:4">
      <c r="A458" t="s">
        <v>11672</v>
      </c>
      <c r="B458" t="s">
        <v>19976</v>
      </c>
      <c r="C458" t="s">
        <v>19977</v>
      </c>
      <c r="D458" s="45" t="str">
        <f t="shared" si="9"/>
        <v>2023.015P.Geminiviridae_rename_sp.zip</v>
      </c>
    </row>
    <row r="459" spans="1:4">
      <c r="A459" t="s">
        <v>11672</v>
      </c>
      <c r="B459" t="s">
        <v>19978</v>
      </c>
      <c r="C459" t="s">
        <v>19979</v>
      </c>
      <c r="D459" s="45" t="str">
        <f t="shared" si="9"/>
        <v>2023.015P.Geminiviridae_rename_sp.zip</v>
      </c>
    </row>
    <row r="460" spans="1:4">
      <c r="A460" t="s">
        <v>11672</v>
      </c>
      <c r="B460" t="s">
        <v>19980</v>
      </c>
      <c r="C460" t="s">
        <v>19981</v>
      </c>
      <c r="D460" s="45" t="str">
        <f t="shared" si="9"/>
        <v>2023.015P.Geminiviridae_rename_sp.zip</v>
      </c>
    </row>
    <row r="461" spans="1:4">
      <c r="A461" t="s">
        <v>11672</v>
      </c>
      <c r="B461" t="s">
        <v>19982</v>
      </c>
      <c r="C461" t="s">
        <v>19983</v>
      </c>
      <c r="D461" s="45" t="str">
        <f t="shared" si="9"/>
        <v>2023.015P.Geminiviridae_rename_sp.zip</v>
      </c>
    </row>
    <row r="462" spans="1:4">
      <c r="A462" t="s">
        <v>11672</v>
      </c>
      <c r="B462" t="s">
        <v>19984</v>
      </c>
      <c r="C462" t="s">
        <v>19985</v>
      </c>
      <c r="D462" s="45" t="str">
        <f t="shared" si="9"/>
        <v>2023.015P.Geminiviridae_rename_sp.zip</v>
      </c>
    </row>
    <row r="463" spans="1:4">
      <c r="A463" t="s">
        <v>11672</v>
      </c>
      <c r="B463" t="s">
        <v>19986</v>
      </c>
      <c r="C463" t="s">
        <v>19987</v>
      </c>
      <c r="D463" s="45" t="str">
        <f t="shared" si="9"/>
        <v>2023.015P.Geminiviridae_rename_sp.zip</v>
      </c>
    </row>
    <row r="464" spans="1:4">
      <c r="A464" t="s">
        <v>11672</v>
      </c>
      <c r="B464" t="s">
        <v>19988</v>
      </c>
      <c r="C464" t="s">
        <v>19989</v>
      </c>
      <c r="D464" s="45" t="str">
        <f t="shared" si="9"/>
        <v>2023.015P.Geminiviridae_rename_sp.zip</v>
      </c>
    </row>
    <row r="465" spans="1:4">
      <c r="A465" t="s">
        <v>11672</v>
      </c>
      <c r="B465" t="s">
        <v>19990</v>
      </c>
      <c r="C465" t="s">
        <v>19991</v>
      </c>
      <c r="D465" s="45" t="str">
        <f t="shared" si="9"/>
        <v>2023.015P.Geminiviridae_rename_sp.zip</v>
      </c>
    </row>
    <row r="466" spans="1:4">
      <c r="A466" t="s">
        <v>11672</v>
      </c>
      <c r="B466" t="s">
        <v>19992</v>
      </c>
      <c r="C466" t="s">
        <v>19993</v>
      </c>
      <c r="D466" s="45" t="str">
        <f t="shared" si="9"/>
        <v>2023.015P.Geminiviridae_rename_sp.zip</v>
      </c>
    </row>
    <row r="467" spans="1:4">
      <c r="A467" t="s">
        <v>11672</v>
      </c>
      <c r="B467" t="s">
        <v>19994</v>
      </c>
      <c r="C467" t="s">
        <v>19995</v>
      </c>
      <c r="D467" s="45" t="str">
        <f t="shared" si="9"/>
        <v>2023.015P.Geminiviridae_rename_sp.zip</v>
      </c>
    </row>
    <row r="468" spans="1:4">
      <c r="A468" t="s">
        <v>11672</v>
      </c>
      <c r="B468" t="s">
        <v>19996</v>
      </c>
      <c r="C468" t="s">
        <v>19997</v>
      </c>
      <c r="D468" s="45" t="str">
        <f t="shared" si="9"/>
        <v>2023.015P.Geminiviridae_rename_sp.zip</v>
      </c>
    </row>
    <row r="469" spans="1:4">
      <c r="A469" t="s">
        <v>11672</v>
      </c>
      <c r="B469" t="s">
        <v>19998</v>
      </c>
      <c r="C469" t="s">
        <v>19999</v>
      </c>
      <c r="D469" s="45" t="str">
        <f t="shared" si="9"/>
        <v>2023.015P.Geminiviridae_rename_sp.zip</v>
      </c>
    </row>
    <row r="470" spans="1:4">
      <c r="A470" t="s">
        <v>11672</v>
      </c>
      <c r="B470" t="s">
        <v>20000</v>
      </c>
      <c r="C470" t="s">
        <v>20001</v>
      </c>
      <c r="D470" s="45" t="str">
        <f t="shared" si="9"/>
        <v>2023.015P.Geminiviridae_rename_sp.zip</v>
      </c>
    </row>
    <row r="471" spans="1:4">
      <c r="A471" t="s">
        <v>11672</v>
      </c>
      <c r="B471" t="s">
        <v>20002</v>
      </c>
      <c r="C471" t="s">
        <v>20003</v>
      </c>
      <c r="D471" s="45" t="str">
        <f t="shared" si="9"/>
        <v>2023.015P.Geminiviridae_rename_sp.zip</v>
      </c>
    </row>
    <row r="472" spans="1:4">
      <c r="A472" t="s">
        <v>11672</v>
      </c>
      <c r="B472" t="s">
        <v>20004</v>
      </c>
      <c r="C472" t="s">
        <v>20005</v>
      </c>
      <c r="D472" s="45" t="str">
        <f t="shared" si="9"/>
        <v>2023.015P.Geminiviridae_rename_sp.zip</v>
      </c>
    </row>
    <row r="473" spans="1:4">
      <c r="A473" t="s">
        <v>11672</v>
      </c>
      <c r="B473" t="s">
        <v>20006</v>
      </c>
      <c r="C473" t="s">
        <v>20007</v>
      </c>
      <c r="D473" s="45" t="str">
        <f t="shared" si="9"/>
        <v>2023.015P.Geminiviridae_rename_sp.zip</v>
      </c>
    </row>
    <row r="474" spans="1:4">
      <c r="A474" t="s">
        <v>11672</v>
      </c>
      <c r="B474" t="s">
        <v>20008</v>
      </c>
      <c r="C474" t="s">
        <v>20009</v>
      </c>
      <c r="D474" s="45" t="str">
        <f t="shared" si="9"/>
        <v>2023.015P.Geminiviridae_rename_sp.zip</v>
      </c>
    </row>
    <row r="475" spans="1:4">
      <c r="A475" t="s">
        <v>11672</v>
      </c>
      <c r="B475" t="s">
        <v>20010</v>
      </c>
      <c r="C475" t="s">
        <v>20011</v>
      </c>
      <c r="D475" s="45" t="str">
        <f t="shared" si="9"/>
        <v>2023.015P.Geminiviridae_rename_sp.zip</v>
      </c>
    </row>
    <row r="476" spans="1:4">
      <c r="A476" t="s">
        <v>11672</v>
      </c>
      <c r="B476" t="s">
        <v>20012</v>
      </c>
      <c r="C476" t="s">
        <v>20013</v>
      </c>
      <c r="D476" s="45" t="str">
        <f t="shared" si="9"/>
        <v>2023.015P.Geminiviridae_rename_sp.zip</v>
      </c>
    </row>
    <row r="477" spans="1:4">
      <c r="A477" t="s">
        <v>11672</v>
      </c>
      <c r="B477" t="s">
        <v>20014</v>
      </c>
      <c r="C477" t="s">
        <v>20015</v>
      </c>
      <c r="D477" s="45" t="str">
        <f t="shared" si="9"/>
        <v>2023.015P.Geminiviridae_rename_sp.zip</v>
      </c>
    </row>
    <row r="478" spans="1:4">
      <c r="A478" t="s">
        <v>11672</v>
      </c>
      <c r="B478" t="s">
        <v>20016</v>
      </c>
      <c r="C478" t="s">
        <v>20017</v>
      </c>
      <c r="D478" s="45" t="str">
        <f t="shared" si="9"/>
        <v>2023.015P.Geminiviridae_rename_sp.zip</v>
      </c>
    </row>
    <row r="479" spans="1:4">
      <c r="A479" t="s">
        <v>11672</v>
      </c>
      <c r="B479" t="s">
        <v>20018</v>
      </c>
      <c r="C479" t="s">
        <v>20019</v>
      </c>
      <c r="D479" s="45" t="str">
        <f t="shared" si="9"/>
        <v>2023.015P.Geminiviridae_rename_sp.zip</v>
      </c>
    </row>
    <row r="480" spans="1:4">
      <c r="A480" t="s">
        <v>11672</v>
      </c>
      <c r="B480" t="s">
        <v>20020</v>
      </c>
      <c r="C480" t="s">
        <v>20021</v>
      </c>
      <c r="D480" s="45" t="str">
        <f t="shared" si="9"/>
        <v>2023.015P.Geminiviridae_rename_sp.zip</v>
      </c>
    </row>
    <row r="481" spans="1:4">
      <c r="A481" t="s">
        <v>11672</v>
      </c>
      <c r="B481" t="s">
        <v>20022</v>
      </c>
      <c r="C481" t="s">
        <v>20023</v>
      </c>
      <c r="D481" s="45" t="str">
        <f t="shared" si="9"/>
        <v>2023.015P.Geminiviridae_rename_sp.zip</v>
      </c>
    </row>
    <row r="482" spans="1:4">
      <c r="A482" t="s">
        <v>11672</v>
      </c>
      <c r="B482" t="s">
        <v>20024</v>
      </c>
      <c r="C482" t="s">
        <v>20025</v>
      </c>
      <c r="D482" s="45" t="str">
        <f t="shared" si="9"/>
        <v>2023.015P.Geminiviridae_rename_sp.zip</v>
      </c>
    </row>
    <row r="483" spans="1:4">
      <c r="A483" t="s">
        <v>11672</v>
      </c>
      <c r="B483" t="s">
        <v>20026</v>
      </c>
      <c r="C483" t="s">
        <v>20027</v>
      </c>
      <c r="D483" s="45" t="str">
        <f t="shared" si="9"/>
        <v>2023.015P.Geminiviridae_rename_sp.zip</v>
      </c>
    </row>
    <row r="484" spans="1:4">
      <c r="A484" t="s">
        <v>11672</v>
      </c>
      <c r="B484" t="s">
        <v>20028</v>
      </c>
      <c r="C484" t="s">
        <v>20029</v>
      </c>
      <c r="D484" s="45" t="str">
        <f t="shared" si="9"/>
        <v>2023.015P.Geminiviridae_rename_sp.zip</v>
      </c>
    </row>
    <row r="485" spans="1:4">
      <c r="A485" t="s">
        <v>11672</v>
      </c>
      <c r="B485" t="s">
        <v>20030</v>
      </c>
      <c r="C485" t="s">
        <v>20031</v>
      </c>
      <c r="D485" s="45" t="str">
        <f t="shared" ref="D485:D548" si="10">HYPERLINK("https://ictv.global/ictv/proposals/2023.015P.Geminiviridae_rename_sp.zip","2023.015P.Geminiviridae_rename_sp.zip")</f>
        <v>2023.015P.Geminiviridae_rename_sp.zip</v>
      </c>
    </row>
    <row r="486" spans="1:4">
      <c r="A486" t="s">
        <v>11672</v>
      </c>
      <c r="B486" t="s">
        <v>20032</v>
      </c>
      <c r="C486" t="s">
        <v>20033</v>
      </c>
      <c r="D486" s="45" t="str">
        <f t="shared" si="10"/>
        <v>2023.015P.Geminiviridae_rename_sp.zip</v>
      </c>
    </row>
    <row r="487" spans="1:4">
      <c r="A487" t="s">
        <v>11672</v>
      </c>
      <c r="B487" t="s">
        <v>20034</v>
      </c>
      <c r="C487" t="s">
        <v>20035</v>
      </c>
      <c r="D487" s="45" t="str">
        <f t="shared" si="10"/>
        <v>2023.015P.Geminiviridae_rename_sp.zip</v>
      </c>
    </row>
    <row r="488" spans="1:4">
      <c r="A488" t="s">
        <v>11672</v>
      </c>
      <c r="B488" t="s">
        <v>20036</v>
      </c>
      <c r="C488" t="s">
        <v>20037</v>
      </c>
      <c r="D488" s="45" t="str">
        <f t="shared" si="10"/>
        <v>2023.015P.Geminiviridae_rename_sp.zip</v>
      </c>
    </row>
    <row r="489" spans="1:4">
      <c r="A489" t="s">
        <v>11672</v>
      </c>
      <c r="B489" t="s">
        <v>20038</v>
      </c>
      <c r="C489" t="s">
        <v>20039</v>
      </c>
      <c r="D489" s="45" t="str">
        <f t="shared" si="10"/>
        <v>2023.015P.Geminiviridae_rename_sp.zip</v>
      </c>
    </row>
    <row r="490" spans="1:4">
      <c r="A490" t="s">
        <v>11672</v>
      </c>
      <c r="B490" t="s">
        <v>20040</v>
      </c>
      <c r="C490" t="s">
        <v>20041</v>
      </c>
      <c r="D490" s="45" t="str">
        <f t="shared" si="10"/>
        <v>2023.015P.Geminiviridae_rename_sp.zip</v>
      </c>
    </row>
    <row r="491" spans="1:4">
      <c r="A491" t="s">
        <v>11672</v>
      </c>
      <c r="B491" t="s">
        <v>20042</v>
      </c>
      <c r="C491" t="s">
        <v>20043</v>
      </c>
      <c r="D491" s="45" t="str">
        <f t="shared" si="10"/>
        <v>2023.015P.Geminiviridae_rename_sp.zip</v>
      </c>
    </row>
    <row r="492" spans="1:4">
      <c r="A492" t="s">
        <v>11672</v>
      </c>
      <c r="B492" t="s">
        <v>20044</v>
      </c>
      <c r="C492" t="s">
        <v>20045</v>
      </c>
      <c r="D492" s="45" t="str">
        <f t="shared" si="10"/>
        <v>2023.015P.Geminiviridae_rename_sp.zip</v>
      </c>
    </row>
    <row r="493" spans="1:4">
      <c r="A493" t="s">
        <v>11672</v>
      </c>
      <c r="B493" t="s">
        <v>20046</v>
      </c>
      <c r="C493" t="s">
        <v>20047</v>
      </c>
      <c r="D493" s="45" t="str">
        <f t="shared" si="10"/>
        <v>2023.015P.Geminiviridae_rename_sp.zip</v>
      </c>
    </row>
    <row r="494" spans="1:4">
      <c r="A494" t="s">
        <v>11672</v>
      </c>
      <c r="B494" t="s">
        <v>20048</v>
      </c>
      <c r="C494" t="s">
        <v>20049</v>
      </c>
      <c r="D494" s="45" t="str">
        <f t="shared" si="10"/>
        <v>2023.015P.Geminiviridae_rename_sp.zip</v>
      </c>
    </row>
    <row r="495" spans="1:4">
      <c r="A495" t="s">
        <v>11672</v>
      </c>
      <c r="B495" t="s">
        <v>20050</v>
      </c>
      <c r="C495" t="s">
        <v>20051</v>
      </c>
      <c r="D495" s="45" t="str">
        <f t="shared" si="10"/>
        <v>2023.015P.Geminiviridae_rename_sp.zip</v>
      </c>
    </row>
    <row r="496" spans="1:4">
      <c r="A496" t="s">
        <v>11672</v>
      </c>
      <c r="B496" t="s">
        <v>20052</v>
      </c>
      <c r="C496" t="s">
        <v>20053</v>
      </c>
      <c r="D496" s="45" t="str">
        <f t="shared" si="10"/>
        <v>2023.015P.Geminiviridae_rename_sp.zip</v>
      </c>
    </row>
    <row r="497" spans="1:4">
      <c r="A497" t="s">
        <v>11672</v>
      </c>
      <c r="B497" t="s">
        <v>20054</v>
      </c>
      <c r="C497" t="s">
        <v>20055</v>
      </c>
      <c r="D497" s="45" t="str">
        <f t="shared" si="10"/>
        <v>2023.015P.Geminiviridae_rename_sp.zip</v>
      </c>
    </row>
    <row r="498" spans="1:4">
      <c r="A498" t="s">
        <v>11672</v>
      </c>
      <c r="B498" t="s">
        <v>20056</v>
      </c>
      <c r="C498" t="s">
        <v>20057</v>
      </c>
      <c r="D498" s="45" t="str">
        <f t="shared" si="10"/>
        <v>2023.015P.Geminiviridae_rename_sp.zip</v>
      </c>
    </row>
    <row r="499" spans="1:4">
      <c r="A499" t="s">
        <v>11672</v>
      </c>
      <c r="B499" t="s">
        <v>20058</v>
      </c>
      <c r="C499" t="s">
        <v>20059</v>
      </c>
      <c r="D499" s="45" t="str">
        <f t="shared" si="10"/>
        <v>2023.015P.Geminiviridae_rename_sp.zip</v>
      </c>
    </row>
    <row r="500" spans="1:4">
      <c r="A500" t="s">
        <v>11672</v>
      </c>
      <c r="B500" t="s">
        <v>20060</v>
      </c>
      <c r="C500" t="s">
        <v>20061</v>
      </c>
      <c r="D500" s="45" t="str">
        <f t="shared" si="10"/>
        <v>2023.015P.Geminiviridae_rename_sp.zip</v>
      </c>
    </row>
    <row r="501" spans="1:4">
      <c r="A501" t="s">
        <v>11672</v>
      </c>
      <c r="B501" t="s">
        <v>20062</v>
      </c>
      <c r="C501" t="s">
        <v>20063</v>
      </c>
      <c r="D501" s="45" t="str">
        <f t="shared" si="10"/>
        <v>2023.015P.Geminiviridae_rename_sp.zip</v>
      </c>
    </row>
    <row r="502" spans="1:4">
      <c r="A502" t="s">
        <v>11672</v>
      </c>
      <c r="B502" t="s">
        <v>20064</v>
      </c>
      <c r="C502" t="s">
        <v>20065</v>
      </c>
      <c r="D502" s="45" t="str">
        <f t="shared" si="10"/>
        <v>2023.015P.Geminiviridae_rename_sp.zip</v>
      </c>
    </row>
    <row r="503" spans="1:4">
      <c r="A503" t="s">
        <v>11672</v>
      </c>
      <c r="B503" t="s">
        <v>20066</v>
      </c>
      <c r="C503" t="s">
        <v>20067</v>
      </c>
      <c r="D503" s="45" t="str">
        <f t="shared" si="10"/>
        <v>2023.015P.Geminiviridae_rename_sp.zip</v>
      </c>
    </row>
    <row r="504" spans="1:4">
      <c r="A504" t="s">
        <v>11672</v>
      </c>
      <c r="B504" t="s">
        <v>20068</v>
      </c>
      <c r="C504" t="s">
        <v>20069</v>
      </c>
      <c r="D504" s="45" t="str">
        <f t="shared" si="10"/>
        <v>2023.015P.Geminiviridae_rename_sp.zip</v>
      </c>
    </row>
    <row r="505" spans="1:4">
      <c r="A505" t="s">
        <v>11672</v>
      </c>
      <c r="B505" t="s">
        <v>20070</v>
      </c>
      <c r="C505" t="s">
        <v>20071</v>
      </c>
      <c r="D505" s="45" t="str">
        <f t="shared" si="10"/>
        <v>2023.015P.Geminiviridae_rename_sp.zip</v>
      </c>
    </row>
    <row r="506" spans="1:4">
      <c r="A506" t="s">
        <v>11672</v>
      </c>
      <c r="B506" t="s">
        <v>20072</v>
      </c>
      <c r="C506" t="s">
        <v>20073</v>
      </c>
      <c r="D506" s="45" t="str">
        <f t="shared" si="10"/>
        <v>2023.015P.Geminiviridae_rename_sp.zip</v>
      </c>
    </row>
    <row r="507" spans="1:4">
      <c r="A507" t="s">
        <v>11672</v>
      </c>
      <c r="B507" t="s">
        <v>20074</v>
      </c>
      <c r="C507" t="s">
        <v>20075</v>
      </c>
      <c r="D507" s="45" t="str">
        <f t="shared" si="10"/>
        <v>2023.015P.Geminiviridae_rename_sp.zip</v>
      </c>
    </row>
    <row r="508" spans="1:4">
      <c r="A508" t="s">
        <v>11672</v>
      </c>
      <c r="B508" t="s">
        <v>20076</v>
      </c>
      <c r="C508" t="s">
        <v>20077</v>
      </c>
      <c r="D508" s="45" t="str">
        <f t="shared" si="10"/>
        <v>2023.015P.Geminiviridae_rename_sp.zip</v>
      </c>
    </row>
    <row r="509" spans="1:4">
      <c r="A509" t="s">
        <v>11672</v>
      </c>
      <c r="B509" t="s">
        <v>20078</v>
      </c>
      <c r="C509" t="s">
        <v>20079</v>
      </c>
      <c r="D509" s="45" t="str">
        <f t="shared" si="10"/>
        <v>2023.015P.Geminiviridae_rename_sp.zip</v>
      </c>
    </row>
    <row r="510" spans="1:4">
      <c r="A510" t="s">
        <v>11672</v>
      </c>
      <c r="B510" t="s">
        <v>20080</v>
      </c>
      <c r="C510" t="s">
        <v>20081</v>
      </c>
      <c r="D510" s="45" t="str">
        <f t="shared" si="10"/>
        <v>2023.015P.Geminiviridae_rename_sp.zip</v>
      </c>
    </row>
    <row r="511" spans="1:4">
      <c r="A511" t="s">
        <v>11672</v>
      </c>
      <c r="B511" t="s">
        <v>20082</v>
      </c>
      <c r="C511" t="s">
        <v>20083</v>
      </c>
      <c r="D511" s="45" t="str">
        <f t="shared" si="10"/>
        <v>2023.015P.Geminiviridae_rename_sp.zip</v>
      </c>
    </row>
    <row r="512" spans="1:4">
      <c r="A512" t="s">
        <v>11672</v>
      </c>
      <c r="B512" t="s">
        <v>20084</v>
      </c>
      <c r="C512" t="s">
        <v>20085</v>
      </c>
      <c r="D512" s="45" t="str">
        <f t="shared" si="10"/>
        <v>2023.015P.Geminiviridae_rename_sp.zip</v>
      </c>
    </row>
    <row r="513" spans="1:4">
      <c r="A513" t="s">
        <v>11672</v>
      </c>
      <c r="B513" t="s">
        <v>20086</v>
      </c>
      <c r="C513" t="s">
        <v>20087</v>
      </c>
      <c r="D513" s="45" t="str">
        <f t="shared" si="10"/>
        <v>2023.015P.Geminiviridae_rename_sp.zip</v>
      </c>
    </row>
    <row r="514" spans="1:4">
      <c r="A514" t="s">
        <v>11672</v>
      </c>
      <c r="B514" t="s">
        <v>20088</v>
      </c>
      <c r="C514" t="s">
        <v>20089</v>
      </c>
      <c r="D514" s="45" t="str">
        <f t="shared" si="10"/>
        <v>2023.015P.Geminiviridae_rename_sp.zip</v>
      </c>
    </row>
    <row r="515" spans="1:4">
      <c r="A515" t="s">
        <v>11672</v>
      </c>
      <c r="B515" t="s">
        <v>20090</v>
      </c>
      <c r="C515" t="s">
        <v>20091</v>
      </c>
      <c r="D515" s="45" t="str">
        <f t="shared" si="10"/>
        <v>2023.015P.Geminiviridae_rename_sp.zip</v>
      </c>
    </row>
    <row r="516" spans="1:4">
      <c r="A516" t="s">
        <v>11672</v>
      </c>
      <c r="B516" t="s">
        <v>20092</v>
      </c>
      <c r="C516" t="s">
        <v>20093</v>
      </c>
      <c r="D516" s="45" t="str">
        <f t="shared" si="10"/>
        <v>2023.015P.Geminiviridae_rename_sp.zip</v>
      </c>
    </row>
    <row r="517" spans="1:4">
      <c r="A517" t="s">
        <v>11672</v>
      </c>
      <c r="B517" t="s">
        <v>20094</v>
      </c>
      <c r="C517" t="s">
        <v>20095</v>
      </c>
      <c r="D517" s="45" t="str">
        <f t="shared" si="10"/>
        <v>2023.015P.Geminiviridae_rename_sp.zip</v>
      </c>
    </row>
    <row r="518" spans="1:4">
      <c r="A518" t="s">
        <v>11672</v>
      </c>
      <c r="B518" t="s">
        <v>20096</v>
      </c>
      <c r="C518" t="s">
        <v>20097</v>
      </c>
      <c r="D518" s="45" t="str">
        <f t="shared" si="10"/>
        <v>2023.015P.Geminiviridae_rename_sp.zip</v>
      </c>
    </row>
    <row r="519" spans="1:4">
      <c r="A519" t="s">
        <v>11672</v>
      </c>
      <c r="B519" t="s">
        <v>20098</v>
      </c>
      <c r="C519" t="s">
        <v>20099</v>
      </c>
      <c r="D519" s="45" t="str">
        <f t="shared" si="10"/>
        <v>2023.015P.Geminiviridae_rename_sp.zip</v>
      </c>
    </row>
    <row r="520" spans="1:4">
      <c r="A520" t="s">
        <v>11672</v>
      </c>
      <c r="B520" t="s">
        <v>20100</v>
      </c>
      <c r="C520" t="s">
        <v>20101</v>
      </c>
      <c r="D520" s="45" t="str">
        <f t="shared" si="10"/>
        <v>2023.015P.Geminiviridae_rename_sp.zip</v>
      </c>
    </row>
    <row r="521" spans="1:4">
      <c r="A521" t="s">
        <v>11672</v>
      </c>
      <c r="B521" t="s">
        <v>20102</v>
      </c>
      <c r="C521" t="s">
        <v>20103</v>
      </c>
      <c r="D521" s="45" t="str">
        <f t="shared" si="10"/>
        <v>2023.015P.Geminiviridae_rename_sp.zip</v>
      </c>
    </row>
    <row r="522" spans="1:4">
      <c r="A522" t="s">
        <v>11672</v>
      </c>
      <c r="B522" t="s">
        <v>20104</v>
      </c>
      <c r="C522" t="s">
        <v>20105</v>
      </c>
      <c r="D522" s="45" t="str">
        <f t="shared" si="10"/>
        <v>2023.015P.Geminiviridae_rename_sp.zip</v>
      </c>
    </row>
    <row r="523" spans="1:4">
      <c r="A523" t="s">
        <v>11672</v>
      </c>
      <c r="B523" t="s">
        <v>20106</v>
      </c>
      <c r="C523" t="s">
        <v>20107</v>
      </c>
      <c r="D523" s="45" t="str">
        <f t="shared" si="10"/>
        <v>2023.015P.Geminiviridae_rename_sp.zip</v>
      </c>
    </row>
    <row r="524" spans="1:4">
      <c r="A524" t="s">
        <v>11672</v>
      </c>
      <c r="B524" t="s">
        <v>20108</v>
      </c>
      <c r="C524" t="s">
        <v>20109</v>
      </c>
      <c r="D524" s="45" t="str">
        <f t="shared" si="10"/>
        <v>2023.015P.Geminiviridae_rename_sp.zip</v>
      </c>
    </row>
    <row r="525" spans="1:4">
      <c r="A525" t="s">
        <v>11672</v>
      </c>
      <c r="B525" t="s">
        <v>20110</v>
      </c>
      <c r="C525" t="s">
        <v>20111</v>
      </c>
      <c r="D525" s="45" t="str">
        <f t="shared" si="10"/>
        <v>2023.015P.Geminiviridae_rename_sp.zip</v>
      </c>
    </row>
    <row r="526" spans="1:4">
      <c r="A526" t="s">
        <v>11672</v>
      </c>
      <c r="B526" t="s">
        <v>20112</v>
      </c>
      <c r="C526" t="s">
        <v>20113</v>
      </c>
      <c r="D526" s="45" t="str">
        <f t="shared" si="10"/>
        <v>2023.015P.Geminiviridae_rename_sp.zip</v>
      </c>
    </row>
    <row r="527" spans="1:4">
      <c r="A527" t="s">
        <v>11672</v>
      </c>
      <c r="B527" t="s">
        <v>20114</v>
      </c>
      <c r="C527" t="s">
        <v>20115</v>
      </c>
      <c r="D527" s="45" t="str">
        <f t="shared" si="10"/>
        <v>2023.015P.Geminiviridae_rename_sp.zip</v>
      </c>
    </row>
    <row r="528" spans="1:4">
      <c r="A528" t="s">
        <v>11672</v>
      </c>
      <c r="B528" t="s">
        <v>20116</v>
      </c>
      <c r="C528" t="s">
        <v>20117</v>
      </c>
      <c r="D528" s="45" t="str">
        <f t="shared" si="10"/>
        <v>2023.015P.Geminiviridae_rename_sp.zip</v>
      </c>
    </row>
    <row r="529" spans="1:4">
      <c r="A529" t="s">
        <v>11672</v>
      </c>
      <c r="B529" t="s">
        <v>20118</v>
      </c>
      <c r="C529" t="s">
        <v>20119</v>
      </c>
      <c r="D529" s="45" t="str">
        <f t="shared" si="10"/>
        <v>2023.015P.Geminiviridae_rename_sp.zip</v>
      </c>
    </row>
    <row r="530" spans="1:4">
      <c r="A530" t="s">
        <v>11672</v>
      </c>
      <c r="B530" t="s">
        <v>20120</v>
      </c>
      <c r="C530" t="s">
        <v>20121</v>
      </c>
      <c r="D530" s="45" t="str">
        <f t="shared" si="10"/>
        <v>2023.015P.Geminiviridae_rename_sp.zip</v>
      </c>
    </row>
    <row r="531" spans="1:4">
      <c r="A531" t="s">
        <v>11672</v>
      </c>
      <c r="B531" t="s">
        <v>20122</v>
      </c>
      <c r="C531" t="s">
        <v>20123</v>
      </c>
      <c r="D531" s="45" t="str">
        <f t="shared" si="10"/>
        <v>2023.015P.Geminiviridae_rename_sp.zip</v>
      </c>
    </row>
    <row r="532" spans="1:4">
      <c r="A532" t="s">
        <v>11672</v>
      </c>
      <c r="B532" t="s">
        <v>20124</v>
      </c>
      <c r="C532" t="s">
        <v>20125</v>
      </c>
      <c r="D532" s="45" t="str">
        <f t="shared" si="10"/>
        <v>2023.015P.Geminiviridae_rename_sp.zip</v>
      </c>
    </row>
    <row r="533" spans="1:4">
      <c r="A533" t="s">
        <v>11672</v>
      </c>
      <c r="B533" t="s">
        <v>20126</v>
      </c>
      <c r="C533" t="s">
        <v>20127</v>
      </c>
      <c r="D533" s="45" t="str">
        <f t="shared" si="10"/>
        <v>2023.015P.Geminiviridae_rename_sp.zip</v>
      </c>
    </row>
    <row r="534" spans="1:4">
      <c r="A534" t="s">
        <v>11672</v>
      </c>
      <c r="B534" t="s">
        <v>20128</v>
      </c>
      <c r="C534" t="s">
        <v>20129</v>
      </c>
      <c r="D534" s="45" t="str">
        <f t="shared" si="10"/>
        <v>2023.015P.Geminiviridae_rename_sp.zip</v>
      </c>
    </row>
    <row r="535" spans="1:4">
      <c r="A535" t="s">
        <v>11672</v>
      </c>
      <c r="B535" t="s">
        <v>20130</v>
      </c>
      <c r="C535" t="s">
        <v>20131</v>
      </c>
      <c r="D535" s="45" t="str">
        <f t="shared" si="10"/>
        <v>2023.015P.Geminiviridae_rename_sp.zip</v>
      </c>
    </row>
    <row r="536" spans="1:4">
      <c r="A536" t="s">
        <v>11672</v>
      </c>
      <c r="B536" t="s">
        <v>20132</v>
      </c>
      <c r="C536" t="s">
        <v>20133</v>
      </c>
      <c r="D536" s="45" t="str">
        <f t="shared" si="10"/>
        <v>2023.015P.Geminiviridae_rename_sp.zip</v>
      </c>
    </row>
    <row r="537" spans="1:4">
      <c r="A537" t="s">
        <v>11672</v>
      </c>
      <c r="B537" t="s">
        <v>20134</v>
      </c>
      <c r="C537" t="s">
        <v>20135</v>
      </c>
      <c r="D537" s="45" t="str">
        <f t="shared" si="10"/>
        <v>2023.015P.Geminiviridae_rename_sp.zip</v>
      </c>
    </row>
    <row r="538" spans="1:4">
      <c r="A538" t="s">
        <v>11672</v>
      </c>
      <c r="B538" t="s">
        <v>20136</v>
      </c>
      <c r="C538" t="s">
        <v>20137</v>
      </c>
      <c r="D538" s="45" t="str">
        <f t="shared" si="10"/>
        <v>2023.015P.Geminiviridae_rename_sp.zip</v>
      </c>
    </row>
    <row r="539" spans="1:4">
      <c r="A539" t="s">
        <v>11672</v>
      </c>
      <c r="B539" t="s">
        <v>20138</v>
      </c>
      <c r="C539" t="s">
        <v>20139</v>
      </c>
      <c r="D539" s="45" t="str">
        <f t="shared" si="10"/>
        <v>2023.015P.Geminiviridae_rename_sp.zip</v>
      </c>
    </row>
    <row r="540" spans="1:4">
      <c r="A540" t="s">
        <v>11672</v>
      </c>
      <c r="B540" t="s">
        <v>20140</v>
      </c>
      <c r="C540" t="s">
        <v>20141</v>
      </c>
      <c r="D540" s="45" t="str">
        <f t="shared" si="10"/>
        <v>2023.015P.Geminiviridae_rename_sp.zip</v>
      </c>
    </row>
    <row r="541" spans="1:4">
      <c r="A541" t="s">
        <v>11672</v>
      </c>
      <c r="B541" t="s">
        <v>20142</v>
      </c>
      <c r="C541" t="s">
        <v>20143</v>
      </c>
      <c r="D541" s="45" t="str">
        <f t="shared" si="10"/>
        <v>2023.015P.Geminiviridae_rename_sp.zip</v>
      </c>
    </row>
    <row r="542" spans="1:4">
      <c r="A542" t="s">
        <v>11672</v>
      </c>
      <c r="B542" t="s">
        <v>20144</v>
      </c>
      <c r="C542" t="s">
        <v>20145</v>
      </c>
      <c r="D542" s="45" t="str">
        <f t="shared" si="10"/>
        <v>2023.015P.Geminiviridae_rename_sp.zip</v>
      </c>
    </row>
    <row r="543" spans="1:4">
      <c r="A543" t="s">
        <v>11672</v>
      </c>
      <c r="B543" t="s">
        <v>20146</v>
      </c>
      <c r="C543" t="s">
        <v>20147</v>
      </c>
      <c r="D543" s="45" t="str">
        <f t="shared" si="10"/>
        <v>2023.015P.Geminiviridae_rename_sp.zip</v>
      </c>
    </row>
    <row r="544" spans="1:4">
      <c r="A544" t="s">
        <v>11672</v>
      </c>
      <c r="B544" t="s">
        <v>20148</v>
      </c>
      <c r="C544" t="s">
        <v>20149</v>
      </c>
      <c r="D544" s="45" t="str">
        <f t="shared" si="10"/>
        <v>2023.015P.Geminiviridae_rename_sp.zip</v>
      </c>
    </row>
    <row r="545" spans="1:4">
      <c r="A545" t="s">
        <v>11672</v>
      </c>
      <c r="B545" t="s">
        <v>20150</v>
      </c>
      <c r="C545" t="s">
        <v>20151</v>
      </c>
      <c r="D545" s="45" t="str">
        <f t="shared" si="10"/>
        <v>2023.015P.Geminiviridae_rename_sp.zip</v>
      </c>
    </row>
    <row r="546" spans="1:4">
      <c r="A546" t="s">
        <v>11672</v>
      </c>
      <c r="B546" t="s">
        <v>20152</v>
      </c>
      <c r="C546" t="s">
        <v>20153</v>
      </c>
      <c r="D546" s="45" t="str">
        <f t="shared" si="10"/>
        <v>2023.015P.Geminiviridae_rename_sp.zip</v>
      </c>
    </row>
    <row r="547" spans="1:4">
      <c r="A547" t="s">
        <v>11672</v>
      </c>
      <c r="B547" t="s">
        <v>20154</v>
      </c>
      <c r="C547" t="s">
        <v>20155</v>
      </c>
      <c r="D547" s="45" t="str">
        <f t="shared" si="10"/>
        <v>2023.015P.Geminiviridae_rename_sp.zip</v>
      </c>
    </row>
    <row r="548" spans="1:4">
      <c r="A548" t="s">
        <v>11672</v>
      </c>
      <c r="B548" t="s">
        <v>20156</v>
      </c>
      <c r="C548" t="s">
        <v>20157</v>
      </c>
      <c r="D548" s="45" t="str">
        <f t="shared" si="10"/>
        <v>2023.015P.Geminiviridae_rename_sp.zip</v>
      </c>
    </row>
    <row r="549" spans="1:4">
      <c r="A549" t="s">
        <v>11672</v>
      </c>
      <c r="B549" t="s">
        <v>20158</v>
      </c>
      <c r="C549" t="s">
        <v>20159</v>
      </c>
      <c r="D549" s="45" t="str">
        <f t="shared" ref="D549:D612" si="11">HYPERLINK("https://ictv.global/ictv/proposals/2023.015P.Geminiviridae_rename_sp.zip","2023.015P.Geminiviridae_rename_sp.zip")</f>
        <v>2023.015P.Geminiviridae_rename_sp.zip</v>
      </c>
    </row>
    <row r="550" spans="1:4">
      <c r="A550" t="s">
        <v>11672</v>
      </c>
      <c r="B550" t="s">
        <v>20160</v>
      </c>
      <c r="C550" t="s">
        <v>20161</v>
      </c>
      <c r="D550" s="45" t="str">
        <f t="shared" si="11"/>
        <v>2023.015P.Geminiviridae_rename_sp.zip</v>
      </c>
    </row>
    <row r="551" spans="1:4">
      <c r="A551" t="s">
        <v>11672</v>
      </c>
      <c r="B551" t="s">
        <v>20162</v>
      </c>
      <c r="C551" t="s">
        <v>20163</v>
      </c>
      <c r="D551" s="45" t="str">
        <f t="shared" si="11"/>
        <v>2023.015P.Geminiviridae_rename_sp.zip</v>
      </c>
    </row>
    <row r="552" spans="1:4">
      <c r="A552" t="s">
        <v>11672</v>
      </c>
      <c r="B552" t="s">
        <v>20164</v>
      </c>
      <c r="C552" t="s">
        <v>20165</v>
      </c>
      <c r="D552" s="45" t="str">
        <f t="shared" si="11"/>
        <v>2023.015P.Geminiviridae_rename_sp.zip</v>
      </c>
    </row>
    <row r="553" spans="1:4">
      <c r="A553" t="s">
        <v>11672</v>
      </c>
      <c r="B553" t="s">
        <v>20166</v>
      </c>
      <c r="C553" t="s">
        <v>20167</v>
      </c>
      <c r="D553" s="45" t="str">
        <f t="shared" si="11"/>
        <v>2023.015P.Geminiviridae_rename_sp.zip</v>
      </c>
    </row>
    <row r="554" spans="1:4">
      <c r="A554" t="s">
        <v>11672</v>
      </c>
      <c r="B554" t="s">
        <v>20168</v>
      </c>
      <c r="C554" t="s">
        <v>20169</v>
      </c>
      <c r="D554" s="45" t="str">
        <f t="shared" si="11"/>
        <v>2023.015P.Geminiviridae_rename_sp.zip</v>
      </c>
    </row>
    <row r="555" spans="1:4">
      <c r="A555" t="s">
        <v>11672</v>
      </c>
      <c r="B555" t="s">
        <v>20170</v>
      </c>
      <c r="C555" t="s">
        <v>20171</v>
      </c>
      <c r="D555" s="45" t="str">
        <f t="shared" si="11"/>
        <v>2023.015P.Geminiviridae_rename_sp.zip</v>
      </c>
    </row>
    <row r="556" spans="1:4">
      <c r="A556" t="s">
        <v>11672</v>
      </c>
      <c r="B556" t="s">
        <v>20172</v>
      </c>
      <c r="C556" t="s">
        <v>20173</v>
      </c>
      <c r="D556" s="45" t="str">
        <f t="shared" si="11"/>
        <v>2023.015P.Geminiviridae_rename_sp.zip</v>
      </c>
    </row>
    <row r="557" spans="1:4">
      <c r="A557" t="s">
        <v>11672</v>
      </c>
      <c r="B557" t="s">
        <v>20174</v>
      </c>
      <c r="C557" t="s">
        <v>20175</v>
      </c>
      <c r="D557" s="45" t="str">
        <f t="shared" si="11"/>
        <v>2023.015P.Geminiviridae_rename_sp.zip</v>
      </c>
    </row>
    <row r="558" spans="1:4">
      <c r="A558" t="s">
        <v>11672</v>
      </c>
      <c r="B558" t="s">
        <v>20176</v>
      </c>
      <c r="C558" t="s">
        <v>20177</v>
      </c>
      <c r="D558" s="45" t="str">
        <f t="shared" si="11"/>
        <v>2023.015P.Geminiviridae_rename_sp.zip</v>
      </c>
    </row>
    <row r="559" spans="1:4">
      <c r="A559" t="s">
        <v>11672</v>
      </c>
      <c r="B559" t="s">
        <v>20178</v>
      </c>
      <c r="C559" t="s">
        <v>20179</v>
      </c>
      <c r="D559" s="45" t="str">
        <f t="shared" si="11"/>
        <v>2023.015P.Geminiviridae_rename_sp.zip</v>
      </c>
    </row>
    <row r="560" spans="1:4">
      <c r="A560" t="s">
        <v>11672</v>
      </c>
      <c r="B560" t="s">
        <v>20180</v>
      </c>
      <c r="C560" t="s">
        <v>20181</v>
      </c>
      <c r="D560" s="45" t="str">
        <f t="shared" si="11"/>
        <v>2023.015P.Geminiviridae_rename_sp.zip</v>
      </c>
    </row>
    <row r="561" spans="1:4">
      <c r="A561" t="s">
        <v>11672</v>
      </c>
      <c r="B561" t="s">
        <v>20182</v>
      </c>
      <c r="C561" t="s">
        <v>20183</v>
      </c>
      <c r="D561" s="45" t="str">
        <f t="shared" si="11"/>
        <v>2023.015P.Geminiviridae_rename_sp.zip</v>
      </c>
    </row>
    <row r="562" spans="1:4">
      <c r="A562" t="s">
        <v>11672</v>
      </c>
      <c r="B562" t="s">
        <v>20184</v>
      </c>
      <c r="C562" t="s">
        <v>20185</v>
      </c>
      <c r="D562" s="45" t="str">
        <f t="shared" si="11"/>
        <v>2023.015P.Geminiviridae_rename_sp.zip</v>
      </c>
    </row>
    <row r="563" spans="1:4">
      <c r="A563" t="s">
        <v>11672</v>
      </c>
      <c r="B563" t="s">
        <v>20186</v>
      </c>
      <c r="C563" t="s">
        <v>20187</v>
      </c>
      <c r="D563" s="45" t="str">
        <f t="shared" si="11"/>
        <v>2023.015P.Geminiviridae_rename_sp.zip</v>
      </c>
    </row>
    <row r="564" spans="1:4">
      <c r="A564" t="s">
        <v>11672</v>
      </c>
      <c r="B564" t="s">
        <v>20188</v>
      </c>
      <c r="C564" t="s">
        <v>20189</v>
      </c>
      <c r="D564" s="45" t="str">
        <f t="shared" si="11"/>
        <v>2023.015P.Geminiviridae_rename_sp.zip</v>
      </c>
    </row>
    <row r="565" spans="1:4">
      <c r="A565" t="s">
        <v>11672</v>
      </c>
      <c r="B565" t="s">
        <v>20190</v>
      </c>
      <c r="C565" t="s">
        <v>20191</v>
      </c>
      <c r="D565" s="45" t="str">
        <f t="shared" si="11"/>
        <v>2023.015P.Geminiviridae_rename_sp.zip</v>
      </c>
    </row>
    <row r="566" spans="1:4">
      <c r="A566" t="s">
        <v>11672</v>
      </c>
      <c r="B566" t="s">
        <v>20192</v>
      </c>
      <c r="C566" t="s">
        <v>20193</v>
      </c>
      <c r="D566" s="45" t="str">
        <f t="shared" si="11"/>
        <v>2023.015P.Geminiviridae_rename_sp.zip</v>
      </c>
    </row>
    <row r="567" spans="1:4">
      <c r="A567" t="s">
        <v>11672</v>
      </c>
      <c r="B567" t="s">
        <v>20194</v>
      </c>
      <c r="C567" t="s">
        <v>20195</v>
      </c>
      <c r="D567" s="45" t="str">
        <f t="shared" si="11"/>
        <v>2023.015P.Geminiviridae_rename_sp.zip</v>
      </c>
    </row>
    <row r="568" spans="1:4">
      <c r="A568" t="s">
        <v>11672</v>
      </c>
      <c r="B568" t="s">
        <v>20196</v>
      </c>
      <c r="C568" t="s">
        <v>20197</v>
      </c>
      <c r="D568" s="45" t="str">
        <f t="shared" si="11"/>
        <v>2023.015P.Geminiviridae_rename_sp.zip</v>
      </c>
    </row>
    <row r="569" spans="1:4">
      <c r="A569" t="s">
        <v>11672</v>
      </c>
      <c r="B569" t="s">
        <v>20198</v>
      </c>
      <c r="C569" t="s">
        <v>20199</v>
      </c>
      <c r="D569" s="45" t="str">
        <f t="shared" si="11"/>
        <v>2023.015P.Geminiviridae_rename_sp.zip</v>
      </c>
    </row>
    <row r="570" spans="1:4">
      <c r="A570" t="s">
        <v>11672</v>
      </c>
      <c r="B570" t="s">
        <v>20200</v>
      </c>
      <c r="C570" t="s">
        <v>20201</v>
      </c>
      <c r="D570" s="45" t="str">
        <f t="shared" si="11"/>
        <v>2023.015P.Geminiviridae_rename_sp.zip</v>
      </c>
    </row>
    <row r="571" spans="1:4">
      <c r="A571" t="s">
        <v>11672</v>
      </c>
      <c r="B571" t="s">
        <v>20202</v>
      </c>
      <c r="C571" t="s">
        <v>20203</v>
      </c>
      <c r="D571" s="45" t="str">
        <f t="shared" si="11"/>
        <v>2023.015P.Geminiviridae_rename_sp.zip</v>
      </c>
    </row>
    <row r="572" spans="1:4">
      <c r="A572" t="s">
        <v>11672</v>
      </c>
      <c r="B572" t="s">
        <v>20204</v>
      </c>
      <c r="C572" t="s">
        <v>20205</v>
      </c>
      <c r="D572" s="45" t="str">
        <f t="shared" si="11"/>
        <v>2023.015P.Geminiviridae_rename_sp.zip</v>
      </c>
    </row>
    <row r="573" spans="1:4">
      <c r="A573" t="s">
        <v>11672</v>
      </c>
      <c r="B573" t="s">
        <v>20206</v>
      </c>
      <c r="C573" t="s">
        <v>20207</v>
      </c>
      <c r="D573" s="45" t="str">
        <f t="shared" si="11"/>
        <v>2023.015P.Geminiviridae_rename_sp.zip</v>
      </c>
    </row>
    <row r="574" spans="1:4">
      <c r="A574" t="s">
        <v>11672</v>
      </c>
      <c r="B574" t="s">
        <v>20208</v>
      </c>
      <c r="C574" t="s">
        <v>20209</v>
      </c>
      <c r="D574" s="45" t="str">
        <f t="shared" si="11"/>
        <v>2023.015P.Geminiviridae_rename_sp.zip</v>
      </c>
    </row>
    <row r="575" spans="1:4">
      <c r="A575" t="s">
        <v>11672</v>
      </c>
      <c r="B575" t="s">
        <v>20210</v>
      </c>
      <c r="C575" t="s">
        <v>20211</v>
      </c>
      <c r="D575" s="45" t="str">
        <f t="shared" si="11"/>
        <v>2023.015P.Geminiviridae_rename_sp.zip</v>
      </c>
    </row>
    <row r="576" spans="1:4">
      <c r="A576" t="s">
        <v>11672</v>
      </c>
      <c r="B576" t="s">
        <v>20212</v>
      </c>
      <c r="C576" t="s">
        <v>20213</v>
      </c>
      <c r="D576" s="45" t="str">
        <f t="shared" si="11"/>
        <v>2023.015P.Geminiviridae_rename_sp.zip</v>
      </c>
    </row>
    <row r="577" spans="1:4">
      <c r="A577" t="s">
        <v>11672</v>
      </c>
      <c r="B577" t="s">
        <v>20214</v>
      </c>
      <c r="C577" t="s">
        <v>20215</v>
      </c>
      <c r="D577" s="45" t="str">
        <f t="shared" si="11"/>
        <v>2023.015P.Geminiviridae_rename_sp.zip</v>
      </c>
    </row>
    <row r="578" spans="1:4">
      <c r="A578" t="s">
        <v>11672</v>
      </c>
      <c r="B578" t="s">
        <v>20216</v>
      </c>
      <c r="C578" t="s">
        <v>20217</v>
      </c>
      <c r="D578" s="45" t="str">
        <f t="shared" si="11"/>
        <v>2023.015P.Geminiviridae_rename_sp.zip</v>
      </c>
    </row>
    <row r="579" spans="1:4">
      <c r="A579" t="s">
        <v>11672</v>
      </c>
      <c r="B579" t="s">
        <v>20218</v>
      </c>
      <c r="C579" t="s">
        <v>20219</v>
      </c>
      <c r="D579" s="45" t="str">
        <f t="shared" si="11"/>
        <v>2023.015P.Geminiviridae_rename_sp.zip</v>
      </c>
    </row>
    <row r="580" spans="1:4">
      <c r="A580" t="s">
        <v>11672</v>
      </c>
      <c r="B580" t="s">
        <v>20220</v>
      </c>
      <c r="C580" t="s">
        <v>20221</v>
      </c>
      <c r="D580" s="45" t="str">
        <f t="shared" si="11"/>
        <v>2023.015P.Geminiviridae_rename_sp.zip</v>
      </c>
    </row>
    <row r="581" spans="1:4">
      <c r="A581" t="s">
        <v>11672</v>
      </c>
      <c r="B581" t="s">
        <v>20222</v>
      </c>
      <c r="C581" t="s">
        <v>20223</v>
      </c>
      <c r="D581" s="45" t="str">
        <f t="shared" si="11"/>
        <v>2023.015P.Geminiviridae_rename_sp.zip</v>
      </c>
    </row>
    <row r="582" spans="1:4">
      <c r="A582" t="s">
        <v>11672</v>
      </c>
      <c r="B582" t="s">
        <v>20224</v>
      </c>
      <c r="C582" t="s">
        <v>20225</v>
      </c>
      <c r="D582" s="45" t="str">
        <f t="shared" si="11"/>
        <v>2023.015P.Geminiviridae_rename_sp.zip</v>
      </c>
    </row>
    <row r="583" spans="1:4">
      <c r="A583" t="s">
        <v>11672</v>
      </c>
      <c r="B583" t="s">
        <v>20226</v>
      </c>
      <c r="C583" t="s">
        <v>20227</v>
      </c>
      <c r="D583" s="45" t="str">
        <f t="shared" si="11"/>
        <v>2023.015P.Geminiviridae_rename_sp.zip</v>
      </c>
    </row>
    <row r="584" spans="1:4">
      <c r="A584" t="s">
        <v>11672</v>
      </c>
      <c r="B584" t="s">
        <v>20228</v>
      </c>
      <c r="C584" t="s">
        <v>20229</v>
      </c>
      <c r="D584" s="45" t="str">
        <f t="shared" si="11"/>
        <v>2023.015P.Geminiviridae_rename_sp.zip</v>
      </c>
    </row>
    <row r="585" spans="1:4">
      <c r="A585" t="s">
        <v>11672</v>
      </c>
      <c r="B585" t="s">
        <v>20230</v>
      </c>
      <c r="C585" t="s">
        <v>20231</v>
      </c>
      <c r="D585" s="45" t="str">
        <f t="shared" si="11"/>
        <v>2023.015P.Geminiviridae_rename_sp.zip</v>
      </c>
    </row>
    <row r="586" spans="1:4">
      <c r="A586" t="s">
        <v>11672</v>
      </c>
      <c r="B586" t="s">
        <v>20232</v>
      </c>
      <c r="C586" t="s">
        <v>20233</v>
      </c>
      <c r="D586" s="45" t="str">
        <f t="shared" si="11"/>
        <v>2023.015P.Geminiviridae_rename_sp.zip</v>
      </c>
    </row>
    <row r="587" spans="1:4">
      <c r="A587" t="s">
        <v>11672</v>
      </c>
      <c r="B587" t="s">
        <v>20234</v>
      </c>
      <c r="C587" t="s">
        <v>20235</v>
      </c>
      <c r="D587" s="45" t="str">
        <f t="shared" si="11"/>
        <v>2023.015P.Geminiviridae_rename_sp.zip</v>
      </c>
    </row>
    <row r="588" spans="1:4">
      <c r="A588" t="s">
        <v>11672</v>
      </c>
      <c r="B588" t="s">
        <v>20236</v>
      </c>
      <c r="C588" t="s">
        <v>20237</v>
      </c>
      <c r="D588" s="45" t="str">
        <f t="shared" si="11"/>
        <v>2023.015P.Geminiviridae_rename_sp.zip</v>
      </c>
    </row>
    <row r="589" spans="1:4">
      <c r="A589" t="s">
        <v>11672</v>
      </c>
      <c r="B589" t="s">
        <v>20238</v>
      </c>
      <c r="C589" t="s">
        <v>20239</v>
      </c>
      <c r="D589" s="45" t="str">
        <f t="shared" si="11"/>
        <v>2023.015P.Geminiviridae_rename_sp.zip</v>
      </c>
    </row>
    <row r="590" spans="1:4">
      <c r="A590" t="s">
        <v>11672</v>
      </c>
      <c r="B590" t="s">
        <v>20240</v>
      </c>
      <c r="C590" t="s">
        <v>20241</v>
      </c>
      <c r="D590" s="45" t="str">
        <f t="shared" si="11"/>
        <v>2023.015P.Geminiviridae_rename_sp.zip</v>
      </c>
    </row>
    <row r="591" spans="1:4">
      <c r="A591" t="s">
        <v>11672</v>
      </c>
      <c r="B591" t="s">
        <v>20242</v>
      </c>
      <c r="C591" t="s">
        <v>20243</v>
      </c>
      <c r="D591" s="45" t="str">
        <f t="shared" si="11"/>
        <v>2023.015P.Geminiviridae_rename_sp.zip</v>
      </c>
    </row>
    <row r="592" spans="1:4">
      <c r="A592" t="s">
        <v>11672</v>
      </c>
      <c r="B592" t="s">
        <v>20244</v>
      </c>
      <c r="C592" t="s">
        <v>20245</v>
      </c>
      <c r="D592" s="45" t="str">
        <f t="shared" si="11"/>
        <v>2023.015P.Geminiviridae_rename_sp.zip</v>
      </c>
    </row>
    <row r="593" spans="1:4">
      <c r="A593" t="s">
        <v>11672</v>
      </c>
      <c r="B593" t="s">
        <v>20246</v>
      </c>
      <c r="C593" t="s">
        <v>20247</v>
      </c>
      <c r="D593" s="45" t="str">
        <f t="shared" si="11"/>
        <v>2023.015P.Geminiviridae_rename_sp.zip</v>
      </c>
    </row>
    <row r="594" spans="1:4">
      <c r="A594" t="s">
        <v>11672</v>
      </c>
      <c r="B594" t="s">
        <v>20248</v>
      </c>
      <c r="C594" t="s">
        <v>20249</v>
      </c>
      <c r="D594" s="45" t="str">
        <f t="shared" si="11"/>
        <v>2023.015P.Geminiviridae_rename_sp.zip</v>
      </c>
    </row>
    <row r="595" spans="1:4">
      <c r="A595" t="s">
        <v>11672</v>
      </c>
      <c r="B595" t="s">
        <v>20250</v>
      </c>
      <c r="C595" t="s">
        <v>20251</v>
      </c>
      <c r="D595" s="45" t="str">
        <f t="shared" si="11"/>
        <v>2023.015P.Geminiviridae_rename_sp.zip</v>
      </c>
    </row>
    <row r="596" spans="1:4">
      <c r="A596" t="s">
        <v>11672</v>
      </c>
      <c r="B596" t="s">
        <v>20252</v>
      </c>
      <c r="C596" t="s">
        <v>20253</v>
      </c>
      <c r="D596" s="45" t="str">
        <f t="shared" si="11"/>
        <v>2023.015P.Geminiviridae_rename_sp.zip</v>
      </c>
    </row>
    <row r="597" spans="1:4">
      <c r="A597" t="s">
        <v>11672</v>
      </c>
      <c r="B597" t="s">
        <v>20254</v>
      </c>
      <c r="C597" t="s">
        <v>20255</v>
      </c>
      <c r="D597" s="45" t="str">
        <f t="shared" si="11"/>
        <v>2023.015P.Geminiviridae_rename_sp.zip</v>
      </c>
    </row>
    <row r="598" spans="1:4">
      <c r="A598" t="s">
        <v>11672</v>
      </c>
      <c r="B598" t="s">
        <v>20256</v>
      </c>
      <c r="C598" t="s">
        <v>20257</v>
      </c>
      <c r="D598" s="45" t="str">
        <f t="shared" si="11"/>
        <v>2023.015P.Geminiviridae_rename_sp.zip</v>
      </c>
    </row>
    <row r="599" spans="1:4">
      <c r="A599" t="s">
        <v>11672</v>
      </c>
      <c r="B599" t="s">
        <v>20258</v>
      </c>
      <c r="C599" t="s">
        <v>20259</v>
      </c>
      <c r="D599" s="45" t="str">
        <f t="shared" si="11"/>
        <v>2023.015P.Geminiviridae_rename_sp.zip</v>
      </c>
    </row>
    <row r="600" spans="1:4">
      <c r="A600" t="s">
        <v>11672</v>
      </c>
      <c r="B600" t="s">
        <v>20260</v>
      </c>
      <c r="C600" t="s">
        <v>20261</v>
      </c>
      <c r="D600" s="45" t="str">
        <f t="shared" si="11"/>
        <v>2023.015P.Geminiviridae_rename_sp.zip</v>
      </c>
    </row>
    <row r="601" spans="1:4">
      <c r="A601" t="s">
        <v>11672</v>
      </c>
      <c r="B601" t="s">
        <v>20262</v>
      </c>
      <c r="C601" t="s">
        <v>20263</v>
      </c>
      <c r="D601" s="45" t="str">
        <f t="shared" si="11"/>
        <v>2023.015P.Geminiviridae_rename_sp.zip</v>
      </c>
    </row>
    <row r="602" spans="1:4">
      <c r="A602" t="s">
        <v>11672</v>
      </c>
      <c r="B602" t="s">
        <v>20264</v>
      </c>
      <c r="C602" t="s">
        <v>20265</v>
      </c>
      <c r="D602" s="45" t="str">
        <f t="shared" si="11"/>
        <v>2023.015P.Geminiviridae_rename_sp.zip</v>
      </c>
    </row>
    <row r="603" spans="1:4">
      <c r="A603" t="s">
        <v>11672</v>
      </c>
      <c r="B603" t="s">
        <v>20266</v>
      </c>
      <c r="C603" t="s">
        <v>20267</v>
      </c>
      <c r="D603" s="45" t="str">
        <f t="shared" si="11"/>
        <v>2023.015P.Geminiviridae_rename_sp.zip</v>
      </c>
    </row>
    <row r="604" spans="1:4">
      <c r="A604" t="s">
        <v>11672</v>
      </c>
      <c r="B604" t="s">
        <v>20268</v>
      </c>
      <c r="C604" t="s">
        <v>20269</v>
      </c>
      <c r="D604" s="45" t="str">
        <f t="shared" si="11"/>
        <v>2023.015P.Geminiviridae_rename_sp.zip</v>
      </c>
    </row>
    <row r="605" spans="1:4">
      <c r="A605" t="s">
        <v>11672</v>
      </c>
      <c r="B605" t="s">
        <v>20270</v>
      </c>
      <c r="C605" t="s">
        <v>20271</v>
      </c>
      <c r="D605" s="45" t="str">
        <f t="shared" si="11"/>
        <v>2023.015P.Geminiviridae_rename_sp.zip</v>
      </c>
    </row>
    <row r="606" spans="1:4">
      <c r="A606" t="s">
        <v>11672</v>
      </c>
      <c r="B606" t="s">
        <v>20272</v>
      </c>
      <c r="C606" t="s">
        <v>20273</v>
      </c>
      <c r="D606" s="45" t="str">
        <f t="shared" si="11"/>
        <v>2023.015P.Geminiviridae_rename_sp.zip</v>
      </c>
    </row>
    <row r="607" spans="1:4">
      <c r="A607" t="s">
        <v>11672</v>
      </c>
      <c r="B607" t="s">
        <v>20274</v>
      </c>
      <c r="C607" t="s">
        <v>20275</v>
      </c>
      <c r="D607" s="45" t="str">
        <f t="shared" si="11"/>
        <v>2023.015P.Geminiviridae_rename_sp.zip</v>
      </c>
    </row>
    <row r="608" spans="1:4">
      <c r="A608" t="s">
        <v>11672</v>
      </c>
      <c r="B608" t="s">
        <v>20276</v>
      </c>
      <c r="C608" t="s">
        <v>20277</v>
      </c>
      <c r="D608" s="45" t="str">
        <f t="shared" si="11"/>
        <v>2023.015P.Geminiviridae_rename_sp.zip</v>
      </c>
    </row>
    <row r="609" spans="1:4">
      <c r="A609" t="s">
        <v>11672</v>
      </c>
      <c r="B609" t="s">
        <v>20278</v>
      </c>
      <c r="C609" t="s">
        <v>20279</v>
      </c>
      <c r="D609" s="45" t="str">
        <f t="shared" si="11"/>
        <v>2023.015P.Geminiviridae_rename_sp.zip</v>
      </c>
    </row>
    <row r="610" spans="1:4">
      <c r="A610" t="s">
        <v>11672</v>
      </c>
      <c r="B610" t="s">
        <v>20280</v>
      </c>
      <c r="C610" t="s">
        <v>20281</v>
      </c>
      <c r="D610" s="45" t="str">
        <f t="shared" si="11"/>
        <v>2023.015P.Geminiviridae_rename_sp.zip</v>
      </c>
    </row>
    <row r="611" spans="1:4">
      <c r="A611" t="s">
        <v>11672</v>
      </c>
      <c r="B611" t="s">
        <v>20282</v>
      </c>
      <c r="C611" t="s">
        <v>20283</v>
      </c>
      <c r="D611" s="45" t="str">
        <f t="shared" si="11"/>
        <v>2023.015P.Geminiviridae_rename_sp.zip</v>
      </c>
    </row>
    <row r="612" spans="1:4">
      <c r="A612" t="s">
        <v>11672</v>
      </c>
      <c r="B612" t="s">
        <v>20284</v>
      </c>
      <c r="C612" t="s">
        <v>20285</v>
      </c>
      <c r="D612" s="45" t="str">
        <f t="shared" si="11"/>
        <v>2023.015P.Geminiviridae_rename_sp.zip</v>
      </c>
    </row>
    <row r="613" spans="1:4">
      <c r="A613" t="s">
        <v>11672</v>
      </c>
      <c r="B613" t="s">
        <v>20286</v>
      </c>
      <c r="C613" t="s">
        <v>20287</v>
      </c>
      <c r="D613" s="45" t="str">
        <f t="shared" ref="D613:D620" si="12">HYPERLINK("https://ictv.global/ictv/proposals/2023.015P.Geminiviridae_rename_sp.zip","2023.015P.Geminiviridae_rename_sp.zip")</f>
        <v>2023.015P.Geminiviridae_rename_sp.zip</v>
      </c>
    </row>
    <row r="614" spans="1:4">
      <c r="A614" t="s">
        <v>11672</v>
      </c>
      <c r="B614" t="s">
        <v>20288</v>
      </c>
      <c r="C614" t="s">
        <v>20289</v>
      </c>
      <c r="D614" s="45" t="str">
        <f t="shared" si="12"/>
        <v>2023.015P.Geminiviridae_rename_sp.zip</v>
      </c>
    </row>
    <row r="615" spans="1:4">
      <c r="A615" t="s">
        <v>11672</v>
      </c>
      <c r="B615" t="s">
        <v>20290</v>
      </c>
      <c r="C615" t="s">
        <v>20291</v>
      </c>
      <c r="D615" s="45" t="str">
        <f t="shared" si="12"/>
        <v>2023.015P.Geminiviridae_rename_sp.zip</v>
      </c>
    </row>
    <row r="616" spans="1:4">
      <c r="A616" t="s">
        <v>11672</v>
      </c>
      <c r="B616" t="s">
        <v>20292</v>
      </c>
      <c r="C616" t="s">
        <v>20293</v>
      </c>
      <c r="D616" s="45" t="str">
        <f t="shared" si="12"/>
        <v>2023.015P.Geminiviridae_rename_sp.zip</v>
      </c>
    </row>
    <row r="617" spans="1:4">
      <c r="A617" t="s">
        <v>11672</v>
      </c>
      <c r="B617" t="s">
        <v>20294</v>
      </c>
      <c r="C617" t="s">
        <v>20295</v>
      </c>
      <c r="D617" s="45" t="str">
        <f t="shared" si="12"/>
        <v>2023.015P.Geminiviridae_rename_sp.zip</v>
      </c>
    </row>
    <row r="618" spans="1:4">
      <c r="A618" t="s">
        <v>11672</v>
      </c>
      <c r="B618" t="s">
        <v>20296</v>
      </c>
      <c r="C618" t="s">
        <v>20297</v>
      </c>
      <c r="D618" s="45" t="str">
        <f t="shared" si="12"/>
        <v>2023.015P.Geminiviridae_rename_sp.zip</v>
      </c>
    </row>
    <row r="619" spans="1:4">
      <c r="A619" t="s">
        <v>11672</v>
      </c>
      <c r="B619" t="s">
        <v>20298</v>
      </c>
      <c r="C619" t="s">
        <v>20299</v>
      </c>
      <c r="D619" s="45" t="str">
        <f t="shared" si="12"/>
        <v>2023.015P.Geminiviridae_rename_sp.zip</v>
      </c>
    </row>
    <row r="620" spans="1:4">
      <c r="A620" t="s">
        <v>11672</v>
      </c>
      <c r="B620" t="s">
        <v>20300</v>
      </c>
      <c r="C620" t="s">
        <v>20301</v>
      </c>
      <c r="D620" s="45" t="str">
        <f t="shared" si="12"/>
        <v>2023.015P.Geminiviridae_rename_sp.zip</v>
      </c>
    </row>
    <row r="621" spans="1:4">
      <c r="A621" t="s">
        <v>11672</v>
      </c>
      <c r="B621" t="s">
        <v>20302</v>
      </c>
      <c r="C621" t="s">
        <v>20303</v>
      </c>
      <c r="D621" s="45" t="str">
        <f t="shared" ref="D621:D636" si="13">HYPERLINK("https://ictv.global/ictv/proposals/2023.001A.Archaeal_binomials.zip","2023.001A.Archaeal_binomials.zip")</f>
        <v>2023.001A.Archaeal_binomials.zip</v>
      </c>
    </row>
    <row r="622" spans="1:4">
      <c r="A622" t="s">
        <v>11672</v>
      </c>
      <c r="B622" t="s">
        <v>20304</v>
      </c>
      <c r="C622" t="s">
        <v>20305</v>
      </c>
      <c r="D622" s="45" t="str">
        <f t="shared" si="13"/>
        <v>2023.001A.Archaeal_binomials.zip</v>
      </c>
    </row>
    <row r="623" spans="1:4">
      <c r="A623" t="s">
        <v>11672</v>
      </c>
      <c r="B623" t="s">
        <v>20306</v>
      </c>
      <c r="C623" t="s">
        <v>20307</v>
      </c>
      <c r="D623" s="45" t="str">
        <f t="shared" si="13"/>
        <v>2023.001A.Archaeal_binomials.zip</v>
      </c>
    </row>
    <row r="624" spans="1:4">
      <c r="A624" t="s">
        <v>11672</v>
      </c>
      <c r="B624" t="s">
        <v>20308</v>
      </c>
      <c r="C624" t="s">
        <v>20309</v>
      </c>
      <c r="D624" s="45" t="str">
        <f t="shared" si="13"/>
        <v>2023.001A.Archaeal_binomials.zip</v>
      </c>
    </row>
    <row r="625" spans="1:4">
      <c r="A625" t="s">
        <v>11672</v>
      </c>
      <c r="B625" t="s">
        <v>20310</v>
      </c>
      <c r="C625" t="s">
        <v>20311</v>
      </c>
      <c r="D625" s="45" t="str">
        <f t="shared" si="13"/>
        <v>2023.001A.Archaeal_binomials.zip</v>
      </c>
    </row>
    <row r="626" spans="1:4">
      <c r="A626" t="s">
        <v>11672</v>
      </c>
      <c r="B626" t="s">
        <v>20312</v>
      </c>
      <c r="C626" t="s">
        <v>20313</v>
      </c>
      <c r="D626" s="45" t="str">
        <f t="shared" si="13"/>
        <v>2023.001A.Archaeal_binomials.zip</v>
      </c>
    </row>
    <row r="627" spans="1:4">
      <c r="A627" t="s">
        <v>11672</v>
      </c>
      <c r="B627" t="s">
        <v>20314</v>
      </c>
      <c r="C627" t="s">
        <v>20315</v>
      </c>
      <c r="D627" s="45" t="str">
        <f t="shared" si="13"/>
        <v>2023.001A.Archaeal_binomials.zip</v>
      </c>
    </row>
    <row r="628" spans="1:4">
      <c r="A628" t="s">
        <v>11672</v>
      </c>
      <c r="B628" t="s">
        <v>20316</v>
      </c>
      <c r="C628" t="s">
        <v>20317</v>
      </c>
      <c r="D628" s="45" t="str">
        <f t="shared" si="13"/>
        <v>2023.001A.Archaeal_binomials.zip</v>
      </c>
    </row>
    <row r="629" spans="1:4">
      <c r="A629" t="s">
        <v>11672</v>
      </c>
      <c r="B629" t="s">
        <v>20318</v>
      </c>
      <c r="C629" t="s">
        <v>20319</v>
      </c>
      <c r="D629" s="45" t="str">
        <f t="shared" si="13"/>
        <v>2023.001A.Archaeal_binomials.zip</v>
      </c>
    </row>
    <row r="630" spans="1:4">
      <c r="A630" t="s">
        <v>11672</v>
      </c>
      <c r="B630" t="s">
        <v>20320</v>
      </c>
      <c r="C630" t="s">
        <v>20321</v>
      </c>
      <c r="D630" s="45" t="str">
        <f t="shared" si="13"/>
        <v>2023.001A.Archaeal_binomials.zip</v>
      </c>
    </row>
    <row r="631" spans="1:4">
      <c r="A631" t="s">
        <v>11672</v>
      </c>
      <c r="B631" t="s">
        <v>20322</v>
      </c>
      <c r="C631" t="s">
        <v>20323</v>
      </c>
      <c r="D631" s="45" t="str">
        <f t="shared" si="13"/>
        <v>2023.001A.Archaeal_binomials.zip</v>
      </c>
    </row>
    <row r="632" spans="1:4">
      <c r="A632" t="s">
        <v>11672</v>
      </c>
      <c r="B632" t="s">
        <v>20324</v>
      </c>
      <c r="C632" t="s">
        <v>20325</v>
      </c>
      <c r="D632" s="45" t="str">
        <f t="shared" si="13"/>
        <v>2023.001A.Archaeal_binomials.zip</v>
      </c>
    </row>
    <row r="633" spans="1:4">
      <c r="A633" t="s">
        <v>11672</v>
      </c>
      <c r="B633" t="s">
        <v>20326</v>
      </c>
      <c r="C633" t="s">
        <v>20327</v>
      </c>
      <c r="D633" s="45" t="str">
        <f t="shared" si="13"/>
        <v>2023.001A.Archaeal_binomials.zip</v>
      </c>
    </row>
    <row r="634" spans="1:4">
      <c r="A634" t="s">
        <v>11672</v>
      </c>
      <c r="B634" t="s">
        <v>20328</v>
      </c>
      <c r="C634" t="s">
        <v>20329</v>
      </c>
      <c r="D634" s="45" t="str">
        <f t="shared" si="13"/>
        <v>2023.001A.Archaeal_binomials.zip</v>
      </c>
    </row>
    <row r="635" spans="1:4">
      <c r="A635" t="s">
        <v>11672</v>
      </c>
      <c r="B635" t="s">
        <v>20330</v>
      </c>
      <c r="C635" t="s">
        <v>20331</v>
      </c>
      <c r="D635" s="45" t="str">
        <f t="shared" si="13"/>
        <v>2023.001A.Archaeal_binomials.zip</v>
      </c>
    </row>
    <row r="636" spans="1:4">
      <c r="A636" t="s">
        <v>11672</v>
      </c>
      <c r="B636" t="s">
        <v>20332</v>
      </c>
      <c r="C636" t="s">
        <v>20333</v>
      </c>
      <c r="D636" s="45" t="str">
        <f t="shared" si="13"/>
        <v>2023.001A.Archaeal_binomials.zip</v>
      </c>
    </row>
    <row r="637" spans="1:4">
      <c r="A637" t="s">
        <v>11672</v>
      </c>
      <c r="B637" t="s">
        <v>20335</v>
      </c>
      <c r="C637" t="s">
        <v>20336</v>
      </c>
      <c r="D637" s="45" t="str">
        <f>HYPERLINK("https://ictv.global/ictv/proposals/2023.015F.Ghabrivirales_reorg.zip","2023.015F.Ghabrivirales_reorg.zip")</f>
        <v>2023.015F.Ghabrivirales_reorg.zip</v>
      </c>
    </row>
    <row r="638" spans="1:4">
      <c r="A638" t="s">
        <v>11672</v>
      </c>
      <c r="B638" t="s">
        <v>20337</v>
      </c>
      <c r="C638" t="s">
        <v>20338</v>
      </c>
      <c r="D638" s="45" t="str">
        <f>HYPERLINK("https://ictv.global/ictv/proposals/2023.015F.Ghabrivirales_reorg.zip","2023.015F.Ghabrivirales_reorg.zip")</f>
        <v>2023.015F.Ghabrivirales_reorg.zip</v>
      </c>
    </row>
    <row r="639" spans="1:4">
      <c r="A639" t="s">
        <v>11672</v>
      </c>
      <c r="B639" t="s">
        <v>20339</v>
      </c>
      <c r="C639" t="s">
        <v>20340</v>
      </c>
      <c r="D639" s="45" t="str">
        <f>HYPERLINK("https://ictv.global/ictv/proposals/2023.015F.Ghabrivirales_reorg.zip","2023.015F.Ghabrivirales_reorg.zip")</f>
        <v>2023.015F.Ghabrivirales_reorg.zip</v>
      </c>
    </row>
    <row r="640" spans="1:4">
      <c r="A640" t="s">
        <v>11672</v>
      </c>
      <c r="B640" t="s">
        <v>20341</v>
      </c>
      <c r="C640" t="s">
        <v>20342</v>
      </c>
      <c r="D640" s="45" t="str">
        <f>HYPERLINK("https://ictv.global/ictv/proposals/2023.015F.Ghabrivirales_reorg.zip","2023.015F.Ghabrivirales_reorg.zip")</f>
        <v>2023.015F.Ghabrivirales_reorg.zip</v>
      </c>
    </row>
    <row r="641" spans="1:4">
      <c r="A641" t="s">
        <v>11672</v>
      </c>
      <c r="B641" t="s">
        <v>20343</v>
      </c>
      <c r="C641" t="s">
        <v>20344</v>
      </c>
      <c r="D641" s="45" t="str">
        <f>HYPERLINK("https://ictv.global/ictv/proposals/2023.015F.Ghabrivirales_reorg.zip","2023.015F.Ghabrivirales_reorg.zip")</f>
        <v>2023.015F.Ghabrivirales_reorg.zip</v>
      </c>
    </row>
    <row r="642" spans="1:4">
      <c r="A642" t="s">
        <v>11672</v>
      </c>
      <c r="B642" t="s">
        <v>20345</v>
      </c>
      <c r="C642" t="s">
        <v>20346</v>
      </c>
      <c r="D642" s="45" t="str">
        <f>HYPERLINK("https://ictv.global/ictv/proposals/2023.002F.Trichomonasvirus_1nsp_spren.zip","2023.002F.Trichomonasvirus_1nsp_spren.zip")</f>
        <v>2023.002F.Trichomonasvirus_1nsp_spren.zip</v>
      </c>
    </row>
    <row r="643" spans="1:4">
      <c r="A643" t="s">
        <v>11672</v>
      </c>
      <c r="B643" t="s">
        <v>20347</v>
      </c>
      <c r="C643" t="s">
        <v>20348</v>
      </c>
      <c r="D643" s="45" t="str">
        <f>HYPERLINK("https://ictv.global/ictv/proposals/2023.002F.Trichomonasvirus_1nsp_spren.zip","2023.002F.Trichomonasvirus_1nsp_spren.zip")</f>
        <v>2023.002F.Trichomonasvirus_1nsp_spren.zip</v>
      </c>
    </row>
    <row r="644" spans="1:4">
      <c r="A644" t="s">
        <v>11672</v>
      </c>
      <c r="B644" t="s">
        <v>20349</v>
      </c>
      <c r="C644" t="s">
        <v>20350</v>
      </c>
      <c r="D644" s="45" t="str">
        <f>HYPERLINK("https://ictv.global/ictv/proposals/2023.002F.Trichomonasvirus_1nsp_spren.zip","2023.002F.Trichomonasvirus_1nsp_spren.zip")</f>
        <v>2023.002F.Trichomonasvirus_1nsp_spren.zip</v>
      </c>
    </row>
    <row r="645" spans="1:4">
      <c r="A645" t="s">
        <v>11672</v>
      </c>
      <c r="B645" t="s">
        <v>20351</v>
      </c>
      <c r="C645" t="s">
        <v>20352</v>
      </c>
      <c r="D645" s="45" t="str">
        <f>HYPERLINK("https://ictv.global/ictv/proposals/2023.002F.Trichomonasvirus_1nsp_spren.zip","2023.002F.Trichomonasvirus_1nsp_spren.zip")</f>
        <v>2023.002F.Trichomonasvirus_1nsp_spren.zip</v>
      </c>
    </row>
    <row r="646" spans="1:4">
      <c r="A646" t="s">
        <v>11672</v>
      </c>
      <c r="B646" t="s">
        <v>20353</v>
      </c>
      <c r="C646" t="s">
        <v>20354</v>
      </c>
      <c r="D646" s="45" t="str">
        <f t="shared" ref="D646:D667" si="14">HYPERLINK("https://ictv.global/ictv/proposals/2023.015F.Ghabrivirales_reorg.zip","2023.015F.Ghabrivirales_reorg.zip")</f>
        <v>2023.015F.Ghabrivirales_reorg.zip</v>
      </c>
    </row>
    <row r="647" spans="1:4">
      <c r="A647" t="s">
        <v>11672</v>
      </c>
      <c r="B647" t="s">
        <v>20355</v>
      </c>
      <c r="C647" t="s">
        <v>20356</v>
      </c>
      <c r="D647" s="45" t="str">
        <f t="shared" si="14"/>
        <v>2023.015F.Ghabrivirales_reorg.zip</v>
      </c>
    </row>
    <row r="648" spans="1:4">
      <c r="A648" t="s">
        <v>11672</v>
      </c>
      <c r="B648" t="s">
        <v>20357</v>
      </c>
      <c r="C648" t="s">
        <v>20358</v>
      </c>
      <c r="D648" s="45" t="str">
        <f t="shared" si="14"/>
        <v>2023.015F.Ghabrivirales_reorg.zip</v>
      </c>
    </row>
    <row r="649" spans="1:4">
      <c r="A649" t="s">
        <v>11672</v>
      </c>
      <c r="B649" t="s">
        <v>20359</v>
      </c>
      <c r="C649" t="s">
        <v>20360</v>
      </c>
      <c r="D649" s="45" t="str">
        <f t="shared" si="14"/>
        <v>2023.015F.Ghabrivirales_reorg.zip</v>
      </c>
    </row>
    <row r="650" spans="1:4">
      <c r="A650" t="s">
        <v>11672</v>
      </c>
      <c r="B650" t="s">
        <v>20361</v>
      </c>
      <c r="C650" t="s">
        <v>20362</v>
      </c>
      <c r="D650" s="45" t="str">
        <f t="shared" si="14"/>
        <v>2023.015F.Ghabrivirales_reorg.zip</v>
      </c>
    </row>
    <row r="651" spans="1:4">
      <c r="A651" t="s">
        <v>11672</v>
      </c>
      <c r="B651" t="s">
        <v>20363</v>
      </c>
      <c r="C651" t="s">
        <v>20364</v>
      </c>
      <c r="D651" s="45" t="str">
        <f t="shared" si="14"/>
        <v>2023.015F.Ghabrivirales_reorg.zip</v>
      </c>
    </row>
    <row r="652" spans="1:4">
      <c r="A652" t="s">
        <v>11672</v>
      </c>
      <c r="B652" t="s">
        <v>20365</v>
      </c>
      <c r="C652" t="s">
        <v>20366</v>
      </c>
      <c r="D652" s="45" t="str">
        <f t="shared" si="14"/>
        <v>2023.015F.Ghabrivirales_reorg.zip</v>
      </c>
    </row>
    <row r="653" spans="1:4">
      <c r="A653" t="s">
        <v>11672</v>
      </c>
      <c r="B653" t="s">
        <v>20367</v>
      </c>
      <c r="C653" t="s">
        <v>20368</v>
      </c>
      <c r="D653" s="45" t="str">
        <f t="shared" si="14"/>
        <v>2023.015F.Ghabrivirales_reorg.zip</v>
      </c>
    </row>
    <row r="654" spans="1:4">
      <c r="A654" t="s">
        <v>11672</v>
      </c>
      <c r="B654" t="s">
        <v>20369</v>
      </c>
      <c r="C654" t="s">
        <v>20370</v>
      </c>
      <c r="D654" s="45" t="str">
        <f t="shared" si="14"/>
        <v>2023.015F.Ghabrivirales_reorg.zip</v>
      </c>
    </row>
    <row r="655" spans="1:4">
      <c r="A655" t="s">
        <v>11672</v>
      </c>
      <c r="B655" t="s">
        <v>20371</v>
      </c>
      <c r="C655" t="s">
        <v>20372</v>
      </c>
      <c r="D655" s="45" t="str">
        <f t="shared" si="14"/>
        <v>2023.015F.Ghabrivirales_reorg.zip</v>
      </c>
    </row>
    <row r="656" spans="1:4">
      <c r="A656" t="s">
        <v>11672</v>
      </c>
      <c r="B656" t="s">
        <v>20373</v>
      </c>
      <c r="C656" t="s">
        <v>20374</v>
      </c>
      <c r="D656" s="45" t="str">
        <f t="shared" si="14"/>
        <v>2023.015F.Ghabrivirales_reorg.zip</v>
      </c>
    </row>
    <row r="657" spans="1:4">
      <c r="A657" t="s">
        <v>11672</v>
      </c>
      <c r="B657" t="s">
        <v>20375</v>
      </c>
      <c r="C657" t="s">
        <v>20376</v>
      </c>
      <c r="D657" s="45" t="str">
        <f t="shared" si="14"/>
        <v>2023.015F.Ghabrivirales_reorg.zip</v>
      </c>
    </row>
    <row r="658" spans="1:4">
      <c r="A658" t="s">
        <v>11672</v>
      </c>
      <c r="B658" t="s">
        <v>20377</v>
      </c>
      <c r="C658" t="s">
        <v>20378</v>
      </c>
      <c r="D658" s="45" t="str">
        <f t="shared" si="14"/>
        <v>2023.015F.Ghabrivirales_reorg.zip</v>
      </c>
    </row>
    <row r="659" spans="1:4">
      <c r="A659" t="s">
        <v>11672</v>
      </c>
      <c r="B659" t="s">
        <v>20379</v>
      </c>
      <c r="C659" t="s">
        <v>20380</v>
      </c>
      <c r="D659" s="45" t="str">
        <f t="shared" si="14"/>
        <v>2023.015F.Ghabrivirales_reorg.zip</v>
      </c>
    </row>
    <row r="660" spans="1:4">
      <c r="A660" t="s">
        <v>11672</v>
      </c>
      <c r="B660" t="s">
        <v>20381</v>
      </c>
      <c r="C660" t="s">
        <v>20382</v>
      </c>
      <c r="D660" s="45" t="str">
        <f t="shared" si="14"/>
        <v>2023.015F.Ghabrivirales_reorg.zip</v>
      </c>
    </row>
    <row r="661" spans="1:4">
      <c r="A661" t="s">
        <v>11672</v>
      </c>
      <c r="B661" t="s">
        <v>20383</v>
      </c>
      <c r="C661" t="s">
        <v>20384</v>
      </c>
      <c r="D661" s="45" t="str">
        <f t="shared" si="14"/>
        <v>2023.015F.Ghabrivirales_reorg.zip</v>
      </c>
    </row>
    <row r="662" spans="1:4">
      <c r="A662" t="s">
        <v>11672</v>
      </c>
      <c r="B662" t="s">
        <v>20387</v>
      </c>
      <c r="C662" t="s">
        <v>20388</v>
      </c>
      <c r="D662" s="45" t="str">
        <f t="shared" si="14"/>
        <v>2023.015F.Ghabrivirales_reorg.zip</v>
      </c>
    </row>
    <row r="663" spans="1:4">
      <c r="A663" t="s">
        <v>11672</v>
      </c>
      <c r="B663" t="s">
        <v>20389</v>
      </c>
      <c r="C663" t="s">
        <v>20390</v>
      </c>
      <c r="D663" s="45" t="str">
        <f t="shared" si="14"/>
        <v>2023.015F.Ghabrivirales_reorg.zip</v>
      </c>
    </row>
    <row r="664" spans="1:4">
      <c r="A664" t="s">
        <v>11672</v>
      </c>
      <c r="B664" t="s">
        <v>20391</v>
      </c>
      <c r="C664" t="s">
        <v>20392</v>
      </c>
      <c r="D664" s="45" t="str">
        <f t="shared" si="14"/>
        <v>2023.015F.Ghabrivirales_reorg.zip</v>
      </c>
    </row>
    <row r="665" spans="1:4">
      <c r="A665" t="s">
        <v>11672</v>
      </c>
      <c r="B665" t="s">
        <v>20393</v>
      </c>
      <c r="C665" t="s">
        <v>20394</v>
      </c>
      <c r="D665" s="45" t="str">
        <f t="shared" si="14"/>
        <v>2023.015F.Ghabrivirales_reorg.zip</v>
      </c>
    </row>
    <row r="666" spans="1:4">
      <c r="A666" t="s">
        <v>11672</v>
      </c>
      <c r="B666" t="s">
        <v>20395</v>
      </c>
      <c r="C666" t="s">
        <v>20396</v>
      </c>
      <c r="D666" s="45" t="str">
        <f t="shared" si="14"/>
        <v>2023.015F.Ghabrivirales_reorg.zip</v>
      </c>
    </row>
    <row r="667" spans="1:4">
      <c r="A667" t="s">
        <v>11672</v>
      </c>
      <c r="B667" t="s">
        <v>20397</v>
      </c>
      <c r="C667" t="s">
        <v>20398</v>
      </c>
      <c r="D667" s="45" t="str">
        <f t="shared" si="14"/>
        <v>2023.015F.Ghabrivirales_reorg.zip</v>
      </c>
    </row>
    <row r="668" spans="1:4">
      <c r="A668" t="s">
        <v>11672</v>
      </c>
      <c r="B668" t="s">
        <v>20399</v>
      </c>
      <c r="C668" t="s">
        <v>20400</v>
      </c>
      <c r="D668" s="45" t="str">
        <f t="shared" ref="D668:D706" si="15">HYPERLINK("https://ictv.global/ictv/proposals/2023.033M.Sedoreoviridae_sprenam.zip","2023.033M.Sedoreoviridae_sprenam.zip")</f>
        <v>2023.033M.Sedoreoviridae_sprenam.zip</v>
      </c>
    </row>
    <row r="669" spans="1:4">
      <c r="A669" t="s">
        <v>11672</v>
      </c>
      <c r="B669" t="s">
        <v>20401</v>
      </c>
      <c r="C669" t="s">
        <v>20402</v>
      </c>
      <c r="D669" s="45" t="str">
        <f t="shared" si="15"/>
        <v>2023.033M.Sedoreoviridae_sprenam.zip</v>
      </c>
    </row>
    <row r="670" spans="1:4">
      <c r="A670" t="s">
        <v>11672</v>
      </c>
      <c r="B670" t="s">
        <v>20403</v>
      </c>
      <c r="C670" t="s">
        <v>20404</v>
      </c>
      <c r="D670" s="45" t="str">
        <f t="shared" si="15"/>
        <v>2023.033M.Sedoreoviridae_sprenam.zip</v>
      </c>
    </row>
    <row r="671" spans="1:4">
      <c r="A671" t="s">
        <v>11672</v>
      </c>
      <c r="B671" t="s">
        <v>20405</v>
      </c>
      <c r="C671" t="s">
        <v>20406</v>
      </c>
      <c r="D671" s="45" t="str">
        <f t="shared" si="15"/>
        <v>2023.033M.Sedoreoviridae_sprenam.zip</v>
      </c>
    </row>
    <row r="672" spans="1:4">
      <c r="A672" t="s">
        <v>11672</v>
      </c>
      <c r="B672" t="s">
        <v>20407</v>
      </c>
      <c r="C672" t="s">
        <v>20408</v>
      </c>
      <c r="D672" s="45" t="str">
        <f t="shared" si="15"/>
        <v>2023.033M.Sedoreoviridae_sprenam.zip</v>
      </c>
    </row>
    <row r="673" spans="1:4">
      <c r="A673" t="s">
        <v>11672</v>
      </c>
      <c r="B673" t="s">
        <v>20409</v>
      </c>
      <c r="C673" t="s">
        <v>20410</v>
      </c>
      <c r="D673" s="45" t="str">
        <f t="shared" si="15"/>
        <v>2023.033M.Sedoreoviridae_sprenam.zip</v>
      </c>
    </row>
    <row r="674" spans="1:4">
      <c r="A674" t="s">
        <v>11672</v>
      </c>
      <c r="B674" t="s">
        <v>20411</v>
      </c>
      <c r="C674" t="s">
        <v>20412</v>
      </c>
      <c r="D674" s="45" t="str">
        <f t="shared" si="15"/>
        <v>2023.033M.Sedoreoviridae_sprenam.zip</v>
      </c>
    </row>
    <row r="675" spans="1:4">
      <c r="A675" t="s">
        <v>11672</v>
      </c>
      <c r="B675" t="s">
        <v>20413</v>
      </c>
      <c r="C675" t="s">
        <v>20414</v>
      </c>
      <c r="D675" s="45" t="str">
        <f t="shared" si="15"/>
        <v>2023.033M.Sedoreoviridae_sprenam.zip</v>
      </c>
    </row>
    <row r="676" spans="1:4">
      <c r="A676" t="s">
        <v>11672</v>
      </c>
      <c r="B676" t="s">
        <v>20415</v>
      </c>
      <c r="C676" t="s">
        <v>20416</v>
      </c>
      <c r="D676" s="45" t="str">
        <f t="shared" si="15"/>
        <v>2023.033M.Sedoreoviridae_sprenam.zip</v>
      </c>
    </row>
    <row r="677" spans="1:4">
      <c r="A677" t="s">
        <v>11672</v>
      </c>
      <c r="B677" t="s">
        <v>20417</v>
      </c>
      <c r="C677" t="s">
        <v>20418</v>
      </c>
      <c r="D677" s="45" t="str">
        <f t="shared" si="15"/>
        <v>2023.033M.Sedoreoviridae_sprenam.zip</v>
      </c>
    </row>
    <row r="678" spans="1:4">
      <c r="A678" t="s">
        <v>11672</v>
      </c>
      <c r="B678" t="s">
        <v>20419</v>
      </c>
      <c r="C678" t="s">
        <v>20420</v>
      </c>
      <c r="D678" s="45" t="str">
        <f t="shared" si="15"/>
        <v>2023.033M.Sedoreoviridae_sprenam.zip</v>
      </c>
    </row>
    <row r="679" spans="1:4">
      <c r="A679" t="s">
        <v>11672</v>
      </c>
      <c r="B679" t="s">
        <v>20421</v>
      </c>
      <c r="C679" t="s">
        <v>20422</v>
      </c>
      <c r="D679" s="45" t="str">
        <f t="shared" si="15"/>
        <v>2023.033M.Sedoreoviridae_sprenam.zip</v>
      </c>
    </row>
    <row r="680" spans="1:4">
      <c r="A680" t="s">
        <v>11672</v>
      </c>
      <c r="B680" t="s">
        <v>20423</v>
      </c>
      <c r="C680" t="s">
        <v>20424</v>
      </c>
      <c r="D680" s="45" t="str">
        <f t="shared" si="15"/>
        <v>2023.033M.Sedoreoviridae_sprenam.zip</v>
      </c>
    </row>
    <row r="681" spans="1:4">
      <c r="A681" t="s">
        <v>11672</v>
      </c>
      <c r="B681" t="s">
        <v>20425</v>
      </c>
      <c r="C681" t="s">
        <v>20426</v>
      </c>
      <c r="D681" s="45" t="str">
        <f t="shared" si="15"/>
        <v>2023.033M.Sedoreoviridae_sprenam.zip</v>
      </c>
    </row>
    <row r="682" spans="1:4">
      <c r="A682" t="s">
        <v>11672</v>
      </c>
      <c r="B682" t="s">
        <v>20427</v>
      </c>
      <c r="C682" t="s">
        <v>20428</v>
      </c>
      <c r="D682" s="45" t="str">
        <f t="shared" si="15"/>
        <v>2023.033M.Sedoreoviridae_sprenam.zip</v>
      </c>
    </row>
    <row r="683" spans="1:4">
      <c r="A683" t="s">
        <v>11672</v>
      </c>
      <c r="B683" t="s">
        <v>20429</v>
      </c>
      <c r="C683" t="s">
        <v>20430</v>
      </c>
      <c r="D683" s="45" t="str">
        <f t="shared" si="15"/>
        <v>2023.033M.Sedoreoviridae_sprenam.zip</v>
      </c>
    </row>
    <row r="684" spans="1:4">
      <c r="A684" t="s">
        <v>11672</v>
      </c>
      <c r="B684" t="s">
        <v>20431</v>
      </c>
      <c r="C684" t="s">
        <v>20432</v>
      </c>
      <c r="D684" s="45" t="str">
        <f t="shared" si="15"/>
        <v>2023.033M.Sedoreoviridae_sprenam.zip</v>
      </c>
    </row>
    <row r="685" spans="1:4">
      <c r="A685" t="s">
        <v>11672</v>
      </c>
      <c r="B685" t="s">
        <v>20433</v>
      </c>
      <c r="C685" t="s">
        <v>20434</v>
      </c>
      <c r="D685" s="45" t="str">
        <f t="shared" si="15"/>
        <v>2023.033M.Sedoreoviridae_sprenam.zip</v>
      </c>
    </row>
    <row r="686" spans="1:4">
      <c r="A686" t="s">
        <v>11672</v>
      </c>
      <c r="B686" t="s">
        <v>20435</v>
      </c>
      <c r="C686" t="s">
        <v>20436</v>
      </c>
      <c r="D686" s="45" t="str">
        <f t="shared" si="15"/>
        <v>2023.033M.Sedoreoviridae_sprenam.zip</v>
      </c>
    </row>
    <row r="687" spans="1:4">
      <c r="A687" t="s">
        <v>11672</v>
      </c>
      <c r="B687" t="s">
        <v>20437</v>
      </c>
      <c r="C687" t="s">
        <v>20438</v>
      </c>
      <c r="D687" s="45" t="str">
        <f t="shared" si="15"/>
        <v>2023.033M.Sedoreoviridae_sprenam.zip</v>
      </c>
    </row>
    <row r="688" spans="1:4">
      <c r="A688" t="s">
        <v>11672</v>
      </c>
      <c r="B688" t="s">
        <v>20439</v>
      </c>
      <c r="C688" t="s">
        <v>20440</v>
      </c>
      <c r="D688" s="45" t="str">
        <f t="shared" si="15"/>
        <v>2023.033M.Sedoreoviridae_sprenam.zip</v>
      </c>
    </row>
    <row r="689" spans="1:4">
      <c r="A689" t="s">
        <v>11672</v>
      </c>
      <c r="B689" t="s">
        <v>20441</v>
      </c>
      <c r="C689" t="s">
        <v>20442</v>
      </c>
      <c r="D689" s="45" t="str">
        <f t="shared" si="15"/>
        <v>2023.033M.Sedoreoviridae_sprenam.zip</v>
      </c>
    </row>
    <row r="690" spans="1:4">
      <c r="A690" t="s">
        <v>11672</v>
      </c>
      <c r="B690" t="s">
        <v>20443</v>
      </c>
      <c r="C690" t="s">
        <v>20444</v>
      </c>
      <c r="D690" s="45" t="str">
        <f t="shared" si="15"/>
        <v>2023.033M.Sedoreoviridae_sprenam.zip</v>
      </c>
    </row>
    <row r="691" spans="1:4">
      <c r="A691" t="s">
        <v>11672</v>
      </c>
      <c r="B691" t="s">
        <v>20445</v>
      </c>
      <c r="C691" t="s">
        <v>20446</v>
      </c>
      <c r="D691" s="45" t="str">
        <f t="shared" si="15"/>
        <v>2023.033M.Sedoreoviridae_sprenam.zip</v>
      </c>
    </row>
    <row r="692" spans="1:4">
      <c r="A692" t="s">
        <v>11672</v>
      </c>
      <c r="B692" t="s">
        <v>20447</v>
      </c>
      <c r="C692" t="s">
        <v>20448</v>
      </c>
      <c r="D692" s="45" t="str">
        <f t="shared" si="15"/>
        <v>2023.033M.Sedoreoviridae_sprenam.zip</v>
      </c>
    </row>
    <row r="693" spans="1:4">
      <c r="A693" t="s">
        <v>11672</v>
      </c>
      <c r="B693" t="s">
        <v>20449</v>
      </c>
      <c r="C693" t="s">
        <v>20450</v>
      </c>
      <c r="D693" s="45" t="str">
        <f t="shared" si="15"/>
        <v>2023.033M.Sedoreoviridae_sprenam.zip</v>
      </c>
    </row>
    <row r="694" spans="1:4">
      <c r="A694" t="s">
        <v>11672</v>
      </c>
      <c r="B694" t="s">
        <v>20451</v>
      </c>
      <c r="C694" t="s">
        <v>20452</v>
      </c>
      <c r="D694" s="45" t="str">
        <f t="shared" si="15"/>
        <v>2023.033M.Sedoreoviridae_sprenam.zip</v>
      </c>
    </row>
    <row r="695" spans="1:4">
      <c r="A695" t="s">
        <v>11672</v>
      </c>
      <c r="B695" t="s">
        <v>20453</v>
      </c>
      <c r="C695" t="s">
        <v>20454</v>
      </c>
      <c r="D695" s="45" t="str">
        <f t="shared" si="15"/>
        <v>2023.033M.Sedoreoviridae_sprenam.zip</v>
      </c>
    </row>
    <row r="696" spans="1:4">
      <c r="A696" t="s">
        <v>11672</v>
      </c>
      <c r="B696" t="s">
        <v>20455</v>
      </c>
      <c r="C696" t="s">
        <v>20456</v>
      </c>
      <c r="D696" s="45" t="str">
        <f t="shared" si="15"/>
        <v>2023.033M.Sedoreoviridae_sprenam.zip</v>
      </c>
    </row>
    <row r="697" spans="1:4">
      <c r="A697" t="s">
        <v>11672</v>
      </c>
      <c r="B697" t="s">
        <v>20457</v>
      </c>
      <c r="C697" t="s">
        <v>20458</v>
      </c>
      <c r="D697" s="45" t="str">
        <f t="shared" si="15"/>
        <v>2023.033M.Sedoreoviridae_sprenam.zip</v>
      </c>
    </row>
    <row r="698" spans="1:4">
      <c r="A698" t="s">
        <v>11672</v>
      </c>
      <c r="B698" t="s">
        <v>20459</v>
      </c>
      <c r="C698" t="s">
        <v>20460</v>
      </c>
      <c r="D698" s="45" t="str">
        <f t="shared" si="15"/>
        <v>2023.033M.Sedoreoviridae_sprenam.zip</v>
      </c>
    </row>
    <row r="699" spans="1:4">
      <c r="A699" t="s">
        <v>11672</v>
      </c>
      <c r="B699" t="s">
        <v>20461</v>
      </c>
      <c r="C699" t="s">
        <v>20462</v>
      </c>
      <c r="D699" s="45" t="str">
        <f t="shared" si="15"/>
        <v>2023.033M.Sedoreoviridae_sprenam.zip</v>
      </c>
    </row>
    <row r="700" spans="1:4">
      <c r="A700" t="s">
        <v>11672</v>
      </c>
      <c r="B700" t="s">
        <v>20463</v>
      </c>
      <c r="C700" t="s">
        <v>20464</v>
      </c>
      <c r="D700" s="45" t="str">
        <f t="shared" si="15"/>
        <v>2023.033M.Sedoreoviridae_sprenam.zip</v>
      </c>
    </row>
    <row r="701" spans="1:4">
      <c r="A701" t="s">
        <v>11672</v>
      </c>
      <c r="B701" t="s">
        <v>20465</v>
      </c>
      <c r="C701" t="s">
        <v>20466</v>
      </c>
      <c r="D701" s="45" t="str">
        <f t="shared" si="15"/>
        <v>2023.033M.Sedoreoviridae_sprenam.zip</v>
      </c>
    </row>
    <row r="702" spans="1:4">
      <c r="A702" t="s">
        <v>11672</v>
      </c>
      <c r="B702" t="s">
        <v>20467</v>
      </c>
      <c r="C702" t="s">
        <v>20468</v>
      </c>
      <c r="D702" s="45" t="str">
        <f t="shared" si="15"/>
        <v>2023.033M.Sedoreoviridae_sprenam.zip</v>
      </c>
    </row>
    <row r="703" spans="1:4">
      <c r="A703" t="s">
        <v>11672</v>
      </c>
      <c r="B703" t="s">
        <v>20469</v>
      </c>
      <c r="C703" t="s">
        <v>20470</v>
      </c>
      <c r="D703" s="45" t="str">
        <f t="shared" si="15"/>
        <v>2023.033M.Sedoreoviridae_sprenam.zip</v>
      </c>
    </row>
    <row r="704" spans="1:4">
      <c r="A704" t="s">
        <v>11672</v>
      </c>
      <c r="B704" t="s">
        <v>20471</v>
      </c>
      <c r="C704" t="s">
        <v>20472</v>
      </c>
      <c r="D704" s="45" t="str">
        <f t="shared" si="15"/>
        <v>2023.033M.Sedoreoviridae_sprenam.zip</v>
      </c>
    </row>
    <row r="705" spans="1:4">
      <c r="A705" t="s">
        <v>11672</v>
      </c>
      <c r="B705" t="s">
        <v>20473</v>
      </c>
      <c r="C705" t="s">
        <v>20474</v>
      </c>
      <c r="D705" s="45" t="str">
        <f t="shared" si="15"/>
        <v>2023.033M.Sedoreoviridae_sprenam.zip</v>
      </c>
    </row>
    <row r="706" spans="1:4">
      <c r="A706" t="s">
        <v>11672</v>
      </c>
      <c r="B706" t="s">
        <v>20475</v>
      </c>
      <c r="C706" t="s">
        <v>20476</v>
      </c>
      <c r="D706" s="45" t="str">
        <f t="shared" si="15"/>
        <v>2023.033M.Sedoreoviridae_sprenam.zip</v>
      </c>
    </row>
    <row r="707" spans="1:4">
      <c r="A707" t="s">
        <v>11672</v>
      </c>
      <c r="B707" t="s">
        <v>20477</v>
      </c>
      <c r="C707" t="s">
        <v>20478</v>
      </c>
      <c r="D707" s="45" t="str">
        <f t="shared" ref="D707:D738" si="16">HYPERLINK("https://ictv.global/ictv/proposals/2023.034M.Spinoreoviridae_sprenam.zip","2023.034M.Spinoreoviridae_sprenam.zip")</f>
        <v>2023.034M.Spinoreoviridae_sprenam.zip</v>
      </c>
    </row>
    <row r="708" spans="1:4">
      <c r="A708" t="s">
        <v>11672</v>
      </c>
      <c r="B708" t="s">
        <v>20479</v>
      </c>
      <c r="C708" t="s">
        <v>20480</v>
      </c>
      <c r="D708" s="45" t="str">
        <f t="shared" si="16"/>
        <v>2023.034M.Spinoreoviridae_sprenam.zip</v>
      </c>
    </row>
    <row r="709" spans="1:4">
      <c r="A709" t="s">
        <v>11672</v>
      </c>
      <c r="B709" t="s">
        <v>20481</v>
      </c>
      <c r="C709" t="s">
        <v>20482</v>
      </c>
      <c r="D709" s="45" t="str">
        <f t="shared" si="16"/>
        <v>2023.034M.Spinoreoviridae_sprenam.zip</v>
      </c>
    </row>
    <row r="710" spans="1:4">
      <c r="A710" t="s">
        <v>11672</v>
      </c>
      <c r="B710" t="s">
        <v>20483</v>
      </c>
      <c r="C710" t="s">
        <v>20484</v>
      </c>
      <c r="D710" s="45" t="str">
        <f t="shared" si="16"/>
        <v>2023.034M.Spinoreoviridae_sprenam.zip</v>
      </c>
    </row>
    <row r="711" spans="1:4">
      <c r="A711" t="s">
        <v>11672</v>
      </c>
      <c r="B711" t="s">
        <v>20485</v>
      </c>
      <c r="C711" t="s">
        <v>20486</v>
      </c>
      <c r="D711" s="45" t="str">
        <f t="shared" si="16"/>
        <v>2023.034M.Spinoreoviridae_sprenam.zip</v>
      </c>
    </row>
    <row r="712" spans="1:4">
      <c r="A712" t="s">
        <v>11672</v>
      </c>
      <c r="B712" t="s">
        <v>20487</v>
      </c>
      <c r="C712" t="s">
        <v>20488</v>
      </c>
      <c r="D712" s="45" t="str">
        <f t="shared" si="16"/>
        <v>2023.034M.Spinoreoviridae_sprenam.zip</v>
      </c>
    </row>
    <row r="713" spans="1:4">
      <c r="A713" t="s">
        <v>11672</v>
      </c>
      <c r="B713" t="s">
        <v>20489</v>
      </c>
      <c r="C713" t="s">
        <v>20490</v>
      </c>
      <c r="D713" s="45" t="str">
        <f t="shared" si="16"/>
        <v>2023.034M.Spinoreoviridae_sprenam.zip</v>
      </c>
    </row>
    <row r="714" spans="1:4">
      <c r="A714" t="s">
        <v>11672</v>
      </c>
      <c r="B714" t="s">
        <v>20491</v>
      </c>
      <c r="C714" t="s">
        <v>20492</v>
      </c>
      <c r="D714" s="45" t="str">
        <f t="shared" si="16"/>
        <v>2023.034M.Spinoreoviridae_sprenam.zip</v>
      </c>
    </row>
    <row r="715" spans="1:4">
      <c r="A715" t="s">
        <v>11672</v>
      </c>
      <c r="B715" t="s">
        <v>20493</v>
      </c>
      <c r="C715" t="s">
        <v>20494</v>
      </c>
      <c r="D715" s="45" t="str">
        <f t="shared" si="16"/>
        <v>2023.034M.Spinoreoviridae_sprenam.zip</v>
      </c>
    </row>
    <row r="716" spans="1:4">
      <c r="A716" t="s">
        <v>11672</v>
      </c>
      <c r="B716" t="s">
        <v>20495</v>
      </c>
      <c r="C716" t="s">
        <v>20496</v>
      </c>
      <c r="D716" s="45" t="str">
        <f t="shared" si="16"/>
        <v>2023.034M.Spinoreoviridae_sprenam.zip</v>
      </c>
    </row>
    <row r="717" spans="1:4">
      <c r="A717" t="s">
        <v>11672</v>
      </c>
      <c r="B717" t="s">
        <v>20497</v>
      </c>
      <c r="C717" t="s">
        <v>20498</v>
      </c>
      <c r="D717" s="45" t="str">
        <f t="shared" si="16"/>
        <v>2023.034M.Spinoreoviridae_sprenam.zip</v>
      </c>
    </row>
    <row r="718" spans="1:4">
      <c r="A718" t="s">
        <v>11672</v>
      </c>
      <c r="B718" t="s">
        <v>20499</v>
      </c>
      <c r="C718" t="s">
        <v>20500</v>
      </c>
      <c r="D718" s="45" t="str">
        <f t="shared" si="16"/>
        <v>2023.034M.Spinoreoviridae_sprenam.zip</v>
      </c>
    </row>
    <row r="719" spans="1:4">
      <c r="A719" t="s">
        <v>11672</v>
      </c>
      <c r="B719" t="s">
        <v>20501</v>
      </c>
      <c r="C719" t="s">
        <v>20502</v>
      </c>
      <c r="D719" s="45" t="str">
        <f t="shared" si="16"/>
        <v>2023.034M.Spinoreoviridae_sprenam.zip</v>
      </c>
    </row>
    <row r="720" spans="1:4">
      <c r="A720" t="s">
        <v>11672</v>
      </c>
      <c r="B720" t="s">
        <v>20503</v>
      </c>
      <c r="C720" t="s">
        <v>20504</v>
      </c>
      <c r="D720" s="45" t="str">
        <f t="shared" si="16"/>
        <v>2023.034M.Spinoreoviridae_sprenam.zip</v>
      </c>
    </row>
    <row r="721" spans="1:4">
      <c r="A721" t="s">
        <v>11672</v>
      </c>
      <c r="B721" t="s">
        <v>20505</v>
      </c>
      <c r="C721" t="s">
        <v>20506</v>
      </c>
      <c r="D721" s="45" t="str">
        <f t="shared" si="16"/>
        <v>2023.034M.Spinoreoviridae_sprenam.zip</v>
      </c>
    </row>
    <row r="722" spans="1:4">
      <c r="A722" t="s">
        <v>11672</v>
      </c>
      <c r="B722" t="s">
        <v>20507</v>
      </c>
      <c r="C722" t="s">
        <v>20508</v>
      </c>
      <c r="D722" s="45" t="str">
        <f t="shared" si="16"/>
        <v>2023.034M.Spinoreoviridae_sprenam.zip</v>
      </c>
    </row>
    <row r="723" spans="1:4">
      <c r="A723" t="s">
        <v>11672</v>
      </c>
      <c r="B723" t="s">
        <v>20509</v>
      </c>
      <c r="C723" t="s">
        <v>20510</v>
      </c>
      <c r="D723" s="45" t="str">
        <f t="shared" si="16"/>
        <v>2023.034M.Spinoreoviridae_sprenam.zip</v>
      </c>
    </row>
    <row r="724" spans="1:4">
      <c r="A724" t="s">
        <v>11672</v>
      </c>
      <c r="B724" t="s">
        <v>20511</v>
      </c>
      <c r="C724" t="s">
        <v>20512</v>
      </c>
      <c r="D724" s="45" t="str">
        <f t="shared" si="16"/>
        <v>2023.034M.Spinoreoviridae_sprenam.zip</v>
      </c>
    </row>
    <row r="725" spans="1:4">
      <c r="A725" t="s">
        <v>11672</v>
      </c>
      <c r="B725" t="s">
        <v>20513</v>
      </c>
      <c r="C725" t="s">
        <v>20514</v>
      </c>
      <c r="D725" s="45" t="str">
        <f t="shared" si="16"/>
        <v>2023.034M.Spinoreoviridae_sprenam.zip</v>
      </c>
    </row>
    <row r="726" spans="1:4">
      <c r="A726" t="s">
        <v>11672</v>
      </c>
      <c r="B726" t="s">
        <v>20515</v>
      </c>
      <c r="C726" t="s">
        <v>20516</v>
      </c>
      <c r="D726" s="45" t="str">
        <f t="shared" si="16"/>
        <v>2023.034M.Spinoreoviridae_sprenam.zip</v>
      </c>
    </row>
    <row r="727" spans="1:4">
      <c r="A727" t="s">
        <v>11672</v>
      </c>
      <c r="B727" t="s">
        <v>20517</v>
      </c>
      <c r="C727" t="s">
        <v>20518</v>
      </c>
      <c r="D727" s="45" t="str">
        <f t="shared" si="16"/>
        <v>2023.034M.Spinoreoviridae_sprenam.zip</v>
      </c>
    </row>
    <row r="728" spans="1:4">
      <c r="A728" t="s">
        <v>11672</v>
      </c>
      <c r="B728" t="s">
        <v>20519</v>
      </c>
      <c r="C728" t="s">
        <v>20520</v>
      </c>
      <c r="D728" s="45" t="str">
        <f t="shared" si="16"/>
        <v>2023.034M.Spinoreoviridae_sprenam.zip</v>
      </c>
    </row>
    <row r="729" spans="1:4">
      <c r="A729" t="s">
        <v>11672</v>
      </c>
      <c r="B729" t="s">
        <v>20521</v>
      </c>
      <c r="C729" t="s">
        <v>20522</v>
      </c>
      <c r="D729" s="45" t="str">
        <f t="shared" si="16"/>
        <v>2023.034M.Spinoreoviridae_sprenam.zip</v>
      </c>
    </row>
    <row r="730" spans="1:4">
      <c r="A730" t="s">
        <v>11672</v>
      </c>
      <c r="B730" t="s">
        <v>20523</v>
      </c>
      <c r="C730" t="s">
        <v>20524</v>
      </c>
      <c r="D730" s="45" t="str">
        <f t="shared" si="16"/>
        <v>2023.034M.Spinoreoviridae_sprenam.zip</v>
      </c>
    </row>
    <row r="731" spans="1:4">
      <c r="A731" t="s">
        <v>11672</v>
      </c>
      <c r="B731" t="s">
        <v>20525</v>
      </c>
      <c r="C731" t="s">
        <v>20526</v>
      </c>
      <c r="D731" s="45" t="str">
        <f t="shared" si="16"/>
        <v>2023.034M.Spinoreoviridae_sprenam.zip</v>
      </c>
    </row>
    <row r="732" spans="1:4">
      <c r="A732" t="s">
        <v>11672</v>
      </c>
      <c r="B732" t="s">
        <v>20527</v>
      </c>
      <c r="C732" t="s">
        <v>20528</v>
      </c>
      <c r="D732" s="45" t="str">
        <f t="shared" si="16"/>
        <v>2023.034M.Spinoreoviridae_sprenam.zip</v>
      </c>
    </row>
    <row r="733" spans="1:4">
      <c r="A733" t="s">
        <v>11672</v>
      </c>
      <c r="B733" t="s">
        <v>20529</v>
      </c>
      <c r="C733" t="s">
        <v>20530</v>
      </c>
      <c r="D733" s="45" t="str">
        <f t="shared" si="16"/>
        <v>2023.034M.Spinoreoviridae_sprenam.zip</v>
      </c>
    </row>
    <row r="734" spans="1:4">
      <c r="A734" t="s">
        <v>11672</v>
      </c>
      <c r="B734" t="s">
        <v>20531</v>
      </c>
      <c r="C734" t="s">
        <v>20532</v>
      </c>
      <c r="D734" s="45" t="str">
        <f t="shared" si="16"/>
        <v>2023.034M.Spinoreoviridae_sprenam.zip</v>
      </c>
    </row>
    <row r="735" spans="1:4">
      <c r="A735" t="s">
        <v>11672</v>
      </c>
      <c r="B735" t="s">
        <v>20533</v>
      </c>
      <c r="C735" t="s">
        <v>20534</v>
      </c>
      <c r="D735" s="45" t="str">
        <f t="shared" si="16"/>
        <v>2023.034M.Spinoreoviridae_sprenam.zip</v>
      </c>
    </row>
    <row r="736" spans="1:4">
      <c r="A736" t="s">
        <v>11672</v>
      </c>
      <c r="B736" t="s">
        <v>20535</v>
      </c>
      <c r="C736" t="s">
        <v>20536</v>
      </c>
      <c r="D736" s="45" t="str">
        <f t="shared" si="16"/>
        <v>2023.034M.Spinoreoviridae_sprenam.zip</v>
      </c>
    </row>
    <row r="737" spans="1:4">
      <c r="A737" t="s">
        <v>11672</v>
      </c>
      <c r="B737" t="s">
        <v>20537</v>
      </c>
      <c r="C737" t="s">
        <v>20538</v>
      </c>
      <c r="D737" s="45" t="str">
        <f t="shared" si="16"/>
        <v>2023.034M.Spinoreoviridae_sprenam.zip</v>
      </c>
    </row>
    <row r="738" spans="1:4">
      <c r="A738" t="s">
        <v>11672</v>
      </c>
      <c r="B738" t="s">
        <v>20539</v>
      </c>
      <c r="C738" t="s">
        <v>20540</v>
      </c>
      <c r="D738" s="45" t="str">
        <f t="shared" si="16"/>
        <v>2023.034M.Spinoreoviridae_sprenam.zip</v>
      </c>
    </row>
    <row r="739" spans="1:4">
      <c r="A739" t="s">
        <v>11672</v>
      </c>
      <c r="B739" t="s">
        <v>20541</v>
      </c>
      <c r="C739" t="s">
        <v>20542</v>
      </c>
      <c r="D739" s="45" t="str">
        <f t="shared" ref="D739:D764" si="17">HYPERLINK("https://ictv.global/ictv/proposals/2023.034M.Spinoreoviridae_sprenam.zip","2023.034M.Spinoreoviridae_sprenam.zip")</f>
        <v>2023.034M.Spinoreoviridae_sprenam.zip</v>
      </c>
    </row>
    <row r="740" spans="1:4">
      <c r="A740" t="s">
        <v>11672</v>
      </c>
      <c r="B740" t="s">
        <v>20543</v>
      </c>
      <c r="C740" t="s">
        <v>20544</v>
      </c>
      <c r="D740" s="45" t="str">
        <f t="shared" si="17"/>
        <v>2023.034M.Spinoreoviridae_sprenam.zip</v>
      </c>
    </row>
    <row r="741" spans="1:4">
      <c r="A741" t="s">
        <v>11672</v>
      </c>
      <c r="B741" t="s">
        <v>20545</v>
      </c>
      <c r="C741" t="s">
        <v>20546</v>
      </c>
      <c r="D741" s="45" t="str">
        <f t="shared" si="17"/>
        <v>2023.034M.Spinoreoviridae_sprenam.zip</v>
      </c>
    </row>
    <row r="742" spans="1:4">
      <c r="A742" t="s">
        <v>11672</v>
      </c>
      <c r="B742" t="s">
        <v>20547</v>
      </c>
      <c r="C742" t="s">
        <v>20548</v>
      </c>
      <c r="D742" s="45" t="str">
        <f t="shared" si="17"/>
        <v>2023.034M.Spinoreoviridae_sprenam.zip</v>
      </c>
    </row>
    <row r="743" spans="1:4">
      <c r="A743" t="s">
        <v>11672</v>
      </c>
      <c r="B743" t="s">
        <v>20549</v>
      </c>
      <c r="C743" t="s">
        <v>20550</v>
      </c>
      <c r="D743" s="45" t="str">
        <f t="shared" si="17"/>
        <v>2023.034M.Spinoreoviridae_sprenam.zip</v>
      </c>
    </row>
    <row r="744" spans="1:4">
      <c r="A744" t="s">
        <v>11672</v>
      </c>
      <c r="B744" t="s">
        <v>20551</v>
      </c>
      <c r="C744" t="s">
        <v>20552</v>
      </c>
      <c r="D744" s="45" t="str">
        <f t="shared" si="17"/>
        <v>2023.034M.Spinoreoviridae_sprenam.zip</v>
      </c>
    </row>
    <row r="745" spans="1:4">
      <c r="A745" t="s">
        <v>11672</v>
      </c>
      <c r="B745" t="s">
        <v>20553</v>
      </c>
      <c r="C745" t="s">
        <v>20554</v>
      </c>
      <c r="D745" s="45" t="str">
        <f t="shared" si="17"/>
        <v>2023.034M.Spinoreoviridae_sprenam.zip</v>
      </c>
    </row>
    <row r="746" spans="1:4">
      <c r="A746" t="s">
        <v>11672</v>
      </c>
      <c r="B746" t="s">
        <v>20555</v>
      </c>
      <c r="C746" t="s">
        <v>20556</v>
      </c>
      <c r="D746" s="45" t="str">
        <f t="shared" si="17"/>
        <v>2023.034M.Spinoreoviridae_sprenam.zip</v>
      </c>
    </row>
    <row r="747" spans="1:4">
      <c r="A747" t="s">
        <v>11672</v>
      </c>
      <c r="B747" t="s">
        <v>20557</v>
      </c>
      <c r="C747" t="s">
        <v>20558</v>
      </c>
      <c r="D747" s="45" t="str">
        <f t="shared" si="17"/>
        <v>2023.034M.Spinoreoviridae_sprenam.zip</v>
      </c>
    </row>
    <row r="748" spans="1:4">
      <c r="A748" t="s">
        <v>11672</v>
      </c>
      <c r="B748" t="s">
        <v>20559</v>
      </c>
      <c r="C748" t="s">
        <v>20560</v>
      </c>
      <c r="D748" s="45" t="str">
        <f t="shared" si="17"/>
        <v>2023.034M.Spinoreoviridae_sprenam.zip</v>
      </c>
    </row>
    <row r="749" spans="1:4">
      <c r="A749" t="s">
        <v>11672</v>
      </c>
      <c r="B749" t="s">
        <v>20561</v>
      </c>
      <c r="C749" t="s">
        <v>20562</v>
      </c>
      <c r="D749" s="45" t="str">
        <f t="shared" si="17"/>
        <v>2023.034M.Spinoreoviridae_sprenam.zip</v>
      </c>
    </row>
    <row r="750" spans="1:4">
      <c r="A750" t="s">
        <v>11672</v>
      </c>
      <c r="B750" t="s">
        <v>20563</v>
      </c>
      <c r="C750" t="s">
        <v>20564</v>
      </c>
      <c r="D750" s="45" t="str">
        <f t="shared" si="17"/>
        <v>2023.034M.Spinoreoviridae_sprenam.zip</v>
      </c>
    </row>
    <row r="751" spans="1:4">
      <c r="A751" t="s">
        <v>11672</v>
      </c>
      <c r="B751" t="s">
        <v>20565</v>
      </c>
      <c r="C751" t="s">
        <v>20566</v>
      </c>
      <c r="D751" s="45" t="str">
        <f t="shared" si="17"/>
        <v>2023.034M.Spinoreoviridae_sprenam.zip</v>
      </c>
    </row>
    <row r="752" spans="1:4">
      <c r="A752" t="s">
        <v>11672</v>
      </c>
      <c r="B752" t="s">
        <v>20567</v>
      </c>
      <c r="C752" t="s">
        <v>20568</v>
      </c>
      <c r="D752" s="45" t="str">
        <f t="shared" si="17"/>
        <v>2023.034M.Spinoreoviridae_sprenam.zip</v>
      </c>
    </row>
    <row r="753" spans="1:4">
      <c r="A753" t="s">
        <v>11672</v>
      </c>
      <c r="B753" t="s">
        <v>20569</v>
      </c>
      <c r="C753" t="s">
        <v>20570</v>
      </c>
      <c r="D753" s="45" t="str">
        <f t="shared" si="17"/>
        <v>2023.034M.Spinoreoviridae_sprenam.zip</v>
      </c>
    </row>
    <row r="754" spans="1:4">
      <c r="A754" t="s">
        <v>11672</v>
      </c>
      <c r="B754" t="s">
        <v>20571</v>
      </c>
      <c r="C754" t="s">
        <v>20572</v>
      </c>
      <c r="D754" s="45" t="str">
        <f t="shared" si="17"/>
        <v>2023.034M.Spinoreoviridae_sprenam.zip</v>
      </c>
    </row>
    <row r="755" spans="1:4">
      <c r="A755" t="s">
        <v>11672</v>
      </c>
      <c r="B755" t="s">
        <v>20573</v>
      </c>
      <c r="C755" t="s">
        <v>20574</v>
      </c>
      <c r="D755" s="45" t="str">
        <f t="shared" si="17"/>
        <v>2023.034M.Spinoreoviridae_sprenam.zip</v>
      </c>
    </row>
    <row r="756" spans="1:4">
      <c r="A756" t="s">
        <v>11672</v>
      </c>
      <c r="B756" t="s">
        <v>20575</v>
      </c>
      <c r="C756" t="s">
        <v>20576</v>
      </c>
      <c r="D756" s="45" t="str">
        <f t="shared" si="17"/>
        <v>2023.034M.Spinoreoviridae_sprenam.zip</v>
      </c>
    </row>
    <row r="757" spans="1:4">
      <c r="A757" t="s">
        <v>11672</v>
      </c>
      <c r="B757" t="s">
        <v>20577</v>
      </c>
      <c r="C757" t="s">
        <v>20578</v>
      </c>
      <c r="D757" s="45" t="str">
        <f t="shared" si="17"/>
        <v>2023.034M.Spinoreoviridae_sprenam.zip</v>
      </c>
    </row>
    <row r="758" spans="1:4">
      <c r="A758" t="s">
        <v>11672</v>
      </c>
      <c r="B758" t="s">
        <v>20579</v>
      </c>
      <c r="C758" t="s">
        <v>20580</v>
      </c>
      <c r="D758" s="45" t="str">
        <f t="shared" si="17"/>
        <v>2023.034M.Spinoreoviridae_sprenam.zip</v>
      </c>
    </row>
    <row r="759" spans="1:4">
      <c r="A759" t="s">
        <v>11672</v>
      </c>
      <c r="B759" t="s">
        <v>20581</v>
      </c>
      <c r="C759" t="s">
        <v>20582</v>
      </c>
      <c r="D759" s="45" t="str">
        <f t="shared" si="17"/>
        <v>2023.034M.Spinoreoviridae_sprenam.zip</v>
      </c>
    </row>
    <row r="760" spans="1:4">
      <c r="A760" t="s">
        <v>11672</v>
      </c>
      <c r="B760" t="s">
        <v>20583</v>
      </c>
      <c r="C760" t="s">
        <v>20584</v>
      </c>
      <c r="D760" s="45" t="str">
        <f t="shared" si="17"/>
        <v>2023.034M.Spinoreoviridae_sprenam.zip</v>
      </c>
    </row>
    <row r="761" spans="1:4">
      <c r="A761" t="s">
        <v>11672</v>
      </c>
      <c r="B761" t="s">
        <v>20585</v>
      </c>
      <c r="C761" t="s">
        <v>20586</v>
      </c>
      <c r="D761" s="45" t="str">
        <f t="shared" si="17"/>
        <v>2023.034M.Spinoreoviridae_sprenam.zip</v>
      </c>
    </row>
    <row r="762" spans="1:4">
      <c r="A762" t="s">
        <v>11672</v>
      </c>
      <c r="B762" t="s">
        <v>20587</v>
      </c>
      <c r="C762" t="s">
        <v>20588</v>
      </c>
      <c r="D762" s="45" t="str">
        <f t="shared" si="17"/>
        <v>2023.034M.Spinoreoviridae_sprenam.zip</v>
      </c>
    </row>
    <row r="763" spans="1:4">
      <c r="A763" t="s">
        <v>11672</v>
      </c>
      <c r="B763" t="s">
        <v>20589</v>
      </c>
      <c r="C763" t="s">
        <v>20590</v>
      </c>
      <c r="D763" s="45" t="str">
        <f t="shared" si="17"/>
        <v>2023.034M.Spinoreoviridae_sprenam.zip</v>
      </c>
    </row>
    <row r="764" spans="1:4">
      <c r="A764" t="s">
        <v>11672</v>
      </c>
      <c r="B764" t="s">
        <v>20591</v>
      </c>
      <c r="C764" t="s">
        <v>20592</v>
      </c>
      <c r="D764" s="45" t="str">
        <f t="shared" si="17"/>
        <v>2023.034M.Spinoreoviridae_sprenam.zip</v>
      </c>
    </row>
    <row r="765" spans="1:4">
      <c r="A765" t="s">
        <v>11672</v>
      </c>
      <c r="B765" t="s">
        <v>20593</v>
      </c>
      <c r="C765" t="s">
        <v>20594</v>
      </c>
      <c r="D765" s="45" t="str">
        <f t="shared" ref="D765:D774" si="18">HYPERLINK("https://ictv.global/ictv/proposals/2023.005S.Tetraviridae_13sprenamed.zip","2023.005S.Tetraviridae_13sprenamed.zip")</f>
        <v>2023.005S.Tetraviridae_13sprenamed.zip</v>
      </c>
    </row>
    <row r="766" spans="1:4">
      <c r="A766" t="s">
        <v>11672</v>
      </c>
      <c r="B766" t="s">
        <v>20595</v>
      </c>
      <c r="C766" t="s">
        <v>20596</v>
      </c>
      <c r="D766" s="45" t="str">
        <f t="shared" si="18"/>
        <v>2023.005S.Tetraviridae_13sprenamed.zip</v>
      </c>
    </row>
    <row r="767" spans="1:4">
      <c r="A767" t="s">
        <v>11672</v>
      </c>
      <c r="B767" t="s">
        <v>20597</v>
      </c>
      <c r="C767" t="s">
        <v>20598</v>
      </c>
      <c r="D767" s="45" t="str">
        <f t="shared" si="18"/>
        <v>2023.005S.Tetraviridae_13sprenamed.zip</v>
      </c>
    </row>
    <row r="768" spans="1:4">
      <c r="A768" t="s">
        <v>11672</v>
      </c>
      <c r="B768" t="s">
        <v>20599</v>
      </c>
      <c r="C768" t="s">
        <v>20600</v>
      </c>
      <c r="D768" s="45" t="str">
        <f t="shared" si="18"/>
        <v>2023.005S.Tetraviridae_13sprenamed.zip</v>
      </c>
    </row>
    <row r="769" spans="1:4">
      <c r="A769" t="s">
        <v>11672</v>
      </c>
      <c r="B769" t="s">
        <v>20601</v>
      </c>
      <c r="C769" t="s">
        <v>20602</v>
      </c>
      <c r="D769" s="45" t="str">
        <f t="shared" si="18"/>
        <v>2023.005S.Tetraviridae_13sprenamed.zip</v>
      </c>
    </row>
    <row r="770" spans="1:4">
      <c r="A770" t="s">
        <v>11672</v>
      </c>
      <c r="B770" t="s">
        <v>20603</v>
      </c>
      <c r="C770" t="s">
        <v>20604</v>
      </c>
      <c r="D770" s="45" t="str">
        <f t="shared" si="18"/>
        <v>2023.005S.Tetraviridae_13sprenamed.zip</v>
      </c>
    </row>
    <row r="771" spans="1:4">
      <c r="A771" t="s">
        <v>11672</v>
      </c>
      <c r="B771" t="s">
        <v>20605</v>
      </c>
      <c r="C771" t="s">
        <v>20606</v>
      </c>
      <c r="D771" s="45" t="str">
        <f t="shared" si="18"/>
        <v>2023.005S.Tetraviridae_13sprenamed.zip</v>
      </c>
    </row>
    <row r="772" spans="1:4">
      <c r="A772" t="s">
        <v>11672</v>
      </c>
      <c r="B772" t="s">
        <v>20607</v>
      </c>
      <c r="C772" t="s">
        <v>20608</v>
      </c>
      <c r="D772" s="45" t="str">
        <f t="shared" si="18"/>
        <v>2023.005S.Tetraviridae_13sprenamed.zip</v>
      </c>
    </row>
    <row r="773" spans="1:4">
      <c r="A773" t="s">
        <v>11672</v>
      </c>
      <c r="B773" t="s">
        <v>20609</v>
      </c>
      <c r="C773" t="s">
        <v>20610</v>
      </c>
      <c r="D773" s="45" t="str">
        <f t="shared" si="18"/>
        <v>2023.005S.Tetraviridae_13sprenamed.zip</v>
      </c>
    </row>
    <row r="774" spans="1:4">
      <c r="A774" t="s">
        <v>11672</v>
      </c>
      <c r="B774" t="s">
        <v>20611</v>
      </c>
      <c r="C774" t="s">
        <v>20612</v>
      </c>
      <c r="D774" s="45" t="str">
        <f t="shared" si="18"/>
        <v>2023.005S.Tetraviridae_13sprenamed.zip</v>
      </c>
    </row>
    <row r="775" spans="1:4">
      <c r="A775" t="s">
        <v>11672</v>
      </c>
      <c r="B775" t="s">
        <v>20613</v>
      </c>
      <c r="C775" t="s">
        <v>20614</v>
      </c>
      <c r="D775" s="45" t="str">
        <f>HYPERLINK("https://ictv.global/ictv/proposals/2023.016P.Virgaviridae_and_Benyviridae_rename_sp.zip","2023.016P.Virgaviridae_and_Benyviridae_rename_sp.zip")</f>
        <v>2023.016P.Virgaviridae_and_Benyviridae_rename_sp.zip</v>
      </c>
    </row>
    <row r="776" spans="1:4">
      <c r="A776" t="s">
        <v>11672</v>
      </c>
      <c r="B776" t="s">
        <v>20615</v>
      </c>
      <c r="C776" t="s">
        <v>20616</v>
      </c>
      <c r="D776" s="45" t="str">
        <f>HYPERLINK("https://ictv.global/ictv/proposals/2023.016P.Virgaviridae_and_Benyviridae_rename_sp.zip","2023.016P.Virgaviridae_and_Benyviridae_rename_sp.zip")</f>
        <v>2023.016P.Virgaviridae_and_Benyviridae_rename_sp.zip</v>
      </c>
    </row>
    <row r="777" spans="1:4">
      <c r="A777" t="s">
        <v>11672</v>
      </c>
      <c r="B777" t="s">
        <v>20617</v>
      </c>
      <c r="C777" t="s">
        <v>20618</v>
      </c>
      <c r="D777" s="45" t="str">
        <f>HYPERLINK("https://ictv.global/ictv/proposals/2023.016P.Virgaviridae_and_Benyviridae_rename_sp.zip","2023.016P.Virgaviridae_and_Benyviridae_rename_sp.zip")</f>
        <v>2023.016P.Virgaviridae_and_Benyviridae_rename_sp.zip</v>
      </c>
    </row>
    <row r="778" spans="1:4">
      <c r="A778" t="s">
        <v>11672</v>
      </c>
      <c r="B778" t="s">
        <v>20619</v>
      </c>
      <c r="C778" t="s">
        <v>20620</v>
      </c>
      <c r="D778" s="45" t="str">
        <f>HYPERLINK("https://ictv.global/ictv/proposals/2023.016P.Virgaviridae_and_Benyviridae_rename_sp.zip","2023.016P.Virgaviridae_and_Benyviridae_rename_sp.zip")</f>
        <v>2023.016P.Virgaviridae_and_Benyviridae_rename_sp.zip</v>
      </c>
    </row>
    <row r="779" spans="1:4">
      <c r="A779" t="s">
        <v>11672</v>
      </c>
      <c r="B779" t="s">
        <v>20621</v>
      </c>
      <c r="C779" t="s">
        <v>20622</v>
      </c>
      <c r="D779" s="45" t="str">
        <f t="shared" ref="D779:D814" si="19">HYPERLINK("https://ictv.global/ictv/proposals/2023.004P.Bromoviridae_rename_sp.zip","2023.004P.Bromoviridae_rename_sp.zip")</f>
        <v>2023.004P.Bromoviridae_rename_sp.zip</v>
      </c>
    </row>
    <row r="780" spans="1:4">
      <c r="A780" t="s">
        <v>11672</v>
      </c>
      <c r="B780" t="s">
        <v>20623</v>
      </c>
      <c r="C780" t="s">
        <v>20624</v>
      </c>
      <c r="D780" s="45" t="str">
        <f t="shared" si="19"/>
        <v>2023.004P.Bromoviridae_rename_sp.zip</v>
      </c>
    </row>
    <row r="781" spans="1:4">
      <c r="A781" t="s">
        <v>11672</v>
      </c>
      <c r="B781" t="s">
        <v>20625</v>
      </c>
      <c r="C781" t="s">
        <v>20626</v>
      </c>
      <c r="D781" s="45" t="str">
        <f t="shared" si="19"/>
        <v>2023.004P.Bromoviridae_rename_sp.zip</v>
      </c>
    </row>
    <row r="782" spans="1:4">
      <c r="A782" t="s">
        <v>11672</v>
      </c>
      <c r="B782" t="s">
        <v>20627</v>
      </c>
      <c r="C782" t="s">
        <v>20628</v>
      </c>
      <c r="D782" s="45" t="str">
        <f t="shared" si="19"/>
        <v>2023.004P.Bromoviridae_rename_sp.zip</v>
      </c>
    </row>
    <row r="783" spans="1:4">
      <c r="A783" t="s">
        <v>11672</v>
      </c>
      <c r="B783" t="s">
        <v>20629</v>
      </c>
      <c r="C783" t="s">
        <v>20630</v>
      </c>
      <c r="D783" s="45" t="str">
        <f t="shared" si="19"/>
        <v>2023.004P.Bromoviridae_rename_sp.zip</v>
      </c>
    </row>
    <row r="784" spans="1:4">
      <c r="A784" t="s">
        <v>11672</v>
      </c>
      <c r="B784" t="s">
        <v>20631</v>
      </c>
      <c r="C784" t="s">
        <v>20632</v>
      </c>
      <c r="D784" s="45" t="str">
        <f t="shared" si="19"/>
        <v>2023.004P.Bromoviridae_rename_sp.zip</v>
      </c>
    </row>
    <row r="785" spans="1:4">
      <c r="A785" t="s">
        <v>11672</v>
      </c>
      <c r="B785" t="s">
        <v>20633</v>
      </c>
      <c r="C785" t="s">
        <v>20634</v>
      </c>
      <c r="D785" s="45" t="str">
        <f t="shared" si="19"/>
        <v>2023.004P.Bromoviridae_rename_sp.zip</v>
      </c>
    </row>
    <row r="786" spans="1:4">
      <c r="A786" t="s">
        <v>11672</v>
      </c>
      <c r="B786" t="s">
        <v>20635</v>
      </c>
      <c r="C786" t="s">
        <v>20636</v>
      </c>
      <c r="D786" s="45" t="str">
        <f t="shared" si="19"/>
        <v>2023.004P.Bromoviridae_rename_sp.zip</v>
      </c>
    </row>
    <row r="787" spans="1:4">
      <c r="A787" t="s">
        <v>11672</v>
      </c>
      <c r="B787" t="s">
        <v>20637</v>
      </c>
      <c r="C787" t="s">
        <v>20638</v>
      </c>
      <c r="D787" s="45" t="str">
        <f t="shared" si="19"/>
        <v>2023.004P.Bromoviridae_rename_sp.zip</v>
      </c>
    </row>
    <row r="788" spans="1:4">
      <c r="A788" t="s">
        <v>11672</v>
      </c>
      <c r="B788" t="s">
        <v>20639</v>
      </c>
      <c r="C788" t="s">
        <v>20640</v>
      </c>
      <c r="D788" s="45" t="str">
        <f t="shared" si="19"/>
        <v>2023.004P.Bromoviridae_rename_sp.zip</v>
      </c>
    </row>
    <row r="789" spans="1:4">
      <c r="A789" t="s">
        <v>11672</v>
      </c>
      <c r="B789" t="s">
        <v>20641</v>
      </c>
      <c r="C789" t="s">
        <v>20642</v>
      </c>
      <c r="D789" s="45" t="str">
        <f t="shared" si="19"/>
        <v>2023.004P.Bromoviridae_rename_sp.zip</v>
      </c>
    </row>
    <row r="790" spans="1:4">
      <c r="A790" t="s">
        <v>11672</v>
      </c>
      <c r="B790" t="s">
        <v>20643</v>
      </c>
      <c r="C790" t="s">
        <v>20644</v>
      </c>
      <c r="D790" s="45" t="str">
        <f t="shared" si="19"/>
        <v>2023.004P.Bromoviridae_rename_sp.zip</v>
      </c>
    </row>
    <row r="791" spans="1:4">
      <c r="A791" t="s">
        <v>11672</v>
      </c>
      <c r="B791" t="s">
        <v>20645</v>
      </c>
      <c r="C791" t="s">
        <v>20646</v>
      </c>
      <c r="D791" s="45" t="str">
        <f t="shared" si="19"/>
        <v>2023.004P.Bromoviridae_rename_sp.zip</v>
      </c>
    </row>
    <row r="792" spans="1:4">
      <c r="A792" t="s">
        <v>11672</v>
      </c>
      <c r="B792" t="s">
        <v>20647</v>
      </c>
      <c r="C792" t="s">
        <v>20648</v>
      </c>
      <c r="D792" s="45" t="str">
        <f t="shared" si="19"/>
        <v>2023.004P.Bromoviridae_rename_sp.zip</v>
      </c>
    </row>
    <row r="793" spans="1:4">
      <c r="A793" t="s">
        <v>11672</v>
      </c>
      <c r="B793" t="s">
        <v>20649</v>
      </c>
      <c r="C793" t="s">
        <v>20650</v>
      </c>
      <c r="D793" s="45" t="str">
        <f t="shared" si="19"/>
        <v>2023.004P.Bromoviridae_rename_sp.zip</v>
      </c>
    </row>
    <row r="794" spans="1:4">
      <c r="A794" t="s">
        <v>11672</v>
      </c>
      <c r="B794" t="s">
        <v>20651</v>
      </c>
      <c r="C794" t="s">
        <v>20652</v>
      </c>
      <c r="D794" s="45" t="str">
        <f t="shared" si="19"/>
        <v>2023.004P.Bromoviridae_rename_sp.zip</v>
      </c>
    </row>
    <row r="795" spans="1:4">
      <c r="A795" t="s">
        <v>11672</v>
      </c>
      <c r="B795" t="s">
        <v>20653</v>
      </c>
      <c r="C795" t="s">
        <v>20654</v>
      </c>
      <c r="D795" s="45" t="str">
        <f t="shared" si="19"/>
        <v>2023.004P.Bromoviridae_rename_sp.zip</v>
      </c>
    </row>
    <row r="796" spans="1:4">
      <c r="A796" t="s">
        <v>11672</v>
      </c>
      <c r="B796" t="s">
        <v>20655</v>
      </c>
      <c r="C796" t="s">
        <v>20656</v>
      </c>
      <c r="D796" s="45" t="str">
        <f t="shared" si="19"/>
        <v>2023.004P.Bromoviridae_rename_sp.zip</v>
      </c>
    </row>
    <row r="797" spans="1:4">
      <c r="A797" t="s">
        <v>11672</v>
      </c>
      <c r="B797" t="s">
        <v>20657</v>
      </c>
      <c r="C797" t="s">
        <v>20658</v>
      </c>
      <c r="D797" s="45" t="str">
        <f t="shared" si="19"/>
        <v>2023.004P.Bromoviridae_rename_sp.zip</v>
      </c>
    </row>
    <row r="798" spans="1:4">
      <c r="A798" t="s">
        <v>11672</v>
      </c>
      <c r="B798" t="s">
        <v>20659</v>
      </c>
      <c r="C798" t="s">
        <v>20660</v>
      </c>
      <c r="D798" s="45" t="str">
        <f t="shared" si="19"/>
        <v>2023.004P.Bromoviridae_rename_sp.zip</v>
      </c>
    </row>
    <row r="799" spans="1:4">
      <c r="A799" t="s">
        <v>11672</v>
      </c>
      <c r="B799" t="s">
        <v>20661</v>
      </c>
      <c r="C799" t="s">
        <v>20662</v>
      </c>
      <c r="D799" s="45" t="str">
        <f t="shared" si="19"/>
        <v>2023.004P.Bromoviridae_rename_sp.zip</v>
      </c>
    </row>
    <row r="800" spans="1:4">
      <c r="A800" t="s">
        <v>11672</v>
      </c>
      <c r="B800" t="s">
        <v>20663</v>
      </c>
      <c r="C800" t="s">
        <v>20664</v>
      </c>
      <c r="D800" s="45" t="str">
        <f t="shared" si="19"/>
        <v>2023.004P.Bromoviridae_rename_sp.zip</v>
      </c>
    </row>
    <row r="801" spans="1:4">
      <c r="A801" t="s">
        <v>11672</v>
      </c>
      <c r="B801" t="s">
        <v>20665</v>
      </c>
      <c r="C801" t="s">
        <v>20666</v>
      </c>
      <c r="D801" s="45" t="str">
        <f t="shared" si="19"/>
        <v>2023.004P.Bromoviridae_rename_sp.zip</v>
      </c>
    </row>
    <row r="802" spans="1:4">
      <c r="A802" t="s">
        <v>11672</v>
      </c>
      <c r="B802" t="s">
        <v>20667</v>
      </c>
      <c r="C802" t="s">
        <v>20668</v>
      </c>
      <c r="D802" s="45" t="str">
        <f t="shared" si="19"/>
        <v>2023.004P.Bromoviridae_rename_sp.zip</v>
      </c>
    </row>
    <row r="803" spans="1:4">
      <c r="A803" t="s">
        <v>11672</v>
      </c>
      <c r="B803" t="s">
        <v>20669</v>
      </c>
      <c r="C803" t="s">
        <v>20670</v>
      </c>
      <c r="D803" s="45" t="str">
        <f t="shared" si="19"/>
        <v>2023.004P.Bromoviridae_rename_sp.zip</v>
      </c>
    </row>
    <row r="804" spans="1:4">
      <c r="A804" t="s">
        <v>11672</v>
      </c>
      <c r="B804" t="s">
        <v>20671</v>
      </c>
      <c r="C804" t="s">
        <v>20672</v>
      </c>
      <c r="D804" s="45" t="str">
        <f t="shared" si="19"/>
        <v>2023.004P.Bromoviridae_rename_sp.zip</v>
      </c>
    </row>
    <row r="805" spans="1:4">
      <c r="A805" t="s">
        <v>11672</v>
      </c>
      <c r="B805" t="s">
        <v>20673</v>
      </c>
      <c r="C805" t="s">
        <v>20674</v>
      </c>
      <c r="D805" s="45" t="str">
        <f t="shared" si="19"/>
        <v>2023.004P.Bromoviridae_rename_sp.zip</v>
      </c>
    </row>
    <row r="806" spans="1:4">
      <c r="A806" t="s">
        <v>11672</v>
      </c>
      <c r="B806" t="s">
        <v>20675</v>
      </c>
      <c r="C806" t="s">
        <v>20676</v>
      </c>
      <c r="D806" s="45" t="str">
        <f t="shared" si="19"/>
        <v>2023.004P.Bromoviridae_rename_sp.zip</v>
      </c>
    </row>
    <row r="807" spans="1:4">
      <c r="A807" t="s">
        <v>11672</v>
      </c>
      <c r="B807" t="s">
        <v>20677</v>
      </c>
      <c r="C807" t="s">
        <v>20678</v>
      </c>
      <c r="D807" s="45" t="str">
        <f t="shared" si="19"/>
        <v>2023.004P.Bromoviridae_rename_sp.zip</v>
      </c>
    </row>
    <row r="808" spans="1:4">
      <c r="A808" t="s">
        <v>11672</v>
      </c>
      <c r="B808" t="s">
        <v>20679</v>
      </c>
      <c r="C808" t="s">
        <v>20680</v>
      </c>
      <c r="D808" s="45" t="str">
        <f t="shared" si="19"/>
        <v>2023.004P.Bromoviridae_rename_sp.zip</v>
      </c>
    </row>
    <row r="809" spans="1:4">
      <c r="A809" t="s">
        <v>11672</v>
      </c>
      <c r="B809" t="s">
        <v>20681</v>
      </c>
      <c r="C809" t="s">
        <v>20682</v>
      </c>
      <c r="D809" s="45" t="str">
        <f t="shared" si="19"/>
        <v>2023.004P.Bromoviridae_rename_sp.zip</v>
      </c>
    </row>
    <row r="810" spans="1:4">
      <c r="A810" t="s">
        <v>11672</v>
      </c>
      <c r="B810" t="s">
        <v>20683</v>
      </c>
      <c r="C810" t="s">
        <v>20684</v>
      </c>
      <c r="D810" s="45" t="str">
        <f t="shared" si="19"/>
        <v>2023.004P.Bromoviridae_rename_sp.zip</v>
      </c>
    </row>
    <row r="811" spans="1:4">
      <c r="A811" t="s">
        <v>11672</v>
      </c>
      <c r="B811" t="s">
        <v>20685</v>
      </c>
      <c r="C811" t="s">
        <v>20686</v>
      </c>
      <c r="D811" s="45" t="str">
        <f t="shared" si="19"/>
        <v>2023.004P.Bromoviridae_rename_sp.zip</v>
      </c>
    </row>
    <row r="812" spans="1:4">
      <c r="A812" t="s">
        <v>11672</v>
      </c>
      <c r="B812" t="s">
        <v>20687</v>
      </c>
      <c r="C812" t="s">
        <v>20688</v>
      </c>
      <c r="D812" s="45" t="str">
        <f t="shared" si="19"/>
        <v>2023.004P.Bromoviridae_rename_sp.zip</v>
      </c>
    </row>
    <row r="813" spans="1:4">
      <c r="A813" t="s">
        <v>11672</v>
      </c>
      <c r="B813" t="s">
        <v>20689</v>
      </c>
      <c r="C813" t="s">
        <v>20690</v>
      </c>
      <c r="D813" s="45" t="str">
        <f t="shared" si="19"/>
        <v>2023.004P.Bromoviridae_rename_sp.zip</v>
      </c>
    </row>
    <row r="814" spans="1:4">
      <c r="A814" t="s">
        <v>11672</v>
      </c>
      <c r="B814" t="s">
        <v>20691</v>
      </c>
      <c r="C814" t="s">
        <v>20692</v>
      </c>
      <c r="D814" s="45" t="str">
        <f t="shared" si="19"/>
        <v>2023.004P.Bromoviridae_rename_sp.zip</v>
      </c>
    </row>
    <row r="815" spans="1:4">
      <c r="A815" t="s">
        <v>11672</v>
      </c>
      <c r="B815" t="s">
        <v>20693</v>
      </c>
      <c r="C815" t="s">
        <v>20694</v>
      </c>
      <c r="D815" s="45" t="str">
        <f t="shared" ref="D815:D846" si="20">HYPERLINK("https://ictv.global/ictv/proposals/2023.030P.Closteroviridae_rename_sp.zip","2023.030P.Closteroviridae_rename_sp.zip")</f>
        <v>2023.030P.Closteroviridae_rename_sp.zip</v>
      </c>
    </row>
    <row r="816" spans="1:4">
      <c r="A816" t="s">
        <v>11672</v>
      </c>
      <c r="B816" t="s">
        <v>20695</v>
      </c>
      <c r="C816" t="s">
        <v>20696</v>
      </c>
      <c r="D816" s="45" t="str">
        <f t="shared" si="20"/>
        <v>2023.030P.Closteroviridae_rename_sp.zip</v>
      </c>
    </row>
    <row r="817" spans="1:4">
      <c r="A817" t="s">
        <v>11672</v>
      </c>
      <c r="B817" t="s">
        <v>20697</v>
      </c>
      <c r="C817" t="s">
        <v>20698</v>
      </c>
      <c r="D817" s="45" t="str">
        <f t="shared" si="20"/>
        <v>2023.030P.Closteroviridae_rename_sp.zip</v>
      </c>
    </row>
    <row r="818" spans="1:4">
      <c r="A818" t="s">
        <v>11672</v>
      </c>
      <c r="B818" t="s">
        <v>20699</v>
      </c>
      <c r="C818" t="s">
        <v>20700</v>
      </c>
      <c r="D818" s="45" t="str">
        <f t="shared" si="20"/>
        <v>2023.030P.Closteroviridae_rename_sp.zip</v>
      </c>
    </row>
    <row r="819" spans="1:4">
      <c r="A819" t="s">
        <v>11672</v>
      </c>
      <c r="B819" t="s">
        <v>20701</v>
      </c>
      <c r="C819" t="s">
        <v>20702</v>
      </c>
      <c r="D819" s="45" t="str">
        <f t="shared" si="20"/>
        <v>2023.030P.Closteroviridae_rename_sp.zip</v>
      </c>
    </row>
    <row r="820" spans="1:4">
      <c r="A820" t="s">
        <v>11672</v>
      </c>
      <c r="B820" t="s">
        <v>20703</v>
      </c>
      <c r="C820" t="s">
        <v>20704</v>
      </c>
      <c r="D820" s="45" t="str">
        <f t="shared" si="20"/>
        <v>2023.030P.Closteroviridae_rename_sp.zip</v>
      </c>
    </row>
    <row r="821" spans="1:4">
      <c r="A821" t="s">
        <v>11672</v>
      </c>
      <c r="B821" t="s">
        <v>20705</v>
      </c>
      <c r="C821" t="s">
        <v>20706</v>
      </c>
      <c r="D821" s="45" t="str">
        <f t="shared" si="20"/>
        <v>2023.030P.Closteroviridae_rename_sp.zip</v>
      </c>
    </row>
    <row r="822" spans="1:4">
      <c r="A822" t="s">
        <v>11672</v>
      </c>
      <c r="B822" t="s">
        <v>20707</v>
      </c>
      <c r="C822" t="s">
        <v>20708</v>
      </c>
      <c r="D822" s="45" t="str">
        <f t="shared" si="20"/>
        <v>2023.030P.Closteroviridae_rename_sp.zip</v>
      </c>
    </row>
    <row r="823" spans="1:4">
      <c r="A823" t="s">
        <v>11672</v>
      </c>
      <c r="B823" t="s">
        <v>20709</v>
      </c>
      <c r="C823" t="s">
        <v>20710</v>
      </c>
      <c r="D823" s="45" t="str">
        <f t="shared" si="20"/>
        <v>2023.030P.Closteroviridae_rename_sp.zip</v>
      </c>
    </row>
    <row r="824" spans="1:4">
      <c r="A824" t="s">
        <v>11672</v>
      </c>
      <c r="B824" t="s">
        <v>20711</v>
      </c>
      <c r="C824" t="s">
        <v>20712</v>
      </c>
      <c r="D824" s="45" t="str">
        <f t="shared" si="20"/>
        <v>2023.030P.Closteroviridae_rename_sp.zip</v>
      </c>
    </row>
    <row r="825" spans="1:4">
      <c r="A825" t="s">
        <v>11672</v>
      </c>
      <c r="B825" t="s">
        <v>20713</v>
      </c>
      <c r="C825" t="s">
        <v>20714</v>
      </c>
      <c r="D825" s="45" t="str">
        <f t="shared" si="20"/>
        <v>2023.030P.Closteroviridae_rename_sp.zip</v>
      </c>
    </row>
    <row r="826" spans="1:4">
      <c r="A826" t="s">
        <v>11672</v>
      </c>
      <c r="B826" t="s">
        <v>20715</v>
      </c>
      <c r="C826" t="s">
        <v>20716</v>
      </c>
      <c r="D826" s="45" t="str">
        <f t="shared" si="20"/>
        <v>2023.030P.Closteroviridae_rename_sp.zip</v>
      </c>
    </row>
    <row r="827" spans="1:4">
      <c r="A827" t="s">
        <v>11672</v>
      </c>
      <c r="B827" t="s">
        <v>20717</v>
      </c>
      <c r="C827" t="s">
        <v>20718</v>
      </c>
      <c r="D827" s="45" t="str">
        <f t="shared" si="20"/>
        <v>2023.030P.Closteroviridae_rename_sp.zip</v>
      </c>
    </row>
    <row r="828" spans="1:4">
      <c r="A828" t="s">
        <v>11672</v>
      </c>
      <c r="B828" t="s">
        <v>20719</v>
      </c>
      <c r="C828" t="s">
        <v>20720</v>
      </c>
      <c r="D828" s="45" t="str">
        <f t="shared" si="20"/>
        <v>2023.030P.Closteroviridae_rename_sp.zip</v>
      </c>
    </row>
    <row r="829" spans="1:4">
      <c r="A829" t="s">
        <v>11672</v>
      </c>
      <c r="B829" t="s">
        <v>20721</v>
      </c>
      <c r="C829" t="s">
        <v>20722</v>
      </c>
      <c r="D829" s="45" t="str">
        <f t="shared" si="20"/>
        <v>2023.030P.Closteroviridae_rename_sp.zip</v>
      </c>
    </row>
    <row r="830" spans="1:4">
      <c r="A830" t="s">
        <v>11672</v>
      </c>
      <c r="B830" t="s">
        <v>20723</v>
      </c>
      <c r="C830" t="s">
        <v>20724</v>
      </c>
      <c r="D830" s="45" t="str">
        <f t="shared" si="20"/>
        <v>2023.030P.Closteroviridae_rename_sp.zip</v>
      </c>
    </row>
    <row r="831" spans="1:4">
      <c r="A831" t="s">
        <v>11672</v>
      </c>
      <c r="B831" t="s">
        <v>20725</v>
      </c>
      <c r="C831" t="s">
        <v>20726</v>
      </c>
      <c r="D831" s="45" t="str">
        <f t="shared" si="20"/>
        <v>2023.030P.Closteroviridae_rename_sp.zip</v>
      </c>
    </row>
    <row r="832" spans="1:4">
      <c r="A832" t="s">
        <v>11672</v>
      </c>
      <c r="B832" t="s">
        <v>20727</v>
      </c>
      <c r="C832" t="s">
        <v>20728</v>
      </c>
      <c r="D832" s="45" t="str">
        <f t="shared" si="20"/>
        <v>2023.030P.Closteroviridae_rename_sp.zip</v>
      </c>
    </row>
    <row r="833" spans="1:4">
      <c r="A833" t="s">
        <v>11672</v>
      </c>
      <c r="B833" t="s">
        <v>20729</v>
      </c>
      <c r="C833" t="s">
        <v>20730</v>
      </c>
      <c r="D833" s="45" t="str">
        <f t="shared" si="20"/>
        <v>2023.030P.Closteroviridae_rename_sp.zip</v>
      </c>
    </row>
    <row r="834" spans="1:4">
      <c r="A834" t="s">
        <v>11672</v>
      </c>
      <c r="B834" t="s">
        <v>20731</v>
      </c>
      <c r="C834" t="s">
        <v>20732</v>
      </c>
      <c r="D834" s="45" t="str">
        <f t="shared" si="20"/>
        <v>2023.030P.Closteroviridae_rename_sp.zip</v>
      </c>
    </row>
    <row r="835" spans="1:4">
      <c r="A835" t="s">
        <v>11672</v>
      </c>
      <c r="B835" t="s">
        <v>20733</v>
      </c>
      <c r="C835" t="s">
        <v>20734</v>
      </c>
      <c r="D835" s="45" t="str">
        <f t="shared" si="20"/>
        <v>2023.030P.Closteroviridae_rename_sp.zip</v>
      </c>
    </row>
    <row r="836" spans="1:4">
      <c r="A836" t="s">
        <v>11672</v>
      </c>
      <c r="B836" t="s">
        <v>20735</v>
      </c>
      <c r="C836" t="s">
        <v>20736</v>
      </c>
      <c r="D836" s="45" t="str">
        <f t="shared" si="20"/>
        <v>2023.030P.Closteroviridae_rename_sp.zip</v>
      </c>
    </row>
    <row r="837" spans="1:4">
      <c r="A837" t="s">
        <v>11672</v>
      </c>
      <c r="B837" t="s">
        <v>20737</v>
      </c>
      <c r="C837" t="s">
        <v>20738</v>
      </c>
      <c r="D837" s="45" t="str">
        <f t="shared" si="20"/>
        <v>2023.030P.Closteroviridae_rename_sp.zip</v>
      </c>
    </row>
    <row r="838" spans="1:4">
      <c r="A838" t="s">
        <v>11672</v>
      </c>
      <c r="B838" t="s">
        <v>20739</v>
      </c>
      <c r="C838" t="s">
        <v>20740</v>
      </c>
      <c r="D838" s="45" t="str">
        <f t="shared" si="20"/>
        <v>2023.030P.Closteroviridae_rename_sp.zip</v>
      </c>
    </row>
    <row r="839" spans="1:4">
      <c r="A839" t="s">
        <v>11672</v>
      </c>
      <c r="B839" t="s">
        <v>20741</v>
      </c>
      <c r="C839" t="s">
        <v>20742</v>
      </c>
      <c r="D839" s="45" t="str">
        <f t="shared" si="20"/>
        <v>2023.030P.Closteroviridae_rename_sp.zip</v>
      </c>
    </row>
    <row r="840" spans="1:4">
      <c r="A840" t="s">
        <v>11672</v>
      </c>
      <c r="B840" t="s">
        <v>20743</v>
      </c>
      <c r="C840" t="s">
        <v>20744</v>
      </c>
      <c r="D840" s="45" t="str">
        <f t="shared" si="20"/>
        <v>2023.030P.Closteroviridae_rename_sp.zip</v>
      </c>
    </row>
    <row r="841" spans="1:4">
      <c r="A841" t="s">
        <v>11672</v>
      </c>
      <c r="B841" t="s">
        <v>20745</v>
      </c>
      <c r="C841" t="s">
        <v>20746</v>
      </c>
      <c r="D841" s="45" t="str">
        <f t="shared" si="20"/>
        <v>2023.030P.Closteroviridae_rename_sp.zip</v>
      </c>
    </row>
    <row r="842" spans="1:4">
      <c r="A842" t="s">
        <v>11672</v>
      </c>
      <c r="B842" t="s">
        <v>20747</v>
      </c>
      <c r="C842" t="s">
        <v>20748</v>
      </c>
      <c r="D842" s="45" t="str">
        <f t="shared" si="20"/>
        <v>2023.030P.Closteroviridae_rename_sp.zip</v>
      </c>
    </row>
    <row r="843" spans="1:4">
      <c r="A843" t="s">
        <v>11672</v>
      </c>
      <c r="B843" t="s">
        <v>20749</v>
      </c>
      <c r="C843" t="s">
        <v>20750</v>
      </c>
      <c r="D843" s="45" t="str">
        <f t="shared" si="20"/>
        <v>2023.030P.Closteroviridae_rename_sp.zip</v>
      </c>
    </row>
    <row r="844" spans="1:4">
      <c r="A844" t="s">
        <v>11672</v>
      </c>
      <c r="B844" t="s">
        <v>20751</v>
      </c>
      <c r="C844" t="s">
        <v>20752</v>
      </c>
      <c r="D844" s="45" t="str">
        <f t="shared" si="20"/>
        <v>2023.030P.Closteroviridae_rename_sp.zip</v>
      </c>
    </row>
    <row r="845" spans="1:4">
      <c r="A845" t="s">
        <v>11672</v>
      </c>
      <c r="B845" t="s">
        <v>20753</v>
      </c>
      <c r="C845" t="s">
        <v>20754</v>
      </c>
      <c r="D845" s="45" t="str">
        <f t="shared" si="20"/>
        <v>2023.030P.Closteroviridae_rename_sp.zip</v>
      </c>
    </row>
    <row r="846" spans="1:4">
      <c r="A846" t="s">
        <v>11672</v>
      </c>
      <c r="B846" t="s">
        <v>20755</v>
      </c>
      <c r="C846" t="s">
        <v>20756</v>
      </c>
      <c r="D846" s="45" t="str">
        <f t="shared" si="20"/>
        <v>2023.030P.Closteroviridae_rename_sp.zip</v>
      </c>
    </row>
    <row r="847" spans="1:4">
      <c r="A847" t="s">
        <v>11672</v>
      </c>
      <c r="B847" t="s">
        <v>20757</v>
      </c>
      <c r="C847" t="s">
        <v>20758</v>
      </c>
      <c r="D847" s="45" t="str">
        <f t="shared" ref="D847:D871" si="21">HYPERLINK("https://ictv.global/ictv/proposals/2023.030P.Closteroviridae_rename_sp.zip","2023.030P.Closteroviridae_rename_sp.zip")</f>
        <v>2023.030P.Closteroviridae_rename_sp.zip</v>
      </c>
    </row>
    <row r="848" spans="1:4">
      <c r="A848" t="s">
        <v>11672</v>
      </c>
      <c r="B848" t="s">
        <v>20759</v>
      </c>
      <c r="C848" t="s">
        <v>20760</v>
      </c>
      <c r="D848" s="45" t="str">
        <f t="shared" si="21"/>
        <v>2023.030P.Closteroviridae_rename_sp.zip</v>
      </c>
    </row>
    <row r="849" spans="1:4">
      <c r="A849" t="s">
        <v>11672</v>
      </c>
      <c r="B849" t="s">
        <v>20761</v>
      </c>
      <c r="C849" t="s">
        <v>20762</v>
      </c>
      <c r="D849" s="45" t="str">
        <f t="shared" si="21"/>
        <v>2023.030P.Closteroviridae_rename_sp.zip</v>
      </c>
    </row>
    <row r="850" spans="1:4">
      <c r="A850" t="s">
        <v>11672</v>
      </c>
      <c r="B850" t="s">
        <v>20763</v>
      </c>
      <c r="C850" t="s">
        <v>20764</v>
      </c>
      <c r="D850" s="45" t="str">
        <f t="shared" si="21"/>
        <v>2023.030P.Closteroviridae_rename_sp.zip</v>
      </c>
    </row>
    <row r="851" spans="1:4">
      <c r="A851" t="s">
        <v>11672</v>
      </c>
      <c r="B851" t="s">
        <v>20765</v>
      </c>
      <c r="C851" t="s">
        <v>20766</v>
      </c>
      <c r="D851" s="45" t="str">
        <f t="shared" si="21"/>
        <v>2023.030P.Closteroviridae_rename_sp.zip</v>
      </c>
    </row>
    <row r="852" spans="1:4">
      <c r="A852" t="s">
        <v>11672</v>
      </c>
      <c r="B852" t="s">
        <v>20767</v>
      </c>
      <c r="C852" t="s">
        <v>20768</v>
      </c>
      <c r="D852" s="45" t="str">
        <f t="shared" si="21"/>
        <v>2023.030P.Closteroviridae_rename_sp.zip</v>
      </c>
    </row>
    <row r="853" spans="1:4">
      <c r="A853" t="s">
        <v>11672</v>
      </c>
      <c r="B853" t="s">
        <v>20769</v>
      </c>
      <c r="C853" t="s">
        <v>20770</v>
      </c>
      <c r="D853" s="45" t="str">
        <f t="shared" si="21"/>
        <v>2023.030P.Closteroviridae_rename_sp.zip</v>
      </c>
    </row>
    <row r="854" spans="1:4">
      <c r="A854" t="s">
        <v>11672</v>
      </c>
      <c r="B854" t="s">
        <v>20771</v>
      </c>
      <c r="C854" t="s">
        <v>20772</v>
      </c>
      <c r="D854" s="45" t="str">
        <f t="shared" si="21"/>
        <v>2023.030P.Closteroviridae_rename_sp.zip</v>
      </c>
    </row>
    <row r="855" spans="1:4">
      <c r="A855" t="s">
        <v>11672</v>
      </c>
      <c r="B855" t="s">
        <v>20773</v>
      </c>
      <c r="C855" t="s">
        <v>20774</v>
      </c>
      <c r="D855" s="45" t="str">
        <f t="shared" si="21"/>
        <v>2023.030P.Closteroviridae_rename_sp.zip</v>
      </c>
    </row>
    <row r="856" spans="1:4">
      <c r="A856" t="s">
        <v>11672</v>
      </c>
      <c r="B856" t="s">
        <v>20775</v>
      </c>
      <c r="C856" t="s">
        <v>20776</v>
      </c>
      <c r="D856" s="45" t="str">
        <f t="shared" si="21"/>
        <v>2023.030P.Closteroviridae_rename_sp.zip</v>
      </c>
    </row>
    <row r="857" spans="1:4">
      <c r="A857" t="s">
        <v>11672</v>
      </c>
      <c r="B857" t="s">
        <v>20777</v>
      </c>
      <c r="C857" t="s">
        <v>20778</v>
      </c>
      <c r="D857" s="45" t="str">
        <f t="shared" si="21"/>
        <v>2023.030P.Closteroviridae_rename_sp.zip</v>
      </c>
    </row>
    <row r="858" spans="1:4">
      <c r="A858" t="s">
        <v>11672</v>
      </c>
      <c r="B858" t="s">
        <v>20779</v>
      </c>
      <c r="C858" t="s">
        <v>20780</v>
      </c>
      <c r="D858" s="45" t="str">
        <f t="shared" si="21"/>
        <v>2023.030P.Closteroviridae_rename_sp.zip</v>
      </c>
    </row>
    <row r="859" spans="1:4">
      <c r="A859" t="s">
        <v>11672</v>
      </c>
      <c r="B859" t="s">
        <v>20781</v>
      </c>
      <c r="C859" t="s">
        <v>20782</v>
      </c>
      <c r="D859" s="45" t="str">
        <f t="shared" si="21"/>
        <v>2023.030P.Closteroviridae_rename_sp.zip</v>
      </c>
    </row>
    <row r="860" spans="1:4">
      <c r="A860" t="s">
        <v>11672</v>
      </c>
      <c r="B860" t="s">
        <v>20783</v>
      </c>
      <c r="C860" t="s">
        <v>20784</v>
      </c>
      <c r="D860" s="45" t="str">
        <f t="shared" si="21"/>
        <v>2023.030P.Closteroviridae_rename_sp.zip</v>
      </c>
    </row>
    <row r="861" spans="1:4">
      <c r="A861" t="s">
        <v>11672</v>
      </c>
      <c r="B861" t="s">
        <v>20785</v>
      </c>
      <c r="C861" t="s">
        <v>20786</v>
      </c>
      <c r="D861" s="45" t="str">
        <f t="shared" si="21"/>
        <v>2023.030P.Closteroviridae_rename_sp.zip</v>
      </c>
    </row>
    <row r="862" spans="1:4">
      <c r="A862" t="s">
        <v>11672</v>
      </c>
      <c r="B862" t="s">
        <v>20787</v>
      </c>
      <c r="C862" t="s">
        <v>20788</v>
      </c>
      <c r="D862" s="45" t="str">
        <f t="shared" si="21"/>
        <v>2023.030P.Closteroviridae_rename_sp.zip</v>
      </c>
    </row>
    <row r="863" spans="1:4">
      <c r="A863" t="s">
        <v>11672</v>
      </c>
      <c r="B863" t="s">
        <v>20789</v>
      </c>
      <c r="C863" t="s">
        <v>20790</v>
      </c>
      <c r="D863" s="45" t="str">
        <f t="shared" si="21"/>
        <v>2023.030P.Closteroviridae_rename_sp.zip</v>
      </c>
    </row>
    <row r="864" spans="1:4">
      <c r="A864" t="s">
        <v>11672</v>
      </c>
      <c r="B864" t="s">
        <v>20791</v>
      </c>
      <c r="C864" t="s">
        <v>20792</v>
      </c>
      <c r="D864" s="45" t="str">
        <f t="shared" si="21"/>
        <v>2023.030P.Closteroviridae_rename_sp.zip</v>
      </c>
    </row>
    <row r="865" spans="1:4">
      <c r="A865" t="s">
        <v>11672</v>
      </c>
      <c r="B865" t="s">
        <v>20793</v>
      </c>
      <c r="C865" t="s">
        <v>20794</v>
      </c>
      <c r="D865" s="45" t="str">
        <f t="shared" si="21"/>
        <v>2023.030P.Closteroviridae_rename_sp.zip</v>
      </c>
    </row>
    <row r="866" spans="1:4">
      <c r="A866" t="s">
        <v>11672</v>
      </c>
      <c r="B866" t="s">
        <v>20795</v>
      </c>
      <c r="C866" t="s">
        <v>20796</v>
      </c>
      <c r="D866" s="45" t="str">
        <f t="shared" si="21"/>
        <v>2023.030P.Closteroviridae_rename_sp.zip</v>
      </c>
    </row>
    <row r="867" spans="1:4">
      <c r="A867" t="s">
        <v>11672</v>
      </c>
      <c r="B867" t="s">
        <v>20797</v>
      </c>
      <c r="C867" t="s">
        <v>20798</v>
      </c>
      <c r="D867" s="45" t="str">
        <f t="shared" si="21"/>
        <v>2023.030P.Closteroviridae_rename_sp.zip</v>
      </c>
    </row>
    <row r="868" spans="1:4">
      <c r="A868" t="s">
        <v>11672</v>
      </c>
      <c r="B868" t="s">
        <v>20799</v>
      </c>
      <c r="C868" t="s">
        <v>20800</v>
      </c>
      <c r="D868" s="45" t="str">
        <f t="shared" si="21"/>
        <v>2023.030P.Closteroviridae_rename_sp.zip</v>
      </c>
    </row>
    <row r="869" spans="1:4">
      <c r="A869" t="s">
        <v>11672</v>
      </c>
      <c r="B869" t="s">
        <v>20801</v>
      </c>
      <c r="C869" t="s">
        <v>20802</v>
      </c>
      <c r="D869" s="45" t="str">
        <f t="shared" si="21"/>
        <v>2023.030P.Closteroviridae_rename_sp.zip</v>
      </c>
    </row>
    <row r="870" spans="1:4">
      <c r="A870" t="s">
        <v>11672</v>
      </c>
      <c r="B870" t="s">
        <v>20803</v>
      </c>
      <c r="C870" t="s">
        <v>20804</v>
      </c>
      <c r="D870" s="45" t="str">
        <f t="shared" si="21"/>
        <v>2023.030P.Closteroviridae_rename_sp.zip</v>
      </c>
    </row>
    <row r="871" spans="1:4">
      <c r="A871" t="s">
        <v>11672</v>
      </c>
      <c r="B871" t="s">
        <v>20805</v>
      </c>
      <c r="C871" t="s">
        <v>20806</v>
      </c>
      <c r="D871" s="45" t="str">
        <f t="shared" si="21"/>
        <v>2023.030P.Closteroviridae_rename_sp.zip</v>
      </c>
    </row>
    <row r="872" spans="1:4">
      <c r="A872" t="s">
        <v>11672</v>
      </c>
      <c r="B872" t="s">
        <v>20807</v>
      </c>
      <c r="C872" t="s">
        <v>20808</v>
      </c>
      <c r="D872" s="45" t="str">
        <f t="shared" ref="D872:D902" si="22">HYPERLINK("https://ictv.global/ictv/proposals/2023.002P.Endornaviridae_rename_sp.zip","2023.002P.Endornaviridae_rename_sp.zip")</f>
        <v>2023.002P.Endornaviridae_rename_sp.zip</v>
      </c>
    </row>
    <row r="873" spans="1:4">
      <c r="A873" t="s">
        <v>11672</v>
      </c>
      <c r="B873" t="s">
        <v>20809</v>
      </c>
      <c r="C873" t="s">
        <v>20810</v>
      </c>
      <c r="D873" s="45" t="str">
        <f t="shared" si="22"/>
        <v>2023.002P.Endornaviridae_rename_sp.zip</v>
      </c>
    </row>
    <row r="874" spans="1:4">
      <c r="A874" t="s">
        <v>11672</v>
      </c>
      <c r="B874" t="s">
        <v>20811</v>
      </c>
      <c r="C874" t="s">
        <v>20812</v>
      </c>
      <c r="D874" s="45" t="str">
        <f t="shared" si="22"/>
        <v>2023.002P.Endornaviridae_rename_sp.zip</v>
      </c>
    </row>
    <row r="875" spans="1:4">
      <c r="A875" t="s">
        <v>11672</v>
      </c>
      <c r="B875" t="s">
        <v>20813</v>
      </c>
      <c r="C875" t="s">
        <v>20814</v>
      </c>
      <c r="D875" s="45" t="str">
        <f t="shared" si="22"/>
        <v>2023.002P.Endornaviridae_rename_sp.zip</v>
      </c>
    </row>
    <row r="876" spans="1:4">
      <c r="A876" t="s">
        <v>11672</v>
      </c>
      <c r="B876" t="s">
        <v>20815</v>
      </c>
      <c r="C876" t="s">
        <v>20816</v>
      </c>
      <c r="D876" s="45" t="str">
        <f t="shared" si="22"/>
        <v>2023.002P.Endornaviridae_rename_sp.zip</v>
      </c>
    </row>
    <row r="877" spans="1:4">
      <c r="A877" t="s">
        <v>11672</v>
      </c>
      <c r="B877" t="s">
        <v>20817</v>
      </c>
      <c r="C877" t="s">
        <v>20818</v>
      </c>
      <c r="D877" s="45" t="str">
        <f t="shared" si="22"/>
        <v>2023.002P.Endornaviridae_rename_sp.zip</v>
      </c>
    </row>
    <row r="878" spans="1:4">
      <c r="A878" t="s">
        <v>11672</v>
      </c>
      <c r="B878" t="s">
        <v>20819</v>
      </c>
      <c r="C878" t="s">
        <v>20820</v>
      </c>
      <c r="D878" s="45" t="str">
        <f t="shared" si="22"/>
        <v>2023.002P.Endornaviridae_rename_sp.zip</v>
      </c>
    </row>
    <row r="879" spans="1:4">
      <c r="A879" t="s">
        <v>11672</v>
      </c>
      <c r="B879" t="s">
        <v>20821</v>
      </c>
      <c r="C879" t="s">
        <v>20822</v>
      </c>
      <c r="D879" s="45" t="str">
        <f t="shared" si="22"/>
        <v>2023.002P.Endornaviridae_rename_sp.zip</v>
      </c>
    </row>
    <row r="880" spans="1:4">
      <c r="A880" t="s">
        <v>11672</v>
      </c>
      <c r="B880" t="s">
        <v>20823</v>
      </c>
      <c r="C880" t="s">
        <v>20824</v>
      </c>
      <c r="D880" s="45" t="str">
        <f t="shared" si="22"/>
        <v>2023.002P.Endornaviridae_rename_sp.zip</v>
      </c>
    </row>
    <row r="881" spans="1:4">
      <c r="A881" t="s">
        <v>11672</v>
      </c>
      <c r="B881" t="s">
        <v>20825</v>
      </c>
      <c r="C881" t="s">
        <v>20826</v>
      </c>
      <c r="D881" s="45" t="str">
        <f t="shared" si="22"/>
        <v>2023.002P.Endornaviridae_rename_sp.zip</v>
      </c>
    </row>
    <row r="882" spans="1:4">
      <c r="A882" t="s">
        <v>11672</v>
      </c>
      <c r="B882" t="s">
        <v>20827</v>
      </c>
      <c r="C882" t="s">
        <v>20828</v>
      </c>
      <c r="D882" s="45" t="str">
        <f t="shared" si="22"/>
        <v>2023.002P.Endornaviridae_rename_sp.zip</v>
      </c>
    </row>
    <row r="883" spans="1:4">
      <c r="A883" t="s">
        <v>11672</v>
      </c>
      <c r="B883" t="s">
        <v>20829</v>
      </c>
      <c r="C883" t="s">
        <v>20830</v>
      </c>
      <c r="D883" s="45" t="str">
        <f t="shared" si="22"/>
        <v>2023.002P.Endornaviridae_rename_sp.zip</v>
      </c>
    </row>
    <row r="884" spans="1:4">
      <c r="A884" t="s">
        <v>11672</v>
      </c>
      <c r="B884" t="s">
        <v>20831</v>
      </c>
      <c r="C884" t="s">
        <v>20832</v>
      </c>
      <c r="D884" s="45" t="str">
        <f t="shared" si="22"/>
        <v>2023.002P.Endornaviridae_rename_sp.zip</v>
      </c>
    </row>
    <row r="885" spans="1:4">
      <c r="A885" t="s">
        <v>11672</v>
      </c>
      <c r="B885" t="s">
        <v>20833</v>
      </c>
      <c r="C885" t="s">
        <v>20834</v>
      </c>
      <c r="D885" s="45" t="str">
        <f t="shared" si="22"/>
        <v>2023.002P.Endornaviridae_rename_sp.zip</v>
      </c>
    </row>
    <row r="886" spans="1:4">
      <c r="A886" t="s">
        <v>11672</v>
      </c>
      <c r="B886" t="s">
        <v>20835</v>
      </c>
      <c r="C886" t="s">
        <v>20836</v>
      </c>
      <c r="D886" s="45" t="str">
        <f t="shared" si="22"/>
        <v>2023.002P.Endornaviridae_rename_sp.zip</v>
      </c>
    </row>
    <row r="887" spans="1:4">
      <c r="A887" t="s">
        <v>11672</v>
      </c>
      <c r="B887" t="s">
        <v>20837</v>
      </c>
      <c r="C887" t="s">
        <v>20838</v>
      </c>
      <c r="D887" s="45" t="str">
        <f t="shared" si="22"/>
        <v>2023.002P.Endornaviridae_rename_sp.zip</v>
      </c>
    </row>
    <row r="888" spans="1:4">
      <c r="A888" t="s">
        <v>11672</v>
      </c>
      <c r="B888" t="s">
        <v>20839</v>
      </c>
      <c r="C888" t="s">
        <v>20840</v>
      </c>
      <c r="D888" s="45" t="str">
        <f t="shared" si="22"/>
        <v>2023.002P.Endornaviridae_rename_sp.zip</v>
      </c>
    </row>
    <row r="889" spans="1:4">
      <c r="A889" t="s">
        <v>11672</v>
      </c>
      <c r="B889" t="s">
        <v>20841</v>
      </c>
      <c r="C889" t="s">
        <v>20842</v>
      </c>
      <c r="D889" s="45" t="str">
        <f t="shared" si="22"/>
        <v>2023.002P.Endornaviridae_rename_sp.zip</v>
      </c>
    </row>
    <row r="890" spans="1:4">
      <c r="A890" t="s">
        <v>11672</v>
      </c>
      <c r="B890" t="s">
        <v>20843</v>
      </c>
      <c r="C890" t="s">
        <v>20844</v>
      </c>
      <c r="D890" s="45" t="str">
        <f t="shared" si="22"/>
        <v>2023.002P.Endornaviridae_rename_sp.zip</v>
      </c>
    </row>
    <row r="891" spans="1:4">
      <c r="A891" t="s">
        <v>11672</v>
      </c>
      <c r="B891" t="s">
        <v>20845</v>
      </c>
      <c r="C891" t="s">
        <v>20846</v>
      </c>
      <c r="D891" s="45" t="str">
        <f t="shared" si="22"/>
        <v>2023.002P.Endornaviridae_rename_sp.zip</v>
      </c>
    </row>
    <row r="892" spans="1:4">
      <c r="A892" t="s">
        <v>11672</v>
      </c>
      <c r="B892" t="s">
        <v>20847</v>
      </c>
      <c r="C892" t="s">
        <v>20848</v>
      </c>
      <c r="D892" s="45" t="str">
        <f t="shared" si="22"/>
        <v>2023.002P.Endornaviridae_rename_sp.zip</v>
      </c>
    </row>
    <row r="893" spans="1:4">
      <c r="A893" t="s">
        <v>11672</v>
      </c>
      <c r="B893" t="s">
        <v>20849</v>
      </c>
      <c r="C893" t="s">
        <v>20850</v>
      </c>
      <c r="D893" s="45" t="str">
        <f t="shared" si="22"/>
        <v>2023.002P.Endornaviridae_rename_sp.zip</v>
      </c>
    </row>
    <row r="894" spans="1:4">
      <c r="A894" t="s">
        <v>11672</v>
      </c>
      <c r="B894" t="s">
        <v>20851</v>
      </c>
      <c r="C894" t="s">
        <v>20852</v>
      </c>
      <c r="D894" s="45" t="str">
        <f t="shared" si="22"/>
        <v>2023.002P.Endornaviridae_rename_sp.zip</v>
      </c>
    </row>
    <row r="895" spans="1:4">
      <c r="A895" t="s">
        <v>11672</v>
      </c>
      <c r="B895" t="s">
        <v>20853</v>
      </c>
      <c r="C895" t="s">
        <v>20854</v>
      </c>
      <c r="D895" s="45" t="str">
        <f t="shared" si="22"/>
        <v>2023.002P.Endornaviridae_rename_sp.zip</v>
      </c>
    </row>
    <row r="896" spans="1:4">
      <c r="A896" t="s">
        <v>11672</v>
      </c>
      <c r="B896" t="s">
        <v>20855</v>
      </c>
      <c r="C896" t="s">
        <v>20856</v>
      </c>
      <c r="D896" s="45" t="str">
        <f t="shared" si="22"/>
        <v>2023.002P.Endornaviridae_rename_sp.zip</v>
      </c>
    </row>
    <row r="897" spans="1:4">
      <c r="A897" t="s">
        <v>11672</v>
      </c>
      <c r="B897" t="s">
        <v>20857</v>
      </c>
      <c r="C897" t="s">
        <v>20858</v>
      </c>
      <c r="D897" s="45" t="str">
        <f t="shared" si="22"/>
        <v>2023.002P.Endornaviridae_rename_sp.zip</v>
      </c>
    </row>
    <row r="898" spans="1:4">
      <c r="A898" t="s">
        <v>11672</v>
      </c>
      <c r="B898" t="s">
        <v>20859</v>
      </c>
      <c r="C898" t="s">
        <v>20860</v>
      </c>
      <c r="D898" s="45" t="str">
        <f t="shared" si="22"/>
        <v>2023.002P.Endornaviridae_rename_sp.zip</v>
      </c>
    </row>
    <row r="899" spans="1:4">
      <c r="A899" t="s">
        <v>11672</v>
      </c>
      <c r="B899" t="s">
        <v>20861</v>
      </c>
      <c r="C899" t="s">
        <v>20862</v>
      </c>
      <c r="D899" s="45" t="str">
        <f t="shared" si="22"/>
        <v>2023.002P.Endornaviridae_rename_sp.zip</v>
      </c>
    </row>
    <row r="900" spans="1:4">
      <c r="A900" t="s">
        <v>11672</v>
      </c>
      <c r="B900" t="s">
        <v>20863</v>
      </c>
      <c r="C900" t="s">
        <v>20864</v>
      </c>
      <c r="D900" s="45" t="str">
        <f t="shared" si="22"/>
        <v>2023.002P.Endornaviridae_rename_sp.zip</v>
      </c>
    </row>
    <row r="901" spans="1:4">
      <c r="A901" t="s">
        <v>11672</v>
      </c>
      <c r="B901" t="s">
        <v>20865</v>
      </c>
      <c r="C901" t="s">
        <v>20866</v>
      </c>
      <c r="D901" s="45" t="str">
        <f t="shared" si="22"/>
        <v>2023.002P.Endornaviridae_rename_sp.zip</v>
      </c>
    </row>
    <row r="902" spans="1:4">
      <c r="A902" t="s">
        <v>11672</v>
      </c>
      <c r="B902" t="s">
        <v>20867</v>
      </c>
      <c r="C902" t="s">
        <v>20868</v>
      </c>
      <c r="D902" s="45" t="str">
        <f t="shared" si="22"/>
        <v>2023.002P.Endornaviridae_rename_sp.zip</v>
      </c>
    </row>
    <row r="903" spans="1:4">
      <c r="A903" t="s">
        <v>11672</v>
      </c>
      <c r="B903" t="s">
        <v>20869</v>
      </c>
      <c r="C903" t="s">
        <v>20870</v>
      </c>
      <c r="D903" s="45" t="str">
        <f t="shared" ref="D903:D934" si="23">HYPERLINK("https://ictv.global/ictv/proposals/2023.006S.Togaviridae_32sprenamed.zip","2023.006S.Togaviridae_32sprenamed.zip")</f>
        <v>2023.006S.Togaviridae_32sprenamed.zip</v>
      </c>
    </row>
    <row r="904" spans="1:4">
      <c r="A904" t="s">
        <v>11672</v>
      </c>
      <c r="B904" t="s">
        <v>20871</v>
      </c>
      <c r="C904" t="s">
        <v>20872</v>
      </c>
      <c r="D904" s="45" t="str">
        <f t="shared" si="23"/>
        <v>2023.006S.Togaviridae_32sprenamed.zip</v>
      </c>
    </row>
    <row r="905" spans="1:4">
      <c r="A905" t="s">
        <v>11672</v>
      </c>
      <c r="B905" t="s">
        <v>20873</v>
      </c>
      <c r="C905" t="s">
        <v>20874</v>
      </c>
      <c r="D905" s="45" t="str">
        <f t="shared" si="23"/>
        <v>2023.006S.Togaviridae_32sprenamed.zip</v>
      </c>
    </row>
    <row r="906" spans="1:4">
      <c r="A906" t="s">
        <v>11672</v>
      </c>
      <c r="B906" t="s">
        <v>20875</v>
      </c>
      <c r="C906" t="s">
        <v>20876</v>
      </c>
      <c r="D906" s="45" t="str">
        <f t="shared" si="23"/>
        <v>2023.006S.Togaviridae_32sprenamed.zip</v>
      </c>
    </row>
    <row r="907" spans="1:4">
      <c r="A907" t="s">
        <v>11672</v>
      </c>
      <c r="B907" t="s">
        <v>20877</v>
      </c>
      <c r="C907" t="s">
        <v>20878</v>
      </c>
      <c r="D907" s="45" t="str">
        <f t="shared" si="23"/>
        <v>2023.006S.Togaviridae_32sprenamed.zip</v>
      </c>
    </row>
    <row r="908" spans="1:4">
      <c r="A908" t="s">
        <v>11672</v>
      </c>
      <c r="B908" t="s">
        <v>20879</v>
      </c>
      <c r="C908" t="s">
        <v>20880</v>
      </c>
      <c r="D908" s="45" t="str">
        <f t="shared" si="23"/>
        <v>2023.006S.Togaviridae_32sprenamed.zip</v>
      </c>
    </row>
    <row r="909" spans="1:4">
      <c r="A909" t="s">
        <v>11672</v>
      </c>
      <c r="B909" t="s">
        <v>20881</v>
      </c>
      <c r="C909" t="s">
        <v>20882</v>
      </c>
      <c r="D909" s="45" t="str">
        <f t="shared" si="23"/>
        <v>2023.006S.Togaviridae_32sprenamed.zip</v>
      </c>
    </row>
    <row r="910" spans="1:4">
      <c r="A910" t="s">
        <v>11672</v>
      </c>
      <c r="B910" t="s">
        <v>20883</v>
      </c>
      <c r="C910" t="s">
        <v>20884</v>
      </c>
      <c r="D910" s="45" t="str">
        <f t="shared" si="23"/>
        <v>2023.006S.Togaviridae_32sprenamed.zip</v>
      </c>
    </row>
    <row r="911" spans="1:4">
      <c r="A911" t="s">
        <v>11672</v>
      </c>
      <c r="B911" t="s">
        <v>20885</v>
      </c>
      <c r="C911" t="s">
        <v>20886</v>
      </c>
      <c r="D911" s="45" t="str">
        <f t="shared" si="23"/>
        <v>2023.006S.Togaviridae_32sprenamed.zip</v>
      </c>
    </row>
    <row r="912" spans="1:4">
      <c r="A912" t="s">
        <v>11672</v>
      </c>
      <c r="B912" t="s">
        <v>20887</v>
      </c>
      <c r="C912" t="s">
        <v>20888</v>
      </c>
      <c r="D912" s="45" t="str">
        <f t="shared" si="23"/>
        <v>2023.006S.Togaviridae_32sprenamed.zip</v>
      </c>
    </row>
    <row r="913" spans="1:4">
      <c r="A913" t="s">
        <v>11672</v>
      </c>
      <c r="B913" t="s">
        <v>20889</v>
      </c>
      <c r="C913" t="s">
        <v>20890</v>
      </c>
      <c r="D913" s="45" t="str">
        <f t="shared" si="23"/>
        <v>2023.006S.Togaviridae_32sprenamed.zip</v>
      </c>
    </row>
    <row r="914" spans="1:4">
      <c r="A914" t="s">
        <v>11672</v>
      </c>
      <c r="B914" t="s">
        <v>20891</v>
      </c>
      <c r="C914" t="s">
        <v>20892</v>
      </c>
      <c r="D914" s="45" t="str">
        <f t="shared" si="23"/>
        <v>2023.006S.Togaviridae_32sprenamed.zip</v>
      </c>
    </row>
    <row r="915" spans="1:4">
      <c r="A915" t="s">
        <v>11672</v>
      </c>
      <c r="B915" t="s">
        <v>20893</v>
      </c>
      <c r="C915" t="s">
        <v>20894</v>
      </c>
      <c r="D915" s="45" t="str">
        <f t="shared" si="23"/>
        <v>2023.006S.Togaviridae_32sprenamed.zip</v>
      </c>
    </row>
    <row r="916" spans="1:4">
      <c r="A916" t="s">
        <v>11672</v>
      </c>
      <c r="B916" t="s">
        <v>20895</v>
      </c>
      <c r="C916" t="s">
        <v>20896</v>
      </c>
      <c r="D916" s="45" t="str">
        <f t="shared" si="23"/>
        <v>2023.006S.Togaviridae_32sprenamed.zip</v>
      </c>
    </row>
    <row r="917" spans="1:4">
      <c r="A917" t="s">
        <v>11672</v>
      </c>
      <c r="B917" t="s">
        <v>20897</v>
      </c>
      <c r="C917" t="s">
        <v>20898</v>
      </c>
      <c r="D917" s="45" t="str">
        <f t="shared" si="23"/>
        <v>2023.006S.Togaviridae_32sprenamed.zip</v>
      </c>
    </row>
    <row r="918" spans="1:4">
      <c r="A918" t="s">
        <v>11672</v>
      </c>
      <c r="B918" t="s">
        <v>20899</v>
      </c>
      <c r="C918" t="s">
        <v>20900</v>
      </c>
      <c r="D918" s="45" t="str">
        <f t="shared" si="23"/>
        <v>2023.006S.Togaviridae_32sprenamed.zip</v>
      </c>
    </row>
    <row r="919" spans="1:4">
      <c r="A919" t="s">
        <v>11672</v>
      </c>
      <c r="B919" t="s">
        <v>20901</v>
      </c>
      <c r="C919" t="s">
        <v>20902</v>
      </c>
      <c r="D919" s="45" t="str">
        <f t="shared" si="23"/>
        <v>2023.006S.Togaviridae_32sprenamed.zip</v>
      </c>
    </row>
    <row r="920" spans="1:4">
      <c r="A920" t="s">
        <v>11672</v>
      </c>
      <c r="B920" t="s">
        <v>20903</v>
      </c>
      <c r="C920" t="s">
        <v>20904</v>
      </c>
      <c r="D920" s="45" t="str">
        <f t="shared" si="23"/>
        <v>2023.006S.Togaviridae_32sprenamed.zip</v>
      </c>
    </row>
    <row r="921" spans="1:4">
      <c r="A921" t="s">
        <v>11672</v>
      </c>
      <c r="B921" t="s">
        <v>20905</v>
      </c>
      <c r="C921" t="s">
        <v>20906</v>
      </c>
      <c r="D921" s="45" t="str">
        <f t="shared" si="23"/>
        <v>2023.006S.Togaviridae_32sprenamed.zip</v>
      </c>
    </row>
    <row r="922" spans="1:4">
      <c r="A922" t="s">
        <v>11672</v>
      </c>
      <c r="B922" t="s">
        <v>20907</v>
      </c>
      <c r="C922" t="s">
        <v>20908</v>
      </c>
      <c r="D922" s="45" t="str">
        <f t="shared" si="23"/>
        <v>2023.006S.Togaviridae_32sprenamed.zip</v>
      </c>
    </row>
    <row r="923" spans="1:4">
      <c r="A923" t="s">
        <v>11672</v>
      </c>
      <c r="B923" t="s">
        <v>20909</v>
      </c>
      <c r="C923" t="s">
        <v>20910</v>
      </c>
      <c r="D923" s="45" t="str">
        <f t="shared" si="23"/>
        <v>2023.006S.Togaviridae_32sprenamed.zip</v>
      </c>
    </row>
    <row r="924" spans="1:4">
      <c r="A924" t="s">
        <v>11672</v>
      </c>
      <c r="B924" t="s">
        <v>20911</v>
      </c>
      <c r="C924" t="s">
        <v>20912</v>
      </c>
      <c r="D924" s="45" t="str">
        <f t="shared" si="23"/>
        <v>2023.006S.Togaviridae_32sprenamed.zip</v>
      </c>
    </row>
    <row r="925" spans="1:4">
      <c r="A925" t="s">
        <v>11672</v>
      </c>
      <c r="B925" t="s">
        <v>20913</v>
      </c>
      <c r="C925" t="s">
        <v>20914</v>
      </c>
      <c r="D925" s="45" t="str">
        <f t="shared" si="23"/>
        <v>2023.006S.Togaviridae_32sprenamed.zip</v>
      </c>
    </row>
    <row r="926" spans="1:4">
      <c r="A926" t="s">
        <v>11672</v>
      </c>
      <c r="B926" t="s">
        <v>20915</v>
      </c>
      <c r="C926" t="s">
        <v>20916</v>
      </c>
      <c r="D926" s="45" t="str">
        <f t="shared" si="23"/>
        <v>2023.006S.Togaviridae_32sprenamed.zip</v>
      </c>
    </row>
    <row r="927" spans="1:4">
      <c r="A927" t="s">
        <v>11672</v>
      </c>
      <c r="B927" t="s">
        <v>20917</v>
      </c>
      <c r="C927" t="s">
        <v>20918</v>
      </c>
      <c r="D927" s="45" t="str">
        <f t="shared" si="23"/>
        <v>2023.006S.Togaviridae_32sprenamed.zip</v>
      </c>
    </row>
    <row r="928" spans="1:4">
      <c r="A928" t="s">
        <v>11672</v>
      </c>
      <c r="B928" t="s">
        <v>20919</v>
      </c>
      <c r="C928" t="s">
        <v>20920</v>
      </c>
      <c r="D928" s="45" t="str">
        <f t="shared" si="23"/>
        <v>2023.006S.Togaviridae_32sprenamed.zip</v>
      </c>
    </row>
    <row r="929" spans="1:4">
      <c r="A929" t="s">
        <v>11672</v>
      </c>
      <c r="B929" t="s">
        <v>20921</v>
      </c>
      <c r="C929" t="s">
        <v>20922</v>
      </c>
      <c r="D929" s="45" t="str">
        <f t="shared" si="23"/>
        <v>2023.006S.Togaviridae_32sprenamed.zip</v>
      </c>
    </row>
    <row r="930" spans="1:4">
      <c r="A930" t="s">
        <v>11672</v>
      </c>
      <c r="B930" t="s">
        <v>20923</v>
      </c>
      <c r="C930" t="s">
        <v>20924</v>
      </c>
      <c r="D930" s="45" t="str">
        <f t="shared" si="23"/>
        <v>2023.006S.Togaviridae_32sprenamed.zip</v>
      </c>
    </row>
    <row r="931" spans="1:4">
      <c r="A931" t="s">
        <v>11672</v>
      </c>
      <c r="B931" t="s">
        <v>20925</v>
      </c>
      <c r="C931" t="s">
        <v>20926</v>
      </c>
      <c r="D931" s="45" t="str">
        <f t="shared" si="23"/>
        <v>2023.006S.Togaviridae_32sprenamed.zip</v>
      </c>
    </row>
    <row r="932" spans="1:4">
      <c r="A932" t="s">
        <v>11672</v>
      </c>
      <c r="B932" t="s">
        <v>20927</v>
      </c>
      <c r="C932" t="s">
        <v>20928</v>
      </c>
      <c r="D932" s="45" t="str">
        <f t="shared" si="23"/>
        <v>2023.006S.Togaviridae_32sprenamed.zip</v>
      </c>
    </row>
    <row r="933" spans="1:4">
      <c r="A933" t="s">
        <v>11672</v>
      </c>
      <c r="B933" t="s">
        <v>20929</v>
      </c>
      <c r="C933" t="s">
        <v>20930</v>
      </c>
      <c r="D933" s="45" t="str">
        <f t="shared" si="23"/>
        <v>2023.006S.Togaviridae_32sprenamed.zip</v>
      </c>
    </row>
    <row r="934" spans="1:4">
      <c r="A934" t="s">
        <v>11672</v>
      </c>
      <c r="B934" t="s">
        <v>20931</v>
      </c>
      <c r="C934" t="s">
        <v>20932</v>
      </c>
      <c r="D934" s="45" t="str">
        <f t="shared" si="23"/>
        <v>2023.006S.Togaviridae_32sprenamed.zip</v>
      </c>
    </row>
    <row r="935" spans="1:4">
      <c r="A935" t="s">
        <v>11672</v>
      </c>
      <c r="B935" t="s">
        <v>20933</v>
      </c>
      <c r="C935" t="s">
        <v>20934</v>
      </c>
      <c r="D935" s="45" t="str">
        <f t="shared" ref="D935:D966" si="24">HYPERLINK("https://ictv.global/ictv/proposals/2023.016P.Virgaviridae_and_Benyviridae_rename_sp.zip","2023.016P.Virgaviridae_and_Benyviridae_rename_sp.zip")</f>
        <v>2023.016P.Virgaviridae_and_Benyviridae_rename_sp.zip</v>
      </c>
    </row>
    <row r="936" spans="1:4">
      <c r="A936" t="s">
        <v>11672</v>
      </c>
      <c r="B936" t="s">
        <v>20935</v>
      </c>
      <c r="C936" t="s">
        <v>20936</v>
      </c>
      <c r="D936" s="45" t="str">
        <f t="shared" si="24"/>
        <v>2023.016P.Virgaviridae_and_Benyviridae_rename_sp.zip</v>
      </c>
    </row>
    <row r="937" spans="1:4">
      <c r="A937" t="s">
        <v>11672</v>
      </c>
      <c r="B937" t="s">
        <v>20937</v>
      </c>
      <c r="C937" t="s">
        <v>20938</v>
      </c>
      <c r="D937" s="45" t="str">
        <f t="shared" si="24"/>
        <v>2023.016P.Virgaviridae_and_Benyviridae_rename_sp.zip</v>
      </c>
    </row>
    <row r="938" spans="1:4">
      <c r="A938" t="s">
        <v>11672</v>
      </c>
      <c r="B938" t="s">
        <v>20939</v>
      </c>
      <c r="C938" t="s">
        <v>20940</v>
      </c>
      <c r="D938" s="45" t="str">
        <f t="shared" si="24"/>
        <v>2023.016P.Virgaviridae_and_Benyviridae_rename_sp.zip</v>
      </c>
    </row>
    <row r="939" spans="1:4">
      <c r="A939" t="s">
        <v>11672</v>
      </c>
      <c r="B939" t="s">
        <v>20941</v>
      </c>
      <c r="C939" t="s">
        <v>20942</v>
      </c>
      <c r="D939" s="45" t="str">
        <f t="shared" si="24"/>
        <v>2023.016P.Virgaviridae_and_Benyviridae_rename_sp.zip</v>
      </c>
    </row>
    <row r="940" spans="1:4">
      <c r="A940" t="s">
        <v>11672</v>
      </c>
      <c r="B940" t="s">
        <v>20943</v>
      </c>
      <c r="C940" t="s">
        <v>20944</v>
      </c>
      <c r="D940" s="45" t="str">
        <f t="shared" si="24"/>
        <v>2023.016P.Virgaviridae_and_Benyviridae_rename_sp.zip</v>
      </c>
    </row>
    <row r="941" spans="1:4">
      <c r="A941" t="s">
        <v>11672</v>
      </c>
      <c r="B941" t="s">
        <v>20945</v>
      </c>
      <c r="C941" t="s">
        <v>20946</v>
      </c>
      <c r="D941" s="45" t="str">
        <f t="shared" si="24"/>
        <v>2023.016P.Virgaviridae_and_Benyviridae_rename_sp.zip</v>
      </c>
    </row>
    <row r="942" spans="1:4">
      <c r="A942" t="s">
        <v>11672</v>
      </c>
      <c r="B942" t="s">
        <v>20947</v>
      </c>
      <c r="C942" t="s">
        <v>20948</v>
      </c>
      <c r="D942" s="45" t="str">
        <f t="shared" si="24"/>
        <v>2023.016P.Virgaviridae_and_Benyviridae_rename_sp.zip</v>
      </c>
    </row>
    <row r="943" spans="1:4">
      <c r="A943" t="s">
        <v>11672</v>
      </c>
      <c r="B943" t="s">
        <v>20949</v>
      </c>
      <c r="C943" t="s">
        <v>20950</v>
      </c>
      <c r="D943" s="45" t="str">
        <f t="shared" si="24"/>
        <v>2023.016P.Virgaviridae_and_Benyviridae_rename_sp.zip</v>
      </c>
    </row>
    <row r="944" spans="1:4">
      <c r="A944" t="s">
        <v>11672</v>
      </c>
      <c r="B944" t="s">
        <v>20951</v>
      </c>
      <c r="C944" t="s">
        <v>20952</v>
      </c>
      <c r="D944" s="45" t="str">
        <f t="shared" si="24"/>
        <v>2023.016P.Virgaviridae_and_Benyviridae_rename_sp.zip</v>
      </c>
    </row>
    <row r="945" spans="1:4">
      <c r="A945" t="s">
        <v>11672</v>
      </c>
      <c r="B945" t="s">
        <v>20953</v>
      </c>
      <c r="C945" t="s">
        <v>20954</v>
      </c>
      <c r="D945" s="45" t="str">
        <f t="shared" si="24"/>
        <v>2023.016P.Virgaviridae_and_Benyviridae_rename_sp.zip</v>
      </c>
    </row>
    <row r="946" spans="1:4">
      <c r="A946" t="s">
        <v>11672</v>
      </c>
      <c r="B946" t="s">
        <v>20955</v>
      </c>
      <c r="C946" t="s">
        <v>20956</v>
      </c>
      <c r="D946" s="45" t="str">
        <f t="shared" si="24"/>
        <v>2023.016P.Virgaviridae_and_Benyviridae_rename_sp.zip</v>
      </c>
    </row>
    <row r="947" spans="1:4">
      <c r="A947" t="s">
        <v>11672</v>
      </c>
      <c r="B947" t="s">
        <v>20957</v>
      </c>
      <c r="C947" t="s">
        <v>20958</v>
      </c>
      <c r="D947" s="45" t="str">
        <f t="shared" si="24"/>
        <v>2023.016P.Virgaviridae_and_Benyviridae_rename_sp.zip</v>
      </c>
    </row>
    <row r="948" spans="1:4">
      <c r="A948" t="s">
        <v>11672</v>
      </c>
      <c r="B948" t="s">
        <v>20959</v>
      </c>
      <c r="C948" t="s">
        <v>20960</v>
      </c>
      <c r="D948" s="45" t="str">
        <f t="shared" si="24"/>
        <v>2023.016P.Virgaviridae_and_Benyviridae_rename_sp.zip</v>
      </c>
    </row>
    <row r="949" spans="1:4">
      <c r="A949" t="s">
        <v>11672</v>
      </c>
      <c r="B949" t="s">
        <v>20961</v>
      </c>
      <c r="C949" t="s">
        <v>20962</v>
      </c>
      <c r="D949" s="45" t="str">
        <f t="shared" si="24"/>
        <v>2023.016P.Virgaviridae_and_Benyviridae_rename_sp.zip</v>
      </c>
    </row>
    <row r="950" spans="1:4">
      <c r="A950" t="s">
        <v>11672</v>
      </c>
      <c r="B950" t="s">
        <v>20963</v>
      </c>
      <c r="C950" t="s">
        <v>20964</v>
      </c>
      <c r="D950" s="45" t="str">
        <f t="shared" si="24"/>
        <v>2023.016P.Virgaviridae_and_Benyviridae_rename_sp.zip</v>
      </c>
    </row>
    <row r="951" spans="1:4">
      <c r="A951" t="s">
        <v>11672</v>
      </c>
      <c r="B951" t="s">
        <v>20965</v>
      </c>
      <c r="C951" t="s">
        <v>20966</v>
      </c>
      <c r="D951" s="45" t="str">
        <f t="shared" si="24"/>
        <v>2023.016P.Virgaviridae_and_Benyviridae_rename_sp.zip</v>
      </c>
    </row>
    <row r="952" spans="1:4">
      <c r="A952" t="s">
        <v>11672</v>
      </c>
      <c r="B952" t="s">
        <v>20967</v>
      </c>
      <c r="C952" t="s">
        <v>20968</v>
      </c>
      <c r="D952" s="45" t="str">
        <f t="shared" si="24"/>
        <v>2023.016P.Virgaviridae_and_Benyviridae_rename_sp.zip</v>
      </c>
    </row>
    <row r="953" spans="1:4">
      <c r="A953" t="s">
        <v>11672</v>
      </c>
      <c r="B953" t="s">
        <v>20969</v>
      </c>
      <c r="C953" t="s">
        <v>20970</v>
      </c>
      <c r="D953" s="45" t="str">
        <f t="shared" si="24"/>
        <v>2023.016P.Virgaviridae_and_Benyviridae_rename_sp.zip</v>
      </c>
    </row>
    <row r="954" spans="1:4">
      <c r="A954" t="s">
        <v>11672</v>
      </c>
      <c r="B954" t="s">
        <v>20971</v>
      </c>
      <c r="C954" t="s">
        <v>20972</v>
      </c>
      <c r="D954" s="45" t="str">
        <f t="shared" si="24"/>
        <v>2023.016P.Virgaviridae_and_Benyviridae_rename_sp.zip</v>
      </c>
    </row>
    <row r="955" spans="1:4">
      <c r="A955" t="s">
        <v>11672</v>
      </c>
      <c r="B955" t="s">
        <v>20973</v>
      </c>
      <c r="C955" t="s">
        <v>20974</v>
      </c>
      <c r="D955" s="45" t="str">
        <f t="shared" si="24"/>
        <v>2023.016P.Virgaviridae_and_Benyviridae_rename_sp.zip</v>
      </c>
    </row>
    <row r="956" spans="1:4">
      <c r="A956" t="s">
        <v>11672</v>
      </c>
      <c r="B956" t="s">
        <v>20975</v>
      </c>
      <c r="C956" t="s">
        <v>20976</v>
      </c>
      <c r="D956" s="45" t="str">
        <f t="shared" si="24"/>
        <v>2023.016P.Virgaviridae_and_Benyviridae_rename_sp.zip</v>
      </c>
    </row>
    <row r="957" spans="1:4">
      <c r="A957" t="s">
        <v>11672</v>
      </c>
      <c r="B957" t="s">
        <v>20977</v>
      </c>
      <c r="C957" t="s">
        <v>20978</v>
      </c>
      <c r="D957" s="45" t="str">
        <f t="shared" si="24"/>
        <v>2023.016P.Virgaviridae_and_Benyviridae_rename_sp.zip</v>
      </c>
    </row>
    <row r="958" spans="1:4">
      <c r="A958" t="s">
        <v>11672</v>
      </c>
      <c r="B958" t="s">
        <v>20979</v>
      </c>
      <c r="C958" t="s">
        <v>20980</v>
      </c>
      <c r="D958" s="45" t="str">
        <f t="shared" si="24"/>
        <v>2023.016P.Virgaviridae_and_Benyviridae_rename_sp.zip</v>
      </c>
    </row>
    <row r="959" spans="1:4">
      <c r="A959" t="s">
        <v>11672</v>
      </c>
      <c r="B959" t="s">
        <v>20981</v>
      </c>
      <c r="C959" t="s">
        <v>20982</v>
      </c>
      <c r="D959" s="45" t="str">
        <f t="shared" si="24"/>
        <v>2023.016P.Virgaviridae_and_Benyviridae_rename_sp.zip</v>
      </c>
    </row>
    <row r="960" spans="1:4">
      <c r="A960" t="s">
        <v>11672</v>
      </c>
      <c r="B960" t="s">
        <v>20983</v>
      </c>
      <c r="C960" t="s">
        <v>20984</v>
      </c>
      <c r="D960" s="45" t="str">
        <f t="shared" si="24"/>
        <v>2023.016P.Virgaviridae_and_Benyviridae_rename_sp.zip</v>
      </c>
    </row>
    <row r="961" spans="1:4">
      <c r="A961" t="s">
        <v>11672</v>
      </c>
      <c r="B961" t="s">
        <v>20985</v>
      </c>
      <c r="C961" t="s">
        <v>20986</v>
      </c>
      <c r="D961" s="45" t="str">
        <f t="shared" si="24"/>
        <v>2023.016P.Virgaviridae_and_Benyviridae_rename_sp.zip</v>
      </c>
    </row>
    <row r="962" spans="1:4">
      <c r="A962" t="s">
        <v>11672</v>
      </c>
      <c r="B962" t="s">
        <v>20987</v>
      </c>
      <c r="C962" t="s">
        <v>20988</v>
      </c>
      <c r="D962" s="45" t="str">
        <f t="shared" si="24"/>
        <v>2023.016P.Virgaviridae_and_Benyviridae_rename_sp.zip</v>
      </c>
    </row>
    <row r="963" spans="1:4">
      <c r="A963" t="s">
        <v>11672</v>
      </c>
      <c r="B963" t="s">
        <v>20989</v>
      </c>
      <c r="C963" t="s">
        <v>20990</v>
      </c>
      <c r="D963" s="45" t="str">
        <f t="shared" si="24"/>
        <v>2023.016P.Virgaviridae_and_Benyviridae_rename_sp.zip</v>
      </c>
    </row>
    <row r="964" spans="1:4">
      <c r="A964" t="s">
        <v>11672</v>
      </c>
      <c r="B964" t="s">
        <v>20991</v>
      </c>
      <c r="C964" t="s">
        <v>20992</v>
      </c>
      <c r="D964" s="45" t="str">
        <f t="shared" si="24"/>
        <v>2023.016P.Virgaviridae_and_Benyviridae_rename_sp.zip</v>
      </c>
    </row>
    <row r="965" spans="1:4">
      <c r="A965" t="s">
        <v>11672</v>
      </c>
      <c r="B965" t="s">
        <v>20993</v>
      </c>
      <c r="C965" t="s">
        <v>20994</v>
      </c>
      <c r="D965" s="45" t="str">
        <f t="shared" si="24"/>
        <v>2023.016P.Virgaviridae_and_Benyviridae_rename_sp.zip</v>
      </c>
    </row>
    <row r="966" spans="1:4">
      <c r="A966" t="s">
        <v>11672</v>
      </c>
      <c r="B966" t="s">
        <v>20995</v>
      </c>
      <c r="C966" t="s">
        <v>20996</v>
      </c>
      <c r="D966" s="45" t="str">
        <f t="shared" si="24"/>
        <v>2023.016P.Virgaviridae_and_Benyviridae_rename_sp.zip</v>
      </c>
    </row>
    <row r="967" spans="1:4">
      <c r="A967" t="s">
        <v>11672</v>
      </c>
      <c r="B967" t="s">
        <v>20997</v>
      </c>
      <c r="C967" t="s">
        <v>20998</v>
      </c>
      <c r="D967" s="45" t="str">
        <f t="shared" ref="D967:D993" si="25">HYPERLINK("https://ictv.global/ictv/proposals/2023.016P.Virgaviridae_and_Benyviridae_rename_sp.zip","2023.016P.Virgaviridae_and_Benyviridae_rename_sp.zip")</f>
        <v>2023.016P.Virgaviridae_and_Benyviridae_rename_sp.zip</v>
      </c>
    </row>
    <row r="968" spans="1:4">
      <c r="A968" t="s">
        <v>11672</v>
      </c>
      <c r="B968" t="s">
        <v>20999</v>
      </c>
      <c r="C968" t="s">
        <v>21000</v>
      </c>
      <c r="D968" s="45" t="str">
        <f t="shared" si="25"/>
        <v>2023.016P.Virgaviridae_and_Benyviridae_rename_sp.zip</v>
      </c>
    </row>
    <row r="969" spans="1:4">
      <c r="A969" t="s">
        <v>11672</v>
      </c>
      <c r="B969" t="s">
        <v>21001</v>
      </c>
      <c r="C969" t="s">
        <v>21002</v>
      </c>
      <c r="D969" s="45" t="str">
        <f t="shared" si="25"/>
        <v>2023.016P.Virgaviridae_and_Benyviridae_rename_sp.zip</v>
      </c>
    </row>
    <row r="970" spans="1:4">
      <c r="A970" t="s">
        <v>11672</v>
      </c>
      <c r="B970" t="s">
        <v>21003</v>
      </c>
      <c r="C970" t="s">
        <v>21004</v>
      </c>
      <c r="D970" s="45" t="str">
        <f t="shared" si="25"/>
        <v>2023.016P.Virgaviridae_and_Benyviridae_rename_sp.zip</v>
      </c>
    </row>
    <row r="971" spans="1:4">
      <c r="A971" t="s">
        <v>11672</v>
      </c>
      <c r="B971" t="s">
        <v>21005</v>
      </c>
      <c r="C971" t="s">
        <v>21006</v>
      </c>
      <c r="D971" s="45" t="str">
        <f t="shared" si="25"/>
        <v>2023.016P.Virgaviridae_and_Benyviridae_rename_sp.zip</v>
      </c>
    </row>
    <row r="972" spans="1:4">
      <c r="A972" t="s">
        <v>11672</v>
      </c>
      <c r="B972" t="s">
        <v>21007</v>
      </c>
      <c r="C972" t="s">
        <v>21008</v>
      </c>
      <c r="D972" s="45" t="str">
        <f t="shared" si="25"/>
        <v>2023.016P.Virgaviridae_and_Benyviridae_rename_sp.zip</v>
      </c>
    </row>
    <row r="973" spans="1:4">
      <c r="A973" t="s">
        <v>11672</v>
      </c>
      <c r="B973" t="s">
        <v>21009</v>
      </c>
      <c r="C973" t="s">
        <v>21010</v>
      </c>
      <c r="D973" s="45" t="str">
        <f t="shared" si="25"/>
        <v>2023.016P.Virgaviridae_and_Benyviridae_rename_sp.zip</v>
      </c>
    </row>
    <row r="974" spans="1:4">
      <c r="A974" t="s">
        <v>11672</v>
      </c>
      <c r="B974" t="s">
        <v>21011</v>
      </c>
      <c r="C974" t="s">
        <v>21012</v>
      </c>
      <c r="D974" s="45" t="str">
        <f t="shared" si="25"/>
        <v>2023.016P.Virgaviridae_and_Benyviridae_rename_sp.zip</v>
      </c>
    </row>
    <row r="975" spans="1:4">
      <c r="A975" t="s">
        <v>11672</v>
      </c>
      <c r="B975" t="s">
        <v>21013</v>
      </c>
      <c r="C975" t="s">
        <v>21014</v>
      </c>
      <c r="D975" s="45" t="str">
        <f t="shared" si="25"/>
        <v>2023.016P.Virgaviridae_and_Benyviridae_rename_sp.zip</v>
      </c>
    </row>
    <row r="976" spans="1:4">
      <c r="A976" t="s">
        <v>11672</v>
      </c>
      <c r="B976" t="s">
        <v>21015</v>
      </c>
      <c r="C976" t="s">
        <v>21016</v>
      </c>
      <c r="D976" s="45" t="str">
        <f t="shared" si="25"/>
        <v>2023.016P.Virgaviridae_and_Benyviridae_rename_sp.zip</v>
      </c>
    </row>
    <row r="977" spans="1:4">
      <c r="A977" t="s">
        <v>11672</v>
      </c>
      <c r="B977" t="s">
        <v>21017</v>
      </c>
      <c r="C977" t="s">
        <v>21018</v>
      </c>
      <c r="D977" s="45" t="str">
        <f t="shared" si="25"/>
        <v>2023.016P.Virgaviridae_and_Benyviridae_rename_sp.zip</v>
      </c>
    </row>
    <row r="978" spans="1:4">
      <c r="A978" t="s">
        <v>11672</v>
      </c>
      <c r="B978" t="s">
        <v>21019</v>
      </c>
      <c r="C978" t="s">
        <v>21020</v>
      </c>
      <c r="D978" s="45" t="str">
        <f t="shared" si="25"/>
        <v>2023.016P.Virgaviridae_and_Benyviridae_rename_sp.zip</v>
      </c>
    </row>
    <row r="979" spans="1:4">
      <c r="A979" t="s">
        <v>11672</v>
      </c>
      <c r="B979" t="s">
        <v>21021</v>
      </c>
      <c r="C979" t="s">
        <v>21022</v>
      </c>
      <c r="D979" s="45" t="str">
        <f t="shared" si="25"/>
        <v>2023.016P.Virgaviridae_and_Benyviridae_rename_sp.zip</v>
      </c>
    </row>
    <row r="980" spans="1:4">
      <c r="A980" t="s">
        <v>11672</v>
      </c>
      <c r="B980" t="s">
        <v>21023</v>
      </c>
      <c r="C980" t="s">
        <v>21024</v>
      </c>
      <c r="D980" s="45" t="str">
        <f t="shared" si="25"/>
        <v>2023.016P.Virgaviridae_and_Benyviridae_rename_sp.zip</v>
      </c>
    </row>
    <row r="981" spans="1:4">
      <c r="A981" t="s">
        <v>11672</v>
      </c>
      <c r="B981" t="s">
        <v>21025</v>
      </c>
      <c r="C981" t="s">
        <v>21026</v>
      </c>
      <c r="D981" s="45" t="str">
        <f t="shared" si="25"/>
        <v>2023.016P.Virgaviridae_and_Benyviridae_rename_sp.zip</v>
      </c>
    </row>
    <row r="982" spans="1:4">
      <c r="A982" t="s">
        <v>11672</v>
      </c>
      <c r="B982" t="s">
        <v>21027</v>
      </c>
      <c r="C982" t="s">
        <v>21028</v>
      </c>
      <c r="D982" s="45" t="str">
        <f t="shared" si="25"/>
        <v>2023.016P.Virgaviridae_and_Benyviridae_rename_sp.zip</v>
      </c>
    </row>
    <row r="983" spans="1:4">
      <c r="A983" t="s">
        <v>11672</v>
      </c>
      <c r="B983" t="s">
        <v>21029</v>
      </c>
      <c r="C983" t="s">
        <v>21030</v>
      </c>
      <c r="D983" s="45" t="str">
        <f t="shared" si="25"/>
        <v>2023.016P.Virgaviridae_and_Benyviridae_rename_sp.zip</v>
      </c>
    </row>
    <row r="984" spans="1:4">
      <c r="A984" t="s">
        <v>11672</v>
      </c>
      <c r="B984" t="s">
        <v>21031</v>
      </c>
      <c r="C984" t="s">
        <v>21032</v>
      </c>
      <c r="D984" s="45" t="str">
        <f t="shared" si="25"/>
        <v>2023.016P.Virgaviridae_and_Benyviridae_rename_sp.zip</v>
      </c>
    </row>
    <row r="985" spans="1:4">
      <c r="A985" t="s">
        <v>11672</v>
      </c>
      <c r="B985" t="s">
        <v>21033</v>
      </c>
      <c r="C985" t="s">
        <v>21034</v>
      </c>
      <c r="D985" s="45" t="str">
        <f t="shared" si="25"/>
        <v>2023.016P.Virgaviridae_and_Benyviridae_rename_sp.zip</v>
      </c>
    </row>
    <row r="986" spans="1:4">
      <c r="A986" t="s">
        <v>11672</v>
      </c>
      <c r="B986" t="s">
        <v>21035</v>
      </c>
      <c r="C986" t="s">
        <v>21036</v>
      </c>
      <c r="D986" s="45" t="str">
        <f t="shared" si="25"/>
        <v>2023.016P.Virgaviridae_and_Benyviridae_rename_sp.zip</v>
      </c>
    </row>
    <row r="987" spans="1:4">
      <c r="A987" t="s">
        <v>11672</v>
      </c>
      <c r="B987" t="s">
        <v>21037</v>
      </c>
      <c r="C987" t="s">
        <v>21038</v>
      </c>
      <c r="D987" s="45" t="str">
        <f t="shared" si="25"/>
        <v>2023.016P.Virgaviridae_and_Benyviridae_rename_sp.zip</v>
      </c>
    </row>
    <row r="988" spans="1:4">
      <c r="A988" t="s">
        <v>11672</v>
      </c>
      <c r="B988" t="s">
        <v>21039</v>
      </c>
      <c r="C988" t="s">
        <v>21040</v>
      </c>
      <c r="D988" s="45" t="str">
        <f t="shared" si="25"/>
        <v>2023.016P.Virgaviridae_and_Benyviridae_rename_sp.zip</v>
      </c>
    </row>
    <row r="989" spans="1:4">
      <c r="A989" t="s">
        <v>11672</v>
      </c>
      <c r="B989" t="s">
        <v>21041</v>
      </c>
      <c r="C989" t="s">
        <v>21042</v>
      </c>
      <c r="D989" s="45" t="str">
        <f t="shared" si="25"/>
        <v>2023.016P.Virgaviridae_and_Benyviridae_rename_sp.zip</v>
      </c>
    </row>
    <row r="990" spans="1:4">
      <c r="A990" t="s">
        <v>11672</v>
      </c>
      <c r="B990" t="s">
        <v>21043</v>
      </c>
      <c r="C990" t="s">
        <v>21044</v>
      </c>
      <c r="D990" s="45" t="str">
        <f t="shared" si="25"/>
        <v>2023.016P.Virgaviridae_and_Benyviridae_rename_sp.zip</v>
      </c>
    </row>
    <row r="991" spans="1:4">
      <c r="A991" t="s">
        <v>11672</v>
      </c>
      <c r="B991" t="s">
        <v>21045</v>
      </c>
      <c r="C991" t="s">
        <v>21046</v>
      </c>
      <c r="D991" s="45" t="str">
        <f t="shared" si="25"/>
        <v>2023.016P.Virgaviridae_and_Benyviridae_rename_sp.zip</v>
      </c>
    </row>
    <row r="992" spans="1:4">
      <c r="A992" t="s">
        <v>11672</v>
      </c>
      <c r="B992" t="s">
        <v>21047</v>
      </c>
      <c r="C992" t="s">
        <v>21048</v>
      </c>
      <c r="D992" s="45" t="str">
        <f t="shared" si="25"/>
        <v>2023.016P.Virgaviridae_and_Benyviridae_rename_sp.zip</v>
      </c>
    </row>
    <row r="993" spans="1:4">
      <c r="A993" t="s">
        <v>11672</v>
      </c>
      <c r="B993" t="s">
        <v>21049</v>
      </c>
      <c r="C993" t="s">
        <v>21050</v>
      </c>
      <c r="D993" s="45" t="str">
        <f t="shared" si="25"/>
        <v>2023.016P.Virgaviridae_and_Benyviridae_rename_sp.zip</v>
      </c>
    </row>
    <row r="994" spans="1:4">
      <c r="A994" t="s">
        <v>11672</v>
      </c>
      <c r="B994" t="s">
        <v>21051</v>
      </c>
      <c r="C994" t="s">
        <v>21052</v>
      </c>
      <c r="D994" s="45" t="str">
        <f t="shared" ref="D994:D1025" si="26">HYPERLINK("https://ictv.global/ictv/proposals/2023.025P.Alphaflexiviridae_rename_sp.zip","2023.025P.Alphaflexiviridae_rename_sp.zip")</f>
        <v>2023.025P.Alphaflexiviridae_rename_sp.zip</v>
      </c>
    </row>
    <row r="995" spans="1:4">
      <c r="A995" t="s">
        <v>11672</v>
      </c>
      <c r="B995" t="s">
        <v>21053</v>
      </c>
      <c r="C995" t="s">
        <v>21054</v>
      </c>
      <c r="D995" s="45" t="str">
        <f t="shared" si="26"/>
        <v>2023.025P.Alphaflexiviridae_rename_sp.zip</v>
      </c>
    </row>
    <row r="996" spans="1:4">
      <c r="A996" t="s">
        <v>11672</v>
      </c>
      <c r="B996" t="s">
        <v>21055</v>
      </c>
      <c r="C996" t="s">
        <v>21056</v>
      </c>
      <c r="D996" s="45" t="str">
        <f t="shared" si="26"/>
        <v>2023.025P.Alphaflexiviridae_rename_sp.zip</v>
      </c>
    </row>
    <row r="997" spans="1:4">
      <c r="A997" t="s">
        <v>11672</v>
      </c>
      <c r="B997" t="s">
        <v>21057</v>
      </c>
      <c r="C997" t="s">
        <v>21058</v>
      </c>
      <c r="D997" s="45" t="str">
        <f t="shared" si="26"/>
        <v>2023.025P.Alphaflexiviridae_rename_sp.zip</v>
      </c>
    </row>
    <row r="998" spans="1:4">
      <c r="A998" t="s">
        <v>11672</v>
      </c>
      <c r="B998" t="s">
        <v>21059</v>
      </c>
      <c r="C998" t="s">
        <v>21060</v>
      </c>
      <c r="D998" s="45" t="str">
        <f t="shared" si="26"/>
        <v>2023.025P.Alphaflexiviridae_rename_sp.zip</v>
      </c>
    </row>
    <row r="999" spans="1:4">
      <c r="A999" t="s">
        <v>11672</v>
      </c>
      <c r="B999" t="s">
        <v>21061</v>
      </c>
      <c r="C999" t="s">
        <v>21062</v>
      </c>
      <c r="D999" s="45" t="str">
        <f t="shared" si="26"/>
        <v>2023.025P.Alphaflexiviridae_rename_sp.zip</v>
      </c>
    </row>
    <row r="1000" spans="1:4">
      <c r="A1000" t="s">
        <v>11672</v>
      </c>
      <c r="B1000" t="s">
        <v>21063</v>
      </c>
      <c r="C1000" t="s">
        <v>21064</v>
      </c>
      <c r="D1000" s="45" t="str">
        <f t="shared" si="26"/>
        <v>2023.025P.Alphaflexiviridae_rename_sp.zip</v>
      </c>
    </row>
    <row r="1001" spans="1:4">
      <c r="A1001" t="s">
        <v>11672</v>
      </c>
      <c r="B1001" t="s">
        <v>21065</v>
      </c>
      <c r="C1001" t="s">
        <v>21066</v>
      </c>
      <c r="D1001" s="45" t="str">
        <f t="shared" si="26"/>
        <v>2023.025P.Alphaflexiviridae_rename_sp.zip</v>
      </c>
    </row>
    <row r="1002" spans="1:4">
      <c r="A1002" t="s">
        <v>11672</v>
      </c>
      <c r="B1002" t="s">
        <v>21067</v>
      </c>
      <c r="C1002" t="s">
        <v>21068</v>
      </c>
      <c r="D1002" s="45" t="str">
        <f t="shared" si="26"/>
        <v>2023.025P.Alphaflexiviridae_rename_sp.zip</v>
      </c>
    </row>
    <row r="1003" spans="1:4">
      <c r="A1003" t="s">
        <v>11672</v>
      </c>
      <c r="B1003" t="s">
        <v>21069</v>
      </c>
      <c r="C1003" t="s">
        <v>21070</v>
      </c>
      <c r="D1003" s="45" t="str">
        <f t="shared" si="26"/>
        <v>2023.025P.Alphaflexiviridae_rename_sp.zip</v>
      </c>
    </row>
    <row r="1004" spans="1:4">
      <c r="A1004" t="s">
        <v>11672</v>
      </c>
      <c r="B1004" t="s">
        <v>21071</v>
      </c>
      <c r="C1004" t="s">
        <v>21072</v>
      </c>
      <c r="D1004" s="45" t="str">
        <f t="shared" si="26"/>
        <v>2023.025P.Alphaflexiviridae_rename_sp.zip</v>
      </c>
    </row>
    <row r="1005" spans="1:4">
      <c r="A1005" t="s">
        <v>11672</v>
      </c>
      <c r="B1005" t="s">
        <v>21073</v>
      </c>
      <c r="C1005" t="s">
        <v>21074</v>
      </c>
      <c r="D1005" s="45" t="str">
        <f t="shared" si="26"/>
        <v>2023.025P.Alphaflexiviridae_rename_sp.zip</v>
      </c>
    </row>
    <row r="1006" spans="1:4">
      <c r="A1006" t="s">
        <v>11672</v>
      </c>
      <c r="B1006" t="s">
        <v>21075</v>
      </c>
      <c r="C1006" t="s">
        <v>21076</v>
      </c>
      <c r="D1006" s="45" t="str">
        <f t="shared" si="26"/>
        <v>2023.025P.Alphaflexiviridae_rename_sp.zip</v>
      </c>
    </row>
    <row r="1007" spans="1:4">
      <c r="A1007" t="s">
        <v>11672</v>
      </c>
      <c r="B1007" t="s">
        <v>21077</v>
      </c>
      <c r="C1007" t="s">
        <v>21078</v>
      </c>
      <c r="D1007" s="45" t="str">
        <f t="shared" si="26"/>
        <v>2023.025P.Alphaflexiviridae_rename_sp.zip</v>
      </c>
    </row>
    <row r="1008" spans="1:4">
      <c r="A1008" t="s">
        <v>11672</v>
      </c>
      <c r="B1008" t="s">
        <v>21079</v>
      </c>
      <c r="C1008" t="s">
        <v>21080</v>
      </c>
      <c r="D1008" s="45" t="str">
        <f t="shared" si="26"/>
        <v>2023.025P.Alphaflexiviridae_rename_sp.zip</v>
      </c>
    </row>
    <row r="1009" spans="1:4">
      <c r="A1009" t="s">
        <v>11672</v>
      </c>
      <c r="B1009" t="s">
        <v>21081</v>
      </c>
      <c r="C1009" t="s">
        <v>21082</v>
      </c>
      <c r="D1009" s="45" t="str">
        <f t="shared" si="26"/>
        <v>2023.025P.Alphaflexiviridae_rename_sp.zip</v>
      </c>
    </row>
    <row r="1010" spans="1:4">
      <c r="A1010" t="s">
        <v>11672</v>
      </c>
      <c r="B1010" t="s">
        <v>21083</v>
      </c>
      <c r="C1010" t="s">
        <v>21084</v>
      </c>
      <c r="D1010" s="45" t="str">
        <f t="shared" si="26"/>
        <v>2023.025P.Alphaflexiviridae_rename_sp.zip</v>
      </c>
    </row>
    <row r="1011" spans="1:4">
      <c r="A1011" t="s">
        <v>11672</v>
      </c>
      <c r="B1011" t="s">
        <v>21085</v>
      </c>
      <c r="C1011" t="s">
        <v>21086</v>
      </c>
      <c r="D1011" s="45" t="str">
        <f t="shared" si="26"/>
        <v>2023.025P.Alphaflexiviridae_rename_sp.zip</v>
      </c>
    </row>
    <row r="1012" spans="1:4">
      <c r="A1012" t="s">
        <v>11672</v>
      </c>
      <c r="B1012" t="s">
        <v>21087</v>
      </c>
      <c r="C1012" t="s">
        <v>21088</v>
      </c>
      <c r="D1012" s="45" t="str">
        <f t="shared" si="26"/>
        <v>2023.025P.Alphaflexiviridae_rename_sp.zip</v>
      </c>
    </row>
    <row r="1013" spans="1:4">
      <c r="A1013" t="s">
        <v>11672</v>
      </c>
      <c r="B1013" t="s">
        <v>21089</v>
      </c>
      <c r="C1013" t="s">
        <v>21090</v>
      </c>
      <c r="D1013" s="45" t="str">
        <f t="shared" si="26"/>
        <v>2023.025P.Alphaflexiviridae_rename_sp.zip</v>
      </c>
    </row>
    <row r="1014" spans="1:4">
      <c r="A1014" t="s">
        <v>11672</v>
      </c>
      <c r="B1014" t="s">
        <v>21091</v>
      </c>
      <c r="C1014" t="s">
        <v>21092</v>
      </c>
      <c r="D1014" s="45" t="str">
        <f t="shared" si="26"/>
        <v>2023.025P.Alphaflexiviridae_rename_sp.zip</v>
      </c>
    </row>
    <row r="1015" spans="1:4">
      <c r="A1015" t="s">
        <v>11672</v>
      </c>
      <c r="B1015" t="s">
        <v>21093</v>
      </c>
      <c r="C1015" t="s">
        <v>21094</v>
      </c>
      <c r="D1015" s="45" t="str">
        <f t="shared" si="26"/>
        <v>2023.025P.Alphaflexiviridae_rename_sp.zip</v>
      </c>
    </row>
    <row r="1016" spans="1:4">
      <c r="A1016" t="s">
        <v>11672</v>
      </c>
      <c r="B1016" t="s">
        <v>21095</v>
      </c>
      <c r="C1016" t="s">
        <v>21096</v>
      </c>
      <c r="D1016" s="45" t="str">
        <f t="shared" si="26"/>
        <v>2023.025P.Alphaflexiviridae_rename_sp.zip</v>
      </c>
    </row>
    <row r="1017" spans="1:4">
      <c r="A1017" t="s">
        <v>11672</v>
      </c>
      <c r="B1017" t="s">
        <v>21097</v>
      </c>
      <c r="C1017" t="s">
        <v>21098</v>
      </c>
      <c r="D1017" s="45" t="str">
        <f t="shared" si="26"/>
        <v>2023.025P.Alphaflexiviridae_rename_sp.zip</v>
      </c>
    </row>
    <row r="1018" spans="1:4">
      <c r="A1018" t="s">
        <v>11672</v>
      </c>
      <c r="B1018" t="s">
        <v>21099</v>
      </c>
      <c r="C1018" t="s">
        <v>21100</v>
      </c>
      <c r="D1018" s="45" t="str">
        <f t="shared" si="26"/>
        <v>2023.025P.Alphaflexiviridae_rename_sp.zip</v>
      </c>
    </row>
    <row r="1019" spans="1:4">
      <c r="A1019" t="s">
        <v>11672</v>
      </c>
      <c r="B1019" t="s">
        <v>21101</v>
      </c>
      <c r="C1019" t="s">
        <v>21102</v>
      </c>
      <c r="D1019" s="45" t="str">
        <f t="shared" si="26"/>
        <v>2023.025P.Alphaflexiviridae_rename_sp.zip</v>
      </c>
    </row>
    <row r="1020" spans="1:4">
      <c r="A1020" t="s">
        <v>11672</v>
      </c>
      <c r="B1020" t="s">
        <v>21103</v>
      </c>
      <c r="C1020" t="s">
        <v>21104</v>
      </c>
      <c r="D1020" s="45" t="str">
        <f t="shared" si="26"/>
        <v>2023.025P.Alphaflexiviridae_rename_sp.zip</v>
      </c>
    </row>
    <row r="1021" spans="1:4">
      <c r="A1021" t="s">
        <v>11672</v>
      </c>
      <c r="B1021" t="s">
        <v>21105</v>
      </c>
      <c r="C1021" t="s">
        <v>21106</v>
      </c>
      <c r="D1021" s="45" t="str">
        <f t="shared" si="26"/>
        <v>2023.025P.Alphaflexiviridae_rename_sp.zip</v>
      </c>
    </row>
    <row r="1022" spans="1:4">
      <c r="A1022" t="s">
        <v>11672</v>
      </c>
      <c r="B1022" t="s">
        <v>21107</v>
      </c>
      <c r="C1022" t="s">
        <v>21108</v>
      </c>
      <c r="D1022" s="45" t="str">
        <f t="shared" si="26"/>
        <v>2023.025P.Alphaflexiviridae_rename_sp.zip</v>
      </c>
    </row>
    <row r="1023" spans="1:4">
      <c r="A1023" t="s">
        <v>11672</v>
      </c>
      <c r="B1023" t="s">
        <v>21109</v>
      </c>
      <c r="C1023" t="s">
        <v>21110</v>
      </c>
      <c r="D1023" s="45" t="str">
        <f t="shared" si="26"/>
        <v>2023.025P.Alphaflexiviridae_rename_sp.zip</v>
      </c>
    </row>
    <row r="1024" spans="1:4">
      <c r="A1024" t="s">
        <v>11672</v>
      </c>
      <c r="B1024" t="s">
        <v>21111</v>
      </c>
      <c r="C1024" t="s">
        <v>21112</v>
      </c>
      <c r="D1024" s="45" t="str">
        <f t="shared" si="26"/>
        <v>2023.025P.Alphaflexiviridae_rename_sp.zip</v>
      </c>
    </row>
    <row r="1025" spans="1:4">
      <c r="A1025" t="s">
        <v>11672</v>
      </c>
      <c r="B1025" t="s">
        <v>21113</v>
      </c>
      <c r="C1025" t="s">
        <v>21114</v>
      </c>
      <c r="D1025" s="45" t="str">
        <f t="shared" si="26"/>
        <v>2023.025P.Alphaflexiviridae_rename_sp.zip</v>
      </c>
    </row>
    <row r="1026" spans="1:4">
      <c r="A1026" t="s">
        <v>11672</v>
      </c>
      <c r="B1026" t="s">
        <v>21115</v>
      </c>
      <c r="C1026" t="s">
        <v>21116</v>
      </c>
      <c r="D1026" s="45" t="str">
        <f t="shared" ref="D1026:D1058" si="27">HYPERLINK("https://ictv.global/ictv/proposals/2023.025P.Alphaflexiviridae_rename_sp.zip","2023.025P.Alphaflexiviridae_rename_sp.zip")</f>
        <v>2023.025P.Alphaflexiviridae_rename_sp.zip</v>
      </c>
    </row>
    <row r="1027" spans="1:4">
      <c r="A1027" t="s">
        <v>11672</v>
      </c>
      <c r="B1027" t="s">
        <v>21117</v>
      </c>
      <c r="C1027" t="s">
        <v>21118</v>
      </c>
      <c r="D1027" s="45" t="str">
        <f t="shared" si="27"/>
        <v>2023.025P.Alphaflexiviridae_rename_sp.zip</v>
      </c>
    </row>
    <row r="1028" spans="1:4">
      <c r="A1028" t="s">
        <v>11672</v>
      </c>
      <c r="B1028" t="s">
        <v>21119</v>
      </c>
      <c r="C1028" t="s">
        <v>21120</v>
      </c>
      <c r="D1028" s="45" t="str">
        <f t="shared" si="27"/>
        <v>2023.025P.Alphaflexiviridae_rename_sp.zip</v>
      </c>
    </row>
    <row r="1029" spans="1:4">
      <c r="A1029" t="s">
        <v>11672</v>
      </c>
      <c r="B1029" t="s">
        <v>21121</v>
      </c>
      <c r="C1029" t="s">
        <v>21122</v>
      </c>
      <c r="D1029" s="45" t="str">
        <f t="shared" si="27"/>
        <v>2023.025P.Alphaflexiviridae_rename_sp.zip</v>
      </c>
    </row>
    <row r="1030" spans="1:4">
      <c r="A1030" t="s">
        <v>11672</v>
      </c>
      <c r="B1030" t="s">
        <v>21123</v>
      </c>
      <c r="C1030" t="s">
        <v>21124</v>
      </c>
      <c r="D1030" s="45" t="str">
        <f t="shared" si="27"/>
        <v>2023.025P.Alphaflexiviridae_rename_sp.zip</v>
      </c>
    </row>
    <row r="1031" spans="1:4">
      <c r="A1031" t="s">
        <v>11672</v>
      </c>
      <c r="B1031" t="s">
        <v>21125</v>
      </c>
      <c r="C1031" t="s">
        <v>21126</v>
      </c>
      <c r="D1031" s="45" t="str">
        <f t="shared" si="27"/>
        <v>2023.025P.Alphaflexiviridae_rename_sp.zip</v>
      </c>
    </row>
    <row r="1032" spans="1:4">
      <c r="A1032" t="s">
        <v>11672</v>
      </c>
      <c r="B1032" t="s">
        <v>21127</v>
      </c>
      <c r="C1032" t="s">
        <v>21128</v>
      </c>
      <c r="D1032" s="45" t="str">
        <f t="shared" si="27"/>
        <v>2023.025P.Alphaflexiviridae_rename_sp.zip</v>
      </c>
    </row>
    <row r="1033" spans="1:4">
      <c r="A1033" t="s">
        <v>11672</v>
      </c>
      <c r="B1033" t="s">
        <v>21129</v>
      </c>
      <c r="C1033" t="s">
        <v>21130</v>
      </c>
      <c r="D1033" s="45" t="str">
        <f t="shared" si="27"/>
        <v>2023.025P.Alphaflexiviridae_rename_sp.zip</v>
      </c>
    </row>
    <row r="1034" spans="1:4">
      <c r="A1034" t="s">
        <v>11672</v>
      </c>
      <c r="B1034" t="s">
        <v>21131</v>
      </c>
      <c r="C1034" t="s">
        <v>21132</v>
      </c>
      <c r="D1034" s="45" t="str">
        <f t="shared" si="27"/>
        <v>2023.025P.Alphaflexiviridae_rename_sp.zip</v>
      </c>
    </row>
    <row r="1035" spans="1:4">
      <c r="A1035" t="s">
        <v>11672</v>
      </c>
      <c r="B1035" t="s">
        <v>21133</v>
      </c>
      <c r="C1035" t="s">
        <v>21134</v>
      </c>
      <c r="D1035" s="45" t="str">
        <f t="shared" si="27"/>
        <v>2023.025P.Alphaflexiviridae_rename_sp.zip</v>
      </c>
    </row>
    <row r="1036" spans="1:4">
      <c r="A1036" t="s">
        <v>11672</v>
      </c>
      <c r="B1036" t="s">
        <v>21135</v>
      </c>
      <c r="C1036" t="s">
        <v>21136</v>
      </c>
      <c r="D1036" s="45" t="str">
        <f t="shared" si="27"/>
        <v>2023.025P.Alphaflexiviridae_rename_sp.zip</v>
      </c>
    </row>
    <row r="1037" spans="1:4">
      <c r="A1037" t="s">
        <v>11672</v>
      </c>
      <c r="B1037" t="s">
        <v>21137</v>
      </c>
      <c r="C1037" t="s">
        <v>21138</v>
      </c>
      <c r="D1037" s="45" t="str">
        <f t="shared" si="27"/>
        <v>2023.025P.Alphaflexiviridae_rename_sp.zip</v>
      </c>
    </row>
    <row r="1038" spans="1:4">
      <c r="A1038" t="s">
        <v>11672</v>
      </c>
      <c r="B1038" t="s">
        <v>21139</v>
      </c>
      <c r="C1038" t="s">
        <v>21140</v>
      </c>
      <c r="D1038" s="45" t="str">
        <f t="shared" si="27"/>
        <v>2023.025P.Alphaflexiviridae_rename_sp.zip</v>
      </c>
    </row>
    <row r="1039" spans="1:4">
      <c r="A1039" t="s">
        <v>11672</v>
      </c>
      <c r="B1039" t="s">
        <v>21141</v>
      </c>
      <c r="C1039" t="s">
        <v>21142</v>
      </c>
      <c r="D1039" s="45" t="str">
        <f t="shared" si="27"/>
        <v>2023.025P.Alphaflexiviridae_rename_sp.zip</v>
      </c>
    </row>
    <row r="1040" spans="1:4">
      <c r="A1040" t="s">
        <v>11672</v>
      </c>
      <c r="B1040" t="s">
        <v>21143</v>
      </c>
      <c r="C1040" t="s">
        <v>21144</v>
      </c>
      <c r="D1040" s="45" t="str">
        <f t="shared" si="27"/>
        <v>2023.025P.Alphaflexiviridae_rename_sp.zip</v>
      </c>
    </row>
    <row r="1041" spans="1:4">
      <c r="A1041" t="s">
        <v>11672</v>
      </c>
      <c r="B1041" t="s">
        <v>21145</v>
      </c>
      <c r="C1041" t="s">
        <v>21146</v>
      </c>
      <c r="D1041" s="45" t="str">
        <f t="shared" si="27"/>
        <v>2023.025P.Alphaflexiviridae_rename_sp.zip</v>
      </c>
    </row>
    <row r="1042" spans="1:4">
      <c r="A1042" t="s">
        <v>11672</v>
      </c>
      <c r="B1042" t="s">
        <v>21147</v>
      </c>
      <c r="C1042" t="s">
        <v>21148</v>
      </c>
      <c r="D1042" s="45" t="str">
        <f t="shared" si="27"/>
        <v>2023.025P.Alphaflexiviridae_rename_sp.zip</v>
      </c>
    </row>
    <row r="1043" spans="1:4">
      <c r="A1043" t="s">
        <v>11672</v>
      </c>
      <c r="B1043" t="s">
        <v>21149</v>
      </c>
      <c r="C1043" t="s">
        <v>21150</v>
      </c>
      <c r="D1043" s="45" t="str">
        <f t="shared" si="27"/>
        <v>2023.025P.Alphaflexiviridae_rename_sp.zip</v>
      </c>
    </row>
    <row r="1044" spans="1:4">
      <c r="A1044" t="s">
        <v>11672</v>
      </c>
      <c r="B1044" t="s">
        <v>21151</v>
      </c>
      <c r="C1044" t="s">
        <v>21152</v>
      </c>
      <c r="D1044" s="45" t="str">
        <f t="shared" si="27"/>
        <v>2023.025P.Alphaflexiviridae_rename_sp.zip</v>
      </c>
    </row>
    <row r="1045" spans="1:4">
      <c r="A1045" t="s">
        <v>11672</v>
      </c>
      <c r="B1045" t="s">
        <v>21153</v>
      </c>
      <c r="C1045" t="s">
        <v>21154</v>
      </c>
      <c r="D1045" s="45" t="str">
        <f t="shared" si="27"/>
        <v>2023.025P.Alphaflexiviridae_rename_sp.zip</v>
      </c>
    </row>
    <row r="1046" spans="1:4">
      <c r="A1046" t="s">
        <v>11672</v>
      </c>
      <c r="B1046" t="s">
        <v>21155</v>
      </c>
      <c r="C1046" t="s">
        <v>21156</v>
      </c>
      <c r="D1046" s="45" t="str">
        <f t="shared" si="27"/>
        <v>2023.025P.Alphaflexiviridae_rename_sp.zip</v>
      </c>
    </row>
    <row r="1047" spans="1:4">
      <c r="A1047" t="s">
        <v>11672</v>
      </c>
      <c r="B1047" t="s">
        <v>21157</v>
      </c>
      <c r="C1047" t="s">
        <v>21158</v>
      </c>
      <c r="D1047" s="45" t="str">
        <f t="shared" si="27"/>
        <v>2023.025P.Alphaflexiviridae_rename_sp.zip</v>
      </c>
    </row>
    <row r="1048" spans="1:4">
      <c r="A1048" t="s">
        <v>11672</v>
      </c>
      <c r="B1048" t="s">
        <v>21159</v>
      </c>
      <c r="C1048" t="s">
        <v>21160</v>
      </c>
      <c r="D1048" s="45" t="str">
        <f t="shared" si="27"/>
        <v>2023.025P.Alphaflexiviridae_rename_sp.zip</v>
      </c>
    </row>
    <row r="1049" spans="1:4">
      <c r="A1049" t="s">
        <v>11672</v>
      </c>
      <c r="B1049" t="s">
        <v>21161</v>
      </c>
      <c r="C1049" t="s">
        <v>21162</v>
      </c>
      <c r="D1049" s="45" t="str">
        <f t="shared" si="27"/>
        <v>2023.025P.Alphaflexiviridae_rename_sp.zip</v>
      </c>
    </row>
    <row r="1050" spans="1:4">
      <c r="A1050" t="s">
        <v>11672</v>
      </c>
      <c r="B1050" t="s">
        <v>21163</v>
      </c>
      <c r="C1050" t="s">
        <v>21164</v>
      </c>
      <c r="D1050" s="45" t="str">
        <f t="shared" si="27"/>
        <v>2023.025P.Alphaflexiviridae_rename_sp.zip</v>
      </c>
    </row>
    <row r="1051" spans="1:4">
      <c r="A1051" t="s">
        <v>11672</v>
      </c>
      <c r="B1051" t="s">
        <v>21165</v>
      </c>
      <c r="C1051" t="s">
        <v>21166</v>
      </c>
      <c r="D1051" s="45" t="str">
        <f t="shared" si="27"/>
        <v>2023.025P.Alphaflexiviridae_rename_sp.zip</v>
      </c>
    </row>
    <row r="1052" spans="1:4">
      <c r="A1052" t="s">
        <v>11672</v>
      </c>
      <c r="B1052" t="s">
        <v>21167</v>
      </c>
      <c r="C1052" t="s">
        <v>21168</v>
      </c>
      <c r="D1052" s="45" t="str">
        <f t="shared" si="27"/>
        <v>2023.025P.Alphaflexiviridae_rename_sp.zip</v>
      </c>
    </row>
    <row r="1053" spans="1:4">
      <c r="A1053" t="s">
        <v>11672</v>
      </c>
      <c r="B1053" t="s">
        <v>21169</v>
      </c>
      <c r="C1053" t="s">
        <v>21170</v>
      </c>
      <c r="D1053" s="45" t="str">
        <f t="shared" si="27"/>
        <v>2023.025P.Alphaflexiviridae_rename_sp.zip</v>
      </c>
    </row>
    <row r="1054" spans="1:4">
      <c r="A1054" t="s">
        <v>11672</v>
      </c>
      <c r="B1054" t="s">
        <v>21171</v>
      </c>
      <c r="C1054" t="s">
        <v>21172</v>
      </c>
      <c r="D1054" s="45" t="str">
        <f t="shared" si="27"/>
        <v>2023.025P.Alphaflexiviridae_rename_sp.zip</v>
      </c>
    </row>
    <row r="1055" spans="1:4">
      <c r="A1055" t="s">
        <v>11672</v>
      </c>
      <c r="B1055" t="s">
        <v>21173</v>
      </c>
      <c r="C1055" t="s">
        <v>21174</v>
      </c>
      <c r="D1055" s="45" t="str">
        <f t="shared" si="27"/>
        <v>2023.025P.Alphaflexiviridae_rename_sp.zip</v>
      </c>
    </row>
    <row r="1056" spans="1:4">
      <c r="A1056" t="s">
        <v>11672</v>
      </c>
      <c r="B1056" t="s">
        <v>21175</v>
      </c>
      <c r="C1056" t="s">
        <v>21176</v>
      </c>
      <c r="D1056" s="45" t="str">
        <f t="shared" si="27"/>
        <v>2023.025P.Alphaflexiviridae_rename_sp.zip</v>
      </c>
    </row>
    <row r="1057" spans="1:4">
      <c r="A1057" t="s">
        <v>11672</v>
      </c>
      <c r="B1057" t="s">
        <v>21177</v>
      </c>
      <c r="C1057" t="s">
        <v>21178</v>
      </c>
      <c r="D1057" s="45" t="str">
        <f t="shared" si="27"/>
        <v>2023.025P.Alphaflexiviridae_rename_sp.zip</v>
      </c>
    </row>
    <row r="1058" spans="1:4">
      <c r="A1058" t="s">
        <v>11672</v>
      </c>
      <c r="B1058" t="s">
        <v>21179</v>
      </c>
      <c r="C1058" t="s">
        <v>21180</v>
      </c>
      <c r="D1058" s="45" t="str">
        <f t="shared" si="27"/>
        <v>2023.025P.Alphaflexiviridae_rename_sp.zip</v>
      </c>
    </row>
    <row r="1059" spans="1:4">
      <c r="A1059" t="s">
        <v>11672</v>
      </c>
      <c r="B1059" t="s">
        <v>21181</v>
      </c>
      <c r="C1059" t="s">
        <v>21182</v>
      </c>
      <c r="D1059" s="45" t="str">
        <f t="shared" ref="D1059:D1090" si="28">HYPERLINK("https://ictv.global/ictv/proposals/2023.027P.Betaflexiviridae_rename.zip","2023.027P.Betaflexiviridae_rename.zip")</f>
        <v>2023.027P.Betaflexiviridae_rename.zip</v>
      </c>
    </row>
    <row r="1060" spans="1:4">
      <c r="A1060" t="s">
        <v>11672</v>
      </c>
      <c r="B1060" t="s">
        <v>21183</v>
      </c>
      <c r="C1060" t="s">
        <v>21184</v>
      </c>
      <c r="D1060" s="45" t="str">
        <f t="shared" si="28"/>
        <v>2023.027P.Betaflexiviridae_rename.zip</v>
      </c>
    </row>
    <row r="1061" spans="1:4">
      <c r="A1061" t="s">
        <v>11672</v>
      </c>
      <c r="B1061" t="s">
        <v>21185</v>
      </c>
      <c r="C1061" t="s">
        <v>21186</v>
      </c>
      <c r="D1061" s="45" t="str">
        <f t="shared" si="28"/>
        <v>2023.027P.Betaflexiviridae_rename.zip</v>
      </c>
    </row>
    <row r="1062" spans="1:4">
      <c r="A1062" t="s">
        <v>11672</v>
      </c>
      <c r="B1062" t="s">
        <v>21187</v>
      </c>
      <c r="C1062" t="s">
        <v>21188</v>
      </c>
      <c r="D1062" s="45" t="str">
        <f t="shared" si="28"/>
        <v>2023.027P.Betaflexiviridae_rename.zip</v>
      </c>
    </row>
    <row r="1063" spans="1:4">
      <c r="A1063" t="s">
        <v>11672</v>
      </c>
      <c r="B1063" t="s">
        <v>21189</v>
      </c>
      <c r="C1063" t="s">
        <v>21190</v>
      </c>
      <c r="D1063" s="45" t="str">
        <f t="shared" si="28"/>
        <v>2023.027P.Betaflexiviridae_rename.zip</v>
      </c>
    </row>
    <row r="1064" spans="1:4">
      <c r="A1064" t="s">
        <v>11672</v>
      </c>
      <c r="B1064" t="s">
        <v>21191</v>
      </c>
      <c r="C1064" t="s">
        <v>21192</v>
      </c>
      <c r="D1064" s="45" t="str">
        <f t="shared" si="28"/>
        <v>2023.027P.Betaflexiviridae_rename.zip</v>
      </c>
    </row>
    <row r="1065" spans="1:4">
      <c r="A1065" t="s">
        <v>11672</v>
      </c>
      <c r="B1065" t="s">
        <v>21193</v>
      </c>
      <c r="C1065" t="s">
        <v>21194</v>
      </c>
      <c r="D1065" s="45" t="str">
        <f t="shared" si="28"/>
        <v>2023.027P.Betaflexiviridae_rename.zip</v>
      </c>
    </row>
    <row r="1066" spans="1:4">
      <c r="A1066" t="s">
        <v>11672</v>
      </c>
      <c r="B1066" t="s">
        <v>21195</v>
      </c>
      <c r="C1066" t="s">
        <v>21196</v>
      </c>
      <c r="D1066" s="45" t="str">
        <f t="shared" si="28"/>
        <v>2023.027P.Betaflexiviridae_rename.zip</v>
      </c>
    </row>
    <row r="1067" spans="1:4">
      <c r="A1067" t="s">
        <v>11672</v>
      </c>
      <c r="B1067" t="s">
        <v>21197</v>
      </c>
      <c r="C1067" t="s">
        <v>21198</v>
      </c>
      <c r="D1067" s="45" t="str">
        <f t="shared" si="28"/>
        <v>2023.027P.Betaflexiviridae_rename.zip</v>
      </c>
    </row>
    <row r="1068" spans="1:4">
      <c r="A1068" t="s">
        <v>11672</v>
      </c>
      <c r="B1068" t="s">
        <v>21199</v>
      </c>
      <c r="C1068" t="s">
        <v>21200</v>
      </c>
      <c r="D1068" s="45" t="str">
        <f t="shared" si="28"/>
        <v>2023.027P.Betaflexiviridae_rename.zip</v>
      </c>
    </row>
    <row r="1069" spans="1:4">
      <c r="A1069" t="s">
        <v>11672</v>
      </c>
      <c r="B1069" t="s">
        <v>21201</v>
      </c>
      <c r="C1069" t="s">
        <v>21202</v>
      </c>
      <c r="D1069" s="45" t="str">
        <f t="shared" si="28"/>
        <v>2023.027P.Betaflexiviridae_rename.zip</v>
      </c>
    </row>
    <row r="1070" spans="1:4">
      <c r="A1070" t="s">
        <v>11672</v>
      </c>
      <c r="B1070" t="s">
        <v>21203</v>
      </c>
      <c r="C1070" t="s">
        <v>21204</v>
      </c>
      <c r="D1070" s="45" t="str">
        <f t="shared" si="28"/>
        <v>2023.027P.Betaflexiviridae_rename.zip</v>
      </c>
    </row>
    <row r="1071" spans="1:4">
      <c r="A1071" t="s">
        <v>11672</v>
      </c>
      <c r="B1071" t="s">
        <v>21205</v>
      </c>
      <c r="C1071" t="s">
        <v>21206</v>
      </c>
      <c r="D1071" s="45" t="str">
        <f t="shared" si="28"/>
        <v>2023.027P.Betaflexiviridae_rename.zip</v>
      </c>
    </row>
    <row r="1072" spans="1:4">
      <c r="A1072" t="s">
        <v>11672</v>
      </c>
      <c r="B1072" t="s">
        <v>21207</v>
      </c>
      <c r="C1072" t="s">
        <v>21208</v>
      </c>
      <c r="D1072" s="45" t="str">
        <f t="shared" si="28"/>
        <v>2023.027P.Betaflexiviridae_rename.zip</v>
      </c>
    </row>
    <row r="1073" spans="1:4">
      <c r="A1073" t="s">
        <v>11672</v>
      </c>
      <c r="B1073" t="s">
        <v>21209</v>
      </c>
      <c r="C1073" t="s">
        <v>21210</v>
      </c>
      <c r="D1073" s="45" t="str">
        <f t="shared" si="28"/>
        <v>2023.027P.Betaflexiviridae_rename.zip</v>
      </c>
    </row>
    <row r="1074" spans="1:4">
      <c r="A1074" t="s">
        <v>11672</v>
      </c>
      <c r="B1074" t="s">
        <v>21211</v>
      </c>
      <c r="C1074" t="s">
        <v>21212</v>
      </c>
      <c r="D1074" s="45" t="str">
        <f t="shared" si="28"/>
        <v>2023.027P.Betaflexiviridae_rename.zip</v>
      </c>
    </row>
    <row r="1075" spans="1:4">
      <c r="A1075" t="s">
        <v>11672</v>
      </c>
      <c r="B1075" t="s">
        <v>21213</v>
      </c>
      <c r="C1075" t="s">
        <v>21214</v>
      </c>
      <c r="D1075" s="45" t="str">
        <f t="shared" si="28"/>
        <v>2023.027P.Betaflexiviridae_rename.zip</v>
      </c>
    </row>
    <row r="1076" spans="1:4">
      <c r="A1076" t="s">
        <v>11672</v>
      </c>
      <c r="B1076" t="s">
        <v>21215</v>
      </c>
      <c r="C1076" t="s">
        <v>21216</v>
      </c>
      <c r="D1076" s="45" t="str">
        <f t="shared" si="28"/>
        <v>2023.027P.Betaflexiviridae_rename.zip</v>
      </c>
    </row>
    <row r="1077" spans="1:4">
      <c r="A1077" t="s">
        <v>11672</v>
      </c>
      <c r="B1077" t="s">
        <v>21217</v>
      </c>
      <c r="C1077" t="s">
        <v>21218</v>
      </c>
      <c r="D1077" s="45" t="str">
        <f t="shared" si="28"/>
        <v>2023.027P.Betaflexiviridae_rename.zip</v>
      </c>
    </row>
    <row r="1078" spans="1:4">
      <c r="A1078" t="s">
        <v>11672</v>
      </c>
      <c r="B1078" t="s">
        <v>21219</v>
      </c>
      <c r="C1078" t="s">
        <v>21220</v>
      </c>
      <c r="D1078" s="45" t="str">
        <f t="shared" si="28"/>
        <v>2023.027P.Betaflexiviridae_rename.zip</v>
      </c>
    </row>
    <row r="1079" spans="1:4">
      <c r="A1079" t="s">
        <v>11672</v>
      </c>
      <c r="B1079" t="s">
        <v>21221</v>
      </c>
      <c r="C1079" t="s">
        <v>21222</v>
      </c>
      <c r="D1079" s="45" t="str">
        <f t="shared" si="28"/>
        <v>2023.027P.Betaflexiviridae_rename.zip</v>
      </c>
    </row>
    <row r="1080" spans="1:4">
      <c r="A1080" t="s">
        <v>11672</v>
      </c>
      <c r="B1080" t="s">
        <v>21223</v>
      </c>
      <c r="C1080" t="s">
        <v>21224</v>
      </c>
      <c r="D1080" s="45" t="str">
        <f t="shared" si="28"/>
        <v>2023.027P.Betaflexiviridae_rename.zip</v>
      </c>
    </row>
    <row r="1081" spans="1:4">
      <c r="A1081" t="s">
        <v>11672</v>
      </c>
      <c r="B1081" t="s">
        <v>21225</v>
      </c>
      <c r="C1081" t="s">
        <v>21226</v>
      </c>
      <c r="D1081" s="45" t="str">
        <f t="shared" si="28"/>
        <v>2023.027P.Betaflexiviridae_rename.zip</v>
      </c>
    </row>
    <row r="1082" spans="1:4">
      <c r="A1082" t="s">
        <v>11672</v>
      </c>
      <c r="B1082" t="s">
        <v>21227</v>
      </c>
      <c r="C1082" t="s">
        <v>21228</v>
      </c>
      <c r="D1082" s="45" t="str">
        <f t="shared" si="28"/>
        <v>2023.027P.Betaflexiviridae_rename.zip</v>
      </c>
    </row>
    <row r="1083" spans="1:4">
      <c r="A1083" t="s">
        <v>11672</v>
      </c>
      <c r="B1083" t="s">
        <v>21229</v>
      </c>
      <c r="C1083" t="s">
        <v>21230</v>
      </c>
      <c r="D1083" s="45" t="str">
        <f t="shared" si="28"/>
        <v>2023.027P.Betaflexiviridae_rename.zip</v>
      </c>
    </row>
    <row r="1084" spans="1:4">
      <c r="A1084" t="s">
        <v>11672</v>
      </c>
      <c r="B1084" t="s">
        <v>21231</v>
      </c>
      <c r="C1084" t="s">
        <v>21232</v>
      </c>
      <c r="D1084" s="45" t="str">
        <f t="shared" si="28"/>
        <v>2023.027P.Betaflexiviridae_rename.zip</v>
      </c>
    </row>
    <row r="1085" spans="1:4">
      <c r="A1085" t="s">
        <v>11672</v>
      </c>
      <c r="B1085" t="s">
        <v>21233</v>
      </c>
      <c r="C1085" t="s">
        <v>21234</v>
      </c>
      <c r="D1085" s="45" t="str">
        <f t="shared" si="28"/>
        <v>2023.027P.Betaflexiviridae_rename.zip</v>
      </c>
    </row>
    <row r="1086" spans="1:4">
      <c r="A1086" t="s">
        <v>11672</v>
      </c>
      <c r="B1086" t="s">
        <v>21235</v>
      </c>
      <c r="C1086" t="s">
        <v>21236</v>
      </c>
      <c r="D1086" s="45" t="str">
        <f t="shared" si="28"/>
        <v>2023.027P.Betaflexiviridae_rename.zip</v>
      </c>
    </row>
    <row r="1087" spans="1:4">
      <c r="A1087" t="s">
        <v>11672</v>
      </c>
      <c r="B1087" t="s">
        <v>21237</v>
      </c>
      <c r="C1087" t="s">
        <v>21238</v>
      </c>
      <c r="D1087" s="45" t="str">
        <f t="shared" si="28"/>
        <v>2023.027P.Betaflexiviridae_rename.zip</v>
      </c>
    </row>
    <row r="1088" spans="1:4">
      <c r="A1088" t="s">
        <v>11672</v>
      </c>
      <c r="B1088" t="s">
        <v>21239</v>
      </c>
      <c r="C1088" t="s">
        <v>21240</v>
      </c>
      <c r="D1088" s="45" t="str">
        <f t="shared" si="28"/>
        <v>2023.027P.Betaflexiviridae_rename.zip</v>
      </c>
    </row>
    <row r="1089" spans="1:4">
      <c r="A1089" t="s">
        <v>11672</v>
      </c>
      <c r="B1089" t="s">
        <v>21241</v>
      </c>
      <c r="C1089" t="s">
        <v>21242</v>
      </c>
      <c r="D1089" s="45" t="str">
        <f t="shared" si="28"/>
        <v>2023.027P.Betaflexiviridae_rename.zip</v>
      </c>
    </row>
    <row r="1090" spans="1:4">
      <c r="A1090" t="s">
        <v>11672</v>
      </c>
      <c r="B1090" t="s">
        <v>21243</v>
      </c>
      <c r="C1090" t="s">
        <v>21244</v>
      </c>
      <c r="D1090" s="45" t="str">
        <f t="shared" si="28"/>
        <v>2023.027P.Betaflexiviridae_rename.zip</v>
      </c>
    </row>
    <row r="1091" spans="1:4">
      <c r="A1091" t="s">
        <v>11672</v>
      </c>
      <c r="B1091" t="s">
        <v>21245</v>
      </c>
      <c r="C1091" t="s">
        <v>21246</v>
      </c>
      <c r="D1091" s="45" t="str">
        <f t="shared" ref="D1091:D1122" si="29">HYPERLINK("https://ictv.global/ictv/proposals/2023.027P.Betaflexiviridae_rename.zip","2023.027P.Betaflexiviridae_rename.zip")</f>
        <v>2023.027P.Betaflexiviridae_rename.zip</v>
      </c>
    </row>
    <row r="1092" spans="1:4">
      <c r="A1092" t="s">
        <v>11672</v>
      </c>
      <c r="B1092" t="s">
        <v>21247</v>
      </c>
      <c r="C1092" t="s">
        <v>21248</v>
      </c>
      <c r="D1092" s="45" t="str">
        <f t="shared" si="29"/>
        <v>2023.027P.Betaflexiviridae_rename.zip</v>
      </c>
    </row>
    <row r="1093" spans="1:4">
      <c r="A1093" t="s">
        <v>11672</v>
      </c>
      <c r="B1093" t="s">
        <v>21249</v>
      </c>
      <c r="C1093" t="s">
        <v>21250</v>
      </c>
      <c r="D1093" s="45" t="str">
        <f t="shared" si="29"/>
        <v>2023.027P.Betaflexiviridae_rename.zip</v>
      </c>
    </row>
    <row r="1094" spans="1:4">
      <c r="A1094" t="s">
        <v>11672</v>
      </c>
      <c r="B1094" t="s">
        <v>21251</v>
      </c>
      <c r="C1094" t="s">
        <v>21252</v>
      </c>
      <c r="D1094" s="45" t="str">
        <f t="shared" si="29"/>
        <v>2023.027P.Betaflexiviridae_rename.zip</v>
      </c>
    </row>
    <row r="1095" spans="1:4">
      <c r="A1095" t="s">
        <v>11672</v>
      </c>
      <c r="B1095" t="s">
        <v>21253</v>
      </c>
      <c r="C1095" t="s">
        <v>21254</v>
      </c>
      <c r="D1095" s="45" t="str">
        <f t="shared" si="29"/>
        <v>2023.027P.Betaflexiviridae_rename.zip</v>
      </c>
    </row>
    <row r="1096" spans="1:4">
      <c r="A1096" t="s">
        <v>11672</v>
      </c>
      <c r="B1096" t="s">
        <v>21255</v>
      </c>
      <c r="C1096" t="s">
        <v>21256</v>
      </c>
      <c r="D1096" s="45" t="str">
        <f t="shared" si="29"/>
        <v>2023.027P.Betaflexiviridae_rename.zip</v>
      </c>
    </row>
    <row r="1097" spans="1:4">
      <c r="A1097" t="s">
        <v>11672</v>
      </c>
      <c r="B1097" t="s">
        <v>21257</v>
      </c>
      <c r="C1097" t="s">
        <v>21258</v>
      </c>
      <c r="D1097" s="45" t="str">
        <f t="shared" si="29"/>
        <v>2023.027P.Betaflexiviridae_rename.zip</v>
      </c>
    </row>
    <row r="1098" spans="1:4">
      <c r="A1098" t="s">
        <v>11672</v>
      </c>
      <c r="B1098" t="s">
        <v>21259</v>
      </c>
      <c r="C1098" t="s">
        <v>21260</v>
      </c>
      <c r="D1098" s="45" t="str">
        <f t="shared" si="29"/>
        <v>2023.027P.Betaflexiviridae_rename.zip</v>
      </c>
    </row>
    <row r="1099" spans="1:4">
      <c r="A1099" t="s">
        <v>11672</v>
      </c>
      <c r="B1099" t="s">
        <v>21261</v>
      </c>
      <c r="C1099" t="s">
        <v>21262</v>
      </c>
      <c r="D1099" s="45" t="str">
        <f t="shared" si="29"/>
        <v>2023.027P.Betaflexiviridae_rename.zip</v>
      </c>
    </row>
    <row r="1100" spans="1:4">
      <c r="A1100" t="s">
        <v>11672</v>
      </c>
      <c r="B1100" t="s">
        <v>21263</v>
      </c>
      <c r="C1100" t="s">
        <v>21264</v>
      </c>
      <c r="D1100" s="45" t="str">
        <f t="shared" si="29"/>
        <v>2023.027P.Betaflexiviridae_rename.zip</v>
      </c>
    </row>
    <row r="1101" spans="1:4">
      <c r="A1101" t="s">
        <v>11672</v>
      </c>
      <c r="B1101" t="s">
        <v>21265</v>
      </c>
      <c r="C1101" t="s">
        <v>21266</v>
      </c>
      <c r="D1101" s="45" t="str">
        <f t="shared" si="29"/>
        <v>2023.027P.Betaflexiviridae_rename.zip</v>
      </c>
    </row>
    <row r="1102" spans="1:4">
      <c r="A1102" t="s">
        <v>11672</v>
      </c>
      <c r="B1102" t="s">
        <v>21267</v>
      </c>
      <c r="C1102" t="s">
        <v>21268</v>
      </c>
      <c r="D1102" s="45" t="str">
        <f t="shared" si="29"/>
        <v>2023.027P.Betaflexiviridae_rename.zip</v>
      </c>
    </row>
    <row r="1103" spans="1:4">
      <c r="A1103" t="s">
        <v>11672</v>
      </c>
      <c r="B1103" t="s">
        <v>21269</v>
      </c>
      <c r="C1103" t="s">
        <v>21270</v>
      </c>
      <c r="D1103" s="45" t="str">
        <f t="shared" si="29"/>
        <v>2023.027P.Betaflexiviridae_rename.zip</v>
      </c>
    </row>
    <row r="1104" spans="1:4">
      <c r="A1104" t="s">
        <v>11672</v>
      </c>
      <c r="B1104" t="s">
        <v>21271</v>
      </c>
      <c r="C1104" t="s">
        <v>21272</v>
      </c>
      <c r="D1104" s="45" t="str">
        <f t="shared" si="29"/>
        <v>2023.027P.Betaflexiviridae_rename.zip</v>
      </c>
    </row>
    <row r="1105" spans="1:4">
      <c r="A1105" t="s">
        <v>11672</v>
      </c>
      <c r="B1105" t="s">
        <v>21273</v>
      </c>
      <c r="C1105" t="s">
        <v>21274</v>
      </c>
      <c r="D1105" s="45" t="str">
        <f t="shared" si="29"/>
        <v>2023.027P.Betaflexiviridae_rename.zip</v>
      </c>
    </row>
    <row r="1106" spans="1:4">
      <c r="A1106" t="s">
        <v>11672</v>
      </c>
      <c r="B1106" t="s">
        <v>21275</v>
      </c>
      <c r="C1106" t="s">
        <v>21276</v>
      </c>
      <c r="D1106" s="45" t="str">
        <f t="shared" si="29"/>
        <v>2023.027P.Betaflexiviridae_rename.zip</v>
      </c>
    </row>
    <row r="1107" spans="1:4">
      <c r="A1107" t="s">
        <v>11672</v>
      </c>
      <c r="B1107" t="s">
        <v>21277</v>
      </c>
      <c r="C1107" t="s">
        <v>21278</v>
      </c>
      <c r="D1107" s="45" t="str">
        <f t="shared" si="29"/>
        <v>2023.027P.Betaflexiviridae_rename.zip</v>
      </c>
    </row>
    <row r="1108" spans="1:4">
      <c r="A1108" t="s">
        <v>11672</v>
      </c>
      <c r="B1108" t="s">
        <v>21279</v>
      </c>
      <c r="C1108" t="s">
        <v>21280</v>
      </c>
      <c r="D1108" s="45" t="str">
        <f t="shared" si="29"/>
        <v>2023.027P.Betaflexiviridae_rename.zip</v>
      </c>
    </row>
    <row r="1109" spans="1:4">
      <c r="A1109" t="s">
        <v>11672</v>
      </c>
      <c r="B1109" t="s">
        <v>21281</v>
      </c>
      <c r="C1109" t="s">
        <v>21282</v>
      </c>
      <c r="D1109" s="45" t="str">
        <f t="shared" si="29"/>
        <v>2023.027P.Betaflexiviridae_rename.zip</v>
      </c>
    </row>
    <row r="1110" spans="1:4">
      <c r="A1110" t="s">
        <v>11672</v>
      </c>
      <c r="B1110" t="s">
        <v>21283</v>
      </c>
      <c r="C1110" t="s">
        <v>21284</v>
      </c>
      <c r="D1110" s="45" t="str">
        <f t="shared" si="29"/>
        <v>2023.027P.Betaflexiviridae_rename.zip</v>
      </c>
    </row>
    <row r="1111" spans="1:4">
      <c r="A1111" t="s">
        <v>11672</v>
      </c>
      <c r="B1111" t="s">
        <v>21285</v>
      </c>
      <c r="C1111" t="s">
        <v>21286</v>
      </c>
      <c r="D1111" s="45" t="str">
        <f t="shared" si="29"/>
        <v>2023.027P.Betaflexiviridae_rename.zip</v>
      </c>
    </row>
    <row r="1112" spans="1:4">
      <c r="A1112" t="s">
        <v>11672</v>
      </c>
      <c r="B1112" t="s">
        <v>21287</v>
      </c>
      <c r="C1112" t="s">
        <v>21288</v>
      </c>
      <c r="D1112" s="45" t="str">
        <f t="shared" si="29"/>
        <v>2023.027P.Betaflexiviridae_rename.zip</v>
      </c>
    </row>
    <row r="1113" spans="1:4">
      <c r="A1113" t="s">
        <v>11672</v>
      </c>
      <c r="B1113" t="s">
        <v>21289</v>
      </c>
      <c r="C1113" t="s">
        <v>21290</v>
      </c>
      <c r="D1113" s="45" t="str">
        <f t="shared" si="29"/>
        <v>2023.027P.Betaflexiviridae_rename.zip</v>
      </c>
    </row>
    <row r="1114" spans="1:4">
      <c r="A1114" t="s">
        <v>11672</v>
      </c>
      <c r="B1114" t="s">
        <v>21291</v>
      </c>
      <c r="C1114" t="s">
        <v>21292</v>
      </c>
      <c r="D1114" s="45" t="str">
        <f t="shared" si="29"/>
        <v>2023.027P.Betaflexiviridae_rename.zip</v>
      </c>
    </row>
    <row r="1115" spans="1:4">
      <c r="A1115" t="s">
        <v>11672</v>
      </c>
      <c r="B1115" t="s">
        <v>21293</v>
      </c>
      <c r="C1115" t="s">
        <v>21294</v>
      </c>
      <c r="D1115" s="45" t="str">
        <f t="shared" si="29"/>
        <v>2023.027P.Betaflexiviridae_rename.zip</v>
      </c>
    </row>
    <row r="1116" spans="1:4">
      <c r="A1116" t="s">
        <v>11672</v>
      </c>
      <c r="B1116" t="s">
        <v>21295</v>
      </c>
      <c r="C1116" t="s">
        <v>21296</v>
      </c>
      <c r="D1116" s="45" t="str">
        <f t="shared" si="29"/>
        <v>2023.027P.Betaflexiviridae_rename.zip</v>
      </c>
    </row>
    <row r="1117" spans="1:4">
      <c r="A1117" t="s">
        <v>11672</v>
      </c>
      <c r="B1117" t="s">
        <v>21297</v>
      </c>
      <c r="C1117" t="s">
        <v>21298</v>
      </c>
      <c r="D1117" s="45" t="str">
        <f t="shared" si="29"/>
        <v>2023.027P.Betaflexiviridae_rename.zip</v>
      </c>
    </row>
    <row r="1118" spans="1:4">
      <c r="A1118" t="s">
        <v>11672</v>
      </c>
      <c r="B1118" t="s">
        <v>21299</v>
      </c>
      <c r="C1118" t="s">
        <v>21300</v>
      </c>
      <c r="D1118" s="45" t="str">
        <f t="shared" si="29"/>
        <v>2023.027P.Betaflexiviridae_rename.zip</v>
      </c>
    </row>
    <row r="1119" spans="1:4">
      <c r="A1119" t="s">
        <v>11672</v>
      </c>
      <c r="B1119" t="s">
        <v>21301</v>
      </c>
      <c r="C1119" t="s">
        <v>21302</v>
      </c>
      <c r="D1119" s="45" t="str">
        <f t="shared" si="29"/>
        <v>2023.027P.Betaflexiviridae_rename.zip</v>
      </c>
    </row>
    <row r="1120" spans="1:4">
      <c r="A1120" t="s">
        <v>11672</v>
      </c>
      <c r="B1120" t="s">
        <v>21303</v>
      </c>
      <c r="C1120" t="s">
        <v>21304</v>
      </c>
      <c r="D1120" s="45" t="str">
        <f t="shared" si="29"/>
        <v>2023.027P.Betaflexiviridae_rename.zip</v>
      </c>
    </row>
    <row r="1121" spans="1:4">
      <c r="A1121" t="s">
        <v>11672</v>
      </c>
      <c r="B1121" t="s">
        <v>21305</v>
      </c>
      <c r="C1121" t="s">
        <v>21306</v>
      </c>
      <c r="D1121" s="45" t="str">
        <f t="shared" si="29"/>
        <v>2023.027P.Betaflexiviridae_rename.zip</v>
      </c>
    </row>
    <row r="1122" spans="1:4">
      <c r="A1122" t="s">
        <v>11672</v>
      </c>
      <c r="B1122" t="s">
        <v>21307</v>
      </c>
      <c r="C1122" t="s">
        <v>21308</v>
      </c>
      <c r="D1122" s="45" t="str">
        <f t="shared" si="29"/>
        <v>2023.027P.Betaflexiviridae_rename.zip</v>
      </c>
    </row>
    <row r="1123" spans="1:4">
      <c r="A1123" t="s">
        <v>11672</v>
      </c>
      <c r="B1123" t="s">
        <v>21309</v>
      </c>
      <c r="C1123" t="s">
        <v>21310</v>
      </c>
      <c r="D1123" s="45" t="str">
        <f t="shared" ref="D1123:D1154" si="30">HYPERLINK("https://ictv.global/ictv/proposals/2023.027P.Betaflexiviridae_rename.zip","2023.027P.Betaflexiviridae_rename.zip")</f>
        <v>2023.027P.Betaflexiviridae_rename.zip</v>
      </c>
    </row>
    <row r="1124" spans="1:4">
      <c r="A1124" t="s">
        <v>11672</v>
      </c>
      <c r="B1124" t="s">
        <v>21311</v>
      </c>
      <c r="C1124" t="s">
        <v>21312</v>
      </c>
      <c r="D1124" s="45" t="str">
        <f t="shared" si="30"/>
        <v>2023.027P.Betaflexiviridae_rename.zip</v>
      </c>
    </row>
    <row r="1125" spans="1:4">
      <c r="A1125" t="s">
        <v>11672</v>
      </c>
      <c r="B1125" t="s">
        <v>21313</v>
      </c>
      <c r="C1125" t="s">
        <v>21314</v>
      </c>
      <c r="D1125" s="45" t="str">
        <f t="shared" si="30"/>
        <v>2023.027P.Betaflexiviridae_rename.zip</v>
      </c>
    </row>
    <row r="1126" spans="1:4">
      <c r="A1126" t="s">
        <v>11672</v>
      </c>
      <c r="B1126" t="s">
        <v>21315</v>
      </c>
      <c r="C1126" t="s">
        <v>21316</v>
      </c>
      <c r="D1126" s="45" t="str">
        <f t="shared" si="30"/>
        <v>2023.027P.Betaflexiviridae_rename.zip</v>
      </c>
    </row>
    <row r="1127" spans="1:4">
      <c r="A1127" t="s">
        <v>11672</v>
      </c>
      <c r="B1127" t="s">
        <v>21317</v>
      </c>
      <c r="C1127" t="s">
        <v>21318</v>
      </c>
      <c r="D1127" s="45" t="str">
        <f t="shared" si="30"/>
        <v>2023.027P.Betaflexiviridae_rename.zip</v>
      </c>
    </row>
    <row r="1128" spans="1:4">
      <c r="A1128" t="s">
        <v>11672</v>
      </c>
      <c r="B1128" t="s">
        <v>21319</v>
      </c>
      <c r="C1128" t="s">
        <v>21320</v>
      </c>
      <c r="D1128" s="45" t="str">
        <f t="shared" si="30"/>
        <v>2023.027P.Betaflexiviridae_rename.zip</v>
      </c>
    </row>
    <row r="1129" spans="1:4">
      <c r="A1129" t="s">
        <v>11672</v>
      </c>
      <c r="B1129" t="s">
        <v>21321</v>
      </c>
      <c r="C1129" t="s">
        <v>21322</v>
      </c>
      <c r="D1129" s="45" t="str">
        <f t="shared" si="30"/>
        <v>2023.027P.Betaflexiviridae_rename.zip</v>
      </c>
    </row>
    <row r="1130" spans="1:4">
      <c r="A1130" t="s">
        <v>11672</v>
      </c>
      <c r="B1130" t="s">
        <v>21323</v>
      </c>
      <c r="C1130" t="s">
        <v>21324</v>
      </c>
      <c r="D1130" s="45" t="str">
        <f t="shared" si="30"/>
        <v>2023.027P.Betaflexiviridae_rename.zip</v>
      </c>
    </row>
    <row r="1131" spans="1:4">
      <c r="A1131" t="s">
        <v>11672</v>
      </c>
      <c r="B1131" t="s">
        <v>21325</v>
      </c>
      <c r="C1131" t="s">
        <v>21326</v>
      </c>
      <c r="D1131" s="45" t="str">
        <f t="shared" si="30"/>
        <v>2023.027P.Betaflexiviridae_rename.zip</v>
      </c>
    </row>
    <row r="1132" spans="1:4">
      <c r="A1132" t="s">
        <v>11672</v>
      </c>
      <c r="B1132" t="s">
        <v>21327</v>
      </c>
      <c r="C1132" t="s">
        <v>21328</v>
      </c>
      <c r="D1132" s="45" t="str">
        <f t="shared" si="30"/>
        <v>2023.027P.Betaflexiviridae_rename.zip</v>
      </c>
    </row>
    <row r="1133" spans="1:4">
      <c r="A1133" t="s">
        <v>11672</v>
      </c>
      <c r="B1133" t="s">
        <v>21329</v>
      </c>
      <c r="C1133" t="s">
        <v>21330</v>
      </c>
      <c r="D1133" s="45" t="str">
        <f t="shared" si="30"/>
        <v>2023.027P.Betaflexiviridae_rename.zip</v>
      </c>
    </row>
    <row r="1134" spans="1:4">
      <c r="A1134" t="s">
        <v>11672</v>
      </c>
      <c r="B1134" t="s">
        <v>21331</v>
      </c>
      <c r="C1134" t="s">
        <v>21332</v>
      </c>
      <c r="D1134" s="45" t="str">
        <f t="shared" si="30"/>
        <v>2023.027P.Betaflexiviridae_rename.zip</v>
      </c>
    </row>
    <row r="1135" spans="1:4">
      <c r="A1135" t="s">
        <v>11672</v>
      </c>
      <c r="B1135" t="s">
        <v>21333</v>
      </c>
      <c r="C1135" t="s">
        <v>21334</v>
      </c>
      <c r="D1135" s="45" t="str">
        <f t="shared" si="30"/>
        <v>2023.027P.Betaflexiviridae_rename.zip</v>
      </c>
    </row>
    <row r="1136" spans="1:4">
      <c r="A1136" t="s">
        <v>11672</v>
      </c>
      <c r="B1136" t="s">
        <v>21335</v>
      </c>
      <c r="C1136" t="s">
        <v>21336</v>
      </c>
      <c r="D1136" s="45" t="str">
        <f t="shared" si="30"/>
        <v>2023.027P.Betaflexiviridae_rename.zip</v>
      </c>
    </row>
    <row r="1137" spans="1:4">
      <c r="A1137" t="s">
        <v>11672</v>
      </c>
      <c r="B1137" t="s">
        <v>21337</v>
      </c>
      <c r="C1137" t="s">
        <v>21338</v>
      </c>
      <c r="D1137" s="45" t="str">
        <f t="shared" si="30"/>
        <v>2023.027P.Betaflexiviridae_rename.zip</v>
      </c>
    </row>
    <row r="1138" spans="1:4">
      <c r="A1138" t="s">
        <v>11672</v>
      </c>
      <c r="B1138" t="s">
        <v>21339</v>
      </c>
      <c r="C1138" t="s">
        <v>21340</v>
      </c>
      <c r="D1138" s="45" t="str">
        <f t="shared" si="30"/>
        <v>2023.027P.Betaflexiviridae_rename.zip</v>
      </c>
    </row>
    <row r="1139" spans="1:4">
      <c r="A1139" t="s">
        <v>11672</v>
      </c>
      <c r="B1139" t="s">
        <v>21341</v>
      </c>
      <c r="C1139" t="s">
        <v>21342</v>
      </c>
      <c r="D1139" s="45" t="str">
        <f t="shared" si="30"/>
        <v>2023.027P.Betaflexiviridae_rename.zip</v>
      </c>
    </row>
    <row r="1140" spans="1:4">
      <c r="A1140" t="s">
        <v>11672</v>
      </c>
      <c r="B1140" t="s">
        <v>21343</v>
      </c>
      <c r="C1140" t="s">
        <v>21344</v>
      </c>
      <c r="D1140" s="45" t="str">
        <f t="shared" si="30"/>
        <v>2023.027P.Betaflexiviridae_rename.zip</v>
      </c>
    </row>
    <row r="1141" spans="1:4">
      <c r="A1141" t="s">
        <v>11672</v>
      </c>
      <c r="B1141" t="s">
        <v>21345</v>
      </c>
      <c r="C1141" t="s">
        <v>21346</v>
      </c>
      <c r="D1141" s="45" t="str">
        <f t="shared" si="30"/>
        <v>2023.027P.Betaflexiviridae_rename.zip</v>
      </c>
    </row>
    <row r="1142" spans="1:4">
      <c r="A1142" t="s">
        <v>11672</v>
      </c>
      <c r="B1142" t="s">
        <v>21347</v>
      </c>
      <c r="C1142" t="s">
        <v>21348</v>
      </c>
      <c r="D1142" s="45" t="str">
        <f t="shared" si="30"/>
        <v>2023.027P.Betaflexiviridae_rename.zip</v>
      </c>
    </row>
    <row r="1143" spans="1:4">
      <c r="A1143" t="s">
        <v>11672</v>
      </c>
      <c r="B1143" t="s">
        <v>21349</v>
      </c>
      <c r="C1143" t="s">
        <v>21350</v>
      </c>
      <c r="D1143" s="45" t="str">
        <f t="shared" si="30"/>
        <v>2023.027P.Betaflexiviridae_rename.zip</v>
      </c>
    </row>
    <row r="1144" spans="1:4">
      <c r="A1144" t="s">
        <v>11672</v>
      </c>
      <c r="B1144" t="s">
        <v>21351</v>
      </c>
      <c r="C1144" t="s">
        <v>21352</v>
      </c>
      <c r="D1144" s="45" t="str">
        <f t="shared" si="30"/>
        <v>2023.027P.Betaflexiviridae_rename.zip</v>
      </c>
    </row>
    <row r="1145" spans="1:4">
      <c r="A1145" t="s">
        <v>11672</v>
      </c>
      <c r="B1145" t="s">
        <v>21353</v>
      </c>
      <c r="C1145" t="s">
        <v>21354</v>
      </c>
      <c r="D1145" s="45" t="str">
        <f t="shared" si="30"/>
        <v>2023.027P.Betaflexiviridae_rename.zip</v>
      </c>
    </row>
    <row r="1146" spans="1:4">
      <c r="A1146" t="s">
        <v>11672</v>
      </c>
      <c r="B1146" t="s">
        <v>21355</v>
      </c>
      <c r="C1146" t="s">
        <v>21356</v>
      </c>
      <c r="D1146" s="45" t="str">
        <f t="shared" si="30"/>
        <v>2023.027P.Betaflexiviridae_rename.zip</v>
      </c>
    </row>
    <row r="1147" spans="1:4">
      <c r="A1147" t="s">
        <v>11672</v>
      </c>
      <c r="B1147" t="s">
        <v>21357</v>
      </c>
      <c r="C1147" t="s">
        <v>21358</v>
      </c>
      <c r="D1147" s="45" t="str">
        <f t="shared" si="30"/>
        <v>2023.027P.Betaflexiviridae_rename.zip</v>
      </c>
    </row>
    <row r="1148" spans="1:4">
      <c r="A1148" t="s">
        <v>11672</v>
      </c>
      <c r="B1148" t="s">
        <v>21359</v>
      </c>
      <c r="C1148" t="s">
        <v>21360</v>
      </c>
      <c r="D1148" s="45" t="str">
        <f t="shared" si="30"/>
        <v>2023.027P.Betaflexiviridae_rename.zip</v>
      </c>
    </row>
    <row r="1149" spans="1:4">
      <c r="A1149" t="s">
        <v>11672</v>
      </c>
      <c r="B1149" t="s">
        <v>21361</v>
      </c>
      <c r="C1149" t="s">
        <v>21362</v>
      </c>
      <c r="D1149" s="45" t="str">
        <f t="shared" si="30"/>
        <v>2023.027P.Betaflexiviridae_rename.zip</v>
      </c>
    </row>
    <row r="1150" spans="1:4">
      <c r="A1150" t="s">
        <v>11672</v>
      </c>
      <c r="B1150" t="s">
        <v>21363</v>
      </c>
      <c r="C1150" t="s">
        <v>21364</v>
      </c>
      <c r="D1150" s="45" t="str">
        <f t="shared" si="30"/>
        <v>2023.027P.Betaflexiviridae_rename.zip</v>
      </c>
    </row>
    <row r="1151" spans="1:4">
      <c r="A1151" t="s">
        <v>11672</v>
      </c>
      <c r="B1151" t="s">
        <v>21365</v>
      </c>
      <c r="C1151" t="s">
        <v>21366</v>
      </c>
      <c r="D1151" s="45" t="str">
        <f t="shared" si="30"/>
        <v>2023.027P.Betaflexiviridae_rename.zip</v>
      </c>
    </row>
    <row r="1152" spans="1:4">
      <c r="A1152" t="s">
        <v>11672</v>
      </c>
      <c r="B1152" t="s">
        <v>21367</v>
      </c>
      <c r="C1152" t="s">
        <v>21368</v>
      </c>
      <c r="D1152" s="45" t="str">
        <f t="shared" si="30"/>
        <v>2023.027P.Betaflexiviridae_rename.zip</v>
      </c>
    </row>
    <row r="1153" spans="1:4">
      <c r="A1153" t="s">
        <v>11672</v>
      </c>
      <c r="B1153" t="s">
        <v>21369</v>
      </c>
      <c r="C1153" t="s">
        <v>21370</v>
      </c>
      <c r="D1153" s="45" t="str">
        <f t="shared" si="30"/>
        <v>2023.027P.Betaflexiviridae_rename.zip</v>
      </c>
    </row>
    <row r="1154" spans="1:4">
      <c r="A1154" t="s">
        <v>11672</v>
      </c>
      <c r="B1154" t="s">
        <v>21371</v>
      </c>
      <c r="C1154" t="s">
        <v>21372</v>
      </c>
      <c r="D1154" s="45" t="str">
        <f t="shared" si="30"/>
        <v>2023.027P.Betaflexiviridae_rename.zip</v>
      </c>
    </row>
    <row r="1155" spans="1:4">
      <c r="A1155" t="s">
        <v>11672</v>
      </c>
      <c r="B1155" t="s">
        <v>21373</v>
      </c>
      <c r="C1155" t="s">
        <v>21374</v>
      </c>
      <c r="D1155" s="45" t="str">
        <f t="shared" ref="D1155:D1186" si="31">HYPERLINK("https://ictv.global/ictv/proposals/2023.027P.Betaflexiviridae_rename.zip","2023.027P.Betaflexiviridae_rename.zip")</f>
        <v>2023.027P.Betaflexiviridae_rename.zip</v>
      </c>
    </row>
    <row r="1156" spans="1:4">
      <c r="A1156" t="s">
        <v>11672</v>
      </c>
      <c r="B1156" t="s">
        <v>21375</v>
      </c>
      <c r="C1156" t="s">
        <v>21376</v>
      </c>
      <c r="D1156" s="45" t="str">
        <f t="shared" si="31"/>
        <v>2023.027P.Betaflexiviridae_rename.zip</v>
      </c>
    </row>
    <row r="1157" spans="1:4">
      <c r="A1157" t="s">
        <v>11672</v>
      </c>
      <c r="B1157" t="s">
        <v>21377</v>
      </c>
      <c r="C1157" t="s">
        <v>21378</v>
      </c>
      <c r="D1157" s="45" t="str">
        <f t="shared" si="31"/>
        <v>2023.027P.Betaflexiviridae_rename.zip</v>
      </c>
    </row>
    <row r="1158" spans="1:4">
      <c r="A1158" t="s">
        <v>11672</v>
      </c>
      <c r="B1158" t="s">
        <v>21379</v>
      </c>
      <c r="C1158" t="s">
        <v>21380</v>
      </c>
      <c r="D1158" s="45" t="str">
        <f t="shared" si="31"/>
        <v>2023.027P.Betaflexiviridae_rename.zip</v>
      </c>
    </row>
    <row r="1159" spans="1:4">
      <c r="A1159" t="s">
        <v>11672</v>
      </c>
      <c r="B1159" t="s">
        <v>21381</v>
      </c>
      <c r="C1159" t="s">
        <v>21382</v>
      </c>
      <c r="D1159" s="45" t="str">
        <f t="shared" si="31"/>
        <v>2023.027P.Betaflexiviridae_rename.zip</v>
      </c>
    </row>
    <row r="1160" spans="1:4">
      <c r="A1160" t="s">
        <v>11672</v>
      </c>
      <c r="B1160" t="s">
        <v>21383</v>
      </c>
      <c r="C1160" t="s">
        <v>21384</v>
      </c>
      <c r="D1160" s="45" t="str">
        <f t="shared" si="31"/>
        <v>2023.027P.Betaflexiviridae_rename.zip</v>
      </c>
    </row>
    <row r="1161" spans="1:4">
      <c r="A1161" t="s">
        <v>11672</v>
      </c>
      <c r="B1161" t="s">
        <v>21385</v>
      </c>
      <c r="C1161" t="s">
        <v>21386</v>
      </c>
      <c r="D1161" s="45" t="str">
        <f t="shared" si="31"/>
        <v>2023.027P.Betaflexiviridae_rename.zip</v>
      </c>
    </row>
    <row r="1162" spans="1:4">
      <c r="A1162" t="s">
        <v>11672</v>
      </c>
      <c r="B1162" t="s">
        <v>21387</v>
      </c>
      <c r="C1162" t="s">
        <v>21388</v>
      </c>
      <c r="D1162" s="45" t="str">
        <f t="shared" si="31"/>
        <v>2023.027P.Betaflexiviridae_rename.zip</v>
      </c>
    </row>
    <row r="1163" spans="1:4">
      <c r="A1163" t="s">
        <v>11672</v>
      </c>
      <c r="B1163" t="s">
        <v>21389</v>
      </c>
      <c r="C1163" t="s">
        <v>21390</v>
      </c>
      <c r="D1163" s="45" t="str">
        <f t="shared" si="31"/>
        <v>2023.027P.Betaflexiviridae_rename.zip</v>
      </c>
    </row>
    <row r="1164" spans="1:4">
      <c r="A1164" t="s">
        <v>11672</v>
      </c>
      <c r="B1164" t="s">
        <v>21391</v>
      </c>
      <c r="C1164" t="s">
        <v>21392</v>
      </c>
      <c r="D1164" s="45" t="str">
        <f t="shared" si="31"/>
        <v>2023.027P.Betaflexiviridae_rename.zip</v>
      </c>
    </row>
    <row r="1165" spans="1:4">
      <c r="A1165" t="s">
        <v>11672</v>
      </c>
      <c r="B1165" t="s">
        <v>21393</v>
      </c>
      <c r="C1165" t="s">
        <v>21394</v>
      </c>
      <c r="D1165" s="45" t="str">
        <f t="shared" si="31"/>
        <v>2023.027P.Betaflexiviridae_rename.zip</v>
      </c>
    </row>
    <row r="1166" spans="1:4">
      <c r="A1166" t="s">
        <v>11672</v>
      </c>
      <c r="B1166" t="s">
        <v>21395</v>
      </c>
      <c r="C1166" t="s">
        <v>21396</v>
      </c>
      <c r="D1166" s="45" t="str">
        <f t="shared" si="31"/>
        <v>2023.027P.Betaflexiviridae_rename.zip</v>
      </c>
    </row>
    <row r="1167" spans="1:4">
      <c r="A1167" t="s">
        <v>11672</v>
      </c>
      <c r="B1167" t="s">
        <v>21397</v>
      </c>
      <c r="C1167" t="s">
        <v>21398</v>
      </c>
      <c r="D1167" s="45" t="str">
        <f t="shared" si="31"/>
        <v>2023.027P.Betaflexiviridae_rename.zip</v>
      </c>
    </row>
    <row r="1168" spans="1:4">
      <c r="A1168" t="s">
        <v>11672</v>
      </c>
      <c r="B1168" t="s">
        <v>21399</v>
      </c>
      <c r="C1168" t="s">
        <v>21400</v>
      </c>
      <c r="D1168" s="45" t="str">
        <f t="shared" si="31"/>
        <v>2023.027P.Betaflexiviridae_rename.zip</v>
      </c>
    </row>
    <row r="1169" spans="1:4">
      <c r="A1169" t="s">
        <v>11672</v>
      </c>
      <c r="B1169" t="s">
        <v>21401</v>
      </c>
      <c r="C1169" t="s">
        <v>21402</v>
      </c>
      <c r="D1169" s="45" t="str">
        <f t="shared" si="31"/>
        <v>2023.027P.Betaflexiviridae_rename.zip</v>
      </c>
    </row>
    <row r="1170" spans="1:4">
      <c r="A1170" t="s">
        <v>11672</v>
      </c>
      <c r="B1170" t="s">
        <v>21403</v>
      </c>
      <c r="C1170" t="s">
        <v>21404</v>
      </c>
      <c r="D1170" s="45" t="str">
        <f t="shared" si="31"/>
        <v>2023.027P.Betaflexiviridae_rename.zip</v>
      </c>
    </row>
    <row r="1171" spans="1:4">
      <c r="A1171" t="s">
        <v>11672</v>
      </c>
      <c r="B1171" t="s">
        <v>21405</v>
      </c>
      <c r="C1171" t="s">
        <v>21406</v>
      </c>
      <c r="D1171" s="45" t="str">
        <f t="shared" si="31"/>
        <v>2023.027P.Betaflexiviridae_rename.zip</v>
      </c>
    </row>
    <row r="1172" spans="1:4">
      <c r="A1172" t="s">
        <v>11672</v>
      </c>
      <c r="B1172" t="s">
        <v>21407</v>
      </c>
      <c r="C1172" t="s">
        <v>21408</v>
      </c>
      <c r="D1172" s="45" t="str">
        <f t="shared" si="31"/>
        <v>2023.027P.Betaflexiviridae_rename.zip</v>
      </c>
    </row>
    <row r="1173" spans="1:4">
      <c r="A1173" t="s">
        <v>11672</v>
      </c>
      <c r="B1173" t="s">
        <v>21409</v>
      </c>
      <c r="C1173" t="s">
        <v>21410</v>
      </c>
      <c r="D1173" s="45" t="str">
        <f t="shared" si="31"/>
        <v>2023.027P.Betaflexiviridae_rename.zip</v>
      </c>
    </row>
    <row r="1174" spans="1:4">
      <c r="A1174" t="s">
        <v>11672</v>
      </c>
      <c r="B1174" t="s">
        <v>21411</v>
      </c>
      <c r="C1174" t="s">
        <v>21412</v>
      </c>
      <c r="D1174" s="45" t="str">
        <f t="shared" si="31"/>
        <v>2023.027P.Betaflexiviridae_rename.zip</v>
      </c>
    </row>
    <row r="1175" spans="1:4">
      <c r="A1175" t="s">
        <v>11672</v>
      </c>
      <c r="B1175" t="s">
        <v>21413</v>
      </c>
      <c r="C1175" t="s">
        <v>21414</v>
      </c>
      <c r="D1175" s="45" t="str">
        <f t="shared" si="31"/>
        <v>2023.027P.Betaflexiviridae_rename.zip</v>
      </c>
    </row>
    <row r="1176" spans="1:4">
      <c r="A1176" t="s">
        <v>11672</v>
      </c>
      <c r="B1176" t="s">
        <v>21415</v>
      </c>
      <c r="C1176" t="s">
        <v>21416</v>
      </c>
      <c r="D1176" s="45" t="str">
        <f t="shared" si="31"/>
        <v>2023.027P.Betaflexiviridae_rename.zip</v>
      </c>
    </row>
    <row r="1177" spans="1:4">
      <c r="A1177" t="s">
        <v>11672</v>
      </c>
      <c r="B1177" t="s">
        <v>21417</v>
      </c>
      <c r="C1177" t="s">
        <v>21418</v>
      </c>
      <c r="D1177" s="45" t="str">
        <f t="shared" si="31"/>
        <v>2023.027P.Betaflexiviridae_rename.zip</v>
      </c>
    </row>
    <row r="1178" spans="1:4">
      <c r="A1178" t="s">
        <v>11672</v>
      </c>
      <c r="B1178" t="s">
        <v>21419</v>
      </c>
      <c r="C1178" t="s">
        <v>21420</v>
      </c>
      <c r="D1178" s="45" t="str">
        <f t="shared" si="31"/>
        <v>2023.027P.Betaflexiviridae_rename.zip</v>
      </c>
    </row>
    <row r="1179" spans="1:4">
      <c r="A1179" t="s">
        <v>11672</v>
      </c>
      <c r="B1179" t="s">
        <v>21421</v>
      </c>
      <c r="C1179" t="s">
        <v>21422</v>
      </c>
      <c r="D1179" s="45" t="str">
        <f t="shared" si="31"/>
        <v>2023.027P.Betaflexiviridae_rename.zip</v>
      </c>
    </row>
    <row r="1180" spans="1:4">
      <c r="A1180" t="s">
        <v>11672</v>
      </c>
      <c r="B1180" t="s">
        <v>21423</v>
      </c>
      <c r="C1180" t="s">
        <v>21424</v>
      </c>
      <c r="D1180" s="45" t="str">
        <f t="shared" si="31"/>
        <v>2023.027P.Betaflexiviridae_rename.zip</v>
      </c>
    </row>
    <row r="1181" spans="1:4">
      <c r="A1181" t="s">
        <v>11672</v>
      </c>
      <c r="B1181" t="s">
        <v>21425</v>
      </c>
      <c r="C1181" t="s">
        <v>21426</v>
      </c>
      <c r="D1181" s="45" t="str">
        <f t="shared" si="31"/>
        <v>2023.027P.Betaflexiviridae_rename.zip</v>
      </c>
    </row>
    <row r="1182" spans="1:4">
      <c r="A1182" t="s">
        <v>11672</v>
      </c>
      <c r="B1182" t="s">
        <v>21427</v>
      </c>
      <c r="C1182" t="s">
        <v>21428</v>
      </c>
      <c r="D1182" s="45" t="str">
        <f t="shared" si="31"/>
        <v>2023.027P.Betaflexiviridae_rename.zip</v>
      </c>
    </row>
    <row r="1183" spans="1:4">
      <c r="A1183" t="s">
        <v>11672</v>
      </c>
      <c r="B1183" t="s">
        <v>21429</v>
      </c>
      <c r="C1183" t="s">
        <v>21430</v>
      </c>
      <c r="D1183" s="45" t="str">
        <f t="shared" si="31"/>
        <v>2023.027P.Betaflexiviridae_rename.zip</v>
      </c>
    </row>
    <row r="1184" spans="1:4">
      <c r="A1184" t="s">
        <v>11672</v>
      </c>
      <c r="B1184" t="s">
        <v>21431</v>
      </c>
      <c r="C1184" t="s">
        <v>21432</v>
      </c>
      <c r="D1184" s="45" t="str">
        <f t="shared" si="31"/>
        <v>2023.027P.Betaflexiviridae_rename.zip</v>
      </c>
    </row>
    <row r="1185" spans="1:4">
      <c r="A1185" t="s">
        <v>11672</v>
      </c>
      <c r="B1185" t="s">
        <v>21433</v>
      </c>
      <c r="C1185" t="s">
        <v>21434</v>
      </c>
      <c r="D1185" s="45" t="str">
        <f t="shared" si="31"/>
        <v>2023.027P.Betaflexiviridae_rename.zip</v>
      </c>
    </row>
    <row r="1186" spans="1:4">
      <c r="A1186" t="s">
        <v>11672</v>
      </c>
      <c r="B1186" t="s">
        <v>21435</v>
      </c>
      <c r="C1186" t="s">
        <v>21436</v>
      </c>
      <c r="D1186" s="45" t="str">
        <f t="shared" si="31"/>
        <v>2023.027P.Betaflexiviridae_rename.zip</v>
      </c>
    </row>
    <row r="1187" spans="1:4">
      <c r="A1187" t="s">
        <v>11672</v>
      </c>
      <c r="B1187" t="s">
        <v>21437</v>
      </c>
      <c r="C1187" t="s">
        <v>21438</v>
      </c>
      <c r="D1187" s="45" t="str">
        <f t="shared" ref="D1187:D1197" si="32">HYPERLINK("https://ictv.global/ictv/proposals/2023.027P.Betaflexiviridae_rename.zip","2023.027P.Betaflexiviridae_rename.zip")</f>
        <v>2023.027P.Betaflexiviridae_rename.zip</v>
      </c>
    </row>
    <row r="1188" spans="1:4">
      <c r="A1188" t="s">
        <v>11672</v>
      </c>
      <c r="B1188" t="s">
        <v>21439</v>
      </c>
      <c r="C1188" t="s">
        <v>21440</v>
      </c>
      <c r="D1188" s="45" t="str">
        <f t="shared" si="32"/>
        <v>2023.027P.Betaflexiviridae_rename.zip</v>
      </c>
    </row>
    <row r="1189" spans="1:4">
      <c r="A1189" t="s">
        <v>11672</v>
      </c>
      <c r="B1189" t="s">
        <v>21441</v>
      </c>
      <c r="C1189" t="s">
        <v>21442</v>
      </c>
      <c r="D1189" s="45" t="str">
        <f t="shared" si="32"/>
        <v>2023.027P.Betaflexiviridae_rename.zip</v>
      </c>
    </row>
    <row r="1190" spans="1:4">
      <c r="A1190" t="s">
        <v>11672</v>
      </c>
      <c r="B1190" t="s">
        <v>21443</v>
      </c>
      <c r="C1190" t="s">
        <v>21444</v>
      </c>
      <c r="D1190" s="45" t="str">
        <f t="shared" si="32"/>
        <v>2023.027P.Betaflexiviridae_rename.zip</v>
      </c>
    </row>
    <row r="1191" spans="1:4">
      <c r="A1191" t="s">
        <v>11672</v>
      </c>
      <c r="B1191" t="s">
        <v>21445</v>
      </c>
      <c r="C1191" t="s">
        <v>21446</v>
      </c>
      <c r="D1191" s="45" t="str">
        <f t="shared" si="32"/>
        <v>2023.027P.Betaflexiviridae_rename.zip</v>
      </c>
    </row>
    <row r="1192" spans="1:4">
      <c r="A1192" t="s">
        <v>11672</v>
      </c>
      <c r="B1192" t="s">
        <v>21447</v>
      </c>
      <c r="C1192" t="s">
        <v>21448</v>
      </c>
      <c r="D1192" s="45" t="str">
        <f t="shared" si="32"/>
        <v>2023.027P.Betaflexiviridae_rename.zip</v>
      </c>
    </row>
    <row r="1193" spans="1:4">
      <c r="A1193" t="s">
        <v>11672</v>
      </c>
      <c r="B1193" t="s">
        <v>21449</v>
      </c>
      <c r="C1193" t="s">
        <v>21450</v>
      </c>
      <c r="D1193" s="45" t="str">
        <f t="shared" si="32"/>
        <v>2023.027P.Betaflexiviridae_rename.zip</v>
      </c>
    </row>
    <row r="1194" spans="1:4">
      <c r="A1194" t="s">
        <v>11672</v>
      </c>
      <c r="B1194" t="s">
        <v>21451</v>
      </c>
      <c r="C1194" t="s">
        <v>21452</v>
      </c>
      <c r="D1194" s="45" t="str">
        <f t="shared" si="32"/>
        <v>2023.027P.Betaflexiviridae_rename.zip</v>
      </c>
    </row>
    <row r="1195" spans="1:4">
      <c r="A1195" t="s">
        <v>11672</v>
      </c>
      <c r="B1195" t="s">
        <v>21453</v>
      </c>
      <c r="C1195" t="s">
        <v>21454</v>
      </c>
      <c r="D1195" s="45" t="str">
        <f t="shared" si="32"/>
        <v>2023.027P.Betaflexiviridae_rename.zip</v>
      </c>
    </row>
    <row r="1196" spans="1:4">
      <c r="A1196" t="s">
        <v>11672</v>
      </c>
      <c r="B1196" t="s">
        <v>21455</v>
      </c>
      <c r="C1196" t="s">
        <v>21456</v>
      </c>
      <c r="D1196" s="45" t="str">
        <f t="shared" si="32"/>
        <v>2023.027P.Betaflexiviridae_rename.zip</v>
      </c>
    </row>
    <row r="1197" spans="1:4">
      <c r="A1197" t="s">
        <v>11672</v>
      </c>
      <c r="B1197" t="s">
        <v>21457</v>
      </c>
      <c r="C1197" t="s">
        <v>21458</v>
      </c>
      <c r="D1197" s="45" t="str">
        <f t="shared" si="32"/>
        <v>2023.027P.Betaflexiviridae_rename.zip</v>
      </c>
    </row>
    <row r="1198" spans="1:4">
      <c r="A1198" t="s">
        <v>11672</v>
      </c>
      <c r="B1198" t="s">
        <v>21459</v>
      </c>
      <c r="C1198" t="s">
        <v>21460</v>
      </c>
      <c r="D1198" s="45" t="str">
        <f>HYPERLINK("https://ictv.global/ictv/proposals/2023.013F.Deltaflexiviridae_1nsp_spren.zip","2023.013F.Deltaflexiviridae_1nsp_spren.zip")</f>
        <v>2023.013F.Deltaflexiviridae_1nsp_spren.zip</v>
      </c>
    </row>
    <row r="1199" spans="1:4">
      <c r="A1199" t="s">
        <v>11672</v>
      </c>
      <c r="B1199" t="s">
        <v>21461</v>
      </c>
      <c r="C1199" t="s">
        <v>21462</v>
      </c>
      <c r="D1199" s="45" t="str">
        <f>HYPERLINK("https://ictv.global/ictv/proposals/2023.013F.Deltaflexiviridae_1nsp_spren.zip","2023.013F.Deltaflexiviridae_1nsp_spren.zip")</f>
        <v>2023.013F.Deltaflexiviridae_1nsp_spren.zip</v>
      </c>
    </row>
    <row r="1200" spans="1:4">
      <c r="A1200" t="s">
        <v>11672</v>
      </c>
      <c r="B1200" t="s">
        <v>21463</v>
      </c>
      <c r="C1200" t="s">
        <v>21464</v>
      </c>
      <c r="D1200" s="45" t="str">
        <f>HYPERLINK("https://ictv.global/ictv/proposals/2023.013F.Deltaflexiviridae_1nsp_spren.zip","2023.013F.Deltaflexiviridae_1nsp_spren.zip")</f>
        <v>2023.013F.Deltaflexiviridae_1nsp_spren.zip</v>
      </c>
    </row>
    <row r="1201" spans="1:4">
      <c r="A1201" t="s">
        <v>11672</v>
      </c>
      <c r="B1201" t="s">
        <v>21465</v>
      </c>
      <c r="C1201" t="s">
        <v>21466</v>
      </c>
      <c r="D1201" s="45" t="str">
        <f>HYPERLINK("https://ictv.global/ictv/proposals/2023.014F.Gammaflexiviridae_spren.zip","2023.014F.Gammaflexiviridae_spren.zip")</f>
        <v>2023.014F.Gammaflexiviridae_spren.zip</v>
      </c>
    </row>
    <row r="1202" spans="1:4">
      <c r="A1202" t="s">
        <v>11672</v>
      </c>
      <c r="B1202" t="s">
        <v>21467</v>
      </c>
      <c r="C1202" t="s">
        <v>21468</v>
      </c>
      <c r="D1202" s="45" t="str">
        <f>HYPERLINK("https://ictv.global/ictv/proposals/2023.014F.Gammaflexiviridae_spren.zip","2023.014F.Gammaflexiviridae_spren.zip")</f>
        <v>2023.014F.Gammaflexiviridae_spren.zip</v>
      </c>
    </row>
    <row r="1203" spans="1:4">
      <c r="A1203" t="s">
        <v>11672</v>
      </c>
      <c r="B1203" t="s">
        <v>21469</v>
      </c>
      <c r="C1203" t="s">
        <v>21470</v>
      </c>
      <c r="D1203" s="45" t="str">
        <f>HYPERLINK("https://ictv.global/ictv/proposals/2023.014F.Gammaflexiviridae_spren.zip","2023.014F.Gammaflexiviridae_spren.zip")</f>
        <v>2023.014F.Gammaflexiviridae_spren.zip</v>
      </c>
    </row>
    <row r="1204" spans="1:4">
      <c r="A1204" t="s">
        <v>11672</v>
      </c>
      <c r="B1204" t="s">
        <v>21471</v>
      </c>
      <c r="C1204" t="s">
        <v>21472</v>
      </c>
      <c r="D1204" s="45" t="str">
        <f>HYPERLINK("https://ictv.global/ictv/proposals/2023.014F.Gammaflexiviridae_spren.zip","2023.014F.Gammaflexiviridae_spren.zip")</f>
        <v>2023.014F.Gammaflexiviridae_spren.zip</v>
      </c>
    </row>
    <row r="1205" spans="1:4">
      <c r="A1205" t="s">
        <v>11672</v>
      </c>
      <c r="B1205" t="s">
        <v>21473</v>
      </c>
      <c r="C1205" t="s">
        <v>21474</v>
      </c>
      <c r="D1205" s="45" t="str">
        <f t="shared" ref="D1205:D1213" si="33">HYPERLINK("https://ictv.global/ictv/proposals/2023.010S.Nodaviridae_9sprenamed.zip","2023.010S.Nodaviridae_9sprenamed.zip")</f>
        <v>2023.010S.Nodaviridae_9sprenamed.zip</v>
      </c>
    </row>
    <row r="1206" spans="1:4">
      <c r="A1206" t="s">
        <v>11672</v>
      </c>
      <c r="B1206" t="s">
        <v>21475</v>
      </c>
      <c r="C1206" t="s">
        <v>21476</v>
      </c>
      <c r="D1206" s="45" t="str">
        <f t="shared" si="33"/>
        <v>2023.010S.Nodaviridae_9sprenamed.zip</v>
      </c>
    </row>
    <row r="1207" spans="1:4">
      <c r="A1207" t="s">
        <v>11672</v>
      </c>
      <c r="B1207" t="s">
        <v>21477</v>
      </c>
      <c r="C1207" t="s">
        <v>21478</v>
      </c>
      <c r="D1207" s="45" t="str">
        <f t="shared" si="33"/>
        <v>2023.010S.Nodaviridae_9sprenamed.zip</v>
      </c>
    </row>
    <row r="1208" spans="1:4">
      <c r="A1208" t="s">
        <v>11672</v>
      </c>
      <c r="B1208" t="s">
        <v>21479</v>
      </c>
      <c r="C1208" t="s">
        <v>21480</v>
      </c>
      <c r="D1208" s="45" t="str">
        <f t="shared" si="33"/>
        <v>2023.010S.Nodaviridae_9sprenamed.zip</v>
      </c>
    </row>
    <row r="1209" spans="1:4">
      <c r="A1209" t="s">
        <v>11672</v>
      </c>
      <c r="B1209" t="s">
        <v>21481</v>
      </c>
      <c r="C1209" t="s">
        <v>21482</v>
      </c>
      <c r="D1209" s="45" t="str">
        <f t="shared" si="33"/>
        <v>2023.010S.Nodaviridae_9sprenamed.zip</v>
      </c>
    </row>
    <row r="1210" spans="1:4">
      <c r="A1210" t="s">
        <v>11672</v>
      </c>
      <c r="B1210" t="s">
        <v>21483</v>
      </c>
      <c r="C1210" t="s">
        <v>21484</v>
      </c>
      <c r="D1210" s="45" t="str">
        <f t="shared" si="33"/>
        <v>2023.010S.Nodaviridae_9sprenamed.zip</v>
      </c>
    </row>
    <row r="1211" spans="1:4">
      <c r="A1211" t="s">
        <v>11672</v>
      </c>
      <c r="B1211" t="s">
        <v>21485</v>
      </c>
      <c r="C1211" t="s">
        <v>21486</v>
      </c>
      <c r="D1211" s="45" t="str">
        <f t="shared" si="33"/>
        <v>2023.010S.Nodaviridae_9sprenamed.zip</v>
      </c>
    </row>
    <row r="1212" spans="1:4">
      <c r="A1212" t="s">
        <v>11672</v>
      </c>
      <c r="B1212" t="s">
        <v>21487</v>
      </c>
      <c r="C1212" t="s">
        <v>21488</v>
      </c>
      <c r="D1212" s="45" t="str">
        <f t="shared" si="33"/>
        <v>2023.010S.Nodaviridae_9sprenamed.zip</v>
      </c>
    </row>
    <row r="1213" spans="1:4">
      <c r="A1213" t="s">
        <v>11672</v>
      </c>
      <c r="B1213" t="s">
        <v>21489</v>
      </c>
      <c r="C1213" t="s">
        <v>21490</v>
      </c>
      <c r="D1213" s="45" t="str">
        <f t="shared" si="33"/>
        <v>2023.010S.Nodaviridae_9sprenamed.zip</v>
      </c>
    </row>
    <row r="1214" spans="1:4">
      <c r="A1214" t="s">
        <v>11672</v>
      </c>
      <c r="B1214" t="s">
        <v>21491</v>
      </c>
      <c r="C1214" t="s">
        <v>21492</v>
      </c>
      <c r="D1214" s="45" t="str">
        <f>HYPERLINK("https://ictv.global/ictv/proposals/2023.005S.Tetraviridae_13sprenamed.zip","2023.005S.Tetraviridae_13sprenamed.zip")</f>
        <v>2023.005S.Tetraviridae_13sprenamed.zip</v>
      </c>
    </row>
    <row r="1215" spans="1:4">
      <c r="A1215" t="s">
        <v>11672</v>
      </c>
      <c r="B1215" t="s">
        <v>21493</v>
      </c>
      <c r="C1215" t="s">
        <v>21494</v>
      </c>
      <c r="D1215" s="45" t="str">
        <f>HYPERLINK("https://ictv.global/ictv/proposals/2023.019P.Solemoviridae_rename_sp.zip","2023.019P.Solemoviridae_rename_sp.zip")</f>
        <v>2023.019P.Solemoviridae_rename_sp.zip</v>
      </c>
    </row>
    <row r="1216" spans="1:4">
      <c r="A1216" t="s">
        <v>11672</v>
      </c>
      <c r="B1216" t="s">
        <v>21495</v>
      </c>
      <c r="C1216" t="s">
        <v>21496</v>
      </c>
      <c r="D1216" s="45" t="str">
        <f>HYPERLINK("https://ictv.global/ictv/proposals/2023.003F.Narnaviridae_spren.zip","2023.003F.Narnaviridae_spren.zip")</f>
        <v>2023.003F.Narnaviridae_spren.zip</v>
      </c>
    </row>
    <row r="1217" spans="1:4">
      <c r="A1217" t="s">
        <v>11672</v>
      </c>
      <c r="B1217" t="s">
        <v>21497</v>
      </c>
      <c r="C1217" t="s">
        <v>21498</v>
      </c>
      <c r="D1217" s="45" t="str">
        <f>HYPERLINK("https://ictv.global/ictv/proposals/2023.003F.Narnaviridae_spren.zip","2023.003F.Narnaviridae_spren.zip")</f>
        <v>2023.003F.Narnaviridae_spren.zip</v>
      </c>
    </row>
    <row r="1218" spans="1:4">
      <c r="A1218" t="s">
        <v>11672</v>
      </c>
      <c r="B1218" t="s">
        <v>21499</v>
      </c>
      <c r="C1218" t="s">
        <v>21500</v>
      </c>
      <c r="D1218" s="45" t="str">
        <f t="shared" ref="D1218:D1281" si="34">HYPERLINK("https://ictv.global/ictv/proposals/2023.001B.Leviviricetes_reorg.zip","2023.001B.Leviviricetes_reorg.zip")</f>
        <v>2023.001B.Leviviricetes_reorg.zip</v>
      </c>
    </row>
    <row r="1219" spans="1:4">
      <c r="A1219" t="s">
        <v>11672</v>
      </c>
      <c r="B1219" t="s">
        <v>21501</v>
      </c>
      <c r="C1219" t="s">
        <v>21502</v>
      </c>
      <c r="D1219" s="45" t="str">
        <f t="shared" si="34"/>
        <v>2023.001B.Leviviricetes_reorg.zip</v>
      </c>
    </row>
    <row r="1220" spans="1:4">
      <c r="A1220" t="s">
        <v>11672</v>
      </c>
      <c r="B1220" t="s">
        <v>21503</v>
      </c>
      <c r="C1220" t="s">
        <v>21504</v>
      </c>
      <c r="D1220" s="45" t="str">
        <f t="shared" si="34"/>
        <v>2023.001B.Leviviricetes_reorg.zip</v>
      </c>
    </row>
    <row r="1221" spans="1:4">
      <c r="A1221" t="s">
        <v>11672</v>
      </c>
      <c r="B1221" t="s">
        <v>21505</v>
      </c>
      <c r="C1221" t="s">
        <v>21506</v>
      </c>
      <c r="D1221" s="45" t="str">
        <f t="shared" si="34"/>
        <v>2023.001B.Leviviricetes_reorg.zip</v>
      </c>
    </row>
    <row r="1222" spans="1:4">
      <c r="A1222" t="s">
        <v>11672</v>
      </c>
      <c r="B1222" t="s">
        <v>21507</v>
      </c>
      <c r="C1222" t="s">
        <v>21508</v>
      </c>
      <c r="D1222" s="45" t="str">
        <f t="shared" si="34"/>
        <v>2023.001B.Leviviricetes_reorg.zip</v>
      </c>
    </row>
    <row r="1223" spans="1:4">
      <c r="A1223" t="s">
        <v>11672</v>
      </c>
      <c r="B1223" t="s">
        <v>21509</v>
      </c>
      <c r="C1223" t="s">
        <v>21510</v>
      </c>
      <c r="D1223" s="45" t="str">
        <f t="shared" si="34"/>
        <v>2023.001B.Leviviricetes_reorg.zip</v>
      </c>
    </row>
    <row r="1224" spans="1:4">
      <c r="A1224" t="s">
        <v>11672</v>
      </c>
      <c r="B1224" t="s">
        <v>21511</v>
      </c>
      <c r="C1224" t="s">
        <v>21512</v>
      </c>
      <c r="D1224" s="45" t="str">
        <f t="shared" si="34"/>
        <v>2023.001B.Leviviricetes_reorg.zip</v>
      </c>
    </row>
    <row r="1225" spans="1:4">
      <c r="A1225" t="s">
        <v>11672</v>
      </c>
      <c r="B1225" t="s">
        <v>21513</v>
      </c>
      <c r="C1225" t="s">
        <v>21514</v>
      </c>
      <c r="D1225" s="45" t="str">
        <f t="shared" si="34"/>
        <v>2023.001B.Leviviricetes_reorg.zip</v>
      </c>
    </row>
    <row r="1226" spans="1:4">
      <c r="A1226" t="s">
        <v>11672</v>
      </c>
      <c r="B1226" t="s">
        <v>21515</v>
      </c>
      <c r="C1226" t="s">
        <v>21516</v>
      </c>
      <c r="D1226" s="45" t="str">
        <f t="shared" si="34"/>
        <v>2023.001B.Leviviricetes_reorg.zip</v>
      </c>
    </row>
    <row r="1227" spans="1:4">
      <c r="A1227" t="s">
        <v>11672</v>
      </c>
      <c r="B1227" t="s">
        <v>21517</v>
      </c>
      <c r="C1227" t="s">
        <v>21518</v>
      </c>
      <c r="D1227" s="45" t="str">
        <f t="shared" si="34"/>
        <v>2023.001B.Leviviricetes_reorg.zip</v>
      </c>
    </row>
    <row r="1228" spans="1:4">
      <c r="A1228" t="s">
        <v>11672</v>
      </c>
      <c r="B1228" t="s">
        <v>21519</v>
      </c>
      <c r="C1228" t="s">
        <v>21520</v>
      </c>
      <c r="D1228" s="45" t="str">
        <f t="shared" si="34"/>
        <v>2023.001B.Leviviricetes_reorg.zip</v>
      </c>
    </row>
    <row r="1229" spans="1:4">
      <c r="A1229" t="s">
        <v>11672</v>
      </c>
      <c r="B1229" t="s">
        <v>21521</v>
      </c>
      <c r="C1229" t="s">
        <v>21522</v>
      </c>
      <c r="D1229" s="45" t="str">
        <f t="shared" si="34"/>
        <v>2023.001B.Leviviricetes_reorg.zip</v>
      </c>
    </row>
    <row r="1230" spans="1:4">
      <c r="A1230" t="s">
        <v>11672</v>
      </c>
      <c r="B1230" t="s">
        <v>21523</v>
      </c>
      <c r="C1230" t="s">
        <v>21524</v>
      </c>
      <c r="D1230" s="45" t="str">
        <f t="shared" si="34"/>
        <v>2023.001B.Leviviricetes_reorg.zip</v>
      </c>
    </row>
    <row r="1231" spans="1:4">
      <c r="A1231" t="s">
        <v>11672</v>
      </c>
      <c r="B1231" t="s">
        <v>21525</v>
      </c>
      <c r="C1231" t="s">
        <v>21526</v>
      </c>
      <c r="D1231" s="45" t="str">
        <f t="shared" si="34"/>
        <v>2023.001B.Leviviricetes_reorg.zip</v>
      </c>
    </row>
    <row r="1232" spans="1:4">
      <c r="A1232" t="s">
        <v>11672</v>
      </c>
      <c r="B1232" t="s">
        <v>21527</v>
      </c>
      <c r="C1232" t="s">
        <v>21528</v>
      </c>
      <c r="D1232" s="45" t="str">
        <f t="shared" si="34"/>
        <v>2023.001B.Leviviricetes_reorg.zip</v>
      </c>
    </row>
    <row r="1233" spans="1:4">
      <c r="A1233" t="s">
        <v>11672</v>
      </c>
      <c r="B1233" t="s">
        <v>21529</v>
      </c>
      <c r="C1233" t="s">
        <v>21530</v>
      </c>
      <c r="D1233" s="45" t="str">
        <f t="shared" si="34"/>
        <v>2023.001B.Leviviricetes_reorg.zip</v>
      </c>
    </row>
    <row r="1234" spans="1:4">
      <c r="A1234" t="s">
        <v>11672</v>
      </c>
      <c r="B1234" t="s">
        <v>21531</v>
      </c>
      <c r="C1234" t="s">
        <v>21532</v>
      </c>
      <c r="D1234" s="45" t="str">
        <f t="shared" si="34"/>
        <v>2023.001B.Leviviricetes_reorg.zip</v>
      </c>
    </row>
    <row r="1235" spans="1:4">
      <c r="A1235" t="s">
        <v>11672</v>
      </c>
      <c r="B1235" t="s">
        <v>21533</v>
      </c>
      <c r="C1235" t="s">
        <v>21534</v>
      </c>
      <c r="D1235" s="45" t="str">
        <f t="shared" si="34"/>
        <v>2023.001B.Leviviricetes_reorg.zip</v>
      </c>
    </row>
    <row r="1236" spans="1:4">
      <c r="A1236" t="s">
        <v>11672</v>
      </c>
      <c r="B1236" t="s">
        <v>21535</v>
      </c>
      <c r="C1236" t="s">
        <v>21536</v>
      </c>
      <c r="D1236" s="45" t="str">
        <f t="shared" si="34"/>
        <v>2023.001B.Leviviricetes_reorg.zip</v>
      </c>
    </row>
    <row r="1237" spans="1:4">
      <c r="A1237" t="s">
        <v>11672</v>
      </c>
      <c r="B1237" t="s">
        <v>21537</v>
      </c>
      <c r="C1237" t="s">
        <v>21538</v>
      </c>
      <c r="D1237" s="45" t="str">
        <f t="shared" si="34"/>
        <v>2023.001B.Leviviricetes_reorg.zip</v>
      </c>
    </row>
    <row r="1238" spans="1:4">
      <c r="A1238" t="s">
        <v>11672</v>
      </c>
      <c r="B1238" t="s">
        <v>21539</v>
      </c>
      <c r="C1238" t="s">
        <v>21540</v>
      </c>
      <c r="D1238" s="45" t="str">
        <f t="shared" si="34"/>
        <v>2023.001B.Leviviricetes_reorg.zip</v>
      </c>
    </row>
    <row r="1239" spans="1:4">
      <c r="A1239" t="s">
        <v>11672</v>
      </c>
      <c r="B1239" t="s">
        <v>21541</v>
      </c>
      <c r="C1239" t="s">
        <v>21542</v>
      </c>
      <c r="D1239" s="45" t="str">
        <f t="shared" si="34"/>
        <v>2023.001B.Leviviricetes_reorg.zip</v>
      </c>
    </row>
    <row r="1240" spans="1:4">
      <c r="A1240" t="s">
        <v>11672</v>
      </c>
      <c r="B1240" t="s">
        <v>21543</v>
      </c>
      <c r="C1240" t="s">
        <v>21544</v>
      </c>
      <c r="D1240" s="45" t="str">
        <f t="shared" si="34"/>
        <v>2023.001B.Leviviricetes_reorg.zip</v>
      </c>
    </row>
    <row r="1241" spans="1:4">
      <c r="A1241" t="s">
        <v>11672</v>
      </c>
      <c r="B1241" t="s">
        <v>21545</v>
      </c>
      <c r="C1241" t="s">
        <v>21546</v>
      </c>
      <c r="D1241" s="45" t="str">
        <f t="shared" si="34"/>
        <v>2023.001B.Leviviricetes_reorg.zip</v>
      </c>
    </row>
    <row r="1242" spans="1:4">
      <c r="A1242" t="s">
        <v>11672</v>
      </c>
      <c r="B1242" t="s">
        <v>21547</v>
      </c>
      <c r="C1242" t="s">
        <v>21548</v>
      </c>
      <c r="D1242" s="45" t="str">
        <f t="shared" si="34"/>
        <v>2023.001B.Leviviricetes_reorg.zip</v>
      </c>
    </row>
    <row r="1243" spans="1:4">
      <c r="A1243" t="s">
        <v>11672</v>
      </c>
      <c r="B1243" t="s">
        <v>21549</v>
      </c>
      <c r="C1243" t="s">
        <v>21550</v>
      </c>
      <c r="D1243" s="45" t="str">
        <f t="shared" si="34"/>
        <v>2023.001B.Leviviricetes_reorg.zip</v>
      </c>
    </row>
    <row r="1244" spans="1:4">
      <c r="A1244" t="s">
        <v>11672</v>
      </c>
      <c r="B1244" t="s">
        <v>21551</v>
      </c>
      <c r="C1244" t="s">
        <v>21552</v>
      </c>
      <c r="D1244" s="45" t="str">
        <f t="shared" si="34"/>
        <v>2023.001B.Leviviricetes_reorg.zip</v>
      </c>
    </row>
    <row r="1245" spans="1:4">
      <c r="A1245" t="s">
        <v>11672</v>
      </c>
      <c r="B1245" t="s">
        <v>21553</v>
      </c>
      <c r="C1245" t="s">
        <v>21554</v>
      </c>
      <c r="D1245" s="45" t="str">
        <f t="shared" si="34"/>
        <v>2023.001B.Leviviricetes_reorg.zip</v>
      </c>
    </row>
    <row r="1246" spans="1:4">
      <c r="A1246" t="s">
        <v>11672</v>
      </c>
      <c r="B1246" t="s">
        <v>21555</v>
      </c>
      <c r="C1246" t="s">
        <v>21556</v>
      </c>
      <c r="D1246" s="45" t="str">
        <f t="shared" si="34"/>
        <v>2023.001B.Leviviricetes_reorg.zip</v>
      </c>
    </row>
    <row r="1247" spans="1:4">
      <c r="A1247" t="s">
        <v>11672</v>
      </c>
      <c r="B1247" t="s">
        <v>21557</v>
      </c>
      <c r="C1247" t="s">
        <v>21558</v>
      </c>
      <c r="D1247" s="45" t="str">
        <f t="shared" si="34"/>
        <v>2023.001B.Leviviricetes_reorg.zip</v>
      </c>
    </row>
    <row r="1248" spans="1:4">
      <c r="A1248" t="s">
        <v>11672</v>
      </c>
      <c r="B1248" t="s">
        <v>21559</v>
      </c>
      <c r="C1248" t="s">
        <v>21560</v>
      </c>
      <c r="D1248" s="45" t="str">
        <f t="shared" si="34"/>
        <v>2023.001B.Leviviricetes_reorg.zip</v>
      </c>
    </row>
    <row r="1249" spans="1:4">
      <c r="A1249" t="s">
        <v>11672</v>
      </c>
      <c r="B1249" t="s">
        <v>21561</v>
      </c>
      <c r="C1249" t="s">
        <v>21562</v>
      </c>
      <c r="D1249" s="45" t="str">
        <f t="shared" si="34"/>
        <v>2023.001B.Leviviricetes_reorg.zip</v>
      </c>
    </row>
    <row r="1250" spans="1:4">
      <c r="A1250" t="s">
        <v>11672</v>
      </c>
      <c r="B1250" t="s">
        <v>21563</v>
      </c>
      <c r="C1250" t="s">
        <v>21564</v>
      </c>
      <c r="D1250" s="45" t="str">
        <f t="shared" si="34"/>
        <v>2023.001B.Leviviricetes_reorg.zip</v>
      </c>
    </row>
    <row r="1251" spans="1:4">
      <c r="A1251" t="s">
        <v>11672</v>
      </c>
      <c r="B1251" t="s">
        <v>21565</v>
      </c>
      <c r="C1251" t="s">
        <v>21566</v>
      </c>
      <c r="D1251" s="45" t="str">
        <f t="shared" si="34"/>
        <v>2023.001B.Leviviricetes_reorg.zip</v>
      </c>
    </row>
    <row r="1252" spans="1:4">
      <c r="A1252" t="s">
        <v>11672</v>
      </c>
      <c r="B1252" t="s">
        <v>21567</v>
      </c>
      <c r="C1252" t="s">
        <v>21568</v>
      </c>
      <c r="D1252" s="45" t="str">
        <f t="shared" si="34"/>
        <v>2023.001B.Leviviricetes_reorg.zip</v>
      </c>
    </row>
    <row r="1253" spans="1:4">
      <c r="A1253" t="s">
        <v>11672</v>
      </c>
      <c r="B1253" t="s">
        <v>21569</v>
      </c>
      <c r="C1253" t="s">
        <v>21570</v>
      </c>
      <c r="D1253" s="45" t="str">
        <f t="shared" si="34"/>
        <v>2023.001B.Leviviricetes_reorg.zip</v>
      </c>
    </row>
    <row r="1254" spans="1:4">
      <c r="A1254" t="s">
        <v>11672</v>
      </c>
      <c r="B1254" t="s">
        <v>21571</v>
      </c>
      <c r="C1254" t="s">
        <v>21572</v>
      </c>
      <c r="D1254" s="45" t="str">
        <f t="shared" si="34"/>
        <v>2023.001B.Leviviricetes_reorg.zip</v>
      </c>
    </row>
    <row r="1255" spans="1:4">
      <c r="A1255" t="s">
        <v>11672</v>
      </c>
      <c r="B1255" t="s">
        <v>21573</v>
      </c>
      <c r="C1255" t="s">
        <v>21574</v>
      </c>
      <c r="D1255" s="45" t="str">
        <f t="shared" si="34"/>
        <v>2023.001B.Leviviricetes_reorg.zip</v>
      </c>
    </row>
    <row r="1256" spans="1:4">
      <c r="A1256" t="s">
        <v>11672</v>
      </c>
      <c r="B1256" t="s">
        <v>21575</v>
      </c>
      <c r="C1256" t="s">
        <v>21576</v>
      </c>
      <c r="D1256" s="45" t="str">
        <f t="shared" si="34"/>
        <v>2023.001B.Leviviricetes_reorg.zip</v>
      </c>
    </row>
    <row r="1257" spans="1:4">
      <c r="A1257" t="s">
        <v>11672</v>
      </c>
      <c r="B1257" t="s">
        <v>21577</v>
      </c>
      <c r="C1257" t="s">
        <v>21578</v>
      </c>
      <c r="D1257" s="45" t="str">
        <f t="shared" si="34"/>
        <v>2023.001B.Leviviricetes_reorg.zip</v>
      </c>
    </row>
    <row r="1258" spans="1:4">
      <c r="A1258" t="s">
        <v>11672</v>
      </c>
      <c r="B1258" t="s">
        <v>21579</v>
      </c>
      <c r="C1258" t="s">
        <v>21580</v>
      </c>
      <c r="D1258" s="45" t="str">
        <f t="shared" si="34"/>
        <v>2023.001B.Leviviricetes_reorg.zip</v>
      </c>
    </row>
    <row r="1259" spans="1:4">
      <c r="A1259" t="s">
        <v>11672</v>
      </c>
      <c r="B1259" t="s">
        <v>21581</v>
      </c>
      <c r="C1259" t="s">
        <v>21582</v>
      </c>
      <c r="D1259" s="45" t="str">
        <f t="shared" si="34"/>
        <v>2023.001B.Leviviricetes_reorg.zip</v>
      </c>
    </row>
    <row r="1260" spans="1:4">
      <c r="A1260" t="s">
        <v>11672</v>
      </c>
      <c r="B1260" t="s">
        <v>21583</v>
      </c>
      <c r="C1260" t="s">
        <v>21584</v>
      </c>
      <c r="D1260" s="45" t="str">
        <f t="shared" si="34"/>
        <v>2023.001B.Leviviricetes_reorg.zip</v>
      </c>
    </row>
    <row r="1261" spans="1:4">
      <c r="A1261" t="s">
        <v>11672</v>
      </c>
      <c r="B1261" t="s">
        <v>21585</v>
      </c>
      <c r="C1261" t="s">
        <v>21586</v>
      </c>
      <c r="D1261" s="45" t="str">
        <f t="shared" si="34"/>
        <v>2023.001B.Leviviricetes_reorg.zip</v>
      </c>
    </row>
    <row r="1262" spans="1:4">
      <c r="A1262" t="s">
        <v>11672</v>
      </c>
      <c r="B1262" t="s">
        <v>21587</v>
      </c>
      <c r="C1262" t="s">
        <v>21588</v>
      </c>
      <c r="D1262" s="45" t="str">
        <f t="shared" si="34"/>
        <v>2023.001B.Leviviricetes_reorg.zip</v>
      </c>
    </row>
    <row r="1263" spans="1:4">
      <c r="A1263" t="s">
        <v>11672</v>
      </c>
      <c r="B1263" t="s">
        <v>21589</v>
      </c>
      <c r="C1263" t="s">
        <v>21590</v>
      </c>
      <c r="D1263" s="45" t="str">
        <f t="shared" si="34"/>
        <v>2023.001B.Leviviricetes_reorg.zip</v>
      </c>
    </row>
    <row r="1264" spans="1:4">
      <c r="A1264" t="s">
        <v>11672</v>
      </c>
      <c r="B1264" t="s">
        <v>21591</v>
      </c>
      <c r="C1264" t="s">
        <v>21592</v>
      </c>
      <c r="D1264" s="45" t="str">
        <f t="shared" si="34"/>
        <v>2023.001B.Leviviricetes_reorg.zip</v>
      </c>
    </row>
    <row r="1265" spans="1:4">
      <c r="A1265" t="s">
        <v>11672</v>
      </c>
      <c r="B1265" t="s">
        <v>21593</v>
      </c>
      <c r="C1265" t="s">
        <v>21594</v>
      </c>
      <c r="D1265" s="45" t="str">
        <f t="shared" si="34"/>
        <v>2023.001B.Leviviricetes_reorg.zip</v>
      </c>
    </row>
    <row r="1266" spans="1:4">
      <c r="A1266" t="s">
        <v>11672</v>
      </c>
      <c r="B1266" t="s">
        <v>21595</v>
      </c>
      <c r="C1266" t="s">
        <v>21596</v>
      </c>
      <c r="D1266" s="45" t="str">
        <f t="shared" si="34"/>
        <v>2023.001B.Leviviricetes_reorg.zip</v>
      </c>
    </row>
    <row r="1267" spans="1:4">
      <c r="A1267" t="s">
        <v>11672</v>
      </c>
      <c r="B1267" t="s">
        <v>21597</v>
      </c>
      <c r="C1267" t="s">
        <v>21598</v>
      </c>
      <c r="D1267" s="45" t="str">
        <f t="shared" si="34"/>
        <v>2023.001B.Leviviricetes_reorg.zip</v>
      </c>
    </row>
    <row r="1268" spans="1:4">
      <c r="A1268" t="s">
        <v>11672</v>
      </c>
      <c r="B1268" t="s">
        <v>21599</v>
      </c>
      <c r="C1268" t="s">
        <v>21600</v>
      </c>
      <c r="D1268" s="45" t="str">
        <f t="shared" si="34"/>
        <v>2023.001B.Leviviricetes_reorg.zip</v>
      </c>
    </row>
    <row r="1269" spans="1:4">
      <c r="A1269" t="s">
        <v>11672</v>
      </c>
      <c r="B1269" t="s">
        <v>21601</v>
      </c>
      <c r="C1269" t="s">
        <v>21602</v>
      </c>
      <c r="D1269" s="45" t="str">
        <f t="shared" si="34"/>
        <v>2023.001B.Leviviricetes_reorg.zip</v>
      </c>
    </row>
    <row r="1270" spans="1:4">
      <c r="A1270" t="s">
        <v>11672</v>
      </c>
      <c r="B1270" t="s">
        <v>21603</v>
      </c>
      <c r="C1270" t="s">
        <v>21604</v>
      </c>
      <c r="D1270" s="45" t="str">
        <f t="shared" si="34"/>
        <v>2023.001B.Leviviricetes_reorg.zip</v>
      </c>
    </row>
    <row r="1271" spans="1:4">
      <c r="A1271" t="s">
        <v>11672</v>
      </c>
      <c r="B1271" t="s">
        <v>21605</v>
      </c>
      <c r="C1271" t="s">
        <v>21606</v>
      </c>
      <c r="D1271" s="45" t="str">
        <f t="shared" si="34"/>
        <v>2023.001B.Leviviricetes_reorg.zip</v>
      </c>
    </row>
    <row r="1272" spans="1:4">
      <c r="A1272" t="s">
        <v>11672</v>
      </c>
      <c r="B1272" t="s">
        <v>21607</v>
      </c>
      <c r="C1272" t="s">
        <v>21608</v>
      </c>
      <c r="D1272" s="45" t="str">
        <f t="shared" si="34"/>
        <v>2023.001B.Leviviricetes_reorg.zip</v>
      </c>
    </row>
    <row r="1273" spans="1:4">
      <c r="A1273" t="s">
        <v>11672</v>
      </c>
      <c r="B1273" t="s">
        <v>21609</v>
      </c>
      <c r="C1273" t="s">
        <v>21610</v>
      </c>
      <c r="D1273" s="45" t="str">
        <f t="shared" si="34"/>
        <v>2023.001B.Leviviricetes_reorg.zip</v>
      </c>
    </row>
    <row r="1274" spans="1:4">
      <c r="A1274" t="s">
        <v>11672</v>
      </c>
      <c r="B1274" t="s">
        <v>21611</v>
      </c>
      <c r="C1274" t="s">
        <v>21612</v>
      </c>
      <c r="D1274" s="45" t="str">
        <f t="shared" si="34"/>
        <v>2023.001B.Leviviricetes_reorg.zip</v>
      </c>
    </row>
    <row r="1275" spans="1:4">
      <c r="A1275" t="s">
        <v>11672</v>
      </c>
      <c r="B1275" t="s">
        <v>21613</v>
      </c>
      <c r="C1275" t="s">
        <v>21614</v>
      </c>
      <c r="D1275" s="45" t="str">
        <f t="shared" si="34"/>
        <v>2023.001B.Leviviricetes_reorg.zip</v>
      </c>
    </row>
    <row r="1276" spans="1:4">
      <c r="A1276" t="s">
        <v>11672</v>
      </c>
      <c r="B1276" t="s">
        <v>21615</v>
      </c>
      <c r="C1276" t="s">
        <v>21616</v>
      </c>
      <c r="D1276" s="45" t="str">
        <f t="shared" si="34"/>
        <v>2023.001B.Leviviricetes_reorg.zip</v>
      </c>
    </row>
    <row r="1277" spans="1:4">
      <c r="A1277" t="s">
        <v>11672</v>
      </c>
      <c r="B1277" t="s">
        <v>21617</v>
      </c>
      <c r="C1277" t="s">
        <v>21618</v>
      </c>
      <c r="D1277" s="45" t="str">
        <f t="shared" si="34"/>
        <v>2023.001B.Leviviricetes_reorg.zip</v>
      </c>
    </row>
    <row r="1278" spans="1:4">
      <c r="A1278" t="s">
        <v>11672</v>
      </c>
      <c r="B1278" t="s">
        <v>21619</v>
      </c>
      <c r="C1278" t="s">
        <v>21620</v>
      </c>
      <c r="D1278" s="45" t="str">
        <f t="shared" si="34"/>
        <v>2023.001B.Leviviricetes_reorg.zip</v>
      </c>
    </row>
    <row r="1279" spans="1:4">
      <c r="A1279" t="s">
        <v>11672</v>
      </c>
      <c r="B1279" t="s">
        <v>21621</v>
      </c>
      <c r="C1279" t="s">
        <v>21622</v>
      </c>
      <c r="D1279" s="45" t="str">
        <f t="shared" si="34"/>
        <v>2023.001B.Leviviricetes_reorg.zip</v>
      </c>
    </row>
    <row r="1280" spans="1:4">
      <c r="A1280" t="s">
        <v>11672</v>
      </c>
      <c r="B1280" t="s">
        <v>21623</v>
      </c>
      <c r="C1280" t="s">
        <v>21624</v>
      </c>
      <c r="D1280" s="45" t="str">
        <f t="shared" si="34"/>
        <v>2023.001B.Leviviricetes_reorg.zip</v>
      </c>
    </row>
    <row r="1281" spans="1:4">
      <c r="A1281" t="s">
        <v>11672</v>
      </c>
      <c r="B1281" t="s">
        <v>21625</v>
      </c>
      <c r="C1281" t="s">
        <v>21626</v>
      </c>
      <c r="D1281" s="45" t="str">
        <f t="shared" si="34"/>
        <v>2023.001B.Leviviricetes_reorg.zip</v>
      </c>
    </row>
    <row r="1282" spans="1:4">
      <c r="A1282" t="s">
        <v>11672</v>
      </c>
      <c r="B1282" t="s">
        <v>21627</v>
      </c>
      <c r="C1282" t="s">
        <v>21628</v>
      </c>
      <c r="D1282" s="45" t="str">
        <f t="shared" ref="D1282:D1345" si="35">HYPERLINK("https://ictv.global/ictv/proposals/2023.001B.Leviviricetes_reorg.zip","2023.001B.Leviviricetes_reorg.zip")</f>
        <v>2023.001B.Leviviricetes_reorg.zip</v>
      </c>
    </row>
    <row r="1283" spans="1:4">
      <c r="A1283" t="s">
        <v>11672</v>
      </c>
      <c r="B1283" t="s">
        <v>21629</v>
      </c>
      <c r="C1283" t="s">
        <v>21630</v>
      </c>
      <c r="D1283" s="45" t="str">
        <f t="shared" si="35"/>
        <v>2023.001B.Leviviricetes_reorg.zip</v>
      </c>
    </row>
    <row r="1284" spans="1:4">
      <c r="A1284" t="s">
        <v>11672</v>
      </c>
      <c r="B1284" t="s">
        <v>21631</v>
      </c>
      <c r="C1284" t="s">
        <v>21632</v>
      </c>
      <c r="D1284" s="45" t="str">
        <f t="shared" si="35"/>
        <v>2023.001B.Leviviricetes_reorg.zip</v>
      </c>
    </row>
    <row r="1285" spans="1:4">
      <c r="A1285" t="s">
        <v>11672</v>
      </c>
      <c r="B1285" t="s">
        <v>21633</v>
      </c>
      <c r="C1285" t="s">
        <v>21634</v>
      </c>
      <c r="D1285" s="45" t="str">
        <f t="shared" si="35"/>
        <v>2023.001B.Leviviricetes_reorg.zip</v>
      </c>
    </row>
    <row r="1286" spans="1:4">
      <c r="A1286" t="s">
        <v>11672</v>
      </c>
      <c r="B1286" t="s">
        <v>21635</v>
      </c>
      <c r="C1286" t="s">
        <v>21636</v>
      </c>
      <c r="D1286" s="45" t="str">
        <f t="shared" si="35"/>
        <v>2023.001B.Leviviricetes_reorg.zip</v>
      </c>
    </row>
    <row r="1287" spans="1:4">
      <c r="A1287" t="s">
        <v>11672</v>
      </c>
      <c r="B1287" t="s">
        <v>21637</v>
      </c>
      <c r="C1287" t="s">
        <v>21638</v>
      </c>
      <c r="D1287" s="45" t="str">
        <f t="shared" si="35"/>
        <v>2023.001B.Leviviricetes_reorg.zip</v>
      </c>
    </row>
    <row r="1288" spans="1:4">
      <c r="A1288" t="s">
        <v>11672</v>
      </c>
      <c r="B1288" t="s">
        <v>21639</v>
      </c>
      <c r="C1288" t="s">
        <v>21640</v>
      </c>
      <c r="D1288" s="45" t="str">
        <f t="shared" si="35"/>
        <v>2023.001B.Leviviricetes_reorg.zip</v>
      </c>
    </row>
    <row r="1289" spans="1:4">
      <c r="A1289" t="s">
        <v>11672</v>
      </c>
      <c r="B1289" t="s">
        <v>21641</v>
      </c>
      <c r="C1289" t="s">
        <v>21642</v>
      </c>
      <c r="D1289" s="45" t="str">
        <f t="shared" si="35"/>
        <v>2023.001B.Leviviricetes_reorg.zip</v>
      </c>
    </row>
    <row r="1290" spans="1:4">
      <c r="A1290" t="s">
        <v>11672</v>
      </c>
      <c r="B1290" t="s">
        <v>21643</v>
      </c>
      <c r="C1290" t="s">
        <v>21644</v>
      </c>
      <c r="D1290" s="45" t="str">
        <f t="shared" si="35"/>
        <v>2023.001B.Leviviricetes_reorg.zip</v>
      </c>
    </row>
    <row r="1291" spans="1:4">
      <c r="A1291" t="s">
        <v>11672</v>
      </c>
      <c r="B1291" t="s">
        <v>21645</v>
      </c>
      <c r="C1291" t="s">
        <v>21646</v>
      </c>
      <c r="D1291" s="45" t="str">
        <f t="shared" si="35"/>
        <v>2023.001B.Leviviricetes_reorg.zip</v>
      </c>
    </row>
    <row r="1292" spans="1:4">
      <c r="A1292" t="s">
        <v>11672</v>
      </c>
      <c r="B1292" t="s">
        <v>21647</v>
      </c>
      <c r="C1292" t="s">
        <v>21648</v>
      </c>
      <c r="D1292" s="45" t="str">
        <f t="shared" si="35"/>
        <v>2023.001B.Leviviricetes_reorg.zip</v>
      </c>
    </row>
    <row r="1293" spans="1:4">
      <c r="A1293" t="s">
        <v>11672</v>
      </c>
      <c r="B1293" t="s">
        <v>21649</v>
      </c>
      <c r="C1293" t="s">
        <v>21650</v>
      </c>
      <c r="D1293" s="45" t="str">
        <f t="shared" si="35"/>
        <v>2023.001B.Leviviricetes_reorg.zip</v>
      </c>
    </row>
    <row r="1294" spans="1:4">
      <c r="A1294" t="s">
        <v>11672</v>
      </c>
      <c r="B1294" t="s">
        <v>21651</v>
      </c>
      <c r="C1294" t="s">
        <v>21652</v>
      </c>
      <c r="D1294" s="45" t="str">
        <f t="shared" si="35"/>
        <v>2023.001B.Leviviricetes_reorg.zip</v>
      </c>
    </row>
    <row r="1295" spans="1:4">
      <c r="A1295" t="s">
        <v>11672</v>
      </c>
      <c r="B1295" t="s">
        <v>21653</v>
      </c>
      <c r="C1295" t="s">
        <v>21654</v>
      </c>
      <c r="D1295" s="45" t="str">
        <f t="shared" si="35"/>
        <v>2023.001B.Leviviricetes_reorg.zip</v>
      </c>
    </row>
    <row r="1296" spans="1:4">
      <c r="A1296" t="s">
        <v>11672</v>
      </c>
      <c r="B1296" t="s">
        <v>21655</v>
      </c>
      <c r="C1296" t="s">
        <v>21656</v>
      </c>
      <c r="D1296" s="45" t="str">
        <f t="shared" si="35"/>
        <v>2023.001B.Leviviricetes_reorg.zip</v>
      </c>
    </row>
    <row r="1297" spans="1:4">
      <c r="A1297" t="s">
        <v>11672</v>
      </c>
      <c r="B1297" t="s">
        <v>21657</v>
      </c>
      <c r="C1297" t="s">
        <v>21658</v>
      </c>
      <c r="D1297" s="45" t="str">
        <f t="shared" si="35"/>
        <v>2023.001B.Leviviricetes_reorg.zip</v>
      </c>
    </row>
    <row r="1298" spans="1:4">
      <c r="A1298" t="s">
        <v>11672</v>
      </c>
      <c r="B1298" t="s">
        <v>21659</v>
      </c>
      <c r="C1298" t="s">
        <v>21660</v>
      </c>
      <c r="D1298" s="45" t="str">
        <f t="shared" si="35"/>
        <v>2023.001B.Leviviricetes_reorg.zip</v>
      </c>
    </row>
    <row r="1299" spans="1:4">
      <c r="A1299" t="s">
        <v>11672</v>
      </c>
      <c r="B1299" t="s">
        <v>21661</v>
      </c>
      <c r="C1299" t="s">
        <v>21662</v>
      </c>
      <c r="D1299" s="45" t="str">
        <f t="shared" si="35"/>
        <v>2023.001B.Leviviricetes_reorg.zip</v>
      </c>
    </row>
    <row r="1300" spans="1:4">
      <c r="A1300" t="s">
        <v>11672</v>
      </c>
      <c r="B1300" t="s">
        <v>21663</v>
      </c>
      <c r="C1300" t="s">
        <v>21664</v>
      </c>
      <c r="D1300" s="45" t="str">
        <f t="shared" si="35"/>
        <v>2023.001B.Leviviricetes_reorg.zip</v>
      </c>
    </row>
    <row r="1301" spans="1:4">
      <c r="A1301" t="s">
        <v>11672</v>
      </c>
      <c r="B1301" t="s">
        <v>21665</v>
      </c>
      <c r="C1301" t="s">
        <v>21666</v>
      </c>
      <c r="D1301" s="45" t="str">
        <f t="shared" si="35"/>
        <v>2023.001B.Leviviricetes_reorg.zip</v>
      </c>
    </row>
    <row r="1302" spans="1:4">
      <c r="A1302" t="s">
        <v>11672</v>
      </c>
      <c r="B1302" t="s">
        <v>21667</v>
      </c>
      <c r="C1302" t="s">
        <v>21668</v>
      </c>
      <c r="D1302" s="45" t="str">
        <f t="shared" si="35"/>
        <v>2023.001B.Leviviricetes_reorg.zip</v>
      </c>
    </row>
    <row r="1303" spans="1:4">
      <c r="A1303" t="s">
        <v>11672</v>
      </c>
      <c r="B1303" t="s">
        <v>21669</v>
      </c>
      <c r="C1303" t="s">
        <v>21670</v>
      </c>
      <c r="D1303" s="45" t="str">
        <f t="shared" si="35"/>
        <v>2023.001B.Leviviricetes_reorg.zip</v>
      </c>
    </row>
    <row r="1304" spans="1:4">
      <c r="A1304" t="s">
        <v>11672</v>
      </c>
      <c r="B1304" t="s">
        <v>21671</v>
      </c>
      <c r="C1304" t="s">
        <v>21672</v>
      </c>
      <c r="D1304" s="45" t="str">
        <f t="shared" si="35"/>
        <v>2023.001B.Leviviricetes_reorg.zip</v>
      </c>
    </row>
    <row r="1305" spans="1:4">
      <c r="A1305" t="s">
        <v>11672</v>
      </c>
      <c r="B1305" t="s">
        <v>21673</v>
      </c>
      <c r="C1305" t="s">
        <v>21674</v>
      </c>
      <c r="D1305" s="45" t="str">
        <f t="shared" si="35"/>
        <v>2023.001B.Leviviricetes_reorg.zip</v>
      </c>
    </row>
    <row r="1306" spans="1:4">
      <c r="A1306" t="s">
        <v>11672</v>
      </c>
      <c r="B1306" t="s">
        <v>21675</v>
      </c>
      <c r="C1306" t="s">
        <v>21676</v>
      </c>
      <c r="D1306" s="45" t="str">
        <f t="shared" si="35"/>
        <v>2023.001B.Leviviricetes_reorg.zip</v>
      </c>
    </row>
    <row r="1307" spans="1:4">
      <c r="A1307" t="s">
        <v>11672</v>
      </c>
      <c r="B1307" t="s">
        <v>21677</v>
      </c>
      <c r="C1307" t="s">
        <v>21678</v>
      </c>
      <c r="D1307" s="45" t="str">
        <f t="shared" si="35"/>
        <v>2023.001B.Leviviricetes_reorg.zip</v>
      </c>
    </row>
    <row r="1308" spans="1:4">
      <c r="A1308" t="s">
        <v>11672</v>
      </c>
      <c r="B1308" t="s">
        <v>21679</v>
      </c>
      <c r="C1308" t="s">
        <v>21680</v>
      </c>
      <c r="D1308" s="45" t="str">
        <f t="shared" si="35"/>
        <v>2023.001B.Leviviricetes_reorg.zip</v>
      </c>
    </row>
    <row r="1309" spans="1:4">
      <c r="A1309" t="s">
        <v>11672</v>
      </c>
      <c r="B1309" t="s">
        <v>21681</v>
      </c>
      <c r="C1309" t="s">
        <v>21682</v>
      </c>
      <c r="D1309" s="45" t="str">
        <f t="shared" si="35"/>
        <v>2023.001B.Leviviricetes_reorg.zip</v>
      </c>
    </row>
    <row r="1310" spans="1:4">
      <c r="A1310" t="s">
        <v>11672</v>
      </c>
      <c r="B1310" t="s">
        <v>21683</v>
      </c>
      <c r="C1310" t="s">
        <v>21684</v>
      </c>
      <c r="D1310" s="45" t="str">
        <f t="shared" si="35"/>
        <v>2023.001B.Leviviricetes_reorg.zip</v>
      </c>
    </row>
    <row r="1311" spans="1:4">
      <c r="A1311" t="s">
        <v>11672</v>
      </c>
      <c r="B1311" t="s">
        <v>21685</v>
      </c>
      <c r="C1311" t="s">
        <v>21686</v>
      </c>
      <c r="D1311" s="45" t="str">
        <f t="shared" si="35"/>
        <v>2023.001B.Leviviricetes_reorg.zip</v>
      </c>
    </row>
    <row r="1312" spans="1:4">
      <c r="A1312" t="s">
        <v>11672</v>
      </c>
      <c r="B1312" t="s">
        <v>21687</v>
      </c>
      <c r="C1312" t="s">
        <v>21688</v>
      </c>
      <c r="D1312" s="45" t="str">
        <f t="shared" si="35"/>
        <v>2023.001B.Leviviricetes_reorg.zip</v>
      </c>
    </row>
    <row r="1313" spans="1:4">
      <c r="A1313" t="s">
        <v>11672</v>
      </c>
      <c r="B1313" t="s">
        <v>21689</v>
      </c>
      <c r="C1313" t="s">
        <v>21690</v>
      </c>
      <c r="D1313" s="45" t="str">
        <f t="shared" si="35"/>
        <v>2023.001B.Leviviricetes_reorg.zip</v>
      </c>
    </row>
    <row r="1314" spans="1:4">
      <c r="A1314" t="s">
        <v>11672</v>
      </c>
      <c r="B1314" t="s">
        <v>21691</v>
      </c>
      <c r="C1314" t="s">
        <v>21692</v>
      </c>
      <c r="D1314" s="45" t="str">
        <f t="shared" si="35"/>
        <v>2023.001B.Leviviricetes_reorg.zip</v>
      </c>
    </row>
    <row r="1315" spans="1:4">
      <c r="A1315" t="s">
        <v>11672</v>
      </c>
      <c r="B1315" t="s">
        <v>21693</v>
      </c>
      <c r="C1315" t="s">
        <v>21694</v>
      </c>
      <c r="D1315" s="45" t="str">
        <f t="shared" si="35"/>
        <v>2023.001B.Leviviricetes_reorg.zip</v>
      </c>
    </row>
    <row r="1316" spans="1:4">
      <c r="A1316" t="s">
        <v>11672</v>
      </c>
      <c r="B1316" t="s">
        <v>21695</v>
      </c>
      <c r="C1316" t="s">
        <v>21696</v>
      </c>
      <c r="D1316" s="45" t="str">
        <f t="shared" si="35"/>
        <v>2023.001B.Leviviricetes_reorg.zip</v>
      </c>
    </row>
    <row r="1317" spans="1:4">
      <c r="A1317" t="s">
        <v>11672</v>
      </c>
      <c r="B1317" t="s">
        <v>21697</v>
      </c>
      <c r="C1317" t="s">
        <v>21698</v>
      </c>
      <c r="D1317" s="45" t="str">
        <f t="shared" si="35"/>
        <v>2023.001B.Leviviricetes_reorg.zip</v>
      </c>
    </row>
    <row r="1318" spans="1:4">
      <c r="A1318" t="s">
        <v>11672</v>
      </c>
      <c r="B1318" t="s">
        <v>21699</v>
      </c>
      <c r="C1318" t="s">
        <v>21700</v>
      </c>
      <c r="D1318" s="45" t="str">
        <f t="shared" si="35"/>
        <v>2023.001B.Leviviricetes_reorg.zip</v>
      </c>
    </row>
    <row r="1319" spans="1:4">
      <c r="A1319" t="s">
        <v>11672</v>
      </c>
      <c r="B1319" t="s">
        <v>21701</v>
      </c>
      <c r="C1319" t="s">
        <v>21702</v>
      </c>
      <c r="D1319" s="45" t="str">
        <f t="shared" si="35"/>
        <v>2023.001B.Leviviricetes_reorg.zip</v>
      </c>
    </row>
    <row r="1320" spans="1:4">
      <c r="A1320" t="s">
        <v>11672</v>
      </c>
      <c r="B1320" t="s">
        <v>21703</v>
      </c>
      <c r="C1320" t="s">
        <v>21704</v>
      </c>
      <c r="D1320" s="45" t="str">
        <f t="shared" si="35"/>
        <v>2023.001B.Leviviricetes_reorg.zip</v>
      </c>
    </row>
    <row r="1321" spans="1:4">
      <c r="A1321" t="s">
        <v>11672</v>
      </c>
      <c r="B1321" t="s">
        <v>21705</v>
      </c>
      <c r="C1321" t="s">
        <v>21706</v>
      </c>
      <c r="D1321" s="45" t="str">
        <f t="shared" si="35"/>
        <v>2023.001B.Leviviricetes_reorg.zip</v>
      </c>
    </row>
    <row r="1322" spans="1:4">
      <c r="A1322" t="s">
        <v>11672</v>
      </c>
      <c r="B1322" t="s">
        <v>21707</v>
      </c>
      <c r="C1322" t="s">
        <v>21708</v>
      </c>
      <c r="D1322" s="45" t="str">
        <f t="shared" si="35"/>
        <v>2023.001B.Leviviricetes_reorg.zip</v>
      </c>
    </row>
    <row r="1323" spans="1:4">
      <c r="A1323" t="s">
        <v>11672</v>
      </c>
      <c r="B1323" t="s">
        <v>21709</v>
      </c>
      <c r="C1323" t="s">
        <v>21710</v>
      </c>
      <c r="D1323" s="45" t="str">
        <f t="shared" si="35"/>
        <v>2023.001B.Leviviricetes_reorg.zip</v>
      </c>
    </row>
    <row r="1324" spans="1:4">
      <c r="A1324" t="s">
        <v>11672</v>
      </c>
      <c r="B1324" t="s">
        <v>21711</v>
      </c>
      <c r="C1324" t="s">
        <v>21712</v>
      </c>
      <c r="D1324" s="45" t="str">
        <f t="shared" si="35"/>
        <v>2023.001B.Leviviricetes_reorg.zip</v>
      </c>
    </row>
    <row r="1325" spans="1:4">
      <c r="A1325" t="s">
        <v>11672</v>
      </c>
      <c r="B1325" t="s">
        <v>21713</v>
      </c>
      <c r="C1325" t="s">
        <v>21714</v>
      </c>
      <c r="D1325" s="45" t="str">
        <f t="shared" si="35"/>
        <v>2023.001B.Leviviricetes_reorg.zip</v>
      </c>
    </row>
    <row r="1326" spans="1:4">
      <c r="A1326" t="s">
        <v>11672</v>
      </c>
      <c r="B1326" t="s">
        <v>21715</v>
      </c>
      <c r="C1326" t="s">
        <v>21716</v>
      </c>
      <c r="D1326" s="45" t="str">
        <f t="shared" si="35"/>
        <v>2023.001B.Leviviricetes_reorg.zip</v>
      </c>
    </row>
    <row r="1327" spans="1:4">
      <c r="A1327" t="s">
        <v>11672</v>
      </c>
      <c r="B1327" t="s">
        <v>21717</v>
      </c>
      <c r="C1327" t="s">
        <v>21718</v>
      </c>
      <c r="D1327" s="45" t="str">
        <f t="shared" si="35"/>
        <v>2023.001B.Leviviricetes_reorg.zip</v>
      </c>
    </row>
    <row r="1328" spans="1:4">
      <c r="A1328" t="s">
        <v>11672</v>
      </c>
      <c r="B1328" t="s">
        <v>21719</v>
      </c>
      <c r="C1328" t="s">
        <v>21720</v>
      </c>
      <c r="D1328" s="45" t="str">
        <f t="shared" si="35"/>
        <v>2023.001B.Leviviricetes_reorg.zip</v>
      </c>
    </row>
    <row r="1329" spans="1:4">
      <c r="A1329" t="s">
        <v>11672</v>
      </c>
      <c r="B1329" t="s">
        <v>21721</v>
      </c>
      <c r="C1329" t="s">
        <v>21722</v>
      </c>
      <c r="D1329" s="45" t="str">
        <f t="shared" si="35"/>
        <v>2023.001B.Leviviricetes_reorg.zip</v>
      </c>
    </row>
    <row r="1330" spans="1:4">
      <c r="A1330" t="s">
        <v>11672</v>
      </c>
      <c r="B1330" t="s">
        <v>21723</v>
      </c>
      <c r="C1330" t="s">
        <v>21724</v>
      </c>
      <c r="D1330" s="45" t="str">
        <f t="shared" si="35"/>
        <v>2023.001B.Leviviricetes_reorg.zip</v>
      </c>
    </row>
    <row r="1331" spans="1:4">
      <c r="A1331" t="s">
        <v>11672</v>
      </c>
      <c r="B1331" t="s">
        <v>21725</v>
      </c>
      <c r="C1331" t="s">
        <v>21726</v>
      </c>
      <c r="D1331" s="45" t="str">
        <f t="shared" si="35"/>
        <v>2023.001B.Leviviricetes_reorg.zip</v>
      </c>
    </row>
    <row r="1332" spans="1:4">
      <c r="A1332" t="s">
        <v>11672</v>
      </c>
      <c r="B1332" t="s">
        <v>21727</v>
      </c>
      <c r="C1332" t="s">
        <v>21728</v>
      </c>
      <c r="D1332" s="45" t="str">
        <f t="shared" si="35"/>
        <v>2023.001B.Leviviricetes_reorg.zip</v>
      </c>
    </row>
    <row r="1333" spans="1:4">
      <c r="A1333" t="s">
        <v>11672</v>
      </c>
      <c r="B1333" t="s">
        <v>21729</v>
      </c>
      <c r="C1333" t="s">
        <v>21730</v>
      </c>
      <c r="D1333" s="45" t="str">
        <f t="shared" si="35"/>
        <v>2023.001B.Leviviricetes_reorg.zip</v>
      </c>
    </row>
    <row r="1334" spans="1:4">
      <c r="A1334" t="s">
        <v>11672</v>
      </c>
      <c r="B1334" t="s">
        <v>21731</v>
      </c>
      <c r="C1334" t="s">
        <v>21732</v>
      </c>
      <c r="D1334" s="45" t="str">
        <f t="shared" si="35"/>
        <v>2023.001B.Leviviricetes_reorg.zip</v>
      </c>
    </row>
    <row r="1335" spans="1:4">
      <c r="A1335" t="s">
        <v>11672</v>
      </c>
      <c r="B1335" t="s">
        <v>21733</v>
      </c>
      <c r="C1335" t="s">
        <v>21734</v>
      </c>
      <c r="D1335" s="45" t="str">
        <f t="shared" si="35"/>
        <v>2023.001B.Leviviricetes_reorg.zip</v>
      </c>
    </row>
    <row r="1336" spans="1:4">
      <c r="A1336" t="s">
        <v>11672</v>
      </c>
      <c r="B1336" t="s">
        <v>21735</v>
      </c>
      <c r="C1336" t="s">
        <v>21736</v>
      </c>
      <c r="D1336" s="45" t="str">
        <f t="shared" si="35"/>
        <v>2023.001B.Leviviricetes_reorg.zip</v>
      </c>
    </row>
    <row r="1337" spans="1:4">
      <c r="A1337" t="s">
        <v>11672</v>
      </c>
      <c r="B1337" t="s">
        <v>21737</v>
      </c>
      <c r="C1337" t="s">
        <v>21738</v>
      </c>
      <c r="D1337" s="45" t="str">
        <f t="shared" si="35"/>
        <v>2023.001B.Leviviricetes_reorg.zip</v>
      </c>
    </row>
    <row r="1338" spans="1:4">
      <c r="A1338" t="s">
        <v>11672</v>
      </c>
      <c r="B1338" t="s">
        <v>21739</v>
      </c>
      <c r="C1338" t="s">
        <v>21740</v>
      </c>
      <c r="D1338" s="45" t="str">
        <f t="shared" si="35"/>
        <v>2023.001B.Leviviricetes_reorg.zip</v>
      </c>
    </row>
    <row r="1339" spans="1:4">
      <c r="A1339" t="s">
        <v>11672</v>
      </c>
      <c r="B1339" t="s">
        <v>21741</v>
      </c>
      <c r="C1339" t="s">
        <v>21742</v>
      </c>
      <c r="D1339" s="45" t="str">
        <f t="shared" si="35"/>
        <v>2023.001B.Leviviricetes_reorg.zip</v>
      </c>
    </row>
    <row r="1340" spans="1:4">
      <c r="A1340" t="s">
        <v>11672</v>
      </c>
      <c r="B1340" t="s">
        <v>21743</v>
      </c>
      <c r="C1340" t="s">
        <v>21744</v>
      </c>
      <c r="D1340" s="45" t="str">
        <f t="shared" si="35"/>
        <v>2023.001B.Leviviricetes_reorg.zip</v>
      </c>
    </row>
    <row r="1341" spans="1:4">
      <c r="A1341" t="s">
        <v>11672</v>
      </c>
      <c r="B1341" t="s">
        <v>21745</v>
      </c>
      <c r="C1341" t="s">
        <v>21746</v>
      </c>
      <c r="D1341" s="45" t="str">
        <f t="shared" si="35"/>
        <v>2023.001B.Leviviricetes_reorg.zip</v>
      </c>
    </row>
    <row r="1342" spans="1:4">
      <c r="A1342" t="s">
        <v>11672</v>
      </c>
      <c r="B1342" t="s">
        <v>21747</v>
      </c>
      <c r="C1342" t="s">
        <v>21748</v>
      </c>
      <c r="D1342" s="45" t="str">
        <f t="shared" si="35"/>
        <v>2023.001B.Leviviricetes_reorg.zip</v>
      </c>
    </row>
    <row r="1343" spans="1:4">
      <c r="A1343" t="s">
        <v>11672</v>
      </c>
      <c r="B1343" t="s">
        <v>21749</v>
      </c>
      <c r="C1343" t="s">
        <v>21750</v>
      </c>
      <c r="D1343" s="45" t="str">
        <f t="shared" si="35"/>
        <v>2023.001B.Leviviricetes_reorg.zip</v>
      </c>
    </row>
    <row r="1344" spans="1:4">
      <c r="A1344" t="s">
        <v>11672</v>
      </c>
      <c r="B1344" t="s">
        <v>21751</v>
      </c>
      <c r="C1344" t="s">
        <v>21752</v>
      </c>
      <c r="D1344" s="45" t="str">
        <f t="shared" si="35"/>
        <v>2023.001B.Leviviricetes_reorg.zip</v>
      </c>
    </row>
    <row r="1345" spans="1:4">
      <c r="A1345" t="s">
        <v>11672</v>
      </c>
      <c r="B1345" t="s">
        <v>21753</v>
      </c>
      <c r="C1345" t="s">
        <v>21754</v>
      </c>
      <c r="D1345" s="45" t="str">
        <f t="shared" si="35"/>
        <v>2023.001B.Leviviricetes_reorg.zip</v>
      </c>
    </row>
    <row r="1346" spans="1:4">
      <c r="A1346" t="s">
        <v>11672</v>
      </c>
      <c r="B1346" t="s">
        <v>21755</v>
      </c>
      <c r="C1346" t="s">
        <v>21756</v>
      </c>
      <c r="D1346" s="45" t="str">
        <f t="shared" ref="D1346:D1409" si="36">HYPERLINK("https://ictv.global/ictv/proposals/2023.001B.Leviviricetes_reorg.zip","2023.001B.Leviviricetes_reorg.zip")</f>
        <v>2023.001B.Leviviricetes_reorg.zip</v>
      </c>
    </row>
    <row r="1347" spans="1:4">
      <c r="A1347" t="s">
        <v>11672</v>
      </c>
      <c r="B1347" t="s">
        <v>21757</v>
      </c>
      <c r="C1347" t="s">
        <v>21758</v>
      </c>
      <c r="D1347" s="45" t="str">
        <f t="shared" si="36"/>
        <v>2023.001B.Leviviricetes_reorg.zip</v>
      </c>
    </row>
    <row r="1348" spans="1:4">
      <c r="A1348" t="s">
        <v>11672</v>
      </c>
      <c r="B1348" t="s">
        <v>21759</v>
      </c>
      <c r="C1348" t="s">
        <v>21760</v>
      </c>
      <c r="D1348" s="45" t="str">
        <f t="shared" si="36"/>
        <v>2023.001B.Leviviricetes_reorg.zip</v>
      </c>
    </row>
    <row r="1349" spans="1:4">
      <c r="A1349" t="s">
        <v>11672</v>
      </c>
      <c r="B1349" t="s">
        <v>21761</v>
      </c>
      <c r="C1349" t="s">
        <v>21762</v>
      </c>
      <c r="D1349" s="45" t="str">
        <f t="shared" si="36"/>
        <v>2023.001B.Leviviricetes_reorg.zip</v>
      </c>
    </row>
    <row r="1350" spans="1:4">
      <c r="A1350" t="s">
        <v>11672</v>
      </c>
      <c r="B1350" t="s">
        <v>21763</v>
      </c>
      <c r="C1350" t="s">
        <v>21764</v>
      </c>
      <c r="D1350" s="45" t="str">
        <f t="shared" si="36"/>
        <v>2023.001B.Leviviricetes_reorg.zip</v>
      </c>
    </row>
    <row r="1351" spans="1:4">
      <c r="A1351" t="s">
        <v>11672</v>
      </c>
      <c r="B1351" t="s">
        <v>21765</v>
      </c>
      <c r="C1351" t="s">
        <v>21766</v>
      </c>
      <c r="D1351" s="45" t="str">
        <f t="shared" si="36"/>
        <v>2023.001B.Leviviricetes_reorg.zip</v>
      </c>
    </row>
    <row r="1352" spans="1:4">
      <c r="A1352" t="s">
        <v>11672</v>
      </c>
      <c r="B1352" t="s">
        <v>21767</v>
      </c>
      <c r="C1352" t="s">
        <v>21768</v>
      </c>
      <c r="D1352" s="45" t="str">
        <f t="shared" si="36"/>
        <v>2023.001B.Leviviricetes_reorg.zip</v>
      </c>
    </row>
    <row r="1353" spans="1:4">
      <c r="A1353" t="s">
        <v>11672</v>
      </c>
      <c r="B1353" t="s">
        <v>21769</v>
      </c>
      <c r="C1353" t="s">
        <v>21770</v>
      </c>
      <c r="D1353" s="45" t="str">
        <f t="shared" si="36"/>
        <v>2023.001B.Leviviricetes_reorg.zip</v>
      </c>
    </row>
    <row r="1354" spans="1:4">
      <c r="A1354" t="s">
        <v>11672</v>
      </c>
      <c r="B1354" t="s">
        <v>21771</v>
      </c>
      <c r="C1354" t="s">
        <v>21772</v>
      </c>
      <c r="D1354" s="45" t="str">
        <f t="shared" si="36"/>
        <v>2023.001B.Leviviricetes_reorg.zip</v>
      </c>
    </row>
    <row r="1355" spans="1:4">
      <c r="A1355" t="s">
        <v>11672</v>
      </c>
      <c r="B1355" t="s">
        <v>21773</v>
      </c>
      <c r="C1355" t="s">
        <v>21774</v>
      </c>
      <c r="D1355" s="45" t="str">
        <f t="shared" si="36"/>
        <v>2023.001B.Leviviricetes_reorg.zip</v>
      </c>
    </row>
    <row r="1356" spans="1:4">
      <c r="A1356" t="s">
        <v>11672</v>
      </c>
      <c r="B1356" t="s">
        <v>21775</v>
      </c>
      <c r="C1356" t="s">
        <v>21776</v>
      </c>
      <c r="D1356" s="45" t="str">
        <f t="shared" si="36"/>
        <v>2023.001B.Leviviricetes_reorg.zip</v>
      </c>
    </row>
    <row r="1357" spans="1:4">
      <c r="A1357" t="s">
        <v>11672</v>
      </c>
      <c r="B1357" t="s">
        <v>21777</v>
      </c>
      <c r="C1357" t="s">
        <v>21778</v>
      </c>
      <c r="D1357" s="45" t="str">
        <f t="shared" si="36"/>
        <v>2023.001B.Leviviricetes_reorg.zip</v>
      </c>
    </row>
    <row r="1358" spans="1:4">
      <c r="A1358" t="s">
        <v>11672</v>
      </c>
      <c r="B1358" t="s">
        <v>21779</v>
      </c>
      <c r="C1358" t="s">
        <v>21780</v>
      </c>
      <c r="D1358" s="45" t="str">
        <f t="shared" si="36"/>
        <v>2023.001B.Leviviricetes_reorg.zip</v>
      </c>
    </row>
    <row r="1359" spans="1:4">
      <c r="A1359" t="s">
        <v>11672</v>
      </c>
      <c r="B1359" t="s">
        <v>21781</v>
      </c>
      <c r="C1359" t="s">
        <v>21782</v>
      </c>
      <c r="D1359" s="45" t="str">
        <f t="shared" si="36"/>
        <v>2023.001B.Leviviricetes_reorg.zip</v>
      </c>
    </row>
    <row r="1360" spans="1:4">
      <c r="A1360" t="s">
        <v>11672</v>
      </c>
      <c r="B1360" t="s">
        <v>21783</v>
      </c>
      <c r="C1360" t="s">
        <v>21784</v>
      </c>
      <c r="D1360" s="45" t="str">
        <f t="shared" si="36"/>
        <v>2023.001B.Leviviricetes_reorg.zip</v>
      </c>
    </row>
    <row r="1361" spans="1:4">
      <c r="A1361" t="s">
        <v>11672</v>
      </c>
      <c r="B1361" t="s">
        <v>21785</v>
      </c>
      <c r="C1361" t="s">
        <v>21786</v>
      </c>
      <c r="D1361" s="45" t="str">
        <f t="shared" si="36"/>
        <v>2023.001B.Leviviricetes_reorg.zip</v>
      </c>
    </row>
    <row r="1362" spans="1:4">
      <c r="A1362" t="s">
        <v>11672</v>
      </c>
      <c r="B1362" t="s">
        <v>21787</v>
      </c>
      <c r="C1362" t="s">
        <v>21788</v>
      </c>
      <c r="D1362" s="45" t="str">
        <f t="shared" si="36"/>
        <v>2023.001B.Leviviricetes_reorg.zip</v>
      </c>
    </row>
    <row r="1363" spans="1:4">
      <c r="A1363" t="s">
        <v>11672</v>
      </c>
      <c r="B1363" t="s">
        <v>21789</v>
      </c>
      <c r="C1363" t="s">
        <v>21790</v>
      </c>
      <c r="D1363" s="45" t="str">
        <f t="shared" si="36"/>
        <v>2023.001B.Leviviricetes_reorg.zip</v>
      </c>
    </row>
    <row r="1364" spans="1:4">
      <c r="A1364" t="s">
        <v>11672</v>
      </c>
      <c r="B1364" t="s">
        <v>21791</v>
      </c>
      <c r="C1364" t="s">
        <v>21792</v>
      </c>
      <c r="D1364" s="45" t="str">
        <f t="shared" si="36"/>
        <v>2023.001B.Leviviricetes_reorg.zip</v>
      </c>
    </row>
    <row r="1365" spans="1:4">
      <c r="A1365" t="s">
        <v>11672</v>
      </c>
      <c r="B1365" t="s">
        <v>21793</v>
      </c>
      <c r="C1365" t="s">
        <v>21794</v>
      </c>
      <c r="D1365" s="45" t="str">
        <f t="shared" si="36"/>
        <v>2023.001B.Leviviricetes_reorg.zip</v>
      </c>
    </row>
    <row r="1366" spans="1:4">
      <c r="A1366" t="s">
        <v>11672</v>
      </c>
      <c r="B1366" t="s">
        <v>21795</v>
      </c>
      <c r="C1366" t="s">
        <v>21796</v>
      </c>
      <c r="D1366" s="45" t="str">
        <f t="shared" si="36"/>
        <v>2023.001B.Leviviricetes_reorg.zip</v>
      </c>
    </row>
    <row r="1367" spans="1:4">
      <c r="A1367" t="s">
        <v>11672</v>
      </c>
      <c r="B1367" t="s">
        <v>21797</v>
      </c>
      <c r="C1367" t="s">
        <v>21798</v>
      </c>
      <c r="D1367" s="45" t="str">
        <f t="shared" si="36"/>
        <v>2023.001B.Leviviricetes_reorg.zip</v>
      </c>
    </row>
    <row r="1368" spans="1:4">
      <c r="A1368" t="s">
        <v>11672</v>
      </c>
      <c r="B1368" t="s">
        <v>21799</v>
      </c>
      <c r="C1368" t="s">
        <v>21800</v>
      </c>
      <c r="D1368" s="45" t="str">
        <f t="shared" si="36"/>
        <v>2023.001B.Leviviricetes_reorg.zip</v>
      </c>
    </row>
    <row r="1369" spans="1:4">
      <c r="A1369" t="s">
        <v>11672</v>
      </c>
      <c r="B1369" t="s">
        <v>21801</v>
      </c>
      <c r="C1369" t="s">
        <v>21802</v>
      </c>
      <c r="D1369" s="45" t="str">
        <f t="shared" si="36"/>
        <v>2023.001B.Leviviricetes_reorg.zip</v>
      </c>
    </row>
    <row r="1370" spans="1:4">
      <c r="A1370" t="s">
        <v>11672</v>
      </c>
      <c r="B1370" t="s">
        <v>21803</v>
      </c>
      <c r="C1370" t="s">
        <v>21804</v>
      </c>
      <c r="D1370" s="45" t="str">
        <f t="shared" si="36"/>
        <v>2023.001B.Leviviricetes_reorg.zip</v>
      </c>
    </row>
    <row r="1371" spans="1:4">
      <c r="A1371" t="s">
        <v>11672</v>
      </c>
      <c r="B1371" t="s">
        <v>21805</v>
      </c>
      <c r="C1371" t="s">
        <v>21806</v>
      </c>
      <c r="D1371" s="45" t="str">
        <f t="shared" si="36"/>
        <v>2023.001B.Leviviricetes_reorg.zip</v>
      </c>
    </row>
    <row r="1372" spans="1:4">
      <c r="A1372" t="s">
        <v>11672</v>
      </c>
      <c r="B1372" t="s">
        <v>21807</v>
      </c>
      <c r="C1372" t="s">
        <v>21808</v>
      </c>
      <c r="D1372" s="45" t="str">
        <f t="shared" si="36"/>
        <v>2023.001B.Leviviricetes_reorg.zip</v>
      </c>
    </row>
    <row r="1373" spans="1:4">
      <c r="A1373" t="s">
        <v>11672</v>
      </c>
      <c r="B1373" t="s">
        <v>21809</v>
      </c>
      <c r="C1373" t="s">
        <v>21810</v>
      </c>
      <c r="D1373" s="45" t="str">
        <f t="shared" si="36"/>
        <v>2023.001B.Leviviricetes_reorg.zip</v>
      </c>
    </row>
    <row r="1374" spans="1:4">
      <c r="A1374" t="s">
        <v>11672</v>
      </c>
      <c r="B1374" t="s">
        <v>21811</v>
      </c>
      <c r="C1374" t="s">
        <v>21812</v>
      </c>
      <c r="D1374" s="45" t="str">
        <f t="shared" si="36"/>
        <v>2023.001B.Leviviricetes_reorg.zip</v>
      </c>
    </row>
    <row r="1375" spans="1:4">
      <c r="A1375" t="s">
        <v>11672</v>
      </c>
      <c r="B1375" t="s">
        <v>21813</v>
      </c>
      <c r="C1375" t="s">
        <v>21814</v>
      </c>
      <c r="D1375" s="45" t="str">
        <f t="shared" si="36"/>
        <v>2023.001B.Leviviricetes_reorg.zip</v>
      </c>
    </row>
    <row r="1376" spans="1:4">
      <c r="A1376" t="s">
        <v>11672</v>
      </c>
      <c r="B1376" t="s">
        <v>21815</v>
      </c>
      <c r="C1376" t="s">
        <v>21816</v>
      </c>
      <c r="D1376" s="45" t="str">
        <f t="shared" si="36"/>
        <v>2023.001B.Leviviricetes_reorg.zip</v>
      </c>
    </row>
    <row r="1377" spans="1:4">
      <c r="A1377" t="s">
        <v>11672</v>
      </c>
      <c r="B1377" t="s">
        <v>21817</v>
      </c>
      <c r="C1377" t="s">
        <v>21818</v>
      </c>
      <c r="D1377" s="45" t="str">
        <f t="shared" si="36"/>
        <v>2023.001B.Leviviricetes_reorg.zip</v>
      </c>
    </row>
    <row r="1378" spans="1:4">
      <c r="A1378" t="s">
        <v>11672</v>
      </c>
      <c r="B1378" t="s">
        <v>21819</v>
      </c>
      <c r="C1378" t="s">
        <v>21820</v>
      </c>
      <c r="D1378" s="45" t="str">
        <f t="shared" si="36"/>
        <v>2023.001B.Leviviricetes_reorg.zip</v>
      </c>
    </row>
    <row r="1379" spans="1:4">
      <c r="A1379" t="s">
        <v>11672</v>
      </c>
      <c r="B1379" t="s">
        <v>21821</v>
      </c>
      <c r="C1379" t="s">
        <v>21822</v>
      </c>
      <c r="D1379" s="45" t="str">
        <f t="shared" si="36"/>
        <v>2023.001B.Leviviricetes_reorg.zip</v>
      </c>
    </row>
    <row r="1380" spans="1:4">
      <c r="A1380" t="s">
        <v>11672</v>
      </c>
      <c r="B1380" t="s">
        <v>21823</v>
      </c>
      <c r="C1380" t="s">
        <v>21824</v>
      </c>
      <c r="D1380" s="45" t="str">
        <f t="shared" si="36"/>
        <v>2023.001B.Leviviricetes_reorg.zip</v>
      </c>
    </row>
    <row r="1381" spans="1:4">
      <c r="A1381" t="s">
        <v>11672</v>
      </c>
      <c r="B1381" t="s">
        <v>21825</v>
      </c>
      <c r="C1381" t="s">
        <v>21826</v>
      </c>
      <c r="D1381" s="45" t="str">
        <f t="shared" si="36"/>
        <v>2023.001B.Leviviricetes_reorg.zip</v>
      </c>
    </row>
    <row r="1382" spans="1:4">
      <c r="A1382" t="s">
        <v>11672</v>
      </c>
      <c r="B1382" t="s">
        <v>21827</v>
      </c>
      <c r="C1382" t="s">
        <v>21828</v>
      </c>
      <c r="D1382" s="45" t="str">
        <f t="shared" si="36"/>
        <v>2023.001B.Leviviricetes_reorg.zip</v>
      </c>
    </row>
    <row r="1383" spans="1:4">
      <c r="A1383" t="s">
        <v>11672</v>
      </c>
      <c r="B1383" t="s">
        <v>21829</v>
      </c>
      <c r="C1383" t="s">
        <v>21830</v>
      </c>
      <c r="D1383" s="45" t="str">
        <f t="shared" si="36"/>
        <v>2023.001B.Leviviricetes_reorg.zip</v>
      </c>
    </row>
    <row r="1384" spans="1:4">
      <c r="A1384" t="s">
        <v>11672</v>
      </c>
      <c r="B1384" t="s">
        <v>21831</v>
      </c>
      <c r="C1384" t="s">
        <v>21832</v>
      </c>
      <c r="D1384" s="45" t="str">
        <f t="shared" si="36"/>
        <v>2023.001B.Leviviricetes_reorg.zip</v>
      </c>
    </row>
    <row r="1385" spans="1:4">
      <c r="A1385" t="s">
        <v>11672</v>
      </c>
      <c r="B1385" t="s">
        <v>21833</v>
      </c>
      <c r="C1385" t="s">
        <v>21834</v>
      </c>
      <c r="D1385" s="45" t="str">
        <f t="shared" si="36"/>
        <v>2023.001B.Leviviricetes_reorg.zip</v>
      </c>
    </row>
    <row r="1386" spans="1:4">
      <c r="A1386" t="s">
        <v>11672</v>
      </c>
      <c r="B1386" t="s">
        <v>21835</v>
      </c>
      <c r="C1386" t="s">
        <v>21836</v>
      </c>
      <c r="D1386" s="45" t="str">
        <f t="shared" si="36"/>
        <v>2023.001B.Leviviricetes_reorg.zip</v>
      </c>
    </row>
    <row r="1387" spans="1:4">
      <c r="A1387" t="s">
        <v>11672</v>
      </c>
      <c r="B1387" t="s">
        <v>21837</v>
      </c>
      <c r="C1387" t="s">
        <v>21838</v>
      </c>
      <c r="D1387" s="45" t="str">
        <f t="shared" si="36"/>
        <v>2023.001B.Leviviricetes_reorg.zip</v>
      </c>
    </row>
    <row r="1388" spans="1:4">
      <c r="A1388" t="s">
        <v>11672</v>
      </c>
      <c r="B1388" t="s">
        <v>21839</v>
      </c>
      <c r="C1388" t="s">
        <v>21840</v>
      </c>
      <c r="D1388" s="45" t="str">
        <f t="shared" si="36"/>
        <v>2023.001B.Leviviricetes_reorg.zip</v>
      </c>
    </row>
    <row r="1389" spans="1:4">
      <c r="A1389" t="s">
        <v>11672</v>
      </c>
      <c r="B1389" t="s">
        <v>21841</v>
      </c>
      <c r="C1389" t="s">
        <v>21842</v>
      </c>
      <c r="D1389" s="45" t="str">
        <f t="shared" si="36"/>
        <v>2023.001B.Leviviricetes_reorg.zip</v>
      </c>
    </row>
    <row r="1390" spans="1:4">
      <c r="A1390" t="s">
        <v>11672</v>
      </c>
      <c r="B1390" t="s">
        <v>21843</v>
      </c>
      <c r="C1390" t="s">
        <v>21844</v>
      </c>
      <c r="D1390" s="45" t="str">
        <f t="shared" si="36"/>
        <v>2023.001B.Leviviricetes_reorg.zip</v>
      </c>
    </row>
    <row r="1391" spans="1:4">
      <c r="A1391" t="s">
        <v>11672</v>
      </c>
      <c r="B1391" t="s">
        <v>21845</v>
      </c>
      <c r="C1391" t="s">
        <v>21846</v>
      </c>
      <c r="D1391" s="45" t="str">
        <f t="shared" si="36"/>
        <v>2023.001B.Leviviricetes_reorg.zip</v>
      </c>
    </row>
    <row r="1392" spans="1:4">
      <c r="A1392" t="s">
        <v>11672</v>
      </c>
      <c r="B1392" t="s">
        <v>21847</v>
      </c>
      <c r="C1392" t="s">
        <v>21848</v>
      </c>
      <c r="D1392" s="45" t="str">
        <f t="shared" si="36"/>
        <v>2023.001B.Leviviricetes_reorg.zip</v>
      </c>
    </row>
    <row r="1393" spans="1:4">
      <c r="A1393" t="s">
        <v>11672</v>
      </c>
      <c r="B1393" t="s">
        <v>21849</v>
      </c>
      <c r="C1393" t="s">
        <v>21850</v>
      </c>
      <c r="D1393" s="45" t="str">
        <f t="shared" si="36"/>
        <v>2023.001B.Leviviricetes_reorg.zip</v>
      </c>
    </row>
    <row r="1394" spans="1:4">
      <c r="A1394" t="s">
        <v>11672</v>
      </c>
      <c r="B1394" t="s">
        <v>21851</v>
      </c>
      <c r="C1394" t="s">
        <v>21852</v>
      </c>
      <c r="D1394" s="45" t="str">
        <f t="shared" si="36"/>
        <v>2023.001B.Leviviricetes_reorg.zip</v>
      </c>
    </row>
    <row r="1395" spans="1:4">
      <c r="A1395" t="s">
        <v>11672</v>
      </c>
      <c r="B1395" t="s">
        <v>21853</v>
      </c>
      <c r="C1395" t="s">
        <v>21854</v>
      </c>
      <c r="D1395" s="45" t="str">
        <f t="shared" si="36"/>
        <v>2023.001B.Leviviricetes_reorg.zip</v>
      </c>
    </row>
    <row r="1396" spans="1:4">
      <c r="A1396" t="s">
        <v>11672</v>
      </c>
      <c r="B1396" t="s">
        <v>21855</v>
      </c>
      <c r="C1396" t="s">
        <v>21856</v>
      </c>
      <c r="D1396" s="45" t="str">
        <f t="shared" si="36"/>
        <v>2023.001B.Leviviricetes_reorg.zip</v>
      </c>
    </row>
    <row r="1397" spans="1:4">
      <c r="A1397" t="s">
        <v>11672</v>
      </c>
      <c r="B1397" t="s">
        <v>21857</v>
      </c>
      <c r="C1397" t="s">
        <v>21858</v>
      </c>
      <c r="D1397" s="45" t="str">
        <f t="shared" si="36"/>
        <v>2023.001B.Leviviricetes_reorg.zip</v>
      </c>
    </row>
    <row r="1398" spans="1:4">
      <c r="A1398" t="s">
        <v>11672</v>
      </c>
      <c r="B1398" t="s">
        <v>21859</v>
      </c>
      <c r="C1398" t="s">
        <v>21860</v>
      </c>
      <c r="D1398" s="45" t="str">
        <f t="shared" si="36"/>
        <v>2023.001B.Leviviricetes_reorg.zip</v>
      </c>
    </row>
    <row r="1399" spans="1:4">
      <c r="A1399" t="s">
        <v>11672</v>
      </c>
      <c r="B1399" t="s">
        <v>21861</v>
      </c>
      <c r="C1399" t="s">
        <v>21862</v>
      </c>
      <c r="D1399" s="45" t="str">
        <f t="shared" si="36"/>
        <v>2023.001B.Leviviricetes_reorg.zip</v>
      </c>
    </row>
    <row r="1400" spans="1:4">
      <c r="A1400" t="s">
        <v>11672</v>
      </c>
      <c r="B1400" t="s">
        <v>21863</v>
      </c>
      <c r="C1400" t="s">
        <v>21864</v>
      </c>
      <c r="D1400" s="45" t="str">
        <f t="shared" si="36"/>
        <v>2023.001B.Leviviricetes_reorg.zip</v>
      </c>
    </row>
    <row r="1401" spans="1:4">
      <c r="A1401" t="s">
        <v>11672</v>
      </c>
      <c r="B1401" t="s">
        <v>21865</v>
      </c>
      <c r="C1401" t="s">
        <v>21866</v>
      </c>
      <c r="D1401" s="45" t="str">
        <f t="shared" si="36"/>
        <v>2023.001B.Leviviricetes_reorg.zip</v>
      </c>
    </row>
    <row r="1402" spans="1:4">
      <c r="A1402" t="s">
        <v>11672</v>
      </c>
      <c r="B1402" t="s">
        <v>21867</v>
      </c>
      <c r="C1402" t="s">
        <v>21868</v>
      </c>
      <c r="D1402" s="45" t="str">
        <f t="shared" si="36"/>
        <v>2023.001B.Leviviricetes_reorg.zip</v>
      </c>
    </row>
    <row r="1403" spans="1:4">
      <c r="A1403" t="s">
        <v>11672</v>
      </c>
      <c r="B1403" t="s">
        <v>21869</v>
      </c>
      <c r="C1403" t="s">
        <v>21870</v>
      </c>
      <c r="D1403" s="45" t="str">
        <f t="shared" si="36"/>
        <v>2023.001B.Leviviricetes_reorg.zip</v>
      </c>
    </row>
    <row r="1404" spans="1:4">
      <c r="A1404" t="s">
        <v>11672</v>
      </c>
      <c r="B1404" t="s">
        <v>21871</v>
      </c>
      <c r="C1404" t="s">
        <v>21872</v>
      </c>
      <c r="D1404" s="45" t="str">
        <f t="shared" si="36"/>
        <v>2023.001B.Leviviricetes_reorg.zip</v>
      </c>
    </row>
    <row r="1405" spans="1:4">
      <c r="A1405" t="s">
        <v>11672</v>
      </c>
      <c r="B1405" t="s">
        <v>21873</v>
      </c>
      <c r="C1405" t="s">
        <v>21874</v>
      </c>
      <c r="D1405" s="45" t="str">
        <f t="shared" si="36"/>
        <v>2023.001B.Leviviricetes_reorg.zip</v>
      </c>
    </row>
    <row r="1406" spans="1:4">
      <c r="A1406" t="s">
        <v>11672</v>
      </c>
      <c r="B1406" t="s">
        <v>21875</v>
      </c>
      <c r="C1406" t="s">
        <v>21876</v>
      </c>
      <c r="D1406" s="45" t="str">
        <f t="shared" si="36"/>
        <v>2023.001B.Leviviricetes_reorg.zip</v>
      </c>
    </row>
    <row r="1407" spans="1:4">
      <c r="A1407" t="s">
        <v>11672</v>
      </c>
      <c r="B1407" t="s">
        <v>21877</v>
      </c>
      <c r="C1407" t="s">
        <v>21878</v>
      </c>
      <c r="D1407" s="45" t="str">
        <f t="shared" si="36"/>
        <v>2023.001B.Leviviricetes_reorg.zip</v>
      </c>
    </row>
    <row r="1408" spans="1:4">
      <c r="A1408" t="s">
        <v>11672</v>
      </c>
      <c r="B1408" t="s">
        <v>21879</v>
      </c>
      <c r="C1408" t="s">
        <v>21880</v>
      </c>
      <c r="D1408" s="45" t="str">
        <f t="shared" si="36"/>
        <v>2023.001B.Leviviricetes_reorg.zip</v>
      </c>
    </row>
    <row r="1409" spans="1:4">
      <c r="A1409" t="s">
        <v>11672</v>
      </c>
      <c r="B1409" t="s">
        <v>21881</v>
      </c>
      <c r="C1409" t="s">
        <v>21882</v>
      </c>
      <c r="D1409" s="45" t="str">
        <f t="shared" si="36"/>
        <v>2023.001B.Leviviricetes_reorg.zip</v>
      </c>
    </row>
    <row r="1410" spans="1:4">
      <c r="A1410" t="s">
        <v>11672</v>
      </c>
      <c r="B1410" t="s">
        <v>21883</v>
      </c>
      <c r="C1410" t="s">
        <v>21884</v>
      </c>
      <c r="D1410" s="45" t="str">
        <f t="shared" ref="D1410:D1473" si="37">HYPERLINK("https://ictv.global/ictv/proposals/2023.001B.Leviviricetes_reorg.zip","2023.001B.Leviviricetes_reorg.zip")</f>
        <v>2023.001B.Leviviricetes_reorg.zip</v>
      </c>
    </row>
    <row r="1411" spans="1:4">
      <c r="A1411" t="s">
        <v>11672</v>
      </c>
      <c r="B1411" t="s">
        <v>21885</v>
      </c>
      <c r="C1411" t="s">
        <v>21886</v>
      </c>
      <c r="D1411" s="45" t="str">
        <f t="shared" si="37"/>
        <v>2023.001B.Leviviricetes_reorg.zip</v>
      </c>
    </row>
    <row r="1412" spans="1:4">
      <c r="A1412" t="s">
        <v>11672</v>
      </c>
      <c r="B1412" t="s">
        <v>21887</v>
      </c>
      <c r="C1412" t="s">
        <v>21888</v>
      </c>
      <c r="D1412" s="45" t="str">
        <f t="shared" si="37"/>
        <v>2023.001B.Leviviricetes_reorg.zip</v>
      </c>
    </row>
    <row r="1413" spans="1:4">
      <c r="A1413" t="s">
        <v>11672</v>
      </c>
      <c r="B1413" t="s">
        <v>21889</v>
      </c>
      <c r="C1413" t="s">
        <v>21890</v>
      </c>
      <c r="D1413" s="45" t="str">
        <f t="shared" si="37"/>
        <v>2023.001B.Leviviricetes_reorg.zip</v>
      </c>
    </row>
    <row r="1414" spans="1:4">
      <c r="A1414" t="s">
        <v>11672</v>
      </c>
      <c r="B1414" t="s">
        <v>21891</v>
      </c>
      <c r="C1414" t="s">
        <v>21892</v>
      </c>
      <c r="D1414" s="45" t="str">
        <f t="shared" si="37"/>
        <v>2023.001B.Leviviricetes_reorg.zip</v>
      </c>
    </row>
    <row r="1415" spans="1:4">
      <c r="A1415" t="s">
        <v>11672</v>
      </c>
      <c r="B1415" t="s">
        <v>21893</v>
      </c>
      <c r="C1415" t="s">
        <v>21894</v>
      </c>
      <c r="D1415" s="45" t="str">
        <f t="shared" si="37"/>
        <v>2023.001B.Leviviricetes_reorg.zip</v>
      </c>
    </row>
    <row r="1416" spans="1:4">
      <c r="A1416" t="s">
        <v>11672</v>
      </c>
      <c r="B1416" t="s">
        <v>21895</v>
      </c>
      <c r="C1416" t="s">
        <v>21896</v>
      </c>
      <c r="D1416" s="45" t="str">
        <f t="shared" si="37"/>
        <v>2023.001B.Leviviricetes_reorg.zip</v>
      </c>
    </row>
    <row r="1417" spans="1:4">
      <c r="A1417" t="s">
        <v>11672</v>
      </c>
      <c r="B1417" t="s">
        <v>21897</v>
      </c>
      <c r="C1417" t="s">
        <v>21898</v>
      </c>
      <c r="D1417" s="45" t="str">
        <f t="shared" si="37"/>
        <v>2023.001B.Leviviricetes_reorg.zip</v>
      </c>
    </row>
    <row r="1418" spans="1:4">
      <c r="A1418" t="s">
        <v>11672</v>
      </c>
      <c r="B1418" t="s">
        <v>21899</v>
      </c>
      <c r="C1418" t="s">
        <v>21900</v>
      </c>
      <c r="D1418" s="45" t="str">
        <f t="shared" si="37"/>
        <v>2023.001B.Leviviricetes_reorg.zip</v>
      </c>
    </row>
    <row r="1419" spans="1:4">
      <c r="A1419" t="s">
        <v>11672</v>
      </c>
      <c r="B1419" t="s">
        <v>21901</v>
      </c>
      <c r="C1419" t="s">
        <v>21902</v>
      </c>
      <c r="D1419" s="45" t="str">
        <f t="shared" si="37"/>
        <v>2023.001B.Leviviricetes_reorg.zip</v>
      </c>
    </row>
    <row r="1420" spans="1:4">
      <c r="A1420" t="s">
        <v>11672</v>
      </c>
      <c r="B1420" t="s">
        <v>21903</v>
      </c>
      <c r="C1420" t="s">
        <v>21904</v>
      </c>
      <c r="D1420" s="45" t="str">
        <f t="shared" si="37"/>
        <v>2023.001B.Leviviricetes_reorg.zip</v>
      </c>
    </row>
    <row r="1421" spans="1:4">
      <c r="A1421" t="s">
        <v>11672</v>
      </c>
      <c r="B1421" t="s">
        <v>21905</v>
      </c>
      <c r="C1421" t="s">
        <v>21906</v>
      </c>
      <c r="D1421" s="45" t="str">
        <f t="shared" si="37"/>
        <v>2023.001B.Leviviricetes_reorg.zip</v>
      </c>
    </row>
    <row r="1422" spans="1:4">
      <c r="A1422" t="s">
        <v>11672</v>
      </c>
      <c r="B1422" t="s">
        <v>21907</v>
      </c>
      <c r="C1422" t="s">
        <v>21908</v>
      </c>
      <c r="D1422" s="45" t="str">
        <f t="shared" si="37"/>
        <v>2023.001B.Leviviricetes_reorg.zip</v>
      </c>
    </row>
    <row r="1423" spans="1:4">
      <c r="A1423" t="s">
        <v>11672</v>
      </c>
      <c r="B1423" t="s">
        <v>21909</v>
      </c>
      <c r="C1423" t="s">
        <v>21910</v>
      </c>
      <c r="D1423" s="45" t="str">
        <f t="shared" si="37"/>
        <v>2023.001B.Leviviricetes_reorg.zip</v>
      </c>
    </row>
    <row r="1424" spans="1:4">
      <c r="A1424" t="s">
        <v>11672</v>
      </c>
      <c r="B1424" t="s">
        <v>21911</v>
      </c>
      <c r="C1424" t="s">
        <v>21912</v>
      </c>
      <c r="D1424" s="45" t="str">
        <f t="shared" si="37"/>
        <v>2023.001B.Leviviricetes_reorg.zip</v>
      </c>
    </row>
    <row r="1425" spans="1:4">
      <c r="A1425" t="s">
        <v>11672</v>
      </c>
      <c r="B1425" t="s">
        <v>21913</v>
      </c>
      <c r="C1425" t="s">
        <v>21914</v>
      </c>
      <c r="D1425" s="45" t="str">
        <f t="shared" si="37"/>
        <v>2023.001B.Leviviricetes_reorg.zip</v>
      </c>
    </row>
    <row r="1426" spans="1:4">
      <c r="A1426" t="s">
        <v>11672</v>
      </c>
      <c r="B1426" t="s">
        <v>21915</v>
      </c>
      <c r="C1426" t="s">
        <v>21916</v>
      </c>
      <c r="D1426" s="45" t="str">
        <f t="shared" si="37"/>
        <v>2023.001B.Leviviricetes_reorg.zip</v>
      </c>
    </row>
    <row r="1427" spans="1:4">
      <c r="A1427" t="s">
        <v>11672</v>
      </c>
      <c r="B1427" t="s">
        <v>21917</v>
      </c>
      <c r="C1427" t="s">
        <v>21918</v>
      </c>
      <c r="D1427" s="45" t="str">
        <f t="shared" si="37"/>
        <v>2023.001B.Leviviricetes_reorg.zip</v>
      </c>
    </row>
    <row r="1428" spans="1:4">
      <c r="A1428" t="s">
        <v>11672</v>
      </c>
      <c r="B1428" t="s">
        <v>21919</v>
      </c>
      <c r="C1428" t="s">
        <v>21920</v>
      </c>
      <c r="D1428" s="45" t="str">
        <f t="shared" si="37"/>
        <v>2023.001B.Leviviricetes_reorg.zip</v>
      </c>
    </row>
    <row r="1429" spans="1:4">
      <c r="A1429" t="s">
        <v>11672</v>
      </c>
      <c r="B1429" t="s">
        <v>21921</v>
      </c>
      <c r="C1429" t="s">
        <v>21922</v>
      </c>
      <c r="D1429" s="45" t="str">
        <f t="shared" si="37"/>
        <v>2023.001B.Leviviricetes_reorg.zip</v>
      </c>
    </row>
    <row r="1430" spans="1:4">
      <c r="A1430" t="s">
        <v>11672</v>
      </c>
      <c r="B1430" t="s">
        <v>21923</v>
      </c>
      <c r="C1430" t="s">
        <v>21924</v>
      </c>
      <c r="D1430" s="45" t="str">
        <f t="shared" si="37"/>
        <v>2023.001B.Leviviricetes_reorg.zip</v>
      </c>
    </row>
    <row r="1431" spans="1:4">
      <c r="A1431" t="s">
        <v>11672</v>
      </c>
      <c r="B1431" t="s">
        <v>21925</v>
      </c>
      <c r="C1431" t="s">
        <v>21926</v>
      </c>
      <c r="D1431" s="45" t="str">
        <f t="shared" si="37"/>
        <v>2023.001B.Leviviricetes_reorg.zip</v>
      </c>
    </row>
    <row r="1432" spans="1:4">
      <c r="A1432" t="s">
        <v>11672</v>
      </c>
      <c r="B1432" t="s">
        <v>21927</v>
      </c>
      <c r="C1432" t="s">
        <v>21928</v>
      </c>
      <c r="D1432" s="45" t="str">
        <f t="shared" si="37"/>
        <v>2023.001B.Leviviricetes_reorg.zip</v>
      </c>
    </row>
    <row r="1433" spans="1:4">
      <c r="A1433" t="s">
        <v>11672</v>
      </c>
      <c r="B1433" t="s">
        <v>21929</v>
      </c>
      <c r="C1433" t="s">
        <v>21930</v>
      </c>
      <c r="D1433" s="45" t="str">
        <f t="shared" si="37"/>
        <v>2023.001B.Leviviricetes_reorg.zip</v>
      </c>
    </row>
    <row r="1434" spans="1:4">
      <c r="A1434" t="s">
        <v>11672</v>
      </c>
      <c r="B1434" t="s">
        <v>21931</v>
      </c>
      <c r="C1434" t="s">
        <v>21932</v>
      </c>
      <c r="D1434" s="45" t="str">
        <f t="shared" si="37"/>
        <v>2023.001B.Leviviricetes_reorg.zip</v>
      </c>
    </row>
    <row r="1435" spans="1:4">
      <c r="A1435" t="s">
        <v>11672</v>
      </c>
      <c r="B1435" t="s">
        <v>21933</v>
      </c>
      <c r="C1435" t="s">
        <v>21934</v>
      </c>
      <c r="D1435" s="45" t="str">
        <f t="shared" si="37"/>
        <v>2023.001B.Leviviricetes_reorg.zip</v>
      </c>
    </row>
    <row r="1436" spans="1:4">
      <c r="A1436" t="s">
        <v>11672</v>
      </c>
      <c r="B1436" t="s">
        <v>21935</v>
      </c>
      <c r="C1436" t="s">
        <v>21936</v>
      </c>
      <c r="D1436" s="45" t="str">
        <f t="shared" si="37"/>
        <v>2023.001B.Leviviricetes_reorg.zip</v>
      </c>
    </row>
    <row r="1437" spans="1:4">
      <c r="A1437" t="s">
        <v>11672</v>
      </c>
      <c r="B1437" t="s">
        <v>21937</v>
      </c>
      <c r="C1437" t="s">
        <v>21938</v>
      </c>
      <c r="D1437" s="45" t="str">
        <f t="shared" si="37"/>
        <v>2023.001B.Leviviricetes_reorg.zip</v>
      </c>
    </row>
    <row r="1438" spans="1:4">
      <c r="A1438" t="s">
        <v>11672</v>
      </c>
      <c r="B1438" t="s">
        <v>21939</v>
      </c>
      <c r="C1438" t="s">
        <v>21940</v>
      </c>
      <c r="D1438" s="45" t="str">
        <f t="shared" si="37"/>
        <v>2023.001B.Leviviricetes_reorg.zip</v>
      </c>
    </row>
    <row r="1439" spans="1:4">
      <c r="A1439" t="s">
        <v>11672</v>
      </c>
      <c r="B1439" t="s">
        <v>21941</v>
      </c>
      <c r="C1439" t="s">
        <v>21942</v>
      </c>
      <c r="D1439" s="45" t="str">
        <f t="shared" si="37"/>
        <v>2023.001B.Leviviricetes_reorg.zip</v>
      </c>
    </row>
    <row r="1440" spans="1:4">
      <c r="A1440" t="s">
        <v>11672</v>
      </c>
      <c r="B1440" t="s">
        <v>21943</v>
      </c>
      <c r="C1440" t="s">
        <v>21944</v>
      </c>
      <c r="D1440" s="45" t="str">
        <f t="shared" si="37"/>
        <v>2023.001B.Leviviricetes_reorg.zip</v>
      </c>
    </row>
    <row r="1441" spans="1:4">
      <c r="A1441" t="s">
        <v>11672</v>
      </c>
      <c r="B1441" t="s">
        <v>21945</v>
      </c>
      <c r="C1441" t="s">
        <v>21946</v>
      </c>
      <c r="D1441" s="45" t="str">
        <f t="shared" si="37"/>
        <v>2023.001B.Leviviricetes_reorg.zip</v>
      </c>
    </row>
    <row r="1442" spans="1:4">
      <c r="A1442" t="s">
        <v>11672</v>
      </c>
      <c r="B1442" t="s">
        <v>21947</v>
      </c>
      <c r="C1442" t="s">
        <v>21948</v>
      </c>
      <c r="D1442" s="45" t="str">
        <f t="shared" si="37"/>
        <v>2023.001B.Leviviricetes_reorg.zip</v>
      </c>
    </row>
    <row r="1443" spans="1:4">
      <c r="A1443" t="s">
        <v>11672</v>
      </c>
      <c r="B1443" t="s">
        <v>21949</v>
      </c>
      <c r="C1443" t="s">
        <v>21950</v>
      </c>
      <c r="D1443" s="45" t="str">
        <f t="shared" si="37"/>
        <v>2023.001B.Leviviricetes_reorg.zip</v>
      </c>
    </row>
    <row r="1444" spans="1:4">
      <c r="A1444" t="s">
        <v>11672</v>
      </c>
      <c r="B1444" t="s">
        <v>21951</v>
      </c>
      <c r="C1444" t="s">
        <v>21952</v>
      </c>
      <c r="D1444" s="45" t="str">
        <f t="shared" si="37"/>
        <v>2023.001B.Leviviricetes_reorg.zip</v>
      </c>
    </row>
    <row r="1445" spans="1:4">
      <c r="A1445" t="s">
        <v>11672</v>
      </c>
      <c r="B1445" t="s">
        <v>21953</v>
      </c>
      <c r="C1445" t="s">
        <v>21954</v>
      </c>
      <c r="D1445" s="45" t="str">
        <f t="shared" si="37"/>
        <v>2023.001B.Leviviricetes_reorg.zip</v>
      </c>
    </row>
    <row r="1446" spans="1:4">
      <c r="A1446" t="s">
        <v>11672</v>
      </c>
      <c r="B1446" t="s">
        <v>21955</v>
      </c>
      <c r="C1446" t="s">
        <v>21956</v>
      </c>
      <c r="D1446" s="45" t="str">
        <f t="shared" si="37"/>
        <v>2023.001B.Leviviricetes_reorg.zip</v>
      </c>
    </row>
    <row r="1447" spans="1:4">
      <c r="A1447" t="s">
        <v>11672</v>
      </c>
      <c r="B1447" t="s">
        <v>21957</v>
      </c>
      <c r="C1447" t="s">
        <v>21958</v>
      </c>
      <c r="D1447" s="45" t="str">
        <f t="shared" si="37"/>
        <v>2023.001B.Leviviricetes_reorg.zip</v>
      </c>
    </row>
    <row r="1448" spans="1:4">
      <c r="A1448" t="s">
        <v>11672</v>
      </c>
      <c r="B1448" t="s">
        <v>21959</v>
      </c>
      <c r="C1448" t="s">
        <v>21960</v>
      </c>
      <c r="D1448" s="45" t="str">
        <f t="shared" si="37"/>
        <v>2023.001B.Leviviricetes_reorg.zip</v>
      </c>
    </row>
    <row r="1449" spans="1:4">
      <c r="A1449" t="s">
        <v>11672</v>
      </c>
      <c r="B1449" t="s">
        <v>21961</v>
      </c>
      <c r="C1449" t="s">
        <v>21962</v>
      </c>
      <c r="D1449" s="45" t="str">
        <f t="shared" si="37"/>
        <v>2023.001B.Leviviricetes_reorg.zip</v>
      </c>
    </row>
    <row r="1450" spans="1:4">
      <c r="A1450" t="s">
        <v>11672</v>
      </c>
      <c r="B1450" t="s">
        <v>21963</v>
      </c>
      <c r="C1450" t="s">
        <v>21964</v>
      </c>
      <c r="D1450" s="45" t="str">
        <f t="shared" si="37"/>
        <v>2023.001B.Leviviricetes_reorg.zip</v>
      </c>
    </row>
    <row r="1451" spans="1:4">
      <c r="A1451" t="s">
        <v>11672</v>
      </c>
      <c r="B1451" t="s">
        <v>21965</v>
      </c>
      <c r="C1451" t="s">
        <v>21966</v>
      </c>
      <c r="D1451" s="45" t="str">
        <f t="shared" si="37"/>
        <v>2023.001B.Leviviricetes_reorg.zip</v>
      </c>
    </row>
    <row r="1452" spans="1:4">
      <c r="A1452" t="s">
        <v>11672</v>
      </c>
      <c r="B1452" t="s">
        <v>21967</v>
      </c>
      <c r="C1452" t="s">
        <v>21968</v>
      </c>
      <c r="D1452" s="45" t="str">
        <f t="shared" si="37"/>
        <v>2023.001B.Leviviricetes_reorg.zip</v>
      </c>
    </row>
    <row r="1453" spans="1:4">
      <c r="A1453" t="s">
        <v>11672</v>
      </c>
      <c r="B1453" t="s">
        <v>21969</v>
      </c>
      <c r="C1453" t="s">
        <v>21970</v>
      </c>
      <c r="D1453" s="45" t="str">
        <f t="shared" si="37"/>
        <v>2023.001B.Leviviricetes_reorg.zip</v>
      </c>
    </row>
    <row r="1454" spans="1:4">
      <c r="A1454" t="s">
        <v>11672</v>
      </c>
      <c r="B1454" t="s">
        <v>21971</v>
      </c>
      <c r="C1454" t="s">
        <v>21972</v>
      </c>
      <c r="D1454" s="45" t="str">
        <f t="shared" si="37"/>
        <v>2023.001B.Leviviricetes_reorg.zip</v>
      </c>
    </row>
    <row r="1455" spans="1:4">
      <c r="A1455" t="s">
        <v>11672</v>
      </c>
      <c r="B1455" t="s">
        <v>21973</v>
      </c>
      <c r="C1455" t="s">
        <v>21974</v>
      </c>
      <c r="D1455" s="45" t="str">
        <f t="shared" si="37"/>
        <v>2023.001B.Leviviricetes_reorg.zip</v>
      </c>
    </row>
    <row r="1456" spans="1:4">
      <c r="A1456" t="s">
        <v>11672</v>
      </c>
      <c r="B1456" t="s">
        <v>21975</v>
      </c>
      <c r="C1456" t="s">
        <v>21976</v>
      </c>
      <c r="D1456" s="45" t="str">
        <f t="shared" si="37"/>
        <v>2023.001B.Leviviricetes_reorg.zip</v>
      </c>
    </row>
    <row r="1457" spans="1:4">
      <c r="A1457" t="s">
        <v>11672</v>
      </c>
      <c r="B1457" t="s">
        <v>21977</v>
      </c>
      <c r="C1457" t="s">
        <v>21978</v>
      </c>
      <c r="D1457" s="45" t="str">
        <f t="shared" si="37"/>
        <v>2023.001B.Leviviricetes_reorg.zip</v>
      </c>
    </row>
    <row r="1458" spans="1:4">
      <c r="A1458" t="s">
        <v>11672</v>
      </c>
      <c r="B1458" t="s">
        <v>21979</v>
      </c>
      <c r="C1458" t="s">
        <v>21980</v>
      </c>
      <c r="D1458" s="45" t="str">
        <f t="shared" si="37"/>
        <v>2023.001B.Leviviricetes_reorg.zip</v>
      </c>
    </row>
    <row r="1459" spans="1:4">
      <c r="A1459" t="s">
        <v>11672</v>
      </c>
      <c r="B1459" t="s">
        <v>21981</v>
      </c>
      <c r="C1459" t="s">
        <v>21982</v>
      </c>
      <c r="D1459" s="45" t="str">
        <f t="shared" si="37"/>
        <v>2023.001B.Leviviricetes_reorg.zip</v>
      </c>
    </row>
    <row r="1460" spans="1:4">
      <c r="A1460" t="s">
        <v>11672</v>
      </c>
      <c r="B1460" t="s">
        <v>21983</v>
      </c>
      <c r="C1460" t="s">
        <v>21984</v>
      </c>
      <c r="D1460" s="45" t="str">
        <f t="shared" si="37"/>
        <v>2023.001B.Leviviricetes_reorg.zip</v>
      </c>
    </row>
    <row r="1461" spans="1:4">
      <c r="A1461" t="s">
        <v>11672</v>
      </c>
      <c r="B1461" t="s">
        <v>21985</v>
      </c>
      <c r="C1461" t="s">
        <v>21986</v>
      </c>
      <c r="D1461" s="45" t="str">
        <f t="shared" si="37"/>
        <v>2023.001B.Leviviricetes_reorg.zip</v>
      </c>
    </row>
    <row r="1462" spans="1:4">
      <c r="A1462" t="s">
        <v>11672</v>
      </c>
      <c r="B1462" t="s">
        <v>21987</v>
      </c>
      <c r="C1462" t="s">
        <v>21988</v>
      </c>
      <c r="D1462" s="45" t="str">
        <f t="shared" si="37"/>
        <v>2023.001B.Leviviricetes_reorg.zip</v>
      </c>
    </row>
    <row r="1463" spans="1:4">
      <c r="A1463" t="s">
        <v>11672</v>
      </c>
      <c r="B1463" t="s">
        <v>21989</v>
      </c>
      <c r="C1463" t="s">
        <v>21990</v>
      </c>
      <c r="D1463" s="45" t="str">
        <f t="shared" si="37"/>
        <v>2023.001B.Leviviricetes_reorg.zip</v>
      </c>
    </row>
    <row r="1464" spans="1:4">
      <c r="A1464" t="s">
        <v>11672</v>
      </c>
      <c r="B1464" t="s">
        <v>21991</v>
      </c>
      <c r="C1464" t="s">
        <v>21992</v>
      </c>
      <c r="D1464" s="45" t="str">
        <f t="shared" si="37"/>
        <v>2023.001B.Leviviricetes_reorg.zip</v>
      </c>
    </row>
    <row r="1465" spans="1:4">
      <c r="A1465" t="s">
        <v>11672</v>
      </c>
      <c r="B1465" t="s">
        <v>21993</v>
      </c>
      <c r="C1465" t="s">
        <v>21994</v>
      </c>
      <c r="D1465" s="45" t="str">
        <f t="shared" si="37"/>
        <v>2023.001B.Leviviricetes_reorg.zip</v>
      </c>
    </row>
    <row r="1466" spans="1:4">
      <c r="A1466" t="s">
        <v>11672</v>
      </c>
      <c r="B1466" t="s">
        <v>21995</v>
      </c>
      <c r="C1466" t="s">
        <v>21996</v>
      </c>
      <c r="D1466" s="45" t="str">
        <f t="shared" si="37"/>
        <v>2023.001B.Leviviricetes_reorg.zip</v>
      </c>
    </row>
    <row r="1467" spans="1:4">
      <c r="A1467" t="s">
        <v>11672</v>
      </c>
      <c r="B1467" t="s">
        <v>21997</v>
      </c>
      <c r="C1467" t="s">
        <v>21998</v>
      </c>
      <c r="D1467" s="45" t="str">
        <f t="shared" si="37"/>
        <v>2023.001B.Leviviricetes_reorg.zip</v>
      </c>
    </row>
    <row r="1468" spans="1:4">
      <c r="A1468" t="s">
        <v>11672</v>
      </c>
      <c r="B1468" t="s">
        <v>21999</v>
      </c>
      <c r="C1468" t="s">
        <v>22000</v>
      </c>
      <c r="D1468" s="45" t="str">
        <f t="shared" si="37"/>
        <v>2023.001B.Leviviricetes_reorg.zip</v>
      </c>
    </row>
    <row r="1469" spans="1:4">
      <c r="A1469" t="s">
        <v>11672</v>
      </c>
      <c r="B1469" t="s">
        <v>22001</v>
      </c>
      <c r="C1469" t="s">
        <v>22002</v>
      </c>
      <c r="D1469" s="45" t="str">
        <f t="shared" si="37"/>
        <v>2023.001B.Leviviricetes_reorg.zip</v>
      </c>
    </row>
    <row r="1470" spans="1:4">
      <c r="A1470" t="s">
        <v>11672</v>
      </c>
      <c r="B1470" t="s">
        <v>22003</v>
      </c>
      <c r="C1470" t="s">
        <v>22004</v>
      </c>
      <c r="D1470" s="45" t="str">
        <f t="shared" si="37"/>
        <v>2023.001B.Leviviricetes_reorg.zip</v>
      </c>
    </row>
    <row r="1471" spans="1:4">
      <c r="A1471" t="s">
        <v>11672</v>
      </c>
      <c r="B1471" t="s">
        <v>22005</v>
      </c>
      <c r="C1471" t="s">
        <v>22006</v>
      </c>
      <c r="D1471" s="45" t="str">
        <f t="shared" si="37"/>
        <v>2023.001B.Leviviricetes_reorg.zip</v>
      </c>
    </row>
    <row r="1472" spans="1:4">
      <c r="A1472" t="s">
        <v>11672</v>
      </c>
      <c r="B1472" t="s">
        <v>22007</v>
      </c>
      <c r="C1472" t="s">
        <v>22008</v>
      </c>
      <c r="D1472" s="45" t="str">
        <f t="shared" si="37"/>
        <v>2023.001B.Leviviricetes_reorg.zip</v>
      </c>
    </row>
    <row r="1473" spans="1:4">
      <c r="A1473" t="s">
        <v>11672</v>
      </c>
      <c r="B1473" t="s">
        <v>22009</v>
      </c>
      <c r="C1473" t="s">
        <v>22010</v>
      </c>
      <c r="D1473" s="45" t="str">
        <f t="shared" si="37"/>
        <v>2023.001B.Leviviricetes_reorg.zip</v>
      </c>
    </row>
    <row r="1474" spans="1:4">
      <c r="A1474" t="s">
        <v>11672</v>
      </c>
      <c r="B1474" t="s">
        <v>22011</v>
      </c>
      <c r="C1474" t="s">
        <v>22012</v>
      </c>
      <c r="D1474" s="45" t="str">
        <f t="shared" ref="D1474:D1537" si="38">HYPERLINK("https://ictv.global/ictv/proposals/2023.001B.Leviviricetes_reorg.zip","2023.001B.Leviviricetes_reorg.zip")</f>
        <v>2023.001B.Leviviricetes_reorg.zip</v>
      </c>
    </row>
    <row r="1475" spans="1:4">
      <c r="A1475" t="s">
        <v>11672</v>
      </c>
      <c r="B1475" t="s">
        <v>22013</v>
      </c>
      <c r="C1475" t="s">
        <v>22014</v>
      </c>
      <c r="D1475" s="45" t="str">
        <f t="shared" si="38"/>
        <v>2023.001B.Leviviricetes_reorg.zip</v>
      </c>
    </row>
    <row r="1476" spans="1:4">
      <c r="A1476" t="s">
        <v>11672</v>
      </c>
      <c r="B1476" t="s">
        <v>22015</v>
      </c>
      <c r="C1476" t="s">
        <v>22016</v>
      </c>
      <c r="D1476" s="45" t="str">
        <f t="shared" si="38"/>
        <v>2023.001B.Leviviricetes_reorg.zip</v>
      </c>
    </row>
    <row r="1477" spans="1:4">
      <c r="A1477" t="s">
        <v>11672</v>
      </c>
      <c r="B1477" t="s">
        <v>22017</v>
      </c>
      <c r="C1477" t="s">
        <v>22018</v>
      </c>
      <c r="D1477" s="45" t="str">
        <f t="shared" si="38"/>
        <v>2023.001B.Leviviricetes_reorg.zip</v>
      </c>
    </row>
    <row r="1478" spans="1:4">
      <c r="A1478" t="s">
        <v>11672</v>
      </c>
      <c r="B1478" t="s">
        <v>22019</v>
      </c>
      <c r="C1478" t="s">
        <v>22020</v>
      </c>
      <c r="D1478" s="45" t="str">
        <f t="shared" si="38"/>
        <v>2023.001B.Leviviricetes_reorg.zip</v>
      </c>
    </row>
    <row r="1479" spans="1:4">
      <c r="A1479" t="s">
        <v>11672</v>
      </c>
      <c r="B1479" t="s">
        <v>22021</v>
      </c>
      <c r="C1479" t="s">
        <v>22022</v>
      </c>
      <c r="D1479" s="45" t="str">
        <f t="shared" si="38"/>
        <v>2023.001B.Leviviricetes_reorg.zip</v>
      </c>
    </row>
    <row r="1480" spans="1:4">
      <c r="A1480" t="s">
        <v>11672</v>
      </c>
      <c r="B1480" t="s">
        <v>22023</v>
      </c>
      <c r="C1480" t="s">
        <v>22024</v>
      </c>
      <c r="D1480" s="45" t="str">
        <f t="shared" si="38"/>
        <v>2023.001B.Leviviricetes_reorg.zip</v>
      </c>
    </row>
    <row r="1481" spans="1:4">
      <c r="A1481" t="s">
        <v>11672</v>
      </c>
      <c r="B1481" t="s">
        <v>22025</v>
      </c>
      <c r="C1481" t="s">
        <v>22026</v>
      </c>
      <c r="D1481" s="45" t="str">
        <f t="shared" si="38"/>
        <v>2023.001B.Leviviricetes_reorg.zip</v>
      </c>
    </row>
    <row r="1482" spans="1:4">
      <c r="A1482" t="s">
        <v>11672</v>
      </c>
      <c r="B1482" t="s">
        <v>22027</v>
      </c>
      <c r="C1482" t="s">
        <v>22028</v>
      </c>
      <c r="D1482" s="45" t="str">
        <f t="shared" si="38"/>
        <v>2023.001B.Leviviricetes_reorg.zip</v>
      </c>
    </row>
    <row r="1483" spans="1:4">
      <c r="A1483" t="s">
        <v>11672</v>
      </c>
      <c r="B1483" t="s">
        <v>22029</v>
      </c>
      <c r="C1483" t="s">
        <v>22030</v>
      </c>
      <c r="D1483" s="45" t="str">
        <f t="shared" si="38"/>
        <v>2023.001B.Leviviricetes_reorg.zip</v>
      </c>
    </row>
    <row r="1484" spans="1:4">
      <c r="A1484" t="s">
        <v>11672</v>
      </c>
      <c r="B1484" t="s">
        <v>22031</v>
      </c>
      <c r="C1484" t="s">
        <v>22032</v>
      </c>
      <c r="D1484" s="45" t="str">
        <f t="shared" si="38"/>
        <v>2023.001B.Leviviricetes_reorg.zip</v>
      </c>
    </row>
    <row r="1485" spans="1:4">
      <c r="A1485" t="s">
        <v>11672</v>
      </c>
      <c r="B1485" t="s">
        <v>22033</v>
      </c>
      <c r="C1485" t="s">
        <v>22034</v>
      </c>
      <c r="D1485" s="45" t="str">
        <f t="shared" si="38"/>
        <v>2023.001B.Leviviricetes_reorg.zip</v>
      </c>
    </row>
    <row r="1486" spans="1:4">
      <c r="A1486" t="s">
        <v>11672</v>
      </c>
      <c r="B1486" t="s">
        <v>22035</v>
      </c>
      <c r="C1486" t="s">
        <v>22036</v>
      </c>
      <c r="D1486" s="45" t="str">
        <f t="shared" si="38"/>
        <v>2023.001B.Leviviricetes_reorg.zip</v>
      </c>
    </row>
    <row r="1487" spans="1:4">
      <c r="A1487" t="s">
        <v>11672</v>
      </c>
      <c r="B1487" t="s">
        <v>22037</v>
      </c>
      <c r="C1487" t="s">
        <v>22038</v>
      </c>
      <c r="D1487" s="45" t="str">
        <f t="shared" si="38"/>
        <v>2023.001B.Leviviricetes_reorg.zip</v>
      </c>
    </row>
    <row r="1488" spans="1:4">
      <c r="A1488" t="s">
        <v>11672</v>
      </c>
      <c r="B1488" t="s">
        <v>22039</v>
      </c>
      <c r="C1488" t="s">
        <v>22040</v>
      </c>
      <c r="D1488" s="45" t="str">
        <f t="shared" si="38"/>
        <v>2023.001B.Leviviricetes_reorg.zip</v>
      </c>
    </row>
    <row r="1489" spans="1:4">
      <c r="A1489" t="s">
        <v>11672</v>
      </c>
      <c r="B1489" t="s">
        <v>22041</v>
      </c>
      <c r="C1489" t="s">
        <v>22042</v>
      </c>
      <c r="D1489" s="45" t="str">
        <f t="shared" si="38"/>
        <v>2023.001B.Leviviricetes_reorg.zip</v>
      </c>
    </row>
    <row r="1490" spans="1:4">
      <c r="A1490" t="s">
        <v>11672</v>
      </c>
      <c r="B1490" t="s">
        <v>22043</v>
      </c>
      <c r="C1490" t="s">
        <v>22044</v>
      </c>
      <c r="D1490" s="45" t="str">
        <f t="shared" si="38"/>
        <v>2023.001B.Leviviricetes_reorg.zip</v>
      </c>
    </row>
    <row r="1491" spans="1:4">
      <c r="A1491" t="s">
        <v>11672</v>
      </c>
      <c r="B1491" t="s">
        <v>22045</v>
      </c>
      <c r="C1491" t="s">
        <v>22046</v>
      </c>
      <c r="D1491" s="45" t="str">
        <f t="shared" si="38"/>
        <v>2023.001B.Leviviricetes_reorg.zip</v>
      </c>
    </row>
    <row r="1492" spans="1:4">
      <c r="A1492" t="s">
        <v>11672</v>
      </c>
      <c r="B1492" t="s">
        <v>22047</v>
      </c>
      <c r="C1492" t="s">
        <v>22048</v>
      </c>
      <c r="D1492" s="45" t="str">
        <f t="shared" si="38"/>
        <v>2023.001B.Leviviricetes_reorg.zip</v>
      </c>
    </row>
    <row r="1493" spans="1:4">
      <c r="A1493" t="s">
        <v>11672</v>
      </c>
      <c r="B1493" t="s">
        <v>22049</v>
      </c>
      <c r="C1493" t="s">
        <v>22050</v>
      </c>
      <c r="D1493" s="45" t="str">
        <f t="shared" si="38"/>
        <v>2023.001B.Leviviricetes_reorg.zip</v>
      </c>
    </row>
    <row r="1494" spans="1:4">
      <c r="A1494" t="s">
        <v>11672</v>
      </c>
      <c r="B1494" t="s">
        <v>22051</v>
      </c>
      <c r="C1494" t="s">
        <v>22052</v>
      </c>
      <c r="D1494" s="45" t="str">
        <f t="shared" si="38"/>
        <v>2023.001B.Leviviricetes_reorg.zip</v>
      </c>
    </row>
    <row r="1495" spans="1:4">
      <c r="A1495" t="s">
        <v>11672</v>
      </c>
      <c r="B1495" t="s">
        <v>22053</v>
      </c>
      <c r="C1495" t="s">
        <v>22054</v>
      </c>
      <c r="D1495" s="45" t="str">
        <f t="shared" si="38"/>
        <v>2023.001B.Leviviricetes_reorg.zip</v>
      </c>
    </row>
    <row r="1496" spans="1:4">
      <c r="A1496" t="s">
        <v>11672</v>
      </c>
      <c r="B1496" t="s">
        <v>22055</v>
      </c>
      <c r="C1496" t="s">
        <v>22056</v>
      </c>
      <c r="D1496" s="45" t="str">
        <f t="shared" si="38"/>
        <v>2023.001B.Leviviricetes_reorg.zip</v>
      </c>
    </row>
    <row r="1497" spans="1:4">
      <c r="A1497" t="s">
        <v>11672</v>
      </c>
      <c r="B1497" t="s">
        <v>22057</v>
      </c>
      <c r="C1497" t="s">
        <v>22058</v>
      </c>
      <c r="D1497" s="45" t="str">
        <f t="shared" si="38"/>
        <v>2023.001B.Leviviricetes_reorg.zip</v>
      </c>
    </row>
    <row r="1498" spans="1:4">
      <c r="A1498" t="s">
        <v>11672</v>
      </c>
      <c r="B1498" t="s">
        <v>22059</v>
      </c>
      <c r="C1498" t="s">
        <v>22060</v>
      </c>
      <c r="D1498" s="45" t="str">
        <f t="shared" si="38"/>
        <v>2023.001B.Leviviricetes_reorg.zip</v>
      </c>
    </row>
    <row r="1499" spans="1:4">
      <c r="A1499" t="s">
        <v>11672</v>
      </c>
      <c r="B1499" t="s">
        <v>22061</v>
      </c>
      <c r="C1499" t="s">
        <v>22062</v>
      </c>
      <c r="D1499" s="45" t="str">
        <f t="shared" si="38"/>
        <v>2023.001B.Leviviricetes_reorg.zip</v>
      </c>
    </row>
    <row r="1500" spans="1:4">
      <c r="A1500" t="s">
        <v>11672</v>
      </c>
      <c r="B1500" t="s">
        <v>22063</v>
      </c>
      <c r="C1500" t="s">
        <v>22064</v>
      </c>
      <c r="D1500" s="45" t="str">
        <f t="shared" si="38"/>
        <v>2023.001B.Leviviricetes_reorg.zip</v>
      </c>
    </row>
    <row r="1501" spans="1:4">
      <c r="A1501" t="s">
        <v>11672</v>
      </c>
      <c r="B1501" t="s">
        <v>22065</v>
      </c>
      <c r="C1501" t="s">
        <v>22066</v>
      </c>
      <c r="D1501" s="45" t="str">
        <f t="shared" si="38"/>
        <v>2023.001B.Leviviricetes_reorg.zip</v>
      </c>
    </row>
    <row r="1502" spans="1:4">
      <c r="A1502" t="s">
        <v>11672</v>
      </c>
      <c r="B1502" t="s">
        <v>22067</v>
      </c>
      <c r="C1502" t="s">
        <v>22068</v>
      </c>
      <c r="D1502" s="45" t="str">
        <f t="shared" si="38"/>
        <v>2023.001B.Leviviricetes_reorg.zip</v>
      </c>
    </row>
    <row r="1503" spans="1:4">
      <c r="A1503" t="s">
        <v>11672</v>
      </c>
      <c r="B1503" t="s">
        <v>22069</v>
      </c>
      <c r="C1503" t="s">
        <v>22070</v>
      </c>
      <c r="D1503" s="45" t="str">
        <f t="shared" si="38"/>
        <v>2023.001B.Leviviricetes_reorg.zip</v>
      </c>
    </row>
    <row r="1504" spans="1:4">
      <c r="A1504" t="s">
        <v>11672</v>
      </c>
      <c r="B1504" t="s">
        <v>22071</v>
      </c>
      <c r="C1504" t="s">
        <v>22072</v>
      </c>
      <c r="D1504" s="45" t="str">
        <f t="shared" si="38"/>
        <v>2023.001B.Leviviricetes_reorg.zip</v>
      </c>
    </row>
    <row r="1505" spans="1:4">
      <c r="A1505" t="s">
        <v>11672</v>
      </c>
      <c r="B1505" t="s">
        <v>22073</v>
      </c>
      <c r="C1505" t="s">
        <v>22074</v>
      </c>
      <c r="D1505" s="45" t="str">
        <f t="shared" si="38"/>
        <v>2023.001B.Leviviricetes_reorg.zip</v>
      </c>
    </row>
    <row r="1506" spans="1:4">
      <c r="A1506" t="s">
        <v>11672</v>
      </c>
      <c r="B1506" t="s">
        <v>22075</v>
      </c>
      <c r="C1506" t="s">
        <v>22076</v>
      </c>
      <c r="D1506" s="45" t="str">
        <f t="shared" si="38"/>
        <v>2023.001B.Leviviricetes_reorg.zip</v>
      </c>
    </row>
    <row r="1507" spans="1:4">
      <c r="A1507" t="s">
        <v>11672</v>
      </c>
      <c r="B1507" t="s">
        <v>22077</v>
      </c>
      <c r="C1507" t="s">
        <v>22078</v>
      </c>
      <c r="D1507" s="45" t="str">
        <f t="shared" si="38"/>
        <v>2023.001B.Leviviricetes_reorg.zip</v>
      </c>
    </row>
    <row r="1508" spans="1:4">
      <c r="A1508" t="s">
        <v>11672</v>
      </c>
      <c r="B1508" t="s">
        <v>22079</v>
      </c>
      <c r="C1508" t="s">
        <v>22080</v>
      </c>
      <c r="D1508" s="45" t="str">
        <f t="shared" si="38"/>
        <v>2023.001B.Leviviricetes_reorg.zip</v>
      </c>
    </row>
    <row r="1509" spans="1:4">
      <c r="A1509" t="s">
        <v>11672</v>
      </c>
      <c r="B1509" t="s">
        <v>22081</v>
      </c>
      <c r="C1509" t="s">
        <v>22082</v>
      </c>
      <c r="D1509" s="45" t="str">
        <f t="shared" si="38"/>
        <v>2023.001B.Leviviricetes_reorg.zip</v>
      </c>
    </row>
    <row r="1510" spans="1:4">
      <c r="A1510" t="s">
        <v>11672</v>
      </c>
      <c r="B1510" t="s">
        <v>22083</v>
      </c>
      <c r="C1510" t="s">
        <v>22084</v>
      </c>
      <c r="D1510" s="45" t="str">
        <f t="shared" si="38"/>
        <v>2023.001B.Leviviricetes_reorg.zip</v>
      </c>
    </row>
    <row r="1511" spans="1:4">
      <c r="A1511" t="s">
        <v>11672</v>
      </c>
      <c r="B1511" t="s">
        <v>22085</v>
      </c>
      <c r="C1511" t="s">
        <v>22086</v>
      </c>
      <c r="D1511" s="45" t="str">
        <f t="shared" si="38"/>
        <v>2023.001B.Leviviricetes_reorg.zip</v>
      </c>
    </row>
    <row r="1512" spans="1:4">
      <c r="A1512" t="s">
        <v>11672</v>
      </c>
      <c r="B1512" t="s">
        <v>22087</v>
      </c>
      <c r="C1512" t="s">
        <v>22088</v>
      </c>
      <c r="D1512" s="45" t="str">
        <f t="shared" si="38"/>
        <v>2023.001B.Leviviricetes_reorg.zip</v>
      </c>
    </row>
    <row r="1513" spans="1:4">
      <c r="A1513" t="s">
        <v>11672</v>
      </c>
      <c r="B1513" t="s">
        <v>22089</v>
      </c>
      <c r="C1513" t="s">
        <v>22090</v>
      </c>
      <c r="D1513" s="45" t="str">
        <f t="shared" si="38"/>
        <v>2023.001B.Leviviricetes_reorg.zip</v>
      </c>
    </row>
    <row r="1514" spans="1:4">
      <c r="A1514" t="s">
        <v>11672</v>
      </c>
      <c r="B1514" t="s">
        <v>22091</v>
      </c>
      <c r="C1514" t="s">
        <v>22092</v>
      </c>
      <c r="D1514" s="45" t="str">
        <f t="shared" si="38"/>
        <v>2023.001B.Leviviricetes_reorg.zip</v>
      </c>
    </row>
    <row r="1515" spans="1:4">
      <c r="A1515" t="s">
        <v>11672</v>
      </c>
      <c r="B1515" t="s">
        <v>22093</v>
      </c>
      <c r="C1515" t="s">
        <v>22094</v>
      </c>
      <c r="D1515" s="45" t="str">
        <f t="shared" si="38"/>
        <v>2023.001B.Leviviricetes_reorg.zip</v>
      </c>
    </row>
    <row r="1516" spans="1:4">
      <c r="A1516" t="s">
        <v>11672</v>
      </c>
      <c r="B1516" t="s">
        <v>22095</v>
      </c>
      <c r="C1516" t="s">
        <v>22096</v>
      </c>
      <c r="D1516" s="45" t="str">
        <f t="shared" si="38"/>
        <v>2023.001B.Leviviricetes_reorg.zip</v>
      </c>
    </row>
    <row r="1517" spans="1:4">
      <c r="A1517" t="s">
        <v>11672</v>
      </c>
      <c r="B1517" t="s">
        <v>22097</v>
      </c>
      <c r="C1517" t="s">
        <v>22098</v>
      </c>
      <c r="D1517" s="45" t="str">
        <f t="shared" si="38"/>
        <v>2023.001B.Leviviricetes_reorg.zip</v>
      </c>
    </row>
    <row r="1518" spans="1:4">
      <c r="A1518" t="s">
        <v>11672</v>
      </c>
      <c r="B1518" t="s">
        <v>22099</v>
      </c>
      <c r="C1518" t="s">
        <v>22100</v>
      </c>
      <c r="D1518" s="45" t="str">
        <f t="shared" si="38"/>
        <v>2023.001B.Leviviricetes_reorg.zip</v>
      </c>
    </row>
    <row r="1519" spans="1:4">
      <c r="A1519" t="s">
        <v>11672</v>
      </c>
      <c r="B1519" t="s">
        <v>22101</v>
      </c>
      <c r="C1519" t="s">
        <v>22102</v>
      </c>
      <c r="D1519" s="45" t="str">
        <f t="shared" si="38"/>
        <v>2023.001B.Leviviricetes_reorg.zip</v>
      </c>
    </row>
    <row r="1520" spans="1:4">
      <c r="A1520" t="s">
        <v>11672</v>
      </c>
      <c r="B1520" t="s">
        <v>22103</v>
      </c>
      <c r="C1520" t="s">
        <v>22104</v>
      </c>
      <c r="D1520" s="45" t="str">
        <f t="shared" si="38"/>
        <v>2023.001B.Leviviricetes_reorg.zip</v>
      </c>
    </row>
    <row r="1521" spans="1:4">
      <c r="A1521" t="s">
        <v>11672</v>
      </c>
      <c r="B1521" t="s">
        <v>22105</v>
      </c>
      <c r="C1521" t="s">
        <v>22106</v>
      </c>
      <c r="D1521" s="45" t="str">
        <f t="shared" si="38"/>
        <v>2023.001B.Leviviricetes_reorg.zip</v>
      </c>
    </row>
    <row r="1522" spans="1:4">
      <c r="A1522" t="s">
        <v>11672</v>
      </c>
      <c r="B1522" t="s">
        <v>22107</v>
      </c>
      <c r="C1522" t="s">
        <v>22108</v>
      </c>
      <c r="D1522" s="45" t="str">
        <f t="shared" si="38"/>
        <v>2023.001B.Leviviricetes_reorg.zip</v>
      </c>
    </row>
    <row r="1523" spans="1:4">
      <c r="A1523" t="s">
        <v>11672</v>
      </c>
      <c r="B1523" t="s">
        <v>22109</v>
      </c>
      <c r="C1523" t="s">
        <v>22110</v>
      </c>
      <c r="D1523" s="45" t="str">
        <f t="shared" si="38"/>
        <v>2023.001B.Leviviricetes_reorg.zip</v>
      </c>
    </row>
    <row r="1524" spans="1:4">
      <c r="A1524" t="s">
        <v>11672</v>
      </c>
      <c r="B1524" t="s">
        <v>22111</v>
      </c>
      <c r="C1524" t="s">
        <v>22112</v>
      </c>
      <c r="D1524" s="45" t="str">
        <f t="shared" si="38"/>
        <v>2023.001B.Leviviricetes_reorg.zip</v>
      </c>
    </row>
    <row r="1525" spans="1:4">
      <c r="A1525" t="s">
        <v>11672</v>
      </c>
      <c r="B1525" t="s">
        <v>22113</v>
      </c>
      <c r="C1525" t="s">
        <v>22114</v>
      </c>
      <c r="D1525" s="45" t="str">
        <f t="shared" si="38"/>
        <v>2023.001B.Leviviricetes_reorg.zip</v>
      </c>
    </row>
    <row r="1526" spans="1:4">
      <c r="A1526" t="s">
        <v>11672</v>
      </c>
      <c r="B1526" t="s">
        <v>22115</v>
      </c>
      <c r="C1526" t="s">
        <v>22116</v>
      </c>
      <c r="D1526" s="45" t="str">
        <f t="shared" si="38"/>
        <v>2023.001B.Leviviricetes_reorg.zip</v>
      </c>
    </row>
    <row r="1527" spans="1:4">
      <c r="A1527" t="s">
        <v>11672</v>
      </c>
      <c r="B1527" t="s">
        <v>22117</v>
      </c>
      <c r="C1527" t="s">
        <v>22118</v>
      </c>
      <c r="D1527" s="45" t="str">
        <f t="shared" si="38"/>
        <v>2023.001B.Leviviricetes_reorg.zip</v>
      </c>
    </row>
    <row r="1528" spans="1:4">
      <c r="A1528" t="s">
        <v>11672</v>
      </c>
      <c r="B1528" t="s">
        <v>22119</v>
      </c>
      <c r="C1528" t="s">
        <v>22120</v>
      </c>
      <c r="D1528" s="45" t="str">
        <f t="shared" si="38"/>
        <v>2023.001B.Leviviricetes_reorg.zip</v>
      </c>
    </row>
    <row r="1529" spans="1:4">
      <c r="A1529" t="s">
        <v>11672</v>
      </c>
      <c r="B1529" t="s">
        <v>22121</v>
      </c>
      <c r="C1529" t="s">
        <v>22122</v>
      </c>
      <c r="D1529" s="45" t="str">
        <f t="shared" si="38"/>
        <v>2023.001B.Leviviricetes_reorg.zip</v>
      </c>
    </row>
    <row r="1530" spans="1:4">
      <c r="A1530" t="s">
        <v>11672</v>
      </c>
      <c r="B1530" t="s">
        <v>22123</v>
      </c>
      <c r="C1530" t="s">
        <v>22124</v>
      </c>
      <c r="D1530" s="45" t="str">
        <f t="shared" si="38"/>
        <v>2023.001B.Leviviricetes_reorg.zip</v>
      </c>
    </row>
    <row r="1531" spans="1:4">
      <c r="A1531" t="s">
        <v>11672</v>
      </c>
      <c r="B1531" t="s">
        <v>22125</v>
      </c>
      <c r="C1531" t="s">
        <v>22126</v>
      </c>
      <c r="D1531" s="45" t="str">
        <f t="shared" si="38"/>
        <v>2023.001B.Leviviricetes_reorg.zip</v>
      </c>
    </row>
    <row r="1532" spans="1:4">
      <c r="A1532" t="s">
        <v>11672</v>
      </c>
      <c r="B1532" t="s">
        <v>22127</v>
      </c>
      <c r="C1532" t="s">
        <v>22128</v>
      </c>
      <c r="D1532" s="45" t="str">
        <f t="shared" si="38"/>
        <v>2023.001B.Leviviricetes_reorg.zip</v>
      </c>
    </row>
    <row r="1533" spans="1:4">
      <c r="A1533" t="s">
        <v>11672</v>
      </c>
      <c r="B1533" t="s">
        <v>22129</v>
      </c>
      <c r="C1533" t="s">
        <v>22130</v>
      </c>
      <c r="D1533" s="45" t="str">
        <f t="shared" si="38"/>
        <v>2023.001B.Leviviricetes_reorg.zip</v>
      </c>
    </row>
    <row r="1534" spans="1:4">
      <c r="A1534" t="s">
        <v>11672</v>
      </c>
      <c r="B1534" t="s">
        <v>22131</v>
      </c>
      <c r="C1534" t="s">
        <v>22132</v>
      </c>
      <c r="D1534" s="45" t="str">
        <f t="shared" si="38"/>
        <v>2023.001B.Leviviricetes_reorg.zip</v>
      </c>
    </row>
    <row r="1535" spans="1:4">
      <c r="A1535" t="s">
        <v>11672</v>
      </c>
      <c r="B1535" t="s">
        <v>22133</v>
      </c>
      <c r="C1535" t="s">
        <v>22134</v>
      </c>
      <c r="D1535" s="45" t="str">
        <f t="shared" si="38"/>
        <v>2023.001B.Leviviricetes_reorg.zip</v>
      </c>
    </row>
    <row r="1536" spans="1:4">
      <c r="A1536" t="s">
        <v>11672</v>
      </c>
      <c r="B1536" t="s">
        <v>22135</v>
      </c>
      <c r="C1536" t="s">
        <v>22136</v>
      </c>
      <c r="D1536" s="45" t="str">
        <f t="shared" si="38"/>
        <v>2023.001B.Leviviricetes_reorg.zip</v>
      </c>
    </row>
    <row r="1537" spans="1:4">
      <c r="A1537" t="s">
        <v>11672</v>
      </c>
      <c r="B1537" t="s">
        <v>22137</v>
      </c>
      <c r="C1537" t="s">
        <v>22138</v>
      </c>
      <c r="D1537" s="45" t="str">
        <f t="shared" si="38"/>
        <v>2023.001B.Leviviricetes_reorg.zip</v>
      </c>
    </row>
    <row r="1538" spans="1:4">
      <c r="A1538" t="s">
        <v>11672</v>
      </c>
      <c r="B1538" t="s">
        <v>22139</v>
      </c>
      <c r="C1538" t="s">
        <v>22140</v>
      </c>
      <c r="D1538" s="45" t="str">
        <f t="shared" ref="D1538:D1592" si="39">HYPERLINK("https://ictv.global/ictv/proposals/2023.001B.Leviviricetes_reorg.zip","2023.001B.Leviviricetes_reorg.zip")</f>
        <v>2023.001B.Leviviricetes_reorg.zip</v>
      </c>
    </row>
    <row r="1539" spans="1:4">
      <c r="A1539" t="s">
        <v>11672</v>
      </c>
      <c r="B1539" t="s">
        <v>22141</v>
      </c>
      <c r="C1539" t="s">
        <v>22142</v>
      </c>
      <c r="D1539" s="45" t="str">
        <f t="shared" si="39"/>
        <v>2023.001B.Leviviricetes_reorg.zip</v>
      </c>
    </row>
    <row r="1540" spans="1:4">
      <c r="A1540" t="s">
        <v>11672</v>
      </c>
      <c r="B1540" t="s">
        <v>22143</v>
      </c>
      <c r="C1540" t="s">
        <v>22144</v>
      </c>
      <c r="D1540" s="45" t="str">
        <f t="shared" si="39"/>
        <v>2023.001B.Leviviricetes_reorg.zip</v>
      </c>
    </row>
    <row r="1541" spans="1:4">
      <c r="A1541" t="s">
        <v>11672</v>
      </c>
      <c r="B1541" t="s">
        <v>22145</v>
      </c>
      <c r="C1541" t="s">
        <v>22146</v>
      </c>
      <c r="D1541" s="45" t="str">
        <f t="shared" si="39"/>
        <v>2023.001B.Leviviricetes_reorg.zip</v>
      </c>
    </row>
    <row r="1542" spans="1:4">
      <c r="A1542" t="s">
        <v>11672</v>
      </c>
      <c r="B1542" t="s">
        <v>22147</v>
      </c>
      <c r="C1542" t="s">
        <v>22148</v>
      </c>
      <c r="D1542" s="45" t="str">
        <f t="shared" si="39"/>
        <v>2023.001B.Leviviricetes_reorg.zip</v>
      </c>
    </row>
    <row r="1543" spans="1:4">
      <c r="A1543" t="s">
        <v>11672</v>
      </c>
      <c r="B1543" t="s">
        <v>22149</v>
      </c>
      <c r="C1543" t="s">
        <v>22150</v>
      </c>
      <c r="D1543" s="45" t="str">
        <f t="shared" si="39"/>
        <v>2023.001B.Leviviricetes_reorg.zip</v>
      </c>
    </row>
    <row r="1544" spans="1:4">
      <c r="A1544" t="s">
        <v>11672</v>
      </c>
      <c r="B1544" t="s">
        <v>22151</v>
      </c>
      <c r="C1544" t="s">
        <v>22152</v>
      </c>
      <c r="D1544" s="45" t="str">
        <f t="shared" si="39"/>
        <v>2023.001B.Leviviricetes_reorg.zip</v>
      </c>
    </row>
    <row r="1545" spans="1:4">
      <c r="A1545" t="s">
        <v>11672</v>
      </c>
      <c r="B1545" t="s">
        <v>22153</v>
      </c>
      <c r="C1545" t="s">
        <v>22154</v>
      </c>
      <c r="D1545" s="45" t="str">
        <f t="shared" si="39"/>
        <v>2023.001B.Leviviricetes_reorg.zip</v>
      </c>
    </row>
    <row r="1546" spans="1:4">
      <c r="A1546" t="s">
        <v>11672</v>
      </c>
      <c r="B1546" t="s">
        <v>22155</v>
      </c>
      <c r="C1546" t="s">
        <v>22156</v>
      </c>
      <c r="D1546" s="45" t="str">
        <f t="shared" si="39"/>
        <v>2023.001B.Leviviricetes_reorg.zip</v>
      </c>
    </row>
    <row r="1547" spans="1:4">
      <c r="A1547" t="s">
        <v>11672</v>
      </c>
      <c r="B1547" t="s">
        <v>22157</v>
      </c>
      <c r="C1547" t="s">
        <v>22158</v>
      </c>
      <c r="D1547" s="45" t="str">
        <f t="shared" si="39"/>
        <v>2023.001B.Leviviricetes_reorg.zip</v>
      </c>
    </row>
    <row r="1548" spans="1:4">
      <c r="A1548" t="s">
        <v>11672</v>
      </c>
      <c r="B1548" t="s">
        <v>22159</v>
      </c>
      <c r="C1548" t="s">
        <v>22160</v>
      </c>
      <c r="D1548" s="45" t="str">
        <f t="shared" si="39"/>
        <v>2023.001B.Leviviricetes_reorg.zip</v>
      </c>
    </row>
    <row r="1549" spans="1:4">
      <c r="A1549" t="s">
        <v>11672</v>
      </c>
      <c r="B1549" t="s">
        <v>22161</v>
      </c>
      <c r="C1549" t="s">
        <v>22162</v>
      </c>
      <c r="D1549" s="45" t="str">
        <f t="shared" si="39"/>
        <v>2023.001B.Leviviricetes_reorg.zip</v>
      </c>
    </row>
    <row r="1550" spans="1:4">
      <c r="A1550" t="s">
        <v>11672</v>
      </c>
      <c r="B1550" t="s">
        <v>22163</v>
      </c>
      <c r="C1550" t="s">
        <v>22164</v>
      </c>
      <c r="D1550" s="45" t="str">
        <f t="shared" si="39"/>
        <v>2023.001B.Leviviricetes_reorg.zip</v>
      </c>
    </row>
    <row r="1551" spans="1:4">
      <c r="A1551" t="s">
        <v>11672</v>
      </c>
      <c r="B1551" t="s">
        <v>22165</v>
      </c>
      <c r="C1551" t="s">
        <v>22166</v>
      </c>
      <c r="D1551" s="45" t="str">
        <f t="shared" si="39"/>
        <v>2023.001B.Leviviricetes_reorg.zip</v>
      </c>
    </row>
    <row r="1552" spans="1:4">
      <c r="A1552" t="s">
        <v>11672</v>
      </c>
      <c r="B1552" t="s">
        <v>22167</v>
      </c>
      <c r="C1552" t="s">
        <v>22168</v>
      </c>
      <c r="D1552" s="45" t="str">
        <f t="shared" si="39"/>
        <v>2023.001B.Leviviricetes_reorg.zip</v>
      </c>
    </row>
    <row r="1553" spans="1:4">
      <c r="A1553" t="s">
        <v>11672</v>
      </c>
      <c r="B1553" t="s">
        <v>22169</v>
      </c>
      <c r="C1553" t="s">
        <v>22170</v>
      </c>
      <c r="D1553" s="45" t="str">
        <f t="shared" si="39"/>
        <v>2023.001B.Leviviricetes_reorg.zip</v>
      </c>
    </row>
    <row r="1554" spans="1:4">
      <c r="A1554" t="s">
        <v>11672</v>
      </c>
      <c r="B1554" t="s">
        <v>22171</v>
      </c>
      <c r="C1554" t="s">
        <v>22172</v>
      </c>
      <c r="D1554" s="45" t="str">
        <f t="shared" si="39"/>
        <v>2023.001B.Leviviricetes_reorg.zip</v>
      </c>
    </row>
    <row r="1555" spans="1:4">
      <c r="A1555" t="s">
        <v>11672</v>
      </c>
      <c r="B1555" t="s">
        <v>22173</v>
      </c>
      <c r="C1555" t="s">
        <v>22174</v>
      </c>
      <c r="D1555" s="45" t="str">
        <f t="shared" si="39"/>
        <v>2023.001B.Leviviricetes_reorg.zip</v>
      </c>
    </row>
    <row r="1556" spans="1:4">
      <c r="A1556" t="s">
        <v>11672</v>
      </c>
      <c r="B1556" t="s">
        <v>22175</v>
      </c>
      <c r="C1556" t="s">
        <v>22176</v>
      </c>
      <c r="D1556" s="45" t="str">
        <f t="shared" si="39"/>
        <v>2023.001B.Leviviricetes_reorg.zip</v>
      </c>
    </row>
    <row r="1557" spans="1:4">
      <c r="A1557" t="s">
        <v>11672</v>
      </c>
      <c r="B1557" t="s">
        <v>22177</v>
      </c>
      <c r="C1557" t="s">
        <v>22178</v>
      </c>
      <c r="D1557" s="45" t="str">
        <f t="shared" si="39"/>
        <v>2023.001B.Leviviricetes_reorg.zip</v>
      </c>
    </row>
    <row r="1558" spans="1:4">
      <c r="A1558" t="s">
        <v>11672</v>
      </c>
      <c r="B1558" t="s">
        <v>22179</v>
      </c>
      <c r="C1558" t="s">
        <v>22180</v>
      </c>
      <c r="D1558" s="45" t="str">
        <f t="shared" si="39"/>
        <v>2023.001B.Leviviricetes_reorg.zip</v>
      </c>
    </row>
    <row r="1559" spans="1:4">
      <c r="A1559" t="s">
        <v>11672</v>
      </c>
      <c r="B1559" t="s">
        <v>22181</v>
      </c>
      <c r="C1559" t="s">
        <v>22182</v>
      </c>
      <c r="D1559" s="45" t="str">
        <f t="shared" si="39"/>
        <v>2023.001B.Leviviricetes_reorg.zip</v>
      </c>
    </row>
    <row r="1560" spans="1:4">
      <c r="A1560" t="s">
        <v>11672</v>
      </c>
      <c r="B1560" t="s">
        <v>22183</v>
      </c>
      <c r="C1560" t="s">
        <v>22184</v>
      </c>
      <c r="D1560" s="45" t="str">
        <f t="shared" si="39"/>
        <v>2023.001B.Leviviricetes_reorg.zip</v>
      </c>
    </row>
    <row r="1561" spans="1:4">
      <c r="A1561" t="s">
        <v>11672</v>
      </c>
      <c r="B1561" t="s">
        <v>22185</v>
      </c>
      <c r="C1561" t="s">
        <v>22186</v>
      </c>
      <c r="D1561" s="45" t="str">
        <f t="shared" si="39"/>
        <v>2023.001B.Leviviricetes_reorg.zip</v>
      </c>
    </row>
    <row r="1562" spans="1:4">
      <c r="A1562" t="s">
        <v>11672</v>
      </c>
      <c r="B1562" t="s">
        <v>22187</v>
      </c>
      <c r="C1562" t="s">
        <v>22188</v>
      </c>
      <c r="D1562" s="45" t="str">
        <f t="shared" si="39"/>
        <v>2023.001B.Leviviricetes_reorg.zip</v>
      </c>
    </row>
    <row r="1563" spans="1:4">
      <c r="A1563" t="s">
        <v>11672</v>
      </c>
      <c r="B1563" t="s">
        <v>22189</v>
      </c>
      <c r="C1563" t="s">
        <v>22190</v>
      </c>
      <c r="D1563" s="45" t="str">
        <f t="shared" si="39"/>
        <v>2023.001B.Leviviricetes_reorg.zip</v>
      </c>
    </row>
    <row r="1564" spans="1:4">
      <c r="A1564" t="s">
        <v>11672</v>
      </c>
      <c r="B1564" t="s">
        <v>22191</v>
      </c>
      <c r="C1564" t="s">
        <v>22192</v>
      </c>
      <c r="D1564" s="45" t="str">
        <f t="shared" si="39"/>
        <v>2023.001B.Leviviricetes_reorg.zip</v>
      </c>
    </row>
    <row r="1565" spans="1:4">
      <c r="A1565" t="s">
        <v>11672</v>
      </c>
      <c r="B1565" t="s">
        <v>22193</v>
      </c>
      <c r="C1565" t="s">
        <v>22194</v>
      </c>
      <c r="D1565" s="45" t="str">
        <f t="shared" si="39"/>
        <v>2023.001B.Leviviricetes_reorg.zip</v>
      </c>
    </row>
    <row r="1566" spans="1:4">
      <c r="A1566" t="s">
        <v>11672</v>
      </c>
      <c r="B1566" t="s">
        <v>22195</v>
      </c>
      <c r="C1566" t="s">
        <v>22196</v>
      </c>
      <c r="D1566" s="45" t="str">
        <f t="shared" si="39"/>
        <v>2023.001B.Leviviricetes_reorg.zip</v>
      </c>
    </row>
    <row r="1567" spans="1:4">
      <c r="A1567" t="s">
        <v>11672</v>
      </c>
      <c r="B1567" t="s">
        <v>22197</v>
      </c>
      <c r="C1567" t="s">
        <v>22198</v>
      </c>
      <c r="D1567" s="45" t="str">
        <f t="shared" si="39"/>
        <v>2023.001B.Leviviricetes_reorg.zip</v>
      </c>
    </row>
    <row r="1568" spans="1:4">
      <c r="A1568" t="s">
        <v>11672</v>
      </c>
      <c r="B1568" t="s">
        <v>22199</v>
      </c>
      <c r="C1568" t="s">
        <v>22200</v>
      </c>
      <c r="D1568" s="45" t="str">
        <f t="shared" si="39"/>
        <v>2023.001B.Leviviricetes_reorg.zip</v>
      </c>
    </row>
    <row r="1569" spans="1:4">
      <c r="A1569" t="s">
        <v>11672</v>
      </c>
      <c r="B1569" t="s">
        <v>22201</v>
      </c>
      <c r="C1569" t="s">
        <v>22202</v>
      </c>
      <c r="D1569" s="45" t="str">
        <f t="shared" si="39"/>
        <v>2023.001B.Leviviricetes_reorg.zip</v>
      </c>
    </row>
    <row r="1570" spans="1:4">
      <c r="A1570" t="s">
        <v>11672</v>
      </c>
      <c r="B1570" t="s">
        <v>22203</v>
      </c>
      <c r="C1570" t="s">
        <v>22204</v>
      </c>
      <c r="D1570" s="45" t="str">
        <f t="shared" si="39"/>
        <v>2023.001B.Leviviricetes_reorg.zip</v>
      </c>
    </row>
    <row r="1571" spans="1:4">
      <c r="A1571" t="s">
        <v>11672</v>
      </c>
      <c r="B1571" t="s">
        <v>22205</v>
      </c>
      <c r="C1571" t="s">
        <v>22206</v>
      </c>
      <c r="D1571" s="45" t="str">
        <f t="shared" si="39"/>
        <v>2023.001B.Leviviricetes_reorg.zip</v>
      </c>
    </row>
    <row r="1572" spans="1:4">
      <c r="A1572" t="s">
        <v>11672</v>
      </c>
      <c r="B1572" t="s">
        <v>22207</v>
      </c>
      <c r="C1572" t="s">
        <v>22208</v>
      </c>
      <c r="D1572" s="45" t="str">
        <f t="shared" si="39"/>
        <v>2023.001B.Leviviricetes_reorg.zip</v>
      </c>
    </row>
    <row r="1573" spans="1:4">
      <c r="A1573" t="s">
        <v>11672</v>
      </c>
      <c r="B1573" t="s">
        <v>22209</v>
      </c>
      <c r="C1573" t="s">
        <v>22210</v>
      </c>
      <c r="D1573" s="45" t="str">
        <f t="shared" si="39"/>
        <v>2023.001B.Leviviricetes_reorg.zip</v>
      </c>
    </row>
    <row r="1574" spans="1:4">
      <c r="A1574" t="s">
        <v>11672</v>
      </c>
      <c r="B1574" t="s">
        <v>22211</v>
      </c>
      <c r="C1574" t="s">
        <v>22212</v>
      </c>
      <c r="D1574" s="45" t="str">
        <f t="shared" si="39"/>
        <v>2023.001B.Leviviricetes_reorg.zip</v>
      </c>
    </row>
    <row r="1575" spans="1:4">
      <c r="A1575" t="s">
        <v>11672</v>
      </c>
      <c r="B1575" t="s">
        <v>22213</v>
      </c>
      <c r="C1575" t="s">
        <v>22214</v>
      </c>
      <c r="D1575" s="45" t="str">
        <f t="shared" si="39"/>
        <v>2023.001B.Leviviricetes_reorg.zip</v>
      </c>
    </row>
    <row r="1576" spans="1:4">
      <c r="A1576" t="s">
        <v>11672</v>
      </c>
      <c r="B1576" t="s">
        <v>22215</v>
      </c>
      <c r="C1576" t="s">
        <v>22216</v>
      </c>
      <c r="D1576" s="45" t="str">
        <f t="shared" si="39"/>
        <v>2023.001B.Leviviricetes_reorg.zip</v>
      </c>
    </row>
    <row r="1577" spans="1:4">
      <c r="A1577" t="s">
        <v>11672</v>
      </c>
      <c r="B1577" t="s">
        <v>22217</v>
      </c>
      <c r="C1577" t="s">
        <v>22218</v>
      </c>
      <c r="D1577" s="45" t="str">
        <f t="shared" si="39"/>
        <v>2023.001B.Leviviricetes_reorg.zip</v>
      </c>
    </row>
    <row r="1578" spans="1:4">
      <c r="A1578" t="s">
        <v>11672</v>
      </c>
      <c r="B1578" t="s">
        <v>22219</v>
      </c>
      <c r="C1578" t="s">
        <v>22220</v>
      </c>
      <c r="D1578" s="45" t="str">
        <f t="shared" si="39"/>
        <v>2023.001B.Leviviricetes_reorg.zip</v>
      </c>
    </row>
    <row r="1579" spans="1:4">
      <c r="A1579" t="s">
        <v>11672</v>
      </c>
      <c r="B1579" t="s">
        <v>22221</v>
      </c>
      <c r="C1579" t="s">
        <v>22222</v>
      </c>
      <c r="D1579" s="45" t="str">
        <f t="shared" si="39"/>
        <v>2023.001B.Leviviricetes_reorg.zip</v>
      </c>
    </row>
    <row r="1580" spans="1:4">
      <c r="A1580" t="s">
        <v>11672</v>
      </c>
      <c r="B1580" t="s">
        <v>22223</v>
      </c>
      <c r="C1580" t="s">
        <v>22224</v>
      </c>
      <c r="D1580" s="45" t="str">
        <f t="shared" si="39"/>
        <v>2023.001B.Leviviricetes_reorg.zip</v>
      </c>
    </row>
    <row r="1581" spans="1:4">
      <c r="A1581" t="s">
        <v>11672</v>
      </c>
      <c r="B1581" t="s">
        <v>22225</v>
      </c>
      <c r="C1581" t="s">
        <v>22226</v>
      </c>
      <c r="D1581" s="45" t="str">
        <f t="shared" si="39"/>
        <v>2023.001B.Leviviricetes_reorg.zip</v>
      </c>
    </row>
    <row r="1582" spans="1:4">
      <c r="A1582" t="s">
        <v>11672</v>
      </c>
      <c r="B1582" t="s">
        <v>22227</v>
      </c>
      <c r="C1582" t="s">
        <v>22228</v>
      </c>
      <c r="D1582" s="45" t="str">
        <f t="shared" si="39"/>
        <v>2023.001B.Leviviricetes_reorg.zip</v>
      </c>
    </row>
    <row r="1583" spans="1:4">
      <c r="A1583" t="s">
        <v>11672</v>
      </c>
      <c r="B1583" t="s">
        <v>22229</v>
      </c>
      <c r="C1583" t="s">
        <v>22230</v>
      </c>
      <c r="D1583" s="45" t="str">
        <f t="shared" si="39"/>
        <v>2023.001B.Leviviricetes_reorg.zip</v>
      </c>
    </row>
    <row r="1584" spans="1:4">
      <c r="A1584" t="s">
        <v>11672</v>
      </c>
      <c r="B1584" t="s">
        <v>22231</v>
      </c>
      <c r="C1584" t="s">
        <v>22232</v>
      </c>
      <c r="D1584" s="45" t="str">
        <f t="shared" si="39"/>
        <v>2023.001B.Leviviricetes_reorg.zip</v>
      </c>
    </row>
    <row r="1585" spans="1:4">
      <c r="A1585" t="s">
        <v>11672</v>
      </c>
      <c r="B1585" t="s">
        <v>22233</v>
      </c>
      <c r="C1585" t="s">
        <v>22234</v>
      </c>
      <c r="D1585" s="45" t="str">
        <f t="shared" si="39"/>
        <v>2023.001B.Leviviricetes_reorg.zip</v>
      </c>
    </row>
    <row r="1586" spans="1:4">
      <c r="A1586" t="s">
        <v>11672</v>
      </c>
      <c r="B1586" t="s">
        <v>22235</v>
      </c>
      <c r="C1586" t="s">
        <v>22236</v>
      </c>
      <c r="D1586" s="45" t="str">
        <f t="shared" si="39"/>
        <v>2023.001B.Leviviricetes_reorg.zip</v>
      </c>
    </row>
    <row r="1587" spans="1:4">
      <c r="A1587" t="s">
        <v>11672</v>
      </c>
      <c r="B1587" t="s">
        <v>22237</v>
      </c>
      <c r="C1587" t="s">
        <v>22238</v>
      </c>
      <c r="D1587" s="45" t="str">
        <f t="shared" si="39"/>
        <v>2023.001B.Leviviricetes_reorg.zip</v>
      </c>
    </row>
    <row r="1588" spans="1:4">
      <c r="A1588" t="s">
        <v>11672</v>
      </c>
      <c r="B1588" t="s">
        <v>22239</v>
      </c>
      <c r="C1588" t="s">
        <v>22240</v>
      </c>
      <c r="D1588" s="45" t="str">
        <f t="shared" si="39"/>
        <v>2023.001B.Leviviricetes_reorg.zip</v>
      </c>
    </row>
    <row r="1589" spans="1:4">
      <c r="A1589" t="s">
        <v>11672</v>
      </c>
      <c r="B1589" t="s">
        <v>22241</v>
      </c>
      <c r="C1589" t="s">
        <v>22242</v>
      </c>
      <c r="D1589" s="45" t="str">
        <f t="shared" si="39"/>
        <v>2023.001B.Leviviricetes_reorg.zip</v>
      </c>
    </row>
    <row r="1590" spans="1:4">
      <c r="A1590" t="s">
        <v>11672</v>
      </c>
      <c r="B1590" t="s">
        <v>22243</v>
      </c>
      <c r="C1590" t="s">
        <v>22244</v>
      </c>
      <c r="D1590" s="45" t="str">
        <f t="shared" si="39"/>
        <v>2023.001B.Leviviricetes_reorg.zip</v>
      </c>
    </row>
    <row r="1591" spans="1:4">
      <c r="A1591" t="s">
        <v>11672</v>
      </c>
      <c r="B1591" t="s">
        <v>22245</v>
      </c>
      <c r="C1591" t="s">
        <v>22246</v>
      </c>
      <c r="D1591" s="45" t="str">
        <f t="shared" si="39"/>
        <v>2023.001B.Leviviricetes_reorg.zip</v>
      </c>
    </row>
    <row r="1592" spans="1:4">
      <c r="A1592" t="s">
        <v>11672</v>
      </c>
      <c r="B1592" t="s">
        <v>22247</v>
      </c>
      <c r="C1592" t="s">
        <v>22248</v>
      </c>
      <c r="D1592" s="45" t="str">
        <f t="shared" si="39"/>
        <v>2023.001B.Leviviricetes_reorg.zip</v>
      </c>
    </row>
    <row r="1593" spans="1:4">
      <c r="A1593" t="s">
        <v>11672</v>
      </c>
      <c r="B1593" t="s">
        <v>22249</v>
      </c>
      <c r="C1593" t="s">
        <v>22250</v>
      </c>
      <c r="D1593" s="45" t="str">
        <f>HYPERLINK("https://ictv.global/ictv/proposals/2023.001F.Botourmiaviridae_move_rename1sp.zip","2023.001F.Botourmiaviridae_move_rename1sp.zip")</f>
        <v>2023.001F.Botourmiaviridae_move_rename1sp.zip</v>
      </c>
    </row>
    <row r="1594" spans="1:4">
      <c r="A1594" t="s">
        <v>11672</v>
      </c>
      <c r="B1594" t="s">
        <v>11684</v>
      </c>
      <c r="C1594" t="s">
        <v>22253</v>
      </c>
      <c r="D1594" s="45" t="str">
        <f t="shared" ref="D1594:D1599" si="40">HYPERLINK("https://ictv.global/ictv/proposals/2023.018M.Paramyxoviridae_reorg.zip","2023.018M.Paramyxoviridae_reorg.zip")</f>
        <v>2023.018M.Paramyxoviridae_reorg.zip</v>
      </c>
    </row>
    <row r="1595" spans="1:4">
      <c r="A1595" t="s">
        <v>11672</v>
      </c>
      <c r="B1595" t="s">
        <v>22254</v>
      </c>
      <c r="C1595" t="s">
        <v>22255</v>
      </c>
      <c r="D1595" s="45" t="str">
        <f t="shared" si="40"/>
        <v>2023.018M.Paramyxoviridae_reorg.zip</v>
      </c>
    </row>
    <row r="1596" spans="1:4">
      <c r="A1596" t="s">
        <v>11672</v>
      </c>
      <c r="B1596" t="s">
        <v>22256</v>
      </c>
      <c r="C1596" t="s">
        <v>22257</v>
      </c>
      <c r="D1596" s="45" t="str">
        <f t="shared" si="40"/>
        <v>2023.018M.Paramyxoviridae_reorg.zip</v>
      </c>
    </row>
    <row r="1597" spans="1:4">
      <c r="A1597" t="s">
        <v>11672</v>
      </c>
      <c r="B1597" t="s">
        <v>22258</v>
      </c>
      <c r="C1597" t="s">
        <v>22259</v>
      </c>
      <c r="D1597" s="45" t="str">
        <f t="shared" si="40"/>
        <v>2023.018M.Paramyxoviridae_reorg.zip</v>
      </c>
    </row>
    <row r="1598" spans="1:4">
      <c r="A1598" t="s">
        <v>11672</v>
      </c>
      <c r="B1598" t="s">
        <v>11683</v>
      </c>
      <c r="C1598" t="s">
        <v>22260</v>
      </c>
      <c r="D1598" s="45" t="str">
        <f t="shared" si="40"/>
        <v>2023.018M.Paramyxoviridae_reorg.zip</v>
      </c>
    </row>
    <row r="1599" spans="1:4">
      <c r="A1599" t="s">
        <v>11672</v>
      </c>
      <c r="B1599" t="s">
        <v>11682</v>
      </c>
      <c r="C1599" t="s">
        <v>22261</v>
      </c>
      <c r="D1599" s="45" t="str">
        <f t="shared" si="40"/>
        <v>2023.018M.Paramyxoviridae_reorg.zip</v>
      </c>
    </row>
    <row r="1600" spans="1:4">
      <c r="A1600" t="s">
        <v>11672</v>
      </c>
      <c r="B1600" t="s">
        <v>22262</v>
      </c>
      <c r="C1600" t="s">
        <v>22263</v>
      </c>
      <c r="D1600" s="45" t="str">
        <f>HYPERLINK("https://ictv.global/ictv/proposals/2023.001M.Almendravirus_1sp_rename.zip","2023.001M.Almendravirus_1sp_rename.zip")</f>
        <v>2023.001M.Almendravirus_1sp_rename.zip</v>
      </c>
    </row>
    <row r="1601" spans="1:4">
      <c r="A1601" t="s">
        <v>11672</v>
      </c>
      <c r="B1601" t="s">
        <v>22264</v>
      </c>
      <c r="C1601" t="s">
        <v>22265</v>
      </c>
      <c r="D1601" s="45" t="str">
        <f>HYPERLINK("https://ictv.global/ictv/proposals/2023.004M.Betarhabdovirinae_2ngen_9nsp_move1sp.zip","2023.004M.Betarhabdovirinae_2ngen_9nsp_move1sp.zip")</f>
        <v>2023.004M.Betarhabdovirinae_2ngen_9nsp_move1sp.zip</v>
      </c>
    </row>
    <row r="1602" spans="1:4">
      <c r="A1602" t="s">
        <v>11672</v>
      </c>
      <c r="B1602" t="s">
        <v>22266</v>
      </c>
      <c r="C1602" t="s">
        <v>22267</v>
      </c>
      <c r="D1602" s="45" t="str">
        <f>HYPERLINK("https://ictv.global/ictv/proposals/2023.022M.Varicosavirus_32nsp.zip","2023.022M.Varicosavirus_32nsp.zip")</f>
        <v>2023.022M.Varicosavirus_32nsp.zip</v>
      </c>
    </row>
    <row r="1603" spans="1:4">
      <c r="A1603" t="s">
        <v>11672</v>
      </c>
      <c r="B1603" t="s">
        <v>11681</v>
      </c>
      <c r="C1603" t="s">
        <v>22272</v>
      </c>
      <c r="D1603" s="45" t="str">
        <f>HYPERLINK("https://ictv.global/ictv/proposals/2023.035M.Hantaviridae_reorg.zip","2023.035M.Hantaviridae_reorg.zip")</f>
        <v>2023.035M.Hantaviridae_reorg.zip</v>
      </c>
    </row>
    <row r="1604" spans="1:4">
      <c r="A1604" t="s">
        <v>11672</v>
      </c>
      <c r="B1604" t="s">
        <v>11678</v>
      </c>
      <c r="C1604" t="s">
        <v>22273</v>
      </c>
      <c r="D1604" s="45" t="str">
        <f>HYPERLINK("https://ictv.global/ictv/proposals/2023.035M.Hantaviridae_reorg.zip","2023.035M.Hantaviridae_reorg.zip")</f>
        <v>2023.035M.Hantaviridae_reorg.zip</v>
      </c>
    </row>
    <row r="1605" spans="1:4">
      <c r="A1605" t="s">
        <v>11672</v>
      </c>
      <c r="B1605" t="s">
        <v>11680</v>
      </c>
      <c r="C1605" t="s">
        <v>22274</v>
      </c>
      <c r="D1605" s="45" t="str">
        <f>HYPERLINK("https://ictv.global/ictv/proposals/2023.035M.Hantaviridae_reorg.zip","2023.035M.Hantaviridae_reorg.zip")</f>
        <v>2023.035M.Hantaviridae_reorg.zip</v>
      </c>
    </row>
    <row r="1606" spans="1:4">
      <c r="A1606" t="s">
        <v>11672</v>
      </c>
      <c r="B1606" t="s">
        <v>11679</v>
      </c>
      <c r="C1606" t="s">
        <v>22275</v>
      </c>
      <c r="D1606" s="45" t="str">
        <f>HYPERLINK("https://ictv.global/ictv/proposals/2023.035M.Hantaviridae_reorg.zip","2023.035M.Hantaviridae_reorg.zip")</f>
        <v>2023.035M.Hantaviridae_reorg.zip</v>
      </c>
    </row>
    <row r="1607" spans="1:4">
      <c r="A1607" t="s">
        <v>11672</v>
      </c>
      <c r="B1607" t="s">
        <v>11677</v>
      </c>
      <c r="C1607" t="s">
        <v>22276</v>
      </c>
      <c r="D1607" s="45" t="str">
        <f>HYPERLINK("https://ictv.global/ictv/proposals/2023.019M.Phenuiviridae_1ng_1nsp_1spmr.zip","2023.019M.Phenuiviridae_1ng_1nsp_1spmr.zip")</f>
        <v>2023.019M.Phenuiviridae_1ng_1nsp_1spmr.zip</v>
      </c>
    </row>
    <row r="1608" spans="1:4">
      <c r="A1608" t="s">
        <v>11672</v>
      </c>
      <c r="B1608" t="s">
        <v>22277</v>
      </c>
      <c r="C1608" t="s">
        <v>22278</v>
      </c>
      <c r="D1608" s="45" t="str">
        <f>HYPERLINK("https://ictv.global/ictv/proposals/2023.032M.Phlebovirus_1nsp_rename.zip","2023.032M.Phlebovirus_1nsp_rename.zip")</f>
        <v>2023.032M.Phlebovirus_1nsp_rename.zip</v>
      </c>
    </row>
    <row r="1609" spans="1:4">
      <c r="A1609" t="s">
        <v>11672</v>
      </c>
      <c r="B1609" t="s">
        <v>22279</v>
      </c>
      <c r="C1609" t="s">
        <v>22280</v>
      </c>
      <c r="D1609" s="45" t="str">
        <f t="shared" ref="D1609:D1616" si="41">HYPERLINK("https://ictv.global/ictv/proposals/2023.006F.Curvulaviridae_spren.zip","2023.006F.Curvulaviridae_spren.zip")</f>
        <v>2023.006F.Curvulaviridae_spren.zip</v>
      </c>
    </row>
    <row r="1610" spans="1:4">
      <c r="A1610" t="s">
        <v>11672</v>
      </c>
      <c r="B1610" t="s">
        <v>22281</v>
      </c>
      <c r="C1610" t="s">
        <v>22282</v>
      </c>
      <c r="D1610" s="45" t="str">
        <f t="shared" si="41"/>
        <v>2023.006F.Curvulaviridae_spren.zip</v>
      </c>
    </row>
    <row r="1611" spans="1:4">
      <c r="A1611" t="s">
        <v>11672</v>
      </c>
      <c r="B1611" t="s">
        <v>22283</v>
      </c>
      <c r="C1611" t="s">
        <v>22284</v>
      </c>
      <c r="D1611" s="45" t="str">
        <f t="shared" si="41"/>
        <v>2023.006F.Curvulaviridae_spren.zip</v>
      </c>
    </row>
    <row r="1612" spans="1:4">
      <c r="A1612" t="s">
        <v>11672</v>
      </c>
      <c r="B1612" t="s">
        <v>22285</v>
      </c>
      <c r="C1612" t="s">
        <v>22286</v>
      </c>
      <c r="D1612" s="45" t="str">
        <f t="shared" si="41"/>
        <v>2023.006F.Curvulaviridae_spren.zip</v>
      </c>
    </row>
    <row r="1613" spans="1:4">
      <c r="A1613" t="s">
        <v>11672</v>
      </c>
      <c r="B1613" t="s">
        <v>22287</v>
      </c>
      <c r="C1613" t="s">
        <v>22288</v>
      </c>
      <c r="D1613" s="45" t="str">
        <f t="shared" si="41"/>
        <v>2023.006F.Curvulaviridae_spren.zip</v>
      </c>
    </row>
    <row r="1614" spans="1:4">
      <c r="A1614" t="s">
        <v>11672</v>
      </c>
      <c r="B1614" t="s">
        <v>22289</v>
      </c>
      <c r="C1614" t="s">
        <v>22290</v>
      </c>
      <c r="D1614" s="45" t="str">
        <f t="shared" si="41"/>
        <v>2023.006F.Curvulaviridae_spren.zip</v>
      </c>
    </row>
    <row r="1615" spans="1:4">
      <c r="A1615" t="s">
        <v>11672</v>
      </c>
      <c r="B1615" t="s">
        <v>22291</v>
      </c>
      <c r="C1615" t="s">
        <v>22292</v>
      </c>
      <c r="D1615" s="45" t="str">
        <f t="shared" si="41"/>
        <v>2023.006F.Curvulaviridae_spren.zip</v>
      </c>
    </row>
    <row r="1616" spans="1:4">
      <c r="A1616" t="s">
        <v>11672</v>
      </c>
      <c r="B1616" t="s">
        <v>22293</v>
      </c>
      <c r="C1616" t="s">
        <v>22294</v>
      </c>
      <c r="D1616" s="45" t="str">
        <f t="shared" si="41"/>
        <v>2023.006F.Curvulaviridae_spren.zip</v>
      </c>
    </row>
    <row r="1617" spans="1:4">
      <c r="A1617" t="s">
        <v>11672</v>
      </c>
      <c r="B1617" t="s">
        <v>22295</v>
      </c>
      <c r="C1617" t="s">
        <v>22296</v>
      </c>
      <c r="D1617" s="45" t="str">
        <f t="shared" ref="D1617:D1661" si="42">HYPERLINK("https://ictv.global/ictv/proposals/2023.012F.Partitiviridae_abolish15sp_spren.zip","2023.012F.Partitiviridae_abolish15sp_spren.zip")</f>
        <v>2023.012F.Partitiviridae_abolish15sp_spren.zip</v>
      </c>
    </row>
    <row r="1618" spans="1:4">
      <c r="A1618" t="s">
        <v>11672</v>
      </c>
      <c r="B1618" t="s">
        <v>22297</v>
      </c>
      <c r="C1618" t="s">
        <v>22298</v>
      </c>
      <c r="D1618" s="45" t="str">
        <f t="shared" si="42"/>
        <v>2023.012F.Partitiviridae_abolish15sp_spren.zip</v>
      </c>
    </row>
    <row r="1619" spans="1:4">
      <c r="A1619" t="s">
        <v>11672</v>
      </c>
      <c r="B1619" t="s">
        <v>22299</v>
      </c>
      <c r="C1619" t="s">
        <v>22300</v>
      </c>
      <c r="D1619" s="45" t="str">
        <f t="shared" si="42"/>
        <v>2023.012F.Partitiviridae_abolish15sp_spren.zip</v>
      </c>
    </row>
    <row r="1620" spans="1:4">
      <c r="A1620" t="s">
        <v>11672</v>
      </c>
      <c r="B1620" t="s">
        <v>22301</v>
      </c>
      <c r="C1620" t="s">
        <v>22302</v>
      </c>
      <c r="D1620" s="45" t="str">
        <f t="shared" si="42"/>
        <v>2023.012F.Partitiviridae_abolish15sp_spren.zip</v>
      </c>
    </row>
    <row r="1621" spans="1:4">
      <c r="A1621" t="s">
        <v>11672</v>
      </c>
      <c r="B1621" t="s">
        <v>22303</v>
      </c>
      <c r="C1621" t="s">
        <v>22304</v>
      </c>
      <c r="D1621" s="45" t="str">
        <f t="shared" si="42"/>
        <v>2023.012F.Partitiviridae_abolish15sp_spren.zip</v>
      </c>
    </row>
    <row r="1622" spans="1:4">
      <c r="A1622" t="s">
        <v>11672</v>
      </c>
      <c r="B1622" t="s">
        <v>22305</v>
      </c>
      <c r="C1622" t="s">
        <v>22306</v>
      </c>
      <c r="D1622" s="45" t="str">
        <f t="shared" si="42"/>
        <v>2023.012F.Partitiviridae_abolish15sp_spren.zip</v>
      </c>
    </row>
    <row r="1623" spans="1:4">
      <c r="A1623" t="s">
        <v>11672</v>
      </c>
      <c r="B1623" t="s">
        <v>22307</v>
      </c>
      <c r="C1623" t="s">
        <v>22308</v>
      </c>
      <c r="D1623" s="45" t="str">
        <f t="shared" si="42"/>
        <v>2023.012F.Partitiviridae_abolish15sp_spren.zip</v>
      </c>
    </row>
    <row r="1624" spans="1:4">
      <c r="A1624" t="s">
        <v>11672</v>
      </c>
      <c r="B1624" t="s">
        <v>22309</v>
      </c>
      <c r="C1624" t="s">
        <v>22310</v>
      </c>
      <c r="D1624" s="45" t="str">
        <f t="shared" si="42"/>
        <v>2023.012F.Partitiviridae_abolish15sp_spren.zip</v>
      </c>
    </row>
    <row r="1625" spans="1:4">
      <c r="A1625" t="s">
        <v>11672</v>
      </c>
      <c r="B1625" t="s">
        <v>22311</v>
      </c>
      <c r="C1625" t="s">
        <v>22312</v>
      </c>
      <c r="D1625" s="45" t="str">
        <f t="shared" si="42"/>
        <v>2023.012F.Partitiviridae_abolish15sp_spren.zip</v>
      </c>
    </row>
    <row r="1626" spans="1:4">
      <c r="A1626" t="s">
        <v>11672</v>
      </c>
      <c r="B1626" t="s">
        <v>22313</v>
      </c>
      <c r="C1626" t="s">
        <v>22314</v>
      </c>
      <c r="D1626" s="45" t="str">
        <f t="shared" si="42"/>
        <v>2023.012F.Partitiviridae_abolish15sp_spren.zip</v>
      </c>
    </row>
    <row r="1627" spans="1:4">
      <c r="A1627" t="s">
        <v>11672</v>
      </c>
      <c r="B1627" t="s">
        <v>22315</v>
      </c>
      <c r="C1627" t="s">
        <v>22316</v>
      </c>
      <c r="D1627" s="45" t="str">
        <f t="shared" si="42"/>
        <v>2023.012F.Partitiviridae_abolish15sp_spren.zip</v>
      </c>
    </row>
    <row r="1628" spans="1:4">
      <c r="A1628" t="s">
        <v>11672</v>
      </c>
      <c r="B1628" t="s">
        <v>22317</v>
      </c>
      <c r="C1628" t="s">
        <v>22318</v>
      </c>
      <c r="D1628" s="45" t="str">
        <f t="shared" si="42"/>
        <v>2023.012F.Partitiviridae_abolish15sp_spren.zip</v>
      </c>
    </row>
    <row r="1629" spans="1:4">
      <c r="A1629" t="s">
        <v>11672</v>
      </c>
      <c r="B1629" t="s">
        <v>22319</v>
      </c>
      <c r="C1629" t="s">
        <v>22320</v>
      </c>
      <c r="D1629" s="45" t="str">
        <f t="shared" si="42"/>
        <v>2023.012F.Partitiviridae_abolish15sp_spren.zip</v>
      </c>
    </row>
    <row r="1630" spans="1:4">
      <c r="A1630" t="s">
        <v>11672</v>
      </c>
      <c r="B1630" t="s">
        <v>22321</v>
      </c>
      <c r="C1630" t="s">
        <v>22322</v>
      </c>
      <c r="D1630" s="45" t="str">
        <f t="shared" si="42"/>
        <v>2023.012F.Partitiviridae_abolish15sp_spren.zip</v>
      </c>
    </row>
    <row r="1631" spans="1:4">
      <c r="A1631" t="s">
        <v>11672</v>
      </c>
      <c r="B1631" t="s">
        <v>22323</v>
      </c>
      <c r="C1631" t="s">
        <v>22324</v>
      </c>
      <c r="D1631" s="45" t="str">
        <f t="shared" si="42"/>
        <v>2023.012F.Partitiviridae_abolish15sp_spren.zip</v>
      </c>
    </row>
    <row r="1632" spans="1:4">
      <c r="A1632" t="s">
        <v>11672</v>
      </c>
      <c r="B1632" t="s">
        <v>22325</v>
      </c>
      <c r="C1632" t="s">
        <v>22326</v>
      </c>
      <c r="D1632" s="45" t="str">
        <f t="shared" si="42"/>
        <v>2023.012F.Partitiviridae_abolish15sp_spren.zip</v>
      </c>
    </row>
    <row r="1633" spans="1:4">
      <c r="A1633" t="s">
        <v>11672</v>
      </c>
      <c r="B1633" t="s">
        <v>22327</v>
      </c>
      <c r="C1633" t="s">
        <v>22328</v>
      </c>
      <c r="D1633" s="45" t="str">
        <f t="shared" si="42"/>
        <v>2023.012F.Partitiviridae_abolish15sp_spren.zip</v>
      </c>
    </row>
    <row r="1634" spans="1:4">
      <c r="A1634" t="s">
        <v>11672</v>
      </c>
      <c r="B1634" t="s">
        <v>22329</v>
      </c>
      <c r="C1634" t="s">
        <v>22330</v>
      </c>
      <c r="D1634" s="45" t="str">
        <f t="shared" si="42"/>
        <v>2023.012F.Partitiviridae_abolish15sp_spren.zip</v>
      </c>
    </row>
    <row r="1635" spans="1:4">
      <c r="A1635" t="s">
        <v>11672</v>
      </c>
      <c r="B1635" t="s">
        <v>22331</v>
      </c>
      <c r="C1635" t="s">
        <v>22332</v>
      </c>
      <c r="D1635" s="45" t="str">
        <f t="shared" si="42"/>
        <v>2023.012F.Partitiviridae_abolish15sp_spren.zip</v>
      </c>
    </row>
    <row r="1636" spans="1:4">
      <c r="A1636" t="s">
        <v>11672</v>
      </c>
      <c r="B1636" t="s">
        <v>22333</v>
      </c>
      <c r="C1636" t="s">
        <v>22334</v>
      </c>
      <c r="D1636" s="45" t="str">
        <f t="shared" si="42"/>
        <v>2023.012F.Partitiviridae_abolish15sp_spren.zip</v>
      </c>
    </row>
    <row r="1637" spans="1:4">
      <c r="A1637" t="s">
        <v>11672</v>
      </c>
      <c r="B1637" t="s">
        <v>22335</v>
      </c>
      <c r="C1637" t="s">
        <v>22336</v>
      </c>
      <c r="D1637" s="45" t="str">
        <f t="shared" si="42"/>
        <v>2023.012F.Partitiviridae_abolish15sp_spren.zip</v>
      </c>
    </row>
    <row r="1638" spans="1:4">
      <c r="A1638" t="s">
        <v>11672</v>
      </c>
      <c r="B1638" t="s">
        <v>22337</v>
      </c>
      <c r="C1638" t="s">
        <v>22338</v>
      </c>
      <c r="D1638" s="45" t="str">
        <f t="shared" si="42"/>
        <v>2023.012F.Partitiviridae_abolish15sp_spren.zip</v>
      </c>
    </row>
    <row r="1639" spans="1:4">
      <c r="A1639" t="s">
        <v>11672</v>
      </c>
      <c r="B1639" t="s">
        <v>22339</v>
      </c>
      <c r="C1639" t="s">
        <v>22340</v>
      </c>
      <c r="D1639" s="45" t="str">
        <f t="shared" si="42"/>
        <v>2023.012F.Partitiviridae_abolish15sp_spren.zip</v>
      </c>
    </row>
    <row r="1640" spans="1:4">
      <c r="A1640" t="s">
        <v>11672</v>
      </c>
      <c r="B1640" t="s">
        <v>22341</v>
      </c>
      <c r="C1640" t="s">
        <v>22342</v>
      </c>
      <c r="D1640" s="45" t="str">
        <f t="shared" si="42"/>
        <v>2023.012F.Partitiviridae_abolish15sp_spren.zip</v>
      </c>
    </row>
    <row r="1641" spans="1:4">
      <c r="A1641" t="s">
        <v>11672</v>
      </c>
      <c r="B1641" t="s">
        <v>22343</v>
      </c>
      <c r="C1641" t="s">
        <v>22344</v>
      </c>
      <c r="D1641" s="45" t="str">
        <f t="shared" si="42"/>
        <v>2023.012F.Partitiviridae_abolish15sp_spren.zip</v>
      </c>
    </row>
    <row r="1642" spans="1:4">
      <c r="A1642" t="s">
        <v>11672</v>
      </c>
      <c r="B1642" t="s">
        <v>22345</v>
      </c>
      <c r="C1642" t="s">
        <v>22346</v>
      </c>
      <c r="D1642" s="45" t="str">
        <f t="shared" si="42"/>
        <v>2023.012F.Partitiviridae_abolish15sp_spren.zip</v>
      </c>
    </row>
    <row r="1643" spans="1:4">
      <c r="A1643" t="s">
        <v>11672</v>
      </c>
      <c r="B1643" t="s">
        <v>22347</v>
      </c>
      <c r="C1643" t="s">
        <v>22348</v>
      </c>
      <c r="D1643" s="45" t="str">
        <f t="shared" si="42"/>
        <v>2023.012F.Partitiviridae_abolish15sp_spren.zip</v>
      </c>
    </row>
    <row r="1644" spans="1:4">
      <c r="A1644" t="s">
        <v>11672</v>
      </c>
      <c r="B1644" t="s">
        <v>22349</v>
      </c>
      <c r="C1644" t="s">
        <v>22350</v>
      </c>
      <c r="D1644" s="45" t="str">
        <f t="shared" si="42"/>
        <v>2023.012F.Partitiviridae_abolish15sp_spren.zip</v>
      </c>
    </row>
    <row r="1645" spans="1:4">
      <c r="A1645" t="s">
        <v>11672</v>
      </c>
      <c r="B1645" t="s">
        <v>22351</v>
      </c>
      <c r="C1645" t="s">
        <v>22352</v>
      </c>
      <c r="D1645" s="45" t="str">
        <f t="shared" si="42"/>
        <v>2023.012F.Partitiviridae_abolish15sp_spren.zip</v>
      </c>
    </row>
    <row r="1646" spans="1:4">
      <c r="A1646" t="s">
        <v>11672</v>
      </c>
      <c r="B1646" t="s">
        <v>22353</v>
      </c>
      <c r="C1646" t="s">
        <v>22354</v>
      </c>
      <c r="D1646" s="45" t="str">
        <f t="shared" si="42"/>
        <v>2023.012F.Partitiviridae_abolish15sp_spren.zip</v>
      </c>
    </row>
    <row r="1647" spans="1:4">
      <c r="A1647" t="s">
        <v>11672</v>
      </c>
      <c r="B1647" t="s">
        <v>22355</v>
      </c>
      <c r="C1647" t="s">
        <v>22356</v>
      </c>
      <c r="D1647" s="45" t="str">
        <f t="shared" si="42"/>
        <v>2023.012F.Partitiviridae_abolish15sp_spren.zip</v>
      </c>
    </row>
    <row r="1648" spans="1:4">
      <c r="A1648" t="s">
        <v>11672</v>
      </c>
      <c r="B1648" t="s">
        <v>22357</v>
      </c>
      <c r="C1648" t="s">
        <v>22358</v>
      </c>
      <c r="D1648" s="45" t="str">
        <f t="shared" si="42"/>
        <v>2023.012F.Partitiviridae_abolish15sp_spren.zip</v>
      </c>
    </row>
    <row r="1649" spans="1:4">
      <c r="A1649" t="s">
        <v>11672</v>
      </c>
      <c r="B1649" t="s">
        <v>22359</v>
      </c>
      <c r="C1649" t="s">
        <v>22360</v>
      </c>
      <c r="D1649" s="45" t="str">
        <f t="shared" si="42"/>
        <v>2023.012F.Partitiviridae_abolish15sp_spren.zip</v>
      </c>
    </row>
    <row r="1650" spans="1:4">
      <c r="A1650" t="s">
        <v>11672</v>
      </c>
      <c r="B1650" t="s">
        <v>22361</v>
      </c>
      <c r="C1650" t="s">
        <v>22362</v>
      </c>
      <c r="D1650" s="45" t="str">
        <f t="shared" si="42"/>
        <v>2023.012F.Partitiviridae_abolish15sp_spren.zip</v>
      </c>
    </row>
    <row r="1651" spans="1:4">
      <c r="A1651" t="s">
        <v>11672</v>
      </c>
      <c r="B1651" t="s">
        <v>22363</v>
      </c>
      <c r="C1651" t="s">
        <v>22364</v>
      </c>
      <c r="D1651" s="45" t="str">
        <f t="shared" si="42"/>
        <v>2023.012F.Partitiviridae_abolish15sp_spren.zip</v>
      </c>
    </row>
    <row r="1652" spans="1:4">
      <c r="A1652" t="s">
        <v>11672</v>
      </c>
      <c r="B1652" t="s">
        <v>22365</v>
      </c>
      <c r="C1652" t="s">
        <v>22366</v>
      </c>
      <c r="D1652" s="45" t="str">
        <f t="shared" si="42"/>
        <v>2023.012F.Partitiviridae_abolish15sp_spren.zip</v>
      </c>
    </row>
    <row r="1653" spans="1:4">
      <c r="A1653" t="s">
        <v>11672</v>
      </c>
      <c r="B1653" t="s">
        <v>22367</v>
      </c>
      <c r="C1653" t="s">
        <v>22368</v>
      </c>
      <c r="D1653" s="45" t="str">
        <f t="shared" si="42"/>
        <v>2023.012F.Partitiviridae_abolish15sp_spren.zip</v>
      </c>
    </row>
    <row r="1654" spans="1:4">
      <c r="A1654" t="s">
        <v>11672</v>
      </c>
      <c r="B1654" t="s">
        <v>22369</v>
      </c>
      <c r="C1654" t="s">
        <v>22370</v>
      </c>
      <c r="D1654" s="45" t="str">
        <f t="shared" si="42"/>
        <v>2023.012F.Partitiviridae_abolish15sp_spren.zip</v>
      </c>
    </row>
    <row r="1655" spans="1:4">
      <c r="A1655" t="s">
        <v>11672</v>
      </c>
      <c r="B1655" t="s">
        <v>22371</v>
      </c>
      <c r="C1655" t="s">
        <v>22372</v>
      </c>
      <c r="D1655" s="45" t="str">
        <f t="shared" si="42"/>
        <v>2023.012F.Partitiviridae_abolish15sp_spren.zip</v>
      </c>
    </row>
    <row r="1656" spans="1:4">
      <c r="A1656" t="s">
        <v>11672</v>
      </c>
      <c r="B1656" t="s">
        <v>22373</v>
      </c>
      <c r="C1656" t="s">
        <v>22374</v>
      </c>
      <c r="D1656" s="45" t="str">
        <f t="shared" si="42"/>
        <v>2023.012F.Partitiviridae_abolish15sp_spren.zip</v>
      </c>
    </row>
    <row r="1657" spans="1:4">
      <c r="A1657" t="s">
        <v>11672</v>
      </c>
      <c r="B1657" t="s">
        <v>22375</v>
      </c>
      <c r="C1657" t="s">
        <v>22376</v>
      </c>
      <c r="D1657" s="45" t="str">
        <f t="shared" si="42"/>
        <v>2023.012F.Partitiviridae_abolish15sp_spren.zip</v>
      </c>
    </row>
    <row r="1658" spans="1:4">
      <c r="A1658" t="s">
        <v>11672</v>
      </c>
      <c r="B1658" t="s">
        <v>22377</v>
      </c>
      <c r="C1658" t="s">
        <v>22378</v>
      </c>
      <c r="D1658" s="45" t="str">
        <f t="shared" si="42"/>
        <v>2023.012F.Partitiviridae_abolish15sp_spren.zip</v>
      </c>
    </row>
    <row r="1659" spans="1:4">
      <c r="A1659" t="s">
        <v>11672</v>
      </c>
      <c r="B1659" t="s">
        <v>22379</v>
      </c>
      <c r="C1659" t="s">
        <v>22380</v>
      </c>
      <c r="D1659" s="45" t="str">
        <f t="shared" si="42"/>
        <v>2023.012F.Partitiviridae_abolish15sp_spren.zip</v>
      </c>
    </row>
    <row r="1660" spans="1:4">
      <c r="A1660" t="s">
        <v>11672</v>
      </c>
      <c r="B1660" t="s">
        <v>22381</v>
      </c>
      <c r="C1660" t="s">
        <v>22382</v>
      </c>
      <c r="D1660" s="45" t="str">
        <f t="shared" si="42"/>
        <v>2023.012F.Partitiviridae_abolish15sp_spren.zip</v>
      </c>
    </row>
    <row r="1661" spans="1:4">
      <c r="A1661" t="s">
        <v>11672</v>
      </c>
      <c r="B1661" t="s">
        <v>22383</v>
      </c>
      <c r="C1661" t="s">
        <v>22384</v>
      </c>
      <c r="D1661" s="45" t="str">
        <f t="shared" si="42"/>
        <v>2023.012F.Partitiviridae_abolish15sp_spren.zip</v>
      </c>
    </row>
    <row r="1662" spans="1:4">
      <c r="A1662" t="s">
        <v>11672</v>
      </c>
      <c r="B1662" t="s">
        <v>22385</v>
      </c>
      <c r="C1662" t="s">
        <v>22386</v>
      </c>
      <c r="D1662" s="45" t="str">
        <f>HYPERLINK("https://ictv.global/ictv/proposals/2023.013S.Nidovirales_27sprenamed.zip","2023.013S.Nidovirales_27sprenamed.zip")</f>
        <v>2023.013S.Nidovirales_27sprenamed.zip</v>
      </c>
    </row>
    <row r="1663" spans="1:4">
      <c r="A1663" t="s">
        <v>11672</v>
      </c>
      <c r="B1663" t="s">
        <v>22387</v>
      </c>
      <c r="C1663" t="s">
        <v>22388</v>
      </c>
      <c r="D1663" s="45" t="str">
        <f t="shared" ref="D1663:D1669" si="43">HYPERLINK("https://ictv.global/ictv/proposals/2023.002S.Arteriviridae_7sprenamed.zip","2023.002S.Arteriviridae_7sprenamed.zip")</f>
        <v>2023.002S.Arteriviridae_7sprenamed.zip</v>
      </c>
    </row>
    <row r="1664" spans="1:4">
      <c r="A1664" t="s">
        <v>11672</v>
      </c>
      <c r="B1664" t="s">
        <v>22389</v>
      </c>
      <c r="C1664" t="s">
        <v>22390</v>
      </c>
      <c r="D1664" s="45" t="str">
        <f t="shared" si="43"/>
        <v>2023.002S.Arteriviridae_7sprenamed.zip</v>
      </c>
    </row>
    <row r="1665" spans="1:4">
      <c r="A1665" t="s">
        <v>11672</v>
      </c>
      <c r="B1665" t="s">
        <v>22391</v>
      </c>
      <c r="C1665" t="s">
        <v>22392</v>
      </c>
      <c r="D1665" s="45" t="str">
        <f t="shared" si="43"/>
        <v>2023.002S.Arteriviridae_7sprenamed.zip</v>
      </c>
    </row>
    <row r="1666" spans="1:4">
      <c r="A1666" t="s">
        <v>11672</v>
      </c>
      <c r="B1666" t="s">
        <v>22393</v>
      </c>
      <c r="C1666" t="s">
        <v>22394</v>
      </c>
      <c r="D1666" s="45" t="str">
        <f t="shared" si="43"/>
        <v>2023.002S.Arteriviridae_7sprenamed.zip</v>
      </c>
    </row>
    <row r="1667" spans="1:4">
      <c r="A1667" t="s">
        <v>11672</v>
      </c>
      <c r="B1667" t="s">
        <v>22395</v>
      </c>
      <c r="C1667" t="s">
        <v>22396</v>
      </c>
      <c r="D1667" s="45" t="str">
        <f t="shared" si="43"/>
        <v>2023.002S.Arteriviridae_7sprenamed.zip</v>
      </c>
    </row>
    <row r="1668" spans="1:4">
      <c r="A1668" t="s">
        <v>11672</v>
      </c>
      <c r="B1668" t="s">
        <v>22397</v>
      </c>
      <c r="C1668" t="s">
        <v>22398</v>
      </c>
      <c r="D1668" s="45" t="str">
        <f t="shared" si="43"/>
        <v>2023.002S.Arteriviridae_7sprenamed.zip</v>
      </c>
    </row>
    <row r="1669" spans="1:4">
      <c r="A1669" t="s">
        <v>11672</v>
      </c>
      <c r="B1669" t="s">
        <v>22399</v>
      </c>
      <c r="C1669" t="s">
        <v>22400</v>
      </c>
      <c r="D1669" s="45" t="str">
        <f t="shared" si="43"/>
        <v>2023.002S.Arteriviridae_7sprenamed.zip</v>
      </c>
    </row>
    <row r="1670" spans="1:4">
      <c r="A1670" t="s">
        <v>11672</v>
      </c>
      <c r="B1670" t="s">
        <v>22401</v>
      </c>
      <c r="C1670" t="s">
        <v>22402</v>
      </c>
      <c r="D1670" s="45" t="str">
        <f>HYPERLINK("https://ictv.global/ictv/proposals/2023.013S.Nidovirales_27sprenamed.zip","2023.013S.Nidovirales_27sprenamed.zip")</f>
        <v>2023.013S.Nidovirales_27sprenamed.zip</v>
      </c>
    </row>
    <row r="1671" spans="1:4">
      <c r="A1671" t="s">
        <v>11672</v>
      </c>
      <c r="B1671" t="s">
        <v>22403</v>
      </c>
      <c r="C1671" t="s">
        <v>22404</v>
      </c>
      <c r="D1671" s="45" t="str">
        <f>HYPERLINK("https://ictv.global/ictv/proposals/2023.013S.Nidovirales_27sprenamed.zip","2023.013S.Nidovirales_27sprenamed.zip")</f>
        <v>2023.013S.Nidovirales_27sprenamed.zip</v>
      </c>
    </row>
    <row r="1672" spans="1:4">
      <c r="A1672" t="s">
        <v>11672</v>
      </c>
      <c r="B1672" t="s">
        <v>22405</v>
      </c>
      <c r="C1672" t="s">
        <v>22406</v>
      </c>
      <c r="D1672" s="45" t="str">
        <f>HYPERLINK("https://ictv.global/ictv/proposals/2023.013S.Nidovirales_27sprenamed.zip","2023.013S.Nidovirales_27sprenamed.zip")</f>
        <v>2023.013S.Nidovirales_27sprenamed.zip</v>
      </c>
    </row>
    <row r="1673" spans="1:4">
      <c r="A1673" t="s">
        <v>11672</v>
      </c>
      <c r="B1673" t="s">
        <v>22407</v>
      </c>
      <c r="C1673" t="s">
        <v>22408</v>
      </c>
      <c r="D1673" s="45" t="str">
        <f t="shared" ref="D1673:D1704" si="44">HYPERLINK("https://ictv.global/ictv/proposals/2023.012S.Coronaviridae_54sprenamed-.zip","2023.012S.Coronaviridae_54sprenamed-.zip")</f>
        <v>2023.012S.Coronaviridae_54sprenamed-.zip</v>
      </c>
    </row>
    <row r="1674" spans="1:4">
      <c r="A1674" t="s">
        <v>11672</v>
      </c>
      <c r="B1674" t="s">
        <v>22409</v>
      </c>
      <c r="C1674" t="s">
        <v>22410</v>
      </c>
      <c r="D1674" s="45" t="str">
        <f t="shared" si="44"/>
        <v>2023.012S.Coronaviridae_54sprenamed-.zip</v>
      </c>
    </row>
    <row r="1675" spans="1:4">
      <c r="A1675" t="s">
        <v>11672</v>
      </c>
      <c r="B1675" t="s">
        <v>22411</v>
      </c>
      <c r="C1675" t="s">
        <v>22412</v>
      </c>
      <c r="D1675" s="45" t="str">
        <f t="shared" si="44"/>
        <v>2023.012S.Coronaviridae_54sprenamed-.zip</v>
      </c>
    </row>
    <row r="1676" spans="1:4">
      <c r="A1676" t="s">
        <v>11672</v>
      </c>
      <c r="B1676" t="s">
        <v>22413</v>
      </c>
      <c r="C1676" t="s">
        <v>22414</v>
      </c>
      <c r="D1676" s="45" t="str">
        <f t="shared" si="44"/>
        <v>2023.012S.Coronaviridae_54sprenamed-.zip</v>
      </c>
    </row>
    <row r="1677" spans="1:4">
      <c r="A1677" t="s">
        <v>11672</v>
      </c>
      <c r="B1677" t="s">
        <v>22415</v>
      </c>
      <c r="C1677" t="s">
        <v>22416</v>
      </c>
      <c r="D1677" s="45" t="str">
        <f t="shared" si="44"/>
        <v>2023.012S.Coronaviridae_54sprenamed-.zip</v>
      </c>
    </row>
    <row r="1678" spans="1:4">
      <c r="A1678" t="s">
        <v>11672</v>
      </c>
      <c r="B1678" t="s">
        <v>22417</v>
      </c>
      <c r="C1678" t="s">
        <v>22418</v>
      </c>
      <c r="D1678" s="45" t="str">
        <f t="shared" si="44"/>
        <v>2023.012S.Coronaviridae_54sprenamed-.zip</v>
      </c>
    </row>
    <row r="1679" spans="1:4">
      <c r="A1679" t="s">
        <v>11672</v>
      </c>
      <c r="B1679" t="s">
        <v>22419</v>
      </c>
      <c r="C1679" t="s">
        <v>22420</v>
      </c>
      <c r="D1679" s="45" t="str">
        <f t="shared" si="44"/>
        <v>2023.012S.Coronaviridae_54sprenamed-.zip</v>
      </c>
    </row>
    <row r="1680" spans="1:4">
      <c r="A1680" t="s">
        <v>11672</v>
      </c>
      <c r="B1680" t="s">
        <v>22421</v>
      </c>
      <c r="C1680" t="s">
        <v>22422</v>
      </c>
      <c r="D1680" s="45" t="str">
        <f t="shared" si="44"/>
        <v>2023.012S.Coronaviridae_54sprenamed-.zip</v>
      </c>
    </row>
    <row r="1681" spans="1:4">
      <c r="A1681" t="s">
        <v>11672</v>
      </c>
      <c r="B1681" t="s">
        <v>22423</v>
      </c>
      <c r="C1681" t="s">
        <v>22424</v>
      </c>
      <c r="D1681" s="45" t="str">
        <f t="shared" si="44"/>
        <v>2023.012S.Coronaviridae_54sprenamed-.zip</v>
      </c>
    </row>
    <row r="1682" spans="1:4">
      <c r="A1682" t="s">
        <v>11672</v>
      </c>
      <c r="B1682" t="s">
        <v>22425</v>
      </c>
      <c r="C1682" t="s">
        <v>22426</v>
      </c>
      <c r="D1682" s="45" t="str">
        <f t="shared" si="44"/>
        <v>2023.012S.Coronaviridae_54sprenamed-.zip</v>
      </c>
    </row>
    <row r="1683" spans="1:4">
      <c r="A1683" t="s">
        <v>11672</v>
      </c>
      <c r="B1683" t="s">
        <v>22427</v>
      </c>
      <c r="C1683" t="s">
        <v>22428</v>
      </c>
      <c r="D1683" s="45" t="str">
        <f t="shared" si="44"/>
        <v>2023.012S.Coronaviridae_54sprenamed-.zip</v>
      </c>
    </row>
    <row r="1684" spans="1:4">
      <c r="A1684" t="s">
        <v>11672</v>
      </c>
      <c r="B1684" t="s">
        <v>22429</v>
      </c>
      <c r="C1684" t="s">
        <v>22430</v>
      </c>
      <c r="D1684" s="45" t="str">
        <f t="shared" si="44"/>
        <v>2023.012S.Coronaviridae_54sprenamed-.zip</v>
      </c>
    </row>
    <row r="1685" spans="1:4">
      <c r="A1685" t="s">
        <v>11672</v>
      </c>
      <c r="B1685" t="s">
        <v>22431</v>
      </c>
      <c r="C1685" t="s">
        <v>22432</v>
      </c>
      <c r="D1685" s="45" t="str">
        <f t="shared" si="44"/>
        <v>2023.012S.Coronaviridae_54sprenamed-.zip</v>
      </c>
    </row>
    <row r="1686" spans="1:4">
      <c r="A1686" t="s">
        <v>11672</v>
      </c>
      <c r="B1686" t="s">
        <v>22433</v>
      </c>
      <c r="C1686" t="s">
        <v>22434</v>
      </c>
      <c r="D1686" s="45" t="str">
        <f t="shared" si="44"/>
        <v>2023.012S.Coronaviridae_54sprenamed-.zip</v>
      </c>
    </row>
    <row r="1687" spans="1:4">
      <c r="A1687" t="s">
        <v>11672</v>
      </c>
      <c r="B1687" t="s">
        <v>22435</v>
      </c>
      <c r="C1687" t="s">
        <v>22436</v>
      </c>
      <c r="D1687" s="45" t="str">
        <f t="shared" si="44"/>
        <v>2023.012S.Coronaviridae_54sprenamed-.zip</v>
      </c>
    </row>
    <row r="1688" spans="1:4">
      <c r="A1688" t="s">
        <v>11672</v>
      </c>
      <c r="B1688" t="s">
        <v>22437</v>
      </c>
      <c r="C1688" t="s">
        <v>22438</v>
      </c>
      <c r="D1688" s="45" t="str">
        <f t="shared" si="44"/>
        <v>2023.012S.Coronaviridae_54sprenamed-.zip</v>
      </c>
    </row>
    <row r="1689" spans="1:4">
      <c r="A1689" t="s">
        <v>11672</v>
      </c>
      <c r="B1689" t="s">
        <v>22439</v>
      </c>
      <c r="C1689" t="s">
        <v>22440</v>
      </c>
      <c r="D1689" s="45" t="str">
        <f t="shared" si="44"/>
        <v>2023.012S.Coronaviridae_54sprenamed-.zip</v>
      </c>
    </row>
    <row r="1690" spans="1:4">
      <c r="A1690" t="s">
        <v>11672</v>
      </c>
      <c r="B1690" t="s">
        <v>22441</v>
      </c>
      <c r="C1690" t="s">
        <v>22442</v>
      </c>
      <c r="D1690" s="45" t="str">
        <f t="shared" si="44"/>
        <v>2023.012S.Coronaviridae_54sprenamed-.zip</v>
      </c>
    </row>
    <row r="1691" spans="1:4">
      <c r="A1691" t="s">
        <v>11672</v>
      </c>
      <c r="B1691" t="s">
        <v>22443</v>
      </c>
      <c r="C1691" t="s">
        <v>22444</v>
      </c>
      <c r="D1691" s="45" t="str">
        <f t="shared" si="44"/>
        <v>2023.012S.Coronaviridae_54sprenamed-.zip</v>
      </c>
    </row>
    <row r="1692" spans="1:4">
      <c r="A1692" t="s">
        <v>11672</v>
      </c>
      <c r="B1692" t="s">
        <v>22445</v>
      </c>
      <c r="C1692" t="s">
        <v>22446</v>
      </c>
      <c r="D1692" s="45" t="str">
        <f t="shared" si="44"/>
        <v>2023.012S.Coronaviridae_54sprenamed-.zip</v>
      </c>
    </row>
    <row r="1693" spans="1:4">
      <c r="A1693" t="s">
        <v>11672</v>
      </c>
      <c r="B1693" t="s">
        <v>22447</v>
      </c>
      <c r="C1693" t="s">
        <v>22448</v>
      </c>
      <c r="D1693" s="45" t="str">
        <f t="shared" si="44"/>
        <v>2023.012S.Coronaviridae_54sprenamed-.zip</v>
      </c>
    </row>
    <row r="1694" spans="1:4">
      <c r="A1694" t="s">
        <v>11672</v>
      </c>
      <c r="B1694" t="s">
        <v>22449</v>
      </c>
      <c r="C1694" t="s">
        <v>22450</v>
      </c>
      <c r="D1694" s="45" t="str">
        <f t="shared" si="44"/>
        <v>2023.012S.Coronaviridae_54sprenamed-.zip</v>
      </c>
    </row>
    <row r="1695" spans="1:4">
      <c r="A1695" t="s">
        <v>11672</v>
      </c>
      <c r="B1695" t="s">
        <v>22451</v>
      </c>
      <c r="C1695" t="s">
        <v>22452</v>
      </c>
      <c r="D1695" s="45" t="str">
        <f t="shared" si="44"/>
        <v>2023.012S.Coronaviridae_54sprenamed-.zip</v>
      </c>
    </row>
    <row r="1696" spans="1:4">
      <c r="A1696" t="s">
        <v>11672</v>
      </c>
      <c r="B1696" t="s">
        <v>22453</v>
      </c>
      <c r="C1696" t="s">
        <v>22454</v>
      </c>
      <c r="D1696" s="45" t="str">
        <f t="shared" si="44"/>
        <v>2023.012S.Coronaviridae_54sprenamed-.zip</v>
      </c>
    </row>
    <row r="1697" spans="1:4">
      <c r="A1697" t="s">
        <v>11672</v>
      </c>
      <c r="B1697" t="s">
        <v>22455</v>
      </c>
      <c r="C1697" t="s">
        <v>22456</v>
      </c>
      <c r="D1697" s="45" t="str">
        <f t="shared" si="44"/>
        <v>2023.012S.Coronaviridae_54sprenamed-.zip</v>
      </c>
    </row>
    <row r="1698" spans="1:4">
      <c r="A1698" t="s">
        <v>11672</v>
      </c>
      <c r="B1698" t="s">
        <v>22457</v>
      </c>
      <c r="C1698" t="s">
        <v>22458</v>
      </c>
      <c r="D1698" s="45" t="str">
        <f t="shared" si="44"/>
        <v>2023.012S.Coronaviridae_54sprenamed-.zip</v>
      </c>
    </row>
    <row r="1699" spans="1:4">
      <c r="A1699" t="s">
        <v>11672</v>
      </c>
      <c r="B1699" t="s">
        <v>22459</v>
      </c>
      <c r="C1699" t="s">
        <v>22460</v>
      </c>
      <c r="D1699" s="45" t="str">
        <f t="shared" si="44"/>
        <v>2023.012S.Coronaviridae_54sprenamed-.zip</v>
      </c>
    </row>
    <row r="1700" spans="1:4">
      <c r="A1700" t="s">
        <v>11672</v>
      </c>
      <c r="B1700" t="s">
        <v>22461</v>
      </c>
      <c r="C1700" t="s">
        <v>22462</v>
      </c>
      <c r="D1700" s="45" t="str">
        <f t="shared" si="44"/>
        <v>2023.012S.Coronaviridae_54sprenamed-.zip</v>
      </c>
    </row>
    <row r="1701" spans="1:4">
      <c r="A1701" t="s">
        <v>11672</v>
      </c>
      <c r="B1701" t="s">
        <v>22463</v>
      </c>
      <c r="C1701" t="s">
        <v>22464</v>
      </c>
      <c r="D1701" s="45" t="str">
        <f t="shared" si="44"/>
        <v>2023.012S.Coronaviridae_54sprenamed-.zip</v>
      </c>
    </row>
    <row r="1702" spans="1:4">
      <c r="A1702" t="s">
        <v>11672</v>
      </c>
      <c r="B1702" t="s">
        <v>22465</v>
      </c>
      <c r="C1702" t="s">
        <v>22466</v>
      </c>
      <c r="D1702" s="45" t="str">
        <f t="shared" si="44"/>
        <v>2023.012S.Coronaviridae_54sprenamed-.zip</v>
      </c>
    </row>
    <row r="1703" spans="1:4">
      <c r="A1703" t="s">
        <v>11672</v>
      </c>
      <c r="B1703" t="s">
        <v>22467</v>
      </c>
      <c r="C1703" t="s">
        <v>22468</v>
      </c>
      <c r="D1703" s="45" t="str">
        <f t="shared" si="44"/>
        <v>2023.012S.Coronaviridae_54sprenamed-.zip</v>
      </c>
    </row>
    <row r="1704" spans="1:4">
      <c r="A1704" t="s">
        <v>11672</v>
      </c>
      <c r="B1704" t="s">
        <v>22469</v>
      </c>
      <c r="C1704" t="s">
        <v>22470</v>
      </c>
      <c r="D1704" s="45" t="str">
        <f t="shared" si="44"/>
        <v>2023.012S.Coronaviridae_54sprenamed-.zip</v>
      </c>
    </row>
    <row r="1705" spans="1:4">
      <c r="A1705" t="s">
        <v>11672</v>
      </c>
      <c r="B1705" t="s">
        <v>22471</v>
      </c>
      <c r="C1705" t="s">
        <v>22472</v>
      </c>
      <c r="D1705" s="45" t="str">
        <f t="shared" ref="D1705:D1726" si="45">HYPERLINK("https://ictv.global/ictv/proposals/2023.012S.Coronaviridae_54sprenamed-.zip","2023.012S.Coronaviridae_54sprenamed-.zip")</f>
        <v>2023.012S.Coronaviridae_54sprenamed-.zip</v>
      </c>
    </row>
    <row r="1706" spans="1:4">
      <c r="A1706" t="s">
        <v>11672</v>
      </c>
      <c r="B1706" t="s">
        <v>22473</v>
      </c>
      <c r="C1706" t="s">
        <v>22474</v>
      </c>
      <c r="D1706" s="45" t="str">
        <f t="shared" si="45"/>
        <v>2023.012S.Coronaviridae_54sprenamed-.zip</v>
      </c>
    </row>
    <row r="1707" spans="1:4">
      <c r="A1707" t="s">
        <v>11672</v>
      </c>
      <c r="B1707" t="s">
        <v>22475</v>
      </c>
      <c r="C1707" t="s">
        <v>22476</v>
      </c>
      <c r="D1707" s="45" t="str">
        <f t="shared" si="45"/>
        <v>2023.012S.Coronaviridae_54sprenamed-.zip</v>
      </c>
    </row>
    <row r="1708" spans="1:4">
      <c r="A1708" t="s">
        <v>11672</v>
      </c>
      <c r="B1708" t="s">
        <v>22477</v>
      </c>
      <c r="C1708" t="s">
        <v>22478</v>
      </c>
      <c r="D1708" s="45" t="str">
        <f t="shared" si="45"/>
        <v>2023.012S.Coronaviridae_54sprenamed-.zip</v>
      </c>
    </row>
    <row r="1709" spans="1:4">
      <c r="A1709" t="s">
        <v>11672</v>
      </c>
      <c r="B1709" t="s">
        <v>22479</v>
      </c>
      <c r="C1709" t="s">
        <v>22480</v>
      </c>
      <c r="D1709" s="45" t="str">
        <f t="shared" si="45"/>
        <v>2023.012S.Coronaviridae_54sprenamed-.zip</v>
      </c>
    </row>
    <row r="1710" spans="1:4">
      <c r="A1710" t="s">
        <v>11672</v>
      </c>
      <c r="B1710" t="s">
        <v>22481</v>
      </c>
      <c r="C1710" t="s">
        <v>22482</v>
      </c>
      <c r="D1710" s="45" t="str">
        <f t="shared" si="45"/>
        <v>2023.012S.Coronaviridae_54sprenamed-.zip</v>
      </c>
    </row>
    <row r="1711" spans="1:4">
      <c r="A1711" t="s">
        <v>11672</v>
      </c>
      <c r="B1711" t="s">
        <v>22483</v>
      </c>
      <c r="C1711" t="s">
        <v>22484</v>
      </c>
      <c r="D1711" s="45" t="str">
        <f t="shared" si="45"/>
        <v>2023.012S.Coronaviridae_54sprenamed-.zip</v>
      </c>
    </row>
    <row r="1712" spans="1:4">
      <c r="A1712" t="s">
        <v>11672</v>
      </c>
      <c r="B1712" t="s">
        <v>22485</v>
      </c>
      <c r="C1712" t="s">
        <v>22486</v>
      </c>
      <c r="D1712" s="45" t="str">
        <f t="shared" si="45"/>
        <v>2023.012S.Coronaviridae_54sprenamed-.zip</v>
      </c>
    </row>
    <row r="1713" spans="1:4">
      <c r="A1713" t="s">
        <v>11672</v>
      </c>
      <c r="B1713" t="s">
        <v>22487</v>
      </c>
      <c r="C1713" t="s">
        <v>22488</v>
      </c>
      <c r="D1713" s="45" t="str">
        <f t="shared" si="45"/>
        <v>2023.012S.Coronaviridae_54sprenamed-.zip</v>
      </c>
    </row>
    <row r="1714" spans="1:4">
      <c r="A1714" t="s">
        <v>11672</v>
      </c>
      <c r="B1714" t="s">
        <v>22489</v>
      </c>
      <c r="C1714" t="s">
        <v>22490</v>
      </c>
      <c r="D1714" s="45" t="str">
        <f t="shared" si="45"/>
        <v>2023.012S.Coronaviridae_54sprenamed-.zip</v>
      </c>
    </row>
    <row r="1715" spans="1:4">
      <c r="A1715" t="s">
        <v>11672</v>
      </c>
      <c r="B1715" t="s">
        <v>22491</v>
      </c>
      <c r="C1715" t="s">
        <v>22492</v>
      </c>
      <c r="D1715" s="45" t="str">
        <f t="shared" si="45"/>
        <v>2023.012S.Coronaviridae_54sprenamed-.zip</v>
      </c>
    </row>
    <row r="1716" spans="1:4">
      <c r="A1716" t="s">
        <v>11672</v>
      </c>
      <c r="B1716" t="s">
        <v>22493</v>
      </c>
      <c r="C1716" t="s">
        <v>22494</v>
      </c>
      <c r="D1716" s="45" t="str">
        <f t="shared" si="45"/>
        <v>2023.012S.Coronaviridae_54sprenamed-.zip</v>
      </c>
    </row>
    <row r="1717" spans="1:4">
      <c r="A1717" t="s">
        <v>11672</v>
      </c>
      <c r="B1717" t="s">
        <v>22495</v>
      </c>
      <c r="C1717" t="s">
        <v>22496</v>
      </c>
      <c r="D1717" s="45" t="str">
        <f t="shared" si="45"/>
        <v>2023.012S.Coronaviridae_54sprenamed-.zip</v>
      </c>
    </row>
    <row r="1718" spans="1:4">
      <c r="A1718" t="s">
        <v>11672</v>
      </c>
      <c r="B1718" t="s">
        <v>22497</v>
      </c>
      <c r="C1718" t="s">
        <v>22498</v>
      </c>
      <c r="D1718" s="45" t="str">
        <f t="shared" si="45"/>
        <v>2023.012S.Coronaviridae_54sprenamed-.zip</v>
      </c>
    </row>
    <row r="1719" spans="1:4">
      <c r="A1719" t="s">
        <v>11672</v>
      </c>
      <c r="B1719" t="s">
        <v>22499</v>
      </c>
      <c r="C1719" t="s">
        <v>22500</v>
      </c>
      <c r="D1719" s="45" t="str">
        <f t="shared" si="45"/>
        <v>2023.012S.Coronaviridae_54sprenamed-.zip</v>
      </c>
    </row>
    <row r="1720" spans="1:4">
      <c r="A1720" t="s">
        <v>11672</v>
      </c>
      <c r="B1720" t="s">
        <v>22501</v>
      </c>
      <c r="C1720" t="s">
        <v>22502</v>
      </c>
      <c r="D1720" s="45" t="str">
        <f t="shared" si="45"/>
        <v>2023.012S.Coronaviridae_54sprenamed-.zip</v>
      </c>
    </row>
    <row r="1721" spans="1:4">
      <c r="A1721" t="s">
        <v>11672</v>
      </c>
      <c r="B1721" t="s">
        <v>22503</v>
      </c>
      <c r="C1721" t="s">
        <v>22504</v>
      </c>
      <c r="D1721" s="45" t="str">
        <f t="shared" si="45"/>
        <v>2023.012S.Coronaviridae_54sprenamed-.zip</v>
      </c>
    </row>
    <row r="1722" spans="1:4">
      <c r="A1722" t="s">
        <v>11672</v>
      </c>
      <c r="B1722" t="s">
        <v>22505</v>
      </c>
      <c r="C1722" t="s">
        <v>22506</v>
      </c>
      <c r="D1722" s="45" t="str">
        <f t="shared" si="45"/>
        <v>2023.012S.Coronaviridae_54sprenamed-.zip</v>
      </c>
    </row>
    <row r="1723" spans="1:4">
      <c r="A1723" t="s">
        <v>11672</v>
      </c>
      <c r="B1723" t="s">
        <v>22507</v>
      </c>
      <c r="C1723" t="s">
        <v>22508</v>
      </c>
      <c r="D1723" s="45" t="str">
        <f t="shared" si="45"/>
        <v>2023.012S.Coronaviridae_54sprenamed-.zip</v>
      </c>
    </row>
    <row r="1724" spans="1:4">
      <c r="A1724" t="s">
        <v>11672</v>
      </c>
      <c r="B1724" t="s">
        <v>22509</v>
      </c>
      <c r="C1724" t="s">
        <v>22510</v>
      </c>
      <c r="D1724" s="45" t="str">
        <f t="shared" si="45"/>
        <v>2023.012S.Coronaviridae_54sprenamed-.zip</v>
      </c>
    </row>
    <row r="1725" spans="1:4">
      <c r="A1725" t="s">
        <v>11672</v>
      </c>
      <c r="B1725" t="s">
        <v>22511</v>
      </c>
      <c r="C1725" t="s">
        <v>22512</v>
      </c>
      <c r="D1725" s="45" t="str">
        <f t="shared" si="45"/>
        <v>2023.012S.Coronaviridae_54sprenamed-.zip</v>
      </c>
    </row>
    <row r="1726" spans="1:4">
      <c r="A1726" t="s">
        <v>11672</v>
      </c>
      <c r="B1726" t="s">
        <v>22513</v>
      </c>
      <c r="C1726" t="s">
        <v>22514</v>
      </c>
      <c r="D1726" s="45" t="str">
        <f t="shared" si="45"/>
        <v>2023.012S.Coronaviridae_54sprenamed-.zip</v>
      </c>
    </row>
    <row r="1727" spans="1:4">
      <c r="A1727" t="s">
        <v>11672</v>
      </c>
      <c r="B1727" t="s">
        <v>22515</v>
      </c>
      <c r="C1727" t="s">
        <v>22516</v>
      </c>
      <c r="D1727" s="45" t="str">
        <f>HYPERLINK("https://ictv.global/ictv/proposals/2023.013S.Nidovirales_27sprenamed.zip","2023.013S.Nidovirales_27sprenamed.zip")</f>
        <v>2023.013S.Nidovirales_27sprenamed.zip</v>
      </c>
    </row>
    <row r="1728" spans="1:4">
      <c r="A1728" t="s">
        <v>11672</v>
      </c>
      <c r="B1728" t="s">
        <v>22517</v>
      </c>
      <c r="C1728" t="s">
        <v>22518</v>
      </c>
      <c r="D1728" s="45" t="str">
        <f>HYPERLINK("https://ictv.global/ictv/proposals/2023.013S.Nidovirales_27sprenamed.zip","2023.013S.Nidovirales_27sprenamed.zip")</f>
        <v>2023.013S.Nidovirales_27sprenamed.zip</v>
      </c>
    </row>
    <row r="1729" spans="1:4">
      <c r="A1729" t="s">
        <v>11672</v>
      </c>
      <c r="B1729" t="s">
        <v>22519</v>
      </c>
      <c r="C1729" t="s">
        <v>22520</v>
      </c>
      <c r="D1729" s="45" t="str">
        <f t="shared" ref="D1729:D1740" si="46">HYPERLINK("https://ictv.global/ictv/proposals/2023.009S.Mesoniviridae_12sprenamed-.zip","2023.009S.Mesoniviridae_12sprenamed-.zip")</f>
        <v>2023.009S.Mesoniviridae_12sprenamed-.zip</v>
      </c>
    </row>
    <row r="1730" spans="1:4">
      <c r="A1730" t="s">
        <v>11672</v>
      </c>
      <c r="B1730" t="s">
        <v>22521</v>
      </c>
      <c r="C1730" t="s">
        <v>22522</v>
      </c>
      <c r="D1730" s="45" t="str">
        <f t="shared" si="46"/>
        <v>2023.009S.Mesoniviridae_12sprenamed-.zip</v>
      </c>
    </row>
    <row r="1731" spans="1:4">
      <c r="A1731" t="s">
        <v>11672</v>
      </c>
      <c r="B1731" t="s">
        <v>22523</v>
      </c>
      <c r="C1731" t="s">
        <v>22524</v>
      </c>
      <c r="D1731" s="45" t="str">
        <f t="shared" si="46"/>
        <v>2023.009S.Mesoniviridae_12sprenamed-.zip</v>
      </c>
    </row>
    <row r="1732" spans="1:4">
      <c r="A1732" t="s">
        <v>11672</v>
      </c>
      <c r="B1732" t="s">
        <v>22525</v>
      </c>
      <c r="C1732" t="s">
        <v>22526</v>
      </c>
      <c r="D1732" s="45" t="str">
        <f t="shared" si="46"/>
        <v>2023.009S.Mesoniviridae_12sprenamed-.zip</v>
      </c>
    </row>
    <row r="1733" spans="1:4">
      <c r="A1733" t="s">
        <v>11672</v>
      </c>
      <c r="B1733" t="s">
        <v>22527</v>
      </c>
      <c r="C1733" t="s">
        <v>22528</v>
      </c>
      <c r="D1733" s="45" t="str">
        <f t="shared" si="46"/>
        <v>2023.009S.Mesoniviridae_12sprenamed-.zip</v>
      </c>
    </row>
    <row r="1734" spans="1:4">
      <c r="A1734" t="s">
        <v>11672</v>
      </c>
      <c r="B1734" t="s">
        <v>22529</v>
      </c>
      <c r="C1734" t="s">
        <v>22530</v>
      </c>
      <c r="D1734" s="45" t="str">
        <f t="shared" si="46"/>
        <v>2023.009S.Mesoniviridae_12sprenamed-.zip</v>
      </c>
    </row>
    <row r="1735" spans="1:4">
      <c r="A1735" t="s">
        <v>11672</v>
      </c>
      <c r="B1735" t="s">
        <v>22531</v>
      </c>
      <c r="C1735" t="s">
        <v>22532</v>
      </c>
      <c r="D1735" s="45" t="str">
        <f t="shared" si="46"/>
        <v>2023.009S.Mesoniviridae_12sprenamed-.zip</v>
      </c>
    </row>
    <row r="1736" spans="1:4">
      <c r="A1736" t="s">
        <v>11672</v>
      </c>
      <c r="B1736" t="s">
        <v>22533</v>
      </c>
      <c r="C1736" t="s">
        <v>22534</v>
      </c>
      <c r="D1736" s="45" t="str">
        <f t="shared" si="46"/>
        <v>2023.009S.Mesoniviridae_12sprenamed-.zip</v>
      </c>
    </row>
    <row r="1737" spans="1:4">
      <c r="A1737" t="s">
        <v>11672</v>
      </c>
      <c r="B1737" t="s">
        <v>22535</v>
      </c>
      <c r="C1737" t="s">
        <v>22536</v>
      </c>
      <c r="D1737" s="45" t="str">
        <f t="shared" si="46"/>
        <v>2023.009S.Mesoniviridae_12sprenamed-.zip</v>
      </c>
    </row>
    <row r="1738" spans="1:4">
      <c r="A1738" t="s">
        <v>11672</v>
      </c>
      <c r="B1738" t="s">
        <v>22537</v>
      </c>
      <c r="C1738" t="s">
        <v>22538</v>
      </c>
      <c r="D1738" s="45" t="str">
        <f t="shared" si="46"/>
        <v>2023.009S.Mesoniviridae_12sprenamed-.zip</v>
      </c>
    </row>
    <row r="1739" spans="1:4">
      <c r="A1739" t="s">
        <v>11672</v>
      </c>
      <c r="B1739" t="s">
        <v>22539</v>
      </c>
      <c r="C1739" t="s">
        <v>22540</v>
      </c>
      <c r="D1739" s="45" t="str">
        <f t="shared" si="46"/>
        <v>2023.009S.Mesoniviridae_12sprenamed-.zip</v>
      </c>
    </row>
    <row r="1740" spans="1:4">
      <c r="A1740" t="s">
        <v>11672</v>
      </c>
      <c r="B1740" t="s">
        <v>22541</v>
      </c>
      <c r="C1740" t="s">
        <v>22542</v>
      </c>
      <c r="D1740" s="45" t="str">
        <f t="shared" si="46"/>
        <v>2023.009S.Mesoniviridae_12sprenamed-.zip</v>
      </c>
    </row>
    <row r="1741" spans="1:4">
      <c r="A1741" t="s">
        <v>11672</v>
      </c>
      <c r="B1741" t="s">
        <v>22543</v>
      </c>
      <c r="C1741" t="s">
        <v>22544</v>
      </c>
      <c r="D1741" s="45" t="str">
        <f t="shared" ref="D1741:D1761" si="47">HYPERLINK("https://ictv.global/ictv/proposals/2023.013S.Nidovirales_27sprenamed.zip","2023.013S.Nidovirales_27sprenamed.zip")</f>
        <v>2023.013S.Nidovirales_27sprenamed.zip</v>
      </c>
    </row>
    <row r="1742" spans="1:4">
      <c r="A1742" t="s">
        <v>11672</v>
      </c>
      <c r="B1742" t="s">
        <v>22545</v>
      </c>
      <c r="C1742" t="s">
        <v>22546</v>
      </c>
      <c r="D1742" s="45" t="str">
        <f t="shared" si="47"/>
        <v>2023.013S.Nidovirales_27sprenamed.zip</v>
      </c>
    </row>
    <row r="1743" spans="1:4">
      <c r="A1743" t="s">
        <v>11672</v>
      </c>
      <c r="B1743" t="s">
        <v>22547</v>
      </c>
      <c r="C1743" t="s">
        <v>22548</v>
      </c>
      <c r="D1743" s="45" t="str">
        <f t="shared" si="47"/>
        <v>2023.013S.Nidovirales_27sprenamed.zip</v>
      </c>
    </row>
    <row r="1744" spans="1:4">
      <c r="A1744" t="s">
        <v>11672</v>
      </c>
      <c r="B1744" t="s">
        <v>22549</v>
      </c>
      <c r="C1744" t="s">
        <v>22550</v>
      </c>
      <c r="D1744" s="45" t="str">
        <f t="shared" si="47"/>
        <v>2023.013S.Nidovirales_27sprenamed.zip</v>
      </c>
    </row>
    <row r="1745" spans="1:4">
      <c r="A1745" t="s">
        <v>11672</v>
      </c>
      <c r="B1745" t="s">
        <v>22551</v>
      </c>
      <c r="C1745" t="s">
        <v>22552</v>
      </c>
      <c r="D1745" s="45" t="str">
        <f t="shared" si="47"/>
        <v>2023.013S.Nidovirales_27sprenamed.zip</v>
      </c>
    </row>
    <row r="1746" spans="1:4">
      <c r="A1746" t="s">
        <v>11672</v>
      </c>
      <c r="B1746" t="s">
        <v>22553</v>
      </c>
      <c r="C1746" t="s">
        <v>22554</v>
      </c>
      <c r="D1746" s="45" t="str">
        <f t="shared" si="47"/>
        <v>2023.013S.Nidovirales_27sprenamed.zip</v>
      </c>
    </row>
    <row r="1747" spans="1:4">
      <c r="A1747" t="s">
        <v>11672</v>
      </c>
      <c r="B1747" t="s">
        <v>22555</v>
      </c>
      <c r="C1747" t="s">
        <v>22556</v>
      </c>
      <c r="D1747" s="45" t="str">
        <f t="shared" si="47"/>
        <v>2023.013S.Nidovirales_27sprenamed.zip</v>
      </c>
    </row>
    <row r="1748" spans="1:4">
      <c r="A1748" t="s">
        <v>11672</v>
      </c>
      <c r="B1748" t="s">
        <v>22557</v>
      </c>
      <c r="C1748" t="s">
        <v>22558</v>
      </c>
      <c r="D1748" s="45" t="str">
        <f t="shared" si="47"/>
        <v>2023.013S.Nidovirales_27sprenamed.zip</v>
      </c>
    </row>
    <row r="1749" spans="1:4">
      <c r="A1749" t="s">
        <v>11672</v>
      </c>
      <c r="B1749" t="s">
        <v>22559</v>
      </c>
      <c r="C1749" t="s">
        <v>22560</v>
      </c>
      <c r="D1749" s="45" t="str">
        <f t="shared" si="47"/>
        <v>2023.013S.Nidovirales_27sprenamed.zip</v>
      </c>
    </row>
    <row r="1750" spans="1:4">
      <c r="A1750" t="s">
        <v>11672</v>
      </c>
      <c r="B1750" t="s">
        <v>22561</v>
      </c>
      <c r="C1750" t="s">
        <v>22562</v>
      </c>
      <c r="D1750" s="45" t="str">
        <f t="shared" si="47"/>
        <v>2023.013S.Nidovirales_27sprenamed.zip</v>
      </c>
    </row>
    <row r="1751" spans="1:4">
      <c r="A1751" t="s">
        <v>11672</v>
      </c>
      <c r="B1751" t="s">
        <v>22563</v>
      </c>
      <c r="C1751" t="s">
        <v>22564</v>
      </c>
      <c r="D1751" s="45" t="str">
        <f t="shared" si="47"/>
        <v>2023.013S.Nidovirales_27sprenamed.zip</v>
      </c>
    </row>
    <row r="1752" spans="1:4">
      <c r="A1752" t="s">
        <v>11672</v>
      </c>
      <c r="B1752" t="s">
        <v>22565</v>
      </c>
      <c r="C1752" t="s">
        <v>22566</v>
      </c>
      <c r="D1752" s="45" t="str">
        <f t="shared" si="47"/>
        <v>2023.013S.Nidovirales_27sprenamed.zip</v>
      </c>
    </row>
    <row r="1753" spans="1:4">
      <c r="A1753" t="s">
        <v>11672</v>
      </c>
      <c r="B1753" t="s">
        <v>22567</v>
      </c>
      <c r="C1753" t="s">
        <v>22568</v>
      </c>
      <c r="D1753" s="45" t="str">
        <f t="shared" si="47"/>
        <v>2023.013S.Nidovirales_27sprenamed.zip</v>
      </c>
    </row>
    <row r="1754" spans="1:4">
      <c r="A1754" t="s">
        <v>11672</v>
      </c>
      <c r="B1754" t="s">
        <v>22569</v>
      </c>
      <c r="C1754" t="s">
        <v>22570</v>
      </c>
      <c r="D1754" s="45" t="str">
        <f t="shared" si="47"/>
        <v>2023.013S.Nidovirales_27sprenamed.zip</v>
      </c>
    </row>
    <row r="1755" spans="1:4">
      <c r="A1755" t="s">
        <v>11672</v>
      </c>
      <c r="B1755" t="s">
        <v>22571</v>
      </c>
      <c r="C1755" t="s">
        <v>22572</v>
      </c>
      <c r="D1755" s="45" t="str">
        <f t="shared" si="47"/>
        <v>2023.013S.Nidovirales_27sprenamed.zip</v>
      </c>
    </row>
    <row r="1756" spans="1:4">
      <c r="A1756" t="s">
        <v>11672</v>
      </c>
      <c r="B1756" t="s">
        <v>22573</v>
      </c>
      <c r="C1756" t="s">
        <v>22574</v>
      </c>
      <c r="D1756" s="45" t="str">
        <f t="shared" si="47"/>
        <v>2023.013S.Nidovirales_27sprenamed.zip</v>
      </c>
    </row>
    <row r="1757" spans="1:4">
      <c r="A1757" t="s">
        <v>11672</v>
      </c>
      <c r="B1757" t="s">
        <v>22575</v>
      </c>
      <c r="C1757" t="s">
        <v>22576</v>
      </c>
      <c r="D1757" s="45" t="str">
        <f t="shared" si="47"/>
        <v>2023.013S.Nidovirales_27sprenamed.zip</v>
      </c>
    </row>
    <row r="1758" spans="1:4">
      <c r="A1758" t="s">
        <v>11672</v>
      </c>
      <c r="B1758" t="s">
        <v>22577</v>
      </c>
      <c r="C1758" t="s">
        <v>22578</v>
      </c>
      <c r="D1758" s="45" t="str">
        <f t="shared" si="47"/>
        <v>2023.013S.Nidovirales_27sprenamed.zip</v>
      </c>
    </row>
    <row r="1759" spans="1:4">
      <c r="A1759" t="s">
        <v>11672</v>
      </c>
      <c r="B1759" t="s">
        <v>22579</v>
      </c>
      <c r="C1759" t="s">
        <v>22580</v>
      </c>
      <c r="D1759" s="45" t="str">
        <f t="shared" si="47"/>
        <v>2023.013S.Nidovirales_27sprenamed.zip</v>
      </c>
    </row>
    <row r="1760" spans="1:4">
      <c r="A1760" t="s">
        <v>11672</v>
      </c>
      <c r="B1760" t="s">
        <v>22581</v>
      </c>
      <c r="C1760" t="s">
        <v>22582</v>
      </c>
      <c r="D1760" s="45" t="str">
        <f t="shared" si="47"/>
        <v>2023.013S.Nidovirales_27sprenamed.zip</v>
      </c>
    </row>
    <row r="1761" spans="1:4">
      <c r="A1761" t="s">
        <v>11672</v>
      </c>
      <c r="B1761" t="s">
        <v>22583</v>
      </c>
      <c r="C1761" t="s">
        <v>22584</v>
      </c>
      <c r="D1761" s="45" t="str">
        <f t="shared" si="47"/>
        <v>2023.013S.Nidovirales_27sprenamed.zip</v>
      </c>
    </row>
    <row r="1762" spans="1:4">
      <c r="A1762" t="s">
        <v>11672</v>
      </c>
      <c r="B1762" t="s">
        <v>22585</v>
      </c>
      <c r="C1762" t="s">
        <v>22586</v>
      </c>
      <c r="D1762" s="45" t="str">
        <f t="shared" ref="D1762:D1772" si="48">HYPERLINK("https://ictv.global/ictv/proposals/2023.001S.Caliciviridae_12sprenamed.zip","2023.001S.Caliciviridae_12sprenamed.zip")</f>
        <v>2023.001S.Caliciviridae_12sprenamed.zip</v>
      </c>
    </row>
    <row r="1763" spans="1:4">
      <c r="A1763" t="s">
        <v>11672</v>
      </c>
      <c r="B1763" t="s">
        <v>22587</v>
      </c>
      <c r="C1763" t="s">
        <v>22588</v>
      </c>
      <c r="D1763" s="45" t="str">
        <f t="shared" si="48"/>
        <v>2023.001S.Caliciviridae_12sprenamed.zip</v>
      </c>
    </row>
    <row r="1764" spans="1:4">
      <c r="A1764" t="s">
        <v>11672</v>
      </c>
      <c r="B1764" t="s">
        <v>22589</v>
      </c>
      <c r="C1764" t="s">
        <v>22590</v>
      </c>
      <c r="D1764" s="45" t="str">
        <f t="shared" si="48"/>
        <v>2023.001S.Caliciviridae_12sprenamed.zip</v>
      </c>
    </row>
    <row r="1765" spans="1:4">
      <c r="A1765" t="s">
        <v>11672</v>
      </c>
      <c r="B1765" t="s">
        <v>22591</v>
      </c>
      <c r="C1765" t="s">
        <v>22592</v>
      </c>
      <c r="D1765" s="45" t="str">
        <f t="shared" si="48"/>
        <v>2023.001S.Caliciviridae_12sprenamed.zip</v>
      </c>
    </row>
    <row r="1766" spans="1:4">
      <c r="A1766" t="s">
        <v>11672</v>
      </c>
      <c r="B1766" t="s">
        <v>22593</v>
      </c>
      <c r="C1766" t="s">
        <v>22594</v>
      </c>
      <c r="D1766" s="45" t="str">
        <f t="shared" si="48"/>
        <v>2023.001S.Caliciviridae_12sprenamed.zip</v>
      </c>
    </row>
    <row r="1767" spans="1:4">
      <c r="A1767" t="s">
        <v>11672</v>
      </c>
      <c r="B1767" t="s">
        <v>22595</v>
      </c>
      <c r="C1767" t="s">
        <v>22596</v>
      </c>
      <c r="D1767" s="45" t="str">
        <f t="shared" si="48"/>
        <v>2023.001S.Caliciviridae_12sprenamed.zip</v>
      </c>
    </row>
    <row r="1768" spans="1:4">
      <c r="A1768" t="s">
        <v>11672</v>
      </c>
      <c r="B1768" t="s">
        <v>22597</v>
      </c>
      <c r="C1768" t="s">
        <v>22598</v>
      </c>
      <c r="D1768" s="45" t="str">
        <f t="shared" si="48"/>
        <v>2023.001S.Caliciviridae_12sprenamed.zip</v>
      </c>
    </row>
    <row r="1769" spans="1:4">
      <c r="A1769" t="s">
        <v>11672</v>
      </c>
      <c r="B1769" t="s">
        <v>22599</v>
      </c>
      <c r="C1769" t="s">
        <v>22600</v>
      </c>
      <c r="D1769" s="45" t="str">
        <f t="shared" si="48"/>
        <v>2023.001S.Caliciviridae_12sprenamed.zip</v>
      </c>
    </row>
    <row r="1770" spans="1:4">
      <c r="A1770" t="s">
        <v>11672</v>
      </c>
      <c r="B1770" t="s">
        <v>22601</v>
      </c>
      <c r="C1770" t="s">
        <v>22602</v>
      </c>
      <c r="D1770" s="45" t="str">
        <f t="shared" si="48"/>
        <v>2023.001S.Caliciviridae_12sprenamed.zip</v>
      </c>
    </row>
    <row r="1771" spans="1:4">
      <c r="A1771" t="s">
        <v>11672</v>
      </c>
      <c r="B1771" t="s">
        <v>22603</v>
      </c>
      <c r="C1771" t="s">
        <v>22604</v>
      </c>
      <c r="D1771" s="45" t="str">
        <f t="shared" si="48"/>
        <v>2023.001S.Caliciviridae_12sprenamed.zip</v>
      </c>
    </row>
    <row r="1772" spans="1:4">
      <c r="A1772" t="s">
        <v>11672</v>
      </c>
      <c r="B1772" t="s">
        <v>22605</v>
      </c>
      <c r="C1772" t="s">
        <v>22606</v>
      </c>
      <c r="D1772" s="45" t="str">
        <f t="shared" si="48"/>
        <v>2023.001S.Caliciviridae_12sprenamed.zip</v>
      </c>
    </row>
    <row r="1773" spans="1:4">
      <c r="A1773" t="s">
        <v>11672</v>
      </c>
      <c r="B1773" t="s">
        <v>22607</v>
      </c>
      <c r="C1773" t="s">
        <v>22608</v>
      </c>
      <c r="D1773" s="45" t="str">
        <f t="shared" ref="D1773:D1820" si="49">HYPERLINK("https://ictv.global/ictv/proposals/2023.003S.Picornaviridae_158sprenamed.zip","2023.003S.Picornaviridae_158sprenamed.zip")</f>
        <v>2023.003S.Picornaviridae_158sprenamed.zip</v>
      </c>
    </row>
    <row r="1774" spans="1:4">
      <c r="A1774" t="s">
        <v>11672</v>
      </c>
      <c r="B1774" t="s">
        <v>22609</v>
      </c>
      <c r="C1774" t="s">
        <v>22610</v>
      </c>
      <c r="D1774" s="45" t="str">
        <f t="shared" si="49"/>
        <v>2023.003S.Picornaviridae_158sprenamed.zip</v>
      </c>
    </row>
    <row r="1775" spans="1:4">
      <c r="A1775" t="s">
        <v>11672</v>
      </c>
      <c r="B1775" t="s">
        <v>22611</v>
      </c>
      <c r="C1775" t="s">
        <v>22612</v>
      </c>
      <c r="D1775" s="45" t="str">
        <f t="shared" si="49"/>
        <v>2023.003S.Picornaviridae_158sprenamed.zip</v>
      </c>
    </row>
    <row r="1776" spans="1:4">
      <c r="A1776" t="s">
        <v>11672</v>
      </c>
      <c r="B1776" t="s">
        <v>22613</v>
      </c>
      <c r="C1776" t="s">
        <v>22614</v>
      </c>
      <c r="D1776" s="45" t="str">
        <f t="shared" si="49"/>
        <v>2023.003S.Picornaviridae_158sprenamed.zip</v>
      </c>
    </row>
    <row r="1777" spans="1:4">
      <c r="A1777" t="s">
        <v>11672</v>
      </c>
      <c r="B1777" t="s">
        <v>22615</v>
      </c>
      <c r="C1777" t="s">
        <v>22616</v>
      </c>
      <c r="D1777" s="45" t="str">
        <f t="shared" si="49"/>
        <v>2023.003S.Picornaviridae_158sprenamed.zip</v>
      </c>
    </row>
    <row r="1778" spans="1:4">
      <c r="A1778" t="s">
        <v>11672</v>
      </c>
      <c r="B1778" t="s">
        <v>22617</v>
      </c>
      <c r="C1778" t="s">
        <v>22618</v>
      </c>
      <c r="D1778" s="45" t="str">
        <f t="shared" si="49"/>
        <v>2023.003S.Picornaviridae_158sprenamed.zip</v>
      </c>
    </row>
    <row r="1779" spans="1:4">
      <c r="A1779" t="s">
        <v>11672</v>
      </c>
      <c r="B1779" t="s">
        <v>22619</v>
      </c>
      <c r="C1779" t="s">
        <v>22620</v>
      </c>
      <c r="D1779" s="45" t="str">
        <f t="shared" si="49"/>
        <v>2023.003S.Picornaviridae_158sprenamed.zip</v>
      </c>
    </row>
    <row r="1780" spans="1:4">
      <c r="A1780" t="s">
        <v>11672</v>
      </c>
      <c r="B1780" t="s">
        <v>22621</v>
      </c>
      <c r="C1780" t="s">
        <v>22622</v>
      </c>
      <c r="D1780" s="45" t="str">
        <f t="shared" si="49"/>
        <v>2023.003S.Picornaviridae_158sprenamed.zip</v>
      </c>
    </row>
    <row r="1781" spans="1:4">
      <c r="A1781" t="s">
        <v>11672</v>
      </c>
      <c r="B1781" t="s">
        <v>22623</v>
      </c>
      <c r="C1781" t="s">
        <v>22624</v>
      </c>
      <c r="D1781" s="45" t="str">
        <f t="shared" si="49"/>
        <v>2023.003S.Picornaviridae_158sprenamed.zip</v>
      </c>
    </row>
    <row r="1782" spans="1:4">
      <c r="A1782" t="s">
        <v>11672</v>
      </c>
      <c r="B1782" t="s">
        <v>22625</v>
      </c>
      <c r="C1782" t="s">
        <v>22626</v>
      </c>
      <c r="D1782" s="45" t="str">
        <f t="shared" si="49"/>
        <v>2023.003S.Picornaviridae_158sprenamed.zip</v>
      </c>
    </row>
    <row r="1783" spans="1:4">
      <c r="A1783" t="s">
        <v>11672</v>
      </c>
      <c r="B1783" t="s">
        <v>22627</v>
      </c>
      <c r="C1783" t="s">
        <v>22628</v>
      </c>
      <c r="D1783" s="45" t="str">
        <f t="shared" si="49"/>
        <v>2023.003S.Picornaviridae_158sprenamed.zip</v>
      </c>
    </row>
    <row r="1784" spans="1:4">
      <c r="A1784" t="s">
        <v>11672</v>
      </c>
      <c r="B1784" t="s">
        <v>22629</v>
      </c>
      <c r="C1784" t="s">
        <v>22630</v>
      </c>
      <c r="D1784" s="45" t="str">
        <f t="shared" si="49"/>
        <v>2023.003S.Picornaviridae_158sprenamed.zip</v>
      </c>
    </row>
    <row r="1785" spans="1:4">
      <c r="A1785" t="s">
        <v>11672</v>
      </c>
      <c r="B1785" t="s">
        <v>22631</v>
      </c>
      <c r="C1785" t="s">
        <v>22632</v>
      </c>
      <c r="D1785" s="45" t="str">
        <f t="shared" si="49"/>
        <v>2023.003S.Picornaviridae_158sprenamed.zip</v>
      </c>
    </row>
    <row r="1786" spans="1:4">
      <c r="A1786" t="s">
        <v>11672</v>
      </c>
      <c r="B1786" t="s">
        <v>22633</v>
      </c>
      <c r="C1786" t="s">
        <v>22634</v>
      </c>
      <c r="D1786" s="45" t="str">
        <f t="shared" si="49"/>
        <v>2023.003S.Picornaviridae_158sprenamed.zip</v>
      </c>
    </row>
    <row r="1787" spans="1:4">
      <c r="A1787" t="s">
        <v>11672</v>
      </c>
      <c r="B1787" t="s">
        <v>22635</v>
      </c>
      <c r="C1787" t="s">
        <v>22636</v>
      </c>
      <c r="D1787" s="45" t="str">
        <f t="shared" si="49"/>
        <v>2023.003S.Picornaviridae_158sprenamed.zip</v>
      </c>
    </row>
    <row r="1788" spans="1:4">
      <c r="A1788" t="s">
        <v>11672</v>
      </c>
      <c r="B1788" t="s">
        <v>22637</v>
      </c>
      <c r="C1788" t="s">
        <v>22638</v>
      </c>
      <c r="D1788" s="45" t="str">
        <f t="shared" si="49"/>
        <v>2023.003S.Picornaviridae_158sprenamed.zip</v>
      </c>
    </row>
    <row r="1789" spans="1:4">
      <c r="A1789" t="s">
        <v>11672</v>
      </c>
      <c r="B1789" t="s">
        <v>22639</v>
      </c>
      <c r="C1789" t="s">
        <v>22640</v>
      </c>
      <c r="D1789" s="45" t="str">
        <f t="shared" si="49"/>
        <v>2023.003S.Picornaviridae_158sprenamed.zip</v>
      </c>
    </row>
    <row r="1790" spans="1:4">
      <c r="A1790" t="s">
        <v>11672</v>
      </c>
      <c r="B1790" t="s">
        <v>22641</v>
      </c>
      <c r="C1790" t="s">
        <v>22642</v>
      </c>
      <c r="D1790" s="45" t="str">
        <f t="shared" si="49"/>
        <v>2023.003S.Picornaviridae_158sprenamed.zip</v>
      </c>
    </row>
    <row r="1791" spans="1:4">
      <c r="A1791" t="s">
        <v>11672</v>
      </c>
      <c r="B1791" t="s">
        <v>22643</v>
      </c>
      <c r="C1791" t="s">
        <v>22644</v>
      </c>
      <c r="D1791" s="45" t="str">
        <f t="shared" si="49"/>
        <v>2023.003S.Picornaviridae_158sprenamed.zip</v>
      </c>
    </row>
    <row r="1792" spans="1:4">
      <c r="A1792" t="s">
        <v>11672</v>
      </c>
      <c r="B1792" t="s">
        <v>22645</v>
      </c>
      <c r="C1792" t="s">
        <v>22646</v>
      </c>
      <c r="D1792" s="45" t="str">
        <f t="shared" si="49"/>
        <v>2023.003S.Picornaviridae_158sprenamed.zip</v>
      </c>
    </row>
    <row r="1793" spans="1:4">
      <c r="A1793" t="s">
        <v>11672</v>
      </c>
      <c r="B1793" t="s">
        <v>22647</v>
      </c>
      <c r="C1793" t="s">
        <v>22648</v>
      </c>
      <c r="D1793" s="45" t="str">
        <f t="shared" si="49"/>
        <v>2023.003S.Picornaviridae_158sprenamed.zip</v>
      </c>
    </row>
    <row r="1794" spans="1:4">
      <c r="A1794" t="s">
        <v>11672</v>
      </c>
      <c r="B1794" t="s">
        <v>22649</v>
      </c>
      <c r="C1794" t="s">
        <v>22650</v>
      </c>
      <c r="D1794" s="45" t="str">
        <f t="shared" si="49"/>
        <v>2023.003S.Picornaviridae_158sprenamed.zip</v>
      </c>
    </row>
    <row r="1795" spans="1:4">
      <c r="A1795" t="s">
        <v>11672</v>
      </c>
      <c r="B1795" t="s">
        <v>22651</v>
      </c>
      <c r="C1795" t="s">
        <v>22652</v>
      </c>
      <c r="D1795" s="45" t="str">
        <f t="shared" si="49"/>
        <v>2023.003S.Picornaviridae_158sprenamed.zip</v>
      </c>
    </row>
    <row r="1796" spans="1:4">
      <c r="A1796" t="s">
        <v>11672</v>
      </c>
      <c r="B1796" t="s">
        <v>22653</v>
      </c>
      <c r="C1796" t="s">
        <v>22654</v>
      </c>
      <c r="D1796" s="45" t="str">
        <f t="shared" si="49"/>
        <v>2023.003S.Picornaviridae_158sprenamed.zip</v>
      </c>
    </row>
    <row r="1797" spans="1:4">
      <c r="A1797" t="s">
        <v>11672</v>
      </c>
      <c r="B1797" t="s">
        <v>22655</v>
      </c>
      <c r="C1797" t="s">
        <v>22656</v>
      </c>
      <c r="D1797" s="45" t="str">
        <f t="shared" si="49"/>
        <v>2023.003S.Picornaviridae_158sprenamed.zip</v>
      </c>
    </row>
    <row r="1798" spans="1:4">
      <c r="A1798" t="s">
        <v>11672</v>
      </c>
      <c r="B1798" t="s">
        <v>22657</v>
      </c>
      <c r="C1798" t="s">
        <v>22658</v>
      </c>
      <c r="D1798" s="45" t="str">
        <f t="shared" si="49"/>
        <v>2023.003S.Picornaviridae_158sprenamed.zip</v>
      </c>
    </row>
    <row r="1799" spans="1:4">
      <c r="A1799" t="s">
        <v>11672</v>
      </c>
      <c r="B1799" t="s">
        <v>22659</v>
      </c>
      <c r="C1799" t="s">
        <v>22660</v>
      </c>
      <c r="D1799" s="45" t="str">
        <f t="shared" si="49"/>
        <v>2023.003S.Picornaviridae_158sprenamed.zip</v>
      </c>
    </row>
    <row r="1800" spans="1:4">
      <c r="A1800" t="s">
        <v>11672</v>
      </c>
      <c r="B1800" t="s">
        <v>22661</v>
      </c>
      <c r="C1800" t="s">
        <v>22662</v>
      </c>
      <c r="D1800" s="45" t="str">
        <f t="shared" si="49"/>
        <v>2023.003S.Picornaviridae_158sprenamed.zip</v>
      </c>
    </row>
    <row r="1801" spans="1:4">
      <c r="A1801" t="s">
        <v>11672</v>
      </c>
      <c r="B1801" t="s">
        <v>22663</v>
      </c>
      <c r="C1801" t="s">
        <v>22664</v>
      </c>
      <c r="D1801" s="45" t="str">
        <f t="shared" si="49"/>
        <v>2023.003S.Picornaviridae_158sprenamed.zip</v>
      </c>
    </row>
    <row r="1802" spans="1:4">
      <c r="A1802" t="s">
        <v>11672</v>
      </c>
      <c r="B1802" t="s">
        <v>22665</v>
      </c>
      <c r="C1802" t="s">
        <v>22666</v>
      </c>
      <c r="D1802" s="45" t="str">
        <f t="shared" si="49"/>
        <v>2023.003S.Picornaviridae_158sprenamed.zip</v>
      </c>
    </row>
    <row r="1803" spans="1:4">
      <c r="A1803" t="s">
        <v>11672</v>
      </c>
      <c r="B1803" t="s">
        <v>22667</v>
      </c>
      <c r="C1803" t="s">
        <v>22668</v>
      </c>
      <c r="D1803" s="45" t="str">
        <f t="shared" si="49"/>
        <v>2023.003S.Picornaviridae_158sprenamed.zip</v>
      </c>
    </row>
    <row r="1804" spans="1:4">
      <c r="A1804" t="s">
        <v>11672</v>
      </c>
      <c r="B1804" t="s">
        <v>22669</v>
      </c>
      <c r="C1804" t="s">
        <v>22670</v>
      </c>
      <c r="D1804" s="45" t="str">
        <f t="shared" si="49"/>
        <v>2023.003S.Picornaviridae_158sprenamed.zip</v>
      </c>
    </row>
    <row r="1805" spans="1:4">
      <c r="A1805" t="s">
        <v>11672</v>
      </c>
      <c r="B1805" t="s">
        <v>22671</v>
      </c>
      <c r="C1805" t="s">
        <v>22672</v>
      </c>
      <c r="D1805" s="45" t="str">
        <f t="shared" si="49"/>
        <v>2023.003S.Picornaviridae_158sprenamed.zip</v>
      </c>
    </row>
    <row r="1806" spans="1:4">
      <c r="A1806" t="s">
        <v>11672</v>
      </c>
      <c r="B1806" t="s">
        <v>22673</v>
      </c>
      <c r="C1806" t="s">
        <v>22674</v>
      </c>
      <c r="D1806" s="45" t="str">
        <f t="shared" si="49"/>
        <v>2023.003S.Picornaviridae_158sprenamed.zip</v>
      </c>
    </row>
    <row r="1807" spans="1:4">
      <c r="A1807" t="s">
        <v>11672</v>
      </c>
      <c r="B1807" t="s">
        <v>22675</v>
      </c>
      <c r="C1807" t="s">
        <v>22676</v>
      </c>
      <c r="D1807" s="45" t="str">
        <f t="shared" si="49"/>
        <v>2023.003S.Picornaviridae_158sprenamed.zip</v>
      </c>
    </row>
    <row r="1808" spans="1:4">
      <c r="A1808" t="s">
        <v>11672</v>
      </c>
      <c r="B1808" t="s">
        <v>22677</v>
      </c>
      <c r="C1808" t="s">
        <v>22678</v>
      </c>
      <c r="D1808" s="45" t="str">
        <f t="shared" si="49"/>
        <v>2023.003S.Picornaviridae_158sprenamed.zip</v>
      </c>
    </row>
    <row r="1809" spans="1:4">
      <c r="A1809" t="s">
        <v>11672</v>
      </c>
      <c r="B1809" t="s">
        <v>22679</v>
      </c>
      <c r="C1809" t="s">
        <v>22680</v>
      </c>
      <c r="D1809" s="45" t="str">
        <f t="shared" si="49"/>
        <v>2023.003S.Picornaviridae_158sprenamed.zip</v>
      </c>
    </row>
    <row r="1810" spans="1:4">
      <c r="A1810" t="s">
        <v>11672</v>
      </c>
      <c r="B1810" t="s">
        <v>22681</v>
      </c>
      <c r="C1810" t="s">
        <v>22682</v>
      </c>
      <c r="D1810" s="45" t="str">
        <f t="shared" si="49"/>
        <v>2023.003S.Picornaviridae_158sprenamed.zip</v>
      </c>
    </row>
    <row r="1811" spans="1:4">
      <c r="A1811" t="s">
        <v>11672</v>
      </c>
      <c r="B1811" t="s">
        <v>22683</v>
      </c>
      <c r="C1811" t="s">
        <v>22684</v>
      </c>
      <c r="D1811" s="45" t="str">
        <f t="shared" si="49"/>
        <v>2023.003S.Picornaviridae_158sprenamed.zip</v>
      </c>
    </row>
    <row r="1812" spans="1:4">
      <c r="A1812" t="s">
        <v>11672</v>
      </c>
      <c r="B1812" t="s">
        <v>22685</v>
      </c>
      <c r="C1812" t="s">
        <v>22686</v>
      </c>
      <c r="D1812" s="45" t="str">
        <f t="shared" si="49"/>
        <v>2023.003S.Picornaviridae_158sprenamed.zip</v>
      </c>
    </row>
    <row r="1813" spans="1:4">
      <c r="A1813" t="s">
        <v>11672</v>
      </c>
      <c r="B1813" t="s">
        <v>22687</v>
      </c>
      <c r="C1813" t="s">
        <v>22688</v>
      </c>
      <c r="D1813" s="45" t="str">
        <f t="shared" si="49"/>
        <v>2023.003S.Picornaviridae_158sprenamed.zip</v>
      </c>
    </row>
    <row r="1814" spans="1:4">
      <c r="A1814" t="s">
        <v>11672</v>
      </c>
      <c r="B1814" t="s">
        <v>22689</v>
      </c>
      <c r="C1814" t="s">
        <v>22690</v>
      </c>
      <c r="D1814" s="45" t="str">
        <f t="shared" si="49"/>
        <v>2023.003S.Picornaviridae_158sprenamed.zip</v>
      </c>
    </row>
    <row r="1815" spans="1:4">
      <c r="A1815" t="s">
        <v>11672</v>
      </c>
      <c r="B1815" t="s">
        <v>22691</v>
      </c>
      <c r="C1815" t="s">
        <v>22692</v>
      </c>
      <c r="D1815" s="45" t="str">
        <f t="shared" si="49"/>
        <v>2023.003S.Picornaviridae_158sprenamed.zip</v>
      </c>
    </row>
    <row r="1816" spans="1:4">
      <c r="A1816" t="s">
        <v>11672</v>
      </c>
      <c r="B1816" t="s">
        <v>22693</v>
      </c>
      <c r="C1816" t="s">
        <v>22694</v>
      </c>
      <c r="D1816" s="45" t="str">
        <f t="shared" si="49"/>
        <v>2023.003S.Picornaviridae_158sprenamed.zip</v>
      </c>
    </row>
    <row r="1817" spans="1:4">
      <c r="A1817" t="s">
        <v>11672</v>
      </c>
      <c r="B1817" t="s">
        <v>22695</v>
      </c>
      <c r="C1817" t="s">
        <v>22696</v>
      </c>
      <c r="D1817" s="45" t="str">
        <f t="shared" si="49"/>
        <v>2023.003S.Picornaviridae_158sprenamed.zip</v>
      </c>
    </row>
    <row r="1818" spans="1:4">
      <c r="A1818" t="s">
        <v>11672</v>
      </c>
      <c r="B1818" t="s">
        <v>22697</v>
      </c>
      <c r="C1818" t="s">
        <v>22698</v>
      </c>
      <c r="D1818" s="45" t="str">
        <f t="shared" si="49"/>
        <v>2023.003S.Picornaviridae_158sprenamed.zip</v>
      </c>
    </row>
    <row r="1819" spans="1:4">
      <c r="A1819" t="s">
        <v>11672</v>
      </c>
      <c r="B1819" t="s">
        <v>22699</v>
      </c>
      <c r="C1819" t="s">
        <v>22700</v>
      </c>
      <c r="D1819" s="45" t="str">
        <f t="shared" si="49"/>
        <v>2023.003S.Picornaviridae_158sprenamed.zip</v>
      </c>
    </row>
    <row r="1820" spans="1:4">
      <c r="A1820" t="s">
        <v>11672</v>
      </c>
      <c r="B1820" t="s">
        <v>22701</v>
      </c>
      <c r="C1820" t="s">
        <v>22702</v>
      </c>
      <c r="D1820" s="45" t="str">
        <f t="shared" si="49"/>
        <v>2023.003S.Picornaviridae_158sprenamed.zip</v>
      </c>
    </row>
    <row r="1821" spans="1:4">
      <c r="A1821" t="s">
        <v>11672</v>
      </c>
      <c r="B1821" t="s">
        <v>22703</v>
      </c>
      <c r="C1821" t="s">
        <v>22704</v>
      </c>
      <c r="D1821" s="45" t="str">
        <f>HYPERLINK("https://ictv.global/ictv/proposals/2023.003S.Picornaviridae_158sprenamed.zip","2023.003S.Picornaviridae_158sprenamed.zip;2023.015SX.Picornaviridae_correction_1sp.zip")</f>
        <v>2023.003S.Picornaviridae_158sprenamed.zip;2023.015SX.Picornaviridae_correction_1sp.zip</v>
      </c>
    </row>
    <row r="1822" spans="1:4">
      <c r="A1822" t="s">
        <v>11672</v>
      </c>
      <c r="B1822" t="s">
        <v>22705</v>
      </c>
      <c r="C1822" t="s">
        <v>22706</v>
      </c>
      <c r="D1822" s="45" t="str">
        <f t="shared" ref="D1822:D1853" si="50">HYPERLINK("https://ictv.global/ictv/proposals/2023.003S.Picornaviridae_158sprenamed.zip","2023.003S.Picornaviridae_158sprenamed.zip")</f>
        <v>2023.003S.Picornaviridae_158sprenamed.zip</v>
      </c>
    </row>
    <row r="1823" spans="1:4">
      <c r="A1823" t="s">
        <v>11672</v>
      </c>
      <c r="B1823" t="s">
        <v>22707</v>
      </c>
      <c r="C1823" t="s">
        <v>22708</v>
      </c>
      <c r="D1823" s="45" t="str">
        <f t="shared" si="50"/>
        <v>2023.003S.Picornaviridae_158sprenamed.zip</v>
      </c>
    </row>
    <row r="1824" spans="1:4">
      <c r="A1824" t="s">
        <v>11672</v>
      </c>
      <c r="B1824" t="s">
        <v>22709</v>
      </c>
      <c r="C1824" t="s">
        <v>22710</v>
      </c>
      <c r="D1824" s="45" t="str">
        <f t="shared" si="50"/>
        <v>2023.003S.Picornaviridae_158sprenamed.zip</v>
      </c>
    </row>
    <row r="1825" spans="1:4">
      <c r="A1825" t="s">
        <v>11672</v>
      </c>
      <c r="B1825" t="s">
        <v>22711</v>
      </c>
      <c r="C1825" t="s">
        <v>22712</v>
      </c>
      <c r="D1825" s="45" t="str">
        <f t="shared" si="50"/>
        <v>2023.003S.Picornaviridae_158sprenamed.zip</v>
      </c>
    </row>
    <row r="1826" spans="1:4">
      <c r="A1826" t="s">
        <v>11672</v>
      </c>
      <c r="B1826" t="s">
        <v>22713</v>
      </c>
      <c r="C1826" t="s">
        <v>22714</v>
      </c>
      <c r="D1826" s="45" t="str">
        <f t="shared" si="50"/>
        <v>2023.003S.Picornaviridae_158sprenamed.zip</v>
      </c>
    </row>
    <row r="1827" spans="1:4">
      <c r="A1827" t="s">
        <v>11672</v>
      </c>
      <c r="B1827" t="s">
        <v>22715</v>
      </c>
      <c r="C1827" t="s">
        <v>22716</v>
      </c>
      <c r="D1827" s="45" t="str">
        <f t="shared" si="50"/>
        <v>2023.003S.Picornaviridae_158sprenamed.zip</v>
      </c>
    </row>
    <row r="1828" spans="1:4">
      <c r="A1828" t="s">
        <v>11672</v>
      </c>
      <c r="B1828" t="s">
        <v>22717</v>
      </c>
      <c r="C1828" t="s">
        <v>22718</v>
      </c>
      <c r="D1828" s="45" t="str">
        <f t="shared" si="50"/>
        <v>2023.003S.Picornaviridae_158sprenamed.zip</v>
      </c>
    </row>
    <row r="1829" spans="1:4">
      <c r="A1829" t="s">
        <v>11672</v>
      </c>
      <c r="B1829" t="s">
        <v>22719</v>
      </c>
      <c r="C1829" t="s">
        <v>22720</v>
      </c>
      <c r="D1829" s="45" t="str">
        <f t="shared" si="50"/>
        <v>2023.003S.Picornaviridae_158sprenamed.zip</v>
      </c>
    </row>
    <row r="1830" spans="1:4">
      <c r="A1830" t="s">
        <v>11672</v>
      </c>
      <c r="B1830" t="s">
        <v>22721</v>
      </c>
      <c r="C1830" t="s">
        <v>22722</v>
      </c>
      <c r="D1830" s="45" t="str">
        <f t="shared" si="50"/>
        <v>2023.003S.Picornaviridae_158sprenamed.zip</v>
      </c>
    </row>
    <row r="1831" spans="1:4">
      <c r="A1831" t="s">
        <v>11672</v>
      </c>
      <c r="B1831" t="s">
        <v>22723</v>
      </c>
      <c r="C1831" t="s">
        <v>22724</v>
      </c>
      <c r="D1831" s="45" t="str">
        <f t="shared" si="50"/>
        <v>2023.003S.Picornaviridae_158sprenamed.zip</v>
      </c>
    </row>
    <row r="1832" spans="1:4">
      <c r="A1832" t="s">
        <v>11672</v>
      </c>
      <c r="B1832" t="s">
        <v>22725</v>
      </c>
      <c r="C1832" t="s">
        <v>22726</v>
      </c>
      <c r="D1832" s="45" t="str">
        <f t="shared" si="50"/>
        <v>2023.003S.Picornaviridae_158sprenamed.zip</v>
      </c>
    </row>
    <row r="1833" spans="1:4">
      <c r="A1833" t="s">
        <v>11672</v>
      </c>
      <c r="B1833" t="s">
        <v>22727</v>
      </c>
      <c r="C1833" t="s">
        <v>22728</v>
      </c>
      <c r="D1833" s="45" t="str">
        <f t="shared" si="50"/>
        <v>2023.003S.Picornaviridae_158sprenamed.zip</v>
      </c>
    </row>
    <row r="1834" spans="1:4">
      <c r="A1834" t="s">
        <v>11672</v>
      </c>
      <c r="B1834" t="s">
        <v>22729</v>
      </c>
      <c r="C1834" t="s">
        <v>22730</v>
      </c>
      <c r="D1834" s="45" t="str">
        <f t="shared" si="50"/>
        <v>2023.003S.Picornaviridae_158sprenamed.zip</v>
      </c>
    </row>
    <row r="1835" spans="1:4">
      <c r="A1835" t="s">
        <v>11672</v>
      </c>
      <c r="B1835" t="s">
        <v>22731</v>
      </c>
      <c r="C1835" t="s">
        <v>22732</v>
      </c>
      <c r="D1835" s="45" t="str">
        <f t="shared" si="50"/>
        <v>2023.003S.Picornaviridae_158sprenamed.zip</v>
      </c>
    </row>
    <row r="1836" spans="1:4">
      <c r="A1836" t="s">
        <v>11672</v>
      </c>
      <c r="B1836" t="s">
        <v>22733</v>
      </c>
      <c r="C1836" t="s">
        <v>22734</v>
      </c>
      <c r="D1836" s="45" t="str">
        <f t="shared" si="50"/>
        <v>2023.003S.Picornaviridae_158sprenamed.zip</v>
      </c>
    </row>
    <row r="1837" spans="1:4">
      <c r="A1837" t="s">
        <v>11672</v>
      </c>
      <c r="B1837" t="s">
        <v>22735</v>
      </c>
      <c r="C1837" t="s">
        <v>22736</v>
      </c>
      <c r="D1837" s="45" t="str">
        <f t="shared" si="50"/>
        <v>2023.003S.Picornaviridae_158sprenamed.zip</v>
      </c>
    </row>
    <row r="1838" spans="1:4">
      <c r="A1838" t="s">
        <v>11672</v>
      </c>
      <c r="B1838" t="s">
        <v>22737</v>
      </c>
      <c r="C1838" t="s">
        <v>22738</v>
      </c>
      <c r="D1838" s="45" t="str">
        <f t="shared" si="50"/>
        <v>2023.003S.Picornaviridae_158sprenamed.zip</v>
      </c>
    </row>
    <row r="1839" spans="1:4">
      <c r="A1839" t="s">
        <v>11672</v>
      </c>
      <c r="B1839" t="s">
        <v>22739</v>
      </c>
      <c r="C1839" t="s">
        <v>22740</v>
      </c>
      <c r="D1839" s="45" t="str">
        <f t="shared" si="50"/>
        <v>2023.003S.Picornaviridae_158sprenamed.zip</v>
      </c>
    </row>
    <row r="1840" spans="1:4">
      <c r="A1840" t="s">
        <v>11672</v>
      </c>
      <c r="B1840" t="s">
        <v>22741</v>
      </c>
      <c r="C1840" t="s">
        <v>22742</v>
      </c>
      <c r="D1840" s="45" t="str">
        <f t="shared" si="50"/>
        <v>2023.003S.Picornaviridae_158sprenamed.zip</v>
      </c>
    </row>
    <row r="1841" spans="1:4">
      <c r="A1841" t="s">
        <v>11672</v>
      </c>
      <c r="B1841" t="s">
        <v>22743</v>
      </c>
      <c r="C1841" t="s">
        <v>22744</v>
      </c>
      <c r="D1841" s="45" t="str">
        <f t="shared" si="50"/>
        <v>2023.003S.Picornaviridae_158sprenamed.zip</v>
      </c>
    </row>
    <row r="1842" spans="1:4">
      <c r="A1842" t="s">
        <v>11672</v>
      </c>
      <c r="B1842" t="s">
        <v>22745</v>
      </c>
      <c r="C1842" t="s">
        <v>22746</v>
      </c>
      <c r="D1842" s="45" t="str">
        <f t="shared" si="50"/>
        <v>2023.003S.Picornaviridae_158sprenamed.zip</v>
      </c>
    </row>
    <row r="1843" spans="1:4">
      <c r="A1843" t="s">
        <v>11672</v>
      </c>
      <c r="B1843" t="s">
        <v>22747</v>
      </c>
      <c r="C1843" t="s">
        <v>22748</v>
      </c>
      <c r="D1843" s="45" t="str">
        <f t="shared" si="50"/>
        <v>2023.003S.Picornaviridae_158sprenamed.zip</v>
      </c>
    </row>
    <row r="1844" spans="1:4">
      <c r="A1844" t="s">
        <v>11672</v>
      </c>
      <c r="B1844" t="s">
        <v>22749</v>
      </c>
      <c r="C1844" t="s">
        <v>22750</v>
      </c>
      <c r="D1844" s="45" t="str">
        <f t="shared" si="50"/>
        <v>2023.003S.Picornaviridae_158sprenamed.zip</v>
      </c>
    </row>
    <row r="1845" spans="1:4">
      <c r="A1845" t="s">
        <v>11672</v>
      </c>
      <c r="B1845" t="s">
        <v>22751</v>
      </c>
      <c r="C1845" t="s">
        <v>22752</v>
      </c>
      <c r="D1845" s="45" t="str">
        <f t="shared" si="50"/>
        <v>2023.003S.Picornaviridae_158sprenamed.zip</v>
      </c>
    </row>
    <row r="1846" spans="1:4">
      <c r="A1846" t="s">
        <v>11672</v>
      </c>
      <c r="B1846" t="s">
        <v>22753</v>
      </c>
      <c r="C1846" t="s">
        <v>22754</v>
      </c>
      <c r="D1846" s="45" t="str">
        <f t="shared" si="50"/>
        <v>2023.003S.Picornaviridae_158sprenamed.zip</v>
      </c>
    </row>
    <row r="1847" spans="1:4">
      <c r="A1847" t="s">
        <v>11672</v>
      </c>
      <c r="B1847" t="s">
        <v>22755</v>
      </c>
      <c r="C1847" t="s">
        <v>22756</v>
      </c>
      <c r="D1847" s="45" t="str">
        <f t="shared" si="50"/>
        <v>2023.003S.Picornaviridae_158sprenamed.zip</v>
      </c>
    </row>
    <row r="1848" spans="1:4">
      <c r="A1848" t="s">
        <v>11672</v>
      </c>
      <c r="B1848" t="s">
        <v>22757</v>
      </c>
      <c r="C1848" t="s">
        <v>22758</v>
      </c>
      <c r="D1848" s="45" t="str">
        <f t="shared" si="50"/>
        <v>2023.003S.Picornaviridae_158sprenamed.zip</v>
      </c>
    </row>
    <row r="1849" spans="1:4">
      <c r="A1849" t="s">
        <v>11672</v>
      </c>
      <c r="B1849" t="s">
        <v>22759</v>
      </c>
      <c r="C1849" t="s">
        <v>22760</v>
      </c>
      <c r="D1849" s="45" t="str">
        <f t="shared" si="50"/>
        <v>2023.003S.Picornaviridae_158sprenamed.zip</v>
      </c>
    </row>
    <row r="1850" spans="1:4">
      <c r="A1850" t="s">
        <v>11672</v>
      </c>
      <c r="B1850" t="s">
        <v>22761</v>
      </c>
      <c r="C1850" t="s">
        <v>22762</v>
      </c>
      <c r="D1850" s="45" t="str">
        <f t="shared" si="50"/>
        <v>2023.003S.Picornaviridae_158sprenamed.zip</v>
      </c>
    </row>
    <row r="1851" spans="1:4">
      <c r="A1851" t="s">
        <v>11672</v>
      </c>
      <c r="B1851" t="s">
        <v>22763</v>
      </c>
      <c r="C1851" t="s">
        <v>22764</v>
      </c>
      <c r="D1851" s="45" t="str">
        <f t="shared" si="50"/>
        <v>2023.003S.Picornaviridae_158sprenamed.zip</v>
      </c>
    </row>
    <row r="1852" spans="1:4">
      <c r="A1852" t="s">
        <v>11672</v>
      </c>
      <c r="B1852" t="s">
        <v>22765</v>
      </c>
      <c r="C1852" t="s">
        <v>22766</v>
      </c>
      <c r="D1852" s="45" t="str">
        <f t="shared" si="50"/>
        <v>2023.003S.Picornaviridae_158sprenamed.zip</v>
      </c>
    </row>
    <row r="1853" spans="1:4">
      <c r="A1853" t="s">
        <v>11672</v>
      </c>
      <c r="B1853" t="s">
        <v>22767</v>
      </c>
      <c r="C1853" t="s">
        <v>22768</v>
      </c>
      <c r="D1853" s="45" t="str">
        <f t="shared" si="50"/>
        <v>2023.003S.Picornaviridae_158sprenamed.zip</v>
      </c>
    </row>
    <row r="1854" spans="1:4">
      <c r="A1854" t="s">
        <v>11672</v>
      </c>
      <c r="B1854" t="s">
        <v>22769</v>
      </c>
      <c r="C1854" t="s">
        <v>22770</v>
      </c>
      <c r="D1854" s="45" t="str">
        <f t="shared" ref="D1854:D1885" si="51">HYPERLINK("https://ictv.global/ictv/proposals/2023.003S.Picornaviridae_158sprenamed.zip","2023.003S.Picornaviridae_158sprenamed.zip")</f>
        <v>2023.003S.Picornaviridae_158sprenamed.zip</v>
      </c>
    </row>
    <row r="1855" spans="1:4">
      <c r="A1855" t="s">
        <v>11672</v>
      </c>
      <c r="B1855" t="s">
        <v>22771</v>
      </c>
      <c r="C1855" t="s">
        <v>22772</v>
      </c>
      <c r="D1855" s="45" t="str">
        <f t="shared" si="51"/>
        <v>2023.003S.Picornaviridae_158sprenamed.zip</v>
      </c>
    </row>
    <row r="1856" spans="1:4">
      <c r="A1856" t="s">
        <v>11672</v>
      </c>
      <c r="B1856" t="s">
        <v>22773</v>
      </c>
      <c r="C1856" t="s">
        <v>22774</v>
      </c>
      <c r="D1856" s="45" t="str">
        <f t="shared" si="51"/>
        <v>2023.003S.Picornaviridae_158sprenamed.zip</v>
      </c>
    </row>
    <row r="1857" spans="1:4">
      <c r="A1857" t="s">
        <v>11672</v>
      </c>
      <c r="B1857" t="s">
        <v>22775</v>
      </c>
      <c r="C1857" t="s">
        <v>22776</v>
      </c>
      <c r="D1857" s="45" t="str">
        <f t="shared" si="51"/>
        <v>2023.003S.Picornaviridae_158sprenamed.zip</v>
      </c>
    </row>
    <row r="1858" spans="1:4">
      <c r="A1858" t="s">
        <v>11672</v>
      </c>
      <c r="B1858" t="s">
        <v>22777</v>
      </c>
      <c r="C1858" t="s">
        <v>22778</v>
      </c>
      <c r="D1858" s="45" t="str">
        <f t="shared" si="51"/>
        <v>2023.003S.Picornaviridae_158sprenamed.zip</v>
      </c>
    </row>
    <row r="1859" spans="1:4">
      <c r="A1859" t="s">
        <v>11672</v>
      </c>
      <c r="B1859" t="s">
        <v>22779</v>
      </c>
      <c r="C1859" t="s">
        <v>22780</v>
      </c>
      <c r="D1859" s="45" t="str">
        <f t="shared" si="51"/>
        <v>2023.003S.Picornaviridae_158sprenamed.zip</v>
      </c>
    </row>
    <row r="1860" spans="1:4">
      <c r="A1860" t="s">
        <v>11672</v>
      </c>
      <c r="B1860" t="s">
        <v>22781</v>
      </c>
      <c r="C1860" t="s">
        <v>22782</v>
      </c>
      <c r="D1860" s="45" t="str">
        <f t="shared" si="51"/>
        <v>2023.003S.Picornaviridae_158sprenamed.zip</v>
      </c>
    </row>
    <row r="1861" spans="1:4">
      <c r="A1861" t="s">
        <v>11672</v>
      </c>
      <c r="B1861" t="s">
        <v>22783</v>
      </c>
      <c r="C1861" t="s">
        <v>22784</v>
      </c>
      <c r="D1861" s="45" t="str">
        <f t="shared" si="51"/>
        <v>2023.003S.Picornaviridae_158sprenamed.zip</v>
      </c>
    </row>
    <row r="1862" spans="1:4">
      <c r="A1862" t="s">
        <v>11672</v>
      </c>
      <c r="B1862" t="s">
        <v>22785</v>
      </c>
      <c r="C1862" t="s">
        <v>22786</v>
      </c>
      <c r="D1862" s="45" t="str">
        <f t="shared" si="51"/>
        <v>2023.003S.Picornaviridae_158sprenamed.zip</v>
      </c>
    </row>
    <row r="1863" spans="1:4">
      <c r="A1863" t="s">
        <v>11672</v>
      </c>
      <c r="B1863" t="s">
        <v>22787</v>
      </c>
      <c r="C1863" t="s">
        <v>22788</v>
      </c>
      <c r="D1863" s="45" t="str">
        <f t="shared" si="51"/>
        <v>2023.003S.Picornaviridae_158sprenamed.zip</v>
      </c>
    </row>
    <row r="1864" spans="1:4">
      <c r="A1864" t="s">
        <v>11672</v>
      </c>
      <c r="B1864" t="s">
        <v>22789</v>
      </c>
      <c r="C1864" t="s">
        <v>22790</v>
      </c>
      <c r="D1864" s="45" t="str">
        <f t="shared" si="51"/>
        <v>2023.003S.Picornaviridae_158sprenamed.zip</v>
      </c>
    </row>
    <row r="1865" spans="1:4">
      <c r="A1865" t="s">
        <v>11672</v>
      </c>
      <c r="B1865" t="s">
        <v>22791</v>
      </c>
      <c r="C1865" t="s">
        <v>22792</v>
      </c>
      <c r="D1865" s="45" t="str">
        <f t="shared" si="51"/>
        <v>2023.003S.Picornaviridae_158sprenamed.zip</v>
      </c>
    </row>
    <row r="1866" spans="1:4">
      <c r="A1866" t="s">
        <v>11672</v>
      </c>
      <c r="B1866" t="s">
        <v>22793</v>
      </c>
      <c r="C1866" t="s">
        <v>22794</v>
      </c>
      <c r="D1866" s="45" t="str">
        <f t="shared" si="51"/>
        <v>2023.003S.Picornaviridae_158sprenamed.zip</v>
      </c>
    </row>
    <row r="1867" spans="1:4">
      <c r="A1867" t="s">
        <v>11672</v>
      </c>
      <c r="B1867" t="s">
        <v>22795</v>
      </c>
      <c r="C1867" t="s">
        <v>22796</v>
      </c>
      <c r="D1867" s="45" t="str">
        <f t="shared" si="51"/>
        <v>2023.003S.Picornaviridae_158sprenamed.zip</v>
      </c>
    </row>
    <row r="1868" spans="1:4">
      <c r="A1868" t="s">
        <v>11672</v>
      </c>
      <c r="B1868" t="s">
        <v>22797</v>
      </c>
      <c r="C1868" t="s">
        <v>22798</v>
      </c>
      <c r="D1868" s="45" t="str">
        <f t="shared" si="51"/>
        <v>2023.003S.Picornaviridae_158sprenamed.zip</v>
      </c>
    </row>
    <row r="1869" spans="1:4">
      <c r="A1869" t="s">
        <v>11672</v>
      </c>
      <c r="B1869" t="s">
        <v>22799</v>
      </c>
      <c r="C1869" t="s">
        <v>22800</v>
      </c>
      <c r="D1869" s="45" t="str">
        <f t="shared" si="51"/>
        <v>2023.003S.Picornaviridae_158sprenamed.zip</v>
      </c>
    </row>
    <row r="1870" spans="1:4">
      <c r="A1870" t="s">
        <v>11672</v>
      </c>
      <c r="B1870" t="s">
        <v>22801</v>
      </c>
      <c r="C1870" t="s">
        <v>22802</v>
      </c>
      <c r="D1870" s="45" t="str">
        <f t="shared" si="51"/>
        <v>2023.003S.Picornaviridae_158sprenamed.zip</v>
      </c>
    </row>
    <row r="1871" spans="1:4">
      <c r="A1871" t="s">
        <v>11672</v>
      </c>
      <c r="B1871" t="s">
        <v>22803</v>
      </c>
      <c r="C1871" t="s">
        <v>22804</v>
      </c>
      <c r="D1871" s="45" t="str">
        <f t="shared" si="51"/>
        <v>2023.003S.Picornaviridae_158sprenamed.zip</v>
      </c>
    </row>
    <row r="1872" spans="1:4">
      <c r="A1872" t="s">
        <v>11672</v>
      </c>
      <c r="B1872" t="s">
        <v>22805</v>
      </c>
      <c r="C1872" t="s">
        <v>22806</v>
      </c>
      <c r="D1872" s="45" t="str">
        <f t="shared" si="51"/>
        <v>2023.003S.Picornaviridae_158sprenamed.zip</v>
      </c>
    </row>
    <row r="1873" spans="1:4">
      <c r="A1873" t="s">
        <v>11672</v>
      </c>
      <c r="B1873" t="s">
        <v>22807</v>
      </c>
      <c r="C1873" t="s">
        <v>22808</v>
      </c>
      <c r="D1873" s="45" t="str">
        <f t="shared" si="51"/>
        <v>2023.003S.Picornaviridae_158sprenamed.zip</v>
      </c>
    </row>
    <row r="1874" spans="1:4">
      <c r="A1874" t="s">
        <v>11672</v>
      </c>
      <c r="B1874" t="s">
        <v>22809</v>
      </c>
      <c r="C1874" t="s">
        <v>22810</v>
      </c>
      <c r="D1874" s="45" t="str">
        <f t="shared" si="51"/>
        <v>2023.003S.Picornaviridae_158sprenamed.zip</v>
      </c>
    </row>
    <row r="1875" spans="1:4">
      <c r="A1875" t="s">
        <v>11672</v>
      </c>
      <c r="B1875" t="s">
        <v>22811</v>
      </c>
      <c r="C1875" t="s">
        <v>22812</v>
      </c>
      <c r="D1875" s="45" t="str">
        <f t="shared" si="51"/>
        <v>2023.003S.Picornaviridae_158sprenamed.zip</v>
      </c>
    </row>
    <row r="1876" spans="1:4">
      <c r="A1876" t="s">
        <v>11672</v>
      </c>
      <c r="B1876" t="s">
        <v>22813</v>
      </c>
      <c r="C1876" t="s">
        <v>22814</v>
      </c>
      <c r="D1876" s="45" t="str">
        <f t="shared" si="51"/>
        <v>2023.003S.Picornaviridae_158sprenamed.zip</v>
      </c>
    </row>
    <row r="1877" spans="1:4">
      <c r="A1877" t="s">
        <v>11672</v>
      </c>
      <c r="B1877" t="s">
        <v>22815</v>
      </c>
      <c r="C1877" t="s">
        <v>22816</v>
      </c>
      <c r="D1877" s="45" t="str">
        <f t="shared" si="51"/>
        <v>2023.003S.Picornaviridae_158sprenamed.zip</v>
      </c>
    </row>
    <row r="1878" spans="1:4">
      <c r="A1878" t="s">
        <v>11672</v>
      </c>
      <c r="B1878" t="s">
        <v>22817</v>
      </c>
      <c r="C1878" t="s">
        <v>22818</v>
      </c>
      <c r="D1878" s="45" t="str">
        <f t="shared" si="51"/>
        <v>2023.003S.Picornaviridae_158sprenamed.zip</v>
      </c>
    </row>
    <row r="1879" spans="1:4">
      <c r="A1879" t="s">
        <v>11672</v>
      </c>
      <c r="B1879" t="s">
        <v>22819</v>
      </c>
      <c r="C1879" t="s">
        <v>22820</v>
      </c>
      <c r="D1879" s="45" t="str">
        <f t="shared" si="51"/>
        <v>2023.003S.Picornaviridae_158sprenamed.zip</v>
      </c>
    </row>
    <row r="1880" spans="1:4">
      <c r="A1880" t="s">
        <v>11672</v>
      </c>
      <c r="B1880" t="s">
        <v>22821</v>
      </c>
      <c r="C1880" t="s">
        <v>22822</v>
      </c>
      <c r="D1880" s="45" t="str">
        <f t="shared" si="51"/>
        <v>2023.003S.Picornaviridae_158sprenamed.zip</v>
      </c>
    </row>
    <row r="1881" spans="1:4">
      <c r="A1881" t="s">
        <v>11672</v>
      </c>
      <c r="B1881" t="s">
        <v>22823</v>
      </c>
      <c r="C1881" t="s">
        <v>22824</v>
      </c>
      <c r="D1881" s="45" t="str">
        <f t="shared" si="51"/>
        <v>2023.003S.Picornaviridae_158sprenamed.zip</v>
      </c>
    </row>
    <row r="1882" spans="1:4">
      <c r="A1882" t="s">
        <v>11672</v>
      </c>
      <c r="B1882" t="s">
        <v>22825</v>
      </c>
      <c r="C1882" t="s">
        <v>22826</v>
      </c>
      <c r="D1882" s="45" t="str">
        <f t="shared" si="51"/>
        <v>2023.003S.Picornaviridae_158sprenamed.zip</v>
      </c>
    </row>
    <row r="1883" spans="1:4">
      <c r="A1883" t="s">
        <v>11672</v>
      </c>
      <c r="B1883" t="s">
        <v>22827</v>
      </c>
      <c r="C1883" t="s">
        <v>22828</v>
      </c>
      <c r="D1883" s="45" t="str">
        <f t="shared" si="51"/>
        <v>2023.003S.Picornaviridae_158sprenamed.zip</v>
      </c>
    </row>
    <row r="1884" spans="1:4">
      <c r="A1884" t="s">
        <v>11672</v>
      </c>
      <c r="B1884" t="s">
        <v>22829</v>
      </c>
      <c r="C1884" t="s">
        <v>22830</v>
      </c>
      <c r="D1884" s="45" t="str">
        <f t="shared" si="51"/>
        <v>2023.003S.Picornaviridae_158sprenamed.zip</v>
      </c>
    </row>
    <row r="1885" spans="1:4">
      <c r="A1885" t="s">
        <v>11672</v>
      </c>
      <c r="B1885" t="s">
        <v>22831</v>
      </c>
      <c r="C1885" t="s">
        <v>22832</v>
      </c>
      <c r="D1885" s="45" t="str">
        <f t="shared" si="51"/>
        <v>2023.003S.Picornaviridae_158sprenamed.zip</v>
      </c>
    </row>
    <row r="1886" spans="1:4">
      <c r="A1886" t="s">
        <v>11672</v>
      </c>
      <c r="B1886" t="s">
        <v>22833</v>
      </c>
      <c r="C1886" t="s">
        <v>22834</v>
      </c>
      <c r="D1886" s="45" t="str">
        <f t="shared" ref="D1886:D1917" si="52">HYPERLINK("https://ictv.global/ictv/proposals/2023.003S.Picornaviridae_158sprenamed.zip","2023.003S.Picornaviridae_158sprenamed.zip")</f>
        <v>2023.003S.Picornaviridae_158sprenamed.zip</v>
      </c>
    </row>
    <row r="1887" spans="1:4">
      <c r="A1887" t="s">
        <v>11672</v>
      </c>
      <c r="B1887" t="s">
        <v>22835</v>
      </c>
      <c r="C1887" t="s">
        <v>22836</v>
      </c>
      <c r="D1887" s="45" t="str">
        <f t="shared" si="52"/>
        <v>2023.003S.Picornaviridae_158sprenamed.zip</v>
      </c>
    </row>
    <row r="1888" spans="1:4">
      <c r="A1888" t="s">
        <v>11672</v>
      </c>
      <c r="B1888" t="s">
        <v>22837</v>
      </c>
      <c r="C1888" t="s">
        <v>22838</v>
      </c>
      <c r="D1888" s="45" t="str">
        <f t="shared" si="52"/>
        <v>2023.003S.Picornaviridae_158sprenamed.zip</v>
      </c>
    </row>
    <row r="1889" spans="1:4">
      <c r="A1889" t="s">
        <v>11672</v>
      </c>
      <c r="B1889" t="s">
        <v>22839</v>
      </c>
      <c r="C1889" t="s">
        <v>22840</v>
      </c>
      <c r="D1889" s="45" t="str">
        <f t="shared" si="52"/>
        <v>2023.003S.Picornaviridae_158sprenamed.zip</v>
      </c>
    </row>
    <row r="1890" spans="1:4">
      <c r="A1890" t="s">
        <v>11672</v>
      </c>
      <c r="B1890" t="s">
        <v>22841</v>
      </c>
      <c r="C1890" t="s">
        <v>22842</v>
      </c>
      <c r="D1890" s="45" t="str">
        <f t="shared" si="52"/>
        <v>2023.003S.Picornaviridae_158sprenamed.zip</v>
      </c>
    </row>
    <row r="1891" spans="1:4">
      <c r="A1891" t="s">
        <v>11672</v>
      </c>
      <c r="B1891" t="s">
        <v>22843</v>
      </c>
      <c r="C1891" t="s">
        <v>22844</v>
      </c>
      <c r="D1891" s="45" t="str">
        <f t="shared" si="52"/>
        <v>2023.003S.Picornaviridae_158sprenamed.zip</v>
      </c>
    </row>
    <row r="1892" spans="1:4">
      <c r="A1892" t="s">
        <v>11672</v>
      </c>
      <c r="B1892" t="s">
        <v>22845</v>
      </c>
      <c r="C1892" t="s">
        <v>22846</v>
      </c>
      <c r="D1892" s="45" t="str">
        <f t="shared" si="52"/>
        <v>2023.003S.Picornaviridae_158sprenamed.zip</v>
      </c>
    </row>
    <row r="1893" spans="1:4">
      <c r="A1893" t="s">
        <v>11672</v>
      </c>
      <c r="B1893" t="s">
        <v>22847</v>
      </c>
      <c r="C1893" t="s">
        <v>22848</v>
      </c>
      <c r="D1893" s="45" t="str">
        <f t="shared" si="52"/>
        <v>2023.003S.Picornaviridae_158sprenamed.zip</v>
      </c>
    </row>
    <row r="1894" spans="1:4">
      <c r="A1894" t="s">
        <v>11672</v>
      </c>
      <c r="B1894" t="s">
        <v>22849</v>
      </c>
      <c r="C1894" t="s">
        <v>22850</v>
      </c>
      <c r="D1894" s="45" t="str">
        <f t="shared" si="52"/>
        <v>2023.003S.Picornaviridae_158sprenamed.zip</v>
      </c>
    </row>
    <row r="1895" spans="1:4">
      <c r="A1895" t="s">
        <v>11672</v>
      </c>
      <c r="B1895" t="s">
        <v>22851</v>
      </c>
      <c r="C1895" t="s">
        <v>22852</v>
      </c>
      <c r="D1895" s="45" t="str">
        <f t="shared" si="52"/>
        <v>2023.003S.Picornaviridae_158sprenamed.zip</v>
      </c>
    </row>
    <row r="1896" spans="1:4">
      <c r="A1896" t="s">
        <v>11672</v>
      </c>
      <c r="B1896" t="s">
        <v>22853</v>
      </c>
      <c r="C1896" t="s">
        <v>22854</v>
      </c>
      <c r="D1896" s="45" t="str">
        <f t="shared" si="52"/>
        <v>2023.003S.Picornaviridae_158sprenamed.zip</v>
      </c>
    </row>
    <row r="1897" spans="1:4">
      <c r="A1897" t="s">
        <v>11672</v>
      </c>
      <c r="B1897" t="s">
        <v>22855</v>
      </c>
      <c r="C1897" t="s">
        <v>22856</v>
      </c>
      <c r="D1897" s="45" t="str">
        <f t="shared" si="52"/>
        <v>2023.003S.Picornaviridae_158sprenamed.zip</v>
      </c>
    </row>
    <row r="1898" spans="1:4">
      <c r="A1898" t="s">
        <v>11672</v>
      </c>
      <c r="B1898" t="s">
        <v>22857</v>
      </c>
      <c r="C1898" t="s">
        <v>22858</v>
      </c>
      <c r="D1898" s="45" t="str">
        <f t="shared" si="52"/>
        <v>2023.003S.Picornaviridae_158sprenamed.zip</v>
      </c>
    </row>
    <row r="1899" spans="1:4">
      <c r="A1899" t="s">
        <v>11672</v>
      </c>
      <c r="B1899" t="s">
        <v>22859</v>
      </c>
      <c r="C1899" t="s">
        <v>22860</v>
      </c>
      <c r="D1899" s="45" t="str">
        <f t="shared" si="52"/>
        <v>2023.003S.Picornaviridae_158sprenamed.zip</v>
      </c>
    </row>
    <row r="1900" spans="1:4">
      <c r="A1900" t="s">
        <v>11672</v>
      </c>
      <c r="B1900" t="s">
        <v>22861</v>
      </c>
      <c r="C1900" t="s">
        <v>22862</v>
      </c>
      <c r="D1900" s="45" t="str">
        <f t="shared" si="52"/>
        <v>2023.003S.Picornaviridae_158sprenamed.zip</v>
      </c>
    </row>
    <row r="1901" spans="1:4">
      <c r="A1901" t="s">
        <v>11672</v>
      </c>
      <c r="B1901" t="s">
        <v>22863</v>
      </c>
      <c r="C1901" t="s">
        <v>22864</v>
      </c>
      <c r="D1901" s="45" t="str">
        <f t="shared" si="52"/>
        <v>2023.003S.Picornaviridae_158sprenamed.zip</v>
      </c>
    </row>
    <row r="1902" spans="1:4">
      <c r="A1902" t="s">
        <v>11672</v>
      </c>
      <c r="B1902" t="s">
        <v>22865</v>
      </c>
      <c r="C1902" t="s">
        <v>22866</v>
      </c>
      <c r="D1902" s="45" t="str">
        <f t="shared" si="52"/>
        <v>2023.003S.Picornaviridae_158sprenamed.zip</v>
      </c>
    </row>
    <row r="1903" spans="1:4">
      <c r="A1903" t="s">
        <v>11672</v>
      </c>
      <c r="B1903" t="s">
        <v>22867</v>
      </c>
      <c r="C1903" t="s">
        <v>22868</v>
      </c>
      <c r="D1903" s="45" t="str">
        <f t="shared" si="52"/>
        <v>2023.003S.Picornaviridae_158sprenamed.zip</v>
      </c>
    </row>
    <row r="1904" spans="1:4">
      <c r="A1904" t="s">
        <v>11672</v>
      </c>
      <c r="B1904" t="s">
        <v>22869</v>
      </c>
      <c r="C1904" t="s">
        <v>22870</v>
      </c>
      <c r="D1904" s="45" t="str">
        <f t="shared" si="52"/>
        <v>2023.003S.Picornaviridae_158sprenamed.zip</v>
      </c>
    </row>
    <row r="1905" spans="1:4">
      <c r="A1905" t="s">
        <v>11672</v>
      </c>
      <c r="B1905" t="s">
        <v>22871</v>
      </c>
      <c r="C1905" t="s">
        <v>22872</v>
      </c>
      <c r="D1905" s="45" t="str">
        <f t="shared" si="52"/>
        <v>2023.003S.Picornaviridae_158sprenamed.zip</v>
      </c>
    </row>
    <row r="1906" spans="1:4">
      <c r="A1906" t="s">
        <v>11672</v>
      </c>
      <c r="B1906" t="s">
        <v>22873</v>
      </c>
      <c r="C1906" t="s">
        <v>22874</v>
      </c>
      <c r="D1906" s="45" t="str">
        <f t="shared" si="52"/>
        <v>2023.003S.Picornaviridae_158sprenamed.zip</v>
      </c>
    </row>
    <row r="1907" spans="1:4">
      <c r="A1907" t="s">
        <v>11672</v>
      </c>
      <c r="B1907" t="s">
        <v>22875</v>
      </c>
      <c r="C1907" t="s">
        <v>22876</v>
      </c>
      <c r="D1907" s="45" t="str">
        <f t="shared" si="52"/>
        <v>2023.003S.Picornaviridae_158sprenamed.zip</v>
      </c>
    </row>
    <row r="1908" spans="1:4">
      <c r="A1908" t="s">
        <v>11672</v>
      </c>
      <c r="B1908" t="s">
        <v>22877</v>
      </c>
      <c r="C1908" t="s">
        <v>22878</v>
      </c>
      <c r="D1908" s="45" t="str">
        <f t="shared" si="52"/>
        <v>2023.003S.Picornaviridae_158sprenamed.zip</v>
      </c>
    </row>
    <row r="1909" spans="1:4">
      <c r="A1909" t="s">
        <v>11672</v>
      </c>
      <c r="B1909" t="s">
        <v>22879</v>
      </c>
      <c r="C1909" t="s">
        <v>22880</v>
      </c>
      <c r="D1909" s="45" t="str">
        <f t="shared" si="52"/>
        <v>2023.003S.Picornaviridae_158sprenamed.zip</v>
      </c>
    </row>
    <row r="1910" spans="1:4">
      <c r="A1910" t="s">
        <v>11672</v>
      </c>
      <c r="B1910" t="s">
        <v>22881</v>
      </c>
      <c r="C1910" t="s">
        <v>22882</v>
      </c>
      <c r="D1910" s="45" t="str">
        <f t="shared" si="52"/>
        <v>2023.003S.Picornaviridae_158sprenamed.zip</v>
      </c>
    </row>
    <row r="1911" spans="1:4">
      <c r="A1911" t="s">
        <v>11672</v>
      </c>
      <c r="B1911" t="s">
        <v>22883</v>
      </c>
      <c r="C1911" t="s">
        <v>22884</v>
      </c>
      <c r="D1911" s="45" t="str">
        <f t="shared" si="52"/>
        <v>2023.003S.Picornaviridae_158sprenamed.zip</v>
      </c>
    </row>
    <row r="1912" spans="1:4">
      <c r="A1912" t="s">
        <v>11672</v>
      </c>
      <c r="B1912" t="s">
        <v>22885</v>
      </c>
      <c r="C1912" t="s">
        <v>22886</v>
      </c>
      <c r="D1912" s="45" t="str">
        <f t="shared" si="52"/>
        <v>2023.003S.Picornaviridae_158sprenamed.zip</v>
      </c>
    </row>
    <row r="1913" spans="1:4">
      <c r="A1913" t="s">
        <v>11672</v>
      </c>
      <c r="B1913" t="s">
        <v>22887</v>
      </c>
      <c r="C1913" t="s">
        <v>22888</v>
      </c>
      <c r="D1913" s="45" t="str">
        <f t="shared" si="52"/>
        <v>2023.003S.Picornaviridae_158sprenamed.zip</v>
      </c>
    </row>
    <row r="1914" spans="1:4">
      <c r="A1914" t="s">
        <v>11672</v>
      </c>
      <c r="B1914" t="s">
        <v>22889</v>
      </c>
      <c r="C1914" t="s">
        <v>22890</v>
      </c>
      <c r="D1914" s="45" t="str">
        <f t="shared" si="52"/>
        <v>2023.003S.Picornaviridae_158sprenamed.zip</v>
      </c>
    </row>
    <row r="1915" spans="1:4">
      <c r="A1915" t="s">
        <v>11672</v>
      </c>
      <c r="B1915" t="s">
        <v>22891</v>
      </c>
      <c r="C1915" t="s">
        <v>22892</v>
      </c>
      <c r="D1915" s="45" t="str">
        <f t="shared" si="52"/>
        <v>2023.003S.Picornaviridae_158sprenamed.zip</v>
      </c>
    </row>
    <row r="1916" spans="1:4">
      <c r="A1916" t="s">
        <v>11672</v>
      </c>
      <c r="B1916" t="s">
        <v>22893</v>
      </c>
      <c r="C1916" t="s">
        <v>22894</v>
      </c>
      <c r="D1916" s="45" t="str">
        <f t="shared" si="52"/>
        <v>2023.003S.Picornaviridae_158sprenamed.zip</v>
      </c>
    </row>
    <row r="1917" spans="1:4">
      <c r="A1917" t="s">
        <v>11672</v>
      </c>
      <c r="B1917" t="s">
        <v>22895</v>
      </c>
      <c r="C1917" t="s">
        <v>22896</v>
      </c>
      <c r="D1917" s="45" t="str">
        <f t="shared" si="52"/>
        <v>2023.003S.Picornaviridae_158sprenamed.zip</v>
      </c>
    </row>
    <row r="1918" spans="1:4">
      <c r="A1918" t="s">
        <v>11672</v>
      </c>
      <c r="B1918" t="s">
        <v>22897</v>
      </c>
      <c r="C1918" t="s">
        <v>22898</v>
      </c>
      <c r="D1918" s="45" t="str">
        <f t="shared" ref="D1918:D1930" si="53">HYPERLINK("https://ictv.global/ictv/proposals/2023.003S.Picornaviridae_158sprenamed.zip","2023.003S.Picornaviridae_158sprenamed.zip")</f>
        <v>2023.003S.Picornaviridae_158sprenamed.zip</v>
      </c>
    </row>
    <row r="1919" spans="1:4">
      <c r="A1919" t="s">
        <v>11672</v>
      </c>
      <c r="B1919" t="s">
        <v>22899</v>
      </c>
      <c r="C1919" t="s">
        <v>22900</v>
      </c>
      <c r="D1919" s="45" t="str">
        <f t="shared" si="53"/>
        <v>2023.003S.Picornaviridae_158sprenamed.zip</v>
      </c>
    </row>
    <row r="1920" spans="1:4">
      <c r="A1920" t="s">
        <v>11672</v>
      </c>
      <c r="B1920" t="s">
        <v>22901</v>
      </c>
      <c r="C1920" t="s">
        <v>22902</v>
      </c>
      <c r="D1920" s="45" t="str">
        <f t="shared" si="53"/>
        <v>2023.003S.Picornaviridae_158sprenamed.zip</v>
      </c>
    </row>
    <row r="1921" spans="1:4">
      <c r="A1921" t="s">
        <v>11672</v>
      </c>
      <c r="B1921" t="s">
        <v>22903</v>
      </c>
      <c r="C1921" t="s">
        <v>22904</v>
      </c>
      <c r="D1921" s="45" t="str">
        <f t="shared" si="53"/>
        <v>2023.003S.Picornaviridae_158sprenamed.zip</v>
      </c>
    </row>
    <row r="1922" spans="1:4">
      <c r="A1922" t="s">
        <v>11672</v>
      </c>
      <c r="B1922" t="s">
        <v>22905</v>
      </c>
      <c r="C1922" t="s">
        <v>22906</v>
      </c>
      <c r="D1922" s="45" t="str">
        <f t="shared" si="53"/>
        <v>2023.003S.Picornaviridae_158sprenamed.zip</v>
      </c>
    </row>
    <row r="1923" spans="1:4">
      <c r="A1923" t="s">
        <v>11672</v>
      </c>
      <c r="B1923" t="s">
        <v>22907</v>
      </c>
      <c r="C1923" t="s">
        <v>22908</v>
      </c>
      <c r="D1923" s="45" t="str">
        <f t="shared" si="53"/>
        <v>2023.003S.Picornaviridae_158sprenamed.zip</v>
      </c>
    </row>
    <row r="1924" spans="1:4">
      <c r="A1924" t="s">
        <v>11672</v>
      </c>
      <c r="B1924" t="s">
        <v>22909</v>
      </c>
      <c r="C1924" t="s">
        <v>22910</v>
      </c>
      <c r="D1924" s="45" t="str">
        <f t="shared" si="53"/>
        <v>2023.003S.Picornaviridae_158sprenamed.zip</v>
      </c>
    </row>
    <row r="1925" spans="1:4">
      <c r="A1925" t="s">
        <v>11672</v>
      </c>
      <c r="B1925" t="s">
        <v>22911</v>
      </c>
      <c r="C1925" t="s">
        <v>22912</v>
      </c>
      <c r="D1925" s="45" t="str">
        <f t="shared" si="53"/>
        <v>2023.003S.Picornaviridae_158sprenamed.zip</v>
      </c>
    </row>
    <row r="1926" spans="1:4">
      <c r="A1926" t="s">
        <v>11672</v>
      </c>
      <c r="B1926" t="s">
        <v>22913</v>
      </c>
      <c r="C1926" t="s">
        <v>22914</v>
      </c>
      <c r="D1926" s="45" t="str">
        <f t="shared" si="53"/>
        <v>2023.003S.Picornaviridae_158sprenamed.zip</v>
      </c>
    </row>
    <row r="1927" spans="1:4">
      <c r="A1927" t="s">
        <v>11672</v>
      </c>
      <c r="B1927" t="s">
        <v>22915</v>
      </c>
      <c r="C1927" t="s">
        <v>22916</v>
      </c>
      <c r="D1927" s="45" t="str">
        <f t="shared" si="53"/>
        <v>2023.003S.Picornaviridae_158sprenamed.zip</v>
      </c>
    </row>
    <row r="1928" spans="1:4">
      <c r="A1928" t="s">
        <v>11672</v>
      </c>
      <c r="B1928" t="s">
        <v>22917</v>
      </c>
      <c r="C1928" t="s">
        <v>22918</v>
      </c>
      <c r="D1928" s="45" t="str">
        <f t="shared" si="53"/>
        <v>2023.003S.Picornaviridae_158sprenamed.zip</v>
      </c>
    </row>
    <row r="1929" spans="1:4">
      <c r="A1929" t="s">
        <v>11672</v>
      </c>
      <c r="B1929" t="s">
        <v>22919</v>
      </c>
      <c r="C1929" t="s">
        <v>22920</v>
      </c>
      <c r="D1929" s="45" t="str">
        <f t="shared" si="53"/>
        <v>2023.003S.Picornaviridae_158sprenamed.zip</v>
      </c>
    </row>
    <row r="1930" spans="1:4">
      <c r="A1930" t="s">
        <v>11672</v>
      </c>
      <c r="B1930" t="s">
        <v>22921</v>
      </c>
      <c r="C1930" t="s">
        <v>22922</v>
      </c>
      <c r="D1930" s="45" t="str">
        <f t="shared" si="53"/>
        <v>2023.003S.Picornaviridae_158sprenamed.zip</v>
      </c>
    </row>
    <row r="1931" spans="1:4">
      <c r="A1931" t="s">
        <v>11672</v>
      </c>
      <c r="B1931" t="s">
        <v>22923</v>
      </c>
      <c r="C1931" t="s">
        <v>22924</v>
      </c>
      <c r="D1931" s="45" t="str">
        <f t="shared" ref="D1931:D1944" si="54">HYPERLINK("https://ictv.global/ictv/proposals/2023.008S.Polycipiviridae_14sprenamed.zip","2023.008S.Polycipiviridae_14sprenamed.zip")</f>
        <v>2023.008S.Polycipiviridae_14sprenamed.zip</v>
      </c>
    </row>
    <row r="1932" spans="1:4">
      <c r="A1932" t="s">
        <v>11672</v>
      </c>
      <c r="B1932" t="s">
        <v>22925</v>
      </c>
      <c r="C1932" t="s">
        <v>22926</v>
      </c>
      <c r="D1932" s="45" t="str">
        <f t="shared" si="54"/>
        <v>2023.008S.Polycipiviridae_14sprenamed.zip</v>
      </c>
    </row>
    <row r="1933" spans="1:4">
      <c r="A1933" t="s">
        <v>11672</v>
      </c>
      <c r="B1933" t="s">
        <v>22927</v>
      </c>
      <c r="C1933" t="s">
        <v>22928</v>
      </c>
      <c r="D1933" s="45" t="str">
        <f t="shared" si="54"/>
        <v>2023.008S.Polycipiviridae_14sprenamed.zip</v>
      </c>
    </row>
    <row r="1934" spans="1:4">
      <c r="A1934" t="s">
        <v>11672</v>
      </c>
      <c r="B1934" t="s">
        <v>22929</v>
      </c>
      <c r="C1934" t="s">
        <v>22930</v>
      </c>
      <c r="D1934" s="45" t="str">
        <f t="shared" si="54"/>
        <v>2023.008S.Polycipiviridae_14sprenamed.zip</v>
      </c>
    </row>
    <row r="1935" spans="1:4">
      <c r="A1935" t="s">
        <v>11672</v>
      </c>
      <c r="B1935" t="s">
        <v>22931</v>
      </c>
      <c r="C1935" t="s">
        <v>22932</v>
      </c>
      <c r="D1935" s="45" t="str">
        <f t="shared" si="54"/>
        <v>2023.008S.Polycipiviridae_14sprenamed.zip</v>
      </c>
    </row>
    <row r="1936" spans="1:4">
      <c r="A1936" t="s">
        <v>11672</v>
      </c>
      <c r="B1936" t="s">
        <v>22933</v>
      </c>
      <c r="C1936" t="s">
        <v>22934</v>
      </c>
      <c r="D1936" s="45" t="str">
        <f t="shared" si="54"/>
        <v>2023.008S.Polycipiviridae_14sprenamed.zip</v>
      </c>
    </row>
    <row r="1937" spans="1:4">
      <c r="A1937" t="s">
        <v>11672</v>
      </c>
      <c r="B1937" t="s">
        <v>22935</v>
      </c>
      <c r="C1937" t="s">
        <v>22936</v>
      </c>
      <c r="D1937" s="45" t="str">
        <f t="shared" si="54"/>
        <v>2023.008S.Polycipiviridae_14sprenamed.zip</v>
      </c>
    </row>
    <row r="1938" spans="1:4">
      <c r="A1938" t="s">
        <v>11672</v>
      </c>
      <c r="B1938" t="s">
        <v>22937</v>
      </c>
      <c r="C1938" t="s">
        <v>22938</v>
      </c>
      <c r="D1938" s="45" t="str">
        <f t="shared" si="54"/>
        <v>2023.008S.Polycipiviridae_14sprenamed.zip</v>
      </c>
    </row>
    <row r="1939" spans="1:4">
      <c r="A1939" t="s">
        <v>11672</v>
      </c>
      <c r="B1939" t="s">
        <v>22939</v>
      </c>
      <c r="C1939" t="s">
        <v>22940</v>
      </c>
      <c r="D1939" s="45" t="str">
        <f t="shared" si="54"/>
        <v>2023.008S.Polycipiviridae_14sprenamed.zip</v>
      </c>
    </row>
    <row r="1940" spans="1:4">
      <c r="A1940" t="s">
        <v>11672</v>
      </c>
      <c r="B1940" t="s">
        <v>22941</v>
      </c>
      <c r="C1940" t="s">
        <v>22942</v>
      </c>
      <c r="D1940" s="45" t="str">
        <f t="shared" si="54"/>
        <v>2023.008S.Polycipiviridae_14sprenamed.zip</v>
      </c>
    </row>
    <row r="1941" spans="1:4">
      <c r="A1941" t="s">
        <v>11672</v>
      </c>
      <c r="B1941" t="s">
        <v>22943</v>
      </c>
      <c r="C1941" t="s">
        <v>22944</v>
      </c>
      <c r="D1941" s="45" t="str">
        <f t="shared" si="54"/>
        <v>2023.008S.Polycipiviridae_14sprenamed.zip</v>
      </c>
    </row>
    <row r="1942" spans="1:4">
      <c r="A1942" t="s">
        <v>11672</v>
      </c>
      <c r="B1942" t="s">
        <v>22945</v>
      </c>
      <c r="C1942" t="s">
        <v>22946</v>
      </c>
      <c r="D1942" s="45" t="str">
        <f t="shared" si="54"/>
        <v>2023.008S.Polycipiviridae_14sprenamed.zip</v>
      </c>
    </row>
    <row r="1943" spans="1:4">
      <c r="A1943" t="s">
        <v>11672</v>
      </c>
      <c r="B1943" t="s">
        <v>22947</v>
      </c>
      <c r="C1943" t="s">
        <v>22948</v>
      </c>
      <c r="D1943" s="45" t="str">
        <f t="shared" si="54"/>
        <v>2023.008S.Polycipiviridae_14sprenamed.zip</v>
      </c>
    </row>
    <row r="1944" spans="1:4">
      <c r="A1944" t="s">
        <v>11672</v>
      </c>
      <c r="B1944" t="s">
        <v>22949</v>
      </c>
      <c r="C1944" t="s">
        <v>22950</v>
      </c>
      <c r="D1944" s="45" t="str">
        <f t="shared" si="54"/>
        <v>2023.008S.Polycipiviridae_14sprenamed.zip</v>
      </c>
    </row>
    <row r="1945" spans="1:4">
      <c r="A1945" t="s">
        <v>11672</v>
      </c>
      <c r="B1945" t="s">
        <v>22951</v>
      </c>
      <c r="C1945" t="s">
        <v>22952</v>
      </c>
      <c r="D1945" s="45" t="str">
        <f>HYPERLINK("https://ictv.global/ictv/proposals/2023.007S.Solinviviridae_2sprenamed.zip","2023.007S.Solinviviridae_2sprenamed.zip")</f>
        <v>2023.007S.Solinviviridae_2sprenamed.zip</v>
      </c>
    </row>
    <row r="1946" spans="1:4">
      <c r="A1946" t="s">
        <v>11672</v>
      </c>
      <c r="B1946" t="s">
        <v>22953</v>
      </c>
      <c r="C1946" t="s">
        <v>22954</v>
      </c>
      <c r="D1946" s="45" t="str">
        <f>HYPERLINK("https://ictv.global/ictv/proposals/2023.007S.Solinviviridae_2sprenamed.zip","2023.007S.Solinviviridae_2sprenamed.zip")</f>
        <v>2023.007S.Solinviviridae_2sprenamed.zip</v>
      </c>
    </row>
    <row r="1947" spans="1:4">
      <c r="A1947" t="s">
        <v>11672</v>
      </c>
      <c r="B1947" t="s">
        <v>22955</v>
      </c>
      <c r="C1947" t="s">
        <v>22956</v>
      </c>
      <c r="D1947" s="45" t="str">
        <f t="shared" ref="D1947:D1978" si="55">HYPERLINK("https://ictv.global/ictv/proposals/2023.019P.Solemoviridae_rename_sp.zip","2023.019P.Solemoviridae_rename_sp.zip")</f>
        <v>2023.019P.Solemoviridae_rename_sp.zip</v>
      </c>
    </row>
    <row r="1948" spans="1:4">
      <c r="A1948" t="s">
        <v>11672</v>
      </c>
      <c r="B1948" t="s">
        <v>22957</v>
      </c>
      <c r="C1948" t="s">
        <v>22958</v>
      </c>
      <c r="D1948" s="45" t="str">
        <f t="shared" si="55"/>
        <v>2023.019P.Solemoviridae_rename_sp.zip</v>
      </c>
    </row>
    <row r="1949" spans="1:4">
      <c r="A1949" t="s">
        <v>11672</v>
      </c>
      <c r="B1949" t="s">
        <v>22959</v>
      </c>
      <c r="C1949" t="s">
        <v>22960</v>
      </c>
      <c r="D1949" s="45" t="str">
        <f t="shared" si="55"/>
        <v>2023.019P.Solemoviridae_rename_sp.zip</v>
      </c>
    </row>
    <row r="1950" spans="1:4">
      <c r="A1950" t="s">
        <v>11672</v>
      </c>
      <c r="B1950" t="s">
        <v>22961</v>
      </c>
      <c r="C1950" t="s">
        <v>22962</v>
      </c>
      <c r="D1950" s="45" t="str">
        <f t="shared" si="55"/>
        <v>2023.019P.Solemoviridae_rename_sp.zip</v>
      </c>
    </row>
    <row r="1951" spans="1:4">
      <c r="A1951" t="s">
        <v>11672</v>
      </c>
      <c r="B1951" t="s">
        <v>22963</v>
      </c>
      <c r="C1951" t="s">
        <v>22964</v>
      </c>
      <c r="D1951" s="45" t="str">
        <f t="shared" si="55"/>
        <v>2023.019P.Solemoviridae_rename_sp.zip</v>
      </c>
    </row>
    <row r="1952" spans="1:4">
      <c r="A1952" t="s">
        <v>11672</v>
      </c>
      <c r="B1952" t="s">
        <v>22965</v>
      </c>
      <c r="C1952" t="s">
        <v>22966</v>
      </c>
      <c r="D1952" s="45" t="str">
        <f t="shared" si="55"/>
        <v>2023.019P.Solemoviridae_rename_sp.zip</v>
      </c>
    </row>
    <row r="1953" spans="1:4">
      <c r="A1953" t="s">
        <v>11672</v>
      </c>
      <c r="B1953" t="s">
        <v>22967</v>
      </c>
      <c r="C1953" t="s">
        <v>22968</v>
      </c>
      <c r="D1953" s="45" t="str">
        <f t="shared" si="55"/>
        <v>2023.019P.Solemoviridae_rename_sp.zip</v>
      </c>
    </row>
    <row r="1954" spans="1:4">
      <c r="A1954" t="s">
        <v>11672</v>
      </c>
      <c r="B1954" t="s">
        <v>22969</v>
      </c>
      <c r="C1954" t="s">
        <v>22970</v>
      </c>
      <c r="D1954" s="45" t="str">
        <f t="shared" si="55"/>
        <v>2023.019P.Solemoviridae_rename_sp.zip</v>
      </c>
    </row>
    <row r="1955" spans="1:4">
      <c r="A1955" t="s">
        <v>11672</v>
      </c>
      <c r="B1955" t="s">
        <v>22971</v>
      </c>
      <c r="C1955" t="s">
        <v>22972</v>
      </c>
      <c r="D1955" s="45" t="str">
        <f t="shared" si="55"/>
        <v>2023.019P.Solemoviridae_rename_sp.zip</v>
      </c>
    </row>
    <row r="1956" spans="1:4">
      <c r="A1956" t="s">
        <v>11672</v>
      </c>
      <c r="B1956" t="s">
        <v>22973</v>
      </c>
      <c r="C1956" t="s">
        <v>22974</v>
      </c>
      <c r="D1956" s="45" t="str">
        <f t="shared" si="55"/>
        <v>2023.019P.Solemoviridae_rename_sp.zip</v>
      </c>
    </row>
    <row r="1957" spans="1:4">
      <c r="A1957" t="s">
        <v>11672</v>
      </c>
      <c r="B1957" t="s">
        <v>22975</v>
      </c>
      <c r="C1957" t="s">
        <v>22976</v>
      </c>
      <c r="D1957" s="45" t="str">
        <f t="shared" si="55"/>
        <v>2023.019P.Solemoviridae_rename_sp.zip</v>
      </c>
    </row>
    <row r="1958" spans="1:4">
      <c r="A1958" t="s">
        <v>11672</v>
      </c>
      <c r="B1958" t="s">
        <v>22977</v>
      </c>
      <c r="C1958" t="s">
        <v>22978</v>
      </c>
      <c r="D1958" s="45" t="str">
        <f t="shared" si="55"/>
        <v>2023.019P.Solemoviridae_rename_sp.zip</v>
      </c>
    </row>
    <row r="1959" spans="1:4">
      <c r="A1959" t="s">
        <v>11672</v>
      </c>
      <c r="B1959" t="s">
        <v>22979</v>
      </c>
      <c r="C1959" t="s">
        <v>22980</v>
      </c>
      <c r="D1959" s="45" t="str">
        <f t="shared" si="55"/>
        <v>2023.019P.Solemoviridae_rename_sp.zip</v>
      </c>
    </row>
    <row r="1960" spans="1:4">
      <c r="A1960" t="s">
        <v>11672</v>
      </c>
      <c r="B1960" t="s">
        <v>22981</v>
      </c>
      <c r="C1960" t="s">
        <v>22982</v>
      </c>
      <c r="D1960" s="45" t="str">
        <f t="shared" si="55"/>
        <v>2023.019P.Solemoviridae_rename_sp.zip</v>
      </c>
    </row>
    <row r="1961" spans="1:4">
      <c r="A1961" t="s">
        <v>11672</v>
      </c>
      <c r="B1961" t="s">
        <v>22983</v>
      </c>
      <c r="C1961" t="s">
        <v>22984</v>
      </c>
      <c r="D1961" s="45" t="str">
        <f t="shared" si="55"/>
        <v>2023.019P.Solemoviridae_rename_sp.zip</v>
      </c>
    </row>
    <row r="1962" spans="1:4">
      <c r="A1962" t="s">
        <v>11672</v>
      </c>
      <c r="B1962" t="s">
        <v>22985</v>
      </c>
      <c r="C1962" t="s">
        <v>22986</v>
      </c>
      <c r="D1962" s="45" t="str">
        <f t="shared" si="55"/>
        <v>2023.019P.Solemoviridae_rename_sp.zip</v>
      </c>
    </row>
    <row r="1963" spans="1:4">
      <c r="A1963" t="s">
        <v>11672</v>
      </c>
      <c r="B1963" t="s">
        <v>22987</v>
      </c>
      <c r="C1963" t="s">
        <v>22988</v>
      </c>
      <c r="D1963" s="45" t="str">
        <f t="shared" si="55"/>
        <v>2023.019P.Solemoviridae_rename_sp.zip</v>
      </c>
    </row>
    <row r="1964" spans="1:4">
      <c r="A1964" t="s">
        <v>11672</v>
      </c>
      <c r="B1964" t="s">
        <v>22989</v>
      </c>
      <c r="C1964" t="s">
        <v>22990</v>
      </c>
      <c r="D1964" s="45" t="str">
        <f t="shared" si="55"/>
        <v>2023.019P.Solemoviridae_rename_sp.zip</v>
      </c>
    </row>
    <row r="1965" spans="1:4">
      <c r="A1965" t="s">
        <v>11672</v>
      </c>
      <c r="B1965" t="s">
        <v>22991</v>
      </c>
      <c r="C1965" t="s">
        <v>22992</v>
      </c>
      <c r="D1965" s="45" t="str">
        <f t="shared" si="55"/>
        <v>2023.019P.Solemoviridae_rename_sp.zip</v>
      </c>
    </row>
    <row r="1966" spans="1:4">
      <c r="A1966" t="s">
        <v>11672</v>
      </c>
      <c r="B1966" t="s">
        <v>22993</v>
      </c>
      <c r="C1966" t="s">
        <v>22994</v>
      </c>
      <c r="D1966" s="45" t="str">
        <f t="shared" si="55"/>
        <v>2023.019P.Solemoviridae_rename_sp.zip</v>
      </c>
    </row>
    <row r="1967" spans="1:4">
      <c r="A1967" t="s">
        <v>11672</v>
      </c>
      <c r="B1967" t="s">
        <v>22995</v>
      </c>
      <c r="C1967" t="s">
        <v>22996</v>
      </c>
      <c r="D1967" s="45" t="str">
        <f t="shared" si="55"/>
        <v>2023.019P.Solemoviridae_rename_sp.zip</v>
      </c>
    </row>
    <row r="1968" spans="1:4">
      <c r="A1968" t="s">
        <v>11672</v>
      </c>
      <c r="B1968" t="s">
        <v>22997</v>
      </c>
      <c r="C1968" t="s">
        <v>22998</v>
      </c>
      <c r="D1968" s="45" t="str">
        <f t="shared" si="55"/>
        <v>2023.019P.Solemoviridae_rename_sp.zip</v>
      </c>
    </row>
    <row r="1969" spans="1:4">
      <c r="A1969" t="s">
        <v>11672</v>
      </c>
      <c r="B1969" t="s">
        <v>22999</v>
      </c>
      <c r="C1969" t="s">
        <v>23000</v>
      </c>
      <c r="D1969" s="45" t="str">
        <f t="shared" si="55"/>
        <v>2023.019P.Solemoviridae_rename_sp.zip</v>
      </c>
    </row>
    <row r="1970" spans="1:4">
      <c r="A1970" t="s">
        <v>11672</v>
      </c>
      <c r="B1970" t="s">
        <v>23001</v>
      </c>
      <c r="C1970" t="s">
        <v>23002</v>
      </c>
      <c r="D1970" s="45" t="str">
        <f t="shared" si="55"/>
        <v>2023.019P.Solemoviridae_rename_sp.zip</v>
      </c>
    </row>
    <row r="1971" spans="1:4">
      <c r="A1971" t="s">
        <v>11672</v>
      </c>
      <c r="B1971" t="s">
        <v>23003</v>
      </c>
      <c r="C1971" t="s">
        <v>23004</v>
      </c>
      <c r="D1971" s="45" t="str">
        <f t="shared" si="55"/>
        <v>2023.019P.Solemoviridae_rename_sp.zip</v>
      </c>
    </row>
    <row r="1972" spans="1:4">
      <c r="A1972" t="s">
        <v>11672</v>
      </c>
      <c r="B1972" t="s">
        <v>23005</v>
      </c>
      <c r="C1972" t="s">
        <v>23006</v>
      </c>
      <c r="D1972" s="45" t="str">
        <f t="shared" si="55"/>
        <v>2023.019P.Solemoviridae_rename_sp.zip</v>
      </c>
    </row>
    <row r="1973" spans="1:4">
      <c r="A1973" t="s">
        <v>11672</v>
      </c>
      <c r="B1973" t="s">
        <v>23007</v>
      </c>
      <c r="C1973" t="s">
        <v>23008</v>
      </c>
      <c r="D1973" s="45" t="str">
        <f t="shared" si="55"/>
        <v>2023.019P.Solemoviridae_rename_sp.zip</v>
      </c>
    </row>
    <row r="1974" spans="1:4">
      <c r="A1974" t="s">
        <v>11672</v>
      </c>
      <c r="B1974" t="s">
        <v>23009</v>
      </c>
      <c r="C1974" t="s">
        <v>23010</v>
      </c>
      <c r="D1974" s="45" t="str">
        <f t="shared" si="55"/>
        <v>2023.019P.Solemoviridae_rename_sp.zip</v>
      </c>
    </row>
    <row r="1975" spans="1:4">
      <c r="A1975" t="s">
        <v>11672</v>
      </c>
      <c r="B1975" t="s">
        <v>23011</v>
      </c>
      <c r="C1975" t="s">
        <v>23012</v>
      </c>
      <c r="D1975" s="45" t="str">
        <f t="shared" si="55"/>
        <v>2023.019P.Solemoviridae_rename_sp.zip</v>
      </c>
    </row>
    <row r="1976" spans="1:4">
      <c r="A1976" t="s">
        <v>11672</v>
      </c>
      <c r="B1976" t="s">
        <v>23013</v>
      </c>
      <c r="C1976" t="s">
        <v>23014</v>
      </c>
      <c r="D1976" s="45" t="str">
        <f t="shared" si="55"/>
        <v>2023.019P.Solemoviridae_rename_sp.zip</v>
      </c>
    </row>
    <row r="1977" spans="1:4">
      <c r="A1977" t="s">
        <v>11672</v>
      </c>
      <c r="B1977" t="s">
        <v>23015</v>
      </c>
      <c r="C1977" t="s">
        <v>23016</v>
      </c>
      <c r="D1977" s="45" t="str">
        <f t="shared" si="55"/>
        <v>2023.019P.Solemoviridae_rename_sp.zip</v>
      </c>
    </row>
    <row r="1978" spans="1:4">
      <c r="A1978" t="s">
        <v>11672</v>
      </c>
      <c r="B1978" t="s">
        <v>23017</v>
      </c>
      <c r="C1978" t="s">
        <v>23018</v>
      </c>
      <c r="D1978" s="45" t="str">
        <f t="shared" si="55"/>
        <v>2023.019P.Solemoviridae_rename_sp.zip</v>
      </c>
    </row>
    <row r="1979" spans="1:4">
      <c r="A1979" t="s">
        <v>11672</v>
      </c>
      <c r="B1979" t="s">
        <v>23019</v>
      </c>
      <c r="C1979" t="s">
        <v>23020</v>
      </c>
      <c r="D1979" s="45" t="str">
        <f t="shared" ref="D1979:D2000" si="56">HYPERLINK("https://ictv.global/ictv/proposals/2023.019P.Solemoviridae_rename_sp.zip","2023.019P.Solemoviridae_rename_sp.zip")</f>
        <v>2023.019P.Solemoviridae_rename_sp.zip</v>
      </c>
    </row>
    <row r="1980" spans="1:4">
      <c r="A1980" t="s">
        <v>11672</v>
      </c>
      <c r="B1980" t="s">
        <v>23021</v>
      </c>
      <c r="C1980" t="s">
        <v>23022</v>
      </c>
      <c r="D1980" s="45" t="str">
        <f t="shared" si="56"/>
        <v>2023.019P.Solemoviridae_rename_sp.zip</v>
      </c>
    </row>
    <row r="1981" spans="1:4">
      <c r="A1981" t="s">
        <v>11672</v>
      </c>
      <c r="B1981" t="s">
        <v>23023</v>
      </c>
      <c r="C1981" t="s">
        <v>23024</v>
      </c>
      <c r="D1981" s="45" t="str">
        <f t="shared" si="56"/>
        <v>2023.019P.Solemoviridae_rename_sp.zip</v>
      </c>
    </row>
    <row r="1982" spans="1:4">
      <c r="A1982" t="s">
        <v>11672</v>
      </c>
      <c r="B1982" t="s">
        <v>23025</v>
      </c>
      <c r="C1982" t="s">
        <v>23026</v>
      </c>
      <c r="D1982" s="45" t="str">
        <f t="shared" si="56"/>
        <v>2023.019P.Solemoviridae_rename_sp.zip</v>
      </c>
    </row>
    <row r="1983" spans="1:4">
      <c r="A1983" t="s">
        <v>11672</v>
      </c>
      <c r="B1983" t="s">
        <v>23027</v>
      </c>
      <c r="C1983" t="s">
        <v>23028</v>
      </c>
      <c r="D1983" s="45" t="str">
        <f t="shared" si="56"/>
        <v>2023.019P.Solemoviridae_rename_sp.zip</v>
      </c>
    </row>
    <row r="1984" spans="1:4">
      <c r="A1984" t="s">
        <v>11672</v>
      </c>
      <c r="B1984" t="s">
        <v>23029</v>
      </c>
      <c r="C1984" t="s">
        <v>23030</v>
      </c>
      <c r="D1984" s="45" t="str">
        <f t="shared" si="56"/>
        <v>2023.019P.Solemoviridae_rename_sp.zip</v>
      </c>
    </row>
    <row r="1985" spans="1:4">
      <c r="A1985" t="s">
        <v>11672</v>
      </c>
      <c r="B1985" t="s">
        <v>23031</v>
      </c>
      <c r="C1985" t="s">
        <v>23032</v>
      </c>
      <c r="D1985" s="45" t="str">
        <f t="shared" si="56"/>
        <v>2023.019P.Solemoviridae_rename_sp.zip</v>
      </c>
    </row>
    <row r="1986" spans="1:4">
      <c r="A1986" t="s">
        <v>11672</v>
      </c>
      <c r="B1986" t="s">
        <v>23033</v>
      </c>
      <c r="C1986" t="s">
        <v>23034</v>
      </c>
      <c r="D1986" s="45" t="str">
        <f t="shared" si="56"/>
        <v>2023.019P.Solemoviridae_rename_sp.zip</v>
      </c>
    </row>
    <row r="1987" spans="1:4">
      <c r="A1987" t="s">
        <v>11672</v>
      </c>
      <c r="B1987" t="s">
        <v>23035</v>
      </c>
      <c r="C1987" t="s">
        <v>23036</v>
      </c>
      <c r="D1987" s="45" t="str">
        <f t="shared" si="56"/>
        <v>2023.019P.Solemoviridae_rename_sp.zip</v>
      </c>
    </row>
    <row r="1988" spans="1:4">
      <c r="A1988" t="s">
        <v>11672</v>
      </c>
      <c r="B1988" t="s">
        <v>23037</v>
      </c>
      <c r="C1988" t="s">
        <v>23038</v>
      </c>
      <c r="D1988" s="45" t="str">
        <f t="shared" si="56"/>
        <v>2023.019P.Solemoviridae_rename_sp.zip</v>
      </c>
    </row>
    <row r="1989" spans="1:4">
      <c r="A1989" t="s">
        <v>11672</v>
      </c>
      <c r="B1989" t="s">
        <v>23039</v>
      </c>
      <c r="C1989" t="s">
        <v>23040</v>
      </c>
      <c r="D1989" s="45" t="str">
        <f t="shared" si="56"/>
        <v>2023.019P.Solemoviridae_rename_sp.zip</v>
      </c>
    </row>
    <row r="1990" spans="1:4">
      <c r="A1990" t="s">
        <v>11672</v>
      </c>
      <c r="B1990" t="s">
        <v>23041</v>
      </c>
      <c r="C1990" t="s">
        <v>23042</v>
      </c>
      <c r="D1990" s="45" t="str">
        <f t="shared" si="56"/>
        <v>2023.019P.Solemoviridae_rename_sp.zip</v>
      </c>
    </row>
    <row r="1991" spans="1:4">
      <c r="A1991" t="s">
        <v>11672</v>
      </c>
      <c r="B1991" t="s">
        <v>23043</v>
      </c>
      <c r="C1991" t="s">
        <v>23044</v>
      </c>
      <c r="D1991" s="45" t="str">
        <f t="shared" si="56"/>
        <v>2023.019P.Solemoviridae_rename_sp.zip</v>
      </c>
    </row>
    <row r="1992" spans="1:4">
      <c r="A1992" t="s">
        <v>11672</v>
      </c>
      <c r="B1992" t="s">
        <v>23045</v>
      </c>
      <c r="C1992" t="s">
        <v>23046</v>
      </c>
      <c r="D1992" s="45" t="str">
        <f t="shared" si="56"/>
        <v>2023.019P.Solemoviridae_rename_sp.zip</v>
      </c>
    </row>
    <row r="1993" spans="1:4">
      <c r="A1993" t="s">
        <v>11672</v>
      </c>
      <c r="B1993" t="s">
        <v>23047</v>
      </c>
      <c r="C1993" t="s">
        <v>23048</v>
      </c>
      <c r="D1993" s="45" t="str">
        <f t="shared" si="56"/>
        <v>2023.019P.Solemoviridae_rename_sp.zip</v>
      </c>
    </row>
    <row r="1994" spans="1:4">
      <c r="A1994" t="s">
        <v>11672</v>
      </c>
      <c r="B1994" t="s">
        <v>23049</v>
      </c>
      <c r="C1994" t="s">
        <v>23050</v>
      </c>
      <c r="D1994" s="45" t="str">
        <f t="shared" si="56"/>
        <v>2023.019P.Solemoviridae_rename_sp.zip</v>
      </c>
    </row>
    <row r="1995" spans="1:4">
      <c r="A1995" t="s">
        <v>11672</v>
      </c>
      <c r="B1995" t="s">
        <v>23051</v>
      </c>
      <c r="C1995" t="s">
        <v>23052</v>
      </c>
      <c r="D1995" s="45" t="str">
        <f t="shared" si="56"/>
        <v>2023.019P.Solemoviridae_rename_sp.zip</v>
      </c>
    </row>
    <row r="1996" spans="1:4">
      <c r="A1996" t="s">
        <v>11672</v>
      </c>
      <c r="B1996" t="s">
        <v>23053</v>
      </c>
      <c r="C1996" t="s">
        <v>23054</v>
      </c>
      <c r="D1996" s="45" t="str">
        <f t="shared" si="56"/>
        <v>2023.019P.Solemoviridae_rename_sp.zip</v>
      </c>
    </row>
    <row r="1997" spans="1:4">
      <c r="A1997" t="s">
        <v>11672</v>
      </c>
      <c r="B1997" t="s">
        <v>23055</v>
      </c>
      <c r="C1997" t="s">
        <v>23056</v>
      </c>
      <c r="D1997" s="45" t="str">
        <f t="shared" si="56"/>
        <v>2023.019P.Solemoviridae_rename_sp.zip</v>
      </c>
    </row>
    <row r="1998" spans="1:4">
      <c r="A1998" t="s">
        <v>11672</v>
      </c>
      <c r="B1998" t="s">
        <v>23057</v>
      </c>
      <c r="C1998" t="s">
        <v>23058</v>
      </c>
      <c r="D1998" s="45" t="str">
        <f t="shared" si="56"/>
        <v>2023.019P.Solemoviridae_rename_sp.zip</v>
      </c>
    </row>
    <row r="1999" spans="1:4">
      <c r="A1999" t="s">
        <v>11672</v>
      </c>
      <c r="B1999" t="s">
        <v>23059</v>
      </c>
      <c r="C1999" t="s">
        <v>23060</v>
      </c>
      <c r="D1999" s="45" t="str">
        <f t="shared" si="56"/>
        <v>2023.019P.Solemoviridae_rename_sp.zip</v>
      </c>
    </row>
    <row r="2000" spans="1:4">
      <c r="A2000" t="s">
        <v>11672</v>
      </c>
      <c r="B2000" t="s">
        <v>23061</v>
      </c>
      <c r="C2000" t="s">
        <v>23062</v>
      </c>
      <c r="D2000" s="45" t="str">
        <f t="shared" si="56"/>
        <v>2023.019P.Solemoviridae_rename_sp.zip</v>
      </c>
    </row>
    <row r="2001" spans="1:4">
      <c r="A2001" t="s">
        <v>11672</v>
      </c>
      <c r="B2001" t="s">
        <v>23063</v>
      </c>
      <c r="C2001" t="s">
        <v>23064</v>
      </c>
      <c r="D2001" s="45" t="str">
        <f t="shared" ref="D2001:D2064" si="57">HYPERLINK("https://ictv.global/ictv/proposals/2023.013P.Potyviridae_rename_sp.zip","2023.013P.Potyviridae_rename_sp.zip")</f>
        <v>2023.013P.Potyviridae_rename_sp.zip</v>
      </c>
    </row>
    <row r="2002" spans="1:4">
      <c r="A2002" t="s">
        <v>11672</v>
      </c>
      <c r="B2002" t="s">
        <v>23065</v>
      </c>
      <c r="C2002" t="s">
        <v>23066</v>
      </c>
      <c r="D2002" s="45" t="str">
        <f t="shared" si="57"/>
        <v>2023.013P.Potyviridae_rename_sp.zip</v>
      </c>
    </row>
    <row r="2003" spans="1:4">
      <c r="A2003" t="s">
        <v>11672</v>
      </c>
      <c r="B2003" t="s">
        <v>23067</v>
      </c>
      <c r="C2003" t="s">
        <v>23068</v>
      </c>
      <c r="D2003" s="45" t="str">
        <f t="shared" si="57"/>
        <v>2023.013P.Potyviridae_rename_sp.zip</v>
      </c>
    </row>
    <row r="2004" spans="1:4">
      <c r="A2004" t="s">
        <v>11672</v>
      </c>
      <c r="B2004" t="s">
        <v>23069</v>
      </c>
      <c r="C2004" t="s">
        <v>23070</v>
      </c>
      <c r="D2004" s="45" t="str">
        <f t="shared" si="57"/>
        <v>2023.013P.Potyviridae_rename_sp.zip</v>
      </c>
    </row>
    <row r="2005" spans="1:4">
      <c r="A2005" t="s">
        <v>11672</v>
      </c>
      <c r="B2005" t="s">
        <v>23071</v>
      </c>
      <c r="C2005" t="s">
        <v>23072</v>
      </c>
      <c r="D2005" s="45" t="str">
        <f t="shared" si="57"/>
        <v>2023.013P.Potyviridae_rename_sp.zip</v>
      </c>
    </row>
    <row r="2006" spans="1:4">
      <c r="A2006" t="s">
        <v>11672</v>
      </c>
      <c r="B2006" t="s">
        <v>23073</v>
      </c>
      <c r="C2006" t="s">
        <v>23074</v>
      </c>
      <c r="D2006" s="45" t="str">
        <f t="shared" si="57"/>
        <v>2023.013P.Potyviridae_rename_sp.zip</v>
      </c>
    </row>
    <row r="2007" spans="1:4">
      <c r="A2007" t="s">
        <v>11672</v>
      </c>
      <c r="B2007" t="s">
        <v>23075</v>
      </c>
      <c r="C2007" t="s">
        <v>23076</v>
      </c>
      <c r="D2007" s="45" t="str">
        <f t="shared" si="57"/>
        <v>2023.013P.Potyviridae_rename_sp.zip</v>
      </c>
    </row>
    <row r="2008" spans="1:4">
      <c r="A2008" t="s">
        <v>11672</v>
      </c>
      <c r="B2008" t="s">
        <v>23077</v>
      </c>
      <c r="C2008" t="s">
        <v>23078</v>
      </c>
      <c r="D2008" s="45" t="str">
        <f t="shared" si="57"/>
        <v>2023.013P.Potyviridae_rename_sp.zip</v>
      </c>
    </row>
    <row r="2009" spans="1:4">
      <c r="A2009" t="s">
        <v>11672</v>
      </c>
      <c r="B2009" t="s">
        <v>23079</v>
      </c>
      <c r="C2009" t="s">
        <v>23080</v>
      </c>
      <c r="D2009" s="45" t="str">
        <f t="shared" si="57"/>
        <v>2023.013P.Potyviridae_rename_sp.zip</v>
      </c>
    </row>
    <row r="2010" spans="1:4">
      <c r="A2010" t="s">
        <v>11672</v>
      </c>
      <c r="B2010" t="s">
        <v>23081</v>
      </c>
      <c r="C2010" t="s">
        <v>23082</v>
      </c>
      <c r="D2010" s="45" t="str">
        <f t="shared" si="57"/>
        <v>2023.013P.Potyviridae_rename_sp.zip</v>
      </c>
    </row>
    <row r="2011" spans="1:4">
      <c r="A2011" t="s">
        <v>11672</v>
      </c>
      <c r="B2011" t="s">
        <v>23083</v>
      </c>
      <c r="C2011" t="s">
        <v>23084</v>
      </c>
      <c r="D2011" s="45" t="str">
        <f t="shared" si="57"/>
        <v>2023.013P.Potyviridae_rename_sp.zip</v>
      </c>
    </row>
    <row r="2012" spans="1:4">
      <c r="A2012" t="s">
        <v>11672</v>
      </c>
      <c r="B2012" t="s">
        <v>23085</v>
      </c>
      <c r="C2012" t="s">
        <v>23086</v>
      </c>
      <c r="D2012" s="45" t="str">
        <f t="shared" si="57"/>
        <v>2023.013P.Potyviridae_rename_sp.zip</v>
      </c>
    </row>
    <row r="2013" spans="1:4">
      <c r="A2013" t="s">
        <v>11672</v>
      </c>
      <c r="B2013" t="s">
        <v>23087</v>
      </c>
      <c r="C2013" t="s">
        <v>23088</v>
      </c>
      <c r="D2013" s="45" t="str">
        <f t="shared" si="57"/>
        <v>2023.013P.Potyviridae_rename_sp.zip</v>
      </c>
    </row>
    <row r="2014" spans="1:4">
      <c r="A2014" t="s">
        <v>11672</v>
      </c>
      <c r="B2014" t="s">
        <v>23089</v>
      </c>
      <c r="C2014" t="s">
        <v>23090</v>
      </c>
      <c r="D2014" s="45" t="str">
        <f t="shared" si="57"/>
        <v>2023.013P.Potyviridae_rename_sp.zip</v>
      </c>
    </row>
    <row r="2015" spans="1:4">
      <c r="A2015" t="s">
        <v>11672</v>
      </c>
      <c r="B2015" t="s">
        <v>23091</v>
      </c>
      <c r="C2015" t="s">
        <v>23092</v>
      </c>
      <c r="D2015" s="45" t="str">
        <f t="shared" si="57"/>
        <v>2023.013P.Potyviridae_rename_sp.zip</v>
      </c>
    </row>
    <row r="2016" spans="1:4">
      <c r="A2016" t="s">
        <v>11672</v>
      </c>
      <c r="B2016" t="s">
        <v>23093</v>
      </c>
      <c r="C2016" t="s">
        <v>23094</v>
      </c>
      <c r="D2016" s="45" t="str">
        <f t="shared" si="57"/>
        <v>2023.013P.Potyviridae_rename_sp.zip</v>
      </c>
    </row>
    <row r="2017" spans="1:4">
      <c r="A2017" t="s">
        <v>11672</v>
      </c>
      <c r="B2017" t="s">
        <v>23095</v>
      </c>
      <c r="C2017" t="s">
        <v>23096</v>
      </c>
      <c r="D2017" s="45" t="str">
        <f t="shared" si="57"/>
        <v>2023.013P.Potyviridae_rename_sp.zip</v>
      </c>
    </row>
    <row r="2018" spans="1:4">
      <c r="A2018" t="s">
        <v>11672</v>
      </c>
      <c r="B2018" t="s">
        <v>23097</v>
      </c>
      <c r="C2018" t="s">
        <v>23098</v>
      </c>
      <c r="D2018" s="45" t="str">
        <f t="shared" si="57"/>
        <v>2023.013P.Potyviridae_rename_sp.zip</v>
      </c>
    </row>
    <row r="2019" spans="1:4">
      <c r="A2019" t="s">
        <v>11672</v>
      </c>
      <c r="B2019" t="s">
        <v>23099</v>
      </c>
      <c r="C2019" t="s">
        <v>23100</v>
      </c>
      <c r="D2019" s="45" t="str">
        <f t="shared" si="57"/>
        <v>2023.013P.Potyviridae_rename_sp.zip</v>
      </c>
    </row>
    <row r="2020" spans="1:4">
      <c r="A2020" t="s">
        <v>11672</v>
      </c>
      <c r="B2020" t="s">
        <v>23101</v>
      </c>
      <c r="C2020" t="s">
        <v>23102</v>
      </c>
      <c r="D2020" s="45" t="str">
        <f t="shared" si="57"/>
        <v>2023.013P.Potyviridae_rename_sp.zip</v>
      </c>
    </row>
    <row r="2021" spans="1:4">
      <c r="A2021" t="s">
        <v>11672</v>
      </c>
      <c r="B2021" t="s">
        <v>23103</v>
      </c>
      <c r="C2021" t="s">
        <v>23104</v>
      </c>
      <c r="D2021" s="45" t="str">
        <f t="shared" si="57"/>
        <v>2023.013P.Potyviridae_rename_sp.zip</v>
      </c>
    </row>
    <row r="2022" spans="1:4">
      <c r="A2022" t="s">
        <v>11672</v>
      </c>
      <c r="B2022" t="s">
        <v>23105</v>
      </c>
      <c r="C2022" t="s">
        <v>23106</v>
      </c>
      <c r="D2022" s="45" t="str">
        <f t="shared" si="57"/>
        <v>2023.013P.Potyviridae_rename_sp.zip</v>
      </c>
    </row>
    <row r="2023" spans="1:4">
      <c r="A2023" t="s">
        <v>11672</v>
      </c>
      <c r="B2023" t="s">
        <v>23107</v>
      </c>
      <c r="C2023" t="s">
        <v>23108</v>
      </c>
      <c r="D2023" s="45" t="str">
        <f t="shared" si="57"/>
        <v>2023.013P.Potyviridae_rename_sp.zip</v>
      </c>
    </row>
    <row r="2024" spans="1:4">
      <c r="A2024" t="s">
        <v>11672</v>
      </c>
      <c r="B2024" t="s">
        <v>23109</v>
      </c>
      <c r="C2024" t="s">
        <v>23110</v>
      </c>
      <c r="D2024" s="45" t="str">
        <f t="shared" si="57"/>
        <v>2023.013P.Potyviridae_rename_sp.zip</v>
      </c>
    </row>
    <row r="2025" spans="1:4">
      <c r="A2025" t="s">
        <v>11672</v>
      </c>
      <c r="B2025" t="s">
        <v>23111</v>
      </c>
      <c r="C2025" t="s">
        <v>23112</v>
      </c>
      <c r="D2025" s="45" t="str">
        <f t="shared" si="57"/>
        <v>2023.013P.Potyviridae_rename_sp.zip</v>
      </c>
    </row>
    <row r="2026" spans="1:4">
      <c r="A2026" t="s">
        <v>11672</v>
      </c>
      <c r="B2026" t="s">
        <v>23113</v>
      </c>
      <c r="C2026" t="s">
        <v>23114</v>
      </c>
      <c r="D2026" s="45" t="str">
        <f t="shared" si="57"/>
        <v>2023.013P.Potyviridae_rename_sp.zip</v>
      </c>
    </row>
    <row r="2027" spans="1:4">
      <c r="A2027" t="s">
        <v>11672</v>
      </c>
      <c r="B2027" t="s">
        <v>23115</v>
      </c>
      <c r="C2027" t="s">
        <v>23116</v>
      </c>
      <c r="D2027" s="45" t="str">
        <f t="shared" si="57"/>
        <v>2023.013P.Potyviridae_rename_sp.zip</v>
      </c>
    </row>
    <row r="2028" spans="1:4">
      <c r="A2028" t="s">
        <v>11672</v>
      </c>
      <c r="B2028" t="s">
        <v>23117</v>
      </c>
      <c r="C2028" t="s">
        <v>23118</v>
      </c>
      <c r="D2028" s="45" t="str">
        <f t="shared" si="57"/>
        <v>2023.013P.Potyviridae_rename_sp.zip</v>
      </c>
    </row>
    <row r="2029" spans="1:4">
      <c r="A2029" t="s">
        <v>11672</v>
      </c>
      <c r="B2029" t="s">
        <v>23119</v>
      </c>
      <c r="C2029" t="s">
        <v>23120</v>
      </c>
      <c r="D2029" s="45" t="str">
        <f t="shared" si="57"/>
        <v>2023.013P.Potyviridae_rename_sp.zip</v>
      </c>
    </row>
    <row r="2030" spans="1:4">
      <c r="A2030" t="s">
        <v>11672</v>
      </c>
      <c r="B2030" t="s">
        <v>23121</v>
      </c>
      <c r="C2030" t="s">
        <v>23122</v>
      </c>
      <c r="D2030" s="45" t="str">
        <f t="shared" si="57"/>
        <v>2023.013P.Potyviridae_rename_sp.zip</v>
      </c>
    </row>
    <row r="2031" spans="1:4">
      <c r="A2031" t="s">
        <v>11672</v>
      </c>
      <c r="B2031" t="s">
        <v>23123</v>
      </c>
      <c r="C2031" t="s">
        <v>23124</v>
      </c>
      <c r="D2031" s="45" t="str">
        <f t="shared" si="57"/>
        <v>2023.013P.Potyviridae_rename_sp.zip</v>
      </c>
    </row>
    <row r="2032" spans="1:4">
      <c r="A2032" t="s">
        <v>11672</v>
      </c>
      <c r="B2032" t="s">
        <v>23125</v>
      </c>
      <c r="C2032" t="s">
        <v>23126</v>
      </c>
      <c r="D2032" s="45" t="str">
        <f t="shared" si="57"/>
        <v>2023.013P.Potyviridae_rename_sp.zip</v>
      </c>
    </row>
    <row r="2033" spans="1:4">
      <c r="A2033" t="s">
        <v>11672</v>
      </c>
      <c r="B2033" t="s">
        <v>23127</v>
      </c>
      <c r="C2033" t="s">
        <v>23128</v>
      </c>
      <c r="D2033" s="45" t="str">
        <f t="shared" si="57"/>
        <v>2023.013P.Potyviridae_rename_sp.zip</v>
      </c>
    </row>
    <row r="2034" spans="1:4">
      <c r="A2034" t="s">
        <v>11672</v>
      </c>
      <c r="B2034" t="s">
        <v>23129</v>
      </c>
      <c r="C2034" t="s">
        <v>23130</v>
      </c>
      <c r="D2034" s="45" t="str">
        <f t="shared" si="57"/>
        <v>2023.013P.Potyviridae_rename_sp.zip</v>
      </c>
    </row>
    <row r="2035" spans="1:4">
      <c r="A2035" t="s">
        <v>11672</v>
      </c>
      <c r="B2035" t="s">
        <v>23131</v>
      </c>
      <c r="C2035" t="s">
        <v>23132</v>
      </c>
      <c r="D2035" s="45" t="str">
        <f t="shared" si="57"/>
        <v>2023.013P.Potyviridae_rename_sp.zip</v>
      </c>
    </row>
    <row r="2036" spans="1:4">
      <c r="A2036" t="s">
        <v>11672</v>
      </c>
      <c r="B2036" t="s">
        <v>23133</v>
      </c>
      <c r="C2036" t="s">
        <v>23134</v>
      </c>
      <c r="D2036" s="45" t="str">
        <f t="shared" si="57"/>
        <v>2023.013P.Potyviridae_rename_sp.zip</v>
      </c>
    </row>
    <row r="2037" spans="1:4">
      <c r="A2037" t="s">
        <v>11672</v>
      </c>
      <c r="B2037" t="s">
        <v>23135</v>
      </c>
      <c r="C2037" t="s">
        <v>23136</v>
      </c>
      <c r="D2037" s="45" t="str">
        <f t="shared" si="57"/>
        <v>2023.013P.Potyviridae_rename_sp.zip</v>
      </c>
    </row>
    <row r="2038" spans="1:4">
      <c r="A2038" t="s">
        <v>11672</v>
      </c>
      <c r="B2038" t="s">
        <v>23137</v>
      </c>
      <c r="C2038" t="s">
        <v>23138</v>
      </c>
      <c r="D2038" s="45" t="str">
        <f t="shared" si="57"/>
        <v>2023.013P.Potyviridae_rename_sp.zip</v>
      </c>
    </row>
    <row r="2039" spans="1:4">
      <c r="A2039" t="s">
        <v>11672</v>
      </c>
      <c r="B2039" t="s">
        <v>23139</v>
      </c>
      <c r="C2039" t="s">
        <v>23140</v>
      </c>
      <c r="D2039" s="45" t="str">
        <f t="shared" si="57"/>
        <v>2023.013P.Potyviridae_rename_sp.zip</v>
      </c>
    </row>
    <row r="2040" spans="1:4">
      <c r="A2040" t="s">
        <v>11672</v>
      </c>
      <c r="B2040" t="s">
        <v>23141</v>
      </c>
      <c r="C2040" t="s">
        <v>23142</v>
      </c>
      <c r="D2040" s="45" t="str">
        <f t="shared" si="57"/>
        <v>2023.013P.Potyviridae_rename_sp.zip</v>
      </c>
    </row>
    <row r="2041" spans="1:4">
      <c r="A2041" t="s">
        <v>11672</v>
      </c>
      <c r="B2041" t="s">
        <v>23143</v>
      </c>
      <c r="C2041" t="s">
        <v>23144</v>
      </c>
      <c r="D2041" s="45" t="str">
        <f t="shared" si="57"/>
        <v>2023.013P.Potyviridae_rename_sp.zip</v>
      </c>
    </row>
    <row r="2042" spans="1:4">
      <c r="A2042" t="s">
        <v>11672</v>
      </c>
      <c r="B2042" t="s">
        <v>23145</v>
      </c>
      <c r="C2042" t="s">
        <v>23146</v>
      </c>
      <c r="D2042" s="45" t="str">
        <f t="shared" si="57"/>
        <v>2023.013P.Potyviridae_rename_sp.zip</v>
      </c>
    </row>
    <row r="2043" spans="1:4">
      <c r="A2043" t="s">
        <v>11672</v>
      </c>
      <c r="B2043" t="s">
        <v>23147</v>
      </c>
      <c r="C2043" t="s">
        <v>23148</v>
      </c>
      <c r="D2043" s="45" t="str">
        <f t="shared" si="57"/>
        <v>2023.013P.Potyviridae_rename_sp.zip</v>
      </c>
    </row>
    <row r="2044" spans="1:4">
      <c r="A2044" t="s">
        <v>11672</v>
      </c>
      <c r="B2044" t="s">
        <v>23149</v>
      </c>
      <c r="C2044" t="s">
        <v>23150</v>
      </c>
      <c r="D2044" s="45" t="str">
        <f t="shared" si="57"/>
        <v>2023.013P.Potyviridae_rename_sp.zip</v>
      </c>
    </row>
    <row r="2045" spans="1:4">
      <c r="A2045" t="s">
        <v>11672</v>
      </c>
      <c r="B2045" t="s">
        <v>23151</v>
      </c>
      <c r="C2045" t="s">
        <v>23152</v>
      </c>
      <c r="D2045" s="45" t="str">
        <f t="shared" si="57"/>
        <v>2023.013P.Potyviridae_rename_sp.zip</v>
      </c>
    </row>
    <row r="2046" spans="1:4">
      <c r="A2046" t="s">
        <v>11672</v>
      </c>
      <c r="B2046" t="s">
        <v>23153</v>
      </c>
      <c r="C2046" t="s">
        <v>23154</v>
      </c>
      <c r="D2046" s="45" t="str">
        <f t="shared" si="57"/>
        <v>2023.013P.Potyviridae_rename_sp.zip</v>
      </c>
    </row>
    <row r="2047" spans="1:4">
      <c r="A2047" t="s">
        <v>11672</v>
      </c>
      <c r="B2047" t="s">
        <v>23155</v>
      </c>
      <c r="C2047" t="s">
        <v>23156</v>
      </c>
      <c r="D2047" s="45" t="str">
        <f t="shared" si="57"/>
        <v>2023.013P.Potyviridae_rename_sp.zip</v>
      </c>
    </row>
    <row r="2048" spans="1:4">
      <c r="A2048" t="s">
        <v>11672</v>
      </c>
      <c r="B2048" t="s">
        <v>23157</v>
      </c>
      <c r="C2048" t="s">
        <v>23158</v>
      </c>
      <c r="D2048" s="45" t="str">
        <f t="shared" si="57"/>
        <v>2023.013P.Potyviridae_rename_sp.zip</v>
      </c>
    </row>
    <row r="2049" spans="1:4">
      <c r="A2049" t="s">
        <v>11672</v>
      </c>
      <c r="B2049" t="s">
        <v>23159</v>
      </c>
      <c r="C2049" t="s">
        <v>23160</v>
      </c>
      <c r="D2049" s="45" t="str">
        <f t="shared" si="57"/>
        <v>2023.013P.Potyviridae_rename_sp.zip</v>
      </c>
    </row>
    <row r="2050" spans="1:4">
      <c r="A2050" t="s">
        <v>11672</v>
      </c>
      <c r="B2050" t="s">
        <v>23161</v>
      </c>
      <c r="C2050" t="s">
        <v>23162</v>
      </c>
      <c r="D2050" s="45" t="str">
        <f t="shared" si="57"/>
        <v>2023.013P.Potyviridae_rename_sp.zip</v>
      </c>
    </row>
    <row r="2051" spans="1:4">
      <c r="A2051" t="s">
        <v>11672</v>
      </c>
      <c r="B2051" t="s">
        <v>23163</v>
      </c>
      <c r="C2051" t="s">
        <v>23164</v>
      </c>
      <c r="D2051" s="45" t="str">
        <f t="shared" si="57"/>
        <v>2023.013P.Potyviridae_rename_sp.zip</v>
      </c>
    </row>
    <row r="2052" spans="1:4">
      <c r="A2052" t="s">
        <v>11672</v>
      </c>
      <c r="B2052" t="s">
        <v>23165</v>
      </c>
      <c r="C2052" t="s">
        <v>23166</v>
      </c>
      <c r="D2052" s="45" t="str">
        <f t="shared" si="57"/>
        <v>2023.013P.Potyviridae_rename_sp.zip</v>
      </c>
    </row>
    <row r="2053" spans="1:4">
      <c r="A2053" t="s">
        <v>11672</v>
      </c>
      <c r="B2053" t="s">
        <v>23167</v>
      </c>
      <c r="C2053" t="s">
        <v>23168</v>
      </c>
      <c r="D2053" s="45" t="str">
        <f t="shared" si="57"/>
        <v>2023.013P.Potyviridae_rename_sp.zip</v>
      </c>
    </row>
    <row r="2054" spans="1:4">
      <c r="A2054" t="s">
        <v>11672</v>
      </c>
      <c r="B2054" t="s">
        <v>23169</v>
      </c>
      <c r="C2054" t="s">
        <v>23170</v>
      </c>
      <c r="D2054" s="45" t="str">
        <f t="shared" si="57"/>
        <v>2023.013P.Potyviridae_rename_sp.zip</v>
      </c>
    </row>
    <row r="2055" spans="1:4">
      <c r="A2055" t="s">
        <v>11672</v>
      </c>
      <c r="B2055" t="s">
        <v>23171</v>
      </c>
      <c r="C2055" t="s">
        <v>23172</v>
      </c>
      <c r="D2055" s="45" t="str">
        <f t="shared" si="57"/>
        <v>2023.013P.Potyviridae_rename_sp.zip</v>
      </c>
    </row>
    <row r="2056" spans="1:4">
      <c r="A2056" t="s">
        <v>11672</v>
      </c>
      <c r="B2056" t="s">
        <v>23173</v>
      </c>
      <c r="C2056" t="s">
        <v>23174</v>
      </c>
      <c r="D2056" s="45" t="str">
        <f t="shared" si="57"/>
        <v>2023.013P.Potyviridae_rename_sp.zip</v>
      </c>
    </row>
    <row r="2057" spans="1:4">
      <c r="A2057" t="s">
        <v>11672</v>
      </c>
      <c r="B2057" t="s">
        <v>23175</v>
      </c>
      <c r="C2057" t="s">
        <v>23176</v>
      </c>
      <c r="D2057" s="45" t="str">
        <f t="shared" si="57"/>
        <v>2023.013P.Potyviridae_rename_sp.zip</v>
      </c>
    </row>
    <row r="2058" spans="1:4">
      <c r="A2058" t="s">
        <v>11672</v>
      </c>
      <c r="B2058" t="s">
        <v>23177</v>
      </c>
      <c r="C2058" t="s">
        <v>23178</v>
      </c>
      <c r="D2058" s="45" t="str">
        <f t="shared" si="57"/>
        <v>2023.013P.Potyviridae_rename_sp.zip</v>
      </c>
    </row>
    <row r="2059" spans="1:4">
      <c r="A2059" t="s">
        <v>11672</v>
      </c>
      <c r="B2059" t="s">
        <v>23179</v>
      </c>
      <c r="C2059" t="s">
        <v>23180</v>
      </c>
      <c r="D2059" s="45" t="str">
        <f t="shared" si="57"/>
        <v>2023.013P.Potyviridae_rename_sp.zip</v>
      </c>
    </row>
    <row r="2060" spans="1:4">
      <c r="A2060" t="s">
        <v>11672</v>
      </c>
      <c r="B2060" t="s">
        <v>23181</v>
      </c>
      <c r="C2060" t="s">
        <v>23182</v>
      </c>
      <c r="D2060" s="45" t="str">
        <f t="shared" si="57"/>
        <v>2023.013P.Potyviridae_rename_sp.zip</v>
      </c>
    </row>
    <row r="2061" spans="1:4">
      <c r="A2061" t="s">
        <v>11672</v>
      </c>
      <c r="B2061" t="s">
        <v>23183</v>
      </c>
      <c r="C2061" t="s">
        <v>23184</v>
      </c>
      <c r="D2061" s="45" t="str">
        <f t="shared" si="57"/>
        <v>2023.013P.Potyviridae_rename_sp.zip</v>
      </c>
    </row>
    <row r="2062" spans="1:4">
      <c r="A2062" t="s">
        <v>11672</v>
      </c>
      <c r="B2062" t="s">
        <v>23185</v>
      </c>
      <c r="C2062" t="s">
        <v>23186</v>
      </c>
      <c r="D2062" s="45" t="str">
        <f t="shared" si="57"/>
        <v>2023.013P.Potyviridae_rename_sp.zip</v>
      </c>
    </row>
    <row r="2063" spans="1:4">
      <c r="A2063" t="s">
        <v>11672</v>
      </c>
      <c r="B2063" t="s">
        <v>23187</v>
      </c>
      <c r="C2063" t="s">
        <v>23188</v>
      </c>
      <c r="D2063" s="45" t="str">
        <f t="shared" si="57"/>
        <v>2023.013P.Potyviridae_rename_sp.zip</v>
      </c>
    </row>
    <row r="2064" spans="1:4">
      <c r="A2064" t="s">
        <v>11672</v>
      </c>
      <c r="B2064" t="s">
        <v>23189</v>
      </c>
      <c r="C2064" t="s">
        <v>23190</v>
      </c>
      <c r="D2064" s="45" t="str">
        <f t="shared" si="57"/>
        <v>2023.013P.Potyviridae_rename_sp.zip</v>
      </c>
    </row>
    <row r="2065" spans="1:4">
      <c r="A2065" t="s">
        <v>11672</v>
      </c>
      <c r="B2065" t="s">
        <v>23191</v>
      </c>
      <c r="C2065" t="s">
        <v>23192</v>
      </c>
      <c r="D2065" s="45" t="str">
        <f t="shared" ref="D2065:D2128" si="58">HYPERLINK("https://ictv.global/ictv/proposals/2023.013P.Potyviridae_rename_sp.zip","2023.013P.Potyviridae_rename_sp.zip")</f>
        <v>2023.013P.Potyviridae_rename_sp.zip</v>
      </c>
    </row>
    <row r="2066" spans="1:4">
      <c r="A2066" t="s">
        <v>11672</v>
      </c>
      <c r="B2066" t="s">
        <v>23193</v>
      </c>
      <c r="C2066" t="s">
        <v>23194</v>
      </c>
      <c r="D2066" s="45" t="str">
        <f t="shared" si="58"/>
        <v>2023.013P.Potyviridae_rename_sp.zip</v>
      </c>
    </row>
    <row r="2067" spans="1:4">
      <c r="A2067" t="s">
        <v>11672</v>
      </c>
      <c r="B2067" t="s">
        <v>23195</v>
      </c>
      <c r="C2067" t="s">
        <v>23196</v>
      </c>
      <c r="D2067" s="45" t="str">
        <f t="shared" si="58"/>
        <v>2023.013P.Potyviridae_rename_sp.zip</v>
      </c>
    </row>
    <row r="2068" spans="1:4">
      <c r="A2068" t="s">
        <v>11672</v>
      </c>
      <c r="B2068" t="s">
        <v>23197</v>
      </c>
      <c r="C2068" t="s">
        <v>23198</v>
      </c>
      <c r="D2068" s="45" t="str">
        <f t="shared" si="58"/>
        <v>2023.013P.Potyviridae_rename_sp.zip</v>
      </c>
    </row>
    <row r="2069" spans="1:4">
      <c r="A2069" t="s">
        <v>11672</v>
      </c>
      <c r="B2069" t="s">
        <v>23199</v>
      </c>
      <c r="C2069" t="s">
        <v>23200</v>
      </c>
      <c r="D2069" s="45" t="str">
        <f t="shared" si="58"/>
        <v>2023.013P.Potyviridae_rename_sp.zip</v>
      </c>
    </row>
    <row r="2070" spans="1:4">
      <c r="A2070" t="s">
        <v>11672</v>
      </c>
      <c r="B2070" t="s">
        <v>23201</v>
      </c>
      <c r="C2070" t="s">
        <v>23202</v>
      </c>
      <c r="D2070" s="45" t="str">
        <f t="shared" si="58"/>
        <v>2023.013P.Potyviridae_rename_sp.zip</v>
      </c>
    </row>
    <row r="2071" spans="1:4">
      <c r="A2071" t="s">
        <v>11672</v>
      </c>
      <c r="B2071" t="s">
        <v>23203</v>
      </c>
      <c r="C2071" t="s">
        <v>23204</v>
      </c>
      <c r="D2071" s="45" t="str">
        <f t="shared" si="58"/>
        <v>2023.013P.Potyviridae_rename_sp.zip</v>
      </c>
    </row>
    <row r="2072" spans="1:4">
      <c r="A2072" t="s">
        <v>11672</v>
      </c>
      <c r="B2072" t="s">
        <v>23205</v>
      </c>
      <c r="C2072" t="s">
        <v>23206</v>
      </c>
      <c r="D2072" s="45" t="str">
        <f t="shared" si="58"/>
        <v>2023.013P.Potyviridae_rename_sp.zip</v>
      </c>
    </row>
    <row r="2073" spans="1:4">
      <c r="A2073" t="s">
        <v>11672</v>
      </c>
      <c r="B2073" t="s">
        <v>23207</v>
      </c>
      <c r="C2073" t="s">
        <v>23208</v>
      </c>
      <c r="D2073" s="45" t="str">
        <f t="shared" si="58"/>
        <v>2023.013P.Potyviridae_rename_sp.zip</v>
      </c>
    </row>
    <row r="2074" spans="1:4">
      <c r="A2074" t="s">
        <v>11672</v>
      </c>
      <c r="B2074" t="s">
        <v>23209</v>
      </c>
      <c r="C2074" t="s">
        <v>23210</v>
      </c>
      <c r="D2074" s="45" t="str">
        <f t="shared" si="58"/>
        <v>2023.013P.Potyviridae_rename_sp.zip</v>
      </c>
    </row>
    <row r="2075" spans="1:4">
      <c r="A2075" t="s">
        <v>11672</v>
      </c>
      <c r="B2075" t="s">
        <v>23211</v>
      </c>
      <c r="C2075" t="s">
        <v>23212</v>
      </c>
      <c r="D2075" s="45" t="str">
        <f t="shared" si="58"/>
        <v>2023.013P.Potyviridae_rename_sp.zip</v>
      </c>
    </row>
    <row r="2076" spans="1:4">
      <c r="A2076" t="s">
        <v>11672</v>
      </c>
      <c r="B2076" t="s">
        <v>23213</v>
      </c>
      <c r="C2076" t="s">
        <v>23214</v>
      </c>
      <c r="D2076" s="45" t="str">
        <f t="shared" si="58"/>
        <v>2023.013P.Potyviridae_rename_sp.zip</v>
      </c>
    </row>
    <row r="2077" spans="1:4">
      <c r="A2077" t="s">
        <v>11672</v>
      </c>
      <c r="B2077" t="s">
        <v>23215</v>
      </c>
      <c r="C2077" t="s">
        <v>23216</v>
      </c>
      <c r="D2077" s="45" t="str">
        <f t="shared" si="58"/>
        <v>2023.013P.Potyviridae_rename_sp.zip</v>
      </c>
    </row>
    <row r="2078" spans="1:4">
      <c r="A2078" t="s">
        <v>11672</v>
      </c>
      <c r="B2078" t="s">
        <v>23217</v>
      </c>
      <c r="C2078" t="s">
        <v>23218</v>
      </c>
      <c r="D2078" s="45" t="str">
        <f t="shared" si="58"/>
        <v>2023.013P.Potyviridae_rename_sp.zip</v>
      </c>
    </row>
    <row r="2079" spans="1:4">
      <c r="A2079" t="s">
        <v>11672</v>
      </c>
      <c r="B2079" t="s">
        <v>23219</v>
      </c>
      <c r="C2079" t="s">
        <v>23220</v>
      </c>
      <c r="D2079" s="45" t="str">
        <f t="shared" si="58"/>
        <v>2023.013P.Potyviridae_rename_sp.zip</v>
      </c>
    </row>
    <row r="2080" spans="1:4">
      <c r="A2080" t="s">
        <v>11672</v>
      </c>
      <c r="B2080" t="s">
        <v>23221</v>
      </c>
      <c r="C2080" t="s">
        <v>23222</v>
      </c>
      <c r="D2080" s="45" t="str">
        <f t="shared" si="58"/>
        <v>2023.013P.Potyviridae_rename_sp.zip</v>
      </c>
    </row>
    <row r="2081" spans="1:4">
      <c r="A2081" t="s">
        <v>11672</v>
      </c>
      <c r="B2081" t="s">
        <v>23223</v>
      </c>
      <c r="C2081" t="s">
        <v>23224</v>
      </c>
      <c r="D2081" s="45" t="str">
        <f t="shared" si="58"/>
        <v>2023.013P.Potyviridae_rename_sp.zip</v>
      </c>
    </row>
    <row r="2082" spans="1:4">
      <c r="A2082" t="s">
        <v>11672</v>
      </c>
      <c r="B2082" t="s">
        <v>23225</v>
      </c>
      <c r="C2082" t="s">
        <v>23226</v>
      </c>
      <c r="D2082" s="45" t="str">
        <f t="shared" si="58"/>
        <v>2023.013P.Potyviridae_rename_sp.zip</v>
      </c>
    </row>
    <row r="2083" spans="1:4">
      <c r="A2083" t="s">
        <v>11672</v>
      </c>
      <c r="B2083" t="s">
        <v>23227</v>
      </c>
      <c r="C2083" t="s">
        <v>23228</v>
      </c>
      <c r="D2083" s="45" t="str">
        <f t="shared" si="58"/>
        <v>2023.013P.Potyviridae_rename_sp.zip</v>
      </c>
    </row>
    <row r="2084" spans="1:4">
      <c r="A2084" t="s">
        <v>11672</v>
      </c>
      <c r="B2084" t="s">
        <v>23229</v>
      </c>
      <c r="C2084" t="s">
        <v>23230</v>
      </c>
      <c r="D2084" s="45" t="str">
        <f t="shared" si="58"/>
        <v>2023.013P.Potyviridae_rename_sp.zip</v>
      </c>
    </row>
    <row r="2085" spans="1:4">
      <c r="A2085" t="s">
        <v>11672</v>
      </c>
      <c r="B2085" t="s">
        <v>23231</v>
      </c>
      <c r="C2085" t="s">
        <v>23232</v>
      </c>
      <c r="D2085" s="45" t="str">
        <f t="shared" si="58"/>
        <v>2023.013P.Potyviridae_rename_sp.zip</v>
      </c>
    </row>
    <row r="2086" spans="1:4">
      <c r="A2086" t="s">
        <v>11672</v>
      </c>
      <c r="B2086" t="s">
        <v>23233</v>
      </c>
      <c r="C2086" t="s">
        <v>23234</v>
      </c>
      <c r="D2086" s="45" t="str">
        <f t="shared" si="58"/>
        <v>2023.013P.Potyviridae_rename_sp.zip</v>
      </c>
    </row>
    <row r="2087" spans="1:4">
      <c r="A2087" t="s">
        <v>11672</v>
      </c>
      <c r="B2087" t="s">
        <v>23235</v>
      </c>
      <c r="C2087" t="s">
        <v>23236</v>
      </c>
      <c r="D2087" s="45" t="str">
        <f t="shared" si="58"/>
        <v>2023.013P.Potyviridae_rename_sp.zip</v>
      </c>
    </row>
    <row r="2088" spans="1:4">
      <c r="A2088" t="s">
        <v>11672</v>
      </c>
      <c r="B2088" t="s">
        <v>23237</v>
      </c>
      <c r="C2088" t="s">
        <v>23238</v>
      </c>
      <c r="D2088" s="45" t="str">
        <f t="shared" si="58"/>
        <v>2023.013P.Potyviridae_rename_sp.zip</v>
      </c>
    </row>
    <row r="2089" spans="1:4">
      <c r="A2089" t="s">
        <v>11672</v>
      </c>
      <c r="B2089" t="s">
        <v>23239</v>
      </c>
      <c r="C2089" t="s">
        <v>23240</v>
      </c>
      <c r="D2089" s="45" t="str">
        <f t="shared" si="58"/>
        <v>2023.013P.Potyviridae_rename_sp.zip</v>
      </c>
    </row>
    <row r="2090" spans="1:4">
      <c r="A2090" t="s">
        <v>11672</v>
      </c>
      <c r="B2090" t="s">
        <v>23241</v>
      </c>
      <c r="C2090" t="s">
        <v>23242</v>
      </c>
      <c r="D2090" s="45" t="str">
        <f t="shared" si="58"/>
        <v>2023.013P.Potyviridae_rename_sp.zip</v>
      </c>
    </row>
    <row r="2091" spans="1:4">
      <c r="A2091" t="s">
        <v>11672</v>
      </c>
      <c r="B2091" t="s">
        <v>23243</v>
      </c>
      <c r="C2091" t="s">
        <v>23244</v>
      </c>
      <c r="D2091" s="45" t="str">
        <f t="shared" si="58"/>
        <v>2023.013P.Potyviridae_rename_sp.zip</v>
      </c>
    </row>
    <row r="2092" spans="1:4">
      <c r="A2092" t="s">
        <v>11672</v>
      </c>
      <c r="B2092" t="s">
        <v>23245</v>
      </c>
      <c r="C2092" t="s">
        <v>23246</v>
      </c>
      <c r="D2092" s="45" t="str">
        <f t="shared" si="58"/>
        <v>2023.013P.Potyviridae_rename_sp.zip</v>
      </c>
    </row>
    <row r="2093" spans="1:4">
      <c r="A2093" t="s">
        <v>11672</v>
      </c>
      <c r="B2093" t="s">
        <v>23247</v>
      </c>
      <c r="C2093" t="s">
        <v>23248</v>
      </c>
      <c r="D2093" s="45" t="str">
        <f t="shared" si="58"/>
        <v>2023.013P.Potyviridae_rename_sp.zip</v>
      </c>
    </row>
    <row r="2094" spans="1:4">
      <c r="A2094" t="s">
        <v>11672</v>
      </c>
      <c r="B2094" t="s">
        <v>23249</v>
      </c>
      <c r="C2094" t="s">
        <v>23250</v>
      </c>
      <c r="D2094" s="45" t="str">
        <f t="shared" si="58"/>
        <v>2023.013P.Potyviridae_rename_sp.zip</v>
      </c>
    </row>
    <row r="2095" spans="1:4">
      <c r="A2095" t="s">
        <v>11672</v>
      </c>
      <c r="B2095" t="s">
        <v>23251</v>
      </c>
      <c r="C2095" t="s">
        <v>23252</v>
      </c>
      <c r="D2095" s="45" t="str">
        <f t="shared" si="58"/>
        <v>2023.013P.Potyviridae_rename_sp.zip</v>
      </c>
    </row>
    <row r="2096" spans="1:4">
      <c r="A2096" t="s">
        <v>11672</v>
      </c>
      <c r="B2096" t="s">
        <v>23253</v>
      </c>
      <c r="C2096" t="s">
        <v>23254</v>
      </c>
      <c r="D2096" s="45" t="str">
        <f t="shared" si="58"/>
        <v>2023.013P.Potyviridae_rename_sp.zip</v>
      </c>
    </row>
    <row r="2097" spans="1:4">
      <c r="A2097" t="s">
        <v>11672</v>
      </c>
      <c r="B2097" t="s">
        <v>23255</v>
      </c>
      <c r="C2097" t="s">
        <v>23256</v>
      </c>
      <c r="D2097" s="45" t="str">
        <f t="shared" si="58"/>
        <v>2023.013P.Potyviridae_rename_sp.zip</v>
      </c>
    </row>
    <row r="2098" spans="1:4">
      <c r="A2098" t="s">
        <v>11672</v>
      </c>
      <c r="B2098" t="s">
        <v>23257</v>
      </c>
      <c r="C2098" t="s">
        <v>23258</v>
      </c>
      <c r="D2098" s="45" t="str">
        <f t="shared" si="58"/>
        <v>2023.013P.Potyviridae_rename_sp.zip</v>
      </c>
    </row>
    <row r="2099" spans="1:4">
      <c r="A2099" t="s">
        <v>11672</v>
      </c>
      <c r="B2099" t="s">
        <v>23259</v>
      </c>
      <c r="C2099" t="s">
        <v>23260</v>
      </c>
      <c r="D2099" s="45" t="str">
        <f t="shared" si="58"/>
        <v>2023.013P.Potyviridae_rename_sp.zip</v>
      </c>
    </row>
    <row r="2100" spans="1:4">
      <c r="A2100" t="s">
        <v>11672</v>
      </c>
      <c r="B2100" t="s">
        <v>23261</v>
      </c>
      <c r="C2100" t="s">
        <v>23262</v>
      </c>
      <c r="D2100" s="45" t="str">
        <f t="shared" si="58"/>
        <v>2023.013P.Potyviridae_rename_sp.zip</v>
      </c>
    </row>
    <row r="2101" spans="1:4">
      <c r="A2101" t="s">
        <v>11672</v>
      </c>
      <c r="B2101" t="s">
        <v>23263</v>
      </c>
      <c r="C2101" t="s">
        <v>23264</v>
      </c>
      <c r="D2101" s="45" t="str">
        <f t="shared" si="58"/>
        <v>2023.013P.Potyviridae_rename_sp.zip</v>
      </c>
    </row>
    <row r="2102" spans="1:4">
      <c r="A2102" t="s">
        <v>11672</v>
      </c>
      <c r="B2102" t="s">
        <v>23265</v>
      </c>
      <c r="C2102" t="s">
        <v>23266</v>
      </c>
      <c r="D2102" s="45" t="str">
        <f t="shared" si="58"/>
        <v>2023.013P.Potyviridae_rename_sp.zip</v>
      </c>
    </row>
    <row r="2103" spans="1:4">
      <c r="A2103" t="s">
        <v>11672</v>
      </c>
      <c r="B2103" t="s">
        <v>23267</v>
      </c>
      <c r="C2103" t="s">
        <v>23268</v>
      </c>
      <c r="D2103" s="45" t="str">
        <f t="shared" si="58"/>
        <v>2023.013P.Potyviridae_rename_sp.zip</v>
      </c>
    </row>
    <row r="2104" spans="1:4">
      <c r="A2104" t="s">
        <v>11672</v>
      </c>
      <c r="B2104" t="s">
        <v>23269</v>
      </c>
      <c r="C2104" t="s">
        <v>23270</v>
      </c>
      <c r="D2104" s="45" t="str">
        <f t="shared" si="58"/>
        <v>2023.013P.Potyviridae_rename_sp.zip</v>
      </c>
    </row>
    <row r="2105" spans="1:4">
      <c r="A2105" t="s">
        <v>11672</v>
      </c>
      <c r="B2105" t="s">
        <v>23271</v>
      </c>
      <c r="C2105" t="s">
        <v>23272</v>
      </c>
      <c r="D2105" s="45" t="str">
        <f t="shared" si="58"/>
        <v>2023.013P.Potyviridae_rename_sp.zip</v>
      </c>
    </row>
    <row r="2106" spans="1:4">
      <c r="A2106" t="s">
        <v>11672</v>
      </c>
      <c r="B2106" t="s">
        <v>23273</v>
      </c>
      <c r="C2106" t="s">
        <v>23274</v>
      </c>
      <c r="D2106" s="45" t="str">
        <f t="shared" si="58"/>
        <v>2023.013P.Potyviridae_rename_sp.zip</v>
      </c>
    </row>
    <row r="2107" spans="1:4">
      <c r="A2107" t="s">
        <v>11672</v>
      </c>
      <c r="B2107" t="s">
        <v>23275</v>
      </c>
      <c r="C2107" t="s">
        <v>23276</v>
      </c>
      <c r="D2107" s="45" t="str">
        <f t="shared" si="58"/>
        <v>2023.013P.Potyviridae_rename_sp.zip</v>
      </c>
    </row>
    <row r="2108" spans="1:4">
      <c r="A2108" t="s">
        <v>11672</v>
      </c>
      <c r="B2108" t="s">
        <v>23277</v>
      </c>
      <c r="C2108" t="s">
        <v>23278</v>
      </c>
      <c r="D2108" s="45" t="str">
        <f t="shared" si="58"/>
        <v>2023.013P.Potyviridae_rename_sp.zip</v>
      </c>
    </row>
    <row r="2109" spans="1:4">
      <c r="A2109" t="s">
        <v>11672</v>
      </c>
      <c r="B2109" t="s">
        <v>23279</v>
      </c>
      <c r="C2109" t="s">
        <v>23280</v>
      </c>
      <c r="D2109" s="45" t="str">
        <f t="shared" si="58"/>
        <v>2023.013P.Potyviridae_rename_sp.zip</v>
      </c>
    </row>
    <row r="2110" spans="1:4">
      <c r="A2110" t="s">
        <v>11672</v>
      </c>
      <c r="B2110" t="s">
        <v>23281</v>
      </c>
      <c r="C2110" t="s">
        <v>23282</v>
      </c>
      <c r="D2110" s="45" t="str">
        <f t="shared" si="58"/>
        <v>2023.013P.Potyviridae_rename_sp.zip</v>
      </c>
    </row>
    <row r="2111" spans="1:4">
      <c r="A2111" t="s">
        <v>11672</v>
      </c>
      <c r="B2111" t="s">
        <v>23283</v>
      </c>
      <c r="C2111" t="s">
        <v>23284</v>
      </c>
      <c r="D2111" s="45" t="str">
        <f t="shared" si="58"/>
        <v>2023.013P.Potyviridae_rename_sp.zip</v>
      </c>
    </row>
    <row r="2112" spans="1:4">
      <c r="A2112" t="s">
        <v>11672</v>
      </c>
      <c r="B2112" t="s">
        <v>23285</v>
      </c>
      <c r="C2112" t="s">
        <v>23286</v>
      </c>
      <c r="D2112" s="45" t="str">
        <f t="shared" si="58"/>
        <v>2023.013P.Potyviridae_rename_sp.zip</v>
      </c>
    </row>
    <row r="2113" spans="1:4">
      <c r="A2113" t="s">
        <v>11672</v>
      </c>
      <c r="B2113" t="s">
        <v>23287</v>
      </c>
      <c r="C2113" t="s">
        <v>23288</v>
      </c>
      <c r="D2113" s="45" t="str">
        <f t="shared" si="58"/>
        <v>2023.013P.Potyviridae_rename_sp.zip</v>
      </c>
    </row>
    <row r="2114" spans="1:4">
      <c r="A2114" t="s">
        <v>11672</v>
      </c>
      <c r="B2114" t="s">
        <v>23289</v>
      </c>
      <c r="C2114" t="s">
        <v>23290</v>
      </c>
      <c r="D2114" s="45" t="str">
        <f t="shared" si="58"/>
        <v>2023.013P.Potyviridae_rename_sp.zip</v>
      </c>
    </row>
    <row r="2115" spans="1:4">
      <c r="A2115" t="s">
        <v>11672</v>
      </c>
      <c r="B2115" t="s">
        <v>23291</v>
      </c>
      <c r="C2115" t="s">
        <v>23292</v>
      </c>
      <c r="D2115" s="45" t="str">
        <f t="shared" si="58"/>
        <v>2023.013P.Potyviridae_rename_sp.zip</v>
      </c>
    </row>
    <row r="2116" spans="1:4">
      <c r="A2116" t="s">
        <v>11672</v>
      </c>
      <c r="B2116" t="s">
        <v>23293</v>
      </c>
      <c r="C2116" t="s">
        <v>23294</v>
      </c>
      <c r="D2116" s="45" t="str">
        <f t="shared" si="58"/>
        <v>2023.013P.Potyviridae_rename_sp.zip</v>
      </c>
    </row>
    <row r="2117" spans="1:4">
      <c r="A2117" t="s">
        <v>11672</v>
      </c>
      <c r="B2117" t="s">
        <v>23295</v>
      </c>
      <c r="C2117" t="s">
        <v>23296</v>
      </c>
      <c r="D2117" s="45" t="str">
        <f t="shared" si="58"/>
        <v>2023.013P.Potyviridae_rename_sp.zip</v>
      </c>
    </row>
    <row r="2118" spans="1:4">
      <c r="A2118" t="s">
        <v>11672</v>
      </c>
      <c r="B2118" t="s">
        <v>23297</v>
      </c>
      <c r="C2118" t="s">
        <v>23298</v>
      </c>
      <c r="D2118" s="45" t="str">
        <f t="shared" si="58"/>
        <v>2023.013P.Potyviridae_rename_sp.zip</v>
      </c>
    </row>
    <row r="2119" spans="1:4">
      <c r="A2119" t="s">
        <v>11672</v>
      </c>
      <c r="B2119" t="s">
        <v>23299</v>
      </c>
      <c r="C2119" t="s">
        <v>23300</v>
      </c>
      <c r="D2119" s="45" t="str">
        <f t="shared" si="58"/>
        <v>2023.013P.Potyviridae_rename_sp.zip</v>
      </c>
    </row>
    <row r="2120" spans="1:4">
      <c r="A2120" t="s">
        <v>11672</v>
      </c>
      <c r="B2120" t="s">
        <v>23301</v>
      </c>
      <c r="C2120" t="s">
        <v>23302</v>
      </c>
      <c r="D2120" s="45" t="str">
        <f t="shared" si="58"/>
        <v>2023.013P.Potyviridae_rename_sp.zip</v>
      </c>
    </row>
    <row r="2121" spans="1:4">
      <c r="A2121" t="s">
        <v>11672</v>
      </c>
      <c r="B2121" t="s">
        <v>23303</v>
      </c>
      <c r="C2121" t="s">
        <v>23304</v>
      </c>
      <c r="D2121" s="45" t="str">
        <f t="shared" si="58"/>
        <v>2023.013P.Potyviridae_rename_sp.zip</v>
      </c>
    </row>
    <row r="2122" spans="1:4">
      <c r="A2122" t="s">
        <v>11672</v>
      </c>
      <c r="B2122" t="s">
        <v>23305</v>
      </c>
      <c r="C2122" t="s">
        <v>23306</v>
      </c>
      <c r="D2122" s="45" t="str">
        <f t="shared" si="58"/>
        <v>2023.013P.Potyviridae_rename_sp.zip</v>
      </c>
    </row>
    <row r="2123" spans="1:4">
      <c r="A2123" t="s">
        <v>11672</v>
      </c>
      <c r="B2123" t="s">
        <v>23307</v>
      </c>
      <c r="C2123" t="s">
        <v>23308</v>
      </c>
      <c r="D2123" s="45" t="str">
        <f t="shared" si="58"/>
        <v>2023.013P.Potyviridae_rename_sp.zip</v>
      </c>
    </row>
    <row r="2124" spans="1:4">
      <c r="A2124" t="s">
        <v>11672</v>
      </c>
      <c r="B2124" t="s">
        <v>23309</v>
      </c>
      <c r="C2124" t="s">
        <v>23310</v>
      </c>
      <c r="D2124" s="45" t="str">
        <f t="shared" si="58"/>
        <v>2023.013P.Potyviridae_rename_sp.zip</v>
      </c>
    </row>
    <row r="2125" spans="1:4">
      <c r="A2125" t="s">
        <v>11672</v>
      </c>
      <c r="B2125" t="s">
        <v>23311</v>
      </c>
      <c r="C2125" t="s">
        <v>23312</v>
      </c>
      <c r="D2125" s="45" t="str">
        <f t="shared" si="58"/>
        <v>2023.013P.Potyviridae_rename_sp.zip</v>
      </c>
    </row>
    <row r="2126" spans="1:4">
      <c r="A2126" t="s">
        <v>11672</v>
      </c>
      <c r="B2126" t="s">
        <v>23313</v>
      </c>
      <c r="C2126" t="s">
        <v>23314</v>
      </c>
      <c r="D2126" s="45" t="str">
        <f t="shared" si="58"/>
        <v>2023.013P.Potyviridae_rename_sp.zip</v>
      </c>
    </row>
    <row r="2127" spans="1:4">
      <c r="A2127" t="s">
        <v>11672</v>
      </c>
      <c r="B2127" t="s">
        <v>23315</v>
      </c>
      <c r="C2127" t="s">
        <v>23316</v>
      </c>
      <c r="D2127" s="45" t="str">
        <f t="shared" si="58"/>
        <v>2023.013P.Potyviridae_rename_sp.zip</v>
      </c>
    </row>
    <row r="2128" spans="1:4">
      <c r="A2128" t="s">
        <v>11672</v>
      </c>
      <c r="B2128" t="s">
        <v>23317</v>
      </c>
      <c r="C2128" t="s">
        <v>23318</v>
      </c>
      <c r="D2128" s="45" t="str">
        <f t="shared" si="58"/>
        <v>2023.013P.Potyviridae_rename_sp.zip</v>
      </c>
    </row>
    <row r="2129" spans="1:4">
      <c r="A2129" t="s">
        <v>11672</v>
      </c>
      <c r="B2129" t="s">
        <v>23319</v>
      </c>
      <c r="C2129" t="s">
        <v>23320</v>
      </c>
      <c r="D2129" s="45" t="str">
        <f t="shared" ref="D2129:D2192" si="59">HYPERLINK("https://ictv.global/ictv/proposals/2023.013P.Potyviridae_rename_sp.zip","2023.013P.Potyviridae_rename_sp.zip")</f>
        <v>2023.013P.Potyviridae_rename_sp.zip</v>
      </c>
    </row>
    <row r="2130" spans="1:4">
      <c r="A2130" t="s">
        <v>11672</v>
      </c>
      <c r="B2130" t="s">
        <v>23321</v>
      </c>
      <c r="C2130" t="s">
        <v>23322</v>
      </c>
      <c r="D2130" s="45" t="str">
        <f t="shared" si="59"/>
        <v>2023.013P.Potyviridae_rename_sp.zip</v>
      </c>
    </row>
    <row r="2131" spans="1:4">
      <c r="A2131" t="s">
        <v>11672</v>
      </c>
      <c r="B2131" t="s">
        <v>23323</v>
      </c>
      <c r="C2131" t="s">
        <v>23324</v>
      </c>
      <c r="D2131" s="45" t="str">
        <f t="shared" si="59"/>
        <v>2023.013P.Potyviridae_rename_sp.zip</v>
      </c>
    </row>
    <row r="2132" spans="1:4">
      <c r="A2132" t="s">
        <v>11672</v>
      </c>
      <c r="B2132" t="s">
        <v>23325</v>
      </c>
      <c r="C2132" t="s">
        <v>23326</v>
      </c>
      <c r="D2132" s="45" t="str">
        <f t="shared" si="59"/>
        <v>2023.013P.Potyviridae_rename_sp.zip</v>
      </c>
    </row>
    <row r="2133" spans="1:4">
      <c r="A2133" t="s">
        <v>11672</v>
      </c>
      <c r="B2133" t="s">
        <v>23327</v>
      </c>
      <c r="C2133" t="s">
        <v>23328</v>
      </c>
      <c r="D2133" s="45" t="str">
        <f t="shared" si="59"/>
        <v>2023.013P.Potyviridae_rename_sp.zip</v>
      </c>
    </row>
    <row r="2134" spans="1:4">
      <c r="A2134" t="s">
        <v>11672</v>
      </c>
      <c r="B2134" t="s">
        <v>23329</v>
      </c>
      <c r="C2134" t="s">
        <v>23330</v>
      </c>
      <c r="D2134" s="45" t="str">
        <f t="shared" si="59"/>
        <v>2023.013P.Potyviridae_rename_sp.zip</v>
      </c>
    </row>
    <row r="2135" spans="1:4">
      <c r="A2135" t="s">
        <v>11672</v>
      </c>
      <c r="B2135" t="s">
        <v>23331</v>
      </c>
      <c r="C2135" t="s">
        <v>23332</v>
      </c>
      <c r="D2135" s="45" t="str">
        <f t="shared" si="59"/>
        <v>2023.013P.Potyviridae_rename_sp.zip</v>
      </c>
    </row>
    <row r="2136" spans="1:4">
      <c r="A2136" t="s">
        <v>11672</v>
      </c>
      <c r="B2136" t="s">
        <v>23333</v>
      </c>
      <c r="C2136" t="s">
        <v>23334</v>
      </c>
      <c r="D2136" s="45" t="str">
        <f t="shared" si="59"/>
        <v>2023.013P.Potyviridae_rename_sp.zip</v>
      </c>
    </row>
    <row r="2137" spans="1:4">
      <c r="A2137" t="s">
        <v>11672</v>
      </c>
      <c r="B2137" t="s">
        <v>23335</v>
      </c>
      <c r="C2137" t="s">
        <v>23336</v>
      </c>
      <c r="D2137" s="45" t="str">
        <f t="shared" si="59"/>
        <v>2023.013P.Potyviridae_rename_sp.zip</v>
      </c>
    </row>
    <row r="2138" spans="1:4">
      <c r="A2138" t="s">
        <v>11672</v>
      </c>
      <c r="B2138" t="s">
        <v>23337</v>
      </c>
      <c r="C2138" t="s">
        <v>23338</v>
      </c>
      <c r="D2138" s="45" t="str">
        <f t="shared" si="59"/>
        <v>2023.013P.Potyviridae_rename_sp.zip</v>
      </c>
    </row>
    <row r="2139" spans="1:4">
      <c r="A2139" t="s">
        <v>11672</v>
      </c>
      <c r="B2139" t="s">
        <v>23339</v>
      </c>
      <c r="C2139" t="s">
        <v>23340</v>
      </c>
      <c r="D2139" s="45" t="str">
        <f t="shared" si="59"/>
        <v>2023.013P.Potyviridae_rename_sp.zip</v>
      </c>
    </row>
    <row r="2140" spans="1:4">
      <c r="A2140" t="s">
        <v>11672</v>
      </c>
      <c r="B2140" t="s">
        <v>23341</v>
      </c>
      <c r="C2140" t="s">
        <v>23342</v>
      </c>
      <c r="D2140" s="45" t="str">
        <f t="shared" si="59"/>
        <v>2023.013P.Potyviridae_rename_sp.zip</v>
      </c>
    </row>
    <row r="2141" spans="1:4">
      <c r="A2141" t="s">
        <v>11672</v>
      </c>
      <c r="B2141" t="s">
        <v>23343</v>
      </c>
      <c r="C2141" t="s">
        <v>23344</v>
      </c>
      <c r="D2141" s="45" t="str">
        <f t="shared" si="59"/>
        <v>2023.013P.Potyviridae_rename_sp.zip</v>
      </c>
    </row>
    <row r="2142" spans="1:4">
      <c r="A2142" t="s">
        <v>11672</v>
      </c>
      <c r="B2142" t="s">
        <v>23345</v>
      </c>
      <c r="C2142" t="s">
        <v>23346</v>
      </c>
      <c r="D2142" s="45" t="str">
        <f t="shared" si="59"/>
        <v>2023.013P.Potyviridae_rename_sp.zip</v>
      </c>
    </row>
    <row r="2143" spans="1:4">
      <c r="A2143" t="s">
        <v>11672</v>
      </c>
      <c r="B2143" t="s">
        <v>23347</v>
      </c>
      <c r="C2143" t="s">
        <v>23348</v>
      </c>
      <c r="D2143" s="45" t="str">
        <f t="shared" si="59"/>
        <v>2023.013P.Potyviridae_rename_sp.zip</v>
      </c>
    </row>
    <row r="2144" spans="1:4">
      <c r="A2144" t="s">
        <v>11672</v>
      </c>
      <c r="B2144" t="s">
        <v>23349</v>
      </c>
      <c r="C2144" t="s">
        <v>23350</v>
      </c>
      <c r="D2144" s="45" t="str">
        <f t="shared" si="59"/>
        <v>2023.013P.Potyviridae_rename_sp.zip</v>
      </c>
    </row>
    <row r="2145" spans="1:4">
      <c r="A2145" t="s">
        <v>11672</v>
      </c>
      <c r="B2145" t="s">
        <v>23351</v>
      </c>
      <c r="C2145" t="s">
        <v>23352</v>
      </c>
      <c r="D2145" s="45" t="str">
        <f t="shared" si="59"/>
        <v>2023.013P.Potyviridae_rename_sp.zip</v>
      </c>
    </row>
    <row r="2146" spans="1:4">
      <c r="A2146" t="s">
        <v>11672</v>
      </c>
      <c r="B2146" t="s">
        <v>23353</v>
      </c>
      <c r="C2146" t="s">
        <v>23354</v>
      </c>
      <c r="D2146" s="45" t="str">
        <f t="shared" si="59"/>
        <v>2023.013P.Potyviridae_rename_sp.zip</v>
      </c>
    </row>
    <row r="2147" spans="1:4">
      <c r="A2147" t="s">
        <v>11672</v>
      </c>
      <c r="B2147" t="s">
        <v>23355</v>
      </c>
      <c r="C2147" t="s">
        <v>23356</v>
      </c>
      <c r="D2147" s="45" t="str">
        <f t="shared" si="59"/>
        <v>2023.013P.Potyviridae_rename_sp.zip</v>
      </c>
    </row>
    <row r="2148" spans="1:4">
      <c r="A2148" t="s">
        <v>11672</v>
      </c>
      <c r="B2148" t="s">
        <v>23357</v>
      </c>
      <c r="C2148" t="s">
        <v>23358</v>
      </c>
      <c r="D2148" s="45" t="str">
        <f t="shared" si="59"/>
        <v>2023.013P.Potyviridae_rename_sp.zip</v>
      </c>
    </row>
    <row r="2149" spans="1:4">
      <c r="A2149" t="s">
        <v>11672</v>
      </c>
      <c r="B2149" t="s">
        <v>23359</v>
      </c>
      <c r="C2149" t="s">
        <v>23360</v>
      </c>
      <c r="D2149" s="45" t="str">
        <f t="shared" si="59"/>
        <v>2023.013P.Potyviridae_rename_sp.zip</v>
      </c>
    </row>
    <row r="2150" spans="1:4">
      <c r="A2150" t="s">
        <v>11672</v>
      </c>
      <c r="B2150" t="s">
        <v>23361</v>
      </c>
      <c r="C2150" t="s">
        <v>23362</v>
      </c>
      <c r="D2150" s="45" t="str">
        <f t="shared" si="59"/>
        <v>2023.013P.Potyviridae_rename_sp.zip</v>
      </c>
    </row>
    <row r="2151" spans="1:4">
      <c r="A2151" t="s">
        <v>11672</v>
      </c>
      <c r="B2151" t="s">
        <v>23363</v>
      </c>
      <c r="C2151" t="s">
        <v>23364</v>
      </c>
      <c r="D2151" s="45" t="str">
        <f t="shared" si="59"/>
        <v>2023.013P.Potyviridae_rename_sp.zip</v>
      </c>
    </row>
    <row r="2152" spans="1:4">
      <c r="A2152" t="s">
        <v>11672</v>
      </c>
      <c r="B2152" t="s">
        <v>23365</v>
      </c>
      <c r="C2152" t="s">
        <v>23366</v>
      </c>
      <c r="D2152" s="45" t="str">
        <f t="shared" si="59"/>
        <v>2023.013P.Potyviridae_rename_sp.zip</v>
      </c>
    </row>
    <row r="2153" spans="1:4">
      <c r="A2153" t="s">
        <v>11672</v>
      </c>
      <c r="B2153" t="s">
        <v>23367</v>
      </c>
      <c r="C2153" t="s">
        <v>23368</v>
      </c>
      <c r="D2153" s="45" t="str">
        <f t="shared" si="59"/>
        <v>2023.013P.Potyviridae_rename_sp.zip</v>
      </c>
    </row>
    <row r="2154" spans="1:4">
      <c r="A2154" t="s">
        <v>11672</v>
      </c>
      <c r="B2154" t="s">
        <v>23369</v>
      </c>
      <c r="C2154" t="s">
        <v>23370</v>
      </c>
      <c r="D2154" s="45" t="str">
        <f t="shared" si="59"/>
        <v>2023.013P.Potyviridae_rename_sp.zip</v>
      </c>
    </row>
    <row r="2155" spans="1:4">
      <c r="A2155" t="s">
        <v>11672</v>
      </c>
      <c r="B2155" t="s">
        <v>23371</v>
      </c>
      <c r="C2155" t="s">
        <v>23372</v>
      </c>
      <c r="D2155" s="45" t="str">
        <f t="shared" si="59"/>
        <v>2023.013P.Potyviridae_rename_sp.zip</v>
      </c>
    </row>
    <row r="2156" spans="1:4">
      <c r="A2156" t="s">
        <v>11672</v>
      </c>
      <c r="B2156" t="s">
        <v>23373</v>
      </c>
      <c r="C2156" t="s">
        <v>23374</v>
      </c>
      <c r="D2156" s="45" t="str">
        <f t="shared" si="59"/>
        <v>2023.013P.Potyviridae_rename_sp.zip</v>
      </c>
    </row>
    <row r="2157" spans="1:4">
      <c r="A2157" t="s">
        <v>11672</v>
      </c>
      <c r="B2157" t="s">
        <v>23375</v>
      </c>
      <c r="C2157" t="s">
        <v>23376</v>
      </c>
      <c r="D2157" s="45" t="str">
        <f t="shared" si="59"/>
        <v>2023.013P.Potyviridae_rename_sp.zip</v>
      </c>
    </row>
    <row r="2158" spans="1:4">
      <c r="A2158" t="s">
        <v>11672</v>
      </c>
      <c r="B2158" t="s">
        <v>23377</v>
      </c>
      <c r="C2158" t="s">
        <v>23378</v>
      </c>
      <c r="D2158" s="45" t="str">
        <f t="shared" si="59"/>
        <v>2023.013P.Potyviridae_rename_sp.zip</v>
      </c>
    </row>
    <row r="2159" spans="1:4">
      <c r="A2159" t="s">
        <v>11672</v>
      </c>
      <c r="B2159" t="s">
        <v>23379</v>
      </c>
      <c r="C2159" t="s">
        <v>23380</v>
      </c>
      <c r="D2159" s="45" t="str">
        <f t="shared" si="59"/>
        <v>2023.013P.Potyviridae_rename_sp.zip</v>
      </c>
    </row>
    <row r="2160" spans="1:4">
      <c r="A2160" t="s">
        <v>11672</v>
      </c>
      <c r="B2160" t="s">
        <v>23381</v>
      </c>
      <c r="C2160" t="s">
        <v>23382</v>
      </c>
      <c r="D2160" s="45" t="str">
        <f t="shared" si="59"/>
        <v>2023.013P.Potyviridae_rename_sp.zip</v>
      </c>
    </row>
    <row r="2161" spans="1:4">
      <c r="A2161" t="s">
        <v>11672</v>
      </c>
      <c r="B2161" t="s">
        <v>23383</v>
      </c>
      <c r="C2161" t="s">
        <v>23384</v>
      </c>
      <c r="D2161" s="45" t="str">
        <f t="shared" si="59"/>
        <v>2023.013P.Potyviridae_rename_sp.zip</v>
      </c>
    </row>
    <row r="2162" spans="1:4">
      <c r="A2162" t="s">
        <v>11672</v>
      </c>
      <c r="B2162" t="s">
        <v>23385</v>
      </c>
      <c r="C2162" t="s">
        <v>23386</v>
      </c>
      <c r="D2162" s="45" t="str">
        <f t="shared" si="59"/>
        <v>2023.013P.Potyviridae_rename_sp.zip</v>
      </c>
    </row>
    <row r="2163" spans="1:4">
      <c r="A2163" t="s">
        <v>11672</v>
      </c>
      <c r="B2163" t="s">
        <v>23387</v>
      </c>
      <c r="C2163" t="s">
        <v>23388</v>
      </c>
      <c r="D2163" s="45" t="str">
        <f t="shared" si="59"/>
        <v>2023.013P.Potyviridae_rename_sp.zip</v>
      </c>
    </row>
    <row r="2164" spans="1:4">
      <c r="A2164" t="s">
        <v>11672</v>
      </c>
      <c r="B2164" t="s">
        <v>23389</v>
      </c>
      <c r="C2164" t="s">
        <v>23390</v>
      </c>
      <c r="D2164" s="45" t="str">
        <f t="shared" si="59"/>
        <v>2023.013P.Potyviridae_rename_sp.zip</v>
      </c>
    </row>
    <row r="2165" spans="1:4">
      <c r="A2165" t="s">
        <v>11672</v>
      </c>
      <c r="B2165" t="s">
        <v>23391</v>
      </c>
      <c r="C2165" t="s">
        <v>23392</v>
      </c>
      <c r="D2165" s="45" t="str">
        <f t="shared" si="59"/>
        <v>2023.013P.Potyviridae_rename_sp.zip</v>
      </c>
    </row>
    <row r="2166" spans="1:4">
      <c r="A2166" t="s">
        <v>11672</v>
      </c>
      <c r="B2166" t="s">
        <v>23393</v>
      </c>
      <c r="C2166" t="s">
        <v>23394</v>
      </c>
      <c r="D2166" s="45" t="str">
        <f t="shared" si="59"/>
        <v>2023.013P.Potyviridae_rename_sp.zip</v>
      </c>
    </row>
    <row r="2167" spans="1:4">
      <c r="A2167" t="s">
        <v>11672</v>
      </c>
      <c r="B2167" t="s">
        <v>23395</v>
      </c>
      <c r="C2167" t="s">
        <v>23396</v>
      </c>
      <c r="D2167" s="45" t="str">
        <f t="shared" si="59"/>
        <v>2023.013P.Potyviridae_rename_sp.zip</v>
      </c>
    </row>
    <row r="2168" spans="1:4">
      <c r="A2168" t="s">
        <v>11672</v>
      </c>
      <c r="B2168" t="s">
        <v>23397</v>
      </c>
      <c r="C2168" t="s">
        <v>23398</v>
      </c>
      <c r="D2168" s="45" t="str">
        <f t="shared" si="59"/>
        <v>2023.013P.Potyviridae_rename_sp.zip</v>
      </c>
    </row>
    <row r="2169" spans="1:4">
      <c r="A2169" t="s">
        <v>11672</v>
      </c>
      <c r="B2169" t="s">
        <v>23399</v>
      </c>
      <c r="C2169" t="s">
        <v>23400</v>
      </c>
      <c r="D2169" s="45" t="str">
        <f t="shared" si="59"/>
        <v>2023.013P.Potyviridae_rename_sp.zip</v>
      </c>
    </row>
    <row r="2170" spans="1:4">
      <c r="A2170" t="s">
        <v>11672</v>
      </c>
      <c r="B2170" t="s">
        <v>23401</v>
      </c>
      <c r="C2170" t="s">
        <v>23402</v>
      </c>
      <c r="D2170" s="45" t="str">
        <f t="shared" si="59"/>
        <v>2023.013P.Potyviridae_rename_sp.zip</v>
      </c>
    </row>
    <row r="2171" spans="1:4">
      <c r="A2171" t="s">
        <v>11672</v>
      </c>
      <c r="B2171" t="s">
        <v>23403</v>
      </c>
      <c r="C2171" t="s">
        <v>23404</v>
      </c>
      <c r="D2171" s="45" t="str">
        <f t="shared" si="59"/>
        <v>2023.013P.Potyviridae_rename_sp.zip</v>
      </c>
    </row>
    <row r="2172" spans="1:4">
      <c r="A2172" t="s">
        <v>11672</v>
      </c>
      <c r="B2172" t="s">
        <v>23405</v>
      </c>
      <c r="C2172" t="s">
        <v>23406</v>
      </c>
      <c r="D2172" s="45" t="str">
        <f t="shared" si="59"/>
        <v>2023.013P.Potyviridae_rename_sp.zip</v>
      </c>
    </row>
    <row r="2173" spans="1:4">
      <c r="A2173" t="s">
        <v>11672</v>
      </c>
      <c r="B2173" t="s">
        <v>23407</v>
      </c>
      <c r="C2173" t="s">
        <v>23408</v>
      </c>
      <c r="D2173" s="45" t="str">
        <f t="shared" si="59"/>
        <v>2023.013P.Potyviridae_rename_sp.zip</v>
      </c>
    </row>
    <row r="2174" spans="1:4">
      <c r="A2174" t="s">
        <v>11672</v>
      </c>
      <c r="B2174" t="s">
        <v>23409</v>
      </c>
      <c r="C2174" t="s">
        <v>23410</v>
      </c>
      <c r="D2174" s="45" t="str">
        <f t="shared" si="59"/>
        <v>2023.013P.Potyviridae_rename_sp.zip</v>
      </c>
    </row>
    <row r="2175" spans="1:4">
      <c r="A2175" t="s">
        <v>11672</v>
      </c>
      <c r="B2175" t="s">
        <v>23411</v>
      </c>
      <c r="C2175" t="s">
        <v>23412</v>
      </c>
      <c r="D2175" s="45" t="str">
        <f t="shared" si="59"/>
        <v>2023.013P.Potyviridae_rename_sp.zip</v>
      </c>
    </row>
    <row r="2176" spans="1:4">
      <c r="A2176" t="s">
        <v>11672</v>
      </c>
      <c r="B2176" t="s">
        <v>23413</v>
      </c>
      <c r="C2176" t="s">
        <v>23414</v>
      </c>
      <c r="D2176" s="45" t="str">
        <f t="shared" si="59"/>
        <v>2023.013P.Potyviridae_rename_sp.zip</v>
      </c>
    </row>
    <row r="2177" spans="1:4">
      <c r="A2177" t="s">
        <v>11672</v>
      </c>
      <c r="B2177" t="s">
        <v>23415</v>
      </c>
      <c r="C2177" t="s">
        <v>23416</v>
      </c>
      <c r="D2177" s="45" t="str">
        <f t="shared" si="59"/>
        <v>2023.013P.Potyviridae_rename_sp.zip</v>
      </c>
    </row>
    <row r="2178" spans="1:4">
      <c r="A2178" t="s">
        <v>11672</v>
      </c>
      <c r="B2178" t="s">
        <v>23417</v>
      </c>
      <c r="C2178" t="s">
        <v>23418</v>
      </c>
      <c r="D2178" s="45" t="str">
        <f t="shared" si="59"/>
        <v>2023.013P.Potyviridae_rename_sp.zip</v>
      </c>
    </row>
    <row r="2179" spans="1:4">
      <c r="A2179" t="s">
        <v>11672</v>
      </c>
      <c r="B2179" t="s">
        <v>23419</v>
      </c>
      <c r="C2179" t="s">
        <v>23420</v>
      </c>
      <c r="D2179" s="45" t="str">
        <f t="shared" si="59"/>
        <v>2023.013P.Potyviridae_rename_sp.zip</v>
      </c>
    </row>
    <row r="2180" spans="1:4">
      <c r="A2180" t="s">
        <v>11672</v>
      </c>
      <c r="B2180" t="s">
        <v>23421</v>
      </c>
      <c r="C2180" t="s">
        <v>23422</v>
      </c>
      <c r="D2180" s="45" t="str">
        <f t="shared" si="59"/>
        <v>2023.013P.Potyviridae_rename_sp.zip</v>
      </c>
    </row>
    <row r="2181" spans="1:4">
      <c r="A2181" t="s">
        <v>11672</v>
      </c>
      <c r="B2181" t="s">
        <v>23423</v>
      </c>
      <c r="C2181" t="s">
        <v>23424</v>
      </c>
      <c r="D2181" s="45" t="str">
        <f t="shared" si="59"/>
        <v>2023.013P.Potyviridae_rename_sp.zip</v>
      </c>
    </row>
    <row r="2182" spans="1:4">
      <c r="A2182" t="s">
        <v>11672</v>
      </c>
      <c r="B2182" t="s">
        <v>23425</v>
      </c>
      <c r="C2182" t="s">
        <v>23426</v>
      </c>
      <c r="D2182" s="45" t="str">
        <f t="shared" si="59"/>
        <v>2023.013P.Potyviridae_rename_sp.zip</v>
      </c>
    </row>
    <row r="2183" spans="1:4">
      <c r="A2183" t="s">
        <v>11672</v>
      </c>
      <c r="B2183" t="s">
        <v>23427</v>
      </c>
      <c r="C2183" t="s">
        <v>23428</v>
      </c>
      <c r="D2183" s="45" t="str">
        <f t="shared" si="59"/>
        <v>2023.013P.Potyviridae_rename_sp.zip</v>
      </c>
    </row>
    <row r="2184" spans="1:4">
      <c r="A2184" t="s">
        <v>11672</v>
      </c>
      <c r="B2184" t="s">
        <v>23429</v>
      </c>
      <c r="C2184" t="s">
        <v>23430</v>
      </c>
      <c r="D2184" s="45" t="str">
        <f t="shared" si="59"/>
        <v>2023.013P.Potyviridae_rename_sp.zip</v>
      </c>
    </row>
    <row r="2185" spans="1:4">
      <c r="A2185" t="s">
        <v>11672</v>
      </c>
      <c r="B2185" t="s">
        <v>23431</v>
      </c>
      <c r="C2185" t="s">
        <v>23432</v>
      </c>
      <c r="D2185" s="45" t="str">
        <f t="shared" si="59"/>
        <v>2023.013P.Potyviridae_rename_sp.zip</v>
      </c>
    </row>
    <row r="2186" spans="1:4">
      <c r="A2186" t="s">
        <v>11672</v>
      </c>
      <c r="B2186" t="s">
        <v>23433</v>
      </c>
      <c r="C2186" t="s">
        <v>23434</v>
      </c>
      <c r="D2186" s="45" t="str">
        <f t="shared" si="59"/>
        <v>2023.013P.Potyviridae_rename_sp.zip</v>
      </c>
    </row>
    <row r="2187" spans="1:4">
      <c r="A2187" t="s">
        <v>11672</v>
      </c>
      <c r="B2187" t="s">
        <v>23435</v>
      </c>
      <c r="C2187" t="s">
        <v>23436</v>
      </c>
      <c r="D2187" s="45" t="str">
        <f t="shared" si="59"/>
        <v>2023.013P.Potyviridae_rename_sp.zip</v>
      </c>
    </row>
    <row r="2188" spans="1:4">
      <c r="A2188" t="s">
        <v>11672</v>
      </c>
      <c r="B2188" t="s">
        <v>23437</v>
      </c>
      <c r="C2188" t="s">
        <v>23438</v>
      </c>
      <c r="D2188" s="45" t="str">
        <f t="shared" si="59"/>
        <v>2023.013P.Potyviridae_rename_sp.zip</v>
      </c>
    </row>
    <row r="2189" spans="1:4">
      <c r="A2189" t="s">
        <v>11672</v>
      </c>
      <c r="B2189" t="s">
        <v>23439</v>
      </c>
      <c r="C2189" t="s">
        <v>23440</v>
      </c>
      <c r="D2189" s="45" t="str">
        <f t="shared" si="59"/>
        <v>2023.013P.Potyviridae_rename_sp.zip</v>
      </c>
    </row>
    <row r="2190" spans="1:4">
      <c r="A2190" t="s">
        <v>11672</v>
      </c>
      <c r="B2190" t="s">
        <v>23441</v>
      </c>
      <c r="C2190" t="s">
        <v>23442</v>
      </c>
      <c r="D2190" s="45" t="str">
        <f t="shared" si="59"/>
        <v>2023.013P.Potyviridae_rename_sp.zip</v>
      </c>
    </row>
    <row r="2191" spans="1:4">
      <c r="A2191" t="s">
        <v>11672</v>
      </c>
      <c r="B2191" t="s">
        <v>23443</v>
      </c>
      <c r="C2191" t="s">
        <v>23444</v>
      </c>
      <c r="D2191" s="45" t="str">
        <f t="shared" si="59"/>
        <v>2023.013P.Potyviridae_rename_sp.zip</v>
      </c>
    </row>
    <row r="2192" spans="1:4">
      <c r="A2192" t="s">
        <v>11672</v>
      </c>
      <c r="B2192" t="s">
        <v>23445</v>
      </c>
      <c r="C2192" t="s">
        <v>23446</v>
      </c>
      <c r="D2192" s="45" t="str">
        <f t="shared" si="59"/>
        <v>2023.013P.Potyviridae_rename_sp.zip</v>
      </c>
    </row>
    <row r="2193" spans="1:4">
      <c r="A2193" t="s">
        <v>11672</v>
      </c>
      <c r="B2193" t="s">
        <v>23447</v>
      </c>
      <c r="C2193" t="s">
        <v>23448</v>
      </c>
      <c r="D2193" s="45" t="str">
        <f t="shared" ref="D2193:D2232" si="60">HYPERLINK("https://ictv.global/ictv/proposals/2023.013P.Potyviridae_rename_sp.zip","2023.013P.Potyviridae_rename_sp.zip")</f>
        <v>2023.013P.Potyviridae_rename_sp.zip</v>
      </c>
    </row>
    <row r="2194" spans="1:4">
      <c r="A2194" t="s">
        <v>11672</v>
      </c>
      <c r="B2194" t="s">
        <v>23449</v>
      </c>
      <c r="C2194" t="s">
        <v>23450</v>
      </c>
      <c r="D2194" s="45" t="str">
        <f t="shared" si="60"/>
        <v>2023.013P.Potyviridae_rename_sp.zip</v>
      </c>
    </row>
    <row r="2195" spans="1:4">
      <c r="A2195" t="s">
        <v>11672</v>
      </c>
      <c r="B2195" t="s">
        <v>23451</v>
      </c>
      <c r="C2195" t="s">
        <v>23452</v>
      </c>
      <c r="D2195" s="45" t="str">
        <f t="shared" si="60"/>
        <v>2023.013P.Potyviridae_rename_sp.zip</v>
      </c>
    </row>
    <row r="2196" spans="1:4">
      <c r="A2196" t="s">
        <v>11672</v>
      </c>
      <c r="B2196" t="s">
        <v>23453</v>
      </c>
      <c r="C2196" t="s">
        <v>23454</v>
      </c>
      <c r="D2196" s="45" t="str">
        <f t="shared" si="60"/>
        <v>2023.013P.Potyviridae_rename_sp.zip</v>
      </c>
    </row>
    <row r="2197" spans="1:4">
      <c r="A2197" t="s">
        <v>11672</v>
      </c>
      <c r="B2197" t="s">
        <v>23455</v>
      </c>
      <c r="C2197" t="s">
        <v>23456</v>
      </c>
      <c r="D2197" s="45" t="str">
        <f t="shared" si="60"/>
        <v>2023.013P.Potyviridae_rename_sp.zip</v>
      </c>
    </row>
    <row r="2198" spans="1:4">
      <c r="A2198" t="s">
        <v>11672</v>
      </c>
      <c r="B2198" t="s">
        <v>23457</v>
      </c>
      <c r="C2198" t="s">
        <v>23458</v>
      </c>
      <c r="D2198" s="45" t="str">
        <f t="shared" si="60"/>
        <v>2023.013P.Potyviridae_rename_sp.zip</v>
      </c>
    </row>
    <row r="2199" spans="1:4">
      <c r="A2199" t="s">
        <v>11672</v>
      </c>
      <c r="B2199" t="s">
        <v>23459</v>
      </c>
      <c r="C2199" t="s">
        <v>23460</v>
      </c>
      <c r="D2199" s="45" t="str">
        <f t="shared" si="60"/>
        <v>2023.013P.Potyviridae_rename_sp.zip</v>
      </c>
    </row>
    <row r="2200" spans="1:4">
      <c r="A2200" t="s">
        <v>11672</v>
      </c>
      <c r="B2200" t="s">
        <v>23461</v>
      </c>
      <c r="C2200" t="s">
        <v>23462</v>
      </c>
      <c r="D2200" s="45" t="str">
        <f t="shared" si="60"/>
        <v>2023.013P.Potyviridae_rename_sp.zip</v>
      </c>
    </row>
    <row r="2201" spans="1:4">
      <c r="A2201" t="s">
        <v>11672</v>
      </c>
      <c r="B2201" t="s">
        <v>23463</v>
      </c>
      <c r="C2201" t="s">
        <v>23464</v>
      </c>
      <c r="D2201" s="45" t="str">
        <f t="shared" si="60"/>
        <v>2023.013P.Potyviridae_rename_sp.zip</v>
      </c>
    </row>
    <row r="2202" spans="1:4">
      <c r="A2202" t="s">
        <v>11672</v>
      </c>
      <c r="B2202" t="s">
        <v>23465</v>
      </c>
      <c r="C2202" t="s">
        <v>23466</v>
      </c>
      <c r="D2202" s="45" t="str">
        <f t="shared" si="60"/>
        <v>2023.013P.Potyviridae_rename_sp.zip</v>
      </c>
    </row>
    <row r="2203" spans="1:4">
      <c r="A2203" t="s">
        <v>11672</v>
      </c>
      <c r="B2203" t="s">
        <v>23467</v>
      </c>
      <c r="C2203" t="s">
        <v>23468</v>
      </c>
      <c r="D2203" s="45" t="str">
        <f t="shared" si="60"/>
        <v>2023.013P.Potyviridae_rename_sp.zip</v>
      </c>
    </row>
    <row r="2204" spans="1:4">
      <c r="A2204" t="s">
        <v>11672</v>
      </c>
      <c r="B2204" t="s">
        <v>23469</v>
      </c>
      <c r="C2204" t="s">
        <v>23470</v>
      </c>
      <c r="D2204" s="45" t="str">
        <f t="shared" si="60"/>
        <v>2023.013P.Potyviridae_rename_sp.zip</v>
      </c>
    </row>
    <row r="2205" spans="1:4">
      <c r="A2205" t="s">
        <v>11672</v>
      </c>
      <c r="B2205" t="s">
        <v>23471</v>
      </c>
      <c r="C2205" t="s">
        <v>23472</v>
      </c>
      <c r="D2205" s="45" t="str">
        <f t="shared" si="60"/>
        <v>2023.013P.Potyviridae_rename_sp.zip</v>
      </c>
    </row>
    <row r="2206" spans="1:4">
      <c r="A2206" t="s">
        <v>11672</v>
      </c>
      <c r="B2206" t="s">
        <v>23473</v>
      </c>
      <c r="C2206" t="s">
        <v>23474</v>
      </c>
      <c r="D2206" s="45" t="str">
        <f t="shared" si="60"/>
        <v>2023.013P.Potyviridae_rename_sp.zip</v>
      </c>
    </row>
    <row r="2207" spans="1:4">
      <c r="A2207" t="s">
        <v>11672</v>
      </c>
      <c r="B2207" t="s">
        <v>23475</v>
      </c>
      <c r="C2207" t="s">
        <v>23476</v>
      </c>
      <c r="D2207" s="45" t="str">
        <f t="shared" si="60"/>
        <v>2023.013P.Potyviridae_rename_sp.zip</v>
      </c>
    </row>
    <row r="2208" spans="1:4">
      <c r="A2208" t="s">
        <v>11672</v>
      </c>
      <c r="B2208" t="s">
        <v>23477</v>
      </c>
      <c r="C2208" t="s">
        <v>23478</v>
      </c>
      <c r="D2208" s="45" t="str">
        <f t="shared" si="60"/>
        <v>2023.013P.Potyviridae_rename_sp.zip</v>
      </c>
    </row>
    <row r="2209" spans="1:4">
      <c r="A2209" t="s">
        <v>11672</v>
      </c>
      <c r="B2209" t="s">
        <v>23479</v>
      </c>
      <c r="C2209" t="s">
        <v>23480</v>
      </c>
      <c r="D2209" s="45" t="str">
        <f t="shared" si="60"/>
        <v>2023.013P.Potyviridae_rename_sp.zip</v>
      </c>
    </row>
    <row r="2210" spans="1:4">
      <c r="A2210" t="s">
        <v>11672</v>
      </c>
      <c r="B2210" t="s">
        <v>23481</v>
      </c>
      <c r="C2210" t="s">
        <v>23482</v>
      </c>
      <c r="D2210" s="45" t="str">
        <f t="shared" si="60"/>
        <v>2023.013P.Potyviridae_rename_sp.zip</v>
      </c>
    </row>
    <row r="2211" spans="1:4">
      <c r="A2211" t="s">
        <v>11672</v>
      </c>
      <c r="B2211" t="s">
        <v>23483</v>
      </c>
      <c r="C2211" t="s">
        <v>23484</v>
      </c>
      <c r="D2211" s="45" t="str">
        <f t="shared" si="60"/>
        <v>2023.013P.Potyviridae_rename_sp.zip</v>
      </c>
    </row>
    <row r="2212" spans="1:4">
      <c r="A2212" t="s">
        <v>11672</v>
      </c>
      <c r="B2212" t="s">
        <v>23485</v>
      </c>
      <c r="C2212" t="s">
        <v>23486</v>
      </c>
      <c r="D2212" s="45" t="str">
        <f t="shared" si="60"/>
        <v>2023.013P.Potyviridae_rename_sp.zip</v>
      </c>
    </row>
    <row r="2213" spans="1:4">
      <c r="A2213" t="s">
        <v>11672</v>
      </c>
      <c r="B2213" t="s">
        <v>23487</v>
      </c>
      <c r="C2213" t="s">
        <v>23488</v>
      </c>
      <c r="D2213" s="45" t="str">
        <f t="shared" si="60"/>
        <v>2023.013P.Potyviridae_rename_sp.zip</v>
      </c>
    </row>
    <row r="2214" spans="1:4">
      <c r="A2214" t="s">
        <v>11672</v>
      </c>
      <c r="B2214" t="s">
        <v>23489</v>
      </c>
      <c r="C2214" t="s">
        <v>23490</v>
      </c>
      <c r="D2214" s="45" t="str">
        <f t="shared" si="60"/>
        <v>2023.013P.Potyviridae_rename_sp.zip</v>
      </c>
    </row>
    <row r="2215" spans="1:4">
      <c r="A2215" t="s">
        <v>11672</v>
      </c>
      <c r="B2215" t="s">
        <v>23491</v>
      </c>
      <c r="C2215" t="s">
        <v>23492</v>
      </c>
      <c r="D2215" s="45" t="str">
        <f t="shared" si="60"/>
        <v>2023.013P.Potyviridae_rename_sp.zip</v>
      </c>
    </row>
    <row r="2216" spans="1:4">
      <c r="A2216" t="s">
        <v>11672</v>
      </c>
      <c r="B2216" t="s">
        <v>23493</v>
      </c>
      <c r="C2216" t="s">
        <v>23494</v>
      </c>
      <c r="D2216" s="45" t="str">
        <f t="shared" si="60"/>
        <v>2023.013P.Potyviridae_rename_sp.zip</v>
      </c>
    </row>
    <row r="2217" spans="1:4">
      <c r="A2217" t="s">
        <v>11672</v>
      </c>
      <c r="B2217" t="s">
        <v>23495</v>
      </c>
      <c r="C2217" t="s">
        <v>23496</v>
      </c>
      <c r="D2217" s="45" t="str">
        <f t="shared" si="60"/>
        <v>2023.013P.Potyviridae_rename_sp.zip</v>
      </c>
    </row>
    <row r="2218" spans="1:4">
      <c r="A2218" t="s">
        <v>11672</v>
      </c>
      <c r="B2218" t="s">
        <v>23497</v>
      </c>
      <c r="C2218" t="s">
        <v>23498</v>
      </c>
      <c r="D2218" s="45" t="str">
        <f t="shared" si="60"/>
        <v>2023.013P.Potyviridae_rename_sp.zip</v>
      </c>
    </row>
    <row r="2219" spans="1:4">
      <c r="A2219" t="s">
        <v>11672</v>
      </c>
      <c r="B2219" t="s">
        <v>23499</v>
      </c>
      <c r="C2219" t="s">
        <v>23500</v>
      </c>
      <c r="D2219" s="45" t="str">
        <f t="shared" si="60"/>
        <v>2023.013P.Potyviridae_rename_sp.zip</v>
      </c>
    </row>
    <row r="2220" spans="1:4">
      <c r="A2220" t="s">
        <v>11672</v>
      </c>
      <c r="B2220" t="s">
        <v>23501</v>
      </c>
      <c r="C2220" t="s">
        <v>23502</v>
      </c>
      <c r="D2220" s="45" t="str">
        <f t="shared" si="60"/>
        <v>2023.013P.Potyviridae_rename_sp.zip</v>
      </c>
    </row>
    <row r="2221" spans="1:4">
      <c r="A2221" t="s">
        <v>11672</v>
      </c>
      <c r="B2221" t="s">
        <v>23503</v>
      </c>
      <c r="C2221" t="s">
        <v>23504</v>
      </c>
      <c r="D2221" s="45" t="str">
        <f t="shared" si="60"/>
        <v>2023.013P.Potyviridae_rename_sp.zip</v>
      </c>
    </row>
    <row r="2222" spans="1:4">
      <c r="A2222" t="s">
        <v>11672</v>
      </c>
      <c r="B2222" t="s">
        <v>23505</v>
      </c>
      <c r="C2222" t="s">
        <v>23506</v>
      </c>
      <c r="D2222" s="45" t="str">
        <f t="shared" si="60"/>
        <v>2023.013P.Potyviridae_rename_sp.zip</v>
      </c>
    </row>
    <row r="2223" spans="1:4">
      <c r="A2223" t="s">
        <v>11672</v>
      </c>
      <c r="B2223" t="s">
        <v>23507</v>
      </c>
      <c r="C2223" t="s">
        <v>23508</v>
      </c>
      <c r="D2223" s="45" t="str">
        <f t="shared" si="60"/>
        <v>2023.013P.Potyviridae_rename_sp.zip</v>
      </c>
    </row>
    <row r="2224" spans="1:4">
      <c r="A2224" t="s">
        <v>11672</v>
      </c>
      <c r="B2224" t="s">
        <v>23509</v>
      </c>
      <c r="C2224" t="s">
        <v>23510</v>
      </c>
      <c r="D2224" s="45" t="str">
        <f t="shared" si="60"/>
        <v>2023.013P.Potyviridae_rename_sp.zip</v>
      </c>
    </row>
    <row r="2225" spans="1:4">
      <c r="A2225" t="s">
        <v>11672</v>
      </c>
      <c r="B2225" t="s">
        <v>23511</v>
      </c>
      <c r="C2225" t="s">
        <v>23512</v>
      </c>
      <c r="D2225" s="45" t="str">
        <f t="shared" si="60"/>
        <v>2023.013P.Potyviridae_rename_sp.zip</v>
      </c>
    </row>
    <row r="2226" spans="1:4">
      <c r="A2226" t="s">
        <v>11672</v>
      </c>
      <c r="B2226" t="s">
        <v>23513</v>
      </c>
      <c r="C2226" t="s">
        <v>23514</v>
      </c>
      <c r="D2226" s="45" t="str">
        <f t="shared" si="60"/>
        <v>2023.013P.Potyviridae_rename_sp.zip</v>
      </c>
    </row>
    <row r="2227" spans="1:4">
      <c r="A2227" t="s">
        <v>11672</v>
      </c>
      <c r="B2227" t="s">
        <v>23515</v>
      </c>
      <c r="C2227" t="s">
        <v>23516</v>
      </c>
      <c r="D2227" s="45" t="str">
        <f t="shared" si="60"/>
        <v>2023.013P.Potyviridae_rename_sp.zip</v>
      </c>
    </row>
    <row r="2228" spans="1:4">
      <c r="A2228" t="s">
        <v>11672</v>
      </c>
      <c r="B2228" t="s">
        <v>23517</v>
      </c>
      <c r="C2228" t="s">
        <v>23518</v>
      </c>
      <c r="D2228" s="45" t="str">
        <f t="shared" si="60"/>
        <v>2023.013P.Potyviridae_rename_sp.zip</v>
      </c>
    </row>
    <row r="2229" spans="1:4">
      <c r="A2229" t="s">
        <v>11672</v>
      </c>
      <c r="B2229" t="s">
        <v>23519</v>
      </c>
      <c r="C2229" t="s">
        <v>23520</v>
      </c>
      <c r="D2229" s="45" t="str">
        <f t="shared" si="60"/>
        <v>2023.013P.Potyviridae_rename_sp.zip</v>
      </c>
    </row>
    <row r="2230" spans="1:4">
      <c r="A2230" t="s">
        <v>11672</v>
      </c>
      <c r="B2230" t="s">
        <v>23521</v>
      </c>
      <c r="C2230" t="s">
        <v>23522</v>
      </c>
      <c r="D2230" s="45" t="str">
        <f t="shared" si="60"/>
        <v>2023.013P.Potyviridae_rename_sp.zip</v>
      </c>
    </row>
    <row r="2231" spans="1:4">
      <c r="A2231" t="s">
        <v>11672</v>
      </c>
      <c r="B2231" t="s">
        <v>23523</v>
      </c>
      <c r="C2231" t="s">
        <v>23524</v>
      </c>
      <c r="D2231" s="45" t="str">
        <f t="shared" si="60"/>
        <v>2023.013P.Potyviridae_rename_sp.zip</v>
      </c>
    </row>
    <row r="2232" spans="1:4">
      <c r="A2232" t="s">
        <v>11672</v>
      </c>
      <c r="B2232" t="s">
        <v>23525</v>
      </c>
      <c r="C2232" t="s">
        <v>23526</v>
      </c>
      <c r="D2232" s="45" t="str">
        <f t="shared" si="60"/>
        <v>2023.013P.Potyviridae_rename_sp.zip</v>
      </c>
    </row>
    <row r="2233" spans="1:4">
      <c r="A2233" t="s">
        <v>11672</v>
      </c>
      <c r="B2233" t="s">
        <v>23527</v>
      </c>
      <c r="C2233" t="s">
        <v>23528</v>
      </c>
      <c r="D2233" s="45" t="str">
        <f t="shared" ref="D2233:D2254" si="61">HYPERLINK("https://ictv.global/ictv/proposals/2023.004S.Astroviridae_22sprenamed.zip","2023.004S.Astroviridae_22sprenamed.zip")</f>
        <v>2023.004S.Astroviridae_22sprenamed.zip</v>
      </c>
    </row>
    <row r="2234" spans="1:4">
      <c r="A2234" t="s">
        <v>11672</v>
      </c>
      <c r="B2234" t="s">
        <v>23529</v>
      </c>
      <c r="C2234" t="s">
        <v>23530</v>
      </c>
      <c r="D2234" s="45" t="str">
        <f t="shared" si="61"/>
        <v>2023.004S.Astroviridae_22sprenamed.zip</v>
      </c>
    </row>
    <row r="2235" spans="1:4">
      <c r="A2235" t="s">
        <v>11672</v>
      </c>
      <c r="B2235" t="s">
        <v>23531</v>
      </c>
      <c r="C2235" t="s">
        <v>23532</v>
      </c>
      <c r="D2235" s="45" t="str">
        <f t="shared" si="61"/>
        <v>2023.004S.Astroviridae_22sprenamed.zip</v>
      </c>
    </row>
    <row r="2236" spans="1:4">
      <c r="A2236" t="s">
        <v>11672</v>
      </c>
      <c r="B2236" t="s">
        <v>23533</v>
      </c>
      <c r="C2236" t="s">
        <v>23534</v>
      </c>
      <c r="D2236" s="45" t="str">
        <f t="shared" si="61"/>
        <v>2023.004S.Astroviridae_22sprenamed.zip</v>
      </c>
    </row>
    <row r="2237" spans="1:4">
      <c r="A2237" t="s">
        <v>11672</v>
      </c>
      <c r="B2237" t="s">
        <v>23535</v>
      </c>
      <c r="C2237" t="s">
        <v>23536</v>
      </c>
      <c r="D2237" s="45" t="str">
        <f t="shared" si="61"/>
        <v>2023.004S.Astroviridae_22sprenamed.zip</v>
      </c>
    </row>
    <row r="2238" spans="1:4">
      <c r="A2238" t="s">
        <v>11672</v>
      </c>
      <c r="B2238" t="s">
        <v>23537</v>
      </c>
      <c r="C2238" t="s">
        <v>23538</v>
      </c>
      <c r="D2238" s="45" t="str">
        <f t="shared" si="61"/>
        <v>2023.004S.Astroviridae_22sprenamed.zip</v>
      </c>
    </row>
    <row r="2239" spans="1:4">
      <c r="A2239" t="s">
        <v>11672</v>
      </c>
      <c r="B2239" t="s">
        <v>23539</v>
      </c>
      <c r="C2239" t="s">
        <v>23540</v>
      </c>
      <c r="D2239" s="45" t="str">
        <f t="shared" si="61"/>
        <v>2023.004S.Astroviridae_22sprenamed.zip</v>
      </c>
    </row>
    <row r="2240" spans="1:4">
      <c r="A2240" t="s">
        <v>11672</v>
      </c>
      <c r="B2240" t="s">
        <v>23541</v>
      </c>
      <c r="C2240" t="s">
        <v>23542</v>
      </c>
      <c r="D2240" s="45" t="str">
        <f t="shared" si="61"/>
        <v>2023.004S.Astroviridae_22sprenamed.zip</v>
      </c>
    </row>
    <row r="2241" spans="1:4">
      <c r="A2241" t="s">
        <v>11672</v>
      </c>
      <c r="B2241" t="s">
        <v>23543</v>
      </c>
      <c r="C2241" t="s">
        <v>23544</v>
      </c>
      <c r="D2241" s="45" t="str">
        <f t="shared" si="61"/>
        <v>2023.004S.Astroviridae_22sprenamed.zip</v>
      </c>
    </row>
    <row r="2242" spans="1:4">
      <c r="A2242" t="s">
        <v>11672</v>
      </c>
      <c r="B2242" t="s">
        <v>23545</v>
      </c>
      <c r="C2242" t="s">
        <v>23546</v>
      </c>
      <c r="D2242" s="45" t="str">
        <f t="shared" si="61"/>
        <v>2023.004S.Astroviridae_22sprenamed.zip</v>
      </c>
    </row>
    <row r="2243" spans="1:4">
      <c r="A2243" t="s">
        <v>11672</v>
      </c>
      <c r="B2243" t="s">
        <v>23547</v>
      </c>
      <c r="C2243" t="s">
        <v>23548</v>
      </c>
      <c r="D2243" s="45" t="str">
        <f t="shared" si="61"/>
        <v>2023.004S.Astroviridae_22sprenamed.zip</v>
      </c>
    </row>
    <row r="2244" spans="1:4">
      <c r="A2244" t="s">
        <v>11672</v>
      </c>
      <c r="B2244" t="s">
        <v>23549</v>
      </c>
      <c r="C2244" t="s">
        <v>23550</v>
      </c>
      <c r="D2244" s="45" t="str">
        <f t="shared" si="61"/>
        <v>2023.004S.Astroviridae_22sprenamed.zip</v>
      </c>
    </row>
    <row r="2245" spans="1:4">
      <c r="A2245" t="s">
        <v>11672</v>
      </c>
      <c r="B2245" t="s">
        <v>23551</v>
      </c>
      <c r="C2245" t="s">
        <v>23552</v>
      </c>
      <c r="D2245" s="45" t="str">
        <f t="shared" si="61"/>
        <v>2023.004S.Astroviridae_22sprenamed.zip</v>
      </c>
    </row>
    <row r="2246" spans="1:4">
      <c r="A2246" t="s">
        <v>11672</v>
      </c>
      <c r="B2246" t="s">
        <v>23553</v>
      </c>
      <c r="C2246" t="s">
        <v>23554</v>
      </c>
      <c r="D2246" s="45" t="str">
        <f t="shared" si="61"/>
        <v>2023.004S.Astroviridae_22sprenamed.zip</v>
      </c>
    </row>
    <row r="2247" spans="1:4">
      <c r="A2247" t="s">
        <v>11672</v>
      </c>
      <c r="B2247" t="s">
        <v>23555</v>
      </c>
      <c r="C2247" t="s">
        <v>23556</v>
      </c>
      <c r="D2247" s="45" t="str">
        <f t="shared" si="61"/>
        <v>2023.004S.Astroviridae_22sprenamed.zip</v>
      </c>
    </row>
    <row r="2248" spans="1:4">
      <c r="A2248" t="s">
        <v>11672</v>
      </c>
      <c r="B2248" t="s">
        <v>23557</v>
      </c>
      <c r="C2248" t="s">
        <v>23558</v>
      </c>
      <c r="D2248" s="45" t="str">
        <f t="shared" si="61"/>
        <v>2023.004S.Astroviridae_22sprenamed.zip</v>
      </c>
    </row>
    <row r="2249" spans="1:4">
      <c r="A2249" t="s">
        <v>11672</v>
      </c>
      <c r="B2249" t="s">
        <v>23559</v>
      </c>
      <c r="C2249" t="s">
        <v>23560</v>
      </c>
      <c r="D2249" s="45" t="str">
        <f t="shared" si="61"/>
        <v>2023.004S.Astroviridae_22sprenamed.zip</v>
      </c>
    </row>
    <row r="2250" spans="1:4">
      <c r="A2250" t="s">
        <v>11672</v>
      </c>
      <c r="B2250" t="s">
        <v>23561</v>
      </c>
      <c r="C2250" t="s">
        <v>23562</v>
      </c>
      <c r="D2250" s="45" t="str">
        <f t="shared" si="61"/>
        <v>2023.004S.Astroviridae_22sprenamed.zip</v>
      </c>
    </row>
    <row r="2251" spans="1:4">
      <c r="A2251" t="s">
        <v>11672</v>
      </c>
      <c r="B2251" t="s">
        <v>23563</v>
      </c>
      <c r="C2251" t="s">
        <v>23564</v>
      </c>
      <c r="D2251" s="45" t="str">
        <f t="shared" si="61"/>
        <v>2023.004S.Astroviridae_22sprenamed.zip</v>
      </c>
    </row>
    <row r="2252" spans="1:4">
      <c r="A2252" t="s">
        <v>11672</v>
      </c>
      <c r="B2252" t="s">
        <v>23565</v>
      </c>
      <c r="C2252" t="s">
        <v>23566</v>
      </c>
      <c r="D2252" s="45" t="str">
        <f t="shared" si="61"/>
        <v>2023.004S.Astroviridae_22sprenamed.zip</v>
      </c>
    </row>
    <row r="2253" spans="1:4">
      <c r="A2253" t="s">
        <v>11672</v>
      </c>
      <c r="B2253" t="s">
        <v>23567</v>
      </c>
      <c r="C2253" t="s">
        <v>23568</v>
      </c>
      <c r="D2253" s="45" t="str">
        <f t="shared" si="61"/>
        <v>2023.004S.Astroviridae_22sprenamed.zip</v>
      </c>
    </row>
    <row r="2254" spans="1:4">
      <c r="A2254" t="s">
        <v>11672</v>
      </c>
      <c r="B2254" t="s">
        <v>23569</v>
      </c>
      <c r="C2254" t="s">
        <v>23570</v>
      </c>
      <c r="D2254" s="45" t="str">
        <f t="shared" si="61"/>
        <v>2023.004S.Astroviridae_22sprenamed.zip</v>
      </c>
    </row>
    <row r="2255" spans="1:4">
      <c r="A2255" t="s">
        <v>11672</v>
      </c>
      <c r="B2255" t="s">
        <v>23571</v>
      </c>
      <c r="C2255" t="s">
        <v>23572</v>
      </c>
      <c r="D2255" s="45" t="str">
        <f>HYPERLINK("https://ictv.global/ictv/proposals/2023.005S.Tetraviridae_13sprenamed.zip","2023.005S.Tetraviridae_13sprenamed.zip")</f>
        <v>2023.005S.Tetraviridae_13sprenamed.zip</v>
      </c>
    </row>
    <row r="2256" spans="1:4">
      <c r="A2256" t="s">
        <v>11672</v>
      </c>
      <c r="B2256" t="s">
        <v>23573</v>
      </c>
      <c r="C2256" t="s">
        <v>23574</v>
      </c>
      <c r="D2256" s="45" t="str">
        <f>HYPERLINK("https://ictv.global/ictv/proposals/2023.005S.Tetraviridae_13sprenamed.zip","2023.005S.Tetraviridae_13sprenamed.zip")</f>
        <v>2023.005S.Tetraviridae_13sprenamed.zip</v>
      </c>
    </row>
    <row r="2257" spans="1:4">
      <c r="A2257" t="s">
        <v>11672</v>
      </c>
      <c r="B2257" t="s">
        <v>23575</v>
      </c>
      <c r="C2257" t="s">
        <v>23576</v>
      </c>
      <c r="D2257" s="45" t="str">
        <f t="shared" ref="D2257:D2274" si="62">HYPERLINK("https://ictv.global/ictv/proposals/2023.014D.Hepadnaviridae_19renam_9nsp.zip","2023.014D.Hepadnaviridae_19renam_9nsp.zip")</f>
        <v>2023.014D.Hepadnaviridae_19renam_9nsp.zip</v>
      </c>
    </row>
    <row r="2258" spans="1:4">
      <c r="A2258" t="s">
        <v>11672</v>
      </c>
      <c r="B2258" t="s">
        <v>23577</v>
      </c>
      <c r="C2258" t="s">
        <v>23578</v>
      </c>
      <c r="D2258" s="45" t="str">
        <f t="shared" si="62"/>
        <v>2023.014D.Hepadnaviridae_19renam_9nsp.zip</v>
      </c>
    </row>
    <row r="2259" spans="1:4">
      <c r="A2259" t="s">
        <v>11672</v>
      </c>
      <c r="B2259" t="s">
        <v>23579</v>
      </c>
      <c r="C2259" t="s">
        <v>23580</v>
      </c>
      <c r="D2259" s="45" t="str">
        <f t="shared" si="62"/>
        <v>2023.014D.Hepadnaviridae_19renam_9nsp.zip</v>
      </c>
    </row>
    <row r="2260" spans="1:4">
      <c r="A2260" t="s">
        <v>11672</v>
      </c>
      <c r="B2260" t="s">
        <v>23581</v>
      </c>
      <c r="C2260" t="s">
        <v>23582</v>
      </c>
      <c r="D2260" s="45" t="str">
        <f t="shared" si="62"/>
        <v>2023.014D.Hepadnaviridae_19renam_9nsp.zip</v>
      </c>
    </row>
    <row r="2261" spans="1:4">
      <c r="A2261" t="s">
        <v>11672</v>
      </c>
      <c r="B2261" t="s">
        <v>23583</v>
      </c>
      <c r="C2261" t="s">
        <v>23584</v>
      </c>
      <c r="D2261" s="45" t="str">
        <f t="shared" si="62"/>
        <v>2023.014D.Hepadnaviridae_19renam_9nsp.zip</v>
      </c>
    </row>
    <row r="2262" spans="1:4">
      <c r="A2262" t="s">
        <v>11672</v>
      </c>
      <c r="B2262" t="s">
        <v>23585</v>
      </c>
      <c r="C2262" t="s">
        <v>23586</v>
      </c>
      <c r="D2262" s="45" t="str">
        <f t="shared" si="62"/>
        <v>2023.014D.Hepadnaviridae_19renam_9nsp.zip</v>
      </c>
    </row>
    <row r="2263" spans="1:4">
      <c r="A2263" t="s">
        <v>11672</v>
      </c>
      <c r="B2263" t="s">
        <v>23587</v>
      </c>
      <c r="C2263" t="s">
        <v>23588</v>
      </c>
      <c r="D2263" s="45" t="str">
        <f t="shared" si="62"/>
        <v>2023.014D.Hepadnaviridae_19renam_9nsp.zip</v>
      </c>
    </row>
    <row r="2264" spans="1:4">
      <c r="A2264" t="s">
        <v>11672</v>
      </c>
      <c r="B2264" t="s">
        <v>23589</v>
      </c>
      <c r="C2264" t="s">
        <v>23590</v>
      </c>
      <c r="D2264" s="45" t="str">
        <f t="shared" si="62"/>
        <v>2023.014D.Hepadnaviridae_19renam_9nsp.zip</v>
      </c>
    </row>
    <row r="2265" spans="1:4">
      <c r="A2265" t="s">
        <v>11672</v>
      </c>
      <c r="B2265" t="s">
        <v>23591</v>
      </c>
      <c r="C2265" t="s">
        <v>23592</v>
      </c>
      <c r="D2265" s="45" t="str">
        <f t="shared" si="62"/>
        <v>2023.014D.Hepadnaviridae_19renam_9nsp.zip</v>
      </c>
    </row>
    <row r="2266" spans="1:4">
      <c r="A2266" t="s">
        <v>11672</v>
      </c>
      <c r="B2266" t="s">
        <v>23593</v>
      </c>
      <c r="C2266" t="s">
        <v>23594</v>
      </c>
      <c r="D2266" s="45" t="str">
        <f t="shared" si="62"/>
        <v>2023.014D.Hepadnaviridae_19renam_9nsp.zip</v>
      </c>
    </row>
    <row r="2267" spans="1:4">
      <c r="A2267" t="s">
        <v>11672</v>
      </c>
      <c r="B2267" t="s">
        <v>23595</v>
      </c>
      <c r="C2267" t="s">
        <v>23596</v>
      </c>
      <c r="D2267" s="45" t="str">
        <f t="shared" si="62"/>
        <v>2023.014D.Hepadnaviridae_19renam_9nsp.zip</v>
      </c>
    </row>
    <row r="2268" spans="1:4">
      <c r="A2268" t="s">
        <v>11672</v>
      </c>
      <c r="B2268" t="s">
        <v>23597</v>
      </c>
      <c r="C2268" t="s">
        <v>23598</v>
      </c>
      <c r="D2268" s="45" t="str">
        <f t="shared" si="62"/>
        <v>2023.014D.Hepadnaviridae_19renam_9nsp.zip</v>
      </c>
    </row>
    <row r="2269" spans="1:4">
      <c r="A2269" t="s">
        <v>11672</v>
      </c>
      <c r="B2269" t="s">
        <v>23599</v>
      </c>
      <c r="C2269" t="s">
        <v>23600</v>
      </c>
      <c r="D2269" s="45" t="str">
        <f t="shared" si="62"/>
        <v>2023.014D.Hepadnaviridae_19renam_9nsp.zip</v>
      </c>
    </row>
    <row r="2270" spans="1:4">
      <c r="A2270" t="s">
        <v>11672</v>
      </c>
      <c r="B2270" t="s">
        <v>23601</v>
      </c>
      <c r="C2270" t="s">
        <v>23602</v>
      </c>
      <c r="D2270" s="45" t="str">
        <f t="shared" si="62"/>
        <v>2023.014D.Hepadnaviridae_19renam_9nsp.zip</v>
      </c>
    </row>
    <row r="2271" spans="1:4">
      <c r="A2271" t="s">
        <v>11672</v>
      </c>
      <c r="B2271" t="s">
        <v>23603</v>
      </c>
      <c r="C2271" t="s">
        <v>23604</v>
      </c>
      <c r="D2271" s="45" t="str">
        <f t="shared" si="62"/>
        <v>2023.014D.Hepadnaviridae_19renam_9nsp.zip</v>
      </c>
    </row>
    <row r="2272" spans="1:4">
      <c r="A2272" t="s">
        <v>11672</v>
      </c>
      <c r="B2272" t="s">
        <v>23605</v>
      </c>
      <c r="C2272" t="s">
        <v>23606</v>
      </c>
      <c r="D2272" s="45" t="str">
        <f t="shared" si="62"/>
        <v>2023.014D.Hepadnaviridae_19renam_9nsp.zip</v>
      </c>
    </row>
    <row r="2273" spans="1:4">
      <c r="A2273" t="s">
        <v>11672</v>
      </c>
      <c r="B2273" t="s">
        <v>23607</v>
      </c>
      <c r="C2273" t="s">
        <v>23608</v>
      </c>
      <c r="D2273" s="45" t="str">
        <f t="shared" si="62"/>
        <v>2023.014D.Hepadnaviridae_19renam_9nsp.zip</v>
      </c>
    </row>
    <row r="2274" spans="1:4">
      <c r="A2274" t="s">
        <v>11672</v>
      </c>
      <c r="B2274" t="s">
        <v>23609</v>
      </c>
      <c r="C2274" t="s">
        <v>23610</v>
      </c>
      <c r="D2274" s="45" t="str">
        <f t="shared" si="62"/>
        <v>2023.014D.Hepadnaviridae_19renam_9nsp.zip</v>
      </c>
    </row>
    <row r="2275" spans="1:4">
      <c r="A2275" t="s">
        <v>11672</v>
      </c>
      <c r="B2275" t="s">
        <v>23611</v>
      </c>
      <c r="C2275" t="s">
        <v>23612</v>
      </c>
      <c r="D2275" s="45" t="str">
        <f t="shared" ref="D2275:D2306" si="63">HYPERLINK("https://ictv.global/ictv/proposals/2023.033P.Pseudoviridae_Metaviridae_rename_sp.zip","2023.033P.Pseudoviridae_Metaviridae_rename_sp.zip")</f>
        <v>2023.033P.Pseudoviridae_Metaviridae_rename_sp.zip</v>
      </c>
    </row>
    <row r="2276" spans="1:4">
      <c r="A2276" t="s">
        <v>11672</v>
      </c>
      <c r="B2276" t="s">
        <v>23613</v>
      </c>
      <c r="C2276" t="s">
        <v>23614</v>
      </c>
      <c r="D2276" s="45" t="str">
        <f t="shared" si="63"/>
        <v>2023.033P.Pseudoviridae_Metaviridae_rename_sp.zip</v>
      </c>
    </row>
    <row r="2277" spans="1:4">
      <c r="A2277" t="s">
        <v>11672</v>
      </c>
      <c r="B2277" t="s">
        <v>23615</v>
      </c>
      <c r="C2277" t="s">
        <v>23616</v>
      </c>
      <c r="D2277" s="45" t="str">
        <f t="shared" si="63"/>
        <v>2023.033P.Pseudoviridae_Metaviridae_rename_sp.zip</v>
      </c>
    </row>
    <row r="2278" spans="1:4">
      <c r="A2278" t="s">
        <v>11672</v>
      </c>
      <c r="B2278" t="s">
        <v>23617</v>
      </c>
      <c r="C2278" t="s">
        <v>23618</v>
      </c>
      <c r="D2278" s="45" t="str">
        <f t="shared" si="63"/>
        <v>2023.033P.Pseudoviridae_Metaviridae_rename_sp.zip</v>
      </c>
    </row>
    <row r="2279" spans="1:4">
      <c r="A2279" t="s">
        <v>11672</v>
      </c>
      <c r="B2279" t="s">
        <v>23619</v>
      </c>
      <c r="C2279" t="s">
        <v>23620</v>
      </c>
      <c r="D2279" s="45" t="str">
        <f t="shared" si="63"/>
        <v>2023.033P.Pseudoviridae_Metaviridae_rename_sp.zip</v>
      </c>
    </row>
    <row r="2280" spans="1:4">
      <c r="A2280" t="s">
        <v>11672</v>
      </c>
      <c r="B2280" t="s">
        <v>23621</v>
      </c>
      <c r="C2280" t="s">
        <v>23622</v>
      </c>
      <c r="D2280" s="45" t="str">
        <f t="shared" si="63"/>
        <v>2023.033P.Pseudoviridae_Metaviridae_rename_sp.zip</v>
      </c>
    </row>
    <row r="2281" spans="1:4">
      <c r="A2281" t="s">
        <v>11672</v>
      </c>
      <c r="B2281" t="s">
        <v>23623</v>
      </c>
      <c r="C2281" t="s">
        <v>23624</v>
      </c>
      <c r="D2281" s="45" t="str">
        <f t="shared" si="63"/>
        <v>2023.033P.Pseudoviridae_Metaviridae_rename_sp.zip</v>
      </c>
    </row>
    <row r="2282" spans="1:4">
      <c r="A2282" t="s">
        <v>11672</v>
      </c>
      <c r="B2282" t="s">
        <v>23625</v>
      </c>
      <c r="C2282" t="s">
        <v>23626</v>
      </c>
      <c r="D2282" s="45" t="str">
        <f t="shared" si="63"/>
        <v>2023.033P.Pseudoviridae_Metaviridae_rename_sp.zip</v>
      </c>
    </row>
    <row r="2283" spans="1:4">
      <c r="A2283" t="s">
        <v>11672</v>
      </c>
      <c r="B2283" t="s">
        <v>23627</v>
      </c>
      <c r="C2283" t="s">
        <v>23628</v>
      </c>
      <c r="D2283" s="45" t="str">
        <f t="shared" si="63"/>
        <v>2023.033P.Pseudoviridae_Metaviridae_rename_sp.zip</v>
      </c>
    </row>
    <row r="2284" spans="1:4">
      <c r="A2284" t="s">
        <v>11672</v>
      </c>
      <c r="B2284" t="s">
        <v>23629</v>
      </c>
      <c r="C2284" t="s">
        <v>23630</v>
      </c>
      <c r="D2284" s="45" t="str">
        <f t="shared" si="63"/>
        <v>2023.033P.Pseudoviridae_Metaviridae_rename_sp.zip</v>
      </c>
    </row>
    <row r="2285" spans="1:4">
      <c r="A2285" t="s">
        <v>11672</v>
      </c>
      <c r="B2285" t="s">
        <v>23631</v>
      </c>
      <c r="C2285" t="s">
        <v>23632</v>
      </c>
      <c r="D2285" s="45" t="str">
        <f t="shared" si="63"/>
        <v>2023.033P.Pseudoviridae_Metaviridae_rename_sp.zip</v>
      </c>
    </row>
    <row r="2286" spans="1:4">
      <c r="A2286" t="s">
        <v>11672</v>
      </c>
      <c r="B2286" t="s">
        <v>23633</v>
      </c>
      <c r="C2286" t="s">
        <v>23634</v>
      </c>
      <c r="D2286" s="45" t="str">
        <f t="shared" si="63"/>
        <v>2023.033P.Pseudoviridae_Metaviridae_rename_sp.zip</v>
      </c>
    </row>
    <row r="2287" spans="1:4">
      <c r="A2287" t="s">
        <v>11672</v>
      </c>
      <c r="B2287" t="s">
        <v>23635</v>
      </c>
      <c r="C2287" t="s">
        <v>23636</v>
      </c>
      <c r="D2287" s="45" t="str">
        <f t="shared" si="63"/>
        <v>2023.033P.Pseudoviridae_Metaviridae_rename_sp.zip</v>
      </c>
    </row>
    <row r="2288" spans="1:4">
      <c r="A2288" t="s">
        <v>11672</v>
      </c>
      <c r="B2288" t="s">
        <v>23637</v>
      </c>
      <c r="C2288" t="s">
        <v>23638</v>
      </c>
      <c r="D2288" s="45" t="str">
        <f t="shared" si="63"/>
        <v>2023.033P.Pseudoviridae_Metaviridae_rename_sp.zip</v>
      </c>
    </row>
    <row r="2289" spans="1:4">
      <c r="A2289" t="s">
        <v>11672</v>
      </c>
      <c r="B2289" t="s">
        <v>23639</v>
      </c>
      <c r="C2289" t="s">
        <v>23640</v>
      </c>
      <c r="D2289" s="45" t="str">
        <f t="shared" si="63"/>
        <v>2023.033P.Pseudoviridae_Metaviridae_rename_sp.zip</v>
      </c>
    </row>
    <row r="2290" spans="1:4">
      <c r="A2290" t="s">
        <v>11672</v>
      </c>
      <c r="B2290" t="s">
        <v>23641</v>
      </c>
      <c r="C2290" t="s">
        <v>23642</v>
      </c>
      <c r="D2290" s="45" t="str">
        <f t="shared" si="63"/>
        <v>2023.033P.Pseudoviridae_Metaviridae_rename_sp.zip</v>
      </c>
    </row>
    <row r="2291" spans="1:4">
      <c r="A2291" t="s">
        <v>11672</v>
      </c>
      <c r="B2291" t="s">
        <v>23643</v>
      </c>
      <c r="C2291" t="s">
        <v>23644</v>
      </c>
      <c r="D2291" s="45" t="str">
        <f t="shared" si="63"/>
        <v>2023.033P.Pseudoviridae_Metaviridae_rename_sp.zip</v>
      </c>
    </row>
    <row r="2292" spans="1:4">
      <c r="A2292" t="s">
        <v>11672</v>
      </c>
      <c r="B2292" t="s">
        <v>23645</v>
      </c>
      <c r="C2292" t="s">
        <v>23646</v>
      </c>
      <c r="D2292" s="45" t="str">
        <f t="shared" si="63"/>
        <v>2023.033P.Pseudoviridae_Metaviridae_rename_sp.zip</v>
      </c>
    </row>
    <row r="2293" spans="1:4">
      <c r="A2293" t="s">
        <v>11672</v>
      </c>
      <c r="B2293" t="s">
        <v>23647</v>
      </c>
      <c r="C2293" t="s">
        <v>23648</v>
      </c>
      <c r="D2293" s="45" t="str">
        <f t="shared" si="63"/>
        <v>2023.033P.Pseudoviridae_Metaviridae_rename_sp.zip</v>
      </c>
    </row>
    <row r="2294" spans="1:4">
      <c r="A2294" t="s">
        <v>11672</v>
      </c>
      <c r="B2294" t="s">
        <v>23649</v>
      </c>
      <c r="C2294" t="s">
        <v>23650</v>
      </c>
      <c r="D2294" s="45" t="str">
        <f t="shared" si="63"/>
        <v>2023.033P.Pseudoviridae_Metaviridae_rename_sp.zip</v>
      </c>
    </row>
    <row r="2295" spans="1:4">
      <c r="A2295" t="s">
        <v>11672</v>
      </c>
      <c r="B2295" t="s">
        <v>23651</v>
      </c>
      <c r="C2295" t="s">
        <v>23652</v>
      </c>
      <c r="D2295" s="45" t="str">
        <f t="shared" si="63"/>
        <v>2023.033P.Pseudoviridae_Metaviridae_rename_sp.zip</v>
      </c>
    </row>
    <row r="2296" spans="1:4">
      <c r="A2296" t="s">
        <v>11672</v>
      </c>
      <c r="B2296" t="s">
        <v>23653</v>
      </c>
      <c r="C2296" t="s">
        <v>23654</v>
      </c>
      <c r="D2296" s="45" t="str">
        <f t="shared" si="63"/>
        <v>2023.033P.Pseudoviridae_Metaviridae_rename_sp.zip</v>
      </c>
    </row>
    <row r="2297" spans="1:4">
      <c r="A2297" t="s">
        <v>11672</v>
      </c>
      <c r="B2297" t="s">
        <v>23655</v>
      </c>
      <c r="C2297" t="s">
        <v>23656</v>
      </c>
      <c r="D2297" s="45" t="str">
        <f t="shared" si="63"/>
        <v>2023.033P.Pseudoviridae_Metaviridae_rename_sp.zip</v>
      </c>
    </row>
    <row r="2298" spans="1:4">
      <c r="A2298" t="s">
        <v>11672</v>
      </c>
      <c r="B2298" t="s">
        <v>23657</v>
      </c>
      <c r="C2298" t="s">
        <v>23658</v>
      </c>
      <c r="D2298" s="45" t="str">
        <f t="shared" si="63"/>
        <v>2023.033P.Pseudoviridae_Metaviridae_rename_sp.zip</v>
      </c>
    </row>
    <row r="2299" spans="1:4">
      <c r="A2299" t="s">
        <v>11672</v>
      </c>
      <c r="B2299" t="s">
        <v>23659</v>
      </c>
      <c r="C2299" t="s">
        <v>23660</v>
      </c>
      <c r="D2299" s="45" t="str">
        <f t="shared" si="63"/>
        <v>2023.033P.Pseudoviridae_Metaviridae_rename_sp.zip</v>
      </c>
    </row>
    <row r="2300" spans="1:4">
      <c r="A2300" t="s">
        <v>11672</v>
      </c>
      <c r="B2300" t="s">
        <v>23661</v>
      </c>
      <c r="C2300" t="s">
        <v>23662</v>
      </c>
      <c r="D2300" s="45" t="str">
        <f t="shared" si="63"/>
        <v>2023.033P.Pseudoviridae_Metaviridae_rename_sp.zip</v>
      </c>
    </row>
    <row r="2301" spans="1:4">
      <c r="A2301" t="s">
        <v>11672</v>
      </c>
      <c r="B2301" t="s">
        <v>23663</v>
      </c>
      <c r="C2301" t="s">
        <v>23664</v>
      </c>
      <c r="D2301" s="45" t="str">
        <f t="shared" si="63"/>
        <v>2023.033P.Pseudoviridae_Metaviridae_rename_sp.zip</v>
      </c>
    </row>
    <row r="2302" spans="1:4">
      <c r="A2302" t="s">
        <v>11672</v>
      </c>
      <c r="B2302" t="s">
        <v>23665</v>
      </c>
      <c r="C2302" t="s">
        <v>23666</v>
      </c>
      <c r="D2302" s="45" t="str">
        <f t="shared" si="63"/>
        <v>2023.033P.Pseudoviridae_Metaviridae_rename_sp.zip</v>
      </c>
    </row>
    <row r="2303" spans="1:4">
      <c r="A2303" t="s">
        <v>11672</v>
      </c>
      <c r="B2303" t="s">
        <v>23667</v>
      </c>
      <c r="C2303" t="s">
        <v>23668</v>
      </c>
      <c r="D2303" s="45" t="str">
        <f t="shared" si="63"/>
        <v>2023.033P.Pseudoviridae_Metaviridae_rename_sp.zip</v>
      </c>
    </row>
    <row r="2304" spans="1:4">
      <c r="A2304" t="s">
        <v>11672</v>
      </c>
      <c r="B2304" t="s">
        <v>23669</v>
      </c>
      <c r="C2304" t="s">
        <v>23670</v>
      </c>
      <c r="D2304" s="45" t="str">
        <f t="shared" si="63"/>
        <v>2023.033P.Pseudoviridae_Metaviridae_rename_sp.zip</v>
      </c>
    </row>
    <row r="2305" spans="1:4">
      <c r="A2305" t="s">
        <v>11672</v>
      </c>
      <c r="B2305" t="s">
        <v>23671</v>
      </c>
      <c r="C2305" t="s">
        <v>23672</v>
      </c>
      <c r="D2305" s="45" t="str">
        <f t="shared" si="63"/>
        <v>2023.033P.Pseudoviridae_Metaviridae_rename_sp.zip</v>
      </c>
    </row>
    <row r="2306" spans="1:4">
      <c r="A2306" t="s">
        <v>11672</v>
      </c>
      <c r="B2306" t="s">
        <v>23673</v>
      </c>
      <c r="C2306" t="s">
        <v>23674</v>
      </c>
      <c r="D2306" s="45" t="str">
        <f t="shared" si="63"/>
        <v>2023.033P.Pseudoviridae_Metaviridae_rename_sp.zip</v>
      </c>
    </row>
    <row r="2307" spans="1:4">
      <c r="A2307" t="s">
        <v>11672</v>
      </c>
      <c r="B2307" t="s">
        <v>23675</v>
      </c>
      <c r="C2307" t="s">
        <v>23676</v>
      </c>
      <c r="D2307" s="45" t="str">
        <f t="shared" ref="D2307:D2338" si="64">HYPERLINK("https://ictv.global/ictv/proposals/2023.033P.Pseudoviridae_Metaviridae_rename_sp.zip","2023.033P.Pseudoviridae_Metaviridae_rename_sp.zip")</f>
        <v>2023.033P.Pseudoviridae_Metaviridae_rename_sp.zip</v>
      </c>
    </row>
    <row r="2308" spans="1:4">
      <c r="A2308" t="s">
        <v>11672</v>
      </c>
      <c r="B2308" t="s">
        <v>23677</v>
      </c>
      <c r="C2308" t="s">
        <v>23678</v>
      </c>
      <c r="D2308" s="45" t="str">
        <f t="shared" si="64"/>
        <v>2023.033P.Pseudoviridae_Metaviridae_rename_sp.zip</v>
      </c>
    </row>
    <row r="2309" spans="1:4">
      <c r="A2309" t="s">
        <v>11672</v>
      </c>
      <c r="B2309" t="s">
        <v>23679</v>
      </c>
      <c r="C2309" t="s">
        <v>23680</v>
      </c>
      <c r="D2309" s="45" t="str">
        <f t="shared" si="64"/>
        <v>2023.033P.Pseudoviridae_Metaviridae_rename_sp.zip</v>
      </c>
    </row>
    <row r="2310" spans="1:4">
      <c r="A2310" t="s">
        <v>11672</v>
      </c>
      <c r="B2310" t="s">
        <v>23681</v>
      </c>
      <c r="C2310" t="s">
        <v>23682</v>
      </c>
      <c r="D2310" s="45" t="str">
        <f t="shared" si="64"/>
        <v>2023.033P.Pseudoviridae_Metaviridae_rename_sp.zip</v>
      </c>
    </row>
    <row r="2311" spans="1:4">
      <c r="A2311" t="s">
        <v>11672</v>
      </c>
      <c r="B2311" t="s">
        <v>23683</v>
      </c>
      <c r="C2311" t="s">
        <v>23684</v>
      </c>
      <c r="D2311" s="45" t="str">
        <f t="shared" si="64"/>
        <v>2023.033P.Pseudoviridae_Metaviridae_rename_sp.zip</v>
      </c>
    </row>
    <row r="2312" spans="1:4">
      <c r="A2312" t="s">
        <v>11672</v>
      </c>
      <c r="B2312" t="s">
        <v>23685</v>
      </c>
      <c r="C2312" t="s">
        <v>23686</v>
      </c>
      <c r="D2312" s="45" t="str">
        <f t="shared" si="64"/>
        <v>2023.033P.Pseudoviridae_Metaviridae_rename_sp.zip</v>
      </c>
    </row>
    <row r="2313" spans="1:4">
      <c r="A2313" t="s">
        <v>11672</v>
      </c>
      <c r="B2313" t="s">
        <v>23687</v>
      </c>
      <c r="C2313" t="s">
        <v>23688</v>
      </c>
      <c r="D2313" s="45" t="str">
        <f t="shared" si="64"/>
        <v>2023.033P.Pseudoviridae_Metaviridae_rename_sp.zip</v>
      </c>
    </row>
    <row r="2314" spans="1:4">
      <c r="A2314" t="s">
        <v>11672</v>
      </c>
      <c r="B2314" t="s">
        <v>23689</v>
      </c>
      <c r="C2314" t="s">
        <v>23690</v>
      </c>
      <c r="D2314" s="45" t="str">
        <f t="shared" si="64"/>
        <v>2023.033P.Pseudoviridae_Metaviridae_rename_sp.zip</v>
      </c>
    </row>
    <row r="2315" spans="1:4">
      <c r="A2315" t="s">
        <v>11672</v>
      </c>
      <c r="B2315" t="s">
        <v>23691</v>
      </c>
      <c r="C2315" t="s">
        <v>23692</v>
      </c>
      <c r="D2315" s="45" t="str">
        <f t="shared" si="64"/>
        <v>2023.033P.Pseudoviridae_Metaviridae_rename_sp.zip</v>
      </c>
    </row>
    <row r="2316" spans="1:4">
      <c r="A2316" t="s">
        <v>11672</v>
      </c>
      <c r="B2316" t="s">
        <v>23693</v>
      </c>
      <c r="C2316" t="s">
        <v>23694</v>
      </c>
      <c r="D2316" s="45" t="str">
        <f t="shared" si="64"/>
        <v>2023.033P.Pseudoviridae_Metaviridae_rename_sp.zip</v>
      </c>
    </row>
    <row r="2317" spans="1:4">
      <c r="A2317" t="s">
        <v>11672</v>
      </c>
      <c r="B2317" t="s">
        <v>23695</v>
      </c>
      <c r="C2317" t="s">
        <v>23696</v>
      </c>
      <c r="D2317" s="45" t="str">
        <f t="shared" si="64"/>
        <v>2023.033P.Pseudoviridae_Metaviridae_rename_sp.zip</v>
      </c>
    </row>
    <row r="2318" spans="1:4">
      <c r="A2318" t="s">
        <v>11672</v>
      </c>
      <c r="B2318" t="s">
        <v>23697</v>
      </c>
      <c r="C2318" t="s">
        <v>23698</v>
      </c>
      <c r="D2318" s="45" t="str">
        <f t="shared" si="64"/>
        <v>2023.033P.Pseudoviridae_Metaviridae_rename_sp.zip</v>
      </c>
    </row>
    <row r="2319" spans="1:4">
      <c r="A2319" t="s">
        <v>11672</v>
      </c>
      <c r="B2319" t="s">
        <v>23699</v>
      </c>
      <c r="C2319" t="s">
        <v>23700</v>
      </c>
      <c r="D2319" s="45" t="str">
        <f t="shared" si="64"/>
        <v>2023.033P.Pseudoviridae_Metaviridae_rename_sp.zip</v>
      </c>
    </row>
    <row r="2320" spans="1:4">
      <c r="A2320" t="s">
        <v>11672</v>
      </c>
      <c r="B2320" t="s">
        <v>23701</v>
      </c>
      <c r="C2320" t="s">
        <v>23702</v>
      </c>
      <c r="D2320" s="45" t="str">
        <f t="shared" si="64"/>
        <v>2023.033P.Pseudoviridae_Metaviridae_rename_sp.zip</v>
      </c>
    </row>
    <row r="2321" spans="1:4">
      <c r="A2321" t="s">
        <v>11672</v>
      </c>
      <c r="B2321" t="s">
        <v>23703</v>
      </c>
      <c r="C2321" t="s">
        <v>23704</v>
      </c>
      <c r="D2321" s="45" t="str">
        <f t="shared" si="64"/>
        <v>2023.033P.Pseudoviridae_Metaviridae_rename_sp.zip</v>
      </c>
    </row>
    <row r="2322" spans="1:4">
      <c r="A2322" t="s">
        <v>11672</v>
      </c>
      <c r="B2322" t="s">
        <v>23705</v>
      </c>
      <c r="C2322" t="s">
        <v>23706</v>
      </c>
      <c r="D2322" s="45" t="str">
        <f t="shared" si="64"/>
        <v>2023.033P.Pseudoviridae_Metaviridae_rename_sp.zip</v>
      </c>
    </row>
    <row r="2323" spans="1:4">
      <c r="A2323" t="s">
        <v>11672</v>
      </c>
      <c r="B2323" t="s">
        <v>23707</v>
      </c>
      <c r="C2323" t="s">
        <v>23708</v>
      </c>
      <c r="D2323" s="45" t="str">
        <f t="shared" si="64"/>
        <v>2023.033P.Pseudoviridae_Metaviridae_rename_sp.zip</v>
      </c>
    </row>
    <row r="2324" spans="1:4">
      <c r="A2324" t="s">
        <v>11672</v>
      </c>
      <c r="B2324" t="s">
        <v>23709</v>
      </c>
      <c r="C2324" t="s">
        <v>23710</v>
      </c>
      <c r="D2324" s="45" t="str">
        <f t="shared" si="64"/>
        <v>2023.033P.Pseudoviridae_Metaviridae_rename_sp.zip</v>
      </c>
    </row>
    <row r="2325" spans="1:4">
      <c r="A2325" t="s">
        <v>11672</v>
      </c>
      <c r="B2325" t="s">
        <v>23711</v>
      </c>
      <c r="C2325" t="s">
        <v>23712</v>
      </c>
      <c r="D2325" s="45" t="str">
        <f t="shared" si="64"/>
        <v>2023.033P.Pseudoviridae_Metaviridae_rename_sp.zip</v>
      </c>
    </row>
    <row r="2326" spans="1:4">
      <c r="A2326" t="s">
        <v>11672</v>
      </c>
      <c r="B2326" t="s">
        <v>23713</v>
      </c>
      <c r="C2326" t="s">
        <v>23714</v>
      </c>
      <c r="D2326" s="45" t="str">
        <f t="shared" si="64"/>
        <v>2023.033P.Pseudoviridae_Metaviridae_rename_sp.zip</v>
      </c>
    </row>
    <row r="2327" spans="1:4">
      <c r="A2327" t="s">
        <v>11672</v>
      </c>
      <c r="B2327" t="s">
        <v>23715</v>
      </c>
      <c r="C2327" t="s">
        <v>23716</v>
      </c>
      <c r="D2327" s="45" t="str">
        <f t="shared" si="64"/>
        <v>2023.033P.Pseudoviridae_Metaviridae_rename_sp.zip</v>
      </c>
    </row>
    <row r="2328" spans="1:4">
      <c r="A2328" t="s">
        <v>11672</v>
      </c>
      <c r="B2328" t="s">
        <v>23717</v>
      </c>
      <c r="C2328" t="s">
        <v>23718</v>
      </c>
      <c r="D2328" s="45" t="str">
        <f t="shared" si="64"/>
        <v>2023.033P.Pseudoviridae_Metaviridae_rename_sp.zip</v>
      </c>
    </row>
    <row r="2329" spans="1:4">
      <c r="A2329" t="s">
        <v>11672</v>
      </c>
      <c r="B2329" t="s">
        <v>23719</v>
      </c>
      <c r="C2329" t="s">
        <v>23720</v>
      </c>
      <c r="D2329" s="45" t="str">
        <f t="shared" si="64"/>
        <v>2023.033P.Pseudoviridae_Metaviridae_rename_sp.zip</v>
      </c>
    </row>
    <row r="2330" spans="1:4">
      <c r="A2330" t="s">
        <v>11672</v>
      </c>
      <c r="B2330" t="s">
        <v>23721</v>
      </c>
      <c r="C2330" t="s">
        <v>23722</v>
      </c>
      <c r="D2330" s="45" t="str">
        <f t="shared" si="64"/>
        <v>2023.033P.Pseudoviridae_Metaviridae_rename_sp.zip</v>
      </c>
    </row>
    <row r="2331" spans="1:4">
      <c r="A2331" t="s">
        <v>11672</v>
      </c>
      <c r="B2331" t="s">
        <v>23723</v>
      </c>
      <c r="C2331" t="s">
        <v>23724</v>
      </c>
      <c r="D2331" s="45" t="str">
        <f t="shared" si="64"/>
        <v>2023.033P.Pseudoviridae_Metaviridae_rename_sp.zip</v>
      </c>
    </row>
    <row r="2332" spans="1:4">
      <c r="A2332" t="s">
        <v>11672</v>
      </c>
      <c r="B2332" t="s">
        <v>23725</v>
      </c>
      <c r="C2332" t="s">
        <v>23726</v>
      </c>
      <c r="D2332" s="45" t="str">
        <f t="shared" si="64"/>
        <v>2023.033P.Pseudoviridae_Metaviridae_rename_sp.zip</v>
      </c>
    </row>
    <row r="2333" spans="1:4">
      <c r="A2333" t="s">
        <v>11672</v>
      </c>
      <c r="B2333" t="s">
        <v>23727</v>
      </c>
      <c r="C2333" t="s">
        <v>23728</v>
      </c>
      <c r="D2333" s="45" t="str">
        <f t="shared" si="64"/>
        <v>2023.033P.Pseudoviridae_Metaviridae_rename_sp.zip</v>
      </c>
    </row>
    <row r="2334" spans="1:4">
      <c r="A2334" t="s">
        <v>11672</v>
      </c>
      <c r="B2334" t="s">
        <v>23729</v>
      </c>
      <c r="C2334" t="s">
        <v>23730</v>
      </c>
      <c r="D2334" s="45" t="str">
        <f t="shared" si="64"/>
        <v>2023.033P.Pseudoviridae_Metaviridae_rename_sp.zip</v>
      </c>
    </row>
    <row r="2335" spans="1:4">
      <c r="A2335" t="s">
        <v>11672</v>
      </c>
      <c r="B2335" t="s">
        <v>23731</v>
      </c>
      <c r="C2335" t="s">
        <v>23732</v>
      </c>
      <c r="D2335" s="45" t="str">
        <f t="shared" si="64"/>
        <v>2023.033P.Pseudoviridae_Metaviridae_rename_sp.zip</v>
      </c>
    </row>
    <row r="2336" spans="1:4">
      <c r="A2336" t="s">
        <v>11672</v>
      </c>
      <c r="B2336" t="s">
        <v>23733</v>
      </c>
      <c r="C2336" t="s">
        <v>23734</v>
      </c>
      <c r="D2336" s="45" t="str">
        <f t="shared" si="64"/>
        <v>2023.033P.Pseudoviridae_Metaviridae_rename_sp.zip</v>
      </c>
    </row>
    <row r="2337" spans="1:4">
      <c r="A2337" t="s">
        <v>11672</v>
      </c>
      <c r="B2337" t="s">
        <v>23735</v>
      </c>
      <c r="C2337" t="s">
        <v>23736</v>
      </c>
      <c r="D2337" s="45" t="str">
        <f t="shared" si="64"/>
        <v>2023.033P.Pseudoviridae_Metaviridae_rename_sp.zip</v>
      </c>
    </row>
    <row r="2338" spans="1:4">
      <c r="A2338" t="s">
        <v>11672</v>
      </c>
      <c r="B2338" t="s">
        <v>23737</v>
      </c>
      <c r="C2338" t="s">
        <v>23738</v>
      </c>
      <c r="D2338" s="45" t="str">
        <f t="shared" si="64"/>
        <v>2023.033P.Pseudoviridae_Metaviridae_rename_sp.zip</v>
      </c>
    </row>
    <row r="2339" spans="1:4">
      <c r="A2339" t="s">
        <v>11672</v>
      </c>
      <c r="B2339" t="s">
        <v>23739</v>
      </c>
      <c r="C2339" t="s">
        <v>23740</v>
      </c>
      <c r="D2339" s="45" t="str">
        <f t="shared" ref="D2339:D2370" si="65">HYPERLINK("https://ictv.global/ictv/proposals/2023.009D.Retroviridae_68rensp.zip","2023.009D.Retroviridae_68rensp.zip")</f>
        <v>2023.009D.Retroviridae_68rensp.zip</v>
      </c>
    </row>
    <row r="2340" spans="1:4">
      <c r="A2340" t="s">
        <v>11672</v>
      </c>
      <c r="B2340" t="s">
        <v>23741</v>
      </c>
      <c r="C2340" t="s">
        <v>23742</v>
      </c>
      <c r="D2340" s="45" t="str">
        <f t="shared" si="65"/>
        <v>2023.009D.Retroviridae_68rensp.zip</v>
      </c>
    </row>
    <row r="2341" spans="1:4">
      <c r="A2341" t="s">
        <v>11672</v>
      </c>
      <c r="B2341" t="s">
        <v>23743</v>
      </c>
      <c r="C2341" t="s">
        <v>23744</v>
      </c>
      <c r="D2341" s="45" t="str">
        <f t="shared" si="65"/>
        <v>2023.009D.Retroviridae_68rensp.zip</v>
      </c>
    </row>
    <row r="2342" spans="1:4">
      <c r="A2342" t="s">
        <v>11672</v>
      </c>
      <c r="B2342" t="s">
        <v>23745</v>
      </c>
      <c r="C2342" t="s">
        <v>23746</v>
      </c>
      <c r="D2342" s="45" t="str">
        <f t="shared" si="65"/>
        <v>2023.009D.Retroviridae_68rensp.zip</v>
      </c>
    </row>
    <row r="2343" spans="1:4">
      <c r="A2343" t="s">
        <v>11672</v>
      </c>
      <c r="B2343" t="s">
        <v>23747</v>
      </c>
      <c r="C2343" t="s">
        <v>23748</v>
      </c>
      <c r="D2343" s="45" t="str">
        <f t="shared" si="65"/>
        <v>2023.009D.Retroviridae_68rensp.zip</v>
      </c>
    </row>
    <row r="2344" spans="1:4">
      <c r="A2344" t="s">
        <v>11672</v>
      </c>
      <c r="B2344" t="s">
        <v>23749</v>
      </c>
      <c r="C2344" t="s">
        <v>23750</v>
      </c>
      <c r="D2344" s="45" t="str">
        <f t="shared" si="65"/>
        <v>2023.009D.Retroviridae_68rensp.zip</v>
      </c>
    </row>
    <row r="2345" spans="1:4">
      <c r="A2345" t="s">
        <v>11672</v>
      </c>
      <c r="B2345" t="s">
        <v>23751</v>
      </c>
      <c r="C2345" t="s">
        <v>23752</v>
      </c>
      <c r="D2345" s="45" t="str">
        <f t="shared" si="65"/>
        <v>2023.009D.Retroviridae_68rensp.zip</v>
      </c>
    </row>
    <row r="2346" spans="1:4">
      <c r="A2346" t="s">
        <v>11672</v>
      </c>
      <c r="B2346" t="s">
        <v>23753</v>
      </c>
      <c r="C2346" t="s">
        <v>23754</v>
      </c>
      <c r="D2346" s="45" t="str">
        <f t="shared" si="65"/>
        <v>2023.009D.Retroviridae_68rensp.zip</v>
      </c>
    </row>
    <row r="2347" spans="1:4">
      <c r="A2347" t="s">
        <v>11672</v>
      </c>
      <c r="B2347" t="s">
        <v>23755</v>
      </c>
      <c r="C2347" t="s">
        <v>23756</v>
      </c>
      <c r="D2347" s="45" t="str">
        <f t="shared" si="65"/>
        <v>2023.009D.Retroviridae_68rensp.zip</v>
      </c>
    </row>
    <row r="2348" spans="1:4">
      <c r="A2348" t="s">
        <v>11672</v>
      </c>
      <c r="B2348" t="s">
        <v>23757</v>
      </c>
      <c r="C2348" t="s">
        <v>23758</v>
      </c>
      <c r="D2348" s="45" t="str">
        <f t="shared" si="65"/>
        <v>2023.009D.Retroviridae_68rensp.zip</v>
      </c>
    </row>
    <row r="2349" spans="1:4">
      <c r="A2349" t="s">
        <v>11672</v>
      </c>
      <c r="B2349" t="s">
        <v>23759</v>
      </c>
      <c r="C2349" t="s">
        <v>23760</v>
      </c>
      <c r="D2349" s="45" t="str">
        <f t="shared" si="65"/>
        <v>2023.009D.Retroviridae_68rensp.zip</v>
      </c>
    </row>
    <row r="2350" spans="1:4">
      <c r="A2350" t="s">
        <v>11672</v>
      </c>
      <c r="B2350" t="s">
        <v>23761</v>
      </c>
      <c r="C2350" t="s">
        <v>23762</v>
      </c>
      <c r="D2350" s="45" t="str">
        <f t="shared" si="65"/>
        <v>2023.009D.Retroviridae_68rensp.zip</v>
      </c>
    </row>
    <row r="2351" spans="1:4">
      <c r="A2351" t="s">
        <v>11672</v>
      </c>
      <c r="B2351" t="s">
        <v>23763</v>
      </c>
      <c r="C2351" t="s">
        <v>23764</v>
      </c>
      <c r="D2351" s="45" t="str">
        <f t="shared" si="65"/>
        <v>2023.009D.Retroviridae_68rensp.zip</v>
      </c>
    </row>
    <row r="2352" spans="1:4">
      <c r="A2352" t="s">
        <v>11672</v>
      </c>
      <c r="B2352" t="s">
        <v>23765</v>
      </c>
      <c r="C2352" t="s">
        <v>23766</v>
      </c>
      <c r="D2352" s="45" t="str">
        <f t="shared" si="65"/>
        <v>2023.009D.Retroviridae_68rensp.zip</v>
      </c>
    </row>
    <row r="2353" spans="1:4">
      <c r="A2353" t="s">
        <v>11672</v>
      </c>
      <c r="B2353" t="s">
        <v>23767</v>
      </c>
      <c r="C2353" t="s">
        <v>23768</v>
      </c>
      <c r="D2353" s="45" t="str">
        <f t="shared" si="65"/>
        <v>2023.009D.Retroviridae_68rensp.zip</v>
      </c>
    </row>
    <row r="2354" spans="1:4">
      <c r="A2354" t="s">
        <v>11672</v>
      </c>
      <c r="B2354" t="s">
        <v>23769</v>
      </c>
      <c r="C2354" t="s">
        <v>23770</v>
      </c>
      <c r="D2354" s="45" t="str">
        <f t="shared" si="65"/>
        <v>2023.009D.Retroviridae_68rensp.zip</v>
      </c>
    </row>
    <row r="2355" spans="1:4">
      <c r="A2355" t="s">
        <v>11672</v>
      </c>
      <c r="B2355" t="s">
        <v>23771</v>
      </c>
      <c r="C2355" t="s">
        <v>23772</v>
      </c>
      <c r="D2355" s="45" t="str">
        <f t="shared" si="65"/>
        <v>2023.009D.Retroviridae_68rensp.zip</v>
      </c>
    </row>
    <row r="2356" spans="1:4">
      <c r="A2356" t="s">
        <v>11672</v>
      </c>
      <c r="B2356" t="s">
        <v>23773</v>
      </c>
      <c r="C2356" t="s">
        <v>23774</v>
      </c>
      <c r="D2356" s="45" t="str">
        <f t="shared" si="65"/>
        <v>2023.009D.Retroviridae_68rensp.zip</v>
      </c>
    </row>
    <row r="2357" spans="1:4">
      <c r="A2357" t="s">
        <v>11672</v>
      </c>
      <c r="B2357" t="s">
        <v>23775</v>
      </c>
      <c r="C2357" t="s">
        <v>23776</v>
      </c>
      <c r="D2357" s="45" t="str">
        <f t="shared" si="65"/>
        <v>2023.009D.Retroviridae_68rensp.zip</v>
      </c>
    </row>
    <row r="2358" spans="1:4">
      <c r="A2358" t="s">
        <v>11672</v>
      </c>
      <c r="B2358" t="s">
        <v>23777</v>
      </c>
      <c r="C2358" t="s">
        <v>23778</v>
      </c>
      <c r="D2358" s="45" t="str">
        <f t="shared" si="65"/>
        <v>2023.009D.Retroviridae_68rensp.zip</v>
      </c>
    </row>
    <row r="2359" spans="1:4">
      <c r="A2359" t="s">
        <v>11672</v>
      </c>
      <c r="B2359" t="s">
        <v>23779</v>
      </c>
      <c r="C2359" t="s">
        <v>23780</v>
      </c>
      <c r="D2359" s="45" t="str">
        <f t="shared" si="65"/>
        <v>2023.009D.Retroviridae_68rensp.zip</v>
      </c>
    </row>
    <row r="2360" spans="1:4">
      <c r="A2360" t="s">
        <v>11672</v>
      </c>
      <c r="B2360" t="s">
        <v>23781</v>
      </c>
      <c r="C2360" t="s">
        <v>23782</v>
      </c>
      <c r="D2360" s="45" t="str">
        <f t="shared" si="65"/>
        <v>2023.009D.Retroviridae_68rensp.zip</v>
      </c>
    </row>
    <row r="2361" spans="1:4">
      <c r="A2361" t="s">
        <v>11672</v>
      </c>
      <c r="B2361" t="s">
        <v>23783</v>
      </c>
      <c r="C2361" t="s">
        <v>23784</v>
      </c>
      <c r="D2361" s="45" t="str">
        <f t="shared" si="65"/>
        <v>2023.009D.Retroviridae_68rensp.zip</v>
      </c>
    </row>
    <row r="2362" spans="1:4">
      <c r="A2362" t="s">
        <v>11672</v>
      </c>
      <c r="B2362" t="s">
        <v>23785</v>
      </c>
      <c r="C2362" t="s">
        <v>23786</v>
      </c>
      <c r="D2362" s="45" t="str">
        <f t="shared" si="65"/>
        <v>2023.009D.Retroviridae_68rensp.zip</v>
      </c>
    </row>
    <row r="2363" spans="1:4">
      <c r="A2363" t="s">
        <v>11672</v>
      </c>
      <c r="B2363" t="s">
        <v>23787</v>
      </c>
      <c r="C2363" t="s">
        <v>23788</v>
      </c>
      <c r="D2363" s="45" t="str">
        <f t="shared" si="65"/>
        <v>2023.009D.Retroviridae_68rensp.zip</v>
      </c>
    </row>
    <row r="2364" spans="1:4">
      <c r="A2364" t="s">
        <v>11672</v>
      </c>
      <c r="B2364" t="s">
        <v>23789</v>
      </c>
      <c r="C2364" t="s">
        <v>23790</v>
      </c>
      <c r="D2364" s="45" t="str">
        <f t="shared" si="65"/>
        <v>2023.009D.Retroviridae_68rensp.zip</v>
      </c>
    </row>
    <row r="2365" spans="1:4">
      <c r="A2365" t="s">
        <v>11672</v>
      </c>
      <c r="B2365" t="s">
        <v>23791</v>
      </c>
      <c r="C2365" t="s">
        <v>23792</v>
      </c>
      <c r="D2365" s="45" t="str">
        <f t="shared" si="65"/>
        <v>2023.009D.Retroviridae_68rensp.zip</v>
      </c>
    </row>
    <row r="2366" spans="1:4">
      <c r="A2366" t="s">
        <v>11672</v>
      </c>
      <c r="B2366" t="s">
        <v>23793</v>
      </c>
      <c r="C2366" t="s">
        <v>23794</v>
      </c>
      <c r="D2366" s="45" t="str">
        <f t="shared" si="65"/>
        <v>2023.009D.Retroviridae_68rensp.zip</v>
      </c>
    </row>
    <row r="2367" spans="1:4">
      <c r="A2367" t="s">
        <v>11672</v>
      </c>
      <c r="B2367" t="s">
        <v>23795</v>
      </c>
      <c r="C2367" t="s">
        <v>23796</v>
      </c>
      <c r="D2367" s="45" t="str">
        <f t="shared" si="65"/>
        <v>2023.009D.Retroviridae_68rensp.zip</v>
      </c>
    </row>
    <row r="2368" spans="1:4">
      <c r="A2368" t="s">
        <v>11672</v>
      </c>
      <c r="B2368" t="s">
        <v>23797</v>
      </c>
      <c r="C2368" t="s">
        <v>23798</v>
      </c>
      <c r="D2368" s="45" t="str">
        <f t="shared" si="65"/>
        <v>2023.009D.Retroviridae_68rensp.zip</v>
      </c>
    </row>
    <row r="2369" spans="1:4">
      <c r="A2369" t="s">
        <v>11672</v>
      </c>
      <c r="B2369" t="s">
        <v>23799</v>
      </c>
      <c r="C2369" t="s">
        <v>23800</v>
      </c>
      <c r="D2369" s="45" t="str">
        <f t="shared" si="65"/>
        <v>2023.009D.Retroviridae_68rensp.zip</v>
      </c>
    </row>
    <row r="2370" spans="1:4">
      <c r="A2370" t="s">
        <v>11672</v>
      </c>
      <c r="B2370" t="s">
        <v>23801</v>
      </c>
      <c r="C2370" t="s">
        <v>23802</v>
      </c>
      <c r="D2370" s="45" t="str">
        <f t="shared" si="65"/>
        <v>2023.009D.Retroviridae_68rensp.zip</v>
      </c>
    </row>
    <row r="2371" spans="1:4">
      <c r="A2371" t="s">
        <v>11672</v>
      </c>
      <c r="B2371" t="s">
        <v>23803</v>
      </c>
      <c r="C2371" t="s">
        <v>23804</v>
      </c>
      <c r="D2371" s="45" t="str">
        <f t="shared" ref="D2371:D2403" si="66">HYPERLINK("https://ictv.global/ictv/proposals/2023.009D.Retroviridae_68rensp.zip","2023.009D.Retroviridae_68rensp.zip")</f>
        <v>2023.009D.Retroviridae_68rensp.zip</v>
      </c>
    </row>
    <row r="2372" spans="1:4">
      <c r="A2372" t="s">
        <v>11672</v>
      </c>
      <c r="B2372" t="s">
        <v>23805</v>
      </c>
      <c r="C2372" t="s">
        <v>23806</v>
      </c>
      <c r="D2372" s="45" t="str">
        <f t="shared" si="66"/>
        <v>2023.009D.Retroviridae_68rensp.zip</v>
      </c>
    </row>
    <row r="2373" spans="1:4">
      <c r="A2373" t="s">
        <v>11672</v>
      </c>
      <c r="B2373" t="s">
        <v>23807</v>
      </c>
      <c r="C2373" t="s">
        <v>23808</v>
      </c>
      <c r="D2373" s="45" t="str">
        <f t="shared" si="66"/>
        <v>2023.009D.Retroviridae_68rensp.zip</v>
      </c>
    </row>
    <row r="2374" spans="1:4">
      <c r="A2374" t="s">
        <v>11672</v>
      </c>
      <c r="B2374" t="s">
        <v>23809</v>
      </c>
      <c r="C2374" t="s">
        <v>23810</v>
      </c>
      <c r="D2374" s="45" t="str">
        <f t="shared" si="66"/>
        <v>2023.009D.Retroviridae_68rensp.zip</v>
      </c>
    </row>
    <row r="2375" spans="1:4">
      <c r="A2375" t="s">
        <v>11672</v>
      </c>
      <c r="B2375" t="s">
        <v>23811</v>
      </c>
      <c r="C2375" t="s">
        <v>23812</v>
      </c>
      <c r="D2375" s="45" t="str">
        <f t="shared" si="66"/>
        <v>2023.009D.Retroviridae_68rensp.zip</v>
      </c>
    </row>
    <row r="2376" spans="1:4">
      <c r="A2376" t="s">
        <v>11672</v>
      </c>
      <c r="B2376" t="s">
        <v>23813</v>
      </c>
      <c r="C2376" t="s">
        <v>23814</v>
      </c>
      <c r="D2376" s="45" t="str">
        <f t="shared" si="66"/>
        <v>2023.009D.Retroviridae_68rensp.zip</v>
      </c>
    </row>
    <row r="2377" spans="1:4">
      <c r="A2377" t="s">
        <v>11672</v>
      </c>
      <c r="B2377" t="s">
        <v>23815</v>
      </c>
      <c r="C2377" t="s">
        <v>23816</v>
      </c>
      <c r="D2377" s="45" t="str">
        <f t="shared" si="66"/>
        <v>2023.009D.Retroviridae_68rensp.zip</v>
      </c>
    </row>
    <row r="2378" spans="1:4">
      <c r="A2378" t="s">
        <v>11672</v>
      </c>
      <c r="B2378" t="s">
        <v>23817</v>
      </c>
      <c r="C2378" t="s">
        <v>23818</v>
      </c>
      <c r="D2378" s="45" t="str">
        <f t="shared" si="66"/>
        <v>2023.009D.Retroviridae_68rensp.zip</v>
      </c>
    </row>
    <row r="2379" spans="1:4">
      <c r="A2379" t="s">
        <v>11672</v>
      </c>
      <c r="B2379" t="s">
        <v>23819</v>
      </c>
      <c r="C2379" t="s">
        <v>23820</v>
      </c>
      <c r="D2379" s="45" t="str">
        <f t="shared" si="66"/>
        <v>2023.009D.Retroviridae_68rensp.zip</v>
      </c>
    </row>
    <row r="2380" spans="1:4">
      <c r="A2380" t="s">
        <v>11672</v>
      </c>
      <c r="B2380" t="s">
        <v>23821</v>
      </c>
      <c r="C2380" t="s">
        <v>23822</v>
      </c>
      <c r="D2380" s="45" t="str">
        <f t="shared" si="66"/>
        <v>2023.009D.Retroviridae_68rensp.zip</v>
      </c>
    </row>
    <row r="2381" spans="1:4">
      <c r="A2381" t="s">
        <v>11672</v>
      </c>
      <c r="B2381" t="s">
        <v>23823</v>
      </c>
      <c r="C2381" t="s">
        <v>23824</v>
      </c>
      <c r="D2381" s="45" t="str">
        <f t="shared" si="66"/>
        <v>2023.009D.Retroviridae_68rensp.zip</v>
      </c>
    </row>
    <row r="2382" spans="1:4">
      <c r="A2382" t="s">
        <v>11672</v>
      </c>
      <c r="B2382" t="s">
        <v>23825</v>
      </c>
      <c r="C2382" t="s">
        <v>23826</v>
      </c>
      <c r="D2382" s="45" t="str">
        <f t="shared" si="66"/>
        <v>2023.009D.Retroviridae_68rensp.zip</v>
      </c>
    </row>
    <row r="2383" spans="1:4">
      <c r="A2383" t="s">
        <v>11672</v>
      </c>
      <c r="B2383" t="s">
        <v>23827</v>
      </c>
      <c r="C2383" t="s">
        <v>23828</v>
      </c>
      <c r="D2383" s="45" t="str">
        <f t="shared" si="66"/>
        <v>2023.009D.Retroviridae_68rensp.zip</v>
      </c>
    </row>
    <row r="2384" spans="1:4">
      <c r="A2384" t="s">
        <v>11672</v>
      </c>
      <c r="B2384" t="s">
        <v>23829</v>
      </c>
      <c r="C2384" t="s">
        <v>23830</v>
      </c>
      <c r="D2384" s="45" t="str">
        <f t="shared" si="66"/>
        <v>2023.009D.Retroviridae_68rensp.zip</v>
      </c>
    </row>
    <row r="2385" spans="1:4">
      <c r="A2385" t="s">
        <v>11672</v>
      </c>
      <c r="B2385" t="s">
        <v>23831</v>
      </c>
      <c r="C2385" t="s">
        <v>23832</v>
      </c>
      <c r="D2385" s="45" t="str">
        <f t="shared" si="66"/>
        <v>2023.009D.Retroviridae_68rensp.zip</v>
      </c>
    </row>
    <row r="2386" spans="1:4">
      <c r="A2386" t="s">
        <v>11672</v>
      </c>
      <c r="B2386" t="s">
        <v>23833</v>
      </c>
      <c r="C2386" t="s">
        <v>23834</v>
      </c>
      <c r="D2386" s="45" t="str">
        <f t="shared" si="66"/>
        <v>2023.009D.Retroviridae_68rensp.zip</v>
      </c>
    </row>
    <row r="2387" spans="1:4">
      <c r="A2387" t="s">
        <v>11672</v>
      </c>
      <c r="B2387" t="s">
        <v>23835</v>
      </c>
      <c r="C2387" t="s">
        <v>23836</v>
      </c>
      <c r="D2387" s="45" t="str">
        <f t="shared" si="66"/>
        <v>2023.009D.Retroviridae_68rensp.zip</v>
      </c>
    </row>
    <row r="2388" spans="1:4">
      <c r="A2388" t="s">
        <v>11672</v>
      </c>
      <c r="B2388" t="s">
        <v>23837</v>
      </c>
      <c r="C2388" t="s">
        <v>23838</v>
      </c>
      <c r="D2388" s="45" t="str">
        <f t="shared" si="66"/>
        <v>2023.009D.Retroviridae_68rensp.zip</v>
      </c>
    </row>
    <row r="2389" spans="1:4">
      <c r="A2389" t="s">
        <v>11672</v>
      </c>
      <c r="B2389" t="s">
        <v>23839</v>
      </c>
      <c r="C2389" t="s">
        <v>23840</v>
      </c>
      <c r="D2389" s="45" t="str">
        <f t="shared" si="66"/>
        <v>2023.009D.Retroviridae_68rensp.zip</v>
      </c>
    </row>
    <row r="2390" spans="1:4">
      <c r="A2390" t="s">
        <v>11672</v>
      </c>
      <c r="B2390" t="s">
        <v>23841</v>
      </c>
      <c r="C2390" t="s">
        <v>23842</v>
      </c>
      <c r="D2390" s="45" t="str">
        <f t="shared" si="66"/>
        <v>2023.009D.Retroviridae_68rensp.zip</v>
      </c>
    </row>
    <row r="2391" spans="1:4">
      <c r="A2391" t="s">
        <v>11672</v>
      </c>
      <c r="B2391" t="s">
        <v>23843</v>
      </c>
      <c r="C2391" t="s">
        <v>23844</v>
      </c>
      <c r="D2391" s="45" t="str">
        <f t="shared" si="66"/>
        <v>2023.009D.Retroviridae_68rensp.zip</v>
      </c>
    </row>
    <row r="2392" spans="1:4">
      <c r="A2392" t="s">
        <v>11672</v>
      </c>
      <c r="B2392" t="s">
        <v>23845</v>
      </c>
      <c r="C2392" t="s">
        <v>23846</v>
      </c>
      <c r="D2392" s="45" t="str">
        <f t="shared" si="66"/>
        <v>2023.009D.Retroviridae_68rensp.zip</v>
      </c>
    </row>
    <row r="2393" spans="1:4">
      <c r="A2393" t="s">
        <v>11672</v>
      </c>
      <c r="B2393" t="s">
        <v>23847</v>
      </c>
      <c r="C2393" t="s">
        <v>23848</v>
      </c>
      <c r="D2393" s="45" t="str">
        <f t="shared" si="66"/>
        <v>2023.009D.Retroviridae_68rensp.zip</v>
      </c>
    </row>
    <row r="2394" spans="1:4">
      <c r="A2394" t="s">
        <v>11672</v>
      </c>
      <c r="B2394" t="s">
        <v>23849</v>
      </c>
      <c r="C2394" t="s">
        <v>23850</v>
      </c>
      <c r="D2394" s="45" t="str">
        <f t="shared" si="66"/>
        <v>2023.009D.Retroviridae_68rensp.zip</v>
      </c>
    </row>
    <row r="2395" spans="1:4">
      <c r="A2395" t="s">
        <v>11672</v>
      </c>
      <c r="B2395" t="s">
        <v>23851</v>
      </c>
      <c r="C2395" t="s">
        <v>23852</v>
      </c>
      <c r="D2395" s="45" t="str">
        <f t="shared" si="66"/>
        <v>2023.009D.Retroviridae_68rensp.zip</v>
      </c>
    </row>
    <row r="2396" spans="1:4">
      <c r="A2396" t="s">
        <v>11672</v>
      </c>
      <c r="B2396" t="s">
        <v>23853</v>
      </c>
      <c r="C2396" t="s">
        <v>23854</v>
      </c>
      <c r="D2396" s="45" t="str">
        <f t="shared" si="66"/>
        <v>2023.009D.Retroviridae_68rensp.zip</v>
      </c>
    </row>
    <row r="2397" spans="1:4">
      <c r="A2397" t="s">
        <v>11672</v>
      </c>
      <c r="B2397" t="s">
        <v>23855</v>
      </c>
      <c r="C2397" t="s">
        <v>23856</v>
      </c>
      <c r="D2397" s="45" t="str">
        <f t="shared" si="66"/>
        <v>2023.009D.Retroviridae_68rensp.zip</v>
      </c>
    </row>
    <row r="2398" spans="1:4">
      <c r="A2398" t="s">
        <v>11672</v>
      </c>
      <c r="B2398" t="s">
        <v>23857</v>
      </c>
      <c r="C2398" t="s">
        <v>23858</v>
      </c>
      <c r="D2398" s="45" t="str">
        <f t="shared" si="66"/>
        <v>2023.009D.Retroviridae_68rensp.zip</v>
      </c>
    </row>
    <row r="2399" spans="1:4">
      <c r="A2399" t="s">
        <v>11672</v>
      </c>
      <c r="B2399" t="s">
        <v>23859</v>
      </c>
      <c r="C2399" t="s">
        <v>23860</v>
      </c>
      <c r="D2399" s="45" t="str">
        <f t="shared" si="66"/>
        <v>2023.009D.Retroviridae_68rensp.zip</v>
      </c>
    </row>
    <row r="2400" spans="1:4">
      <c r="A2400" t="s">
        <v>11672</v>
      </c>
      <c r="B2400" t="s">
        <v>23861</v>
      </c>
      <c r="C2400" t="s">
        <v>23862</v>
      </c>
      <c r="D2400" s="45" t="str">
        <f t="shared" si="66"/>
        <v>2023.009D.Retroviridae_68rensp.zip</v>
      </c>
    </row>
    <row r="2401" spans="1:4">
      <c r="A2401" t="s">
        <v>11672</v>
      </c>
      <c r="B2401" t="s">
        <v>23863</v>
      </c>
      <c r="C2401" t="s">
        <v>23864</v>
      </c>
      <c r="D2401" s="45" t="str">
        <f t="shared" si="66"/>
        <v>2023.009D.Retroviridae_68rensp.zip</v>
      </c>
    </row>
    <row r="2402" spans="1:4">
      <c r="A2402" t="s">
        <v>11672</v>
      </c>
      <c r="B2402" t="s">
        <v>23865</v>
      </c>
      <c r="C2402" t="s">
        <v>23866</v>
      </c>
      <c r="D2402" s="45" t="str">
        <f t="shared" si="66"/>
        <v>2023.009D.Retroviridae_68rensp.zip</v>
      </c>
    </row>
    <row r="2403" spans="1:4">
      <c r="A2403" t="s">
        <v>11672</v>
      </c>
      <c r="B2403" t="s">
        <v>23867</v>
      </c>
      <c r="C2403" t="s">
        <v>23868</v>
      </c>
      <c r="D2403" s="45" t="str">
        <f t="shared" si="66"/>
        <v>2023.009D.Retroviridae_68rensp.zip</v>
      </c>
    </row>
    <row r="2404" spans="1:4">
      <c r="A2404" t="s">
        <v>11672</v>
      </c>
      <c r="B2404" t="s">
        <v>23869</v>
      </c>
      <c r="C2404" t="s">
        <v>23870</v>
      </c>
      <c r="D2404" s="45" t="str">
        <f t="shared" ref="D2404:D2413" si="67">HYPERLINK("https://ictv.global/ictv/proposals/2023.005F.Polymycoviridae_spren.zip","2023.005F.Polymycoviridae_spren.zip")</f>
        <v>2023.005F.Polymycoviridae_spren.zip</v>
      </c>
    </row>
    <row r="2405" spans="1:4">
      <c r="A2405" t="s">
        <v>11672</v>
      </c>
      <c r="B2405" t="s">
        <v>23871</v>
      </c>
      <c r="C2405" t="s">
        <v>23872</v>
      </c>
      <c r="D2405" s="45" t="str">
        <f t="shared" si="67"/>
        <v>2023.005F.Polymycoviridae_spren.zip</v>
      </c>
    </row>
    <row r="2406" spans="1:4">
      <c r="A2406" t="s">
        <v>11672</v>
      </c>
      <c r="B2406" t="s">
        <v>23873</v>
      </c>
      <c r="C2406" t="s">
        <v>23874</v>
      </c>
      <c r="D2406" s="45" t="str">
        <f t="shared" si="67"/>
        <v>2023.005F.Polymycoviridae_spren.zip</v>
      </c>
    </row>
    <row r="2407" spans="1:4">
      <c r="A2407" t="s">
        <v>11672</v>
      </c>
      <c r="B2407" t="s">
        <v>23875</v>
      </c>
      <c r="C2407" t="s">
        <v>23876</v>
      </c>
      <c r="D2407" s="45" t="str">
        <f t="shared" si="67"/>
        <v>2023.005F.Polymycoviridae_spren.zip</v>
      </c>
    </row>
    <row r="2408" spans="1:4">
      <c r="A2408" t="s">
        <v>11672</v>
      </c>
      <c r="B2408" t="s">
        <v>23877</v>
      </c>
      <c r="C2408" t="s">
        <v>23878</v>
      </c>
      <c r="D2408" s="45" t="str">
        <f t="shared" si="67"/>
        <v>2023.005F.Polymycoviridae_spren.zip</v>
      </c>
    </row>
    <row r="2409" spans="1:4">
      <c r="A2409" t="s">
        <v>11672</v>
      </c>
      <c r="B2409" t="s">
        <v>23879</v>
      </c>
      <c r="C2409" t="s">
        <v>23880</v>
      </c>
      <c r="D2409" s="45" t="str">
        <f t="shared" si="67"/>
        <v>2023.005F.Polymycoviridae_spren.zip</v>
      </c>
    </row>
    <row r="2410" spans="1:4">
      <c r="A2410" t="s">
        <v>11672</v>
      </c>
      <c r="B2410" t="s">
        <v>23881</v>
      </c>
      <c r="C2410" t="s">
        <v>23882</v>
      </c>
      <c r="D2410" s="45" t="str">
        <f t="shared" si="67"/>
        <v>2023.005F.Polymycoviridae_spren.zip</v>
      </c>
    </row>
    <row r="2411" spans="1:4">
      <c r="A2411" t="s">
        <v>11672</v>
      </c>
      <c r="B2411" t="s">
        <v>23883</v>
      </c>
      <c r="C2411" t="s">
        <v>23884</v>
      </c>
      <c r="D2411" s="45" t="str">
        <f t="shared" si="67"/>
        <v>2023.005F.Polymycoviridae_spren.zip</v>
      </c>
    </row>
    <row r="2412" spans="1:4">
      <c r="A2412" t="s">
        <v>11672</v>
      </c>
      <c r="B2412" t="s">
        <v>23885</v>
      </c>
      <c r="C2412" t="s">
        <v>23886</v>
      </c>
      <c r="D2412" s="45" t="str">
        <f t="shared" si="67"/>
        <v>2023.005F.Polymycoviridae_spren.zip</v>
      </c>
    </row>
    <row r="2413" spans="1:4">
      <c r="A2413" t="s">
        <v>11672</v>
      </c>
      <c r="B2413" t="s">
        <v>23887</v>
      </c>
      <c r="C2413" t="s">
        <v>23888</v>
      </c>
      <c r="D2413" s="45" t="str">
        <f t="shared" si="67"/>
        <v>2023.005F.Polymycoviridae_spren.zip</v>
      </c>
    </row>
    <row r="2414" spans="1:4">
      <c r="A2414" t="s">
        <v>11672</v>
      </c>
      <c r="B2414" t="s">
        <v>23889</v>
      </c>
      <c r="C2414" t="s">
        <v>23890</v>
      </c>
      <c r="D2414" s="45" t="str">
        <f>HYPERLINK("https://ictv.global/ictv/proposals/2023.011S.Sarthroviridae_1sprenamed.zip","2023.011S.Sarthroviridae_1sprenamed.zip")</f>
        <v>2023.011S.Sarthroviridae_1sprenamed.zip</v>
      </c>
    </row>
    <row r="2415" spans="1:4">
      <c r="A2415" t="s">
        <v>11672</v>
      </c>
      <c r="B2415" t="s">
        <v>23891</v>
      </c>
      <c r="C2415" t="s">
        <v>23892</v>
      </c>
      <c r="D2415" s="45" t="str">
        <f t="shared" ref="D2415:D2428" si="68">HYPERLINK("https://ictv.global/ictv/proposals/2023.010F.Phycodnaviridae_abolish19sp_spren.zip","2023.010F.Phycodnaviridae_abolish19sp_spren.zip")</f>
        <v>2023.010F.Phycodnaviridae_abolish19sp_spren.zip</v>
      </c>
    </row>
    <row r="2416" spans="1:4">
      <c r="A2416" t="s">
        <v>11672</v>
      </c>
      <c r="B2416" t="s">
        <v>23893</v>
      </c>
      <c r="C2416" t="s">
        <v>23894</v>
      </c>
      <c r="D2416" s="45" t="str">
        <f t="shared" si="68"/>
        <v>2023.010F.Phycodnaviridae_abolish19sp_spren.zip</v>
      </c>
    </row>
    <row r="2417" spans="1:4">
      <c r="A2417" t="s">
        <v>11672</v>
      </c>
      <c r="B2417" t="s">
        <v>23895</v>
      </c>
      <c r="C2417" t="s">
        <v>23896</v>
      </c>
      <c r="D2417" s="45" t="str">
        <f t="shared" si="68"/>
        <v>2023.010F.Phycodnaviridae_abolish19sp_spren.zip</v>
      </c>
    </row>
    <row r="2418" spans="1:4">
      <c r="A2418" t="s">
        <v>11672</v>
      </c>
      <c r="B2418" t="s">
        <v>23897</v>
      </c>
      <c r="C2418" t="s">
        <v>23898</v>
      </c>
      <c r="D2418" s="45" t="str">
        <f t="shared" si="68"/>
        <v>2023.010F.Phycodnaviridae_abolish19sp_spren.zip</v>
      </c>
    </row>
    <row r="2419" spans="1:4">
      <c r="A2419" t="s">
        <v>11672</v>
      </c>
      <c r="B2419" t="s">
        <v>23899</v>
      </c>
      <c r="C2419" t="s">
        <v>23900</v>
      </c>
      <c r="D2419" s="45" t="str">
        <f t="shared" si="68"/>
        <v>2023.010F.Phycodnaviridae_abolish19sp_spren.zip</v>
      </c>
    </row>
    <row r="2420" spans="1:4">
      <c r="A2420" t="s">
        <v>11672</v>
      </c>
      <c r="B2420" t="s">
        <v>23901</v>
      </c>
      <c r="C2420" t="s">
        <v>23902</v>
      </c>
      <c r="D2420" s="45" t="str">
        <f t="shared" si="68"/>
        <v>2023.010F.Phycodnaviridae_abolish19sp_spren.zip</v>
      </c>
    </row>
    <row r="2421" spans="1:4">
      <c r="A2421" t="s">
        <v>11672</v>
      </c>
      <c r="B2421" t="s">
        <v>23903</v>
      </c>
      <c r="C2421" t="s">
        <v>23904</v>
      </c>
      <c r="D2421" s="45" t="str">
        <f t="shared" si="68"/>
        <v>2023.010F.Phycodnaviridae_abolish19sp_spren.zip</v>
      </c>
    </row>
    <row r="2422" spans="1:4">
      <c r="A2422" t="s">
        <v>11672</v>
      </c>
      <c r="B2422" t="s">
        <v>23905</v>
      </c>
      <c r="C2422" t="s">
        <v>23906</v>
      </c>
      <c r="D2422" s="45" t="str">
        <f t="shared" si="68"/>
        <v>2023.010F.Phycodnaviridae_abolish19sp_spren.zip</v>
      </c>
    </row>
    <row r="2423" spans="1:4">
      <c r="A2423" t="s">
        <v>11672</v>
      </c>
      <c r="B2423" t="s">
        <v>23907</v>
      </c>
      <c r="C2423" t="s">
        <v>23908</v>
      </c>
      <c r="D2423" s="45" t="str">
        <f t="shared" si="68"/>
        <v>2023.010F.Phycodnaviridae_abolish19sp_spren.zip</v>
      </c>
    </row>
    <row r="2424" spans="1:4">
      <c r="A2424" t="s">
        <v>11672</v>
      </c>
      <c r="B2424" t="s">
        <v>23909</v>
      </c>
      <c r="C2424" t="s">
        <v>23910</v>
      </c>
      <c r="D2424" s="45" t="str">
        <f t="shared" si="68"/>
        <v>2023.010F.Phycodnaviridae_abolish19sp_spren.zip</v>
      </c>
    </row>
    <row r="2425" spans="1:4">
      <c r="A2425" t="s">
        <v>11672</v>
      </c>
      <c r="B2425" t="s">
        <v>23911</v>
      </c>
      <c r="C2425" t="s">
        <v>23912</v>
      </c>
      <c r="D2425" s="45" t="str">
        <f t="shared" si="68"/>
        <v>2023.010F.Phycodnaviridae_abolish19sp_spren.zip</v>
      </c>
    </row>
    <row r="2426" spans="1:4">
      <c r="A2426" t="s">
        <v>11672</v>
      </c>
      <c r="B2426" t="s">
        <v>23913</v>
      </c>
      <c r="C2426" t="s">
        <v>23914</v>
      </c>
      <c r="D2426" s="45" t="str">
        <f t="shared" si="68"/>
        <v>2023.010F.Phycodnaviridae_abolish19sp_spren.zip</v>
      </c>
    </row>
    <row r="2427" spans="1:4">
      <c r="A2427" t="s">
        <v>11672</v>
      </c>
      <c r="B2427" t="s">
        <v>23915</v>
      </c>
      <c r="C2427" t="s">
        <v>23916</v>
      </c>
      <c r="D2427" s="45" t="str">
        <f t="shared" si="68"/>
        <v>2023.010F.Phycodnaviridae_abolish19sp_spren.zip</v>
      </c>
    </row>
    <row r="2428" spans="1:4">
      <c r="A2428" t="s">
        <v>11672</v>
      </c>
      <c r="B2428" t="s">
        <v>23917</v>
      </c>
      <c r="C2428" t="s">
        <v>23918</v>
      </c>
      <c r="D2428" s="45" t="str">
        <f t="shared" si="68"/>
        <v>2023.010F.Phycodnaviridae_abolish19sp_spren.zip</v>
      </c>
    </row>
    <row r="2429" spans="1:4">
      <c r="A2429" t="s">
        <v>11672</v>
      </c>
      <c r="B2429" t="s">
        <v>23919</v>
      </c>
      <c r="C2429" t="s">
        <v>23920</v>
      </c>
      <c r="D2429" s="45" t="str">
        <f t="shared" ref="D2429:D2450" si="69">HYPERLINK("https://ictv.global/ictv/proposals/2023.012D.Iridoviridae_22renam.zip","2023.012D.Iridoviridae_22renam.zip")</f>
        <v>2023.012D.Iridoviridae_22renam.zip</v>
      </c>
    </row>
    <row r="2430" spans="1:4">
      <c r="A2430" t="s">
        <v>11672</v>
      </c>
      <c r="B2430" t="s">
        <v>23921</v>
      </c>
      <c r="C2430" t="s">
        <v>23922</v>
      </c>
      <c r="D2430" s="45" t="str">
        <f t="shared" si="69"/>
        <v>2023.012D.Iridoviridae_22renam.zip</v>
      </c>
    </row>
    <row r="2431" spans="1:4">
      <c r="A2431" t="s">
        <v>11672</v>
      </c>
      <c r="B2431" t="s">
        <v>23923</v>
      </c>
      <c r="C2431" t="s">
        <v>23924</v>
      </c>
      <c r="D2431" s="45" t="str">
        <f t="shared" si="69"/>
        <v>2023.012D.Iridoviridae_22renam.zip</v>
      </c>
    </row>
    <row r="2432" spans="1:4">
      <c r="A2432" t="s">
        <v>11672</v>
      </c>
      <c r="B2432" t="s">
        <v>23925</v>
      </c>
      <c r="C2432" t="s">
        <v>23926</v>
      </c>
      <c r="D2432" s="45" t="str">
        <f t="shared" si="69"/>
        <v>2023.012D.Iridoviridae_22renam.zip</v>
      </c>
    </row>
    <row r="2433" spans="1:4">
      <c r="A2433" t="s">
        <v>11672</v>
      </c>
      <c r="B2433" t="s">
        <v>23927</v>
      </c>
      <c r="C2433" t="s">
        <v>23928</v>
      </c>
      <c r="D2433" s="45" t="str">
        <f t="shared" si="69"/>
        <v>2023.012D.Iridoviridae_22renam.zip</v>
      </c>
    </row>
    <row r="2434" spans="1:4">
      <c r="A2434" t="s">
        <v>11672</v>
      </c>
      <c r="B2434" t="s">
        <v>23929</v>
      </c>
      <c r="C2434" t="s">
        <v>23930</v>
      </c>
      <c r="D2434" s="45" t="str">
        <f t="shared" si="69"/>
        <v>2023.012D.Iridoviridae_22renam.zip</v>
      </c>
    </row>
    <row r="2435" spans="1:4">
      <c r="A2435" t="s">
        <v>11672</v>
      </c>
      <c r="B2435" t="s">
        <v>23931</v>
      </c>
      <c r="C2435" t="s">
        <v>23932</v>
      </c>
      <c r="D2435" s="45" t="str">
        <f t="shared" si="69"/>
        <v>2023.012D.Iridoviridae_22renam.zip</v>
      </c>
    </row>
    <row r="2436" spans="1:4">
      <c r="A2436" t="s">
        <v>11672</v>
      </c>
      <c r="B2436" t="s">
        <v>23933</v>
      </c>
      <c r="C2436" t="s">
        <v>23934</v>
      </c>
      <c r="D2436" s="45" t="str">
        <f t="shared" si="69"/>
        <v>2023.012D.Iridoviridae_22renam.zip</v>
      </c>
    </row>
    <row r="2437" spans="1:4">
      <c r="A2437" t="s">
        <v>11672</v>
      </c>
      <c r="B2437" t="s">
        <v>23935</v>
      </c>
      <c r="C2437" t="s">
        <v>23936</v>
      </c>
      <c r="D2437" s="45" t="str">
        <f t="shared" si="69"/>
        <v>2023.012D.Iridoviridae_22renam.zip</v>
      </c>
    </row>
    <row r="2438" spans="1:4">
      <c r="A2438" t="s">
        <v>11672</v>
      </c>
      <c r="B2438" t="s">
        <v>23937</v>
      </c>
      <c r="C2438" t="s">
        <v>23938</v>
      </c>
      <c r="D2438" s="45" t="str">
        <f t="shared" si="69"/>
        <v>2023.012D.Iridoviridae_22renam.zip</v>
      </c>
    </row>
    <row r="2439" spans="1:4">
      <c r="A2439" t="s">
        <v>11672</v>
      </c>
      <c r="B2439" t="s">
        <v>23939</v>
      </c>
      <c r="C2439" t="s">
        <v>23940</v>
      </c>
      <c r="D2439" s="45" t="str">
        <f t="shared" si="69"/>
        <v>2023.012D.Iridoviridae_22renam.zip</v>
      </c>
    </row>
    <row r="2440" spans="1:4">
      <c r="A2440" t="s">
        <v>11672</v>
      </c>
      <c r="B2440" t="s">
        <v>23941</v>
      </c>
      <c r="C2440" t="s">
        <v>23942</v>
      </c>
      <c r="D2440" s="45" t="str">
        <f t="shared" si="69"/>
        <v>2023.012D.Iridoviridae_22renam.zip</v>
      </c>
    </row>
    <row r="2441" spans="1:4">
      <c r="A2441" t="s">
        <v>11672</v>
      </c>
      <c r="B2441" t="s">
        <v>23943</v>
      </c>
      <c r="C2441" t="s">
        <v>23944</v>
      </c>
      <c r="D2441" s="45" t="str">
        <f t="shared" si="69"/>
        <v>2023.012D.Iridoviridae_22renam.zip</v>
      </c>
    </row>
    <row r="2442" spans="1:4">
      <c r="A2442" t="s">
        <v>11672</v>
      </c>
      <c r="B2442" t="s">
        <v>23945</v>
      </c>
      <c r="C2442" t="s">
        <v>23946</v>
      </c>
      <c r="D2442" s="45" t="str">
        <f t="shared" si="69"/>
        <v>2023.012D.Iridoviridae_22renam.zip</v>
      </c>
    </row>
    <row r="2443" spans="1:4">
      <c r="A2443" t="s">
        <v>11672</v>
      </c>
      <c r="B2443" t="s">
        <v>23947</v>
      </c>
      <c r="C2443" t="s">
        <v>23948</v>
      </c>
      <c r="D2443" s="45" t="str">
        <f t="shared" si="69"/>
        <v>2023.012D.Iridoviridae_22renam.zip</v>
      </c>
    </row>
    <row r="2444" spans="1:4">
      <c r="A2444" t="s">
        <v>11672</v>
      </c>
      <c r="B2444" t="s">
        <v>23949</v>
      </c>
      <c r="C2444" t="s">
        <v>23950</v>
      </c>
      <c r="D2444" s="45" t="str">
        <f t="shared" si="69"/>
        <v>2023.012D.Iridoviridae_22renam.zip</v>
      </c>
    </row>
    <row r="2445" spans="1:4">
      <c r="A2445" t="s">
        <v>11672</v>
      </c>
      <c r="B2445" t="s">
        <v>23951</v>
      </c>
      <c r="C2445" t="s">
        <v>23952</v>
      </c>
      <c r="D2445" s="45" t="str">
        <f t="shared" si="69"/>
        <v>2023.012D.Iridoviridae_22renam.zip</v>
      </c>
    </row>
    <row r="2446" spans="1:4">
      <c r="A2446" t="s">
        <v>11672</v>
      </c>
      <c r="B2446" t="s">
        <v>23953</v>
      </c>
      <c r="C2446" t="s">
        <v>23954</v>
      </c>
      <c r="D2446" s="45" t="str">
        <f t="shared" si="69"/>
        <v>2023.012D.Iridoviridae_22renam.zip</v>
      </c>
    </row>
    <row r="2447" spans="1:4">
      <c r="A2447" t="s">
        <v>11672</v>
      </c>
      <c r="B2447" t="s">
        <v>23955</v>
      </c>
      <c r="C2447" t="s">
        <v>23956</v>
      </c>
      <c r="D2447" s="45" t="str">
        <f t="shared" si="69"/>
        <v>2023.012D.Iridoviridae_22renam.zip</v>
      </c>
    </row>
    <row r="2448" spans="1:4">
      <c r="A2448" t="s">
        <v>11672</v>
      </c>
      <c r="B2448" t="s">
        <v>23957</v>
      </c>
      <c r="C2448" t="s">
        <v>23958</v>
      </c>
      <c r="D2448" s="45" t="str">
        <f t="shared" si="69"/>
        <v>2023.012D.Iridoviridae_22renam.zip</v>
      </c>
    </row>
    <row r="2449" spans="1:4">
      <c r="A2449" t="s">
        <v>11672</v>
      </c>
      <c r="B2449" t="s">
        <v>23959</v>
      </c>
      <c r="C2449" t="s">
        <v>23960</v>
      </c>
      <c r="D2449" s="45" t="str">
        <f t="shared" si="69"/>
        <v>2023.012D.Iridoviridae_22renam.zip</v>
      </c>
    </row>
    <row r="2450" spans="1:4">
      <c r="A2450" t="s">
        <v>11672</v>
      </c>
      <c r="B2450" t="s">
        <v>23961</v>
      </c>
      <c r="C2450" t="s">
        <v>23962</v>
      </c>
      <c r="D2450" s="45" t="str">
        <f t="shared" si="69"/>
        <v>2023.012D.Iridoviridae_22renam.zip</v>
      </c>
    </row>
    <row r="2451" spans="1:4">
      <c r="A2451" t="s">
        <v>11672</v>
      </c>
      <c r="B2451" t="s">
        <v>23963</v>
      </c>
      <c r="C2451" t="s">
        <v>23964</v>
      </c>
      <c r="D2451" s="45" t="str">
        <f>HYPERLINK("https://ictv.global/ictv/proposals/2023.004F.Marseilleviridae_1newgen_spren.zip","2023.004F.Marseilleviridae_1newgen_spren.zip")</f>
        <v>2023.004F.Marseilleviridae_1newgen_spren.zip</v>
      </c>
    </row>
    <row r="2452" spans="1:4">
      <c r="A2452" t="s">
        <v>11672</v>
      </c>
      <c r="B2452" t="s">
        <v>23965</v>
      </c>
      <c r="C2452" t="s">
        <v>23966</v>
      </c>
      <c r="D2452" s="45" t="str">
        <f>HYPERLINK("https://ictv.global/ictv/proposals/2023.004F.Marseilleviridae_1newgen_spren.zip","2023.004F.Marseilleviridae_1newgen_spren.zip")</f>
        <v>2023.004F.Marseilleviridae_1newgen_spren.zip</v>
      </c>
    </row>
    <row r="2453" spans="1:4">
      <c r="A2453" t="s">
        <v>11672</v>
      </c>
      <c r="B2453" t="s">
        <v>23967</v>
      </c>
      <c r="C2453" t="s">
        <v>23968</v>
      </c>
      <c r="D2453" s="45" t="str">
        <f>HYPERLINK("https://ictv.global/ictv/proposals/2023.004F.Marseilleviridae_1newgen_spren.zip","2023.004F.Marseilleviridae_1newgen_spren.zip")</f>
        <v>2023.004F.Marseilleviridae_1newgen_spren.zip</v>
      </c>
    </row>
    <row r="2454" spans="1:4">
      <c r="A2454" t="s">
        <v>11672</v>
      </c>
      <c r="B2454" t="s">
        <v>23969</v>
      </c>
      <c r="C2454" t="s">
        <v>23970</v>
      </c>
      <c r="D2454" s="45" t="str">
        <f>HYPERLINK("https://ictv.global/ictv/proposals/2023.004F.Marseilleviridae_1newgen_spren.zip","2023.004F.Marseilleviridae_1newgen_spren.zip")</f>
        <v>2023.004F.Marseilleviridae_1newgen_spren.zip</v>
      </c>
    </row>
    <row r="2455" spans="1:4">
      <c r="A2455" t="s">
        <v>11672</v>
      </c>
      <c r="B2455" t="s">
        <v>23971</v>
      </c>
      <c r="C2455" t="s">
        <v>23972</v>
      </c>
      <c r="D2455" s="45" t="str">
        <f t="shared" ref="D2455:D2486" si="70">HYPERLINK("https://ictv.global/ictv/proposals/2023.017D.Poxviridae_55renam.zip","2023.017D.Poxviridae_55renam.zip")</f>
        <v>2023.017D.Poxviridae_55renam.zip</v>
      </c>
    </row>
    <row r="2456" spans="1:4">
      <c r="A2456" t="s">
        <v>11672</v>
      </c>
      <c r="B2456" t="s">
        <v>23973</v>
      </c>
      <c r="C2456" t="s">
        <v>23974</v>
      </c>
      <c r="D2456" s="45" t="str">
        <f t="shared" si="70"/>
        <v>2023.017D.Poxviridae_55renam.zip</v>
      </c>
    </row>
    <row r="2457" spans="1:4">
      <c r="A2457" t="s">
        <v>11672</v>
      </c>
      <c r="B2457" t="s">
        <v>23975</v>
      </c>
      <c r="C2457" t="s">
        <v>23976</v>
      </c>
      <c r="D2457" s="45" t="str">
        <f t="shared" si="70"/>
        <v>2023.017D.Poxviridae_55renam.zip</v>
      </c>
    </row>
    <row r="2458" spans="1:4">
      <c r="A2458" t="s">
        <v>11672</v>
      </c>
      <c r="B2458" t="s">
        <v>23977</v>
      </c>
      <c r="C2458" t="s">
        <v>23978</v>
      </c>
      <c r="D2458" s="45" t="str">
        <f t="shared" si="70"/>
        <v>2023.017D.Poxviridae_55renam.zip</v>
      </c>
    </row>
    <row r="2459" spans="1:4">
      <c r="A2459" t="s">
        <v>11672</v>
      </c>
      <c r="B2459" t="s">
        <v>23979</v>
      </c>
      <c r="C2459" t="s">
        <v>23980</v>
      </c>
      <c r="D2459" s="45" t="str">
        <f t="shared" si="70"/>
        <v>2023.017D.Poxviridae_55renam.zip</v>
      </c>
    </row>
    <row r="2460" spans="1:4">
      <c r="A2460" t="s">
        <v>11672</v>
      </c>
      <c r="B2460" t="s">
        <v>23981</v>
      </c>
      <c r="C2460" t="s">
        <v>23982</v>
      </c>
      <c r="D2460" s="45" t="str">
        <f t="shared" si="70"/>
        <v>2023.017D.Poxviridae_55renam.zip</v>
      </c>
    </row>
    <row r="2461" spans="1:4">
      <c r="A2461" t="s">
        <v>11672</v>
      </c>
      <c r="B2461" t="s">
        <v>23983</v>
      </c>
      <c r="C2461" t="s">
        <v>23984</v>
      </c>
      <c r="D2461" s="45" t="str">
        <f t="shared" si="70"/>
        <v>2023.017D.Poxviridae_55renam.zip</v>
      </c>
    </row>
    <row r="2462" spans="1:4">
      <c r="A2462" t="s">
        <v>11672</v>
      </c>
      <c r="B2462" t="s">
        <v>23985</v>
      </c>
      <c r="C2462" t="s">
        <v>23986</v>
      </c>
      <c r="D2462" s="45" t="str">
        <f t="shared" si="70"/>
        <v>2023.017D.Poxviridae_55renam.zip</v>
      </c>
    </row>
    <row r="2463" spans="1:4">
      <c r="A2463" t="s">
        <v>11672</v>
      </c>
      <c r="B2463" t="s">
        <v>23987</v>
      </c>
      <c r="C2463" t="s">
        <v>23988</v>
      </c>
      <c r="D2463" s="45" t="str">
        <f t="shared" si="70"/>
        <v>2023.017D.Poxviridae_55renam.zip</v>
      </c>
    </row>
    <row r="2464" spans="1:4">
      <c r="A2464" t="s">
        <v>11672</v>
      </c>
      <c r="B2464" t="s">
        <v>23989</v>
      </c>
      <c r="C2464" t="s">
        <v>23990</v>
      </c>
      <c r="D2464" s="45" t="str">
        <f t="shared" si="70"/>
        <v>2023.017D.Poxviridae_55renam.zip</v>
      </c>
    </row>
    <row r="2465" spans="1:4">
      <c r="A2465" t="s">
        <v>11672</v>
      </c>
      <c r="B2465" t="s">
        <v>23991</v>
      </c>
      <c r="C2465" t="s">
        <v>23992</v>
      </c>
      <c r="D2465" s="45" t="str">
        <f t="shared" si="70"/>
        <v>2023.017D.Poxviridae_55renam.zip</v>
      </c>
    </row>
    <row r="2466" spans="1:4">
      <c r="A2466" t="s">
        <v>11672</v>
      </c>
      <c r="B2466" t="s">
        <v>23993</v>
      </c>
      <c r="C2466" t="s">
        <v>23994</v>
      </c>
      <c r="D2466" s="45" t="str">
        <f t="shared" si="70"/>
        <v>2023.017D.Poxviridae_55renam.zip</v>
      </c>
    </row>
    <row r="2467" spans="1:4">
      <c r="A2467" t="s">
        <v>11672</v>
      </c>
      <c r="B2467" t="s">
        <v>23995</v>
      </c>
      <c r="C2467" t="s">
        <v>23996</v>
      </c>
      <c r="D2467" s="45" t="str">
        <f t="shared" si="70"/>
        <v>2023.017D.Poxviridae_55renam.zip</v>
      </c>
    </row>
    <row r="2468" spans="1:4">
      <c r="A2468" t="s">
        <v>11672</v>
      </c>
      <c r="B2468" t="s">
        <v>23997</v>
      </c>
      <c r="C2468" t="s">
        <v>23998</v>
      </c>
      <c r="D2468" s="45" t="str">
        <f t="shared" si="70"/>
        <v>2023.017D.Poxviridae_55renam.zip</v>
      </c>
    </row>
    <row r="2469" spans="1:4">
      <c r="A2469" t="s">
        <v>11672</v>
      </c>
      <c r="B2469" t="s">
        <v>23999</v>
      </c>
      <c r="C2469" t="s">
        <v>24000</v>
      </c>
      <c r="D2469" s="45" t="str">
        <f t="shared" si="70"/>
        <v>2023.017D.Poxviridae_55renam.zip</v>
      </c>
    </row>
    <row r="2470" spans="1:4">
      <c r="A2470" t="s">
        <v>11672</v>
      </c>
      <c r="B2470" t="s">
        <v>24001</v>
      </c>
      <c r="C2470" t="s">
        <v>24002</v>
      </c>
      <c r="D2470" s="45" t="str">
        <f t="shared" si="70"/>
        <v>2023.017D.Poxviridae_55renam.zip</v>
      </c>
    </row>
    <row r="2471" spans="1:4">
      <c r="A2471" t="s">
        <v>11672</v>
      </c>
      <c r="B2471" t="s">
        <v>24003</v>
      </c>
      <c r="C2471" t="s">
        <v>24004</v>
      </c>
      <c r="D2471" s="45" t="str">
        <f t="shared" si="70"/>
        <v>2023.017D.Poxviridae_55renam.zip</v>
      </c>
    </row>
    <row r="2472" spans="1:4">
      <c r="A2472" t="s">
        <v>11672</v>
      </c>
      <c r="B2472" t="s">
        <v>24005</v>
      </c>
      <c r="C2472" t="s">
        <v>24006</v>
      </c>
      <c r="D2472" s="45" t="str">
        <f t="shared" si="70"/>
        <v>2023.017D.Poxviridae_55renam.zip</v>
      </c>
    </row>
    <row r="2473" spans="1:4">
      <c r="A2473" t="s">
        <v>11672</v>
      </c>
      <c r="B2473" t="s">
        <v>24007</v>
      </c>
      <c r="C2473" t="s">
        <v>24008</v>
      </c>
      <c r="D2473" s="45" t="str">
        <f t="shared" si="70"/>
        <v>2023.017D.Poxviridae_55renam.zip</v>
      </c>
    </row>
    <row r="2474" spans="1:4">
      <c r="A2474" t="s">
        <v>11672</v>
      </c>
      <c r="B2474" t="s">
        <v>24009</v>
      </c>
      <c r="C2474" t="s">
        <v>24010</v>
      </c>
      <c r="D2474" s="45" t="str">
        <f t="shared" si="70"/>
        <v>2023.017D.Poxviridae_55renam.zip</v>
      </c>
    </row>
    <row r="2475" spans="1:4">
      <c r="A2475" t="s">
        <v>11672</v>
      </c>
      <c r="B2475" t="s">
        <v>24011</v>
      </c>
      <c r="C2475" t="s">
        <v>24012</v>
      </c>
      <c r="D2475" s="45" t="str">
        <f t="shared" si="70"/>
        <v>2023.017D.Poxviridae_55renam.zip</v>
      </c>
    </row>
    <row r="2476" spans="1:4">
      <c r="A2476" t="s">
        <v>11672</v>
      </c>
      <c r="B2476" t="s">
        <v>24013</v>
      </c>
      <c r="C2476" t="s">
        <v>24014</v>
      </c>
      <c r="D2476" s="45" t="str">
        <f t="shared" si="70"/>
        <v>2023.017D.Poxviridae_55renam.zip</v>
      </c>
    </row>
    <row r="2477" spans="1:4">
      <c r="A2477" t="s">
        <v>11672</v>
      </c>
      <c r="B2477" t="s">
        <v>24015</v>
      </c>
      <c r="C2477" t="s">
        <v>24016</v>
      </c>
      <c r="D2477" s="45" t="str">
        <f t="shared" si="70"/>
        <v>2023.017D.Poxviridae_55renam.zip</v>
      </c>
    </row>
    <row r="2478" spans="1:4">
      <c r="A2478" t="s">
        <v>11672</v>
      </c>
      <c r="B2478" t="s">
        <v>24017</v>
      </c>
      <c r="C2478" t="s">
        <v>24018</v>
      </c>
      <c r="D2478" s="45" t="str">
        <f t="shared" si="70"/>
        <v>2023.017D.Poxviridae_55renam.zip</v>
      </c>
    </row>
    <row r="2479" spans="1:4">
      <c r="A2479" t="s">
        <v>11672</v>
      </c>
      <c r="B2479" t="s">
        <v>24019</v>
      </c>
      <c r="C2479" t="s">
        <v>24020</v>
      </c>
      <c r="D2479" s="45" t="str">
        <f t="shared" si="70"/>
        <v>2023.017D.Poxviridae_55renam.zip</v>
      </c>
    </row>
    <row r="2480" spans="1:4">
      <c r="A2480" t="s">
        <v>11672</v>
      </c>
      <c r="B2480" t="s">
        <v>24021</v>
      </c>
      <c r="C2480" t="s">
        <v>24022</v>
      </c>
      <c r="D2480" s="45" t="str">
        <f t="shared" si="70"/>
        <v>2023.017D.Poxviridae_55renam.zip</v>
      </c>
    </row>
    <row r="2481" spans="1:4">
      <c r="A2481" t="s">
        <v>11672</v>
      </c>
      <c r="B2481" t="s">
        <v>24023</v>
      </c>
      <c r="C2481" t="s">
        <v>24024</v>
      </c>
      <c r="D2481" s="45" t="str">
        <f t="shared" si="70"/>
        <v>2023.017D.Poxviridae_55renam.zip</v>
      </c>
    </row>
    <row r="2482" spans="1:4">
      <c r="A2482" t="s">
        <v>11672</v>
      </c>
      <c r="B2482" t="s">
        <v>24025</v>
      </c>
      <c r="C2482" t="s">
        <v>24026</v>
      </c>
      <c r="D2482" s="45" t="str">
        <f t="shared" si="70"/>
        <v>2023.017D.Poxviridae_55renam.zip</v>
      </c>
    </row>
    <row r="2483" spans="1:4">
      <c r="A2483" t="s">
        <v>11672</v>
      </c>
      <c r="B2483" t="s">
        <v>24027</v>
      </c>
      <c r="C2483" t="s">
        <v>24028</v>
      </c>
      <c r="D2483" s="45" t="str">
        <f t="shared" si="70"/>
        <v>2023.017D.Poxviridae_55renam.zip</v>
      </c>
    </row>
    <row r="2484" spans="1:4">
      <c r="A2484" t="s">
        <v>11672</v>
      </c>
      <c r="B2484" t="s">
        <v>24029</v>
      </c>
      <c r="C2484" t="s">
        <v>24030</v>
      </c>
      <c r="D2484" s="45" t="str">
        <f t="shared" si="70"/>
        <v>2023.017D.Poxviridae_55renam.zip</v>
      </c>
    </row>
    <row r="2485" spans="1:4">
      <c r="A2485" t="s">
        <v>11672</v>
      </c>
      <c r="B2485" t="s">
        <v>24031</v>
      </c>
      <c r="C2485" t="s">
        <v>24032</v>
      </c>
      <c r="D2485" s="45" t="str">
        <f t="shared" si="70"/>
        <v>2023.017D.Poxviridae_55renam.zip</v>
      </c>
    </row>
    <row r="2486" spans="1:4">
      <c r="A2486" t="s">
        <v>11672</v>
      </c>
      <c r="B2486" t="s">
        <v>24033</v>
      </c>
      <c r="C2486" t="s">
        <v>24034</v>
      </c>
      <c r="D2486" s="45" t="str">
        <f t="shared" si="70"/>
        <v>2023.017D.Poxviridae_55renam.zip</v>
      </c>
    </row>
    <row r="2487" spans="1:4">
      <c r="A2487" t="s">
        <v>11672</v>
      </c>
      <c r="B2487" t="s">
        <v>24035</v>
      </c>
      <c r="C2487" t="s">
        <v>24036</v>
      </c>
      <c r="D2487" s="45" t="str">
        <f t="shared" ref="D2487:D2509" si="71">HYPERLINK("https://ictv.global/ictv/proposals/2023.017D.Poxviridae_55renam.zip","2023.017D.Poxviridae_55renam.zip")</f>
        <v>2023.017D.Poxviridae_55renam.zip</v>
      </c>
    </row>
    <row r="2488" spans="1:4">
      <c r="A2488" t="s">
        <v>11672</v>
      </c>
      <c r="B2488" t="s">
        <v>24037</v>
      </c>
      <c r="C2488" t="s">
        <v>24038</v>
      </c>
      <c r="D2488" s="45" t="str">
        <f t="shared" si="71"/>
        <v>2023.017D.Poxviridae_55renam.zip</v>
      </c>
    </row>
    <row r="2489" spans="1:4">
      <c r="A2489" t="s">
        <v>11672</v>
      </c>
      <c r="B2489" t="s">
        <v>24039</v>
      </c>
      <c r="C2489" t="s">
        <v>24040</v>
      </c>
      <c r="D2489" s="45" t="str">
        <f t="shared" si="71"/>
        <v>2023.017D.Poxviridae_55renam.zip</v>
      </c>
    </row>
    <row r="2490" spans="1:4">
      <c r="A2490" t="s">
        <v>11672</v>
      </c>
      <c r="B2490" t="s">
        <v>24041</v>
      </c>
      <c r="C2490" t="s">
        <v>24042</v>
      </c>
      <c r="D2490" s="45" t="str">
        <f t="shared" si="71"/>
        <v>2023.017D.Poxviridae_55renam.zip</v>
      </c>
    </row>
    <row r="2491" spans="1:4">
      <c r="A2491" t="s">
        <v>11672</v>
      </c>
      <c r="B2491" t="s">
        <v>24043</v>
      </c>
      <c r="C2491" t="s">
        <v>24044</v>
      </c>
      <c r="D2491" s="45" t="str">
        <f t="shared" si="71"/>
        <v>2023.017D.Poxviridae_55renam.zip</v>
      </c>
    </row>
    <row r="2492" spans="1:4">
      <c r="A2492" t="s">
        <v>11672</v>
      </c>
      <c r="B2492" t="s">
        <v>24045</v>
      </c>
      <c r="C2492" t="s">
        <v>24046</v>
      </c>
      <c r="D2492" s="45" t="str">
        <f t="shared" si="71"/>
        <v>2023.017D.Poxviridae_55renam.zip</v>
      </c>
    </row>
    <row r="2493" spans="1:4">
      <c r="A2493" t="s">
        <v>11672</v>
      </c>
      <c r="B2493" t="s">
        <v>24047</v>
      </c>
      <c r="C2493" t="s">
        <v>24048</v>
      </c>
      <c r="D2493" s="45" t="str">
        <f t="shared" si="71"/>
        <v>2023.017D.Poxviridae_55renam.zip</v>
      </c>
    </row>
    <row r="2494" spans="1:4">
      <c r="A2494" t="s">
        <v>11672</v>
      </c>
      <c r="B2494" t="s">
        <v>24049</v>
      </c>
      <c r="C2494" t="s">
        <v>24050</v>
      </c>
      <c r="D2494" s="45" t="str">
        <f t="shared" si="71"/>
        <v>2023.017D.Poxviridae_55renam.zip</v>
      </c>
    </row>
    <row r="2495" spans="1:4">
      <c r="A2495" t="s">
        <v>11672</v>
      </c>
      <c r="B2495" t="s">
        <v>24051</v>
      </c>
      <c r="C2495" t="s">
        <v>24052</v>
      </c>
      <c r="D2495" s="45" t="str">
        <f t="shared" si="71"/>
        <v>2023.017D.Poxviridae_55renam.zip</v>
      </c>
    </row>
    <row r="2496" spans="1:4">
      <c r="A2496" t="s">
        <v>11672</v>
      </c>
      <c r="B2496" t="s">
        <v>24053</v>
      </c>
      <c r="C2496" t="s">
        <v>24054</v>
      </c>
      <c r="D2496" s="45" t="str">
        <f t="shared" si="71"/>
        <v>2023.017D.Poxviridae_55renam.zip</v>
      </c>
    </row>
    <row r="2497" spans="1:4">
      <c r="A2497" t="s">
        <v>11672</v>
      </c>
      <c r="B2497" t="s">
        <v>24055</v>
      </c>
      <c r="C2497" t="s">
        <v>24056</v>
      </c>
      <c r="D2497" s="45" t="str">
        <f t="shared" si="71"/>
        <v>2023.017D.Poxviridae_55renam.zip</v>
      </c>
    </row>
    <row r="2498" spans="1:4">
      <c r="A2498" t="s">
        <v>11672</v>
      </c>
      <c r="B2498" t="s">
        <v>24057</v>
      </c>
      <c r="C2498" t="s">
        <v>24058</v>
      </c>
      <c r="D2498" s="45" t="str">
        <f t="shared" si="71"/>
        <v>2023.017D.Poxviridae_55renam.zip</v>
      </c>
    </row>
    <row r="2499" spans="1:4">
      <c r="A2499" t="s">
        <v>11672</v>
      </c>
      <c r="B2499" t="s">
        <v>24059</v>
      </c>
      <c r="C2499" t="s">
        <v>24060</v>
      </c>
      <c r="D2499" s="45" t="str">
        <f t="shared" si="71"/>
        <v>2023.017D.Poxviridae_55renam.zip</v>
      </c>
    </row>
    <row r="2500" spans="1:4">
      <c r="A2500" t="s">
        <v>11672</v>
      </c>
      <c r="B2500" t="s">
        <v>24061</v>
      </c>
      <c r="C2500" t="s">
        <v>24062</v>
      </c>
      <c r="D2500" s="45" t="str">
        <f t="shared" si="71"/>
        <v>2023.017D.Poxviridae_55renam.zip</v>
      </c>
    </row>
    <row r="2501" spans="1:4">
      <c r="A2501" t="s">
        <v>11672</v>
      </c>
      <c r="B2501" t="s">
        <v>24063</v>
      </c>
      <c r="C2501" t="s">
        <v>24064</v>
      </c>
      <c r="D2501" s="45" t="str">
        <f t="shared" si="71"/>
        <v>2023.017D.Poxviridae_55renam.zip</v>
      </c>
    </row>
    <row r="2502" spans="1:4">
      <c r="A2502" t="s">
        <v>11672</v>
      </c>
      <c r="B2502" t="s">
        <v>24065</v>
      </c>
      <c r="C2502" t="s">
        <v>24066</v>
      </c>
      <c r="D2502" s="45" t="str">
        <f t="shared" si="71"/>
        <v>2023.017D.Poxviridae_55renam.zip</v>
      </c>
    </row>
    <row r="2503" spans="1:4">
      <c r="A2503" t="s">
        <v>11672</v>
      </c>
      <c r="B2503" t="s">
        <v>24067</v>
      </c>
      <c r="C2503" t="s">
        <v>24068</v>
      </c>
      <c r="D2503" s="45" t="str">
        <f t="shared" si="71"/>
        <v>2023.017D.Poxviridae_55renam.zip</v>
      </c>
    </row>
    <row r="2504" spans="1:4">
      <c r="A2504" t="s">
        <v>11672</v>
      </c>
      <c r="B2504" t="s">
        <v>24069</v>
      </c>
      <c r="C2504" t="s">
        <v>24070</v>
      </c>
      <c r="D2504" s="45" t="str">
        <f t="shared" si="71"/>
        <v>2023.017D.Poxviridae_55renam.zip</v>
      </c>
    </row>
    <row r="2505" spans="1:4">
      <c r="A2505" t="s">
        <v>11672</v>
      </c>
      <c r="B2505" t="s">
        <v>24071</v>
      </c>
      <c r="C2505" t="s">
        <v>24072</v>
      </c>
      <c r="D2505" s="45" t="str">
        <f t="shared" si="71"/>
        <v>2023.017D.Poxviridae_55renam.zip</v>
      </c>
    </row>
    <row r="2506" spans="1:4">
      <c r="A2506" t="s">
        <v>11672</v>
      </c>
      <c r="B2506" t="s">
        <v>24073</v>
      </c>
      <c r="C2506" t="s">
        <v>24074</v>
      </c>
      <c r="D2506" s="45" t="str">
        <f t="shared" si="71"/>
        <v>2023.017D.Poxviridae_55renam.zip</v>
      </c>
    </row>
    <row r="2507" spans="1:4">
      <c r="A2507" t="s">
        <v>11672</v>
      </c>
      <c r="B2507" t="s">
        <v>24075</v>
      </c>
      <c r="C2507" t="s">
        <v>24076</v>
      </c>
      <c r="D2507" s="45" t="str">
        <f t="shared" si="71"/>
        <v>2023.017D.Poxviridae_55renam.zip</v>
      </c>
    </row>
    <row r="2508" spans="1:4">
      <c r="A2508" t="s">
        <v>11672</v>
      </c>
      <c r="B2508" t="s">
        <v>24077</v>
      </c>
      <c r="C2508" t="s">
        <v>24078</v>
      </c>
      <c r="D2508" s="45" t="str">
        <f t="shared" si="71"/>
        <v>2023.017D.Poxviridae_55renam.zip</v>
      </c>
    </row>
    <row r="2509" spans="1:4">
      <c r="A2509" t="s">
        <v>11672</v>
      </c>
      <c r="B2509" t="s">
        <v>24079</v>
      </c>
      <c r="C2509" t="s">
        <v>24080</v>
      </c>
      <c r="D2509" s="45" t="str">
        <f t="shared" si="71"/>
        <v>2023.017D.Poxviridae_55renam.zip</v>
      </c>
    </row>
    <row r="2510" spans="1:4">
      <c r="A2510" t="s">
        <v>11672</v>
      </c>
      <c r="B2510" t="s">
        <v>24081</v>
      </c>
      <c r="C2510" t="s">
        <v>24082</v>
      </c>
      <c r="D2510" s="45" t="str">
        <f>HYPERLINK("https://ictv.global/ictv/proposals/2023.016D.Poxviridae_1ng.zip","2023.016D.Poxviridae_1ng.zip")</f>
        <v>2023.016D.Poxviridae_1ng.zip</v>
      </c>
    </row>
    <row r="2511" spans="1:4">
      <c r="A2511" t="s">
        <v>11672</v>
      </c>
      <c r="B2511" t="s">
        <v>24085</v>
      </c>
      <c r="C2511" t="s">
        <v>24086</v>
      </c>
      <c r="D2511" s="45" t="str">
        <f>HYPERLINK("https://ictv.global/ictv/proposals/2023.009F.Virophages_reorg.zip","2023.009F.Virophages_reorg.zip")</f>
        <v>2023.009F.Virophages_reorg.zip</v>
      </c>
    </row>
    <row r="2512" spans="1:4">
      <c r="A2512" t="s">
        <v>11672</v>
      </c>
      <c r="B2512" t="s">
        <v>24087</v>
      </c>
      <c r="C2512" t="s">
        <v>24088</v>
      </c>
      <c r="D2512" s="45" t="str">
        <f>HYPERLINK("https://ictv.global/ictv/proposals/2023.009F.Virophages_reorg.zip","2023.009F.Virophages_reorg.zip")</f>
        <v>2023.009F.Virophages_reorg.zip</v>
      </c>
    </row>
    <row r="2513" spans="1:4">
      <c r="A2513" t="s">
        <v>11672</v>
      </c>
      <c r="B2513" t="s">
        <v>24089</v>
      </c>
      <c r="C2513" t="s">
        <v>24090</v>
      </c>
      <c r="D2513" s="45" t="str">
        <f>HYPERLINK("https://ictv.global/ictv/proposals/2023.009F.Virophages_reorg.zip","2023.009F.Virophages_reorg.zip")</f>
        <v>2023.009F.Virophages_reorg.zip</v>
      </c>
    </row>
    <row r="2514" spans="1:4">
      <c r="A2514" t="s">
        <v>11672</v>
      </c>
      <c r="B2514" t="s">
        <v>24091</v>
      </c>
      <c r="C2514" t="s">
        <v>24092</v>
      </c>
      <c r="D2514" s="45" t="str">
        <f>HYPERLINK("https://ictv.global/ictv/proposals/2023.001A.Archaeal_binomials.zip","2023.001A.Archaeal_binomials.zip")</f>
        <v>2023.001A.Archaeal_binomials.zip</v>
      </c>
    </row>
    <row r="2515" spans="1:4">
      <c r="A2515" t="s">
        <v>11672</v>
      </c>
      <c r="B2515" t="s">
        <v>24093</v>
      </c>
      <c r="C2515" t="s">
        <v>24094</v>
      </c>
      <c r="D2515" s="45" t="str">
        <f>HYPERLINK("https://ictv.global/ictv/proposals/2023.001A.Archaeal_binomials.zip","2023.001A.Archaeal_binomials.zip")</f>
        <v>2023.001A.Archaeal_binomials.zip</v>
      </c>
    </row>
    <row r="2516" spans="1:4">
      <c r="A2516" t="s">
        <v>11672</v>
      </c>
      <c r="B2516" t="s">
        <v>24095</v>
      </c>
      <c r="C2516" t="s">
        <v>24096</v>
      </c>
      <c r="D2516" s="45" t="str">
        <f t="shared" ref="D2516:D2547" si="72">HYPERLINK("https://ictv.global/ictv/proposals/2023.008D.Adenoviridae_1reng_22ns_86rensp.zip","2023.008D.Adenoviridae_1reng_22ns_86rensp.zip")</f>
        <v>2023.008D.Adenoviridae_1reng_22ns_86rensp.zip</v>
      </c>
    </row>
    <row r="2517" spans="1:4">
      <c r="A2517" t="s">
        <v>11672</v>
      </c>
      <c r="B2517" t="s">
        <v>24097</v>
      </c>
      <c r="C2517" t="s">
        <v>24098</v>
      </c>
      <c r="D2517" s="45" t="str">
        <f t="shared" si="72"/>
        <v>2023.008D.Adenoviridae_1reng_22ns_86rensp.zip</v>
      </c>
    </row>
    <row r="2518" spans="1:4">
      <c r="A2518" t="s">
        <v>11672</v>
      </c>
      <c r="B2518" t="s">
        <v>24099</v>
      </c>
      <c r="C2518" t="s">
        <v>24100</v>
      </c>
      <c r="D2518" s="45" t="str">
        <f t="shared" si="72"/>
        <v>2023.008D.Adenoviridae_1reng_22ns_86rensp.zip</v>
      </c>
    </row>
    <row r="2519" spans="1:4">
      <c r="A2519" t="s">
        <v>11672</v>
      </c>
      <c r="B2519" t="s">
        <v>24101</v>
      </c>
      <c r="C2519" t="s">
        <v>24102</v>
      </c>
      <c r="D2519" s="45" t="str">
        <f t="shared" si="72"/>
        <v>2023.008D.Adenoviridae_1reng_22ns_86rensp.zip</v>
      </c>
    </row>
    <row r="2520" spans="1:4">
      <c r="A2520" t="s">
        <v>11672</v>
      </c>
      <c r="B2520" t="s">
        <v>24103</v>
      </c>
      <c r="C2520" t="s">
        <v>24104</v>
      </c>
      <c r="D2520" s="45" t="str">
        <f t="shared" si="72"/>
        <v>2023.008D.Adenoviridae_1reng_22ns_86rensp.zip</v>
      </c>
    </row>
    <row r="2521" spans="1:4">
      <c r="A2521" t="s">
        <v>11672</v>
      </c>
      <c r="B2521" t="s">
        <v>24105</v>
      </c>
      <c r="C2521" t="s">
        <v>24106</v>
      </c>
      <c r="D2521" s="45" t="str">
        <f t="shared" si="72"/>
        <v>2023.008D.Adenoviridae_1reng_22ns_86rensp.zip</v>
      </c>
    </row>
    <row r="2522" spans="1:4">
      <c r="A2522" t="s">
        <v>11672</v>
      </c>
      <c r="B2522" t="s">
        <v>24107</v>
      </c>
      <c r="C2522" t="s">
        <v>24108</v>
      </c>
      <c r="D2522" s="45" t="str">
        <f t="shared" si="72"/>
        <v>2023.008D.Adenoviridae_1reng_22ns_86rensp.zip</v>
      </c>
    </row>
    <row r="2523" spans="1:4">
      <c r="A2523" t="s">
        <v>11672</v>
      </c>
      <c r="B2523" t="s">
        <v>24109</v>
      </c>
      <c r="C2523" t="s">
        <v>24110</v>
      </c>
      <c r="D2523" s="45" t="str">
        <f t="shared" si="72"/>
        <v>2023.008D.Adenoviridae_1reng_22ns_86rensp.zip</v>
      </c>
    </row>
    <row r="2524" spans="1:4">
      <c r="A2524" t="s">
        <v>11672</v>
      </c>
      <c r="B2524" t="s">
        <v>24111</v>
      </c>
      <c r="C2524" t="s">
        <v>24112</v>
      </c>
      <c r="D2524" s="45" t="str">
        <f t="shared" si="72"/>
        <v>2023.008D.Adenoviridae_1reng_22ns_86rensp.zip</v>
      </c>
    </row>
    <row r="2525" spans="1:4">
      <c r="A2525" t="s">
        <v>11672</v>
      </c>
      <c r="B2525" t="s">
        <v>24113</v>
      </c>
      <c r="C2525" t="s">
        <v>24114</v>
      </c>
      <c r="D2525" s="45" t="str">
        <f t="shared" si="72"/>
        <v>2023.008D.Adenoviridae_1reng_22ns_86rensp.zip</v>
      </c>
    </row>
    <row r="2526" spans="1:4">
      <c r="A2526" t="s">
        <v>11672</v>
      </c>
      <c r="B2526" t="s">
        <v>24115</v>
      </c>
      <c r="C2526" t="s">
        <v>24116</v>
      </c>
      <c r="D2526" s="45" t="str">
        <f t="shared" si="72"/>
        <v>2023.008D.Adenoviridae_1reng_22ns_86rensp.zip</v>
      </c>
    </row>
    <row r="2527" spans="1:4">
      <c r="A2527" t="s">
        <v>11672</v>
      </c>
      <c r="B2527" t="s">
        <v>24117</v>
      </c>
      <c r="C2527" t="s">
        <v>24118</v>
      </c>
      <c r="D2527" s="45" t="str">
        <f t="shared" si="72"/>
        <v>2023.008D.Adenoviridae_1reng_22ns_86rensp.zip</v>
      </c>
    </row>
    <row r="2528" spans="1:4">
      <c r="A2528" t="s">
        <v>11672</v>
      </c>
      <c r="B2528" t="s">
        <v>24119</v>
      </c>
      <c r="C2528" t="s">
        <v>24120</v>
      </c>
      <c r="D2528" s="45" t="str">
        <f t="shared" si="72"/>
        <v>2023.008D.Adenoviridae_1reng_22ns_86rensp.zip</v>
      </c>
    </row>
    <row r="2529" spans="1:4">
      <c r="A2529" t="s">
        <v>11672</v>
      </c>
      <c r="B2529" t="s">
        <v>24121</v>
      </c>
      <c r="C2529" t="s">
        <v>24122</v>
      </c>
      <c r="D2529" s="45" t="str">
        <f t="shared" si="72"/>
        <v>2023.008D.Adenoviridae_1reng_22ns_86rensp.zip</v>
      </c>
    </row>
    <row r="2530" spans="1:4">
      <c r="A2530" t="s">
        <v>11672</v>
      </c>
      <c r="B2530" t="s">
        <v>24123</v>
      </c>
      <c r="C2530" t="s">
        <v>24124</v>
      </c>
      <c r="D2530" s="45" t="str">
        <f t="shared" si="72"/>
        <v>2023.008D.Adenoviridae_1reng_22ns_86rensp.zip</v>
      </c>
    </row>
    <row r="2531" spans="1:4">
      <c r="A2531" t="s">
        <v>11672</v>
      </c>
      <c r="B2531" t="s">
        <v>24127</v>
      </c>
      <c r="C2531" t="s">
        <v>24128</v>
      </c>
      <c r="D2531" s="45" t="str">
        <f t="shared" si="72"/>
        <v>2023.008D.Adenoviridae_1reng_22ns_86rensp.zip</v>
      </c>
    </row>
    <row r="2532" spans="1:4">
      <c r="A2532" t="s">
        <v>11672</v>
      </c>
      <c r="B2532" t="s">
        <v>24129</v>
      </c>
      <c r="C2532" t="s">
        <v>24130</v>
      </c>
      <c r="D2532" s="45" t="str">
        <f t="shared" si="72"/>
        <v>2023.008D.Adenoviridae_1reng_22ns_86rensp.zip</v>
      </c>
    </row>
    <row r="2533" spans="1:4">
      <c r="A2533" t="s">
        <v>11672</v>
      </c>
      <c r="B2533" t="s">
        <v>24131</v>
      </c>
      <c r="C2533" t="s">
        <v>24132</v>
      </c>
      <c r="D2533" s="45" t="str">
        <f t="shared" si="72"/>
        <v>2023.008D.Adenoviridae_1reng_22ns_86rensp.zip</v>
      </c>
    </row>
    <row r="2534" spans="1:4">
      <c r="A2534" t="s">
        <v>11672</v>
      </c>
      <c r="B2534" t="s">
        <v>24133</v>
      </c>
      <c r="C2534" t="s">
        <v>24134</v>
      </c>
      <c r="D2534" s="45" t="str">
        <f t="shared" si="72"/>
        <v>2023.008D.Adenoviridae_1reng_22ns_86rensp.zip</v>
      </c>
    </row>
    <row r="2535" spans="1:4">
      <c r="A2535" t="s">
        <v>11672</v>
      </c>
      <c r="B2535" t="s">
        <v>24135</v>
      </c>
      <c r="C2535" t="s">
        <v>24136</v>
      </c>
      <c r="D2535" s="45" t="str">
        <f t="shared" si="72"/>
        <v>2023.008D.Adenoviridae_1reng_22ns_86rensp.zip</v>
      </c>
    </row>
    <row r="2536" spans="1:4">
      <c r="A2536" t="s">
        <v>11672</v>
      </c>
      <c r="B2536" t="s">
        <v>24137</v>
      </c>
      <c r="C2536" t="s">
        <v>24138</v>
      </c>
      <c r="D2536" s="45" t="str">
        <f t="shared" si="72"/>
        <v>2023.008D.Adenoviridae_1reng_22ns_86rensp.zip</v>
      </c>
    </row>
    <row r="2537" spans="1:4">
      <c r="A2537" t="s">
        <v>11672</v>
      </c>
      <c r="B2537" t="s">
        <v>24139</v>
      </c>
      <c r="C2537" t="s">
        <v>24140</v>
      </c>
      <c r="D2537" s="45" t="str">
        <f t="shared" si="72"/>
        <v>2023.008D.Adenoviridae_1reng_22ns_86rensp.zip</v>
      </c>
    </row>
    <row r="2538" spans="1:4">
      <c r="A2538" t="s">
        <v>11672</v>
      </c>
      <c r="B2538" t="s">
        <v>24141</v>
      </c>
      <c r="C2538" t="s">
        <v>24142</v>
      </c>
      <c r="D2538" s="45" t="str">
        <f t="shared" si="72"/>
        <v>2023.008D.Adenoviridae_1reng_22ns_86rensp.zip</v>
      </c>
    </row>
    <row r="2539" spans="1:4">
      <c r="A2539" t="s">
        <v>11672</v>
      </c>
      <c r="B2539" t="s">
        <v>24143</v>
      </c>
      <c r="C2539" t="s">
        <v>24144</v>
      </c>
      <c r="D2539" s="45" t="str">
        <f t="shared" si="72"/>
        <v>2023.008D.Adenoviridae_1reng_22ns_86rensp.zip</v>
      </c>
    </row>
    <row r="2540" spans="1:4">
      <c r="A2540" t="s">
        <v>11672</v>
      </c>
      <c r="B2540" t="s">
        <v>24145</v>
      </c>
      <c r="C2540" t="s">
        <v>24146</v>
      </c>
      <c r="D2540" s="45" t="str">
        <f t="shared" si="72"/>
        <v>2023.008D.Adenoviridae_1reng_22ns_86rensp.zip</v>
      </c>
    </row>
    <row r="2541" spans="1:4">
      <c r="A2541" t="s">
        <v>11672</v>
      </c>
      <c r="B2541" t="s">
        <v>24147</v>
      </c>
      <c r="C2541" t="s">
        <v>24148</v>
      </c>
      <c r="D2541" s="45" t="str">
        <f t="shared" si="72"/>
        <v>2023.008D.Adenoviridae_1reng_22ns_86rensp.zip</v>
      </c>
    </row>
    <row r="2542" spans="1:4">
      <c r="A2542" t="s">
        <v>11672</v>
      </c>
      <c r="B2542" t="s">
        <v>24149</v>
      </c>
      <c r="C2542" t="s">
        <v>24150</v>
      </c>
      <c r="D2542" s="45" t="str">
        <f t="shared" si="72"/>
        <v>2023.008D.Adenoviridae_1reng_22ns_86rensp.zip</v>
      </c>
    </row>
    <row r="2543" spans="1:4">
      <c r="A2543" t="s">
        <v>11672</v>
      </c>
      <c r="B2543" t="s">
        <v>24151</v>
      </c>
      <c r="C2543" t="s">
        <v>24152</v>
      </c>
      <c r="D2543" s="45" t="str">
        <f t="shared" si="72"/>
        <v>2023.008D.Adenoviridae_1reng_22ns_86rensp.zip</v>
      </c>
    </row>
    <row r="2544" spans="1:4">
      <c r="A2544" t="s">
        <v>11672</v>
      </c>
      <c r="B2544" t="s">
        <v>24153</v>
      </c>
      <c r="C2544" t="s">
        <v>24154</v>
      </c>
      <c r="D2544" s="45" t="str">
        <f t="shared" si="72"/>
        <v>2023.008D.Adenoviridae_1reng_22ns_86rensp.zip</v>
      </c>
    </row>
    <row r="2545" spans="1:4">
      <c r="A2545" t="s">
        <v>11672</v>
      </c>
      <c r="B2545" t="s">
        <v>24155</v>
      </c>
      <c r="C2545" t="s">
        <v>24156</v>
      </c>
      <c r="D2545" s="45" t="str">
        <f t="shared" si="72"/>
        <v>2023.008D.Adenoviridae_1reng_22ns_86rensp.zip</v>
      </c>
    </row>
    <row r="2546" spans="1:4">
      <c r="A2546" t="s">
        <v>11672</v>
      </c>
      <c r="B2546" t="s">
        <v>24157</v>
      </c>
      <c r="C2546" t="s">
        <v>24158</v>
      </c>
      <c r="D2546" s="45" t="str">
        <f t="shared" si="72"/>
        <v>2023.008D.Adenoviridae_1reng_22ns_86rensp.zip</v>
      </c>
    </row>
    <row r="2547" spans="1:4">
      <c r="A2547" t="s">
        <v>11672</v>
      </c>
      <c r="B2547" t="s">
        <v>24159</v>
      </c>
      <c r="C2547" t="s">
        <v>24160</v>
      </c>
      <c r="D2547" s="45" t="str">
        <f t="shared" si="72"/>
        <v>2023.008D.Adenoviridae_1reng_22ns_86rensp.zip</v>
      </c>
    </row>
    <row r="2548" spans="1:4">
      <c r="A2548" t="s">
        <v>11672</v>
      </c>
      <c r="B2548" t="s">
        <v>24161</v>
      </c>
      <c r="C2548" t="s">
        <v>24162</v>
      </c>
      <c r="D2548" s="45" t="str">
        <f t="shared" ref="D2548:D2579" si="73">HYPERLINK("https://ictv.global/ictv/proposals/2023.008D.Adenoviridae_1reng_22ns_86rensp.zip","2023.008D.Adenoviridae_1reng_22ns_86rensp.zip")</f>
        <v>2023.008D.Adenoviridae_1reng_22ns_86rensp.zip</v>
      </c>
    </row>
    <row r="2549" spans="1:4">
      <c r="A2549" t="s">
        <v>11672</v>
      </c>
      <c r="B2549" t="s">
        <v>24163</v>
      </c>
      <c r="C2549" t="s">
        <v>24164</v>
      </c>
      <c r="D2549" s="45" t="str">
        <f t="shared" si="73"/>
        <v>2023.008D.Adenoviridae_1reng_22ns_86rensp.zip</v>
      </c>
    </row>
    <row r="2550" spans="1:4">
      <c r="A2550" t="s">
        <v>11672</v>
      </c>
      <c r="B2550" t="s">
        <v>24165</v>
      </c>
      <c r="C2550" t="s">
        <v>24166</v>
      </c>
      <c r="D2550" s="45" t="str">
        <f t="shared" si="73"/>
        <v>2023.008D.Adenoviridae_1reng_22ns_86rensp.zip</v>
      </c>
    </row>
    <row r="2551" spans="1:4">
      <c r="A2551" t="s">
        <v>11672</v>
      </c>
      <c r="B2551" t="s">
        <v>24167</v>
      </c>
      <c r="C2551" t="s">
        <v>24168</v>
      </c>
      <c r="D2551" s="45" t="str">
        <f t="shared" si="73"/>
        <v>2023.008D.Adenoviridae_1reng_22ns_86rensp.zip</v>
      </c>
    </row>
    <row r="2552" spans="1:4">
      <c r="A2552" t="s">
        <v>11672</v>
      </c>
      <c r="B2552" t="s">
        <v>24169</v>
      </c>
      <c r="C2552" t="s">
        <v>24170</v>
      </c>
      <c r="D2552" s="45" t="str">
        <f t="shared" si="73"/>
        <v>2023.008D.Adenoviridae_1reng_22ns_86rensp.zip</v>
      </c>
    </row>
    <row r="2553" spans="1:4">
      <c r="A2553" t="s">
        <v>11672</v>
      </c>
      <c r="B2553" t="s">
        <v>24171</v>
      </c>
      <c r="C2553" t="s">
        <v>24172</v>
      </c>
      <c r="D2553" s="45" t="str">
        <f t="shared" si="73"/>
        <v>2023.008D.Adenoviridae_1reng_22ns_86rensp.zip</v>
      </c>
    </row>
    <row r="2554" spans="1:4">
      <c r="A2554" t="s">
        <v>11672</v>
      </c>
      <c r="B2554" t="s">
        <v>24173</v>
      </c>
      <c r="C2554" t="s">
        <v>24174</v>
      </c>
      <c r="D2554" s="45" t="str">
        <f t="shared" si="73"/>
        <v>2023.008D.Adenoviridae_1reng_22ns_86rensp.zip</v>
      </c>
    </row>
    <row r="2555" spans="1:4">
      <c r="A2555" t="s">
        <v>11672</v>
      </c>
      <c r="B2555" t="s">
        <v>24175</v>
      </c>
      <c r="C2555" t="s">
        <v>24176</v>
      </c>
      <c r="D2555" s="45" t="str">
        <f t="shared" si="73"/>
        <v>2023.008D.Adenoviridae_1reng_22ns_86rensp.zip</v>
      </c>
    </row>
    <row r="2556" spans="1:4">
      <c r="A2556" t="s">
        <v>11672</v>
      </c>
      <c r="B2556" t="s">
        <v>24177</v>
      </c>
      <c r="C2556" t="s">
        <v>24178</v>
      </c>
      <c r="D2556" s="45" t="str">
        <f t="shared" si="73"/>
        <v>2023.008D.Adenoviridae_1reng_22ns_86rensp.zip</v>
      </c>
    </row>
    <row r="2557" spans="1:4">
      <c r="A2557" t="s">
        <v>11672</v>
      </c>
      <c r="B2557" t="s">
        <v>24179</v>
      </c>
      <c r="C2557" t="s">
        <v>24180</v>
      </c>
      <c r="D2557" s="45" t="str">
        <f t="shared" si="73"/>
        <v>2023.008D.Adenoviridae_1reng_22ns_86rensp.zip</v>
      </c>
    </row>
    <row r="2558" spans="1:4">
      <c r="A2558" t="s">
        <v>11672</v>
      </c>
      <c r="B2558" t="s">
        <v>24181</v>
      </c>
      <c r="C2558" t="s">
        <v>24182</v>
      </c>
      <c r="D2558" s="45" t="str">
        <f t="shared" si="73"/>
        <v>2023.008D.Adenoviridae_1reng_22ns_86rensp.zip</v>
      </c>
    </row>
    <row r="2559" spans="1:4">
      <c r="A2559" t="s">
        <v>11672</v>
      </c>
      <c r="B2559" t="s">
        <v>24183</v>
      </c>
      <c r="C2559" t="s">
        <v>24184</v>
      </c>
      <c r="D2559" s="45" t="str">
        <f t="shared" si="73"/>
        <v>2023.008D.Adenoviridae_1reng_22ns_86rensp.zip</v>
      </c>
    </row>
    <row r="2560" spans="1:4">
      <c r="A2560" t="s">
        <v>11672</v>
      </c>
      <c r="B2560" t="s">
        <v>24185</v>
      </c>
      <c r="C2560" t="s">
        <v>24186</v>
      </c>
      <c r="D2560" s="45" t="str">
        <f t="shared" si="73"/>
        <v>2023.008D.Adenoviridae_1reng_22ns_86rensp.zip</v>
      </c>
    </row>
    <row r="2561" spans="1:4">
      <c r="A2561" t="s">
        <v>11672</v>
      </c>
      <c r="B2561" t="s">
        <v>24187</v>
      </c>
      <c r="C2561" t="s">
        <v>24188</v>
      </c>
      <c r="D2561" s="45" t="str">
        <f t="shared" si="73"/>
        <v>2023.008D.Adenoviridae_1reng_22ns_86rensp.zip</v>
      </c>
    </row>
    <row r="2562" spans="1:4">
      <c r="A2562" t="s">
        <v>11672</v>
      </c>
      <c r="B2562" t="s">
        <v>24189</v>
      </c>
      <c r="C2562" t="s">
        <v>24190</v>
      </c>
      <c r="D2562" s="45" t="str">
        <f t="shared" si="73"/>
        <v>2023.008D.Adenoviridae_1reng_22ns_86rensp.zip</v>
      </c>
    </row>
    <row r="2563" spans="1:4">
      <c r="A2563" t="s">
        <v>11672</v>
      </c>
      <c r="B2563" t="s">
        <v>24191</v>
      </c>
      <c r="C2563" t="s">
        <v>24192</v>
      </c>
      <c r="D2563" s="45" t="str">
        <f t="shared" si="73"/>
        <v>2023.008D.Adenoviridae_1reng_22ns_86rensp.zip</v>
      </c>
    </row>
    <row r="2564" spans="1:4">
      <c r="A2564" t="s">
        <v>11672</v>
      </c>
      <c r="B2564" t="s">
        <v>24193</v>
      </c>
      <c r="C2564" t="s">
        <v>24194</v>
      </c>
      <c r="D2564" s="45" t="str">
        <f t="shared" si="73"/>
        <v>2023.008D.Adenoviridae_1reng_22ns_86rensp.zip</v>
      </c>
    </row>
    <row r="2565" spans="1:4">
      <c r="A2565" t="s">
        <v>11672</v>
      </c>
      <c r="B2565" t="s">
        <v>24195</v>
      </c>
      <c r="C2565" t="s">
        <v>24196</v>
      </c>
      <c r="D2565" s="45" t="str">
        <f t="shared" si="73"/>
        <v>2023.008D.Adenoviridae_1reng_22ns_86rensp.zip</v>
      </c>
    </row>
    <row r="2566" spans="1:4">
      <c r="A2566" t="s">
        <v>11672</v>
      </c>
      <c r="B2566" t="s">
        <v>24197</v>
      </c>
      <c r="C2566" t="s">
        <v>24198</v>
      </c>
      <c r="D2566" s="45" t="str">
        <f t="shared" si="73"/>
        <v>2023.008D.Adenoviridae_1reng_22ns_86rensp.zip</v>
      </c>
    </row>
    <row r="2567" spans="1:4">
      <c r="A2567" t="s">
        <v>11672</v>
      </c>
      <c r="B2567" t="s">
        <v>24199</v>
      </c>
      <c r="C2567" t="s">
        <v>24200</v>
      </c>
      <c r="D2567" s="45" t="str">
        <f t="shared" si="73"/>
        <v>2023.008D.Adenoviridae_1reng_22ns_86rensp.zip</v>
      </c>
    </row>
    <row r="2568" spans="1:4">
      <c r="A2568" t="s">
        <v>11672</v>
      </c>
      <c r="B2568" t="s">
        <v>24201</v>
      </c>
      <c r="C2568" t="s">
        <v>24202</v>
      </c>
      <c r="D2568" s="45" t="str">
        <f t="shared" si="73"/>
        <v>2023.008D.Adenoviridae_1reng_22ns_86rensp.zip</v>
      </c>
    </row>
    <row r="2569" spans="1:4">
      <c r="A2569" t="s">
        <v>11672</v>
      </c>
      <c r="B2569" t="s">
        <v>24203</v>
      </c>
      <c r="C2569" t="s">
        <v>24204</v>
      </c>
      <c r="D2569" s="45" t="str">
        <f t="shared" si="73"/>
        <v>2023.008D.Adenoviridae_1reng_22ns_86rensp.zip</v>
      </c>
    </row>
    <row r="2570" spans="1:4">
      <c r="A2570" t="s">
        <v>11672</v>
      </c>
      <c r="B2570" t="s">
        <v>24205</v>
      </c>
      <c r="C2570" t="s">
        <v>24206</v>
      </c>
      <c r="D2570" s="45" t="str">
        <f t="shared" si="73"/>
        <v>2023.008D.Adenoviridae_1reng_22ns_86rensp.zip</v>
      </c>
    </row>
    <row r="2571" spans="1:4">
      <c r="A2571" t="s">
        <v>11672</v>
      </c>
      <c r="B2571" t="s">
        <v>24207</v>
      </c>
      <c r="C2571" t="s">
        <v>24208</v>
      </c>
      <c r="D2571" s="45" t="str">
        <f t="shared" si="73"/>
        <v>2023.008D.Adenoviridae_1reng_22ns_86rensp.zip</v>
      </c>
    </row>
    <row r="2572" spans="1:4">
      <c r="A2572" t="s">
        <v>11672</v>
      </c>
      <c r="B2572" t="s">
        <v>24209</v>
      </c>
      <c r="C2572" t="s">
        <v>24210</v>
      </c>
      <c r="D2572" s="45" t="str">
        <f t="shared" si="73"/>
        <v>2023.008D.Adenoviridae_1reng_22ns_86rensp.zip</v>
      </c>
    </row>
    <row r="2573" spans="1:4">
      <c r="A2573" t="s">
        <v>11672</v>
      </c>
      <c r="B2573" t="s">
        <v>24211</v>
      </c>
      <c r="C2573" t="s">
        <v>24212</v>
      </c>
      <c r="D2573" s="45" t="str">
        <f t="shared" si="73"/>
        <v>2023.008D.Adenoviridae_1reng_22ns_86rensp.zip</v>
      </c>
    </row>
    <row r="2574" spans="1:4">
      <c r="A2574" t="s">
        <v>11672</v>
      </c>
      <c r="B2574" t="s">
        <v>24213</v>
      </c>
      <c r="C2574" t="s">
        <v>24214</v>
      </c>
      <c r="D2574" s="45" t="str">
        <f t="shared" si="73"/>
        <v>2023.008D.Adenoviridae_1reng_22ns_86rensp.zip</v>
      </c>
    </row>
    <row r="2575" spans="1:4">
      <c r="A2575" t="s">
        <v>11672</v>
      </c>
      <c r="B2575" t="s">
        <v>24215</v>
      </c>
      <c r="C2575" t="s">
        <v>24216</v>
      </c>
      <c r="D2575" s="45" t="str">
        <f t="shared" si="73"/>
        <v>2023.008D.Adenoviridae_1reng_22ns_86rensp.zip</v>
      </c>
    </row>
    <row r="2576" spans="1:4">
      <c r="A2576" t="s">
        <v>11672</v>
      </c>
      <c r="B2576" t="s">
        <v>24217</v>
      </c>
      <c r="C2576" t="s">
        <v>24218</v>
      </c>
      <c r="D2576" s="45" t="str">
        <f t="shared" si="73"/>
        <v>2023.008D.Adenoviridae_1reng_22ns_86rensp.zip</v>
      </c>
    </row>
    <row r="2577" spans="1:4">
      <c r="A2577" t="s">
        <v>11672</v>
      </c>
      <c r="B2577" t="s">
        <v>24219</v>
      </c>
      <c r="C2577" t="s">
        <v>24220</v>
      </c>
      <c r="D2577" s="45" t="str">
        <f t="shared" si="73"/>
        <v>2023.008D.Adenoviridae_1reng_22ns_86rensp.zip</v>
      </c>
    </row>
    <row r="2578" spans="1:4">
      <c r="A2578" t="s">
        <v>11672</v>
      </c>
      <c r="B2578" t="s">
        <v>24221</v>
      </c>
      <c r="C2578" t="s">
        <v>24222</v>
      </c>
      <c r="D2578" s="45" t="str">
        <f t="shared" si="73"/>
        <v>2023.008D.Adenoviridae_1reng_22ns_86rensp.zip</v>
      </c>
    </row>
    <row r="2579" spans="1:4">
      <c r="A2579" t="s">
        <v>11672</v>
      </c>
      <c r="B2579" t="s">
        <v>24223</v>
      </c>
      <c r="C2579" t="s">
        <v>24224</v>
      </c>
      <c r="D2579" s="45" t="str">
        <f t="shared" si="73"/>
        <v>2023.008D.Adenoviridae_1reng_22ns_86rensp.zip</v>
      </c>
    </row>
    <row r="2580" spans="1:4">
      <c r="A2580" t="s">
        <v>11672</v>
      </c>
      <c r="B2580" t="s">
        <v>24225</v>
      </c>
      <c r="C2580" t="s">
        <v>24226</v>
      </c>
      <c r="D2580" s="45" t="str">
        <f t="shared" ref="D2580:D2601" si="74">HYPERLINK("https://ictv.global/ictv/proposals/2023.008D.Adenoviridae_1reng_22ns_86rensp.zip","2023.008D.Adenoviridae_1reng_22ns_86rensp.zip")</f>
        <v>2023.008D.Adenoviridae_1reng_22ns_86rensp.zip</v>
      </c>
    </row>
    <row r="2581" spans="1:4">
      <c r="A2581" t="s">
        <v>11672</v>
      </c>
      <c r="B2581" t="s">
        <v>24227</v>
      </c>
      <c r="C2581" t="s">
        <v>24228</v>
      </c>
      <c r="D2581" s="45" t="str">
        <f t="shared" si="74"/>
        <v>2023.008D.Adenoviridae_1reng_22ns_86rensp.zip</v>
      </c>
    </row>
    <row r="2582" spans="1:4">
      <c r="A2582" t="s">
        <v>11672</v>
      </c>
      <c r="B2582" t="s">
        <v>24229</v>
      </c>
      <c r="C2582" t="s">
        <v>24230</v>
      </c>
      <c r="D2582" s="45" t="str">
        <f t="shared" si="74"/>
        <v>2023.008D.Adenoviridae_1reng_22ns_86rensp.zip</v>
      </c>
    </row>
    <row r="2583" spans="1:4">
      <c r="A2583" t="s">
        <v>11672</v>
      </c>
      <c r="B2583" t="s">
        <v>24231</v>
      </c>
      <c r="C2583" t="s">
        <v>24232</v>
      </c>
      <c r="D2583" s="45" t="str">
        <f t="shared" si="74"/>
        <v>2023.008D.Adenoviridae_1reng_22ns_86rensp.zip</v>
      </c>
    </row>
    <row r="2584" spans="1:4">
      <c r="A2584" t="s">
        <v>11672</v>
      </c>
      <c r="B2584" t="s">
        <v>24233</v>
      </c>
      <c r="C2584" t="s">
        <v>24234</v>
      </c>
      <c r="D2584" s="45" t="str">
        <f t="shared" si="74"/>
        <v>2023.008D.Adenoviridae_1reng_22ns_86rensp.zip</v>
      </c>
    </row>
    <row r="2585" spans="1:4">
      <c r="A2585" t="s">
        <v>11672</v>
      </c>
      <c r="B2585" t="s">
        <v>24235</v>
      </c>
      <c r="C2585" t="s">
        <v>24236</v>
      </c>
      <c r="D2585" s="45" t="str">
        <f t="shared" si="74"/>
        <v>2023.008D.Adenoviridae_1reng_22ns_86rensp.zip</v>
      </c>
    </row>
    <row r="2586" spans="1:4">
      <c r="A2586" t="s">
        <v>11672</v>
      </c>
      <c r="B2586" t="s">
        <v>24237</v>
      </c>
      <c r="C2586" t="s">
        <v>24238</v>
      </c>
      <c r="D2586" s="45" t="str">
        <f t="shared" si="74"/>
        <v>2023.008D.Adenoviridae_1reng_22ns_86rensp.zip</v>
      </c>
    </row>
    <row r="2587" spans="1:4">
      <c r="A2587" t="s">
        <v>11672</v>
      </c>
      <c r="B2587" t="s">
        <v>24239</v>
      </c>
      <c r="C2587" t="s">
        <v>24240</v>
      </c>
      <c r="D2587" s="45" t="str">
        <f t="shared" si="74"/>
        <v>2023.008D.Adenoviridae_1reng_22ns_86rensp.zip</v>
      </c>
    </row>
    <row r="2588" spans="1:4">
      <c r="A2588" t="s">
        <v>11672</v>
      </c>
      <c r="B2588" t="s">
        <v>24241</v>
      </c>
      <c r="C2588" t="s">
        <v>24242</v>
      </c>
      <c r="D2588" s="45" t="str">
        <f t="shared" si="74"/>
        <v>2023.008D.Adenoviridae_1reng_22ns_86rensp.zip</v>
      </c>
    </row>
    <row r="2589" spans="1:4">
      <c r="A2589" t="s">
        <v>11672</v>
      </c>
      <c r="B2589" t="s">
        <v>24243</v>
      </c>
      <c r="C2589" t="s">
        <v>24244</v>
      </c>
      <c r="D2589" s="45" t="str">
        <f t="shared" si="74"/>
        <v>2023.008D.Adenoviridae_1reng_22ns_86rensp.zip</v>
      </c>
    </row>
    <row r="2590" spans="1:4">
      <c r="A2590" t="s">
        <v>11672</v>
      </c>
      <c r="B2590" t="s">
        <v>24245</v>
      </c>
      <c r="C2590" t="s">
        <v>24246</v>
      </c>
      <c r="D2590" s="45" t="str">
        <f t="shared" si="74"/>
        <v>2023.008D.Adenoviridae_1reng_22ns_86rensp.zip</v>
      </c>
    </row>
    <row r="2591" spans="1:4">
      <c r="A2591" t="s">
        <v>11672</v>
      </c>
      <c r="B2591" t="s">
        <v>24247</v>
      </c>
      <c r="C2591" t="s">
        <v>24248</v>
      </c>
      <c r="D2591" s="45" t="str">
        <f t="shared" si="74"/>
        <v>2023.008D.Adenoviridae_1reng_22ns_86rensp.zip</v>
      </c>
    </row>
    <row r="2592" spans="1:4">
      <c r="A2592" t="s">
        <v>11672</v>
      </c>
      <c r="B2592" t="s">
        <v>24249</v>
      </c>
      <c r="C2592" t="s">
        <v>24250</v>
      </c>
      <c r="D2592" s="45" t="str">
        <f t="shared" si="74"/>
        <v>2023.008D.Adenoviridae_1reng_22ns_86rensp.zip</v>
      </c>
    </row>
    <row r="2593" spans="1:4">
      <c r="A2593" t="s">
        <v>11672</v>
      </c>
      <c r="B2593" t="s">
        <v>24251</v>
      </c>
      <c r="C2593" t="s">
        <v>24252</v>
      </c>
      <c r="D2593" s="45" t="str">
        <f t="shared" si="74"/>
        <v>2023.008D.Adenoviridae_1reng_22ns_86rensp.zip</v>
      </c>
    </row>
    <row r="2594" spans="1:4">
      <c r="A2594" t="s">
        <v>11672</v>
      </c>
      <c r="B2594" t="s">
        <v>24253</v>
      </c>
      <c r="C2594" t="s">
        <v>24254</v>
      </c>
      <c r="D2594" s="45" t="str">
        <f t="shared" si="74"/>
        <v>2023.008D.Adenoviridae_1reng_22ns_86rensp.zip</v>
      </c>
    </row>
    <row r="2595" spans="1:4">
      <c r="A2595" t="s">
        <v>11672</v>
      </c>
      <c r="B2595" t="s">
        <v>24255</v>
      </c>
      <c r="C2595" t="s">
        <v>24256</v>
      </c>
      <c r="D2595" s="45" t="str">
        <f t="shared" si="74"/>
        <v>2023.008D.Adenoviridae_1reng_22ns_86rensp.zip</v>
      </c>
    </row>
    <row r="2596" spans="1:4">
      <c r="A2596" t="s">
        <v>11672</v>
      </c>
      <c r="B2596" t="s">
        <v>24257</v>
      </c>
      <c r="C2596" t="s">
        <v>24258</v>
      </c>
      <c r="D2596" s="45" t="str">
        <f t="shared" si="74"/>
        <v>2023.008D.Adenoviridae_1reng_22ns_86rensp.zip</v>
      </c>
    </row>
    <row r="2597" spans="1:4">
      <c r="A2597" t="s">
        <v>11672</v>
      </c>
      <c r="B2597" t="s">
        <v>24259</v>
      </c>
      <c r="C2597" t="s">
        <v>24260</v>
      </c>
      <c r="D2597" s="45" t="str">
        <f t="shared" si="74"/>
        <v>2023.008D.Adenoviridae_1reng_22ns_86rensp.zip</v>
      </c>
    </row>
    <row r="2598" spans="1:4">
      <c r="A2598" t="s">
        <v>11672</v>
      </c>
      <c r="B2598" t="s">
        <v>24261</v>
      </c>
      <c r="C2598" t="s">
        <v>24262</v>
      </c>
      <c r="D2598" s="45" t="str">
        <f t="shared" si="74"/>
        <v>2023.008D.Adenoviridae_1reng_22ns_86rensp.zip</v>
      </c>
    </row>
    <row r="2599" spans="1:4">
      <c r="A2599" t="s">
        <v>11672</v>
      </c>
      <c r="B2599" t="s">
        <v>24263</v>
      </c>
      <c r="C2599" t="s">
        <v>24264</v>
      </c>
      <c r="D2599" s="45" t="str">
        <f t="shared" si="74"/>
        <v>2023.008D.Adenoviridae_1reng_22ns_86rensp.zip</v>
      </c>
    </row>
    <row r="2600" spans="1:4">
      <c r="A2600" t="s">
        <v>11672</v>
      </c>
      <c r="B2600" t="s">
        <v>24265</v>
      </c>
      <c r="C2600" t="s">
        <v>24266</v>
      </c>
      <c r="D2600" s="45" t="str">
        <f t="shared" si="74"/>
        <v>2023.008D.Adenoviridae_1reng_22ns_86rensp.zip</v>
      </c>
    </row>
    <row r="2601" spans="1:4">
      <c r="A2601" t="s">
        <v>11672</v>
      </c>
      <c r="B2601" t="s">
        <v>24267</v>
      </c>
      <c r="C2601" t="s">
        <v>24268</v>
      </c>
      <c r="D2601" s="45" t="str">
        <f t="shared" si="74"/>
        <v>2023.008D.Adenoviridae_1reng_22ns_86rensp.zip</v>
      </c>
    </row>
    <row r="2602" spans="1:4">
      <c r="A2602" t="s">
        <v>11672</v>
      </c>
      <c r="B2602" t="s">
        <v>24271</v>
      </c>
      <c r="C2602" t="s">
        <v>24272</v>
      </c>
      <c r="D2602" s="45" t="str">
        <f t="shared" ref="D2602:D2608" si="75">HYPERLINK("https://ictv.global/ictv/proposals/2023.001A.Archaeal_binomials.zip","2023.001A.Archaeal_binomials.zip")</f>
        <v>2023.001A.Archaeal_binomials.zip</v>
      </c>
    </row>
    <row r="2603" spans="1:4">
      <c r="A2603" t="s">
        <v>11672</v>
      </c>
      <c r="B2603" t="s">
        <v>24273</v>
      </c>
      <c r="C2603" t="s">
        <v>24274</v>
      </c>
      <c r="D2603" s="45" t="str">
        <f t="shared" si="75"/>
        <v>2023.001A.Archaeal_binomials.zip</v>
      </c>
    </row>
    <row r="2604" spans="1:4">
      <c r="A2604" t="s">
        <v>11672</v>
      </c>
      <c r="B2604" t="s">
        <v>24275</v>
      </c>
      <c r="C2604" t="s">
        <v>24276</v>
      </c>
      <c r="D2604" s="45" t="str">
        <f t="shared" si="75"/>
        <v>2023.001A.Archaeal_binomials.zip</v>
      </c>
    </row>
    <row r="2605" spans="1:4">
      <c r="A2605" t="s">
        <v>11672</v>
      </c>
      <c r="B2605" t="s">
        <v>24277</v>
      </c>
      <c r="C2605" t="s">
        <v>24278</v>
      </c>
      <c r="D2605" s="45" t="str">
        <f t="shared" si="75"/>
        <v>2023.001A.Archaeal_binomials.zip</v>
      </c>
    </row>
    <row r="2606" spans="1:4">
      <c r="A2606" t="s">
        <v>11672</v>
      </c>
      <c r="B2606" t="s">
        <v>24279</v>
      </c>
      <c r="C2606" t="s">
        <v>24280</v>
      </c>
      <c r="D2606" s="45" t="str">
        <f t="shared" si="75"/>
        <v>2023.001A.Archaeal_binomials.zip</v>
      </c>
    </row>
    <row r="2607" spans="1:4">
      <c r="A2607" t="s">
        <v>11672</v>
      </c>
      <c r="B2607" t="s">
        <v>24281</v>
      </c>
      <c r="C2607" t="s">
        <v>24282</v>
      </c>
      <c r="D2607" s="45" t="str">
        <f t="shared" si="75"/>
        <v>2023.001A.Archaeal_binomials.zip</v>
      </c>
    </row>
    <row r="2608" spans="1:4">
      <c r="A2608" t="s">
        <v>11672</v>
      </c>
      <c r="B2608" t="s">
        <v>24283</v>
      </c>
      <c r="C2608" t="s">
        <v>24284</v>
      </c>
      <c r="D2608" s="45" t="str">
        <f t="shared" si="75"/>
        <v>2023.001A.Archaeal_binomials.zip</v>
      </c>
    </row>
    <row r="2609" spans="1:4">
      <c r="A2609" t="s">
        <v>11672</v>
      </c>
      <c r="B2609" t="s">
        <v>24285</v>
      </c>
      <c r="C2609" t="s">
        <v>24286</v>
      </c>
      <c r="D2609" s="45" t="str">
        <f t="shared" ref="D2609:D2640" si="76">HYPERLINK("https://ictv.global/ictv/proposals/2023.036P.Geminialphasatellitinae_rename.zip","2023.036P.Geminialphasatellitinae_rename.zip")</f>
        <v>2023.036P.Geminialphasatellitinae_rename.zip</v>
      </c>
    </row>
    <row r="2610" spans="1:4">
      <c r="A2610" t="s">
        <v>11672</v>
      </c>
      <c r="B2610" t="s">
        <v>24287</v>
      </c>
      <c r="C2610" t="s">
        <v>24288</v>
      </c>
      <c r="D2610" s="45" t="str">
        <f t="shared" si="76"/>
        <v>2023.036P.Geminialphasatellitinae_rename.zip</v>
      </c>
    </row>
    <row r="2611" spans="1:4">
      <c r="A2611" t="s">
        <v>11672</v>
      </c>
      <c r="B2611" t="s">
        <v>24289</v>
      </c>
      <c r="C2611" t="s">
        <v>24290</v>
      </c>
      <c r="D2611" s="45" t="str">
        <f t="shared" si="76"/>
        <v>2023.036P.Geminialphasatellitinae_rename.zip</v>
      </c>
    </row>
    <row r="2612" spans="1:4">
      <c r="A2612" t="s">
        <v>11672</v>
      </c>
      <c r="B2612" t="s">
        <v>24291</v>
      </c>
      <c r="C2612" t="s">
        <v>24292</v>
      </c>
      <c r="D2612" s="45" t="str">
        <f t="shared" si="76"/>
        <v>2023.036P.Geminialphasatellitinae_rename.zip</v>
      </c>
    </row>
    <row r="2613" spans="1:4">
      <c r="A2613" t="s">
        <v>11672</v>
      </c>
      <c r="B2613" t="s">
        <v>24293</v>
      </c>
      <c r="C2613" t="s">
        <v>24294</v>
      </c>
      <c r="D2613" s="45" t="str">
        <f t="shared" si="76"/>
        <v>2023.036P.Geminialphasatellitinae_rename.zip</v>
      </c>
    </row>
    <row r="2614" spans="1:4">
      <c r="A2614" t="s">
        <v>11672</v>
      </c>
      <c r="B2614" t="s">
        <v>24295</v>
      </c>
      <c r="C2614" t="s">
        <v>24296</v>
      </c>
      <c r="D2614" s="45" t="str">
        <f t="shared" si="76"/>
        <v>2023.036P.Geminialphasatellitinae_rename.zip</v>
      </c>
    </row>
    <row r="2615" spans="1:4">
      <c r="A2615" t="s">
        <v>11672</v>
      </c>
      <c r="B2615" t="s">
        <v>24297</v>
      </c>
      <c r="C2615" t="s">
        <v>24298</v>
      </c>
      <c r="D2615" s="45" t="str">
        <f t="shared" si="76"/>
        <v>2023.036P.Geminialphasatellitinae_rename.zip</v>
      </c>
    </row>
    <row r="2616" spans="1:4">
      <c r="A2616" t="s">
        <v>11672</v>
      </c>
      <c r="B2616" t="s">
        <v>24299</v>
      </c>
      <c r="C2616" t="s">
        <v>24300</v>
      </c>
      <c r="D2616" s="45" t="str">
        <f t="shared" si="76"/>
        <v>2023.036P.Geminialphasatellitinae_rename.zip</v>
      </c>
    </row>
    <row r="2617" spans="1:4">
      <c r="A2617" t="s">
        <v>11672</v>
      </c>
      <c r="B2617" t="s">
        <v>24301</v>
      </c>
      <c r="C2617" t="s">
        <v>24302</v>
      </c>
      <c r="D2617" s="45" t="str">
        <f t="shared" si="76"/>
        <v>2023.036P.Geminialphasatellitinae_rename.zip</v>
      </c>
    </row>
    <row r="2618" spans="1:4">
      <c r="A2618" t="s">
        <v>11672</v>
      </c>
      <c r="B2618" t="s">
        <v>24303</v>
      </c>
      <c r="C2618" t="s">
        <v>24304</v>
      </c>
      <c r="D2618" s="45" t="str">
        <f t="shared" si="76"/>
        <v>2023.036P.Geminialphasatellitinae_rename.zip</v>
      </c>
    </row>
    <row r="2619" spans="1:4">
      <c r="A2619" t="s">
        <v>11672</v>
      </c>
      <c r="B2619" t="s">
        <v>24305</v>
      </c>
      <c r="C2619" t="s">
        <v>24306</v>
      </c>
      <c r="D2619" s="45" t="str">
        <f t="shared" si="76"/>
        <v>2023.036P.Geminialphasatellitinae_rename.zip</v>
      </c>
    </row>
    <row r="2620" spans="1:4">
      <c r="A2620" t="s">
        <v>11672</v>
      </c>
      <c r="B2620" t="s">
        <v>24307</v>
      </c>
      <c r="C2620" t="s">
        <v>24308</v>
      </c>
      <c r="D2620" s="45" t="str">
        <f t="shared" si="76"/>
        <v>2023.036P.Geminialphasatellitinae_rename.zip</v>
      </c>
    </row>
    <row r="2621" spans="1:4">
      <c r="A2621" t="s">
        <v>11672</v>
      </c>
      <c r="B2621" t="s">
        <v>24309</v>
      </c>
      <c r="C2621" t="s">
        <v>24310</v>
      </c>
      <c r="D2621" s="45" t="str">
        <f t="shared" si="76"/>
        <v>2023.036P.Geminialphasatellitinae_rename.zip</v>
      </c>
    </row>
    <row r="2622" spans="1:4">
      <c r="A2622" t="s">
        <v>11672</v>
      </c>
      <c r="B2622" t="s">
        <v>24311</v>
      </c>
      <c r="C2622" t="s">
        <v>24312</v>
      </c>
      <c r="D2622" s="45" t="str">
        <f t="shared" si="76"/>
        <v>2023.036P.Geminialphasatellitinae_rename.zip</v>
      </c>
    </row>
    <row r="2623" spans="1:4">
      <c r="A2623" t="s">
        <v>11672</v>
      </c>
      <c r="B2623" t="s">
        <v>24313</v>
      </c>
      <c r="C2623" t="s">
        <v>24314</v>
      </c>
      <c r="D2623" s="45" t="str">
        <f t="shared" si="76"/>
        <v>2023.036P.Geminialphasatellitinae_rename.zip</v>
      </c>
    </row>
    <row r="2624" spans="1:4">
      <c r="A2624" t="s">
        <v>11672</v>
      </c>
      <c r="B2624" t="s">
        <v>24315</v>
      </c>
      <c r="C2624" t="s">
        <v>24316</v>
      </c>
      <c r="D2624" s="45" t="str">
        <f t="shared" si="76"/>
        <v>2023.036P.Geminialphasatellitinae_rename.zip</v>
      </c>
    </row>
    <row r="2625" spans="1:4">
      <c r="A2625" t="s">
        <v>11672</v>
      </c>
      <c r="B2625" t="s">
        <v>24317</v>
      </c>
      <c r="C2625" t="s">
        <v>24318</v>
      </c>
      <c r="D2625" s="45" t="str">
        <f t="shared" si="76"/>
        <v>2023.036P.Geminialphasatellitinae_rename.zip</v>
      </c>
    </row>
    <row r="2626" spans="1:4">
      <c r="A2626" t="s">
        <v>11672</v>
      </c>
      <c r="B2626" t="s">
        <v>24319</v>
      </c>
      <c r="C2626" t="s">
        <v>24320</v>
      </c>
      <c r="D2626" s="45" t="str">
        <f t="shared" si="76"/>
        <v>2023.036P.Geminialphasatellitinae_rename.zip</v>
      </c>
    </row>
    <row r="2627" spans="1:4">
      <c r="A2627" t="s">
        <v>11672</v>
      </c>
      <c r="B2627" t="s">
        <v>24321</v>
      </c>
      <c r="C2627" t="s">
        <v>24322</v>
      </c>
      <c r="D2627" s="45" t="str">
        <f t="shared" si="76"/>
        <v>2023.036P.Geminialphasatellitinae_rename.zip</v>
      </c>
    </row>
    <row r="2628" spans="1:4">
      <c r="A2628" t="s">
        <v>11672</v>
      </c>
      <c r="B2628" t="s">
        <v>24323</v>
      </c>
      <c r="C2628" t="s">
        <v>24324</v>
      </c>
      <c r="D2628" s="45" t="str">
        <f t="shared" si="76"/>
        <v>2023.036P.Geminialphasatellitinae_rename.zip</v>
      </c>
    </row>
    <row r="2629" spans="1:4">
      <c r="A2629" t="s">
        <v>11672</v>
      </c>
      <c r="B2629" t="s">
        <v>24325</v>
      </c>
      <c r="C2629" t="s">
        <v>24326</v>
      </c>
      <c r="D2629" s="45" t="str">
        <f t="shared" si="76"/>
        <v>2023.036P.Geminialphasatellitinae_rename.zip</v>
      </c>
    </row>
    <row r="2630" spans="1:4">
      <c r="A2630" t="s">
        <v>11672</v>
      </c>
      <c r="B2630" t="s">
        <v>24327</v>
      </c>
      <c r="C2630" t="s">
        <v>24328</v>
      </c>
      <c r="D2630" s="45" t="str">
        <f t="shared" si="76"/>
        <v>2023.036P.Geminialphasatellitinae_rename.zip</v>
      </c>
    </row>
    <row r="2631" spans="1:4">
      <c r="A2631" t="s">
        <v>11672</v>
      </c>
      <c r="B2631" t="s">
        <v>24329</v>
      </c>
      <c r="C2631" t="s">
        <v>24330</v>
      </c>
      <c r="D2631" s="45" t="str">
        <f t="shared" si="76"/>
        <v>2023.036P.Geminialphasatellitinae_rename.zip</v>
      </c>
    </row>
    <row r="2632" spans="1:4">
      <c r="A2632" t="s">
        <v>11672</v>
      </c>
      <c r="B2632" t="s">
        <v>24331</v>
      </c>
      <c r="C2632" t="s">
        <v>24332</v>
      </c>
      <c r="D2632" s="45" t="str">
        <f t="shared" si="76"/>
        <v>2023.036P.Geminialphasatellitinae_rename.zip</v>
      </c>
    </row>
    <row r="2633" spans="1:4">
      <c r="A2633" t="s">
        <v>11672</v>
      </c>
      <c r="B2633" t="s">
        <v>24333</v>
      </c>
      <c r="C2633" t="s">
        <v>24334</v>
      </c>
      <c r="D2633" s="45" t="str">
        <f t="shared" si="76"/>
        <v>2023.036P.Geminialphasatellitinae_rename.zip</v>
      </c>
    </row>
    <row r="2634" spans="1:4">
      <c r="A2634" t="s">
        <v>11672</v>
      </c>
      <c r="B2634" t="s">
        <v>24335</v>
      </c>
      <c r="C2634" t="s">
        <v>24336</v>
      </c>
      <c r="D2634" s="45" t="str">
        <f t="shared" si="76"/>
        <v>2023.036P.Geminialphasatellitinae_rename.zip</v>
      </c>
    </row>
    <row r="2635" spans="1:4">
      <c r="A2635" t="s">
        <v>11672</v>
      </c>
      <c r="B2635" t="s">
        <v>24337</v>
      </c>
      <c r="C2635" t="s">
        <v>24338</v>
      </c>
      <c r="D2635" s="45" t="str">
        <f t="shared" si="76"/>
        <v>2023.036P.Geminialphasatellitinae_rename.zip</v>
      </c>
    </row>
    <row r="2636" spans="1:4">
      <c r="A2636" t="s">
        <v>11672</v>
      </c>
      <c r="B2636" t="s">
        <v>24339</v>
      </c>
      <c r="C2636" t="s">
        <v>24340</v>
      </c>
      <c r="D2636" s="45" t="str">
        <f t="shared" si="76"/>
        <v>2023.036P.Geminialphasatellitinae_rename.zip</v>
      </c>
    </row>
    <row r="2637" spans="1:4">
      <c r="A2637" t="s">
        <v>11672</v>
      </c>
      <c r="B2637" t="s">
        <v>24341</v>
      </c>
      <c r="C2637" t="s">
        <v>24342</v>
      </c>
      <c r="D2637" s="45" t="str">
        <f t="shared" si="76"/>
        <v>2023.036P.Geminialphasatellitinae_rename.zip</v>
      </c>
    </row>
    <row r="2638" spans="1:4">
      <c r="A2638" t="s">
        <v>11672</v>
      </c>
      <c r="B2638" t="s">
        <v>24343</v>
      </c>
      <c r="C2638" t="s">
        <v>24344</v>
      </c>
      <c r="D2638" s="45" t="str">
        <f t="shared" si="76"/>
        <v>2023.036P.Geminialphasatellitinae_rename.zip</v>
      </c>
    </row>
    <row r="2639" spans="1:4">
      <c r="A2639" t="s">
        <v>11672</v>
      </c>
      <c r="B2639" t="s">
        <v>24345</v>
      </c>
      <c r="C2639" t="s">
        <v>24346</v>
      </c>
      <c r="D2639" s="45" t="str">
        <f t="shared" si="76"/>
        <v>2023.036P.Geminialphasatellitinae_rename.zip</v>
      </c>
    </row>
    <row r="2640" spans="1:4">
      <c r="A2640" t="s">
        <v>11672</v>
      </c>
      <c r="B2640" t="s">
        <v>24347</v>
      </c>
      <c r="C2640" t="s">
        <v>24348</v>
      </c>
      <c r="D2640" s="45" t="str">
        <f t="shared" si="76"/>
        <v>2023.036P.Geminialphasatellitinae_rename.zip</v>
      </c>
    </row>
    <row r="2641" spans="1:4">
      <c r="A2641" t="s">
        <v>11672</v>
      </c>
      <c r="B2641" t="s">
        <v>24349</v>
      </c>
      <c r="C2641" t="s">
        <v>24350</v>
      </c>
      <c r="D2641" s="45" t="str">
        <f t="shared" ref="D2641:D2663" si="77">HYPERLINK("https://ictv.global/ictv/proposals/2023.036P.Geminialphasatellitinae_rename.zip","2023.036P.Geminialphasatellitinae_rename.zip")</f>
        <v>2023.036P.Geminialphasatellitinae_rename.zip</v>
      </c>
    </row>
    <row r="2642" spans="1:4">
      <c r="A2642" t="s">
        <v>11672</v>
      </c>
      <c r="B2642" t="s">
        <v>24351</v>
      </c>
      <c r="C2642" t="s">
        <v>24352</v>
      </c>
      <c r="D2642" s="45" t="str">
        <f t="shared" si="77"/>
        <v>2023.036P.Geminialphasatellitinae_rename.zip</v>
      </c>
    </row>
    <row r="2643" spans="1:4">
      <c r="A2643" t="s">
        <v>11672</v>
      </c>
      <c r="B2643" t="s">
        <v>24353</v>
      </c>
      <c r="C2643" t="s">
        <v>24354</v>
      </c>
      <c r="D2643" s="45" t="str">
        <f t="shared" si="77"/>
        <v>2023.036P.Geminialphasatellitinae_rename.zip</v>
      </c>
    </row>
    <row r="2644" spans="1:4">
      <c r="A2644" t="s">
        <v>11672</v>
      </c>
      <c r="B2644" t="s">
        <v>24355</v>
      </c>
      <c r="C2644" t="s">
        <v>24356</v>
      </c>
      <c r="D2644" s="45" t="str">
        <f t="shared" si="77"/>
        <v>2023.036P.Geminialphasatellitinae_rename.zip</v>
      </c>
    </row>
    <row r="2645" spans="1:4">
      <c r="A2645" t="s">
        <v>11672</v>
      </c>
      <c r="B2645" t="s">
        <v>24357</v>
      </c>
      <c r="C2645" t="s">
        <v>24358</v>
      </c>
      <c r="D2645" s="45" t="str">
        <f t="shared" si="77"/>
        <v>2023.036P.Geminialphasatellitinae_rename.zip</v>
      </c>
    </row>
    <row r="2646" spans="1:4">
      <c r="A2646" t="s">
        <v>11672</v>
      </c>
      <c r="B2646" t="s">
        <v>24359</v>
      </c>
      <c r="C2646" t="s">
        <v>24360</v>
      </c>
      <c r="D2646" s="45" t="str">
        <f t="shared" si="77"/>
        <v>2023.036P.Geminialphasatellitinae_rename.zip</v>
      </c>
    </row>
    <row r="2647" spans="1:4">
      <c r="A2647" t="s">
        <v>11672</v>
      </c>
      <c r="B2647" t="s">
        <v>24361</v>
      </c>
      <c r="C2647" t="s">
        <v>24362</v>
      </c>
      <c r="D2647" s="45" t="str">
        <f t="shared" si="77"/>
        <v>2023.036P.Geminialphasatellitinae_rename.zip</v>
      </c>
    </row>
    <row r="2648" spans="1:4">
      <c r="A2648" t="s">
        <v>11672</v>
      </c>
      <c r="B2648" t="s">
        <v>24363</v>
      </c>
      <c r="C2648" t="s">
        <v>24364</v>
      </c>
      <c r="D2648" s="45" t="str">
        <f t="shared" si="77"/>
        <v>2023.036P.Geminialphasatellitinae_rename.zip</v>
      </c>
    </row>
    <row r="2649" spans="1:4">
      <c r="A2649" t="s">
        <v>11672</v>
      </c>
      <c r="B2649" t="s">
        <v>24365</v>
      </c>
      <c r="C2649" t="s">
        <v>24366</v>
      </c>
      <c r="D2649" s="45" t="str">
        <f t="shared" si="77"/>
        <v>2023.036P.Geminialphasatellitinae_rename.zip</v>
      </c>
    </row>
    <row r="2650" spans="1:4">
      <c r="A2650" t="s">
        <v>11672</v>
      </c>
      <c r="B2650" t="s">
        <v>24367</v>
      </c>
      <c r="C2650" t="s">
        <v>24368</v>
      </c>
      <c r="D2650" s="45" t="str">
        <f t="shared" si="77"/>
        <v>2023.036P.Geminialphasatellitinae_rename.zip</v>
      </c>
    </row>
    <row r="2651" spans="1:4">
      <c r="A2651" t="s">
        <v>11672</v>
      </c>
      <c r="B2651" t="s">
        <v>24369</v>
      </c>
      <c r="C2651" t="s">
        <v>24370</v>
      </c>
      <c r="D2651" s="45" t="str">
        <f t="shared" si="77"/>
        <v>2023.036P.Geminialphasatellitinae_rename.zip</v>
      </c>
    </row>
    <row r="2652" spans="1:4">
      <c r="A2652" t="s">
        <v>11672</v>
      </c>
      <c r="B2652" t="s">
        <v>24371</v>
      </c>
      <c r="C2652" t="s">
        <v>24372</v>
      </c>
      <c r="D2652" s="45" t="str">
        <f t="shared" si="77"/>
        <v>2023.036P.Geminialphasatellitinae_rename.zip</v>
      </c>
    </row>
    <row r="2653" spans="1:4">
      <c r="A2653" t="s">
        <v>11672</v>
      </c>
      <c r="B2653" t="s">
        <v>24373</v>
      </c>
      <c r="C2653" t="s">
        <v>24374</v>
      </c>
      <c r="D2653" s="45" t="str">
        <f t="shared" si="77"/>
        <v>2023.036P.Geminialphasatellitinae_rename.zip</v>
      </c>
    </row>
    <row r="2654" spans="1:4">
      <c r="A2654" t="s">
        <v>11672</v>
      </c>
      <c r="B2654" t="s">
        <v>24375</v>
      </c>
      <c r="C2654" t="s">
        <v>24376</v>
      </c>
      <c r="D2654" s="45" t="str">
        <f t="shared" si="77"/>
        <v>2023.036P.Geminialphasatellitinae_rename.zip</v>
      </c>
    </row>
    <row r="2655" spans="1:4">
      <c r="A2655" t="s">
        <v>11672</v>
      </c>
      <c r="B2655" t="s">
        <v>24377</v>
      </c>
      <c r="C2655" t="s">
        <v>24378</v>
      </c>
      <c r="D2655" s="45" t="str">
        <f t="shared" si="77"/>
        <v>2023.036P.Geminialphasatellitinae_rename.zip</v>
      </c>
    </row>
    <row r="2656" spans="1:4">
      <c r="A2656" t="s">
        <v>11672</v>
      </c>
      <c r="B2656" t="s">
        <v>24379</v>
      </c>
      <c r="C2656" t="s">
        <v>24380</v>
      </c>
      <c r="D2656" s="45" t="str">
        <f t="shared" si="77"/>
        <v>2023.036P.Geminialphasatellitinae_rename.zip</v>
      </c>
    </row>
    <row r="2657" spans="1:4">
      <c r="A2657" t="s">
        <v>11672</v>
      </c>
      <c r="B2657" t="s">
        <v>24381</v>
      </c>
      <c r="C2657" t="s">
        <v>24382</v>
      </c>
      <c r="D2657" s="45" t="str">
        <f t="shared" si="77"/>
        <v>2023.036P.Geminialphasatellitinae_rename.zip</v>
      </c>
    </row>
    <row r="2658" spans="1:4">
      <c r="A2658" t="s">
        <v>11672</v>
      </c>
      <c r="B2658" t="s">
        <v>24383</v>
      </c>
      <c r="C2658" t="s">
        <v>24384</v>
      </c>
      <c r="D2658" s="45" t="str">
        <f t="shared" si="77"/>
        <v>2023.036P.Geminialphasatellitinae_rename.zip</v>
      </c>
    </row>
    <row r="2659" spans="1:4">
      <c r="A2659" t="s">
        <v>11672</v>
      </c>
      <c r="B2659" t="s">
        <v>24385</v>
      </c>
      <c r="C2659" t="s">
        <v>24386</v>
      </c>
      <c r="D2659" s="45" t="str">
        <f t="shared" si="77"/>
        <v>2023.036P.Geminialphasatellitinae_rename.zip</v>
      </c>
    </row>
    <row r="2660" spans="1:4">
      <c r="A2660" t="s">
        <v>11672</v>
      </c>
      <c r="B2660" t="s">
        <v>24387</v>
      </c>
      <c r="C2660" t="s">
        <v>24388</v>
      </c>
      <c r="D2660" s="45" t="str">
        <f t="shared" si="77"/>
        <v>2023.036P.Geminialphasatellitinae_rename.zip</v>
      </c>
    </row>
    <row r="2661" spans="1:4">
      <c r="A2661" t="s">
        <v>11672</v>
      </c>
      <c r="B2661" t="s">
        <v>24389</v>
      </c>
      <c r="C2661" t="s">
        <v>24390</v>
      </c>
      <c r="D2661" s="45" t="str">
        <f t="shared" si="77"/>
        <v>2023.036P.Geminialphasatellitinae_rename.zip</v>
      </c>
    </row>
    <row r="2662" spans="1:4">
      <c r="A2662" t="s">
        <v>11672</v>
      </c>
      <c r="B2662" t="s">
        <v>24391</v>
      </c>
      <c r="C2662" t="s">
        <v>24392</v>
      </c>
      <c r="D2662" s="45" t="str">
        <f t="shared" si="77"/>
        <v>2023.036P.Geminialphasatellitinae_rename.zip</v>
      </c>
    </row>
    <row r="2663" spans="1:4">
      <c r="A2663" t="s">
        <v>11672</v>
      </c>
      <c r="B2663" t="s">
        <v>24393</v>
      </c>
      <c r="C2663" t="s">
        <v>24394</v>
      </c>
      <c r="D2663" s="45" t="str">
        <f t="shared" si="77"/>
        <v>2023.036P.Geminialphasatellitinae_rename.zip</v>
      </c>
    </row>
    <row r="2664" spans="1:4">
      <c r="A2664" t="s">
        <v>11672</v>
      </c>
      <c r="B2664" t="s">
        <v>24395</v>
      </c>
      <c r="C2664" t="s">
        <v>24396</v>
      </c>
      <c r="D2664" s="45" t="str">
        <f t="shared" ref="D2664:D2693" si="78">HYPERLINK("https://ictv.global/ictv/proposals/2023.006P.Alphasatellitidae_rename_30sp.zip","2023.006P.Alphasatellitidae_rename_30sp.zip")</f>
        <v>2023.006P.Alphasatellitidae_rename_30sp.zip</v>
      </c>
    </row>
    <row r="2665" spans="1:4">
      <c r="A2665" t="s">
        <v>11672</v>
      </c>
      <c r="B2665" t="s">
        <v>24397</v>
      </c>
      <c r="C2665" t="s">
        <v>24398</v>
      </c>
      <c r="D2665" s="45" t="str">
        <f t="shared" si="78"/>
        <v>2023.006P.Alphasatellitidae_rename_30sp.zip</v>
      </c>
    </row>
    <row r="2666" spans="1:4">
      <c r="A2666" t="s">
        <v>11672</v>
      </c>
      <c r="B2666" t="s">
        <v>24399</v>
      </c>
      <c r="C2666" t="s">
        <v>24400</v>
      </c>
      <c r="D2666" s="45" t="str">
        <f t="shared" si="78"/>
        <v>2023.006P.Alphasatellitidae_rename_30sp.zip</v>
      </c>
    </row>
    <row r="2667" spans="1:4">
      <c r="A2667" t="s">
        <v>11672</v>
      </c>
      <c r="B2667" t="s">
        <v>24401</v>
      </c>
      <c r="C2667" t="s">
        <v>24402</v>
      </c>
      <c r="D2667" s="45" t="str">
        <f t="shared" si="78"/>
        <v>2023.006P.Alphasatellitidae_rename_30sp.zip</v>
      </c>
    </row>
    <row r="2668" spans="1:4">
      <c r="A2668" t="s">
        <v>11672</v>
      </c>
      <c r="B2668" t="s">
        <v>24403</v>
      </c>
      <c r="C2668" t="s">
        <v>24404</v>
      </c>
      <c r="D2668" s="45" t="str">
        <f t="shared" si="78"/>
        <v>2023.006P.Alphasatellitidae_rename_30sp.zip</v>
      </c>
    </row>
    <row r="2669" spans="1:4">
      <c r="A2669" t="s">
        <v>11672</v>
      </c>
      <c r="B2669" t="s">
        <v>24405</v>
      </c>
      <c r="C2669" t="s">
        <v>24406</v>
      </c>
      <c r="D2669" s="45" t="str">
        <f t="shared" si="78"/>
        <v>2023.006P.Alphasatellitidae_rename_30sp.zip</v>
      </c>
    </row>
    <row r="2670" spans="1:4">
      <c r="A2670" t="s">
        <v>11672</v>
      </c>
      <c r="B2670" t="s">
        <v>24407</v>
      </c>
      <c r="C2670" t="s">
        <v>24408</v>
      </c>
      <c r="D2670" s="45" t="str">
        <f t="shared" si="78"/>
        <v>2023.006P.Alphasatellitidae_rename_30sp.zip</v>
      </c>
    </row>
    <row r="2671" spans="1:4">
      <c r="A2671" t="s">
        <v>11672</v>
      </c>
      <c r="B2671" t="s">
        <v>24409</v>
      </c>
      <c r="C2671" t="s">
        <v>24410</v>
      </c>
      <c r="D2671" s="45" t="str">
        <f t="shared" si="78"/>
        <v>2023.006P.Alphasatellitidae_rename_30sp.zip</v>
      </c>
    </row>
    <row r="2672" spans="1:4">
      <c r="A2672" t="s">
        <v>11672</v>
      </c>
      <c r="B2672" t="s">
        <v>24411</v>
      </c>
      <c r="C2672" t="s">
        <v>24412</v>
      </c>
      <c r="D2672" s="45" t="str">
        <f t="shared" si="78"/>
        <v>2023.006P.Alphasatellitidae_rename_30sp.zip</v>
      </c>
    </row>
    <row r="2673" spans="1:4">
      <c r="A2673" t="s">
        <v>11672</v>
      </c>
      <c r="B2673" t="s">
        <v>24413</v>
      </c>
      <c r="C2673" t="s">
        <v>24414</v>
      </c>
      <c r="D2673" s="45" t="str">
        <f t="shared" si="78"/>
        <v>2023.006P.Alphasatellitidae_rename_30sp.zip</v>
      </c>
    </row>
    <row r="2674" spans="1:4">
      <c r="A2674" t="s">
        <v>11672</v>
      </c>
      <c r="B2674" t="s">
        <v>24415</v>
      </c>
      <c r="C2674" t="s">
        <v>24416</v>
      </c>
      <c r="D2674" s="45" t="str">
        <f t="shared" si="78"/>
        <v>2023.006P.Alphasatellitidae_rename_30sp.zip</v>
      </c>
    </row>
    <row r="2675" spans="1:4">
      <c r="A2675" t="s">
        <v>11672</v>
      </c>
      <c r="B2675" t="s">
        <v>24417</v>
      </c>
      <c r="C2675" t="s">
        <v>24418</v>
      </c>
      <c r="D2675" s="45" t="str">
        <f t="shared" si="78"/>
        <v>2023.006P.Alphasatellitidae_rename_30sp.zip</v>
      </c>
    </row>
    <row r="2676" spans="1:4">
      <c r="A2676" t="s">
        <v>11672</v>
      </c>
      <c r="B2676" t="s">
        <v>24419</v>
      </c>
      <c r="C2676" t="s">
        <v>24420</v>
      </c>
      <c r="D2676" s="45" t="str">
        <f t="shared" si="78"/>
        <v>2023.006P.Alphasatellitidae_rename_30sp.zip</v>
      </c>
    </row>
    <row r="2677" spans="1:4">
      <c r="A2677" t="s">
        <v>11672</v>
      </c>
      <c r="B2677" t="s">
        <v>24421</v>
      </c>
      <c r="C2677" t="s">
        <v>24422</v>
      </c>
      <c r="D2677" s="45" t="str">
        <f t="shared" si="78"/>
        <v>2023.006P.Alphasatellitidae_rename_30sp.zip</v>
      </c>
    </row>
    <row r="2678" spans="1:4">
      <c r="A2678" t="s">
        <v>11672</v>
      </c>
      <c r="B2678" t="s">
        <v>24423</v>
      </c>
      <c r="C2678" t="s">
        <v>24424</v>
      </c>
      <c r="D2678" s="45" t="str">
        <f t="shared" si="78"/>
        <v>2023.006P.Alphasatellitidae_rename_30sp.zip</v>
      </c>
    </row>
    <row r="2679" spans="1:4">
      <c r="A2679" t="s">
        <v>11672</v>
      </c>
      <c r="B2679" t="s">
        <v>24425</v>
      </c>
      <c r="C2679" t="s">
        <v>24426</v>
      </c>
      <c r="D2679" s="45" t="str">
        <f t="shared" si="78"/>
        <v>2023.006P.Alphasatellitidae_rename_30sp.zip</v>
      </c>
    </row>
    <row r="2680" spans="1:4">
      <c r="A2680" t="s">
        <v>11672</v>
      </c>
      <c r="B2680" t="s">
        <v>24427</v>
      </c>
      <c r="C2680" t="s">
        <v>24428</v>
      </c>
      <c r="D2680" s="45" t="str">
        <f t="shared" si="78"/>
        <v>2023.006P.Alphasatellitidae_rename_30sp.zip</v>
      </c>
    </row>
    <row r="2681" spans="1:4">
      <c r="A2681" t="s">
        <v>11672</v>
      </c>
      <c r="B2681" t="s">
        <v>24429</v>
      </c>
      <c r="C2681" t="s">
        <v>24430</v>
      </c>
      <c r="D2681" s="45" t="str">
        <f t="shared" si="78"/>
        <v>2023.006P.Alphasatellitidae_rename_30sp.zip</v>
      </c>
    </row>
    <row r="2682" spans="1:4">
      <c r="A2682" t="s">
        <v>11672</v>
      </c>
      <c r="B2682" t="s">
        <v>24431</v>
      </c>
      <c r="C2682" t="s">
        <v>24432</v>
      </c>
      <c r="D2682" s="45" t="str">
        <f t="shared" si="78"/>
        <v>2023.006P.Alphasatellitidae_rename_30sp.zip</v>
      </c>
    </row>
    <row r="2683" spans="1:4">
      <c r="A2683" t="s">
        <v>11672</v>
      </c>
      <c r="B2683" t="s">
        <v>24433</v>
      </c>
      <c r="C2683" t="s">
        <v>24434</v>
      </c>
      <c r="D2683" s="45" t="str">
        <f t="shared" si="78"/>
        <v>2023.006P.Alphasatellitidae_rename_30sp.zip</v>
      </c>
    </row>
    <row r="2684" spans="1:4">
      <c r="A2684" t="s">
        <v>11672</v>
      </c>
      <c r="B2684" t="s">
        <v>24435</v>
      </c>
      <c r="C2684" t="s">
        <v>24436</v>
      </c>
      <c r="D2684" s="45" t="str">
        <f t="shared" si="78"/>
        <v>2023.006P.Alphasatellitidae_rename_30sp.zip</v>
      </c>
    </row>
    <row r="2685" spans="1:4">
      <c r="A2685" t="s">
        <v>11672</v>
      </c>
      <c r="B2685" t="s">
        <v>24437</v>
      </c>
      <c r="C2685" t="s">
        <v>24438</v>
      </c>
      <c r="D2685" s="45" t="str">
        <f t="shared" si="78"/>
        <v>2023.006P.Alphasatellitidae_rename_30sp.zip</v>
      </c>
    </row>
    <row r="2686" spans="1:4">
      <c r="A2686" t="s">
        <v>11672</v>
      </c>
      <c r="B2686" t="s">
        <v>24439</v>
      </c>
      <c r="C2686" t="s">
        <v>24440</v>
      </c>
      <c r="D2686" s="45" t="str">
        <f t="shared" si="78"/>
        <v>2023.006P.Alphasatellitidae_rename_30sp.zip</v>
      </c>
    </row>
    <row r="2687" spans="1:4">
      <c r="A2687" t="s">
        <v>11672</v>
      </c>
      <c r="B2687" t="s">
        <v>24441</v>
      </c>
      <c r="C2687" t="s">
        <v>24442</v>
      </c>
      <c r="D2687" s="45" t="str">
        <f t="shared" si="78"/>
        <v>2023.006P.Alphasatellitidae_rename_30sp.zip</v>
      </c>
    </row>
    <row r="2688" spans="1:4">
      <c r="A2688" t="s">
        <v>11672</v>
      </c>
      <c r="B2688" t="s">
        <v>24443</v>
      </c>
      <c r="C2688" t="s">
        <v>24444</v>
      </c>
      <c r="D2688" s="45" t="str">
        <f t="shared" si="78"/>
        <v>2023.006P.Alphasatellitidae_rename_30sp.zip</v>
      </c>
    </row>
    <row r="2689" spans="1:4">
      <c r="A2689" t="s">
        <v>11672</v>
      </c>
      <c r="B2689" t="s">
        <v>24445</v>
      </c>
      <c r="C2689" t="s">
        <v>24446</v>
      </c>
      <c r="D2689" s="45" t="str">
        <f t="shared" si="78"/>
        <v>2023.006P.Alphasatellitidae_rename_30sp.zip</v>
      </c>
    </row>
    <row r="2690" spans="1:4">
      <c r="A2690" t="s">
        <v>11672</v>
      </c>
      <c r="B2690" t="s">
        <v>24447</v>
      </c>
      <c r="C2690" t="s">
        <v>24448</v>
      </c>
      <c r="D2690" s="45" t="str">
        <f t="shared" si="78"/>
        <v>2023.006P.Alphasatellitidae_rename_30sp.zip</v>
      </c>
    </row>
    <row r="2691" spans="1:4">
      <c r="A2691" t="s">
        <v>11672</v>
      </c>
      <c r="B2691" t="s">
        <v>24449</v>
      </c>
      <c r="C2691" t="s">
        <v>24450</v>
      </c>
      <c r="D2691" s="45" t="str">
        <f t="shared" si="78"/>
        <v>2023.006P.Alphasatellitidae_rename_30sp.zip</v>
      </c>
    </row>
    <row r="2692" spans="1:4">
      <c r="A2692" t="s">
        <v>11672</v>
      </c>
      <c r="B2692" t="s">
        <v>24451</v>
      </c>
      <c r="C2692" t="s">
        <v>24452</v>
      </c>
      <c r="D2692" s="45" t="str">
        <f t="shared" si="78"/>
        <v>2023.006P.Alphasatellitidae_rename_30sp.zip</v>
      </c>
    </row>
    <row r="2693" spans="1:4">
      <c r="A2693" t="s">
        <v>11672</v>
      </c>
      <c r="B2693" t="s">
        <v>24453</v>
      </c>
      <c r="C2693" t="s">
        <v>24454</v>
      </c>
      <c r="D2693" s="45" t="str">
        <f t="shared" si="78"/>
        <v>2023.006P.Alphasatellitidae_rename_30sp.zip</v>
      </c>
    </row>
    <row r="2694" spans="1:4">
      <c r="A2694" t="s">
        <v>11672</v>
      </c>
      <c r="B2694" t="s">
        <v>24455</v>
      </c>
      <c r="C2694" t="s">
        <v>24456</v>
      </c>
      <c r="D2694" s="45" t="str">
        <f>HYPERLINK("https://ictv.global/ictv/proposals/2023.001A.Archaeal_binomials.zip","2023.001A.Archaeal_binomials.zip")</f>
        <v>2023.001A.Archaeal_binomials.zip</v>
      </c>
    </row>
    <row r="2695" spans="1:4">
      <c r="A2695" t="s">
        <v>11672</v>
      </c>
      <c r="B2695" t="s">
        <v>24457</v>
      </c>
      <c r="C2695" t="s">
        <v>24458</v>
      </c>
      <c r="D2695" s="45" t="str">
        <f>HYPERLINK("https://ictv.global/ictv/proposals/2023.001A.Archaeal_binomials.zip","2023.001A.Archaeal_binomials.zip")</f>
        <v>2023.001A.Archaeal_binomials.zip</v>
      </c>
    </row>
    <row r="2696" spans="1:4">
      <c r="A2696" t="s">
        <v>11672</v>
      </c>
      <c r="B2696" t="s">
        <v>24459</v>
      </c>
      <c r="C2696" t="s">
        <v>24460</v>
      </c>
      <c r="D2696" s="45" t="str">
        <f>HYPERLINK("https://ictv.global/ictv/proposals/2023.001A.Archaeal_binomials.zip","2023.001A.Archaeal_binomials.zip")</f>
        <v>2023.001A.Archaeal_binomials.zip</v>
      </c>
    </row>
    <row r="2697" spans="1:4">
      <c r="A2697" t="s">
        <v>11672</v>
      </c>
      <c r="B2697" t="s">
        <v>24461</v>
      </c>
      <c r="C2697" t="s">
        <v>24462</v>
      </c>
      <c r="D2697" s="45" t="str">
        <f>HYPERLINK("https://ictv.global/ictv/proposals/2023.032P.Avsunviroidae_and_Pospiviroidae_rename_sp.zip","2023.032P.Avsunviroidae_and_Pospiviroidae_rename_sp.zip")</f>
        <v>2023.032P.Avsunviroidae_and_Pospiviroidae_rename_sp.zip</v>
      </c>
    </row>
    <row r="2698" spans="1:4">
      <c r="A2698" t="s">
        <v>11672</v>
      </c>
      <c r="B2698" t="s">
        <v>24463</v>
      </c>
      <c r="C2698" t="s">
        <v>24464</v>
      </c>
      <c r="D2698" s="45" t="str">
        <f>HYPERLINK("https://ictv.global/ictv/proposals/2023.032P.Avsunviroidae_and_Pospiviroidae_rename_sp.zip","2023.032P.Avsunviroidae_and_Pospiviroidae_rename_sp.zip")</f>
        <v>2023.032P.Avsunviroidae_and_Pospiviroidae_rename_sp.zip</v>
      </c>
    </row>
    <row r="2699" spans="1:4">
      <c r="A2699" t="s">
        <v>11672</v>
      </c>
      <c r="B2699" t="s">
        <v>24465</v>
      </c>
      <c r="C2699" t="s">
        <v>24466</v>
      </c>
      <c r="D2699" s="45" t="str">
        <f>HYPERLINK("https://ictv.global/ictv/proposals/2023.032P.Avsunviroidae_and_Pospiviroidae_rename_sp.zip","2023.032P.Avsunviroidae_and_Pospiviroidae_rename_sp.zip")</f>
        <v>2023.032P.Avsunviroidae_and_Pospiviroidae_rename_sp.zip</v>
      </c>
    </row>
    <row r="2700" spans="1:4">
      <c r="A2700" t="s">
        <v>11672</v>
      </c>
      <c r="B2700" t="s">
        <v>24467</v>
      </c>
      <c r="C2700" t="s">
        <v>24468</v>
      </c>
      <c r="D2700" s="45" t="str">
        <f>HYPERLINK("https://ictv.global/ictv/proposals/2023.032P.Avsunviroidae_and_Pospiviroidae_rename_sp.zip","2023.032P.Avsunviroidae_and_Pospiviroidae_rename_sp.zip")</f>
        <v>2023.032P.Avsunviroidae_and_Pospiviroidae_rename_sp.zip</v>
      </c>
    </row>
    <row r="2701" spans="1:4">
      <c r="A2701" t="s">
        <v>11672</v>
      </c>
      <c r="B2701" t="s">
        <v>24469</v>
      </c>
      <c r="C2701" t="s">
        <v>24470</v>
      </c>
      <c r="D2701" s="45" t="str">
        <f>HYPERLINK("https://ictv.global/ictv/proposals/2023.032P.Avsunviroidae_and_Pospiviroidae_rename_sp.zip","2023.032P.Avsunviroidae_and_Pospiviroidae_rename_sp.zip")</f>
        <v>2023.032P.Avsunviroidae_and_Pospiviroidae_rename_sp.zip</v>
      </c>
    </row>
    <row r="2702" spans="1:4">
      <c r="A2702" t="s">
        <v>11672</v>
      </c>
      <c r="B2702" t="s">
        <v>24471</v>
      </c>
      <c r="C2702" t="s">
        <v>24472</v>
      </c>
      <c r="D2702" s="45" t="str">
        <f t="shared" ref="D2702:D2721" si="79">HYPERLINK("https://ictv.global/ictv/proposals/2023.001A.Archaeal_binomials.zip","2023.001A.Archaeal_binomials.zip")</f>
        <v>2023.001A.Archaeal_binomials.zip</v>
      </c>
    </row>
    <row r="2703" spans="1:4">
      <c r="A2703" t="s">
        <v>11672</v>
      </c>
      <c r="B2703" t="s">
        <v>24473</v>
      </c>
      <c r="C2703" t="s">
        <v>24474</v>
      </c>
      <c r="D2703" s="45" t="str">
        <f t="shared" si="79"/>
        <v>2023.001A.Archaeal_binomials.zip</v>
      </c>
    </row>
    <row r="2704" spans="1:4">
      <c r="A2704" t="s">
        <v>11672</v>
      </c>
      <c r="B2704" t="s">
        <v>24475</v>
      </c>
      <c r="C2704" t="s">
        <v>24476</v>
      </c>
      <c r="D2704" s="45" t="str">
        <f t="shared" si="79"/>
        <v>2023.001A.Archaeal_binomials.zip</v>
      </c>
    </row>
    <row r="2705" spans="1:4">
      <c r="A2705" t="s">
        <v>11672</v>
      </c>
      <c r="B2705" t="s">
        <v>24477</v>
      </c>
      <c r="C2705" t="s">
        <v>24478</v>
      </c>
      <c r="D2705" s="45" t="str">
        <f t="shared" si="79"/>
        <v>2023.001A.Archaeal_binomials.zip</v>
      </c>
    </row>
    <row r="2706" spans="1:4">
      <c r="A2706" t="s">
        <v>11672</v>
      </c>
      <c r="B2706" t="s">
        <v>24479</v>
      </c>
      <c r="C2706" t="s">
        <v>24480</v>
      </c>
      <c r="D2706" s="45" t="str">
        <f t="shared" si="79"/>
        <v>2023.001A.Archaeal_binomials.zip</v>
      </c>
    </row>
    <row r="2707" spans="1:4">
      <c r="A2707" t="s">
        <v>11672</v>
      </c>
      <c r="B2707" t="s">
        <v>24481</v>
      </c>
      <c r="C2707" t="s">
        <v>24482</v>
      </c>
      <c r="D2707" s="45" t="str">
        <f t="shared" si="79"/>
        <v>2023.001A.Archaeal_binomials.zip</v>
      </c>
    </row>
    <row r="2708" spans="1:4">
      <c r="A2708" t="s">
        <v>11672</v>
      </c>
      <c r="B2708" t="s">
        <v>24483</v>
      </c>
      <c r="C2708" t="s">
        <v>24484</v>
      </c>
      <c r="D2708" s="45" t="str">
        <f t="shared" si="79"/>
        <v>2023.001A.Archaeal_binomials.zip</v>
      </c>
    </row>
    <row r="2709" spans="1:4">
      <c r="A2709" t="s">
        <v>11672</v>
      </c>
      <c r="B2709" t="s">
        <v>24485</v>
      </c>
      <c r="C2709" t="s">
        <v>24486</v>
      </c>
      <c r="D2709" s="45" t="str">
        <f t="shared" si="79"/>
        <v>2023.001A.Archaeal_binomials.zip</v>
      </c>
    </row>
    <row r="2710" spans="1:4">
      <c r="A2710" t="s">
        <v>11672</v>
      </c>
      <c r="B2710" t="s">
        <v>24487</v>
      </c>
      <c r="C2710" t="s">
        <v>24488</v>
      </c>
      <c r="D2710" s="45" t="str">
        <f t="shared" si="79"/>
        <v>2023.001A.Archaeal_binomials.zip</v>
      </c>
    </row>
    <row r="2711" spans="1:4">
      <c r="A2711" t="s">
        <v>11672</v>
      </c>
      <c r="B2711" t="s">
        <v>24489</v>
      </c>
      <c r="C2711" t="s">
        <v>24490</v>
      </c>
      <c r="D2711" s="45" t="str">
        <f t="shared" si="79"/>
        <v>2023.001A.Archaeal_binomials.zip</v>
      </c>
    </row>
    <row r="2712" spans="1:4">
      <c r="A2712" t="s">
        <v>11672</v>
      </c>
      <c r="B2712" t="s">
        <v>24491</v>
      </c>
      <c r="C2712" t="s">
        <v>24492</v>
      </c>
      <c r="D2712" s="45" t="str">
        <f t="shared" si="79"/>
        <v>2023.001A.Archaeal_binomials.zip</v>
      </c>
    </row>
    <row r="2713" spans="1:4">
      <c r="A2713" t="s">
        <v>11672</v>
      </c>
      <c r="B2713" t="s">
        <v>24493</v>
      </c>
      <c r="C2713" t="s">
        <v>24494</v>
      </c>
      <c r="D2713" s="45" t="str">
        <f t="shared" si="79"/>
        <v>2023.001A.Archaeal_binomials.zip</v>
      </c>
    </row>
    <row r="2714" spans="1:4">
      <c r="A2714" t="s">
        <v>11672</v>
      </c>
      <c r="B2714" t="s">
        <v>24495</v>
      </c>
      <c r="C2714" t="s">
        <v>24496</v>
      </c>
      <c r="D2714" s="45" t="str">
        <f t="shared" si="79"/>
        <v>2023.001A.Archaeal_binomials.zip</v>
      </c>
    </row>
    <row r="2715" spans="1:4">
      <c r="A2715" t="s">
        <v>11672</v>
      </c>
      <c r="B2715" t="s">
        <v>24497</v>
      </c>
      <c r="C2715" t="s">
        <v>24498</v>
      </c>
      <c r="D2715" s="45" t="str">
        <f t="shared" si="79"/>
        <v>2023.001A.Archaeal_binomials.zip</v>
      </c>
    </row>
    <row r="2716" spans="1:4">
      <c r="A2716" t="s">
        <v>11672</v>
      </c>
      <c r="B2716" t="s">
        <v>24499</v>
      </c>
      <c r="C2716" t="s">
        <v>24500</v>
      </c>
      <c r="D2716" s="45" t="str">
        <f t="shared" si="79"/>
        <v>2023.001A.Archaeal_binomials.zip</v>
      </c>
    </row>
    <row r="2717" spans="1:4">
      <c r="A2717" t="s">
        <v>11672</v>
      </c>
      <c r="B2717" t="s">
        <v>24501</v>
      </c>
      <c r="C2717" t="s">
        <v>24502</v>
      </c>
      <c r="D2717" s="45" t="str">
        <f t="shared" si="79"/>
        <v>2023.001A.Archaeal_binomials.zip</v>
      </c>
    </row>
    <row r="2718" spans="1:4">
      <c r="A2718" t="s">
        <v>11672</v>
      </c>
      <c r="B2718" t="s">
        <v>24503</v>
      </c>
      <c r="C2718" t="s">
        <v>24504</v>
      </c>
      <c r="D2718" s="45" t="str">
        <f t="shared" si="79"/>
        <v>2023.001A.Archaeal_binomials.zip</v>
      </c>
    </row>
    <row r="2719" spans="1:4">
      <c r="A2719" t="s">
        <v>11672</v>
      </c>
      <c r="B2719" t="s">
        <v>24505</v>
      </c>
      <c r="C2719" t="s">
        <v>24506</v>
      </c>
      <c r="D2719" s="45" t="str">
        <f t="shared" si="79"/>
        <v>2023.001A.Archaeal_binomials.zip</v>
      </c>
    </row>
    <row r="2720" spans="1:4">
      <c r="A2720" t="s">
        <v>11672</v>
      </c>
      <c r="B2720" t="s">
        <v>24507</v>
      </c>
      <c r="C2720" t="s">
        <v>24508</v>
      </c>
      <c r="D2720" s="45" t="str">
        <f t="shared" si="79"/>
        <v>2023.001A.Archaeal_binomials.zip</v>
      </c>
    </row>
    <row r="2721" spans="1:4">
      <c r="A2721" t="s">
        <v>11672</v>
      </c>
      <c r="B2721" t="s">
        <v>24509</v>
      </c>
      <c r="C2721" t="s">
        <v>24510</v>
      </c>
      <c r="D2721" s="45" t="str">
        <f t="shared" si="79"/>
        <v>2023.001A.Archaeal_binomials.zip</v>
      </c>
    </row>
    <row r="2722" spans="1:4">
      <c r="A2722" t="s">
        <v>11672</v>
      </c>
      <c r="B2722" t="s">
        <v>24511</v>
      </c>
      <c r="C2722" t="s">
        <v>24512</v>
      </c>
      <c r="D2722" s="45" t="str">
        <f t="shared" ref="D2722:D2760" si="80">HYPERLINK("https://ictv.global/ictv/proposals/2023.032P.Avsunviroidae_and_Pospiviroidae_rename_sp.zip","2023.032P.Avsunviroidae_and_Pospiviroidae_rename_sp.zip")</f>
        <v>2023.032P.Avsunviroidae_and_Pospiviroidae_rename_sp.zip</v>
      </c>
    </row>
    <row r="2723" spans="1:4">
      <c r="A2723" t="s">
        <v>11672</v>
      </c>
      <c r="B2723" t="s">
        <v>24513</v>
      </c>
      <c r="C2723" t="s">
        <v>24514</v>
      </c>
      <c r="D2723" s="45" t="str">
        <f t="shared" si="80"/>
        <v>2023.032P.Avsunviroidae_and_Pospiviroidae_rename_sp.zip</v>
      </c>
    </row>
    <row r="2724" spans="1:4">
      <c r="A2724" t="s">
        <v>11672</v>
      </c>
      <c r="B2724" t="s">
        <v>24515</v>
      </c>
      <c r="C2724" t="s">
        <v>24516</v>
      </c>
      <c r="D2724" s="45" t="str">
        <f t="shared" si="80"/>
        <v>2023.032P.Avsunviroidae_and_Pospiviroidae_rename_sp.zip</v>
      </c>
    </row>
    <row r="2725" spans="1:4">
      <c r="A2725" t="s">
        <v>11672</v>
      </c>
      <c r="B2725" t="s">
        <v>24517</v>
      </c>
      <c r="C2725" t="s">
        <v>24518</v>
      </c>
      <c r="D2725" s="45" t="str">
        <f t="shared" si="80"/>
        <v>2023.032P.Avsunviroidae_and_Pospiviroidae_rename_sp.zip</v>
      </c>
    </row>
    <row r="2726" spans="1:4">
      <c r="A2726" t="s">
        <v>11672</v>
      </c>
      <c r="B2726" t="s">
        <v>24519</v>
      </c>
      <c r="C2726" t="s">
        <v>24520</v>
      </c>
      <c r="D2726" s="45" t="str">
        <f t="shared" si="80"/>
        <v>2023.032P.Avsunviroidae_and_Pospiviroidae_rename_sp.zip</v>
      </c>
    </row>
    <row r="2727" spans="1:4">
      <c r="A2727" t="s">
        <v>11672</v>
      </c>
      <c r="B2727" t="s">
        <v>24521</v>
      </c>
      <c r="C2727" t="s">
        <v>24522</v>
      </c>
      <c r="D2727" s="45" t="str">
        <f t="shared" si="80"/>
        <v>2023.032P.Avsunviroidae_and_Pospiviroidae_rename_sp.zip</v>
      </c>
    </row>
    <row r="2728" spans="1:4">
      <c r="A2728" t="s">
        <v>11672</v>
      </c>
      <c r="B2728" t="s">
        <v>24523</v>
      </c>
      <c r="C2728" t="s">
        <v>24524</v>
      </c>
      <c r="D2728" s="45" t="str">
        <f t="shared" si="80"/>
        <v>2023.032P.Avsunviroidae_and_Pospiviroidae_rename_sp.zip</v>
      </c>
    </row>
    <row r="2729" spans="1:4">
      <c r="A2729" t="s">
        <v>11672</v>
      </c>
      <c r="B2729" t="s">
        <v>24525</v>
      </c>
      <c r="C2729" t="s">
        <v>24526</v>
      </c>
      <c r="D2729" s="45" t="str">
        <f t="shared" si="80"/>
        <v>2023.032P.Avsunviroidae_and_Pospiviroidae_rename_sp.zip</v>
      </c>
    </row>
    <row r="2730" spans="1:4">
      <c r="A2730" t="s">
        <v>11672</v>
      </c>
      <c r="B2730" t="s">
        <v>24527</v>
      </c>
      <c r="C2730" t="s">
        <v>24528</v>
      </c>
      <c r="D2730" s="45" t="str">
        <f t="shared" si="80"/>
        <v>2023.032P.Avsunviroidae_and_Pospiviroidae_rename_sp.zip</v>
      </c>
    </row>
    <row r="2731" spans="1:4">
      <c r="A2731" t="s">
        <v>11672</v>
      </c>
      <c r="B2731" t="s">
        <v>24529</v>
      </c>
      <c r="C2731" t="s">
        <v>24530</v>
      </c>
      <c r="D2731" s="45" t="str">
        <f t="shared" si="80"/>
        <v>2023.032P.Avsunviroidae_and_Pospiviroidae_rename_sp.zip</v>
      </c>
    </row>
    <row r="2732" spans="1:4">
      <c r="A2732" t="s">
        <v>11672</v>
      </c>
      <c r="B2732" t="s">
        <v>24531</v>
      </c>
      <c r="C2732" t="s">
        <v>24532</v>
      </c>
      <c r="D2732" s="45" t="str">
        <f t="shared" si="80"/>
        <v>2023.032P.Avsunviroidae_and_Pospiviroidae_rename_sp.zip</v>
      </c>
    </row>
    <row r="2733" spans="1:4">
      <c r="A2733" t="s">
        <v>11672</v>
      </c>
      <c r="B2733" t="s">
        <v>24533</v>
      </c>
      <c r="C2733" t="s">
        <v>24534</v>
      </c>
      <c r="D2733" s="45" t="str">
        <f t="shared" si="80"/>
        <v>2023.032P.Avsunviroidae_and_Pospiviroidae_rename_sp.zip</v>
      </c>
    </row>
    <row r="2734" spans="1:4">
      <c r="A2734" t="s">
        <v>11672</v>
      </c>
      <c r="B2734" t="s">
        <v>24535</v>
      </c>
      <c r="C2734" t="s">
        <v>24536</v>
      </c>
      <c r="D2734" s="45" t="str">
        <f t="shared" si="80"/>
        <v>2023.032P.Avsunviroidae_and_Pospiviroidae_rename_sp.zip</v>
      </c>
    </row>
    <row r="2735" spans="1:4">
      <c r="A2735" t="s">
        <v>11672</v>
      </c>
      <c r="B2735" t="s">
        <v>24537</v>
      </c>
      <c r="C2735" t="s">
        <v>24538</v>
      </c>
      <c r="D2735" s="45" t="str">
        <f t="shared" si="80"/>
        <v>2023.032P.Avsunviroidae_and_Pospiviroidae_rename_sp.zip</v>
      </c>
    </row>
    <row r="2736" spans="1:4">
      <c r="A2736" t="s">
        <v>11672</v>
      </c>
      <c r="B2736" t="s">
        <v>24539</v>
      </c>
      <c r="C2736" t="s">
        <v>24540</v>
      </c>
      <c r="D2736" s="45" t="str">
        <f t="shared" si="80"/>
        <v>2023.032P.Avsunviroidae_and_Pospiviroidae_rename_sp.zip</v>
      </c>
    </row>
    <row r="2737" spans="1:4">
      <c r="A2737" t="s">
        <v>11672</v>
      </c>
      <c r="B2737" t="s">
        <v>24541</v>
      </c>
      <c r="C2737" t="s">
        <v>24542</v>
      </c>
      <c r="D2737" s="45" t="str">
        <f t="shared" si="80"/>
        <v>2023.032P.Avsunviroidae_and_Pospiviroidae_rename_sp.zip</v>
      </c>
    </row>
    <row r="2738" spans="1:4">
      <c r="A2738" t="s">
        <v>11672</v>
      </c>
      <c r="B2738" t="s">
        <v>24543</v>
      </c>
      <c r="C2738" t="s">
        <v>24544</v>
      </c>
      <c r="D2738" s="45" t="str">
        <f t="shared" si="80"/>
        <v>2023.032P.Avsunviroidae_and_Pospiviroidae_rename_sp.zip</v>
      </c>
    </row>
    <row r="2739" spans="1:4">
      <c r="A2739" t="s">
        <v>11672</v>
      </c>
      <c r="B2739" t="s">
        <v>24545</v>
      </c>
      <c r="C2739" t="s">
        <v>24546</v>
      </c>
      <c r="D2739" s="45" t="str">
        <f t="shared" si="80"/>
        <v>2023.032P.Avsunviroidae_and_Pospiviroidae_rename_sp.zip</v>
      </c>
    </row>
    <row r="2740" spans="1:4">
      <c r="A2740" t="s">
        <v>11672</v>
      </c>
      <c r="B2740" t="s">
        <v>24547</v>
      </c>
      <c r="C2740" t="s">
        <v>24548</v>
      </c>
      <c r="D2740" s="45" t="str">
        <f t="shared" si="80"/>
        <v>2023.032P.Avsunviroidae_and_Pospiviroidae_rename_sp.zip</v>
      </c>
    </row>
    <row r="2741" spans="1:4">
      <c r="A2741" t="s">
        <v>11672</v>
      </c>
      <c r="B2741" t="s">
        <v>24549</v>
      </c>
      <c r="C2741" t="s">
        <v>24550</v>
      </c>
      <c r="D2741" s="45" t="str">
        <f t="shared" si="80"/>
        <v>2023.032P.Avsunviroidae_and_Pospiviroidae_rename_sp.zip</v>
      </c>
    </row>
    <row r="2742" spans="1:4">
      <c r="A2742" t="s">
        <v>11672</v>
      </c>
      <c r="B2742" t="s">
        <v>24551</v>
      </c>
      <c r="C2742" t="s">
        <v>24552</v>
      </c>
      <c r="D2742" s="45" t="str">
        <f t="shared" si="80"/>
        <v>2023.032P.Avsunviroidae_and_Pospiviroidae_rename_sp.zip</v>
      </c>
    </row>
    <row r="2743" spans="1:4">
      <c r="A2743" t="s">
        <v>11672</v>
      </c>
      <c r="B2743" t="s">
        <v>24553</v>
      </c>
      <c r="C2743" t="s">
        <v>24554</v>
      </c>
      <c r="D2743" s="45" t="str">
        <f t="shared" si="80"/>
        <v>2023.032P.Avsunviroidae_and_Pospiviroidae_rename_sp.zip</v>
      </c>
    </row>
    <row r="2744" spans="1:4">
      <c r="A2744" t="s">
        <v>11672</v>
      </c>
      <c r="B2744" t="s">
        <v>24555</v>
      </c>
      <c r="C2744" t="s">
        <v>24556</v>
      </c>
      <c r="D2744" s="45" t="str">
        <f t="shared" si="80"/>
        <v>2023.032P.Avsunviroidae_and_Pospiviroidae_rename_sp.zip</v>
      </c>
    </row>
    <row r="2745" spans="1:4">
      <c r="A2745" t="s">
        <v>11672</v>
      </c>
      <c r="B2745" t="s">
        <v>24557</v>
      </c>
      <c r="C2745" t="s">
        <v>24558</v>
      </c>
      <c r="D2745" s="45" t="str">
        <f t="shared" si="80"/>
        <v>2023.032P.Avsunviroidae_and_Pospiviroidae_rename_sp.zip</v>
      </c>
    </row>
    <row r="2746" spans="1:4">
      <c r="A2746" t="s">
        <v>11672</v>
      </c>
      <c r="B2746" t="s">
        <v>24559</v>
      </c>
      <c r="C2746" t="s">
        <v>24560</v>
      </c>
      <c r="D2746" s="45" t="str">
        <f t="shared" si="80"/>
        <v>2023.032P.Avsunviroidae_and_Pospiviroidae_rename_sp.zip</v>
      </c>
    </row>
    <row r="2747" spans="1:4">
      <c r="A2747" t="s">
        <v>11672</v>
      </c>
      <c r="B2747" t="s">
        <v>24561</v>
      </c>
      <c r="C2747" t="s">
        <v>24562</v>
      </c>
      <c r="D2747" s="45" t="str">
        <f t="shared" si="80"/>
        <v>2023.032P.Avsunviroidae_and_Pospiviroidae_rename_sp.zip</v>
      </c>
    </row>
    <row r="2748" spans="1:4">
      <c r="A2748" t="s">
        <v>11672</v>
      </c>
      <c r="B2748" t="s">
        <v>24563</v>
      </c>
      <c r="C2748" t="s">
        <v>24564</v>
      </c>
      <c r="D2748" s="45" t="str">
        <f t="shared" si="80"/>
        <v>2023.032P.Avsunviroidae_and_Pospiviroidae_rename_sp.zip</v>
      </c>
    </row>
    <row r="2749" spans="1:4">
      <c r="A2749" t="s">
        <v>11672</v>
      </c>
      <c r="B2749" t="s">
        <v>24565</v>
      </c>
      <c r="C2749" t="s">
        <v>24566</v>
      </c>
      <c r="D2749" s="45" t="str">
        <f t="shared" si="80"/>
        <v>2023.032P.Avsunviroidae_and_Pospiviroidae_rename_sp.zip</v>
      </c>
    </row>
    <row r="2750" spans="1:4">
      <c r="A2750" t="s">
        <v>11672</v>
      </c>
      <c r="B2750" t="s">
        <v>24567</v>
      </c>
      <c r="C2750" t="s">
        <v>24568</v>
      </c>
      <c r="D2750" s="45" t="str">
        <f t="shared" si="80"/>
        <v>2023.032P.Avsunviroidae_and_Pospiviroidae_rename_sp.zip</v>
      </c>
    </row>
    <row r="2751" spans="1:4">
      <c r="A2751" t="s">
        <v>11672</v>
      </c>
      <c r="B2751" t="s">
        <v>24569</v>
      </c>
      <c r="C2751" t="s">
        <v>24570</v>
      </c>
      <c r="D2751" s="45" t="str">
        <f t="shared" si="80"/>
        <v>2023.032P.Avsunviroidae_and_Pospiviroidae_rename_sp.zip</v>
      </c>
    </row>
    <row r="2752" spans="1:4">
      <c r="A2752" t="s">
        <v>11672</v>
      </c>
      <c r="B2752" t="s">
        <v>24571</v>
      </c>
      <c r="C2752" t="s">
        <v>24572</v>
      </c>
      <c r="D2752" s="45" t="str">
        <f t="shared" si="80"/>
        <v>2023.032P.Avsunviroidae_and_Pospiviroidae_rename_sp.zip</v>
      </c>
    </row>
    <row r="2753" spans="1:4">
      <c r="A2753" t="s">
        <v>11672</v>
      </c>
      <c r="B2753" t="s">
        <v>24573</v>
      </c>
      <c r="C2753" t="s">
        <v>24574</v>
      </c>
      <c r="D2753" s="45" t="str">
        <f t="shared" si="80"/>
        <v>2023.032P.Avsunviroidae_and_Pospiviroidae_rename_sp.zip</v>
      </c>
    </row>
    <row r="2754" spans="1:4">
      <c r="A2754" t="s">
        <v>11672</v>
      </c>
      <c r="B2754" t="s">
        <v>24575</v>
      </c>
      <c r="C2754" t="s">
        <v>24576</v>
      </c>
      <c r="D2754" s="45" t="str">
        <f t="shared" si="80"/>
        <v>2023.032P.Avsunviroidae_and_Pospiviroidae_rename_sp.zip</v>
      </c>
    </row>
    <row r="2755" spans="1:4">
      <c r="A2755" t="s">
        <v>11672</v>
      </c>
      <c r="B2755" t="s">
        <v>24577</v>
      </c>
      <c r="C2755" t="s">
        <v>24578</v>
      </c>
      <c r="D2755" s="45" t="str">
        <f t="shared" si="80"/>
        <v>2023.032P.Avsunviroidae_and_Pospiviroidae_rename_sp.zip</v>
      </c>
    </row>
    <row r="2756" spans="1:4">
      <c r="A2756" t="s">
        <v>11672</v>
      </c>
      <c r="B2756" t="s">
        <v>24579</v>
      </c>
      <c r="C2756" t="s">
        <v>24580</v>
      </c>
      <c r="D2756" s="45" t="str">
        <f t="shared" si="80"/>
        <v>2023.032P.Avsunviroidae_and_Pospiviroidae_rename_sp.zip</v>
      </c>
    </row>
    <row r="2757" spans="1:4">
      <c r="A2757" t="s">
        <v>11672</v>
      </c>
      <c r="B2757" t="s">
        <v>24581</v>
      </c>
      <c r="C2757" t="s">
        <v>24582</v>
      </c>
      <c r="D2757" s="45" t="str">
        <f t="shared" si="80"/>
        <v>2023.032P.Avsunviroidae_and_Pospiviroidae_rename_sp.zip</v>
      </c>
    </row>
    <row r="2758" spans="1:4">
      <c r="A2758" t="s">
        <v>11672</v>
      </c>
      <c r="B2758" t="s">
        <v>24583</v>
      </c>
      <c r="C2758" t="s">
        <v>24584</v>
      </c>
      <c r="D2758" s="45" t="str">
        <f t="shared" si="80"/>
        <v>2023.032P.Avsunviroidae_and_Pospiviroidae_rename_sp.zip</v>
      </c>
    </row>
    <row r="2759" spans="1:4">
      <c r="A2759" t="s">
        <v>11672</v>
      </c>
      <c r="B2759" t="s">
        <v>24585</v>
      </c>
      <c r="C2759" t="s">
        <v>24586</v>
      </c>
      <c r="D2759" s="45" t="str">
        <f t="shared" si="80"/>
        <v>2023.032P.Avsunviroidae_and_Pospiviroidae_rename_sp.zip</v>
      </c>
    </row>
    <row r="2760" spans="1:4">
      <c r="A2760" t="s">
        <v>11672</v>
      </c>
      <c r="B2760" t="s">
        <v>24587</v>
      </c>
      <c r="C2760" t="s">
        <v>24588</v>
      </c>
      <c r="D2760" s="45" t="str">
        <f t="shared" si="80"/>
        <v>2023.032P.Avsunviroidae_and_Pospiviroidae_rename_sp.zip</v>
      </c>
    </row>
    <row r="2761" spans="1:4">
      <c r="A2761" t="s">
        <v>11672</v>
      </c>
      <c r="B2761" t="s">
        <v>24589</v>
      </c>
      <c r="C2761" t="s">
        <v>24590</v>
      </c>
      <c r="D2761" s="45" t="str">
        <f>HYPERLINK("https://ictv.global/ictv/proposals/2023.001A.Archaeal_binomials.zip","2023.001A.Archaeal_binomials.zip")</f>
        <v>2023.001A.Archaeal_binomials.zip</v>
      </c>
    </row>
    <row r="2762" spans="1:4">
      <c r="A2762" t="s">
        <v>11672</v>
      </c>
      <c r="B2762" t="s">
        <v>24591</v>
      </c>
      <c r="C2762" t="s">
        <v>24592</v>
      </c>
      <c r="D2762" s="45" t="str">
        <f>HYPERLINK("https://ictv.global/ictv/proposals/2023.001A.Archaeal_binomials.zip","2023.001A.Archaeal_binomials.zip")</f>
        <v>2023.001A.Archaeal_binomials.zip</v>
      </c>
    </row>
    <row r="2763" spans="1:4">
      <c r="A2763" t="s">
        <v>11672</v>
      </c>
      <c r="B2763" t="s">
        <v>24593</v>
      </c>
      <c r="C2763" t="s">
        <v>24594</v>
      </c>
      <c r="D2763" s="45" t="str">
        <f t="shared" ref="D2763:D2794" si="81">HYPERLINK("https://ictv.global/ictv/proposals/2023.035P.Tolecusatellitidae_rename.zip","2023.035P.Tolecusatellitidae_rename.zip")</f>
        <v>2023.035P.Tolecusatellitidae_rename.zip</v>
      </c>
    </row>
    <row r="2764" spans="1:4">
      <c r="A2764" t="s">
        <v>11672</v>
      </c>
      <c r="B2764" t="s">
        <v>24595</v>
      </c>
      <c r="C2764" t="s">
        <v>24596</v>
      </c>
      <c r="D2764" s="45" t="str">
        <f t="shared" si="81"/>
        <v>2023.035P.Tolecusatellitidae_rename.zip</v>
      </c>
    </row>
    <row r="2765" spans="1:4">
      <c r="A2765" t="s">
        <v>11672</v>
      </c>
      <c r="B2765" t="s">
        <v>24597</v>
      </c>
      <c r="C2765" t="s">
        <v>24598</v>
      </c>
      <c r="D2765" s="45" t="str">
        <f t="shared" si="81"/>
        <v>2023.035P.Tolecusatellitidae_rename.zip</v>
      </c>
    </row>
    <row r="2766" spans="1:4">
      <c r="A2766" t="s">
        <v>11672</v>
      </c>
      <c r="B2766" t="s">
        <v>24599</v>
      </c>
      <c r="C2766" t="s">
        <v>24600</v>
      </c>
      <c r="D2766" s="45" t="str">
        <f t="shared" si="81"/>
        <v>2023.035P.Tolecusatellitidae_rename.zip</v>
      </c>
    </row>
    <row r="2767" spans="1:4">
      <c r="A2767" t="s">
        <v>11672</v>
      </c>
      <c r="B2767" t="s">
        <v>24601</v>
      </c>
      <c r="C2767" t="s">
        <v>24602</v>
      </c>
      <c r="D2767" s="45" t="str">
        <f t="shared" si="81"/>
        <v>2023.035P.Tolecusatellitidae_rename.zip</v>
      </c>
    </row>
    <row r="2768" spans="1:4">
      <c r="A2768" t="s">
        <v>11672</v>
      </c>
      <c r="B2768" t="s">
        <v>24603</v>
      </c>
      <c r="C2768" t="s">
        <v>24604</v>
      </c>
      <c r="D2768" s="45" t="str">
        <f t="shared" si="81"/>
        <v>2023.035P.Tolecusatellitidae_rename.zip</v>
      </c>
    </row>
    <row r="2769" spans="1:4">
      <c r="A2769" t="s">
        <v>11672</v>
      </c>
      <c r="B2769" t="s">
        <v>24605</v>
      </c>
      <c r="C2769" t="s">
        <v>24606</v>
      </c>
      <c r="D2769" s="45" t="str">
        <f t="shared" si="81"/>
        <v>2023.035P.Tolecusatellitidae_rename.zip</v>
      </c>
    </row>
    <row r="2770" spans="1:4">
      <c r="A2770" t="s">
        <v>11672</v>
      </c>
      <c r="B2770" t="s">
        <v>24607</v>
      </c>
      <c r="C2770" t="s">
        <v>24608</v>
      </c>
      <c r="D2770" s="45" t="str">
        <f t="shared" si="81"/>
        <v>2023.035P.Tolecusatellitidae_rename.zip</v>
      </c>
    </row>
    <row r="2771" spans="1:4">
      <c r="A2771" t="s">
        <v>11672</v>
      </c>
      <c r="B2771" t="s">
        <v>24609</v>
      </c>
      <c r="C2771" t="s">
        <v>24610</v>
      </c>
      <c r="D2771" s="45" t="str">
        <f t="shared" si="81"/>
        <v>2023.035P.Tolecusatellitidae_rename.zip</v>
      </c>
    </row>
    <row r="2772" spans="1:4">
      <c r="A2772" t="s">
        <v>11672</v>
      </c>
      <c r="B2772" t="s">
        <v>24611</v>
      </c>
      <c r="C2772" t="s">
        <v>24612</v>
      </c>
      <c r="D2772" s="45" t="str">
        <f t="shared" si="81"/>
        <v>2023.035P.Tolecusatellitidae_rename.zip</v>
      </c>
    </row>
    <row r="2773" spans="1:4">
      <c r="A2773" t="s">
        <v>11672</v>
      </c>
      <c r="B2773" t="s">
        <v>24613</v>
      </c>
      <c r="C2773" t="s">
        <v>24614</v>
      </c>
      <c r="D2773" s="45" t="str">
        <f t="shared" si="81"/>
        <v>2023.035P.Tolecusatellitidae_rename.zip</v>
      </c>
    </row>
    <row r="2774" spans="1:4">
      <c r="A2774" t="s">
        <v>11672</v>
      </c>
      <c r="B2774" t="s">
        <v>24615</v>
      </c>
      <c r="C2774" t="s">
        <v>24616</v>
      </c>
      <c r="D2774" s="45" t="str">
        <f t="shared" si="81"/>
        <v>2023.035P.Tolecusatellitidae_rename.zip</v>
      </c>
    </row>
    <row r="2775" spans="1:4">
      <c r="A2775" t="s">
        <v>11672</v>
      </c>
      <c r="B2775" t="s">
        <v>24617</v>
      </c>
      <c r="C2775" t="s">
        <v>24618</v>
      </c>
      <c r="D2775" s="45" t="str">
        <f t="shared" si="81"/>
        <v>2023.035P.Tolecusatellitidae_rename.zip</v>
      </c>
    </row>
    <row r="2776" spans="1:4">
      <c r="A2776" t="s">
        <v>11672</v>
      </c>
      <c r="B2776" t="s">
        <v>24619</v>
      </c>
      <c r="C2776" t="s">
        <v>24620</v>
      </c>
      <c r="D2776" s="45" t="str">
        <f t="shared" si="81"/>
        <v>2023.035P.Tolecusatellitidae_rename.zip</v>
      </c>
    </row>
    <row r="2777" spans="1:4">
      <c r="A2777" t="s">
        <v>11672</v>
      </c>
      <c r="B2777" t="s">
        <v>24621</v>
      </c>
      <c r="C2777" t="s">
        <v>24622</v>
      </c>
      <c r="D2777" s="45" t="str">
        <f t="shared" si="81"/>
        <v>2023.035P.Tolecusatellitidae_rename.zip</v>
      </c>
    </row>
    <row r="2778" spans="1:4">
      <c r="A2778" t="s">
        <v>11672</v>
      </c>
      <c r="B2778" t="s">
        <v>24623</v>
      </c>
      <c r="C2778" t="s">
        <v>24624</v>
      </c>
      <c r="D2778" s="45" t="str">
        <f t="shared" si="81"/>
        <v>2023.035P.Tolecusatellitidae_rename.zip</v>
      </c>
    </row>
    <row r="2779" spans="1:4">
      <c r="A2779" t="s">
        <v>11672</v>
      </c>
      <c r="B2779" t="s">
        <v>24625</v>
      </c>
      <c r="C2779" t="s">
        <v>24626</v>
      </c>
      <c r="D2779" s="45" t="str">
        <f t="shared" si="81"/>
        <v>2023.035P.Tolecusatellitidae_rename.zip</v>
      </c>
    </row>
    <row r="2780" spans="1:4">
      <c r="A2780" t="s">
        <v>11672</v>
      </c>
      <c r="B2780" t="s">
        <v>24627</v>
      </c>
      <c r="C2780" t="s">
        <v>24628</v>
      </c>
      <c r="D2780" s="45" t="str">
        <f t="shared" si="81"/>
        <v>2023.035P.Tolecusatellitidae_rename.zip</v>
      </c>
    </row>
    <row r="2781" spans="1:4">
      <c r="A2781" t="s">
        <v>11672</v>
      </c>
      <c r="B2781" t="s">
        <v>24629</v>
      </c>
      <c r="C2781" t="s">
        <v>24630</v>
      </c>
      <c r="D2781" s="45" t="str">
        <f t="shared" si="81"/>
        <v>2023.035P.Tolecusatellitidae_rename.zip</v>
      </c>
    </row>
    <row r="2782" spans="1:4">
      <c r="A2782" t="s">
        <v>11672</v>
      </c>
      <c r="B2782" t="s">
        <v>24631</v>
      </c>
      <c r="C2782" t="s">
        <v>24632</v>
      </c>
      <c r="D2782" s="45" t="str">
        <f t="shared" si="81"/>
        <v>2023.035P.Tolecusatellitidae_rename.zip</v>
      </c>
    </row>
    <row r="2783" spans="1:4">
      <c r="A2783" t="s">
        <v>11672</v>
      </c>
      <c r="B2783" t="s">
        <v>24633</v>
      </c>
      <c r="C2783" t="s">
        <v>24634</v>
      </c>
      <c r="D2783" s="45" t="str">
        <f t="shared" si="81"/>
        <v>2023.035P.Tolecusatellitidae_rename.zip</v>
      </c>
    </row>
    <row r="2784" spans="1:4">
      <c r="A2784" t="s">
        <v>11672</v>
      </c>
      <c r="B2784" t="s">
        <v>24635</v>
      </c>
      <c r="C2784" t="s">
        <v>24636</v>
      </c>
      <c r="D2784" s="45" t="str">
        <f t="shared" si="81"/>
        <v>2023.035P.Tolecusatellitidae_rename.zip</v>
      </c>
    </row>
    <row r="2785" spans="1:4">
      <c r="A2785" t="s">
        <v>11672</v>
      </c>
      <c r="B2785" t="s">
        <v>24637</v>
      </c>
      <c r="C2785" t="s">
        <v>24638</v>
      </c>
      <c r="D2785" s="45" t="str">
        <f t="shared" si="81"/>
        <v>2023.035P.Tolecusatellitidae_rename.zip</v>
      </c>
    </row>
    <row r="2786" spans="1:4">
      <c r="A2786" t="s">
        <v>11672</v>
      </c>
      <c r="B2786" t="s">
        <v>24639</v>
      </c>
      <c r="C2786" t="s">
        <v>24640</v>
      </c>
      <c r="D2786" s="45" t="str">
        <f t="shared" si="81"/>
        <v>2023.035P.Tolecusatellitidae_rename.zip</v>
      </c>
    </row>
    <row r="2787" spans="1:4">
      <c r="A2787" t="s">
        <v>11672</v>
      </c>
      <c r="B2787" t="s">
        <v>24641</v>
      </c>
      <c r="C2787" t="s">
        <v>24642</v>
      </c>
      <c r="D2787" s="45" t="str">
        <f t="shared" si="81"/>
        <v>2023.035P.Tolecusatellitidae_rename.zip</v>
      </c>
    </row>
    <row r="2788" spans="1:4">
      <c r="A2788" t="s">
        <v>11672</v>
      </c>
      <c r="B2788" t="s">
        <v>24643</v>
      </c>
      <c r="C2788" t="s">
        <v>24644</v>
      </c>
      <c r="D2788" s="45" t="str">
        <f t="shared" si="81"/>
        <v>2023.035P.Tolecusatellitidae_rename.zip</v>
      </c>
    </row>
    <row r="2789" spans="1:4">
      <c r="A2789" t="s">
        <v>11672</v>
      </c>
      <c r="B2789" t="s">
        <v>24645</v>
      </c>
      <c r="C2789" t="s">
        <v>24646</v>
      </c>
      <c r="D2789" s="45" t="str">
        <f t="shared" si="81"/>
        <v>2023.035P.Tolecusatellitidae_rename.zip</v>
      </c>
    </row>
    <row r="2790" spans="1:4">
      <c r="A2790" t="s">
        <v>11672</v>
      </c>
      <c r="B2790" t="s">
        <v>24647</v>
      </c>
      <c r="C2790" t="s">
        <v>24648</v>
      </c>
      <c r="D2790" s="45" t="str">
        <f t="shared" si="81"/>
        <v>2023.035P.Tolecusatellitidae_rename.zip</v>
      </c>
    </row>
    <row r="2791" spans="1:4">
      <c r="A2791" t="s">
        <v>11672</v>
      </c>
      <c r="B2791" t="s">
        <v>24649</v>
      </c>
      <c r="C2791" t="s">
        <v>24650</v>
      </c>
      <c r="D2791" s="45" t="str">
        <f t="shared" si="81"/>
        <v>2023.035P.Tolecusatellitidae_rename.zip</v>
      </c>
    </row>
    <row r="2792" spans="1:4">
      <c r="A2792" t="s">
        <v>11672</v>
      </c>
      <c r="B2792" t="s">
        <v>24651</v>
      </c>
      <c r="C2792" t="s">
        <v>24652</v>
      </c>
      <c r="D2792" s="45" t="str">
        <f t="shared" si="81"/>
        <v>2023.035P.Tolecusatellitidae_rename.zip</v>
      </c>
    </row>
    <row r="2793" spans="1:4">
      <c r="A2793" t="s">
        <v>11672</v>
      </c>
      <c r="B2793" t="s">
        <v>24653</v>
      </c>
      <c r="C2793" t="s">
        <v>24654</v>
      </c>
      <c r="D2793" s="45" t="str">
        <f t="shared" si="81"/>
        <v>2023.035P.Tolecusatellitidae_rename.zip</v>
      </c>
    </row>
    <row r="2794" spans="1:4">
      <c r="A2794" t="s">
        <v>11672</v>
      </c>
      <c r="B2794" t="s">
        <v>24655</v>
      </c>
      <c r="C2794" t="s">
        <v>24656</v>
      </c>
      <c r="D2794" s="45" t="str">
        <f t="shared" si="81"/>
        <v>2023.035P.Tolecusatellitidae_rename.zip</v>
      </c>
    </row>
    <row r="2795" spans="1:4">
      <c r="A2795" t="s">
        <v>11672</v>
      </c>
      <c r="B2795" t="s">
        <v>24657</v>
      </c>
      <c r="C2795" t="s">
        <v>24658</v>
      </c>
      <c r="D2795" s="45" t="str">
        <f t="shared" ref="D2795:D2826" si="82">HYPERLINK("https://ictv.global/ictv/proposals/2023.035P.Tolecusatellitidae_rename.zip","2023.035P.Tolecusatellitidae_rename.zip")</f>
        <v>2023.035P.Tolecusatellitidae_rename.zip</v>
      </c>
    </row>
    <row r="2796" spans="1:4">
      <c r="A2796" t="s">
        <v>11672</v>
      </c>
      <c r="B2796" t="s">
        <v>24659</v>
      </c>
      <c r="C2796" t="s">
        <v>24660</v>
      </c>
      <c r="D2796" s="45" t="str">
        <f t="shared" si="82"/>
        <v>2023.035P.Tolecusatellitidae_rename.zip</v>
      </c>
    </row>
    <row r="2797" spans="1:4">
      <c r="A2797" t="s">
        <v>11672</v>
      </c>
      <c r="B2797" t="s">
        <v>24661</v>
      </c>
      <c r="C2797" t="s">
        <v>24662</v>
      </c>
      <c r="D2797" s="45" t="str">
        <f t="shared" si="82"/>
        <v>2023.035P.Tolecusatellitidae_rename.zip</v>
      </c>
    </row>
    <row r="2798" spans="1:4">
      <c r="A2798" t="s">
        <v>11672</v>
      </c>
      <c r="B2798" t="s">
        <v>24663</v>
      </c>
      <c r="C2798" t="s">
        <v>24664</v>
      </c>
      <c r="D2798" s="45" t="str">
        <f t="shared" si="82"/>
        <v>2023.035P.Tolecusatellitidae_rename.zip</v>
      </c>
    </row>
    <row r="2799" spans="1:4">
      <c r="A2799" t="s">
        <v>11672</v>
      </c>
      <c r="B2799" t="s">
        <v>24665</v>
      </c>
      <c r="C2799" t="s">
        <v>24666</v>
      </c>
      <c r="D2799" s="45" t="str">
        <f t="shared" si="82"/>
        <v>2023.035P.Tolecusatellitidae_rename.zip</v>
      </c>
    </row>
    <row r="2800" spans="1:4">
      <c r="A2800" t="s">
        <v>11672</v>
      </c>
      <c r="B2800" t="s">
        <v>24667</v>
      </c>
      <c r="C2800" t="s">
        <v>24668</v>
      </c>
      <c r="D2800" s="45" t="str">
        <f t="shared" si="82"/>
        <v>2023.035P.Tolecusatellitidae_rename.zip</v>
      </c>
    </row>
    <row r="2801" spans="1:4">
      <c r="A2801" t="s">
        <v>11672</v>
      </c>
      <c r="B2801" t="s">
        <v>24669</v>
      </c>
      <c r="C2801" t="s">
        <v>24670</v>
      </c>
      <c r="D2801" s="45" t="str">
        <f t="shared" si="82"/>
        <v>2023.035P.Tolecusatellitidae_rename.zip</v>
      </c>
    </row>
    <row r="2802" spans="1:4">
      <c r="A2802" t="s">
        <v>11672</v>
      </c>
      <c r="B2802" t="s">
        <v>24671</v>
      </c>
      <c r="C2802" t="s">
        <v>24672</v>
      </c>
      <c r="D2802" s="45" t="str">
        <f t="shared" si="82"/>
        <v>2023.035P.Tolecusatellitidae_rename.zip</v>
      </c>
    </row>
    <row r="2803" spans="1:4">
      <c r="A2803" t="s">
        <v>11672</v>
      </c>
      <c r="B2803" t="s">
        <v>24673</v>
      </c>
      <c r="C2803" t="s">
        <v>24674</v>
      </c>
      <c r="D2803" s="45" t="str">
        <f t="shared" si="82"/>
        <v>2023.035P.Tolecusatellitidae_rename.zip</v>
      </c>
    </row>
    <row r="2804" spans="1:4">
      <c r="A2804" t="s">
        <v>11672</v>
      </c>
      <c r="B2804" t="s">
        <v>24675</v>
      </c>
      <c r="C2804" t="s">
        <v>24676</v>
      </c>
      <c r="D2804" s="45" t="str">
        <f t="shared" si="82"/>
        <v>2023.035P.Tolecusatellitidae_rename.zip</v>
      </c>
    </row>
    <row r="2805" spans="1:4">
      <c r="A2805" t="s">
        <v>11672</v>
      </c>
      <c r="B2805" t="s">
        <v>24677</v>
      </c>
      <c r="C2805" t="s">
        <v>24678</v>
      </c>
      <c r="D2805" s="45" t="str">
        <f t="shared" si="82"/>
        <v>2023.035P.Tolecusatellitidae_rename.zip</v>
      </c>
    </row>
    <row r="2806" spans="1:4">
      <c r="A2806" t="s">
        <v>11672</v>
      </c>
      <c r="B2806" t="s">
        <v>24679</v>
      </c>
      <c r="C2806" t="s">
        <v>24680</v>
      </c>
      <c r="D2806" s="45" t="str">
        <f t="shared" si="82"/>
        <v>2023.035P.Tolecusatellitidae_rename.zip</v>
      </c>
    </row>
    <row r="2807" spans="1:4">
      <c r="A2807" t="s">
        <v>11672</v>
      </c>
      <c r="B2807" t="s">
        <v>24681</v>
      </c>
      <c r="C2807" t="s">
        <v>24682</v>
      </c>
      <c r="D2807" s="45" t="str">
        <f t="shared" si="82"/>
        <v>2023.035P.Tolecusatellitidae_rename.zip</v>
      </c>
    </row>
    <row r="2808" spans="1:4">
      <c r="A2808" t="s">
        <v>11672</v>
      </c>
      <c r="B2808" t="s">
        <v>24683</v>
      </c>
      <c r="C2808" t="s">
        <v>24684</v>
      </c>
      <c r="D2808" s="45" t="str">
        <f t="shared" si="82"/>
        <v>2023.035P.Tolecusatellitidae_rename.zip</v>
      </c>
    </row>
    <row r="2809" spans="1:4">
      <c r="A2809" t="s">
        <v>11672</v>
      </c>
      <c r="B2809" t="s">
        <v>24685</v>
      </c>
      <c r="C2809" t="s">
        <v>24686</v>
      </c>
      <c r="D2809" s="45" t="str">
        <f t="shared" si="82"/>
        <v>2023.035P.Tolecusatellitidae_rename.zip</v>
      </c>
    </row>
    <row r="2810" spans="1:4">
      <c r="A2810" t="s">
        <v>11672</v>
      </c>
      <c r="B2810" t="s">
        <v>24687</v>
      </c>
      <c r="C2810" t="s">
        <v>24688</v>
      </c>
      <c r="D2810" s="45" t="str">
        <f t="shared" si="82"/>
        <v>2023.035P.Tolecusatellitidae_rename.zip</v>
      </c>
    </row>
    <row r="2811" spans="1:4">
      <c r="A2811" t="s">
        <v>11672</v>
      </c>
      <c r="B2811" t="s">
        <v>24689</v>
      </c>
      <c r="C2811" t="s">
        <v>24690</v>
      </c>
      <c r="D2811" s="45" t="str">
        <f t="shared" si="82"/>
        <v>2023.035P.Tolecusatellitidae_rename.zip</v>
      </c>
    </row>
    <row r="2812" spans="1:4">
      <c r="A2812" t="s">
        <v>11672</v>
      </c>
      <c r="B2812" t="s">
        <v>24691</v>
      </c>
      <c r="C2812" t="s">
        <v>24692</v>
      </c>
      <c r="D2812" s="45" t="str">
        <f t="shared" si="82"/>
        <v>2023.035P.Tolecusatellitidae_rename.zip</v>
      </c>
    </row>
    <row r="2813" spans="1:4">
      <c r="A2813" t="s">
        <v>11672</v>
      </c>
      <c r="B2813" t="s">
        <v>24693</v>
      </c>
      <c r="C2813" t="s">
        <v>24694</v>
      </c>
      <c r="D2813" s="45" t="str">
        <f t="shared" si="82"/>
        <v>2023.035P.Tolecusatellitidae_rename.zip</v>
      </c>
    </row>
    <row r="2814" spans="1:4">
      <c r="A2814" t="s">
        <v>11672</v>
      </c>
      <c r="B2814" t="s">
        <v>24695</v>
      </c>
      <c r="C2814" t="s">
        <v>24696</v>
      </c>
      <c r="D2814" s="45" t="str">
        <f t="shared" si="82"/>
        <v>2023.035P.Tolecusatellitidae_rename.zip</v>
      </c>
    </row>
    <row r="2815" spans="1:4">
      <c r="A2815" t="s">
        <v>11672</v>
      </c>
      <c r="B2815" t="s">
        <v>24697</v>
      </c>
      <c r="C2815" t="s">
        <v>24698</v>
      </c>
      <c r="D2815" s="45" t="str">
        <f t="shared" si="82"/>
        <v>2023.035P.Tolecusatellitidae_rename.zip</v>
      </c>
    </row>
    <row r="2816" spans="1:4">
      <c r="A2816" t="s">
        <v>11672</v>
      </c>
      <c r="B2816" t="s">
        <v>24699</v>
      </c>
      <c r="C2816" t="s">
        <v>24700</v>
      </c>
      <c r="D2816" s="45" t="str">
        <f t="shared" si="82"/>
        <v>2023.035P.Tolecusatellitidae_rename.zip</v>
      </c>
    </row>
    <row r="2817" spans="1:4">
      <c r="A2817" t="s">
        <v>11672</v>
      </c>
      <c r="B2817" t="s">
        <v>24701</v>
      </c>
      <c r="C2817" t="s">
        <v>24702</v>
      </c>
      <c r="D2817" s="45" t="str">
        <f t="shared" si="82"/>
        <v>2023.035P.Tolecusatellitidae_rename.zip</v>
      </c>
    </row>
    <row r="2818" spans="1:4">
      <c r="A2818" t="s">
        <v>11672</v>
      </c>
      <c r="B2818" t="s">
        <v>24703</v>
      </c>
      <c r="C2818" t="s">
        <v>24704</v>
      </c>
      <c r="D2818" s="45" t="str">
        <f t="shared" si="82"/>
        <v>2023.035P.Tolecusatellitidae_rename.zip</v>
      </c>
    </row>
    <row r="2819" spans="1:4">
      <c r="A2819" t="s">
        <v>11672</v>
      </c>
      <c r="B2819" t="s">
        <v>24705</v>
      </c>
      <c r="C2819" t="s">
        <v>24706</v>
      </c>
      <c r="D2819" s="45" t="str">
        <f t="shared" si="82"/>
        <v>2023.035P.Tolecusatellitidae_rename.zip</v>
      </c>
    </row>
    <row r="2820" spans="1:4">
      <c r="A2820" t="s">
        <v>11672</v>
      </c>
      <c r="B2820" t="s">
        <v>24707</v>
      </c>
      <c r="C2820" t="s">
        <v>24708</v>
      </c>
      <c r="D2820" s="45" t="str">
        <f t="shared" si="82"/>
        <v>2023.035P.Tolecusatellitidae_rename.zip</v>
      </c>
    </row>
    <row r="2821" spans="1:4">
      <c r="A2821" t="s">
        <v>11672</v>
      </c>
      <c r="B2821" t="s">
        <v>24709</v>
      </c>
      <c r="C2821" t="s">
        <v>24710</v>
      </c>
      <c r="D2821" s="45" t="str">
        <f t="shared" si="82"/>
        <v>2023.035P.Tolecusatellitidae_rename.zip</v>
      </c>
    </row>
    <row r="2822" spans="1:4">
      <c r="A2822" t="s">
        <v>11672</v>
      </c>
      <c r="B2822" t="s">
        <v>24711</v>
      </c>
      <c r="C2822" t="s">
        <v>24712</v>
      </c>
      <c r="D2822" s="45" t="str">
        <f t="shared" si="82"/>
        <v>2023.035P.Tolecusatellitidae_rename.zip</v>
      </c>
    </row>
    <row r="2823" spans="1:4">
      <c r="A2823" t="s">
        <v>11672</v>
      </c>
      <c r="B2823" t="s">
        <v>24713</v>
      </c>
      <c r="C2823" t="s">
        <v>24714</v>
      </c>
      <c r="D2823" s="45" t="str">
        <f t="shared" si="82"/>
        <v>2023.035P.Tolecusatellitidae_rename.zip</v>
      </c>
    </row>
    <row r="2824" spans="1:4">
      <c r="A2824" t="s">
        <v>11672</v>
      </c>
      <c r="B2824" t="s">
        <v>24715</v>
      </c>
      <c r="C2824" t="s">
        <v>24716</v>
      </c>
      <c r="D2824" s="45" t="str">
        <f t="shared" si="82"/>
        <v>2023.035P.Tolecusatellitidae_rename.zip</v>
      </c>
    </row>
    <row r="2825" spans="1:4">
      <c r="A2825" t="s">
        <v>11672</v>
      </c>
      <c r="B2825" t="s">
        <v>24717</v>
      </c>
      <c r="C2825" t="s">
        <v>24718</v>
      </c>
      <c r="D2825" s="45" t="str">
        <f t="shared" si="82"/>
        <v>2023.035P.Tolecusatellitidae_rename.zip</v>
      </c>
    </row>
    <row r="2826" spans="1:4">
      <c r="A2826" t="s">
        <v>11672</v>
      </c>
      <c r="B2826" t="s">
        <v>24719</v>
      </c>
      <c r="C2826" t="s">
        <v>24720</v>
      </c>
      <c r="D2826" s="45" t="str">
        <f t="shared" si="82"/>
        <v>2023.035P.Tolecusatellitidae_rename.zip</v>
      </c>
    </row>
    <row r="2827" spans="1:4">
      <c r="A2827" t="s">
        <v>11672</v>
      </c>
      <c r="B2827" t="s">
        <v>24721</v>
      </c>
      <c r="C2827" t="s">
        <v>24722</v>
      </c>
      <c r="D2827" s="45" t="str">
        <f t="shared" ref="D2827:D2858" si="83">HYPERLINK("https://ictv.global/ictv/proposals/2023.035P.Tolecusatellitidae_rename.zip","2023.035P.Tolecusatellitidae_rename.zip")</f>
        <v>2023.035P.Tolecusatellitidae_rename.zip</v>
      </c>
    </row>
    <row r="2828" spans="1:4">
      <c r="A2828" t="s">
        <v>11672</v>
      </c>
      <c r="B2828" t="s">
        <v>24723</v>
      </c>
      <c r="C2828" t="s">
        <v>24724</v>
      </c>
      <c r="D2828" s="45" t="str">
        <f t="shared" si="83"/>
        <v>2023.035P.Tolecusatellitidae_rename.zip</v>
      </c>
    </row>
    <row r="2829" spans="1:4">
      <c r="A2829" t="s">
        <v>11672</v>
      </c>
      <c r="B2829" t="s">
        <v>24725</v>
      </c>
      <c r="C2829" t="s">
        <v>24726</v>
      </c>
      <c r="D2829" s="45" t="str">
        <f t="shared" si="83"/>
        <v>2023.035P.Tolecusatellitidae_rename.zip</v>
      </c>
    </row>
    <row r="2830" spans="1:4">
      <c r="A2830" t="s">
        <v>11672</v>
      </c>
      <c r="B2830" t="s">
        <v>24727</v>
      </c>
      <c r="C2830" t="s">
        <v>24728</v>
      </c>
      <c r="D2830" s="45" t="str">
        <f t="shared" si="83"/>
        <v>2023.035P.Tolecusatellitidae_rename.zip</v>
      </c>
    </row>
    <row r="2831" spans="1:4">
      <c r="A2831" t="s">
        <v>11672</v>
      </c>
      <c r="B2831" t="s">
        <v>24729</v>
      </c>
      <c r="C2831" t="s">
        <v>24730</v>
      </c>
      <c r="D2831" s="45" t="str">
        <f t="shared" si="83"/>
        <v>2023.035P.Tolecusatellitidae_rename.zip</v>
      </c>
    </row>
    <row r="2832" spans="1:4">
      <c r="A2832" t="s">
        <v>11672</v>
      </c>
      <c r="B2832" t="s">
        <v>24731</v>
      </c>
      <c r="C2832" t="s">
        <v>24732</v>
      </c>
      <c r="D2832" s="45" t="str">
        <f t="shared" si="83"/>
        <v>2023.035P.Tolecusatellitidae_rename.zip</v>
      </c>
    </row>
    <row r="2833" spans="1:4">
      <c r="A2833" t="s">
        <v>11672</v>
      </c>
      <c r="B2833" t="s">
        <v>24733</v>
      </c>
      <c r="C2833" t="s">
        <v>24734</v>
      </c>
      <c r="D2833" s="45" t="str">
        <f t="shared" si="83"/>
        <v>2023.035P.Tolecusatellitidae_rename.zip</v>
      </c>
    </row>
    <row r="2834" spans="1:4">
      <c r="A2834" t="s">
        <v>11672</v>
      </c>
      <c r="B2834" t="s">
        <v>24735</v>
      </c>
      <c r="C2834" t="s">
        <v>24736</v>
      </c>
      <c r="D2834" s="45" t="str">
        <f t="shared" si="83"/>
        <v>2023.035P.Tolecusatellitidae_rename.zip</v>
      </c>
    </row>
    <row r="2835" spans="1:4">
      <c r="A2835" t="s">
        <v>11672</v>
      </c>
      <c r="B2835" t="s">
        <v>24737</v>
      </c>
      <c r="C2835" t="s">
        <v>24738</v>
      </c>
      <c r="D2835" s="45" t="str">
        <f t="shared" si="83"/>
        <v>2023.035P.Tolecusatellitidae_rename.zip</v>
      </c>
    </row>
    <row r="2836" spans="1:4">
      <c r="A2836" t="s">
        <v>11672</v>
      </c>
      <c r="B2836" t="s">
        <v>24739</v>
      </c>
      <c r="C2836" t="s">
        <v>24740</v>
      </c>
      <c r="D2836" s="45" t="str">
        <f t="shared" si="83"/>
        <v>2023.035P.Tolecusatellitidae_rename.zip</v>
      </c>
    </row>
    <row r="2837" spans="1:4">
      <c r="A2837" t="s">
        <v>11672</v>
      </c>
      <c r="B2837" t="s">
        <v>24741</v>
      </c>
      <c r="C2837" t="s">
        <v>24742</v>
      </c>
      <c r="D2837" s="45" t="str">
        <f t="shared" si="83"/>
        <v>2023.035P.Tolecusatellitidae_rename.zip</v>
      </c>
    </row>
    <row r="2838" spans="1:4">
      <c r="A2838" t="s">
        <v>11672</v>
      </c>
      <c r="B2838" t="s">
        <v>24743</v>
      </c>
      <c r="C2838" t="s">
        <v>24744</v>
      </c>
      <c r="D2838" s="45" t="str">
        <f t="shared" si="83"/>
        <v>2023.035P.Tolecusatellitidae_rename.zip</v>
      </c>
    </row>
    <row r="2839" spans="1:4">
      <c r="A2839" t="s">
        <v>11672</v>
      </c>
      <c r="B2839" t="s">
        <v>24745</v>
      </c>
      <c r="C2839" t="s">
        <v>24746</v>
      </c>
      <c r="D2839" s="45" t="str">
        <f t="shared" si="83"/>
        <v>2023.035P.Tolecusatellitidae_rename.zip</v>
      </c>
    </row>
    <row r="2840" spans="1:4">
      <c r="A2840" t="s">
        <v>11672</v>
      </c>
      <c r="B2840" t="s">
        <v>24747</v>
      </c>
      <c r="C2840" t="s">
        <v>24748</v>
      </c>
      <c r="D2840" s="45" t="str">
        <f t="shared" si="83"/>
        <v>2023.035P.Tolecusatellitidae_rename.zip</v>
      </c>
    </row>
    <row r="2841" spans="1:4">
      <c r="A2841" t="s">
        <v>11672</v>
      </c>
      <c r="B2841" t="s">
        <v>24749</v>
      </c>
      <c r="C2841" t="s">
        <v>24750</v>
      </c>
      <c r="D2841" s="45" t="str">
        <f t="shared" si="83"/>
        <v>2023.035P.Tolecusatellitidae_rename.zip</v>
      </c>
    </row>
    <row r="2842" spans="1:4">
      <c r="A2842" t="s">
        <v>11672</v>
      </c>
      <c r="B2842" t="s">
        <v>24751</v>
      </c>
      <c r="C2842" t="s">
        <v>24752</v>
      </c>
      <c r="D2842" s="45" t="str">
        <f t="shared" si="83"/>
        <v>2023.035P.Tolecusatellitidae_rename.zip</v>
      </c>
    </row>
    <row r="2843" spans="1:4">
      <c r="A2843" t="s">
        <v>11672</v>
      </c>
      <c r="B2843" t="s">
        <v>24753</v>
      </c>
      <c r="C2843" t="s">
        <v>24754</v>
      </c>
      <c r="D2843" s="45" t="str">
        <f t="shared" si="83"/>
        <v>2023.035P.Tolecusatellitidae_rename.zip</v>
      </c>
    </row>
    <row r="2844" spans="1:4">
      <c r="A2844" t="s">
        <v>11672</v>
      </c>
      <c r="B2844" t="s">
        <v>24755</v>
      </c>
      <c r="C2844" t="s">
        <v>24756</v>
      </c>
      <c r="D2844" s="45" t="str">
        <f t="shared" si="83"/>
        <v>2023.035P.Tolecusatellitidae_rename.zip</v>
      </c>
    </row>
    <row r="2845" spans="1:4">
      <c r="A2845" t="s">
        <v>11672</v>
      </c>
      <c r="B2845" t="s">
        <v>24757</v>
      </c>
      <c r="C2845" t="s">
        <v>24758</v>
      </c>
      <c r="D2845" s="45" t="str">
        <f t="shared" si="83"/>
        <v>2023.035P.Tolecusatellitidae_rename.zip</v>
      </c>
    </row>
    <row r="2846" spans="1:4">
      <c r="A2846" t="s">
        <v>11672</v>
      </c>
      <c r="B2846" t="s">
        <v>24759</v>
      </c>
      <c r="C2846" t="s">
        <v>24760</v>
      </c>
      <c r="D2846" s="45" t="str">
        <f t="shared" si="83"/>
        <v>2023.035P.Tolecusatellitidae_rename.zip</v>
      </c>
    </row>
    <row r="2847" spans="1:4">
      <c r="A2847" t="s">
        <v>11672</v>
      </c>
      <c r="B2847" t="s">
        <v>24761</v>
      </c>
      <c r="C2847" t="s">
        <v>24762</v>
      </c>
      <c r="D2847" s="45" t="str">
        <f t="shared" si="83"/>
        <v>2023.035P.Tolecusatellitidae_rename.zip</v>
      </c>
    </row>
    <row r="2848" spans="1:4">
      <c r="A2848" t="s">
        <v>11672</v>
      </c>
      <c r="B2848" t="s">
        <v>24763</v>
      </c>
      <c r="C2848" t="s">
        <v>24764</v>
      </c>
      <c r="D2848" s="45" t="str">
        <f t="shared" si="83"/>
        <v>2023.035P.Tolecusatellitidae_rename.zip</v>
      </c>
    </row>
    <row r="2849" spans="1:4">
      <c r="A2849" t="s">
        <v>11672</v>
      </c>
      <c r="B2849" t="s">
        <v>24765</v>
      </c>
      <c r="C2849" t="s">
        <v>24766</v>
      </c>
      <c r="D2849" s="45" t="str">
        <f t="shared" si="83"/>
        <v>2023.035P.Tolecusatellitidae_rename.zip</v>
      </c>
    </row>
    <row r="2850" spans="1:4">
      <c r="A2850" t="s">
        <v>11672</v>
      </c>
      <c r="B2850" t="s">
        <v>24767</v>
      </c>
      <c r="C2850" t="s">
        <v>24768</v>
      </c>
      <c r="D2850" s="45" t="str">
        <f t="shared" si="83"/>
        <v>2023.035P.Tolecusatellitidae_rename.zip</v>
      </c>
    </row>
    <row r="2851" spans="1:4">
      <c r="A2851" t="s">
        <v>11672</v>
      </c>
      <c r="B2851" t="s">
        <v>24769</v>
      </c>
      <c r="C2851" t="s">
        <v>24770</v>
      </c>
      <c r="D2851" s="45" t="str">
        <f t="shared" si="83"/>
        <v>2023.035P.Tolecusatellitidae_rename.zip</v>
      </c>
    </row>
    <row r="2852" spans="1:4">
      <c r="A2852" t="s">
        <v>11672</v>
      </c>
      <c r="B2852" t="s">
        <v>24771</v>
      </c>
      <c r="C2852" t="s">
        <v>24772</v>
      </c>
      <c r="D2852" s="45" t="str">
        <f t="shared" si="83"/>
        <v>2023.035P.Tolecusatellitidae_rename.zip</v>
      </c>
    </row>
    <row r="2853" spans="1:4">
      <c r="A2853" t="s">
        <v>11672</v>
      </c>
      <c r="B2853" t="s">
        <v>24773</v>
      </c>
      <c r="C2853" t="s">
        <v>24774</v>
      </c>
      <c r="D2853" s="45" t="str">
        <f t="shared" si="83"/>
        <v>2023.035P.Tolecusatellitidae_rename.zip</v>
      </c>
    </row>
    <row r="2854" spans="1:4">
      <c r="A2854" t="s">
        <v>11672</v>
      </c>
      <c r="B2854" t="s">
        <v>24775</v>
      </c>
      <c r="C2854" t="s">
        <v>24776</v>
      </c>
      <c r="D2854" s="45" t="str">
        <f t="shared" si="83"/>
        <v>2023.035P.Tolecusatellitidae_rename.zip</v>
      </c>
    </row>
    <row r="2855" spans="1:4">
      <c r="A2855" t="s">
        <v>11672</v>
      </c>
      <c r="B2855" t="s">
        <v>24777</v>
      </c>
      <c r="C2855" t="s">
        <v>24778</v>
      </c>
      <c r="D2855" s="45" t="str">
        <f t="shared" si="83"/>
        <v>2023.035P.Tolecusatellitidae_rename.zip</v>
      </c>
    </row>
    <row r="2856" spans="1:4">
      <c r="A2856" t="s">
        <v>11672</v>
      </c>
      <c r="B2856" t="s">
        <v>24779</v>
      </c>
      <c r="C2856" t="s">
        <v>24780</v>
      </c>
      <c r="D2856" s="45" t="str">
        <f t="shared" si="83"/>
        <v>2023.035P.Tolecusatellitidae_rename.zip</v>
      </c>
    </row>
    <row r="2857" spans="1:4">
      <c r="A2857" t="s">
        <v>11672</v>
      </c>
      <c r="B2857" t="s">
        <v>24781</v>
      </c>
      <c r="C2857" t="s">
        <v>24782</v>
      </c>
      <c r="D2857" s="45" t="str">
        <f t="shared" si="83"/>
        <v>2023.035P.Tolecusatellitidae_rename.zip</v>
      </c>
    </row>
    <row r="2858" spans="1:4">
      <c r="A2858" t="s">
        <v>11672</v>
      </c>
      <c r="B2858" t="s">
        <v>24783</v>
      </c>
      <c r="C2858" t="s">
        <v>24784</v>
      </c>
      <c r="D2858" s="45" t="str">
        <f t="shared" si="83"/>
        <v>2023.035P.Tolecusatellitidae_rename.zip</v>
      </c>
    </row>
    <row r="2859" spans="1:4">
      <c r="A2859" t="s">
        <v>11672</v>
      </c>
      <c r="B2859" t="s">
        <v>24785</v>
      </c>
      <c r="C2859" t="s">
        <v>24786</v>
      </c>
      <c r="D2859" s="45" t="str">
        <f t="shared" ref="D2859:D2893" si="84">HYPERLINK("https://ictv.global/ictv/proposals/2023.035P.Tolecusatellitidae_rename.zip","2023.035P.Tolecusatellitidae_rename.zip")</f>
        <v>2023.035P.Tolecusatellitidae_rename.zip</v>
      </c>
    </row>
    <row r="2860" spans="1:4">
      <c r="A2860" t="s">
        <v>11672</v>
      </c>
      <c r="B2860" t="s">
        <v>24787</v>
      </c>
      <c r="C2860" t="s">
        <v>24788</v>
      </c>
      <c r="D2860" s="45" t="str">
        <f t="shared" si="84"/>
        <v>2023.035P.Tolecusatellitidae_rename.zip</v>
      </c>
    </row>
    <row r="2861" spans="1:4">
      <c r="A2861" t="s">
        <v>11672</v>
      </c>
      <c r="B2861" t="s">
        <v>24789</v>
      </c>
      <c r="C2861" t="s">
        <v>24790</v>
      </c>
      <c r="D2861" s="45" t="str">
        <f t="shared" si="84"/>
        <v>2023.035P.Tolecusatellitidae_rename.zip</v>
      </c>
    </row>
    <row r="2862" spans="1:4">
      <c r="A2862" t="s">
        <v>11672</v>
      </c>
      <c r="B2862" t="s">
        <v>24791</v>
      </c>
      <c r="C2862" t="s">
        <v>24792</v>
      </c>
      <c r="D2862" s="45" t="str">
        <f t="shared" si="84"/>
        <v>2023.035P.Tolecusatellitidae_rename.zip</v>
      </c>
    </row>
    <row r="2863" spans="1:4">
      <c r="A2863" t="s">
        <v>11672</v>
      </c>
      <c r="B2863" t="s">
        <v>24793</v>
      </c>
      <c r="C2863" t="s">
        <v>24794</v>
      </c>
      <c r="D2863" s="45" t="str">
        <f t="shared" si="84"/>
        <v>2023.035P.Tolecusatellitidae_rename.zip</v>
      </c>
    </row>
    <row r="2864" spans="1:4">
      <c r="A2864" t="s">
        <v>11672</v>
      </c>
      <c r="B2864" t="s">
        <v>24795</v>
      </c>
      <c r="C2864" t="s">
        <v>24796</v>
      </c>
      <c r="D2864" s="45" t="str">
        <f t="shared" si="84"/>
        <v>2023.035P.Tolecusatellitidae_rename.zip</v>
      </c>
    </row>
    <row r="2865" spans="1:4">
      <c r="A2865" t="s">
        <v>11672</v>
      </c>
      <c r="B2865" t="s">
        <v>24797</v>
      </c>
      <c r="C2865" t="s">
        <v>24798</v>
      </c>
      <c r="D2865" s="45" t="str">
        <f t="shared" si="84"/>
        <v>2023.035P.Tolecusatellitidae_rename.zip</v>
      </c>
    </row>
    <row r="2866" spans="1:4">
      <c r="A2866" t="s">
        <v>11672</v>
      </c>
      <c r="B2866" t="s">
        <v>24799</v>
      </c>
      <c r="C2866" t="s">
        <v>24800</v>
      </c>
      <c r="D2866" s="45" t="str">
        <f t="shared" si="84"/>
        <v>2023.035P.Tolecusatellitidae_rename.zip</v>
      </c>
    </row>
    <row r="2867" spans="1:4">
      <c r="A2867" t="s">
        <v>11672</v>
      </c>
      <c r="B2867" t="s">
        <v>24801</v>
      </c>
      <c r="C2867" t="s">
        <v>24802</v>
      </c>
      <c r="D2867" s="45" t="str">
        <f t="shared" si="84"/>
        <v>2023.035P.Tolecusatellitidae_rename.zip</v>
      </c>
    </row>
    <row r="2868" spans="1:4">
      <c r="A2868" t="s">
        <v>11672</v>
      </c>
      <c r="B2868" t="s">
        <v>24803</v>
      </c>
      <c r="C2868" t="s">
        <v>24804</v>
      </c>
      <c r="D2868" s="45" t="str">
        <f t="shared" si="84"/>
        <v>2023.035P.Tolecusatellitidae_rename.zip</v>
      </c>
    </row>
    <row r="2869" spans="1:4">
      <c r="A2869" t="s">
        <v>11672</v>
      </c>
      <c r="B2869" t="s">
        <v>24805</v>
      </c>
      <c r="C2869" t="s">
        <v>24806</v>
      </c>
      <c r="D2869" s="45" t="str">
        <f t="shared" si="84"/>
        <v>2023.035P.Tolecusatellitidae_rename.zip</v>
      </c>
    </row>
    <row r="2870" spans="1:4">
      <c r="A2870" t="s">
        <v>11672</v>
      </c>
      <c r="B2870" t="s">
        <v>24807</v>
      </c>
      <c r="C2870" t="s">
        <v>24808</v>
      </c>
      <c r="D2870" s="45" t="str">
        <f t="shared" si="84"/>
        <v>2023.035P.Tolecusatellitidae_rename.zip</v>
      </c>
    </row>
    <row r="2871" spans="1:4">
      <c r="A2871" t="s">
        <v>11672</v>
      </c>
      <c r="B2871" t="s">
        <v>24809</v>
      </c>
      <c r="C2871" t="s">
        <v>24810</v>
      </c>
      <c r="D2871" s="45" t="str">
        <f t="shared" si="84"/>
        <v>2023.035P.Tolecusatellitidae_rename.zip</v>
      </c>
    </row>
    <row r="2872" spans="1:4">
      <c r="A2872" t="s">
        <v>11672</v>
      </c>
      <c r="B2872" t="s">
        <v>24811</v>
      </c>
      <c r="C2872" t="s">
        <v>24812</v>
      </c>
      <c r="D2872" s="45" t="str">
        <f t="shared" si="84"/>
        <v>2023.035P.Tolecusatellitidae_rename.zip</v>
      </c>
    </row>
    <row r="2873" spans="1:4">
      <c r="A2873" t="s">
        <v>11672</v>
      </c>
      <c r="B2873" t="s">
        <v>24813</v>
      </c>
      <c r="C2873" t="s">
        <v>24814</v>
      </c>
      <c r="D2873" s="45" t="str">
        <f t="shared" si="84"/>
        <v>2023.035P.Tolecusatellitidae_rename.zip</v>
      </c>
    </row>
    <row r="2874" spans="1:4">
      <c r="A2874" t="s">
        <v>11672</v>
      </c>
      <c r="B2874" t="s">
        <v>24815</v>
      </c>
      <c r="C2874" t="s">
        <v>24816</v>
      </c>
      <c r="D2874" s="45" t="str">
        <f t="shared" si="84"/>
        <v>2023.035P.Tolecusatellitidae_rename.zip</v>
      </c>
    </row>
    <row r="2875" spans="1:4">
      <c r="A2875" t="s">
        <v>11672</v>
      </c>
      <c r="B2875" t="s">
        <v>24817</v>
      </c>
      <c r="C2875" t="s">
        <v>24818</v>
      </c>
      <c r="D2875" s="45" t="str">
        <f t="shared" si="84"/>
        <v>2023.035P.Tolecusatellitidae_rename.zip</v>
      </c>
    </row>
    <row r="2876" spans="1:4">
      <c r="A2876" t="s">
        <v>11672</v>
      </c>
      <c r="B2876" t="s">
        <v>24819</v>
      </c>
      <c r="C2876" t="s">
        <v>24820</v>
      </c>
      <c r="D2876" s="45" t="str">
        <f t="shared" si="84"/>
        <v>2023.035P.Tolecusatellitidae_rename.zip</v>
      </c>
    </row>
    <row r="2877" spans="1:4">
      <c r="A2877" t="s">
        <v>11672</v>
      </c>
      <c r="B2877" t="s">
        <v>24821</v>
      </c>
      <c r="C2877" t="s">
        <v>24822</v>
      </c>
      <c r="D2877" s="45" t="str">
        <f t="shared" si="84"/>
        <v>2023.035P.Tolecusatellitidae_rename.zip</v>
      </c>
    </row>
    <row r="2878" spans="1:4">
      <c r="A2878" t="s">
        <v>11672</v>
      </c>
      <c r="B2878" t="s">
        <v>24823</v>
      </c>
      <c r="C2878" t="s">
        <v>24824</v>
      </c>
      <c r="D2878" s="45" t="str">
        <f t="shared" si="84"/>
        <v>2023.035P.Tolecusatellitidae_rename.zip</v>
      </c>
    </row>
    <row r="2879" spans="1:4">
      <c r="A2879" t="s">
        <v>11672</v>
      </c>
      <c r="B2879" t="s">
        <v>24825</v>
      </c>
      <c r="C2879" t="s">
        <v>24826</v>
      </c>
      <c r="D2879" s="45" t="str">
        <f t="shared" si="84"/>
        <v>2023.035P.Tolecusatellitidae_rename.zip</v>
      </c>
    </row>
    <row r="2880" spans="1:4">
      <c r="A2880" t="s">
        <v>11672</v>
      </c>
      <c r="B2880" t="s">
        <v>24827</v>
      </c>
      <c r="C2880" t="s">
        <v>24828</v>
      </c>
      <c r="D2880" s="45" t="str">
        <f t="shared" si="84"/>
        <v>2023.035P.Tolecusatellitidae_rename.zip</v>
      </c>
    </row>
    <row r="2881" spans="1:4">
      <c r="A2881" t="s">
        <v>11672</v>
      </c>
      <c r="B2881" t="s">
        <v>24829</v>
      </c>
      <c r="C2881" t="s">
        <v>24830</v>
      </c>
      <c r="D2881" s="45" t="str">
        <f t="shared" si="84"/>
        <v>2023.035P.Tolecusatellitidae_rename.zip</v>
      </c>
    </row>
    <row r="2882" spans="1:4">
      <c r="A2882" t="s">
        <v>11672</v>
      </c>
      <c r="B2882" t="s">
        <v>24831</v>
      </c>
      <c r="C2882" t="s">
        <v>24832</v>
      </c>
      <c r="D2882" s="45" t="str">
        <f t="shared" si="84"/>
        <v>2023.035P.Tolecusatellitidae_rename.zip</v>
      </c>
    </row>
    <row r="2883" spans="1:4">
      <c r="A2883" t="s">
        <v>11672</v>
      </c>
      <c r="B2883" t="s">
        <v>24833</v>
      </c>
      <c r="C2883" t="s">
        <v>24834</v>
      </c>
      <c r="D2883" s="45" t="str">
        <f t="shared" si="84"/>
        <v>2023.035P.Tolecusatellitidae_rename.zip</v>
      </c>
    </row>
    <row r="2884" spans="1:4">
      <c r="A2884" t="s">
        <v>11672</v>
      </c>
      <c r="B2884" t="s">
        <v>24835</v>
      </c>
      <c r="C2884" t="s">
        <v>24836</v>
      </c>
      <c r="D2884" s="45" t="str">
        <f t="shared" si="84"/>
        <v>2023.035P.Tolecusatellitidae_rename.zip</v>
      </c>
    </row>
    <row r="2885" spans="1:4">
      <c r="A2885" t="s">
        <v>11672</v>
      </c>
      <c r="B2885" t="s">
        <v>24837</v>
      </c>
      <c r="C2885" t="s">
        <v>24838</v>
      </c>
      <c r="D2885" s="45" t="str">
        <f t="shared" si="84"/>
        <v>2023.035P.Tolecusatellitidae_rename.zip</v>
      </c>
    </row>
    <row r="2886" spans="1:4">
      <c r="A2886" t="s">
        <v>11672</v>
      </c>
      <c r="B2886" t="s">
        <v>24839</v>
      </c>
      <c r="C2886" t="s">
        <v>24840</v>
      </c>
      <c r="D2886" s="45" t="str">
        <f t="shared" si="84"/>
        <v>2023.035P.Tolecusatellitidae_rename.zip</v>
      </c>
    </row>
    <row r="2887" spans="1:4">
      <c r="A2887" t="s">
        <v>11672</v>
      </c>
      <c r="B2887" t="s">
        <v>24841</v>
      </c>
      <c r="C2887" t="s">
        <v>24842</v>
      </c>
      <c r="D2887" s="45" t="str">
        <f t="shared" si="84"/>
        <v>2023.035P.Tolecusatellitidae_rename.zip</v>
      </c>
    </row>
    <row r="2888" spans="1:4">
      <c r="A2888" t="s">
        <v>11672</v>
      </c>
      <c r="B2888" t="s">
        <v>24843</v>
      </c>
      <c r="C2888" t="s">
        <v>24844</v>
      </c>
      <c r="D2888" s="45" t="str">
        <f t="shared" si="84"/>
        <v>2023.035P.Tolecusatellitidae_rename.zip</v>
      </c>
    </row>
    <row r="2889" spans="1:4">
      <c r="A2889" t="s">
        <v>11672</v>
      </c>
      <c r="B2889" t="s">
        <v>24845</v>
      </c>
      <c r="C2889" t="s">
        <v>24846</v>
      </c>
      <c r="D2889" s="45" t="str">
        <f t="shared" si="84"/>
        <v>2023.035P.Tolecusatellitidae_rename.zip</v>
      </c>
    </row>
    <row r="2890" spans="1:4">
      <c r="A2890" t="s">
        <v>11672</v>
      </c>
      <c r="B2890" t="s">
        <v>24847</v>
      </c>
      <c r="C2890" t="s">
        <v>24848</v>
      </c>
      <c r="D2890" s="45" t="str">
        <f t="shared" si="84"/>
        <v>2023.035P.Tolecusatellitidae_rename.zip</v>
      </c>
    </row>
    <row r="2891" spans="1:4">
      <c r="A2891" t="s">
        <v>11672</v>
      </c>
      <c r="B2891" t="s">
        <v>24849</v>
      </c>
      <c r="C2891" t="s">
        <v>24850</v>
      </c>
      <c r="D2891" s="45" t="str">
        <f t="shared" si="84"/>
        <v>2023.035P.Tolecusatellitidae_rename.zip</v>
      </c>
    </row>
    <row r="2892" spans="1:4">
      <c r="A2892" t="s">
        <v>11672</v>
      </c>
      <c r="B2892" t="s">
        <v>24851</v>
      </c>
      <c r="C2892" t="s">
        <v>24852</v>
      </c>
      <c r="D2892" s="45" t="str">
        <f t="shared" si="84"/>
        <v>2023.035P.Tolecusatellitidae_rename.zip</v>
      </c>
    </row>
    <row r="2893" spans="1:4">
      <c r="A2893" t="s">
        <v>11672</v>
      </c>
      <c r="B2893" t="s">
        <v>24853</v>
      </c>
      <c r="C2893" t="s">
        <v>24854</v>
      </c>
      <c r="D2893" s="45" t="str">
        <f t="shared" si="84"/>
        <v>2023.035P.Tolecusatellitidae_rename.zip</v>
      </c>
    </row>
    <row r="2894" spans="1:4">
      <c r="A2894"/>
      <c r="B2894"/>
    </row>
    <row r="2895" spans="1:4">
      <c r="A2895"/>
      <c r="B2895"/>
    </row>
    <row r="2896" spans="1:4">
      <c r="A2896"/>
      <c r="B2896"/>
    </row>
    <row r="2897" spans="1:2">
      <c r="A2897"/>
      <c r="B2897"/>
    </row>
    <row r="2898" spans="1:2">
      <c r="A2898"/>
      <c r="B2898"/>
    </row>
    <row r="2899" spans="1:2">
      <c r="A2899"/>
      <c r="B2899"/>
    </row>
    <row r="2900" spans="1:2">
      <c r="A2900"/>
      <c r="B2900"/>
    </row>
    <row r="2901" spans="1:2">
      <c r="A2901"/>
      <c r="B2901"/>
    </row>
    <row r="2902" spans="1:2">
      <c r="A2902"/>
      <c r="B2902"/>
    </row>
    <row r="2903" spans="1:2">
      <c r="A2903"/>
      <c r="B2903"/>
    </row>
    <row r="2904" spans="1:2">
      <c r="A2904"/>
      <c r="B2904"/>
    </row>
    <row r="2905" spans="1:2">
      <c r="A2905"/>
      <c r="B2905"/>
    </row>
    <row r="2906" spans="1:2">
      <c r="A2906"/>
      <c r="B2906"/>
    </row>
    <row r="2907" spans="1:2">
      <c r="A2907"/>
      <c r="B2907"/>
    </row>
    <row r="2908" spans="1:2">
      <c r="A2908"/>
      <c r="B2908"/>
    </row>
    <row r="2909" spans="1:2">
      <c r="A2909"/>
      <c r="B2909"/>
    </row>
    <row r="2910" spans="1:2">
      <c r="A2910"/>
      <c r="B2910"/>
    </row>
    <row r="2911" spans="1:2">
      <c r="A2911"/>
      <c r="B2911"/>
    </row>
    <row r="2912" spans="1:2">
      <c r="A2912"/>
      <c r="B2912"/>
    </row>
    <row r="2913" spans="1:2">
      <c r="A2913"/>
      <c r="B2913"/>
    </row>
    <row r="2914" spans="1:2">
      <c r="A2914"/>
      <c r="B2914"/>
    </row>
    <row r="2915" spans="1:2">
      <c r="A2915"/>
      <c r="B2915"/>
    </row>
    <row r="2916" spans="1:2">
      <c r="A2916"/>
      <c r="B2916"/>
    </row>
    <row r="2917" spans="1:2">
      <c r="A2917"/>
      <c r="B2917"/>
    </row>
    <row r="2918" spans="1:2">
      <c r="A2918"/>
      <c r="B2918"/>
    </row>
    <row r="2919" spans="1:2">
      <c r="A2919"/>
      <c r="B2919"/>
    </row>
    <row r="2920" spans="1:2">
      <c r="A2920"/>
      <c r="B2920"/>
    </row>
    <row r="2921" spans="1:2">
      <c r="A2921"/>
      <c r="B2921"/>
    </row>
    <row r="2922" spans="1:2">
      <c r="A2922"/>
      <c r="B2922"/>
    </row>
    <row r="2923" spans="1:2">
      <c r="A2923"/>
      <c r="B2923"/>
    </row>
    <row r="2924" spans="1:2">
      <c r="A2924"/>
      <c r="B2924"/>
    </row>
    <row r="2925" spans="1:2">
      <c r="A2925"/>
      <c r="B2925"/>
    </row>
    <row r="2926" spans="1:2">
      <c r="A2926"/>
      <c r="B2926"/>
    </row>
    <row r="2927" spans="1:2">
      <c r="A2927"/>
      <c r="B2927"/>
    </row>
    <row r="2928" spans="1:2">
      <c r="A2928"/>
      <c r="B2928"/>
    </row>
    <row r="2929" spans="1:2">
      <c r="A2929"/>
      <c r="B2929"/>
    </row>
    <row r="2930" spans="1:2">
      <c r="A2930"/>
      <c r="B2930"/>
    </row>
    <row r="2931" spans="1:2">
      <c r="A2931"/>
      <c r="B2931"/>
    </row>
    <row r="2932" spans="1:2">
      <c r="A2932"/>
      <c r="B2932"/>
    </row>
    <row r="2933" spans="1:2">
      <c r="A2933"/>
      <c r="B2933"/>
    </row>
    <row r="2934" spans="1:2">
      <c r="A2934"/>
      <c r="B2934"/>
    </row>
    <row r="2935" spans="1:2">
      <c r="A2935"/>
      <c r="B2935"/>
    </row>
    <row r="2936" spans="1:2">
      <c r="A2936"/>
      <c r="B2936"/>
    </row>
    <row r="2937" spans="1:2">
      <c r="A2937"/>
      <c r="B2937"/>
    </row>
    <row r="2938" spans="1:2">
      <c r="A2938"/>
      <c r="B2938"/>
    </row>
    <row r="2939" spans="1:2">
      <c r="A2939"/>
      <c r="B2939"/>
    </row>
    <row r="2940" spans="1:2">
      <c r="A2940"/>
      <c r="B2940"/>
    </row>
    <row r="2941" spans="1:2">
      <c r="A2941"/>
      <c r="B2941"/>
    </row>
    <row r="2942" spans="1:2">
      <c r="A2942"/>
      <c r="B2942"/>
    </row>
    <row r="2943" spans="1:2">
      <c r="A2943"/>
      <c r="B2943"/>
    </row>
    <row r="2944" spans="1:2">
      <c r="A2944"/>
      <c r="B2944"/>
    </row>
    <row r="2945" spans="1:2">
      <c r="A2945"/>
      <c r="B2945"/>
    </row>
    <row r="2946" spans="1:2">
      <c r="A2946"/>
      <c r="B2946"/>
    </row>
    <row r="2947" spans="1:2">
      <c r="A2947"/>
      <c r="B2947"/>
    </row>
    <row r="2948" spans="1:2">
      <c r="A2948"/>
      <c r="B2948"/>
    </row>
    <row r="2949" spans="1:2">
      <c r="A2949"/>
      <c r="B2949"/>
    </row>
    <row r="2950" spans="1:2">
      <c r="A2950"/>
      <c r="B2950"/>
    </row>
    <row r="2951" spans="1:2">
      <c r="A2951"/>
      <c r="B2951"/>
    </row>
    <row r="2952" spans="1:2">
      <c r="A2952"/>
      <c r="B2952"/>
    </row>
    <row r="2953" spans="1:2">
      <c r="A2953"/>
      <c r="B2953"/>
    </row>
    <row r="2954" spans="1:2">
      <c r="A2954"/>
      <c r="B2954"/>
    </row>
    <row r="2955" spans="1:2">
      <c r="A2955"/>
      <c r="B2955"/>
    </row>
    <row r="2956" spans="1:2">
      <c r="A2956"/>
      <c r="B2956"/>
    </row>
    <row r="2957" spans="1:2">
      <c r="A2957"/>
      <c r="B2957"/>
    </row>
    <row r="2958" spans="1:2">
      <c r="A2958"/>
      <c r="B2958"/>
    </row>
    <row r="2959" spans="1:2">
      <c r="A2959"/>
      <c r="B2959"/>
    </row>
    <row r="2960" spans="1:2">
      <c r="A2960"/>
      <c r="B2960"/>
    </row>
    <row r="2961" spans="1:2">
      <c r="A2961"/>
      <c r="B2961"/>
    </row>
    <row r="2962" spans="1:2">
      <c r="A2962"/>
      <c r="B2962"/>
    </row>
    <row r="2963" spans="1:2">
      <c r="A2963"/>
      <c r="B2963"/>
    </row>
    <row r="2964" spans="1:2">
      <c r="A2964"/>
      <c r="B2964"/>
    </row>
    <row r="2965" spans="1:2">
      <c r="A2965"/>
      <c r="B2965"/>
    </row>
    <row r="2966" spans="1:2">
      <c r="A2966"/>
      <c r="B2966"/>
    </row>
    <row r="2967" spans="1:2">
      <c r="A2967"/>
      <c r="B2967"/>
    </row>
    <row r="2968" spans="1:2">
      <c r="A2968"/>
      <c r="B2968"/>
    </row>
    <row r="2969" spans="1:2">
      <c r="A2969"/>
      <c r="B2969"/>
    </row>
    <row r="2970" spans="1:2">
      <c r="A2970"/>
      <c r="B2970"/>
    </row>
    <row r="2971" spans="1:2">
      <c r="A2971"/>
      <c r="B2971"/>
    </row>
    <row r="2972" spans="1:2">
      <c r="A2972"/>
      <c r="B2972"/>
    </row>
    <row r="2973" spans="1:2">
      <c r="A2973"/>
      <c r="B2973"/>
    </row>
    <row r="2974" spans="1:2">
      <c r="A2974"/>
      <c r="B2974"/>
    </row>
    <row r="2975" spans="1:2">
      <c r="A2975"/>
      <c r="B2975"/>
    </row>
    <row r="2976" spans="1:2">
      <c r="A2976"/>
      <c r="B2976"/>
    </row>
    <row r="2977" spans="1:2">
      <c r="A2977"/>
      <c r="B2977"/>
    </row>
    <row r="2978" spans="1:2">
      <c r="A2978"/>
      <c r="B2978"/>
    </row>
    <row r="2979" spans="1:2">
      <c r="A2979"/>
      <c r="B2979"/>
    </row>
    <row r="2980" spans="1:2">
      <c r="A2980"/>
      <c r="B2980"/>
    </row>
    <row r="2981" spans="1:2">
      <c r="A2981"/>
      <c r="B2981"/>
    </row>
    <row r="2982" spans="1:2">
      <c r="A2982"/>
      <c r="B2982"/>
    </row>
    <row r="2983" spans="1:2">
      <c r="A2983"/>
      <c r="B2983"/>
    </row>
    <row r="2984" spans="1:2">
      <c r="A2984"/>
      <c r="B2984"/>
    </row>
    <row r="2985" spans="1:2">
      <c r="A2985"/>
      <c r="B2985"/>
    </row>
    <row r="2986" spans="1:2">
      <c r="A2986"/>
      <c r="B2986"/>
    </row>
    <row r="2987" spans="1:2">
      <c r="A2987"/>
      <c r="B2987"/>
    </row>
    <row r="2988" spans="1:2">
      <c r="A2988"/>
      <c r="B2988"/>
    </row>
    <row r="2989" spans="1:2">
      <c r="A2989"/>
      <c r="B2989"/>
    </row>
    <row r="2990" spans="1:2">
      <c r="A2990"/>
      <c r="B2990"/>
    </row>
    <row r="2991" spans="1:2">
      <c r="A2991"/>
      <c r="B2991"/>
    </row>
    <row r="2992" spans="1:2">
      <c r="A2992"/>
      <c r="B2992"/>
    </row>
    <row r="2993" spans="1:2">
      <c r="A2993"/>
      <c r="B2993"/>
    </row>
    <row r="2994" spans="1:2">
      <c r="A2994"/>
      <c r="B2994"/>
    </row>
    <row r="2995" spans="1:2">
      <c r="A2995"/>
      <c r="B2995"/>
    </row>
    <row r="2996" spans="1:2">
      <c r="A2996"/>
      <c r="B2996"/>
    </row>
    <row r="2997" spans="1:2">
      <c r="A2997"/>
      <c r="B2997"/>
    </row>
    <row r="2998" spans="1:2">
      <c r="A2998"/>
      <c r="B2998"/>
    </row>
    <row r="2999" spans="1:2">
      <c r="A2999"/>
      <c r="B2999"/>
    </row>
    <row r="3000" spans="1:2">
      <c r="A3000"/>
      <c r="B3000"/>
    </row>
    <row r="3001" spans="1:2">
      <c r="A3001"/>
      <c r="B3001"/>
    </row>
    <row r="3002" spans="1:2">
      <c r="A3002"/>
      <c r="B3002"/>
    </row>
    <row r="3003" spans="1:2">
      <c r="A3003"/>
      <c r="B3003"/>
    </row>
    <row r="3004" spans="1:2">
      <c r="A3004"/>
      <c r="B3004"/>
    </row>
    <row r="3005" spans="1:2">
      <c r="A3005"/>
      <c r="B3005"/>
    </row>
    <row r="3006" spans="1:2">
      <c r="A3006"/>
      <c r="B3006"/>
    </row>
    <row r="3007" spans="1:2">
      <c r="A3007"/>
      <c r="B3007"/>
    </row>
    <row r="3008" spans="1:2">
      <c r="A3008"/>
      <c r="B3008"/>
    </row>
    <row r="3009" spans="1:2">
      <c r="A3009"/>
      <c r="B3009"/>
    </row>
    <row r="3010" spans="1:2">
      <c r="A3010"/>
      <c r="B3010"/>
    </row>
    <row r="3011" spans="1:2">
      <c r="A3011"/>
      <c r="B3011"/>
    </row>
    <row r="3012" spans="1:2">
      <c r="A3012"/>
      <c r="B3012"/>
    </row>
    <row r="3013" spans="1:2">
      <c r="A3013"/>
      <c r="B3013"/>
    </row>
    <row r="3014" spans="1:2">
      <c r="A3014"/>
      <c r="B3014"/>
    </row>
    <row r="3015" spans="1:2">
      <c r="A3015"/>
      <c r="B3015"/>
    </row>
    <row r="3016" spans="1:2">
      <c r="A3016"/>
      <c r="B3016"/>
    </row>
    <row r="3017" spans="1:2">
      <c r="A3017"/>
      <c r="B3017"/>
    </row>
    <row r="3018" spans="1:2">
      <c r="A3018"/>
      <c r="B3018"/>
    </row>
    <row r="3019" spans="1:2">
      <c r="A3019"/>
      <c r="B3019"/>
    </row>
    <row r="3020" spans="1:2">
      <c r="A3020"/>
      <c r="B3020"/>
    </row>
    <row r="3021" spans="1:2">
      <c r="A3021"/>
      <c r="B3021"/>
    </row>
    <row r="3022" spans="1:2">
      <c r="A3022"/>
      <c r="B3022"/>
    </row>
    <row r="3023" spans="1:2">
      <c r="A3023"/>
      <c r="B3023"/>
    </row>
    <row r="3024" spans="1:2">
      <c r="A3024"/>
      <c r="B3024"/>
    </row>
    <row r="3025" spans="1:2">
      <c r="A3025"/>
      <c r="B3025"/>
    </row>
    <row r="3026" spans="1:2">
      <c r="A3026"/>
      <c r="B3026"/>
    </row>
    <row r="3027" spans="1:2">
      <c r="A3027"/>
      <c r="B3027"/>
    </row>
    <row r="3028" spans="1:2">
      <c r="A3028"/>
      <c r="B3028"/>
    </row>
    <row r="3029" spans="1:2">
      <c r="A3029"/>
      <c r="B3029"/>
    </row>
    <row r="3030" spans="1:2">
      <c r="A3030"/>
      <c r="B3030"/>
    </row>
    <row r="3031" spans="1:2">
      <c r="A3031"/>
      <c r="B3031"/>
    </row>
    <row r="3032" spans="1:2">
      <c r="A3032"/>
      <c r="B3032"/>
    </row>
    <row r="3033" spans="1:2">
      <c r="A3033"/>
      <c r="B3033"/>
    </row>
    <row r="3034" spans="1:2">
      <c r="A3034"/>
      <c r="B3034"/>
    </row>
    <row r="3035" spans="1:2">
      <c r="A3035"/>
      <c r="B3035"/>
    </row>
    <row r="3036" spans="1:2">
      <c r="A3036"/>
      <c r="B3036"/>
    </row>
    <row r="3037" spans="1:2">
      <c r="A3037"/>
      <c r="B3037"/>
    </row>
    <row r="3038" spans="1:2">
      <c r="A3038"/>
      <c r="B3038"/>
    </row>
    <row r="3039" spans="1:2">
      <c r="A3039"/>
      <c r="B3039"/>
    </row>
    <row r="3040" spans="1:2">
      <c r="A3040"/>
      <c r="B3040"/>
    </row>
    <row r="3041" spans="1:2">
      <c r="A3041"/>
      <c r="B3041"/>
    </row>
    <row r="3042" spans="1:2">
      <c r="A3042"/>
      <c r="B3042"/>
    </row>
    <row r="3043" spans="1:2">
      <c r="A3043"/>
      <c r="B3043"/>
    </row>
    <row r="3044" spans="1:2">
      <c r="A3044"/>
      <c r="B3044"/>
    </row>
    <row r="3045" spans="1:2">
      <c r="A3045"/>
      <c r="B3045"/>
    </row>
    <row r="3046" spans="1:2">
      <c r="A3046"/>
      <c r="B3046"/>
    </row>
    <row r="3047" spans="1:2">
      <c r="A3047"/>
      <c r="B3047"/>
    </row>
    <row r="3048" spans="1:2">
      <c r="A3048"/>
      <c r="B3048"/>
    </row>
    <row r="3049" spans="1:2">
      <c r="A3049"/>
      <c r="B3049"/>
    </row>
    <row r="3050" spans="1:2">
      <c r="A3050"/>
      <c r="B3050"/>
    </row>
    <row r="3051" spans="1:2">
      <c r="A3051"/>
      <c r="B3051"/>
    </row>
    <row r="3052" spans="1:2">
      <c r="A3052"/>
      <c r="B3052"/>
    </row>
    <row r="3053" spans="1:2">
      <c r="A3053"/>
      <c r="B3053"/>
    </row>
    <row r="3054" spans="1:2">
      <c r="A3054"/>
      <c r="B3054"/>
    </row>
    <row r="3055" spans="1:2">
      <c r="A3055"/>
      <c r="B3055"/>
    </row>
    <row r="3056" spans="1:2">
      <c r="A3056"/>
      <c r="B3056"/>
    </row>
    <row r="3057" spans="1:2">
      <c r="A3057"/>
      <c r="B3057"/>
    </row>
    <row r="3058" spans="1:2">
      <c r="A3058"/>
      <c r="B3058"/>
    </row>
    <row r="3059" spans="1:2">
      <c r="A3059"/>
      <c r="B3059"/>
    </row>
    <row r="3060" spans="1:2">
      <c r="A3060"/>
      <c r="B3060"/>
    </row>
    <row r="3061" spans="1:2">
      <c r="A3061"/>
      <c r="B3061"/>
    </row>
    <row r="3062" spans="1:2">
      <c r="A3062"/>
      <c r="B3062"/>
    </row>
    <row r="3063" spans="1:2">
      <c r="A3063"/>
      <c r="B3063"/>
    </row>
    <row r="3064" spans="1:2">
      <c r="A3064"/>
      <c r="B3064"/>
    </row>
    <row r="3065" spans="1:2">
      <c r="A3065"/>
      <c r="B3065"/>
    </row>
    <row r="3066" spans="1:2">
      <c r="A3066"/>
      <c r="B3066"/>
    </row>
    <row r="3067" spans="1:2">
      <c r="A3067"/>
      <c r="B3067"/>
    </row>
    <row r="3068" spans="1:2">
      <c r="A3068"/>
      <c r="B3068"/>
    </row>
    <row r="3069" spans="1:2">
      <c r="A3069"/>
      <c r="B3069"/>
    </row>
    <row r="3070" spans="1:2">
      <c r="A3070"/>
      <c r="B3070"/>
    </row>
    <row r="3071" spans="1:2">
      <c r="A3071"/>
      <c r="B3071"/>
    </row>
    <row r="3072" spans="1:2">
      <c r="A3072"/>
      <c r="B3072"/>
    </row>
    <row r="3073" spans="1:2">
      <c r="A3073"/>
      <c r="B3073"/>
    </row>
    <row r="3074" spans="1:2">
      <c r="A3074"/>
      <c r="B3074"/>
    </row>
    <row r="3075" spans="1:2">
      <c r="A3075"/>
      <c r="B3075"/>
    </row>
    <row r="3076" spans="1:2">
      <c r="A3076"/>
      <c r="B3076"/>
    </row>
    <row r="3077" spans="1:2">
      <c r="A3077"/>
      <c r="B3077"/>
    </row>
    <row r="3078" spans="1:2">
      <c r="A3078"/>
      <c r="B3078"/>
    </row>
    <row r="3079" spans="1:2">
      <c r="A3079"/>
      <c r="B3079"/>
    </row>
    <row r="3080" spans="1:2">
      <c r="A3080"/>
      <c r="B3080"/>
    </row>
    <row r="3081" spans="1:2">
      <c r="A3081"/>
      <c r="B3081"/>
    </row>
    <row r="3082" spans="1:2">
      <c r="A3082"/>
      <c r="B3082"/>
    </row>
    <row r="3083" spans="1:2">
      <c r="A3083"/>
      <c r="B3083"/>
    </row>
    <row r="3084" spans="1:2">
      <c r="A3084"/>
      <c r="B3084"/>
    </row>
    <row r="3085" spans="1:2">
      <c r="A3085"/>
      <c r="B3085"/>
    </row>
    <row r="3086" spans="1:2">
      <c r="A3086"/>
      <c r="B3086"/>
    </row>
    <row r="3087" spans="1:2">
      <c r="A3087"/>
      <c r="B3087"/>
    </row>
    <row r="3088" spans="1:2">
      <c r="A3088"/>
      <c r="B3088"/>
    </row>
    <row r="3089" spans="1:2">
      <c r="A3089"/>
      <c r="B3089"/>
    </row>
    <row r="3090" spans="1:2">
      <c r="A3090"/>
      <c r="B3090"/>
    </row>
    <row r="3091" spans="1:2">
      <c r="A3091"/>
      <c r="B3091"/>
    </row>
    <row r="3092" spans="1:2">
      <c r="A3092"/>
      <c r="B3092"/>
    </row>
    <row r="3093" spans="1:2">
      <c r="A3093"/>
      <c r="B3093"/>
    </row>
    <row r="3094" spans="1:2">
      <c r="A3094"/>
      <c r="B3094"/>
    </row>
    <row r="3095" spans="1:2">
      <c r="A3095"/>
      <c r="B3095"/>
    </row>
    <row r="3096" spans="1:2">
      <c r="A3096"/>
      <c r="B3096"/>
    </row>
    <row r="3097" spans="1:2">
      <c r="A3097"/>
      <c r="B3097"/>
    </row>
    <row r="3098" spans="1:2">
      <c r="A3098"/>
      <c r="B3098"/>
    </row>
    <row r="3099" spans="1:2">
      <c r="A3099"/>
      <c r="B3099"/>
    </row>
    <row r="3100" spans="1:2">
      <c r="A3100"/>
      <c r="B3100"/>
    </row>
    <row r="3101" spans="1:2">
      <c r="A3101"/>
      <c r="B3101"/>
    </row>
    <row r="3102" spans="1:2">
      <c r="A3102"/>
      <c r="B3102"/>
    </row>
    <row r="3103" spans="1:2">
      <c r="A3103"/>
      <c r="B3103"/>
    </row>
    <row r="3104" spans="1:2">
      <c r="A3104"/>
      <c r="B3104"/>
    </row>
    <row r="3105" spans="1:2">
      <c r="A3105"/>
      <c r="B3105"/>
    </row>
    <row r="3106" spans="1:2">
      <c r="A3106"/>
      <c r="B3106"/>
    </row>
    <row r="3107" spans="1:2">
      <c r="A3107"/>
      <c r="B3107"/>
    </row>
    <row r="3108" spans="1:2">
      <c r="A3108"/>
      <c r="B3108"/>
    </row>
    <row r="3109" spans="1:2">
      <c r="A3109"/>
      <c r="B3109"/>
    </row>
    <row r="3110" spans="1:2">
      <c r="A3110"/>
      <c r="B3110"/>
    </row>
    <row r="3111" spans="1:2">
      <c r="A3111"/>
      <c r="B3111"/>
    </row>
    <row r="3112" spans="1:2">
      <c r="A3112"/>
      <c r="B3112"/>
    </row>
    <row r="3113" spans="1:2">
      <c r="A3113"/>
      <c r="B3113"/>
    </row>
    <row r="3114" spans="1:2">
      <c r="A3114"/>
      <c r="B3114"/>
    </row>
    <row r="3115" spans="1:2">
      <c r="A3115"/>
      <c r="B3115"/>
    </row>
    <row r="3116" spans="1:2">
      <c r="A3116"/>
      <c r="B3116"/>
    </row>
    <row r="3117" spans="1:2">
      <c r="A3117"/>
      <c r="B3117"/>
    </row>
    <row r="3118" spans="1:2">
      <c r="A3118"/>
      <c r="B3118"/>
    </row>
    <row r="3119" spans="1:2">
      <c r="A3119"/>
      <c r="B3119"/>
    </row>
    <row r="3120" spans="1:2">
      <c r="A3120"/>
      <c r="B3120"/>
    </row>
    <row r="3121" spans="1:2">
      <c r="A3121"/>
      <c r="B3121"/>
    </row>
    <row r="3122" spans="1:2">
      <c r="A3122"/>
      <c r="B3122"/>
    </row>
    <row r="3123" spans="1:2">
      <c r="A3123"/>
      <c r="B3123"/>
    </row>
    <row r="3124" spans="1:2">
      <c r="A3124"/>
      <c r="B3124"/>
    </row>
    <row r="3125" spans="1:2">
      <c r="A3125"/>
      <c r="B3125"/>
    </row>
    <row r="3126" spans="1:2">
      <c r="A3126"/>
      <c r="B3126"/>
    </row>
    <row r="3127" spans="1:2">
      <c r="A3127"/>
      <c r="B3127"/>
    </row>
    <row r="3128" spans="1:2">
      <c r="A3128"/>
      <c r="B3128"/>
    </row>
    <row r="3129" spans="1:2">
      <c r="A3129"/>
      <c r="B3129"/>
    </row>
    <row r="3130" spans="1:2">
      <c r="A3130"/>
      <c r="B3130"/>
    </row>
    <row r="3131" spans="1:2">
      <c r="A3131"/>
      <c r="B3131"/>
    </row>
    <row r="3132" spans="1:2">
      <c r="A3132"/>
      <c r="B3132"/>
    </row>
    <row r="3133" spans="1:2">
      <c r="A3133"/>
      <c r="B3133"/>
    </row>
    <row r="3134" spans="1:2">
      <c r="A3134"/>
      <c r="B3134"/>
    </row>
    <row r="3135" spans="1:2">
      <c r="A3135"/>
      <c r="B3135"/>
    </row>
    <row r="3136" spans="1:2">
      <c r="A3136"/>
      <c r="B3136"/>
    </row>
    <row r="3137" spans="1:2">
      <c r="A3137"/>
      <c r="B3137"/>
    </row>
    <row r="3138" spans="1:2">
      <c r="A3138"/>
      <c r="B3138"/>
    </row>
    <row r="3139" spans="1:2">
      <c r="A3139"/>
      <c r="B3139"/>
    </row>
    <row r="3140" spans="1:2">
      <c r="A3140"/>
      <c r="B3140"/>
    </row>
    <row r="3141" spans="1:2">
      <c r="A3141"/>
      <c r="B3141"/>
    </row>
    <row r="3142" spans="1:2">
      <c r="A3142"/>
      <c r="B3142"/>
    </row>
    <row r="3143" spans="1:2">
      <c r="A3143"/>
      <c r="B3143"/>
    </row>
    <row r="3144" spans="1:2">
      <c r="A3144"/>
      <c r="B3144"/>
    </row>
    <row r="3145" spans="1:2">
      <c r="A3145"/>
      <c r="B3145"/>
    </row>
    <row r="3146" spans="1:2">
      <c r="A3146"/>
      <c r="B3146"/>
    </row>
    <row r="3147" spans="1:2">
      <c r="A3147"/>
      <c r="B3147"/>
    </row>
    <row r="3148" spans="1:2">
      <c r="A3148"/>
      <c r="B3148"/>
    </row>
    <row r="3149" spans="1:2">
      <c r="A3149"/>
      <c r="B3149"/>
    </row>
    <row r="3150" spans="1:2">
      <c r="A3150"/>
      <c r="B3150"/>
    </row>
    <row r="3151" spans="1:2">
      <c r="A3151"/>
      <c r="B3151"/>
    </row>
    <row r="3152" spans="1:2">
      <c r="A3152"/>
      <c r="B3152"/>
    </row>
    <row r="3153" spans="1:2">
      <c r="A3153"/>
      <c r="B3153"/>
    </row>
    <row r="3154" spans="1:2">
      <c r="A3154"/>
      <c r="B3154"/>
    </row>
    <row r="3155" spans="1:2">
      <c r="A3155"/>
      <c r="B3155"/>
    </row>
    <row r="3156" spans="1:2">
      <c r="A3156"/>
      <c r="B3156"/>
    </row>
    <row r="3157" spans="1:2">
      <c r="A3157"/>
      <c r="B3157"/>
    </row>
    <row r="3158" spans="1:2">
      <c r="A3158"/>
      <c r="B3158"/>
    </row>
    <row r="3159" spans="1:2">
      <c r="A3159"/>
      <c r="B3159"/>
    </row>
    <row r="3160" spans="1:2">
      <c r="A3160"/>
      <c r="B3160"/>
    </row>
    <row r="3161" spans="1:2">
      <c r="A3161"/>
      <c r="B3161"/>
    </row>
    <row r="3162" spans="1:2">
      <c r="A3162"/>
      <c r="B3162"/>
    </row>
    <row r="3163" spans="1:2">
      <c r="A3163"/>
      <c r="B3163"/>
    </row>
    <row r="3164" spans="1:2">
      <c r="A3164"/>
      <c r="B3164"/>
    </row>
    <row r="3165" spans="1:2">
      <c r="A3165"/>
      <c r="B3165"/>
    </row>
    <row r="3166" spans="1:2">
      <c r="A3166"/>
      <c r="B3166"/>
    </row>
    <row r="3167" spans="1:2">
      <c r="A3167"/>
      <c r="B3167"/>
    </row>
    <row r="3168" spans="1:2">
      <c r="A3168"/>
      <c r="B3168"/>
    </row>
    <row r="3169" spans="1:2">
      <c r="A3169"/>
      <c r="B3169"/>
    </row>
    <row r="3170" spans="1:2">
      <c r="A3170"/>
      <c r="B3170"/>
    </row>
    <row r="3171" spans="1:2">
      <c r="A3171"/>
      <c r="B3171"/>
    </row>
    <row r="3172" spans="1:2">
      <c r="A3172"/>
      <c r="B3172"/>
    </row>
    <row r="3173" spans="1:2">
      <c r="A3173"/>
      <c r="B3173"/>
    </row>
    <row r="3174" spans="1:2">
      <c r="A3174"/>
      <c r="B3174"/>
    </row>
    <row r="3175" spans="1:2">
      <c r="A3175"/>
      <c r="B3175"/>
    </row>
    <row r="3176" spans="1:2">
      <c r="A3176"/>
      <c r="B3176"/>
    </row>
    <row r="3177" spans="1:2">
      <c r="A3177"/>
      <c r="B3177"/>
    </row>
    <row r="3178" spans="1:2">
      <c r="A3178"/>
      <c r="B3178"/>
    </row>
    <row r="3179" spans="1:2">
      <c r="A3179"/>
      <c r="B3179"/>
    </row>
    <row r="3180" spans="1:2">
      <c r="A3180"/>
      <c r="B3180"/>
    </row>
    <row r="3181" spans="1:2">
      <c r="A3181"/>
      <c r="B3181"/>
    </row>
    <row r="3182" spans="1:2">
      <c r="A3182"/>
      <c r="B3182"/>
    </row>
    <row r="3183" spans="1:2">
      <c r="A3183"/>
      <c r="B3183"/>
    </row>
    <row r="3184" spans="1:2">
      <c r="A3184"/>
      <c r="B3184"/>
    </row>
    <row r="3185" spans="1:2">
      <c r="A3185"/>
      <c r="B3185"/>
    </row>
    <row r="3186" spans="1:2">
      <c r="A3186"/>
      <c r="B3186"/>
    </row>
    <row r="3187" spans="1:2">
      <c r="A3187"/>
      <c r="B3187"/>
    </row>
    <row r="3188" spans="1:2">
      <c r="A3188"/>
      <c r="B3188"/>
    </row>
    <row r="3189" spans="1:2">
      <c r="A3189"/>
      <c r="B3189"/>
    </row>
    <row r="3190" spans="1:2">
      <c r="A3190"/>
      <c r="B3190"/>
    </row>
    <row r="3191" spans="1:2">
      <c r="A3191"/>
      <c r="B3191"/>
    </row>
    <row r="3192" spans="1:2">
      <c r="A3192"/>
      <c r="B3192"/>
    </row>
    <row r="3193" spans="1:2">
      <c r="A3193"/>
      <c r="B3193"/>
    </row>
    <row r="3194" spans="1:2">
      <c r="A3194"/>
      <c r="B3194"/>
    </row>
    <row r="3195" spans="1:2">
      <c r="A3195"/>
      <c r="B3195"/>
    </row>
    <row r="3196" spans="1:2">
      <c r="A3196"/>
      <c r="B3196"/>
    </row>
    <row r="3197" spans="1:2">
      <c r="A3197"/>
      <c r="B3197"/>
    </row>
    <row r="3198" spans="1:2">
      <c r="A3198"/>
      <c r="B3198"/>
    </row>
    <row r="3199" spans="1:2">
      <c r="A3199"/>
      <c r="B3199"/>
    </row>
    <row r="3200" spans="1:2">
      <c r="A3200"/>
      <c r="B3200"/>
    </row>
    <row r="3201" spans="1:2">
      <c r="A3201"/>
      <c r="B3201"/>
    </row>
    <row r="3202" spans="1:2">
      <c r="A3202"/>
      <c r="B3202"/>
    </row>
    <row r="3203" spans="1:2">
      <c r="A3203"/>
      <c r="B3203"/>
    </row>
    <row r="3204" spans="1:2">
      <c r="A3204"/>
      <c r="B3204"/>
    </row>
    <row r="3205" spans="1:2">
      <c r="A3205"/>
      <c r="B3205"/>
    </row>
    <row r="3206" spans="1:2">
      <c r="A3206"/>
      <c r="B3206"/>
    </row>
    <row r="3207" spans="1:2">
      <c r="A3207"/>
      <c r="B3207"/>
    </row>
    <row r="3208" spans="1:2">
      <c r="A3208"/>
      <c r="B3208"/>
    </row>
    <row r="3209" spans="1:2">
      <c r="A3209"/>
      <c r="B3209"/>
    </row>
    <row r="3210" spans="1:2">
      <c r="A3210"/>
      <c r="B3210"/>
    </row>
    <row r="3211" spans="1:2">
      <c r="A3211"/>
      <c r="B3211"/>
    </row>
    <row r="3212" spans="1:2">
      <c r="A3212"/>
      <c r="B3212"/>
    </row>
    <row r="3213" spans="1:2">
      <c r="A3213"/>
      <c r="B3213"/>
    </row>
    <row r="3214" spans="1:2">
      <c r="A3214"/>
      <c r="B3214"/>
    </row>
    <row r="3215" spans="1:2">
      <c r="A3215"/>
      <c r="B3215"/>
    </row>
    <row r="3216" spans="1:2">
      <c r="A3216"/>
      <c r="B3216"/>
    </row>
    <row r="3217" spans="1:2">
      <c r="A3217"/>
      <c r="B3217"/>
    </row>
    <row r="3218" spans="1:2">
      <c r="A3218"/>
      <c r="B3218"/>
    </row>
    <row r="3219" spans="1:2">
      <c r="A3219"/>
      <c r="B3219"/>
    </row>
    <row r="3220" spans="1:2">
      <c r="A3220"/>
      <c r="B3220"/>
    </row>
    <row r="3221" spans="1:2">
      <c r="A3221"/>
      <c r="B3221"/>
    </row>
    <row r="3222" spans="1:2">
      <c r="A3222"/>
      <c r="B3222"/>
    </row>
    <row r="3223" spans="1:2">
      <c r="A3223"/>
      <c r="B3223"/>
    </row>
    <row r="3224" spans="1:2">
      <c r="A3224"/>
      <c r="B3224"/>
    </row>
    <row r="3225" spans="1:2">
      <c r="A3225"/>
      <c r="B3225"/>
    </row>
    <row r="3226" spans="1:2">
      <c r="A3226"/>
      <c r="B3226"/>
    </row>
    <row r="3227" spans="1:2">
      <c r="A3227"/>
      <c r="B3227"/>
    </row>
    <row r="3228" spans="1:2">
      <c r="A3228"/>
      <c r="B3228"/>
    </row>
    <row r="3229" spans="1:2">
      <c r="A3229"/>
      <c r="B3229"/>
    </row>
    <row r="3230" spans="1:2">
      <c r="A3230"/>
      <c r="B3230"/>
    </row>
    <row r="3231" spans="1:2">
      <c r="A3231"/>
      <c r="B3231"/>
    </row>
    <row r="3232" spans="1:2">
      <c r="A3232"/>
      <c r="B3232"/>
    </row>
    <row r="3233" spans="1:2">
      <c r="A3233"/>
      <c r="B3233"/>
    </row>
    <row r="3234" spans="1:2">
      <c r="A3234"/>
      <c r="B3234"/>
    </row>
    <row r="3235" spans="1:2">
      <c r="A3235"/>
      <c r="B3235"/>
    </row>
    <row r="3236" spans="1:2">
      <c r="A3236"/>
      <c r="B3236"/>
    </row>
    <row r="3237" spans="1:2">
      <c r="A3237"/>
      <c r="B3237"/>
    </row>
    <row r="3238" spans="1:2">
      <c r="A3238"/>
      <c r="B3238"/>
    </row>
    <row r="3239" spans="1:2">
      <c r="A3239"/>
      <c r="B3239"/>
    </row>
    <row r="3240" spans="1:2">
      <c r="A3240"/>
      <c r="B3240"/>
    </row>
    <row r="3241" spans="1:2">
      <c r="A3241"/>
      <c r="B3241"/>
    </row>
    <row r="3242" spans="1:2">
      <c r="A3242"/>
      <c r="B3242"/>
    </row>
    <row r="3243" spans="1:2">
      <c r="A3243"/>
      <c r="B3243"/>
    </row>
    <row r="3244" spans="1:2">
      <c r="A3244"/>
      <c r="B3244"/>
    </row>
    <row r="3245" spans="1:2">
      <c r="A3245"/>
      <c r="B3245"/>
    </row>
    <row r="3246" spans="1:2">
      <c r="A3246"/>
      <c r="B3246"/>
    </row>
    <row r="3247" spans="1:2">
      <c r="A3247"/>
      <c r="B3247"/>
    </row>
    <row r="3248" spans="1:2">
      <c r="A3248"/>
      <c r="B3248"/>
    </row>
    <row r="3249" spans="1:2">
      <c r="A3249"/>
      <c r="B3249"/>
    </row>
    <row r="3250" spans="1:2">
      <c r="A3250"/>
      <c r="B3250"/>
    </row>
    <row r="3251" spans="1:2">
      <c r="A3251"/>
      <c r="B3251"/>
    </row>
    <row r="3252" spans="1:2">
      <c r="A3252"/>
      <c r="B3252"/>
    </row>
    <row r="3253" spans="1:2">
      <c r="A3253"/>
      <c r="B3253"/>
    </row>
    <row r="3254" spans="1:2">
      <c r="A3254"/>
      <c r="B3254"/>
    </row>
    <row r="3255" spans="1:2">
      <c r="A3255"/>
      <c r="B3255"/>
    </row>
    <row r="3256" spans="1:2">
      <c r="A3256"/>
      <c r="B3256"/>
    </row>
    <row r="3257" spans="1:2">
      <c r="A3257"/>
      <c r="B3257"/>
    </row>
    <row r="3258" spans="1:2">
      <c r="A3258"/>
      <c r="B3258"/>
    </row>
    <row r="3259" spans="1:2">
      <c r="A3259"/>
      <c r="B3259"/>
    </row>
    <row r="3260" spans="1:2">
      <c r="A3260"/>
      <c r="B3260"/>
    </row>
    <row r="3261" spans="1:2">
      <c r="A3261"/>
      <c r="B3261"/>
    </row>
    <row r="3262" spans="1:2">
      <c r="A3262"/>
      <c r="B3262"/>
    </row>
    <row r="3263" spans="1:2">
      <c r="A3263"/>
      <c r="B3263"/>
    </row>
    <row r="3264" spans="1:2">
      <c r="A3264"/>
      <c r="B3264"/>
    </row>
    <row r="3265" spans="1:2">
      <c r="A3265"/>
      <c r="B3265"/>
    </row>
    <row r="3266" spans="1:2">
      <c r="A3266"/>
      <c r="B3266"/>
    </row>
    <row r="3267" spans="1:2">
      <c r="A3267"/>
      <c r="B3267"/>
    </row>
    <row r="3268" spans="1:2">
      <c r="A3268"/>
      <c r="B3268"/>
    </row>
    <row r="3269" spans="1:2">
      <c r="A3269"/>
      <c r="B3269"/>
    </row>
    <row r="3270" spans="1:2">
      <c r="A3270"/>
      <c r="B3270"/>
    </row>
    <row r="3271" spans="1:2">
      <c r="A3271"/>
      <c r="B3271"/>
    </row>
    <row r="3272" spans="1:2">
      <c r="A3272"/>
      <c r="B3272"/>
    </row>
    <row r="3273" spans="1:2">
      <c r="A3273"/>
      <c r="B3273"/>
    </row>
    <row r="3274" spans="1:2">
      <c r="A3274"/>
      <c r="B3274"/>
    </row>
    <row r="3275" spans="1:2">
      <c r="A3275"/>
      <c r="B3275"/>
    </row>
    <row r="3276" spans="1:2">
      <c r="A3276"/>
      <c r="B3276"/>
    </row>
    <row r="3277" spans="1:2">
      <c r="A3277"/>
      <c r="B3277"/>
    </row>
    <row r="3278" spans="1:2">
      <c r="A3278"/>
      <c r="B3278"/>
    </row>
    <row r="3279" spans="1:2">
      <c r="A3279"/>
      <c r="B3279"/>
    </row>
    <row r="3280" spans="1:2">
      <c r="A3280"/>
      <c r="B3280"/>
    </row>
    <row r="3281" spans="1:2">
      <c r="A3281"/>
      <c r="B3281"/>
    </row>
    <row r="3282" spans="1:2">
      <c r="A3282"/>
      <c r="B3282"/>
    </row>
    <row r="3283" spans="1:2">
      <c r="A3283"/>
      <c r="B3283"/>
    </row>
    <row r="3284" spans="1:2">
      <c r="A3284"/>
      <c r="B3284"/>
    </row>
    <row r="3285" spans="1:2">
      <c r="A3285"/>
      <c r="B3285"/>
    </row>
    <row r="3286" spans="1:2">
      <c r="A3286"/>
      <c r="B3286"/>
    </row>
    <row r="3287" spans="1:2">
      <c r="A3287"/>
      <c r="B3287"/>
    </row>
    <row r="3288" spans="1:2">
      <c r="A3288"/>
      <c r="B3288"/>
    </row>
    <row r="3289" spans="1:2">
      <c r="A3289"/>
      <c r="B3289"/>
    </row>
    <row r="3290" spans="1:2">
      <c r="A3290"/>
      <c r="B3290"/>
    </row>
    <row r="3291" spans="1:2">
      <c r="A3291"/>
      <c r="B3291"/>
    </row>
    <row r="3292" spans="1:2">
      <c r="A3292"/>
      <c r="B3292"/>
    </row>
    <row r="3293" spans="1:2">
      <c r="A3293"/>
      <c r="B3293"/>
    </row>
    <row r="3294" spans="1:2">
      <c r="A3294"/>
      <c r="B3294"/>
    </row>
    <row r="3295" spans="1:2">
      <c r="A3295"/>
      <c r="B3295"/>
    </row>
    <row r="3296" spans="1:2">
      <c r="A3296"/>
      <c r="B3296"/>
    </row>
    <row r="3297" spans="1:2">
      <c r="A3297"/>
      <c r="B3297"/>
    </row>
    <row r="3298" spans="1:2">
      <c r="A3298"/>
      <c r="B3298"/>
    </row>
    <row r="3299" spans="1:2">
      <c r="A3299"/>
      <c r="B3299"/>
    </row>
    <row r="3300" spans="1:2">
      <c r="A3300"/>
      <c r="B3300"/>
    </row>
    <row r="3301" spans="1:2">
      <c r="A3301"/>
      <c r="B3301"/>
    </row>
    <row r="3302" spans="1:2">
      <c r="A3302"/>
      <c r="B3302"/>
    </row>
    <row r="3303" spans="1:2">
      <c r="A3303"/>
      <c r="B3303"/>
    </row>
    <row r="3304" spans="1:2">
      <c r="A3304"/>
      <c r="B3304"/>
    </row>
    <row r="3305" spans="1:2">
      <c r="A3305"/>
      <c r="B3305"/>
    </row>
    <row r="3306" spans="1:2">
      <c r="A3306"/>
      <c r="B3306"/>
    </row>
    <row r="3307" spans="1:2">
      <c r="A3307"/>
      <c r="B3307"/>
    </row>
    <row r="3308" spans="1:2">
      <c r="A3308"/>
      <c r="B3308"/>
    </row>
    <row r="3309" spans="1:2">
      <c r="A3309"/>
      <c r="B3309"/>
    </row>
    <row r="3310" spans="1:2">
      <c r="A3310"/>
      <c r="B3310"/>
    </row>
    <row r="3311" spans="1:2">
      <c r="A3311"/>
      <c r="B3311"/>
    </row>
    <row r="3312" spans="1:2">
      <c r="A3312"/>
      <c r="B3312"/>
    </row>
    <row r="3313" spans="1:2">
      <c r="A3313"/>
      <c r="B3313"/>
    </row>
    <row r="3314" spans="1:2">
      <c r="A3314"/>
      <c r="B3314"/>
    </row>
    <row r="3315" spans="1:2">
      <c r="A3315"/>
      <c r="B3315"/>
    </row>
    <row r="3316" spans="1:2">
      <c r="A3316"/>
      <c r="B3316"/>
    </row>
    <row r="3317" spans="1:2">
      <c r="A3317"/>
      <c r="B3317"/>
    </row>
    <row r="3318" spans="1:2">
      <c r="A3318"/>
      <c r="B3318"/>
    </row>
    <row r="3319" spans="1:2">
      <c r="A3319"/>
      <c r="B3319"/>
    </row>
    <row r="3320" spans="1:2">
      <c r="A3320"/>
      <c r="B3320"/>
    </row>
    <row r="3321" spans="1:2">
      <c r="A3321"/>
      <c r="B3321"/>
    </row>
    <row r="3322" spans="1:2">
      <c r="A3322"/>
      <c r="B3322"/>
    </row>
    <row r="3323" spans="1:2">
      <c r="A3323"/>
      <c r="B3323"/>
    </row>
    <row r="3324" spans="1:2">
      <c r="A3324"/>
      <c r="B3324"/>
    </row>
    <row r="3325" spans="1:2">
      <c r="A3325"/>
      <c r="B3325"/>
    </row>
    <row r="3326" spans="1:2">
      <c r="A3326"/>
      <c r="B3326"/>
    </row>
    <row r="3327" spans="1:2">
      <c r="A3327"/>
      <c r="B3327"/>
    </row>
    <row r="3328" spans="1:2">
      <c r="A3328"/>
      <c r="B3328"/>
    </row>
    <row r="3329" spans="1:2">
      <c r="A3329"/>
      <c r="B3329"/>
    </row>
    <row r="3330" spans="1:2">
      <c r="A3330"/>
      <c r="B3330"/>
    </row>
    <row r="3331" spans="1:2">
      <c r="A3331"/>
      <c r="B3331"/>
    </row>
    <row r="3332" spans="1:2">
      <c r="A3332"/>
      <c r="B3332"/>
    </row>
    <row r="3333" spans="1:2">
      <c r="A3333"/>
      <c r="B3333"/>
    </row>
    <row r="3334" spans="1:2">
      <c r="A3334"/>
      <c r="B3334"/>
    </row>
    <row r="3335" spans="1:2">
      <c r="A3335"/>
      <c r="B3335"/>
    </row>
    <row r="3336" spans="1:2">
      <c r="A3336"/>
      <c r="B3336"/>
    </row>
    <row r="3337" spans="1:2">
      <c r="A3337"/>
      <c r="B3337"/>
    </row>
    <row r="3338" spans="1:2">
      <c r="A3338"/>
      <c r="B3338"/>
    </row>
    <row r="3339" spans="1:2">
      <c r="A3339"/>
      <c r="B3339"/>
    </row>
    <row r="3340" spans="1:2">
      <c r="A3340"/>
      <c r="B3340"/>
    </row>
    <row r="3341" spans="1:2">
      <c r="A3341"/>
      <c r="B3341"/>
    </row>
    <row r="3342" spans="1:2">
      <c r="A3342"/>
      <c r="B3342"/>
    </row>
    <row r="3343" spans="1:2">
      <c r="A3343"/>
      <c r="B3343"/>
    </row>
    <row r="3344" spans="1:2">
      <c r="A3344"/>
      <c r="B3344"/>
    </row>
    <row r="3345" spans="1:2">
      <c r="A3345"/>
      <c r="B3345"/>
    </row>
    <row r="3346" spans="1:2">
      <c r="A3346"/>
      <c r="B3346"/>
    </row>
    <row r="3347" spans="1:2">
      <c r="A3347"/>
      <c r="B3347"/>
    </row>
    <row r="3348" spans="1:2">
      <c r="A3348"/>
      <c r="B3348"/>
    </row>
    <row r="3349" spans="1:2">
      <c r="A3349"/>
      <c r="B3349"/>
    </row>
    <row r="3350" spans="1:2">
      <c r="A3350"/>
      <c r="B3350"/>
    </row>
    <row r="3351" spans="1:2">
      <c r="A3351"/>
      <c r="B3351"/>
    </row>
    <row r="3352" spans="1:2">
      <c r="A3352"/>
      <c r="B3352"/>
    </row>
    <row r="3353" spans="1:2">
      <c r="A3353"/>
      <c r="B3353"/>
    </row>
    <row r="3354" spans="1:2">
      <c r="A3354"/>
      <c r="B3354"/>
    </row>
    <row r="3355" spans="1:2">
      <c r="A3355"/>
      <c r="B3355"/>
    </row>
    <row r="3356" spans="1:2">
      <c r="A3356"/>
      <c r="B3356"/>
    </row>
    <row r="3357" spans="1:2">
      <c r="A3357"/>
      <c r="B3357"/>
    </row>
    <row r="3358" spans="1:2">
      <c r="A3358"/>
      <c r="B3358"/>
    </row>
    <row r="3359" spans="1:2">
      <c r="A3359"/>
      <c r="B3359"/>
    </row>
    <row r="3360" spans="1:2">
      <c r="A3360"/>
      <c r="B3360"/>
    </row>
    <row r="3361" spans="1:2">
      <c r="A3361"/>
      <c r="B3361"/>
    </row>
    <row r="3362" spans="1:2">
      <c r="A3362"/>
      <c r="B3362"/>
    </row>
    <row r="3363" spans="1:2">
      <c r="A3363"/>
      <c r="B3363"/>
    </row>
    <row r="3364" spans="1:2">
      <c r="A3364"/>
      <c r="B3364"/>
    </row>
    <row r="3365" spans="1:2">
      <c r="A3365"/>
      <c r="B3365"/>
    </row>
    <row r="3366" spans="1:2">
      <c r="A3366"/>
      <c r="B3366"/>
    </row>
    <row r="3367" spans="1:2">
      <c r="A3367"/>
      <c r="B3367"/>
    </row>
    <row r="3368" spans="1:2">
      <c r="A3368"/>
      <c r="B3368"/>
    </row>
    <row r="3369" spans="1:2">
      <c r="A3369"/>
      <c r="B3369"/>
    </row>
    <row r="3370" spans="1:2">
      <c r="A3370"/>
      <c r="B3370"/>
    </row>
    <row r="3371" spans="1:2">
      <c r="A3371"/>
      <c r="B3371"/>
    </row>
    <row r="3372" spans="1:2">
      <c r="A3372"/>
      <c r="B3372"/>
    </row>
    <row r="3373" spans="1:2">
      <c r="A3373"/>
      <c r="B3373"/>
    </row>
    <row r="3374" spans="1:2">
      <c r="A3374"/>
      <c r="B3374"/>
    </row>
    <row r="3375" spans="1:2">
      <c r="A3375"/>
      <c r="B3375"/>
    </row>
    <row r="3376" spans="1:2">
      <c r="A3376"/>
      <c r="B3376"/>
    </row>
    <row r="3377" spans="1:2">
      <c r="A3377"/>
      <c r="B3377"/>
    </row>
    <row r="3378" spans="1:2">
      <c r="A3378"/>
      <c r="B3378"/>
    </row>
    <row r="3379" spans="1:2">
      <c r="A3379"/>
      <c r="B3379"/>
    </row>
    <row r="3380" spans="1:2">
      <c r="A3380"/>
      <c r="B3380"/>
    </row>
    <row r="3381" spans="1:2">
      <c r="A3381"/>
      <c r="B3381"/>
    </row>
    <row r="3382" spans="1:2">
      <c r="A3382"/>
      <c r="B3382"/>
    </row>
    <row r="3383" spans="1:2">
      <c r="A3383"/>
      <c r="B3383"/>
    </row>
    <row r="3384" spans="1:2">
      <c r="A3384"/>
      <c r="B3384"/>
    </row>
    <row r="3385" spans="1:2">
      <c r="A3385"/>
      <c r="B3385"/>
    </row>
    <row r="3386" spans="1:2">
      <c r="A3386"/>
      <c r="B3386"/>
    </row>
    <row r="3387" spans="1:2">
      <c r="A3387"/>
      <c r="B3387"/>
    </row>
    <row r="3388" spans="1:2">
      <c r="A3388"/>
      <c r="B3388"/>
    </row>
    <row r="3389" spans="1:2">
      <c r="A3389"/>
      <c r="B3389"/>
    </row>
    <row r="3390" spans="1:2">
      <c r="A3390"/>
      <c r="B3390"/>
    </row>
    <row r="3391" spans="1:2">
      <c r="A3391"/>
      <c r="B3391"/>
    </row>
    <row r="3392" spans="1:2">
      <c r="A3392"/>
      <c r="B3392"/>
    </row>
    <row r="3393" spans="1:2">
      <c r="A3393"/>
      <c r="B3393"/>
    </row>
    <row r="3394" spans="1:2">
      <c r="A3394"/>
      <c r="B3394"/>
    </row>
    <row r="3395" spans="1:2">
      <c r="A3395"/>
      <c r="B3395"/>
    </row>
    <row r="3396" spans="1:2">
      <c r="A3396"/>
      <c r="B3396"/>
    </row>
    <row r="3397" spans="1:2">
      <c r="A3397"/>
      <c r="B3397"/>
    </row>
    <row r="3398" spans="1:2">
      <c r="A3398"/>
      <c r="B3398"/>
    </row>
    <row r="3399" spans="1:2">
      <c r="A3399"/>
      <c r="B3399"/>
    </row>
    <row r="3400" spans="1:2">
      <c r="A3400"/>
      <c r="B3400"/>
    </row>
    <row r="3401" spans="1:2">
      <c r="A3401"/>
      <c r="B3401"/>
    </row>
    <row r="3402" spans="1:2">
      <c r="A3402"/>
      <c r="B3402"/>
    </row>
    <row r="3403" spans="1:2">
      <c r="A3403"/>
      <c r="B3403"/>
    </row>
    <row r="3404" spans="1:2">
      <c r="A3404"/>
      <c r="B3404"/>
    </row>
    <row r="3405" spans="1:2">
      <c r="A3405"/>
      <c r="B3405"/>
    </row>
    <row r="3406" spans="1:2">
      <c r="A3406"/>
      <c r="B3406"/>
    </row>
    <row r="3407" spans="1:2">
      <c r="A3407"/>
      <c r="B3407"/>
    </row>
    <row r="3408" spans="1:2">
      <c r="A3408"/>
      <c r="B3408"/>
    </row>
    <row r="3409" spans="1:2">
      <c r="A3409"/>
      <c r="B3409"/>
    </row>
    <row r="3410" spans="1:2">
      <c r="A3410"/>
      <c r="B3410"/>
    </row>
    <row r="3411" spans="1:2">
      <c r="A3411"/>
      <c r="B3411"/>
    </row>
    <row r="3412" spans="1:2">
      <c r="A3412"/>
      <c r="B3412"/>
    </row>
    <row r="3413" spans="1:2">
      <c r="A3413"/>
      <c r="B3413"/>
    </row>
    <row r="3414" spans="1:2">
      <c r="A3414"/>
      <c r="B3414"/>
    </row>
    <row r="3415" spans="1:2">
      <c r="A3415"/>
      <c r="B3415"/>
    </row>
    <row r="3416" spans="1:2">
      <c r="A3416"/>
      <c r="B3416"/>
    </row>
    <row r="3417" spans="1:2">
      <c r="A3417"/>
      <c r="B3417"/>
    </row>
    <row r="3418" spans="1:2">
      <c r="A3418"/>
      <c r="B3418"/>
    </row>
    <row r="3419" spans="1:2">
      <c r="A3419"/>
      <c r="B3419"/>
    </row>
    <row r="3420" spans="1:2">
      <c r="A3420"/>
      <c r="B3420"/>
    </row>
    <row r="3421" spans="1:2">
      <c r="A3421"/>
      <c r="B3421"/>
    </row>
    <row r="3422" spans="1:2">
      <c r="A3422"/>
      <c r="B3422"/>
    </row>
    <row r="3423" spans="1:2">
      <c r="A3423"/>
      <c r="B3423"/>
    </row>
    <row r="3424" spans="1:2">
      <c r="A3424"/>
      <c r="B3424"/>
    </row>
    <row r="3425" spans="1:2">
      <c r="A3425"/>
      <c r="B3425"/>
    </row>
    <row r="3426" spans="1:2">
      <c r="A3426"/>
      <c r="B3426"/>
    </row>
    <row r="3427" spans="1:2">
      <c r="A3427"/>
      <c r="B3427"/>
    </row>
    <row r="3428" spans="1:2">
      <c r="A3428"/>
      <c r="B3428"/>
    </row>
    <row r="3429" spans="1:2">
      <c r="A3429"/>
      <c r="B3429"/>
    </row>
    <row r="3430" spans="1:2">
      <c r="A3430"/>
      <c r="B3430"/>
    </row>
    <row r="3431" spans="1:2">
      <c r="A3431"/>
      <c r="B3431"/>
    </row>
    <row r="3432" spans="1:2">
      <c r="A3432"/>
      <c r="B3432"/>
    </row>
    <row r="3433" spans="1:2">
      <c r="A3433"/>
      <c r="B3433"/>
    </row>
    <row r="3434" spans="1:2">
      <c r="A3434"/>
      <c r="B3434"/>
    </row>
    <row r="3435" spans="1:2">
      <c r="A3435"/>
      <c r="B3435"/>
    </row>
    <row r="3436" spans="1:2">
      <c r="A3436"/>
      <c r="B3436"/>
    </row>
    <row r="3437" spans="1:2">
      <c r="A3437"/>
      <c r="B3437"/>
    </row>
    <row r="3438" spans="1:2">
      <c r="A3438"/>
      <c r="B3438"/>
    </row>
    <row r="3439" spans="1:2">
      <c r="A3439"/>
      <c r="B3439"/>
    </row>
    <row r="3440" spans="1:2">
      <c r="A3440"/>
      <c r="B3440"/>
    </row>
    <row r="3441" spans="1:2">
      <c r="A3441"/>
      <c r="B3441"/>
    </row>
    <row r="3442" spans="1:2">
      <c r="A3442"/>
      <c r="B3442"/>
    </row>
    <row r="3443" spans="1:2">
      <c r="A3443"/>
      <c r="B3443"/>
    </row>
    <row r="3444" spans="1:2">
      <c r="A3444"/>
      <c r="B3444"/>
    </row>
    <row r="3445" spans="1:2">
      <c r="A3445"/>
      <c r="B3445"/>
    </row>
    <row r="3446" spans="1:2">
      <c r="A3446"/>
      <c r="B3446"/>
    </row>
    <row r="3447" spans="1:2">
      <c r="A3447"/>
      <c r="B3447"/>
    </row>
    <row r="3448" spans="1:2">
      <c r="A3448"/>
      <c r="B3448"/>
    </row>
    <row r="3449" spans="1:2">
      <c r="A3449"/>
      <c r="B3449"/>
    </row>
    <row r="3450" spans="1:2">
      <c r="A3450"/>
      <c r="B3450"/>
    </row>
    <row r="3451" spans="1:2">
      <c r="A3451"/>
      <c r="B3451"/>
    </row>
    <row r="3452" spans="1:2">
      <c r="A3452"/>
      <c r="B3452"/>
    </row>
    <row r="3453" spans="1:2">
      <c r="A3453"/>
      <c r="B3453"/>
    </row>
    <row r="3454" spans="1:2">
      <c r="A3454"/>
      <c r="B3454"/>
    </row>
    <row r="3455" spans="1:2">
      <c r="A3455"/>
      <c r="B3455"/>
    </row>
    <row r="3456" spans="1:2">
      <c r="A3456"/>
      <c r="B3456"/>
    </row>
    <row r="3457" spans="1:2">
      <c r="A3457"/>
      <c r="B3457"/>
    </row>
    <row r="3458" spans="1:2">
      <c r="A3458"/>
      <c r="B3458"/>
    </row>
    <row r="3459" spans="1:2">
      <c r="A3459"/>
      <c r="B3459"/>
    </row>
    <row r="3460" spans="1:2">
      <c r="A3460"/>
      <c r="B3460"/>
    </row>
    <row r="3461" spans="1:2">
      <c r="A3461"/>
      <c r="B3461"/>
    </row>
    <row r="3462" spans="1:2">
      <c r="A3462"/>
      <c r="B3462"/>
    </row>
    <row r="3463" spans="1:2">
      <c r="A3463"/>
      <c r="B3463"/>
    </row>
    <row r="3464" spans="1:2">
      <c r="A3464"/>
      <c r="B3464"/>
    </row>
    <row r="3465" spans="1:2">
      <c r="A3465"/>
      <c r="B3465"/>
    </row>
    <row r="3466" spans="1:2">
      <c r="A3466"/>
      <c r="B3466"/>
    </row>
    <row r="3467" spans="1:2">
      <c r="A3467"/>
      <c r="B3467"/>
    </row>
    <row r="3468" spans="1:2">
      <c r="A3468"/>
      <c r="B3468"/>
    </row>
    <row r="3469" spans="1:2">
      <c r="A3469"/>
      <c r="B3469"/>
    </row>
    <row r="3470" spans="1:2">
      <c r="A3470"/>
      <c r="B3470"/>
    </row>
    <row r="3471" spans="1:2">
      <c r="A3471"/>
      <c r="B3471"/>
    </row>
    <row r="3472" spans="1:2">
      <c r="A3472"/>
      <c r="B3472"/>
    </row>
    <row r="3473" spans="1:2">
      <c r="A3473"/>
      <c r="B3473"/>
    </row>
    <row r="3474" spans="1:2">
      <c r="A3474"/>
      <c r="B3474"/>
    </row>
    <row r="3475" spans="1:2">
      <c r="A3475"/>
      <c r="B3475"/>
    </row>
    <row r="3476" spans="1:2">
      <c r="A3476"/>
      <c r="B3476"/>
    </row>
    <row r="3477" spans="1:2">
      <c r="A3477"/>
      <c r="B3477"/>
    </row>
    <row r="3478" spans="1:2">
      <c r="A3478"/>
      <c r="B3478"/>
    </row>
    <row r="3479" spans="1:2">
      <c r="A3479"/>
      <c r="B3479"/>
    </row>
    <row r="3480" spans="1:2">
      <c r="A3480"/>
      <c r="B3480"/>
    </row>
    <row r="3481" spans="1:2">
      <c r="A3481"/>
      <c r="B3481"/>
    </row>
    <row r="3482" spans="1:2">
      <c r="A3482"/>
      <c r="B3482"/>
    </row>
    <row r="3483" spans="1:2">
      <c r="A3483"/>
      <c r="B3483"/>
    </row>
    <row r="3484" spans="1:2">
      <c r="A3484"/>
      <c r="B3484"/>
    </row>
    <row r="3485" spans="1:2">
      <c r="A3485"/>
      <c r="B3485"/>
    </row>
    <row r="3486" spans="1:2">
      <c r="A3486"/>
      <c r="B3486"/>
    </row>
    <row r="3487" spans="1:2">
      <c r="A3487"/>
      <c r="B3487"/>
    </row>
    <row r="3488" spans="1:2">
      <c r="A3488"/>
      <c r="B3488"/>
    </row>
    <row r="3489" spans="1:2">
      <c r="A3489"/>
      <c r="B3489"/>
    </row>
    <row r="3490" spans="1:2">
      <c r="A3490"/>
      <c r="B3490"/>
    </row>
    <row r="3491" spans="1:2">
      <c r="A3491"/>
      <c r="B3491"/>
    </row>
    <row r="3492" spans="1:2">
      <c r="A3492"/>
      <c r="B3492"/>
    </row>
    <row r="3493" spans="1:2">
      <c r="A3493"/>
      <c r="B3493"/>
    </row>
    <row r="3494" spans="1:2">
      <c r="A3494"/>
      <c r="B3494"/>
    </row>
    <row r="3495" spans="1:2">
      <c r="A3495"/>
      <c r="B3495"/>
    </row>
    <row r="3496" spans="1:2">
      <c r="A3496"/>
      <c r="B3496"/>
    </row>
    <row r="3497" spans="1:2">
      <c r="A3497"/>
      <c r="B3497"/>
    </row>
    <row r="3498" spans="1:2">
      <c r="A3498"/>
      <c r="B3498"/>
    </row>
    <row r="3499" spans="1:2">
      <c r="A3499"/>
      <c r="B3499"/>
    </row>
    <row r="3500" spans="1:2">
      <c r="A3500"/>
      <c r="B3500"/>
    </row>
    <row r="3501" spans="1:2">
      <c r="A3501"/>
      <c r="B3501"/>
    </row>
    <row r="3502" spans="1:2">
      <c r="A3502"/>
      <c r="B3502"/>
    </row>
    <row r="3503" spans="1:2">
      <c r="A3503"/>
      <c r="B3503"/>
    </row>
    <row r="3504" spans="1:2">
      <c r="A3504"/>
      <c r="B3504"/>
    </row>
    <row r="3505" spans="1:2">
      <c r="A3505"/>
      <c r="B3505"/>
    </row>
    <row r="3506" spans="1:2">
      <c r="A3506"/>
      <c r="B3506"/>
    </row>
    <row r="3507" spans="1:2">
      <c r="A3507"/>
      <c r="B3507"/>
    </row>
    <row r="3508" spans="1:2">
      <c r="A3508"/>
      <c r="B3508"/>
    </row>
    <row r="3509" spans="1:2">
      <c r="A3509"/>
      <c r="B3509"/>
    </row>
    <row r="3510" spans="1:2">
      <c r="A3510"/>
      <c r="B3510"/>
    </row>
    <row r="3511" spans="1:2">
      <c r="A3511"/>
      <c r="B3511"/>
    </row>
    <row r="3512" spans="1:2">
      <c r="A3512"/>
      <c r="B3512"/>
    </row>
    <row r="3513" spans="1:2">
      <c r="A3513"/>
      <c r="B3513"/>
    </row>
    <row r="3514" spans="1:2">
      <c r="A3514"/>
      <c r="B3514"/>
    </row>
    <row r="3515" spans="1:2">
      <c r="A3515"/>
      <c r="B3515"/>
    </row>
    <row r="3516" spans="1:2">
      <c r="A3516"/>
      <c r="B3516"/>
    </row>
    <row r="3517" spans="1:2">
      <c r="A3517"/>
      <c r="B3517"/>
    </row>
    <row r="3518" spans="1:2">
      <c r="A3518"/>
      <c r="B3518"/>
    </row>
    <row r="3519" spans="1:2">
      <c r="A3519"/>
      <c r="B3519"/>
    </row>
    <row r="3520" spans="1:2">
      <c r="A3520"/>
      <c r="B3520"/>
    </row>
    <row r="3521" spans="1:2">
      <c r="A3521"/>
      <c r="B3521"/>
    </row>
    <row r="3522" spans="1:2">
      <c r="A3522"/>
      <c r="B3522"/>
    </row>
    <row r="3523" spans="1:2">
      <c r="A3523"/>
      <c r="B3523"/>
    </row>
    <row r="3524" spans="1:2">
      <c r="A3524"/>
      <c r="B3524"/>
    </row>
    <row r="3525" spans="1:2">
      <c r="A3525"/>
      <c r="B3525"/>
    </row>
    <row r="3526" spans="1:2">
      <c r="A3526"/>
      <c r="B3526"/>
    </row>
    <row r="3527" spans="1:2">
      <c r="A3527"/>
      <c r="B3527"/>
    </row>
    <row r="3528" spans="1:2">
      <c r="A3528"/>
      <c r="B3528"/>
    </row>
    <row r="3529" spans="1:2">
      <c r="A3529"/>
      <c r="B3529"/>
    </row>
    <row r="3530" spans="1:2">
      <c r="A3530"/>
      <c r="B3530"/>
    </row>
    <row r="3531" spans="1:2">
      <c r="A3531"/>
      <c r="B3531"/>
    </row>
    <row r="3532" spans="1:2">
      <c r="A3532"/>
      <c r="B3532"/>
    </row>
    <row r="3533" spans="1:2">
      <c r="A3533"/>
      <c r="B3533"/>
    </row>
    <row r="3534" spans="1:2">
      <c r="A3534"/>
      <c r="B3534"/>
    </row>
    <row r="3535" spans="1:2">
      <c r="A3535"/>
      <c r="B3535"/>
    </row>
    <row r="3536" spans="1:2">
      <c r="A3536"/>
      <c r="B3536"/>
    </row>
    <row r="3537" spans="1:2">
      <c r="A3537"/>
      <c r="B3537"/>
    </row>
    <row r="3538" spans="1:2">
      <c r="A3538"/>
      <c r="B3538"/>
    </row>
    <row r="3539" spans="1:2">
      <c r="A3539"/>
      <c r="B3539"/>
    </row>
    <row r="3540" spans="1:2">
      <c r="A3540"/>
      <c r="B3540"/>
    </row>
    <row r="3541" spans="1:2">
      <c r="A3541"/>
      <c r="B3541"/>
    </row>
    <row r="3542" spans="1:2">
      <c r="A3542"/>
      <c r="B3542"/>
    </row>
    <row r="3543" spans="1:2">
      <c r="A3543"/>
      <c r="B3543"/>
    </row>
    <row r="3544" spans="1:2">
      <c r="A3544"/>
      <c r="B3544"/>
    </row>
    <row r="3545" spans="1:2">
      <c r="A3545"/>
      <c r="B3545"/>
    </row>
    <row r="3546" spans="1:2">
      <c r="A3546"/>
      <c r="B3546"/>
    </row>
    <row r="3547" spans="1:2">
      <c r="A3547"/>
      <c r="B3547"/>
    </row>
    <row r="3548" spans="1:2">
      <c r="A3548"/>
      <c r="B3548"/>
    </row>
    <row r="3549" spans="1:2">
      <c r="A3549"/>
      <c r="B3549"/>
    </row>
    <row r="3550" spans="1:2">
      <c r="A3550"/>
      <c r="B3550"/>
    </row>
    <row r="3551" spans="1:2">
      <c r="A3551"/>
      <c r="B3551"/>
    </row>
    <row r="3552" spans="1:2">
      <c r="A3552"/>
      <c r="B3552"/>
    </row>
    <row r="3553" spans="1:2">
      <c r="A3553"/>
      <c r="B3553"/>
    </row>
    <row r="3554" spans="1:2">
      <c r="A3554"/>
      <c r="B3554"/>
    </row>
    <row r="3555" spans="1:2">
      <c r="A3555"/>
      <c r="B3555"/>
    </row>
    <row r="3556" spans="1:2">
      <c r="A3556"/>
      <c r="B3556"/>
    </row>
    <row r="3557" spans="1:2">
      <c r="A3557"/>
      <c r="B3557"/>
    </row>
    <row r="3558" spans="1:2">
      <c r="A3558"/>
      <c r="B3558"/>
    </row>
    <row r="3559" spans="1:2">
      <c r="A3559"/>
      <c r="B3559"/>
    </row>
    <row r="3560" spans="1:2">
      <c r="A3560"/>
      <c r="B3560"/>
    </row>
    <row r="3561" spans="1:2">
      <c r="A3561"/>
      <c r="B3561"/>
    </row>
    <row r="3562" spans="1:2">
      <c r="A3562"/>
      <c r="B3562"/>
    </row>
    <row r="3563" spans="1:2">
      <c r="A3563"/>
      <c r="B3563"/>
    </row>
    <row r="3564" spans="1:2">
      <c r="A3564"/>
      <c r="B3564"/>
    </row>
    <row r="3565" spans="1:2">
      <c r="A3565"/>
      <c r="B3565"/>
    </row>
    <row r="3566" spans="1:2">
      <c r="A3566"/>
      <c r="B3566"/>
    </row>
    <row r="3567" spans="1:2">
      <c r="A3567"/>
      <c r="B3567"/>
    </row>
    <row r="3568" spans="1:2">
      <c r="A3568"/>
      <c r="B3568"/>
    </row>
    <row r="3569" spans="1:2">
      <c r="A3569"/>
      <c r="B3569"/>
    </row>
    <row r="3570" spans="1:2">
      <c r="A3570"/>
      <c r="B3570"/>
    </row>
    <row r="3571" spans="1:2">
      <c r="A3571"/>
      <c r="B3571"/>
    </row>
    <row r="3572" spans="1:2">
      <c r="A3572"/>
      <c r="B3572"/>
    </row>
    <row r="3573" spans="1:2">
      <c r="A3573"/>
      <c r="B3573"/>
    </row>
    <row r="3574" spans="1:2">
      <c r="A3574"/>
      <c r="B3574"/>
    </row>
    <row r="3575" spans="1:2">
      <c r="A3575"/>
      <c r="B3575"/>
    </row>
    <row r="3576" spans="1:2">
      <c r="A3576"/>
      <c r="B3576"/>
    </row>
    <row r="3577" spans="1:2">
      <c r="A3577"/>
      <c r="B3577"/>
    </row>
    <row r="3578" spans="1:2">
      <c r="A3578"/>
      <c r="B3578"/>
    </row>
    <row r="3579" spans="1:2">
      <c r="A3579"/>
      <c r="B3579"/>
    </row>
    <row r="3580" spans="1:2">
      <c r="A3580"/>
      <c r="B3580"/>
    </row>
    <row r="3581" spans="1:2">
      <c r="A3581"/>
      <c r="B3581"/>
    </row>
    <row r="3582" spans="1:2">
      <c r="A3582"/>
      <c r="B3582"/>
    </row>
    <row r="3583" spans="1:2">
      <c r="A3583"/>
      <c r="B3583"/>
    </row>
    <row r="3584" spans="1:2">
      <c r="A3584"/>
      <c r="B3584"/>
    </row>
    <row r="3585" spans="1:2">
      <c r="A3585"/>
      <c r="B3585"/>
    </row>
    <row r="3586" spans="1:2">
      <c r="A3586"/>
      <c r="B3586"/>
    </row>
    <row r="3587" spans="1:2">
      <c r="A3587"/>
      <c r="B3587"/>
    </row>
    <row r="3588" spans="1:2">
      <c r="A3588"/>
      <c r="B3588"/>
    </row>
    <row r="3589" spans="1:2">
      <c r="A3589"/>
      <c r="B3589"/>
    </row>
    <row r="3590" spans="1:2">
      <c r="A3590"/>
      <c r="B3590"/>
    </row>
    <row r="3591" spans="1:2">
      <c r="A3591"/>
      <c r="B3591"/>
    </row>
    <row r="3592" spans="1:2">
      <c r="A3592"/>
      <c r="B3592"/>
    </row>
    <row r="3593" spans="1:2">
      <c r="A3593"/>
      <c r="B3593"/>
    </row>
    <row r="3594" spans="1:2">
      <c r="A3594"/>
      <c r="B3594"/>
    </row>
    <row r="3595" spans="1:2">
      <c r="A3595"/>
      <c r="B3595"/>
    </row>
    <row r="3596" spans="1:2">
      <c r="A3596"/>
      <c r="B3596"/>
    </row>
    <row r="3597" spans="1:2">
      <c r="A3597"/>
      <c r="B3597"/>
    </row>
    <row r="3598" spans="1:2">
      <c r="A3598"/>
      <c r="B3598"/>
    </row>
    <row r="3599" spans="1:2">
      <c r="A3599"/>
      <c r="B3599"/>
    </row>
    <row r="3600" spans="1:2">
      <c r="A3600"/>
      <c r="B3600"/>
    </row>
    <row r="3601" spans="1:2">
      <c r="A3601"/>
      <c r="B3601"/>
    </row>
    <row r="3602" spans="1:2">
      <c r="A3602"/>
      <c r="B3602"/>
    </row>
    <row r="3603" spans="1:2">
      <c r="A3603"/>
      <c r="B3603"/>
    </row>
    <row r="3604" spans="1:2">
      <c r="A3604"/>
      <c r="B3604"/>
    </row>
    <row r="3605" spans="1:2">
      <c r="A3605"/>
      <c r="B3605"/>
    </row>
    <row r="3606" spans="1:2">
      <c r="A3606"/>
      <c r="B3606"/>
    </row>
    <row r="3607" spans="1:2">
      <c r="A3607"/>
      <c r="B3607"/>
    </row>
    <row r="3608" spans="1:2">
      <c r="A3608"/>
      <c r="B3608"/>
    </row>
    <row r="3609" spans="1:2">
      <c r="A3609"/>
      <c r="B3609"/>
    </row>
    <row r="3610" spans="1:2">
      <c r="A3610"/>
      <c r="B3610"/>
    </row>
    <row r="3611" spans="1:2">
      <c r="A3611"/>
      <c r="B3611"/>
    </row>
    <row r="3612" spans="1:2">
      <c r="A3612"/>
      <c r="B3612"/>
    </row>
    <row r="3613" spans="1:2">
      <c r="A3613"/>
      <c r="B3613"/>
    </row>
    <row r="3614" spans="1:2">
      <c r="A3614"/>
      <c r="B3614"/>
    </row>
    <row r="3615" spans="1:2">
      <c r="A3615"/>
      <c r="B3615"/>
    </row>
    <row r="3616" spans="1:2">
      <c r="A3616"/>
      <c r="B3616"/>
    </row>
    <row r="3617" spans="1:2">
      <c r="A3617"/>
      <c r="B3617"/>
    </row>
    <row r="3618" spans="1:2">
      <c r="A3618"/>
      <c r="B3618"/>
    </row>
    <row r="3619" spans="1:2">
      <c r="A3619"/>
      <c r="B3619"/>
    </row>
    <row r="3620" spans="1:2">
      <c r="A3620"/>
      <c r="B3620"/>
    </row>
    <row r="3621" spans="1:2">
      <c r="A3621"/>
      <c r="B3621"/>
    </row>
    <row r="3622" spans="1:2">
      <c r="A3622"/>
      <c r="B3622"/>
    </row>
    <row r="3623" spans="1:2">
      <c r="A3623"/>
      <c r="B3623"/>
    </row>
    <row r="3624" spans="1:2">
      <c r="A3624"/>
      <c r="B3624"/>
    </row>
    <row r="3625" spans="1:2">
      <c r="A3625"/>
      <c r="B3625"/>
    </row>
    <row r="3626" spans="1:2">
      <c r="A3626"/>
      <c r="B3626"/>
    </row>
    <row r="3627" spans="1:2">
      <c r="A3627"/>
      <c r="B3627"/>
    </row>
    <row r="3628" spans="1:2">
      <c r="A3628"/>
      <c r="B3628"/>
    </row>
    <row r="3629" spans="1:2">
      <c r="A3629"/>
      <c r="B3629"/>
    </row>
    <row r="3630" spans="1:2">
      <c r="A3630"/>
      <c r="B3630"/>
    </row>
    <row r="3631" spans="1:2">
      <c r="A3631"/>
      <c r="B3631"/>
    </row>
    <row r="3632" spans="1:2">
      <c r="A3632"/>
      <c r="B3632"/>
    </row>
    <row r="3633" spans="1:2">
      <c r="A3633"/>
      <c r="B3633"/>
    </row>
    <row r="3634" spans="1:2">
      <c r="A3634"/>
      <c r="B3634"/>
    </row>
    <row r="3635" spans="1:2">
      <c r="A3635"/>
      <c r="B3635"/>
    </row>
    <row r="3636" spans="1:2">
      <c r="A3636"/>
      <c r="B3636"/>
    </row>
    <row r="3637" spans="1:2">
      <c r="A3637"/>
      <c r="B3637"/>
    </row>
    <row r="3638" spans="1:2">
      <c r="A3638"/>
      <c r="B3638"/>
    </row>
    <row r="3639" spans="1:2">
      <c r="A3639"/>
      <c r="B3639"/>
    </row>
    <row r="3640" spans="1:2">
      <c r="A3640"/>
      <c r="B3640"/>
    </row>
    <row r="3641" spans="1:2">
      <c r="A3641"/>
      <c r="B3641"/>
    </row>
    <row r="3642" spans="1:2">
      <c r="A3642"/>
      <c r="B3642"/>
    </row>
    <row r="3643" spans="1:2">
      <c r="A3643"/>
      <c r="B3643"/>
    </row>
    <row r="3644" spans="1:2">
      <c r="A3644"/>
      <c r="B3644"/>
    </row>
    <row r="3645" spans="1:2">
      <c r="A3645"/>
      <c r="B3645"/>
    </row>
    <row r="3646" spans="1:2">
      <c r="A3646"/>
      <c r="B3646"/>
    </row>
    <row r="3647" spans="1:2">
      <c r="A3647"/>
      <c r="B3647"/>
    </row>
    <row r="3648" spans="1:2">
      <c r="A3648"/>
      <c r="B3648"/>
    </row>
    <row r="3649" spans="1:2">
      <c r="A3649"/>
      <c r="B3649"/>
    </row>
    <row r="3650" spans="1:2">
      <c r="A3650"/>
      <c r="B3650"/>
    </row>
    <row r="3651" spans="1:2">
      <c r="A3651"/>
      <c r="B3651"/>
    </row>
    <row r="3652" spans="1:2">
      <c r="A3652"/>
      <c r="B3652"/>
    </row>
    <row r="3653" spans="1:2">
      <c r="A3653"/>
      <c r="B3653"/>
    </row>
    <row r="3654" spans="1:2">
      <c r="A3654"/>
      <c r="B3654"/>
    </row>
    <row r="3655" spans="1:2">
      <c r="A3655"/>
      <c r="B3655"/>
    </row>
    <row r="3656" spans="1:2">
      <c r="A3656"/>
      <c r="B3656"/>
    </row>
    <row r="3657" spans="1:2">
      <c r="A3657"/>
      <c r="B3657"/>
    </row>
    <row r="3658" spans="1:2">
      <c r="A3658"/>
      <c r="B3658"/>
    </row>
    <row r="3659" spans="1:2">
      <c r="A3659"/>
      <c r="B3659"/>
    </row>
    <row r="3660" spans="1:2">
      <c r="A3660"/>
      <c r="B3660"/>
    </row>
    <row r="3661" spans="1:2">
      <c r="A3661"/>
      <c r="B3661"/>
    </row>
    <row r="3662" spans="1:2">
      <c r="A3662"/>
      <c r="B3662"/>
    </row>
    <row r="3663" spans="1:2">
      <c r="A3663"/>
      <c r="B3663"/>
    </row>
    <row r="3664" spans="1:2">
      <c r="A3664"/>
      <c r="B3664"/>
    </row>
    <row r="3665" spans="1:2">
      <c r="A3665"/>
      <c r="B3665"/>
    </row>
    <row r="3666" spans="1:2">
      <c r="A3666"/>
      <c r="B3666"/>
    </row>
    <row r="3667" spans="1:2">
      <c r="A3667"/>
      <c r="B3667"/>
    </row>
    <row r="3668" spans="1:2">
      <c r="A3668"/>
      <c r="B3668"/>
    </row>
    <row r="3669" spans="1:2">
      <c r="A3669"/>
      <c r="B3669"/>
    </row>
    <row r="3670" spans="1:2">
      <c r="A3670"/>
      <c r="B3670"/>
    </row>
    <row r="3671" spans="1:2">
      <c r="A3671"/>
      <c r="B3671"/>
    </row>
    <row r="3672" spans="1:2">
      <c r="A3672"/>
      <c r="B3672"/>
    </row>
    <row r="3673" spans="1:2">
      <c r="A3673"/>
      <c r="B3673"/>
    </row>
    <row r="3674" spans="1:2">
      <c r="A3674"/>
      <c r="B3674"/>
    </row>
    <row r="3675" spans="1:2">
      <c r="A3675"/>
      <c r="B3675"/>
    </row>
    <row r="3676" spans="1:2">
      <c r="A3676"/>
      <c r="B3676"/>
    </row>
    <row r="3677" spans="1:2">
      <c r="A3677"/>
      <c r="B3677"/>
    </row>
    <row r="3678" spans="1:2">
      <c r="A3678"/>
      <c r="B3678"/>
    </row>
    <row r="3679" spans="1:2">
      <c r="A3679"/>
      <c r="B3679"/>
    </row>
    <row r="3680" spans="1:2">
      <c r="A3680"/>
      <c r="B3680"/>
    </row>
    <row r="3681" spans="1:2">
      <c r="A3681"/>
      <c r="B3681"/>
    </row>
    <row r="3682" spans="1:2">
      <c r="A3682"/>
      <c r="B3682"/>
    </row>
    <row r="3683" spans="1:2">
      <c r="A3683"/>
      <c r="B3683"/>
    </row>
    <row r="3684" spans="1:2">
      <c r="A3684"/>
      <c r="B3684"/>
    </row>
    <row r="3685" spans="1:2">
      <c r="A3685"/>
      <c r="B3685"/>
    </row>
    <row r="3686" spans="1:2">
      <c r="A3686"/>
      <c r="B3686"/>
    </row>
    <row r="3687" spans="1:2">
      <c r="A3687"/>
      <c r="B3687"/>
    </row>
    <row r="3688" spans="1:2">
      <c r="A3688"/>
      <c r="B3688"/>
    </row>
    <row r="3689" spans="1:2">
      <c r="A3689"/>
      <c r="B3689"/>
    </row>
    <row r="3690" spans="1:2">
      <c r="A3690"/>
      <c r="B3690"/>
    </row>
    <row r="3691" spans="1:2">
      <c r="A3691"/>
      <c r="B3691"/>
    </row>
    <row r="3692" spans="1:2">
      <c r="A3692"/>
      <c r="B3692"/>
    </row>
    <row r="3693" spans="1:2">
      <c r="A3693"/>
      <c r="B3693"/>
    </row>
    <row r="3694" spans="1:2">
      <c r="A3694"/>
      <c r="B3694"/>
    </row>
    <row r="3695" spans="1:2">
      <c r="A3695"/>
      <c r="B3695"/>
    </row>
    <row r="3696" spans="1:2">
      <c r="A3696"/>
      <c r="B3696"/>
    </row>
    <row r="3697" spans="1:2">
      <c r="A3697"/>
      <c r="B3697"/>
    </row>
    <row r="3698" spans="1:2">
      <c r="A3698"/>
      <c r="B3698"/>
    </row>
    <row r="3699" spans="1:2">
      <c r="A3699"/>
      <c r="B3699"/>
    </row>
    <row r="3700" spans="1:2">
      <c r="A3700"/>
      <c r="B3700"/>
    </row>
    <row r="3701" spans="1:2">
      <c r="A3701"/>
      <c r="B3701"/>
    </row>
    <row r="3702" spans="1:2">
      <c r="A3702"/>
      <c r="B3702"/>
    </row>
    <row r="3703" spans="1:2">
      <c r="A3703"/>
      <c r="B3703"/>
    </row>
    <row r="3704" spans="1:2">
      <c r="A3704"/>
      <c r="B3704"/>
    </row>
    <row r="3705" spans="1:2">
      <c r="A3705"/>
      <c r="B3705"/>
    </row>
    <row r="3706" spans="1:2">
      <c r="A3706"/>
      <c r="B3706"/>
    </row>
    <row r="3707" spans="1:2">
      <c r="A3707"/>
      <c r="B3707"/>
    </row>
    <row r="3708" spans="1:2">
      <c r="A3708"/>
      <c r="B3708"/>
    </row>
    <row r="3709" spans="1:2">
      <c r="A3709"/>
      <c r="B3709"/>
    </row>
    <row r="3710" spans="1:2">
      <c r="A3710"/>
      <c r="B3710"/>
    </row>
    <row r="3711" spans="1:2">
      <c r="A3711"/>
      <c r="B3711"/>
    </row>
    <row r="3712" spans="1:2">
      <c r="A3712"/>
      <c r="B3712"/>
    </row>
    <row r="3713" spans="1:2">
      <c r="A3713"/>
      <c r="B3713"/>
    </row>
    <row r="3714" spans="1:2">
      <c r="A3714"/>
      <c r="B3714"/>
    </row>
    <row r="3715" spans="1:2">
      <c r="A3715"/>
      <c r="B3715"/>
    </row>
    <row r="3716" spans="1:2">
      <c r="A3716"/>
      <c r="B3716"/>
    </row>
    <row r="3717" spans="1:2">
      <c r="A3717"/>
      <c r="B3717"/>
    </row>
    <row r="3718" spans="1:2">
      <c r="A3718"/>
      <c r="B3718"/>
    </row>
    <row r="3719" spans="1:2">
      <c r="A3719"/>
      <c r="B3719"/>
    </row>
    <row r="3720" spans="1:2">
      <c r="A3720"/>
      <c r="B3720"/>
    </row>
    <row r="3721" spans="1:2">
      <c r="A3721"/>
      <c r="B3721"/>
    </row>
    <row r="3722" spans="1:2">
      <c r="A3722"/>
      <c r="B3722"/>
    </row>
    <row r="3723" spans="1:2">
      <c r="A3723"/>
      <c r="B3723"/>
    </row>
    <row r="3724" spans="1:2">
      <c r="A3724"/>
      <c r="B3724"/>
    </row>
    <row r="3725" spans="1:2">
      <c r="A3725"/>
      <c r="B3725"/>
    </row>
    <row r="3726" spans="1:2">
      <c r="A3726"/>
      <c r="B3726"/>
    </row>
    <row r="3727" spans="1:2">
      <c r="A3727"/>
      <c r="B3727"/>
    </row>
    <row r="3728" spans="1:2">
      <c r="A3728"/>
      <c r="B3728"/>
    </row>
    <row r="3729" spans="1:2">
      <c r="A3729"/>
      <c r="B3729"/>
    </row>
    <row r="3730" spans="1:2">
      <c r="A3730"/>
      <c r="B3730"/>
    </row>
    <row r="3731" spans="1:2">
      <c r="A3731"/>
      <c r="B3731"/>
    </row>
    <row r="3732" spans="1:2">
      <c r="A3732"/>
      <c r="B3732"/>
    </row>
    <row r="3733" spans="1:2">
      <c r="A3733"/>
      <c r="B3733"/>
    </row>
    <row r="3734" spans="1:2">
      <c r="A3734"/>
      <c r="B3734"/>
    </row>
    <row r="3735" spans="1:2">
      <c r="A3735"/>
      <c r="B3735"/>
    </row>
    <row r="3736" spans="1:2">
      <c r="A3736"/>
      <c r="B3736"/>
    </row>
    <row r="3737" spans="1:2">
      <c r="A3737"/>
      <c r="B3737"/>
    </row>
    <row r="3738" spans="1:2">
      <c r="A3738"/>
      <c r="B3738"/>
    </row>
    <row r="3739" spans="1:2">
      <c r="A3739"/>
      <c r="B3739"/>
    </row>
    <row r="3740" spans="1:2">
      <c r="A3740"/>
      <c r="B3740"/>
    </row>
    <row r="3741" spans="1:2">
      <c r="A3741"/>
      <c r="B3741"/>
    </row>
    <row r="3742" spans="1:2">
      <c r="A3742"/>
      <c r="B3742"/>
    </row>
    <row r="3743" spans="1:2">
      <c r="A3743"/>
      <c r="B3743"/>
    </row>
    <row r="3744" spans="1:2">
      <c r="A3744"/>
      <c r="B3744"/>
    </row>
    <row r="3745" spans="1:2">
      <c r="A3745"/>
      <c r="B3745"/>
    </row>
    <row r="3746" spans="1:2">
      <c r="A3746"/>
      <c r="B3746"/>
    </row>
    <row r="3747" spans="1:2">
      <c r="A3747"/>
      <c r="B3747"/>
    </row>
    <row r="3748" spans="1:2">
      <c r="A3748"/>
      <c r="B3748"/>
    </row>
    <row r="3749" spans="1:2">
      <c r="A3749"/>
      <c r="B3749"/>
    </row>
    <row r="3750" spans="1:2">
      <c r="A3750"/>
      <c r="B3750"/>
    </row>
    <row r="3751" spans="1:2">
      <c r="A3751"/>
      <c r="B3751"/>
    </row>
    <row r="3752" spans="1:2">
      <c r="A3752"/>
      <c r="B3752"/>
    </row>
    <row r="3753" spans="1:2">
      <c r="A3753"/>
      <c r="B3753"/>
    </row>
    <row r="3754" spans="1:2">
      <c r="A3754"/>
      <c r="B3754"/>
    </row>
    <row r="3755" spans="1:2">
      <c r="A3755"/>
      <c r="B3755"/>
    </row>
    <row r="3756" spans="1:2">
      <c r="A3756"/>
      <c r="B3756"/>
    </row>
    <row r="3757" spans="1:2">
      <c r="A3757"/>
      <c r="B3757"/>
    </row>
    <row r="3758" spans="1:2">
      <c r="A3758"/>
      <c r="B3758"/>
    </row>
    <row r="3759" spans="1:2">
      <c r="A3759"/>
      <c r="B3759"/>
    </row>
    <row r="3760" spans="1:2">
      <c r="A3760"/>
      <c r="B3760"/>
    </row>
    <row r="3761" spans="1:2">
      <c r="A3761"/>
      <c r="B3761"/>
    </row>
    <row r="3762" spans="1:2">
      <c r="A3762"/>
      <c r="B3762"/>
    </row>
    <row r="3763" spans="1:2">
      <c r="A3763"/>
      <c r="B3763"/>
    </row>
    <row r="3764" spans="1:2">
      <c r="A3764"/>
      <c r="B3764"/>
    </row>
    <row r="3765" spans="1:2">
      <c r="A3765"/>
      <c r="B3765"/>
    </row>
    <row r="3766" spans="1:2">
      <c r="A3766"/>
      <c r="B3766"/>
    </row>
    <row r="3767" spans="1:2">
      <c r="A3767"/>
      <c r="B3767"/>
    </row>
    <row r="3768" spans="1:2">
      <c r="A3768"/>
      <c r="B3768"/>
    </row>
    <row r="3769" spans="1:2">
      <c r="A3769"/>
      <c r="B3769"/>
    </row>
    <row r="3770" spans="1:2">
      <c r="A3770"/>
      <c r="B3770"/>
    </row>
    <row r="3771" spans="1:2">
      <c r="A3771"/>
      <c r="B3771"/>
    </row>
    <row r="3772" spans="1:2">
      <c r="A3772"/>
      <c r="B3772"/>
    </row>
    <row r="3773" spans="1:2">
      <c r="A3773"/>
      <c r="B3773"/>
    </row>
    <row r="3774" spans="1:2">
      <c r="A3774"/>
      <c r="B3774"/>
    </row>
    <row r="3775" spans="1:2">
      <c r="A3775"/>
      <c r="B3775"/>
    </row>
    <row r="3776" spans="1:2">
      <c r="A3776"/>
      <c r="B3776"/>
    </row>
    <row r="3777" spans="1:2">
      <c r="A3777"/>
      <c r="B3777"/>
    </row>
    <row r="3778" spans="1:2">
      <c r="A3778"/>
      <c r="B3778"/>
    </row>
    <row r="3779" spans="1:2">
      <c r="A3779"/>
      <c r="B3779"/>
    </row>
    <row r="3780" spans="1:2">
      <c r="A3780"/>
      <c r="B3780"/>
    </row>
    <row r="3781" spans="1:2">
      <c r="A3781"/>
      <c r="B3781"/>
    </row>
    <row r="3782" spans="1:2">
      <c r="A3782"/>
      <c r="B3782"/>
    </row>
    <row r="3783" spans="1:2">
      <c r="A3783"/>
      <c r="B3783"/>
    </row>
    <row r="3784" spans="1:2">
      <c r="A3784"/>
      <c r="B3784"/>
    </row>
    <row r="3785" spans="1:2">
      <c r="A3785"/>
      <c r="B3785"/>
    </row>
    <row r="3786" spans="1:2">
      <c r="A3786"/>
      <c r="B3786"/>
    </row>
    <row r="3787" spans="1:2">
      <c r="A3787"/>
      <c r="B3787"/>
    </row>
    <row r="3788" spans="1:2">
      <c r="A3788"/>
      <c r="B3788"/>
    </row>
    <row r="3789" spans="1:2">
      <c r="A3789"/>
      <c r="B3789"/>
    </row>
    <row r="3790" spans="1:2">
      <c r="A3790"/>
      <c r="B3790"/>
    </row>
    <row r="3791" spans="1:2">
      <c r="A3791"/>
      <c r="B3791"/>
    </row>
    <row r="3792" spans="1:2">
      <c r="A3792"/>
      <c r="B3792"/>
    </row>
    <row r="3793" spans="1:2">
      <c r="A3793"/>
      <c r="B3793"/>
    </row>
    <row r="3794" spans="1:2">
      <c r="A3794"/>
      <c r="B3794"/>
    </row>
    <row r="3795" spans="1:2">
      <c r="A3795"/>
      <c r="B3795"/>
    </row>
    <row r="3796" spans="1:2">
      <c r="A3796"/>
      <c r="B3796"/>
    </row>
    <row r="3797" spans="1:2">
      <c r="A3797"/>
      <c r="B3797"/>
    </row>
    <row r="3798" spans="1:2">
      <c r="A3798"/>
      <c r="B3798"/>
    </row>
    <row r="3799" spans="1:2">
      <c r="A3799"/>
      <c r="B3799"/>
    </row>
    <row r="3800" spans="1:2">
      <c r="A3800"/>
      <c r="B3800"/>
    </row>
    <row r="3801" spans="1:2">
      <c r="A3801"/>
      <c r="B3801"/>
    </row>
    <row r="3802" spans="1:2">
      <c r="A3802"/>
      <c r="B3802"/>
    </row>
    <row r="3803" spans="1:2">
      <c r="A3803"/>
      <c r="B3803"/>
    </row>
    <row r="3804" spans="1:2">
      <c r="A3804"/>
      <c r="B3804"/>
    </row>
    <row r="3805" spans="1:2">
      <c r="A3805"/>
      <c r="B3805"/>
    </row>
    <row r="3806" spans="1:2">
      <c r="A3806"/>
      <c r="B3806"/>
    </row>
    <row r="3807" spans="1:2">
      <c r="A3807"/>
      <c r="B3807"/>
    </row>
    <row r="3808" spans="1:2">
      <c r="A3808"/>
      <c r="B3808"/>
    </row>
    <row r="3809" spans="1:2">
      <c r="A3809"/>
      <c r="B3809"/>
    </row>
    <row r="3810" spans="1:2">
      <c r="A3810"/>
      <c r="B3810"/>
    </row>
    <row r="3811" spans="1:2">
      <c r="A3811"/>
      <c r="B3811"/>
    </row>
    <row r="3812" spans="1:2">
      <c r="A3812"/>
      <c r="B3812"/>
    </row>
    <row r="3813" spans="1:2">
      <c r="A3813"/>
      <c r="B3813"/>
    </row>
    <row r="3814" spans="1:2">
      <c r="A3814"/>
      <c r="B3814"/>
    </row>
    <row r="3815" spans="1:2">
      <c r="A3815"/>
      <c r="B3815"/>
    </row>
    <row r="3816" spans="1:2">
      <c r="A3816"/>
      <c r="B3816"/>
    </row>
    <row r="3817" spans="1:2">
      <c r="A3817"/>
      <c r="B3817"/>
    </row>
    <row r="3818" spans="1:2">
      <c r="A3818"/>
      <c r="B3818"/>
    </row>
    <row r="3819" spans="1:2">
      <c r="A3819"/>
      <c r="B3819"/>
    </row>
    <row r="3820" spans="1:2">
      <c r="A3820"/>
      <c r="B3820"/>
    </row>
    <row r="3821" spans="1:2">
      <c r="A3821"/>
      <c r="B3821"/>
    </row>
    <row r="3822" spans="1:2">
      <c r="A3822"/>
      <c r="B3822"/>
    </row>
    <row r="3823" spans="1:2">
      <c r="A3823"/>
      <c r="B3823"/>
    </row>
    <row r="3824" spans="1:2">
      <c r="A3824"/>
      <c r="B3824"/>
    </row>
    <row r="3825" spans="1:2">
      <c r="A3825"/>
      <c r="B3825"/>
    </row>
    <row r="3826" spans="1:2">
      <c r="A3826"/>
      <c r="B3826"/>
    </row>
    <row r="3827" spans="1:2">
      <c r="A3827"/>
      <c r="B3827"/>
    </row>
    <row r="3828" spans="1:2">
      <c r="A3828"/>
      <c r="B3828"/>
    </row>
    <row r="3829" spans="1:2">
      <c r="A3829"/>
      <c r="B3829"/>
    </row>
    <row r="3830" spans="1:2">
      <c r="A3830"/>
      <c r="B3830"/>
    </row>
    <row r="3831" spans="1:2">
      <c r="A3831"/>
      <c r="B3831"/>
    </row>
    <row r="3832" spans="1:2">
      <c r="A3832"/>
      <c r="B3832"/>
    </row>
    <row r="3833" spans="1:2">
      <c r="A3833"/>
      <c r="B3833"/>
    </row>
    <row r="3834" spans="1:2">
      <c r="A3834"/>
      <c r="B3834"/>
    </row>
    <row r="3835" spans="1:2">
      <c r="A3835"/>
      <c r="B3835"/>
    </row>
    <row r="3836" spans="1:2">
      <c r="A3836"/>
      <c r="B3836"/>
    </row>
    <row r="3837" spans="1:2">
      <c r="A3837"/>
      <c r="B3837"/>
    </row>
    <row r="3838" spans="1:2">
      <c r="A3838"/>
      <c r="B3838"/>
    </row>
    <row r="3839" spans="1:2">
      <c r="A3839"/>
      <c r="B3839"/>
    </row>
    <row r="3840" spans="1:2">
      <c r="A3840"/>
      <c r="B3840"/>
    </row>
    <row r="3841" spans="1:2">
      <c r="A3841"/>
      <c r="B3841"/>
    </row>
    <row r="3842" spans="1:2">
      <c r="A3842"/>
      <c r="B3842"/>
    </row>
    <row r="3843" spans="1:2">
      <c r="A3843"/>
      <c r="B3843"/>
    </row>
    <row r="3844" spans="1:2">
      <c r="A3844"/>
      <c r="B3844"/>
    </row>
    <row r="3845" spans="1:2">
      <c r="A3845"/>
      <c r="B3845"/>
    </row>
    <row r="3846" spans="1:2">
      <c r="A3846"/>
      <c r="B3846"/>
    </row>
    <row r="3847" spans="1:2">
      <c r="A3847"/>
      <c r="B3847"/>
    </row>
    <row r="3848" spans="1:2">
      <c r="A3848"/>
      <c r="B3848"/>
    </row>
    <row r="3849" spans="1:2">
      <c r="A3849"/>
      <c r="B3849"/>
    </row>
    <row r="3850" spans="1:2">
      <c r="A3850"/>
      <c r="B3850"/>
    </row>
    <row r="3851" spans="1:2">
      <c r="A3851"/>
      <c r="B3851"/>
    </row>
    <row r="3852" spans="1:2">
      <c r="A3852"/>
      <c r="B3852"/>
    </row>
    <row r="3853" spans="1:2">
      <c r="A3853"/>
      <c r="B3853"/>
    </row>
    <row r="3854" spans="1:2">
      <c r="A3854"/>
      <c r="B3854"/>
    </row>
    <row r="3855" spans="1:2">
      <c r="A3855"/>
      <c r="B3855"/>
    </row>
    <row r="3856" spans="1:2">
      <c r="A3856"/>
      <c r="B3856"/>
    </row>
    <row r="3857" spans="1:2">
      <c r="A3857"/>
      <c r="B3857"/>
    </row>
    <row r="3858" spans="1:2">
      <c r="A3858"/>
      <c r="B3858"/>
    </row>
    <row r="3859" spans="1:2">
      <c r="A3859"/>
      <c r="B3859"/>
    </row>
    <row r="3860" spans="1:2">
      <c r="A3860"/>
      <c r="B3860"/>
    </row>
    <row r="3861" spans="1:2">
      <c r="A3861"/>
      <c r="B3861"/>
    </row>
    <row r="3862" spans="1:2">
      <c r="A3862"/>
      <c r="B3862"/>
    </row>
    <row r="3863" spans="1:2">
      <c r="A3863"/>
      <c r="B3863"/>
    </row>
    <row r="3864" spans="1:2">
      <c r="A3864"/>
      <c r="B3864"/>
    </row>
    <row r="3865" spans="1:2">
      <c r="A3865"/>
      <c r="B3865"/>
    </row>
    <row r="3866" spans="1:2">
      <c r="A3866"/>
      <c r="B3866"/>
    </row>
    <row r="3867" spans="1:2">
      <c r="A3867"/>
      <c r="B3867"/>
    </row>
    <row r="3868" spans="1:2">
      <c r="A3868"/>
      <c r="B3868"/>
    </row>
    <row r="3869" spans="1:2">
      <c r="A3869"/>
      <c r="B3869"/>
    </row>
    <row r="3870" spans="1:2">
      <c r="A3870"/>
      <c r="B3870"/>
    </row>
    <row r="3871" spans="1:2">
      <c r="A3871"/>
      <c r="B3871"/>
    </row>
    <row r="3872" spans="1:2">
      <c r="A3872"/>
      <c r="B3872"/>
    </row>
    <row r="3873" spans="1:2">
      <c r="A3873"/>
      <c r="B3873"/>
    </row>
    <row r="3874" spans="1:2">
      <c r="A3874"/>
      <c r="B3874"/>
    </row>
    <row r="3875" spans="1:2">
      <c r="A3875"/>
      <c r="B3875"/>
    </row>
    <row r="3876" spans="1:2">
      <c r="A3876"/>
      <c r="B3876"/>
    </row>
    <row r="3877" spans="1:2">
      <c r="A3877"/>
      <c r="B3877"/>
    </row>
    <row r="3878" spans="1:2">
      <c r="A3878"/>
      <c r="B3878"/>
    </row>
    <row r="3879" spans="1:2">
      <c r="A3879"/>
      <c r="B3879"/>
    </row>
    <row r="3880" spans="1:2">
      <c r="A3880"/>
      <c r="B3880"/>
    </row>
    <row r="3881" spans="1:2">
      <c r="A3881"/>
      <c r="B3881"/>
    </row>
    <row r="3882" spans="1:2">
      <c r="A3882"/>
      <c r="B3882"/>
    </row>
    <row r="3883" spans="1:2">
      <c r="A3883"/>
      <c r="B3883"/>
    </row>
    <row r="3884" spans="1:2">
      <c r="A3884"/>
      <c r="B3884"/>
    </row>
    <row r="3885" spans="1:2">
      <c r="A3885"/>
      <c r="B3885"/>
    </row>
    <row r="3886" spans="1:2">
      <c r="A3886"/>
      <c r="B3886"/>
    </row>
    <row r="3887" spans="1:2">
      <c r="A3887"/>
      <c r="B3887"/>
    </row>
    <row r="3888" spans="1:2">
      <c r="A3888"/>
      <c r="B3888"/>
    </row>
    <row r="3889" spans="1:2">
      <c r="A3889"/>
      <c r="B3889"/>
    </row>
    <row r="3890" spans="1:2">
      <c r="A3890"/>
      <c r="B3890"/>
    </row>
    <row r="3891" spans="1:2">
      <c r="A3891"/>
      <c r="B3891"/>
    </row>
    <row r="3892" spans="1:2">
      <c r="A3892"/>
      <c r="B3892"/>
    </row>
    <row r="3893" spans="1:2">
      <c r="A3893"/>
      <c r="B3893"/>
    </row>
    <row r="3894" spans="1:2">
      <c r="A3894"/>
      <c r="B3894"/>
    </row>
    <row r="3895" spans="1:2">
      <c r="A3895"/>
      <c r="B3895"/>
    </row>
    <row r="3896" spans="1:2">
      <c r="A3896"/>
      <c r="B3896"/>
    </row>
    <row r="3897" spans="1:2">
      <c r="A3897"/>
      <c r="B3897"/>
    </row>
    <row r="3898" spans="1:2">
      <c r="A3898"/>
      <c r="B3898"/>
    </row>
    <row r="3899" spans="1:2">
      <c r="A3899"/>
      <c r="B3899"/>
    </row>
    <row r="3900" spans="1:2">
      <c r="A3900"/>
      <c r="B3900"/>
    </row>
    <row r="3901" spans="1:2">
      <c r="A3901"/>
      <c r="B3901"/>
    </row>
    <row r="3902" spans="1:2">
      <c r="A3902"/>
      <c r="B3902"/>
    </row>
    <row r="3903" spans="1:2">
      <c r="A3903"/>
      <c r="B3903"/>
    </row>
    <row r="3904" spans="1:2">
      <c r="A3904"/>
      <c r="B3904"/>
    </row>
    <row r="3905" spans="1:2">
      <c r="A3905"/>
      <c r="B3905"/>
    </row>
    <row r="3906" spans="1:2">
      <c r="A3906"/>
      <c r="B3906"/>
    </row>
    <row r="3907" spans="1:2">
      <c r="A3907"/>
      <c r="B3907"/>
    </row>
    <row r="3908" spans="1:2">
      <c r="A3908"/>
      <c r="B3908"/>
    </row>
    <row r="3909" spans="1:2">
      <c r="A3909"/>
      <c r="B3909"/>
    </row>
    <row r="3910" spans="1:2">
      <c r="A3910"/>
      <c r="B3910"/>
    </row>
    <row r="3911" spans="1:2">
      <c r="A3911"/>
      <c r="B3911"/>
    </row>
    <row r="3912" spans="1:2">
      <c r="A3912"/>
      <c r="B3912"/>
    </row>
    <row r="3913" spans="1:2">
      <c r="A3913"/>
      <c r="B3913"/>
    </row>
    <row r="3914" spans="1:2">
      <c r="A3914"/>
      <c r="B3914"/>
    </row>
    <row r="3915" spans="1:2">
      <c r="A3915"/>
      <c r="B3915"/>
    </row>
    <row r="3916" spans="1:2">
      <c r="A3916"/>
      <c r="B3916"/>
    </row>
    <row r="3917" spans="1:2">
      <c r="A3917"/>
      <c r="B3917"/>
    </row>
    <row r="3918" spans="1:2">
      <c r="A3918"/>
      <c r="B3918"/>
    </row>
    <row r="3919" spans="1:2">
      <c r="A3919"/>
      <c r="B3919"/>
    </row>
    <row r="3920" spans="1:2">
      <c r="A3920"/>
      <c r="B3920"/>
    </row>
    <row r="3921" spans="1:2">
      <c r="A3921"/>
      <c r="B3921"/>
    </row>
    <row r="3922" spans="1:2">
      <c r="A3922"/>
      <c r="B3922"/>
    </row>
    <row r="3923" spans="1:2">
      <c r="A3923"/>
      <c r="B3923"/>
    </row>
    <row r="3924" spans="1:2">
      <c r="A3924"/>
      <c r="B3924"/>
    </row>
    <row r="3925" spans="1:2">
      <c r="A3925"/>
      <c r="B3925"/>
    </row>
    <row r="3926" spans="1:2">
      <c r="A3926"/>
      <c r="B3926"/>
    </row>
    <row r="3927" spans="1:2">
      <c r="A3927"/>
      <c r="B3927"/>
    </row>
    <row r="3928" spans="1:2">
      <c r="A3928"/>
      <c r="B3928"/>
    </row>
    <row r="3929" spans="1:2">
      <c r="A3929"/>
      <c r="B3929"/>
    </row>
    <row r="3930" spans="1:2">
      <c r="A3930"/>
      <c r="B3930"/>
    </row>
    <row r="3931" spans="1:2">
      <c r="A3931"/>
      <c r="B3931"/>
    </row>
    <row r="3932" spans="1:2">
      <c r="A3932"/>
      <c r="B3932"/>
    </row>
    <row r="3933" spans="1:2">
      <c r="A3933"/>
      <c r="B3933"/>
    </row>
    <row r="3934" spans="1:2">
      <c r="A3934"/>
      <c r="B3934"/>
    </row>
    <row r="3935" spans="1:2">
      <c r="A3935"/>
      <c r="B3935"/>
    </row>
    <row r="3936" spans="1:2">
      <c r="A3936"/>
      <c r="B3936"/>
    </row>
    <row r="3937" spans="1:2">
      <c r="A3937"/>
      <c r="B3937"/>
    </row>
    <row r="3938" spans="1:2">
      <c r="A3938"/>
      <c r="B3938"/>
    </row>
    <row r="3939" spans="1:2">
      <c r="A3939"/>
      <c r="B3939"/>
    </row>
    <row r="3940" spans="1:2">
      <c r="A3940"/>
      <c r="B3940"/>
    </row>
    <row r="3941" spans="1:2">
      <c r="A3941"/>
      <c r="B3941"/>
    </row>
    <row r="3942" spans="1:2">
      <c r="A3942"/>
      <c r="B3942"/>
    </row>
    <row r="3943" spans="1:2">
      <c r="A3943"/>
      <c r="B3943"/>
    </row>
    <row r="3944" spans="1:2">
      <c r="A3944"/>
      <c r="B3944"/>
    </row>
    <row r="3945" spans="1:2">
      <c r="A3945"/>
      <c r="B3945"/>
    </row>
    <row r="3946" spans="1:2">
      <c r="A3946"/>
      <c r="B3946"/>
    </row>
    <row r="3947" spans="1:2">
      <c r="A3947"/>
      <c r="B3947"/>
    </row>
    <row r="3948" spans="1:2">
      <c r="A3948"/>
      <c r="B3948"/>
    </row>
    <row r="3949" spans="1:2">
      <c r="A3949"/>
      <c r="B3949"/>
    </row>
    <row r="3950" spans="1:2">
      <c r="A3950"/>
      <c r="B3950"/>
    </row>
    <row r="3951" spans="1:2">
      <c r="A3951"/>
      <c r="B3951"/>
    </row>
    <row r="3952" spans="1:2">
      <c r="A3952"/>
      <c r="B3952"/>
    </row>
    <row r="3953" spans="1:2">
      <c r="A3953"/>
      <c r="B3953"/>
    </row>
    <row r="3954" spans="1:2">
      <c r="A3954"/>
      <c r="B3954"/>
    </row>
    <row r="3955" spans="1:2">
      <c r="A3955"/>
      <c r="B3955"/>
    </row>
    <row r="3956" spans="1:2">
      <c r="A3956"/>
      <c r="B3956"/>
    </row>
    <row r="3957" spans="1:2">
      <c r="A3957"/>
      <c r="B3957"/>
    </row>
    <row r="3958" spans="1:2">
      <c r="A3958"/>
      <c r="B3958"/>
    </row>
    <row r="3959" spans="1:2">
      <c r="A3959"/>
      <c r="B3959"/>
    </row>
    <row r="3960" spans="1:2">
      <c r="A3960"/>
      <c r="B3960"/>
    </row>
    <row r="3961" spans="1:2">
      <c r="A3961"/>
      <c r="B3961"/>
    </row>
    <row r="3962" spans="1:2">
      <c r="A3962"/>
      <c r="B3962"/>
    </row>
    <row r="3963" spans="1:2">
      <c r="A3963"/>
      <c r="B3963"/>
    </row>
    <row r="3964" spans="1:2">
      <c r="A3964"/>
      <c r="B3964"/>
    </row>
    <row r="3965" spans="1:2">
      <c r="A3965"/>
      <c r="B3965"/>
    </row>
    <row r="3966" spans="1:2">
      <c r="A3966"/>
      <c r="B3966"/>
    </row>
    <row r="3967" spans="1:2">
      <c r="A3967"/>
      <c r="B3967"/>
    </row>
    <row r="3968" spans="1:2">
      <c r="A3968"/>
      <c r="B3968"/>
    </row>
    <row r="3969" spans="1:2">
      <c r="A3969"/>
      <c r="B3969"/>
    </row>
    <row r="3970" spans="1:2">
      <c r="A3970"/>
      <c r="B3970"/>
    </row>
    <row r="3971" spans="1:2">
      <c r="A3971"/>
      <c r="B3971"/>
    </row>
    <row r="3972" spans="1:2">
      <c r="A3972"/>
      <c r="B3972"/>
    </row>
    <row r="3973" spans="1:2">
      <c r="A3973"/>
      <c r="B3973"/>
    </row>
    <row r="3974" spans="1:2">
      <c r="A3974"/>
      <c r="B3974"/>
    </row>
    <row r="3975" spans="1:2">
      <c r="A3975"/>
      <c r="B3975"/>
    </row>
    <row r="3976" spans="1:2">
      <c r="A3976"/>
      <c r="B3976"/>
    </row>
    <row r="3977" spans="1:2">
      <c r="A3977"/>
      <c r="B3977"/>
    </row>
    <row r="3978" spans="1:2">
      <c r="A3978"/>
      <c r="B3978"/>
    </row>
    <row r="3979" spans="1:2">
      <c r="A3979"/>
      <c r="B3979"/>
    </row>
    <row r="3980" spans="1:2">
      <c r="A3980"/>
      <c r="B3980"/>
    </row>
    <row r="3981" spans="1:2">
      <c r="A3981"/>
      <c r="B3981"/>
    </row>
    <row r="3982" spans="1:2">
      <c r="A3982"/>
      <c r="B3982"/>
    </row>
    <row r="3983" spans="1:2">
      <c r="A3983"/>
      <c r="B3983"/>
    </row>
    <row r="3984" spans="1:2">
      <c r="A3984"/>
      <c r="B3984"/>
    </row>
    <row r="3985" spans="1:2">
      <c r="A3985"/>
      <c r="B3985"/>
    </row>
    <row r="3986" spans="1:2">
      <c r="A3986"/>
      <c r="B3986"/>
    </row>
    <row r="3987" spans="1:2">
      <c r="A3987"/>
      <c r="B3987"/>
    </row>
    <row r="3988" spans="1:2">
      <c r="A3988"/>
      <c r="B3988"/>
    </row>
    <row r="3989" spans="1:2">
      <c r="A3989"/>
      <c r="B3989"/>
    </row>
    <row r="3990" spans="1:2">
      <c r="A3990"/>
      <c r="B3990"/>
    </row>
    <row r="3991" spans="1:2">
      <c r="A3991"/>
      <c r="B3991"/>
    </row>
    <row r="3992" spans="1:2">
      <c r="A3992"/>
      <c r="B3992"/>
    </row>
    <row r="3993" spans="1:2">
      <c r="A3993"/>
      <c r="B3993"/>
    </row>
    <row r="3994" spans="1:2">
      <c r="A3994"/>
      <c r="B3994"/>
    </row>
    <row r="3995" spans="1:2">
      <c r="A3995"/>
      <c r="B3995"/>
    </row>
    <row r="3996" spans="1:2">
      <c r="A3996"/>
      <c r="B3996"/>
    </row>
    <row r="3997" spans="1:2">
      <c r="A3997"/>
      <c r="B3997"/>
    </row>
    <row r="3998" spans="1:2">
      <c r="A3998"/>
      <c r="B3998"/>
    </row>
    <row r="3999" spans="1:2">
      <c r="A3999"/>
      <c r="B3999"/>
    </row>
    <row r="4000" spans="1:2">
      <c r="A4000"/>
      <c r="B4000"/>
    </row>
    <row r="4001" spans="1:2">
      <c r="A4001"/>
      <c r="B4001"/>
    </row>
    <row r="4002" spans="1:2">
      <c r="A4002"/>
      <c r="B4002"/>
    </row>
    <row r="4003" spans="1:2">
      <c r="A4003"/>
      <c r="B4003"/>
    </row>
    <row r="4004" spans="1:2">
      <c r="A4004"/>
      <c r="B4004"/>
    </row>
    <row r="4005" spans="1:2">
      <c r="A4005"/>
      <c r="B4005"/>
    </row>
    <row r="4006" spans="1:2">
      <c r="A4006"/>
      <c r="B4006"/>
    </row>
    <row r="4007" spans="1:2">
      <c r="A4007"/>
      <c r="B4007"/>
    </row>
    <row r="4008" spans="1:2">
      <c r="A4008"/>
      <c r="B4008"/>
    </row>
    <row r="4009" spans="1:2">
      <c r="A4009"/>
      <c r="B4009"/>
    </row>
    <row r="4010" spans="1:2">
      <c r="A4010"/>
      <c r="B4010"/>
    </row>
    <row r="4011" spans="1:2">
      <c r="A4011"/>
      <c r="B4011"/>
    </row>
    <row r="4012" spans="1:2">
      <c r="A4012"/>
      <c r="B4012"/>
    </row>
    <row r="4013" spans="1:2">
      <c r="A4013"/>
      <c r="B4013"/>
    </row>
    <row r="4014" spans="1:2">
      <c r="A4014"/>
      <c r="B4014"/>
    </row>
    <row r="4015" spans="1:2">
      <c r="A4015"/>
      <c r="B4015"/>
    </row>
    <row r="4016" spans="1:2">
      <c r="A4016"/>
      <c r="B4016"/>
    </row>
    <row r="4017" spans="1:2">
      <c r="A4017"/>
      <c r="B4017"/>
    </row>
    <row r="4018" spans="1:2">
      <c r="A4018"/>
      <c r="B4018"/>
    </row>
    <row r="4019" spans="1:2">
      <c r="A4019"/>
      <c r="B4019"/>
    </row>
    <row r="4020" spans="1:2">
      <c r="A4020"/>
      <c r="B4020"/>
    </row>
    <row r="4021" spans="1:2">
      <c r="A4021"/>
      <c r="B4021"/>
    </row>
    <row r="4022" spans="1:2">
      <c r="A4022"/>
      <c r="B4022"/>
    </row>
    <row r="4023" spans="1:2">
      <c r="A4023"/>
      <c r="B4023"/>
    </row>
    <row r="4024" spans="1:2">
      <c r="A4024"/>
      <c r="B4024"/>
    </row>
    <row r="4025" spans="1:2">
      <c r="A4025"/>
      <c r="B4025"/>
    </row>
    <row r="4026" spans="1:2">
      <c r="A4026"/>
      <c r="B4026"/>
    </row>
    <row r="4027" spans="1:2">
      <c r="A4027"/>
      <c r="B4027"/>
    </row>
    <row r="4028" spans="1:2">
      <c r="A4028"/>
      <c r="B4028"/>
    </row>
    <row r="4029" spans="1:2">
      <c r="A4029"/>
      <c r="B4029"/>
    </row>
    <row r="4030" spans="1:2">
      <c r="A4030"/>
      <c r="B4030"/>
    </row>
    <row r="4031" spans="1:2">
      <c r="A4031"/>
      <c r="B4031"/>
    </row>
    <row r="4032" spans="1:2">
      <c r="A4032"/>
      <c r="B4032"/>
    </row>
    <row r="4033" spans="1:2">
      <c r="A4033"/>
      <c r="B4033"/>
    </row>
    <row r="4034" spans="1:2">
      <c r="A4034"/>
      <c r="B4034"/>
    </row>
    <row r="4035" spans="1:2">
      <c r="A4035"/>
      <c r="B4035"/>
    </row>
    <row r="4036" spans="1:2">
      <c r="A4036"/>
      <c r="B4036"/>
    </row>
    <row r="4037" spans="1:2">
      <c r="A4037"/>
      <c r="B4037"/>
    </row>
    <row r="4038" spans="1:2">
      <c r="A4038"/>
      <c r="B4038"/>
    </row>
    <row r="4039" spans="1:2">
      <c r="A4039"/>
      <c r="B4039"/>
    </row>
    <row r="4040" spans="1:2">
      <c r="A4040"/>
      <c r="B4040"/>
    </row>
    <row r="4041" spans="1:2">
      <c r="A4041"/>
      <c r="B4041"/>
    </row>
    <row r="4042" spans="1:2">
      <c r="A4042"/>
      <c r="B4042"/>
    </row>
    <row r="4043" spans="1:2">
      <c r="A4043"/>
      <c r="B4043"/>
    </row>
    <row r="4044" spans="1:2">
      <c r="A4044"/>
      <c r="B4044"/>
    </row>
    <row r="4045" spans="1:2">
      <c r="A4045"/>
      <c r="B4045"/>
    </row>
    <row r="4046" spans="1:2">
      <c r="A4046"/>
      <c r="B4046"/>
    </row>
    <row r="4047" spans="1:2">
      <c r="A4047"/>
      <c r="B4047"/>
    </row>
    <row r="4048" spans="1:2">
      <c r="A4048"/>
      <c r="B4048"/>
    </row>
    <row r="4049" spans="1:2">
      <c r="A4049"/>
      <c r="B4049"/>
    </row>
    <row r="4050" spans="1:2">
      <c r="A4050"/>
      <c r="B4050"/>
    </row>
    <row r="4051" spans="1:2">
      <c r="A4051"/>
      <c r="B4051"/>
    </row>
    <row r="4052" spans="1:2">
      <c r="A4052"/>
      <c r="B4052"/>
    </row>
    <row r="4053" spans="1:2">
      <c r="A4053"/>
      <c r="B4053"/>
    </row>
    <row r="4054" spans="1:2">
      <c r="A4054"/>
      <c r="B4054"/>
    </row>
    <row r="4055" spans="1:2">
      <c r="A4055"/>
      <c r="B4055"/>
    </row>
    <row r="4056" spans="1:2">
      <c r="A4056"/>
      <c r="B4056"/>
    </row>
    <row r="4057" spans="1:2">
      <c r="A4057"/>
      <c r="B4057"/>
    </row>
    <row r="4058" spans="1:2">
      <c r="A4058"/>
      <c r="B4058"/>
    </row>
    <row r="4059" spans="1:2">
      <c r="A4059"/>
      <c r="B4059"/>
    </row>
    <row r="4060" spans="1:2">
      <c r="A4060"/>
      <c r="B4060"/>
    </row>
    <row r="4061" spans="1:2">
      <c r="A4061"/>
      <c r="B4061"/>
    </row>
    <row r="4062" spans="1:2">
      <c r="A4062"/>
      <c r="B4062"/>
    </row>
    <row r="4063" spans="1:2">
      <c r="A4063"/>
      <c r="B4063"/>
    </row>
    <row r="4064" spans="1:2">
      <c r="A4064"/>
      <c r="B4064"/>
    </row>
    <row r="4065" spans="1:2">
      <c r="A4065"/>
      <c r="B4065"/>
    </row>
    <row r="4066" spans="1:2">
      <c r="A4066"/>
      <c r="B4066"/>
    </row>
    <row r="4067" spans="1:2">
      <c r="A4067"/>
      <c r="B4067"/>
    </row>
    <row r="4068" spans="1:2">
      <c r="A4068"/>
      <c r="B4068"/>
    </row>
    <row r="4069" spans="1:2">
      <c r="A4069"/>
      <c r="B4069"/>
    </row>
    <row r="4070" spans="1:2">
      <c r="A4070"/>
      <c r="B4070"/>
    </row>
    <row r="4071" spans="1:2">
      <c r="A4071"/>
      <c r="B4071"/>
    </row>
    <row r="4072" spans="1:2">
      <c r="A4072"/>
      <c r="B4072"/>
    </row>
    <row r="4073" spans="1:2">
      <c r="A4073"/>
      <c r="B4073"/>
    </row>
    <row r="4074" spans="1:2">
      <c r="A4074"/>
      <c r="B4074"/>
    </row>
    <row r="4075" spans="1:2">
      <c r="A4075"/>
      <c r="B4075"/>
    </row>
    <row r="4076" spans="1:2">
      <c r="A4076"/>
      <c r="B4076"/>
    </row>
    <row r="4077" spans="1:2">
      <c r="A4077"/>
      <c r="B4077"/>
    </row>
    <row r="4078" spans="1:2">
      <c r="A4078"/>
      <c r="B4078"/>
    </row>
    <row r="4079" spans="1:2">
      <c r="A4079"/>
      <c r="B4079"/>
    </row>
    <row r="4080" spans="1:2">
      <c r="A4080"/>
      <c r="B4080"/>
    </row>
    <row r="4081" spans="1:2">
      <c r="A4081"/>
      <c r="B4081"/>
    </row>
    <row r="4082" spans="1:2">
      <c r="A4082"/>
      <c r="B4082"/>
    </row>
    <row r="4083" spans="1:2">
      <c r="A4083"/>
      <c r="B4083"/>
    </row>
    <row r="4084" spans="1:2">
      <c r="A4084"/>
      <c r="B4084"/>
    </row>
    <row r="4085" spans="1:2">
      <c r="A4085"/>
      <c r="B4085"/>
    </row>
    <row r="4086" spans="1:2">
      <c r="A4086"/>
      <c r="B4086"/>
    </row>
    <row r="4087" spans="1:2">
      <c r="A4087"/>
      <c r="B4087"/>
    </row>
    <row r="4088" spans="1:2">
      <c r="A4088"/>
      <c r="B4088"/>
    </row>
    <row r="4089" spans="1:2">
      <c r="A4089"/>
      <c r="B4089"/>
    </row>
    <row r="4090" spans="1:2">
      <c r="A4090"/>
      <c r="B4090"/>
    </row>
    <row r="4091" spans="1:2">
      <c r="A4091"/>
      <c r="B4091"/>
    </row>
    <row r="4092" spans="1:2">
      <c r="A4092"/>
      <c r="B4092"/>
    </row>
    <row r="4093" spans="1:2">
      <c r="A4093"/>
      <c r="B4093"/>
    </row>
    <row r="4094" spans="1:2">
      <c r="A4094"/>
      <c r="B4094"/>
    </row>
    <row r="4095" spans="1:2">
      <c r="A4095"/>
      <c r="B4095"/>
    </row>
    <row r="4096" spans="1:2">
      <c r="A4096"/>
      <c r="B4096"/>
    </row>
    <row r="4097" spans="1:2">
      <c r="A4097"/>
      <c r="B4097"/>
    </row>
    <row r="4098" spans="1:2">
      <c r="A4098"/>
      <c r="B4098"/>
    </row>
    <row r="4099" spans="1:2">
      <c r="A4099"/>
      <c r="B4099"/>
    </row>
    <row r="4100" spans="1:2">
      <c r="A4100"/>
      <c r="B4100"/>
    </row>
    <row r="4101" spans="1:2">
      <c r="A4101"/>
      <c r="B4101"/>
    </row>
    <row r="4102" spans="1:2">
      <c r="A4102"/>
      <c r="B4102"/>
    </row>
    <row r="4103" spans="1:2">
      <c r="A4103"/>
      <c r="B4103"/>
    </row>
    <row r="4104" spans="1:2">
      <c r="A4104"/>
      <c r="B4104"/>
    </row>
    <row r="4105" spans="1:2">
      <c r="A4105"/>
      <c r="B4105"/>
    </row>
    <row r="4106" spans="1:2">
      <c r="A4106"/>
      <c r="B4106"/>
    </row>
    <row r="4107" spans="1:2">
      <c r="A4107"/>
      <c r="B4107"/>
    </row>
    <row r="4108" spans="1:2">
      <c r="A4108"/>
      <c r="B4108"/>
    </row>
    <row r="4109" spans="1:2">
      <c r="A4109"/>
      <c r="B4109"/>
    </row>
    <row r="4110" spans="1:2">
      <c r="A4110"/>
      <c r="B4110"/>
    </row>
    <row r="4111" spans="1:2">
      <c r="A4111"/>
      <c r="B4111"/>
    </row>
    <row r="4112" spans="1:2">
      <c r="A4112"/>
      <c r="B4112"/>
    </row>
    <row r="4113" spans="1:2">
      <c r="A4113"/>
      <c r="B4113"/>
    </row>
    <row r="4114" spans="1:2">
      <c r="A4114"/>
      <c r="B4114"/>
    </row>
    <row r="4115" spans="1:2">
      <c r="A4115"/>
      <c r="B4115"/>
    </row>
    <row r="4116" spans="1:2">
      <c r="A4116"/>
      <c r="B4116"/>
    </row>
    <row r="4117" spans="1:2">
      <c r="A4117"/>
      <c r="B4117"/>
    </row>
    <row r="4118" spans="1:2">
      <c r="A4118"/>
      <c r="B4118"/>
    </row>
    <row r="4119" spans="1:2">
      <c r="A4119"/>
      <c r="B4119"/>
    </row>
    <row r="4120" spans="1:2">
      <c r="A4120"/>
      <c r="B4120"/>
    </row>
    <row r="4121" spans="1:2">
      <c r="A4121"/>
      <c r="B4121"/>
    </row>
    <row r="4122" spans="1:2">
      <c r="A4122"/>
      <c r="B4122"/>
    </row>
    <row r="4123" spans="1:2">
      <c r="A4123"/>
      <c r="B4123"/>
    </row>
    <row r="4124" spans="1:2">
      <c r="A4124"/>
      <c r="B4124"/>
    </row>
    <row r="4125" spans="1:2">
      <c r="A4125"/>
      <c r="B4125"/>
    </row>
    <row r="4126" spans="1:2">
      <c r="A4126"/>
      <c r="B4126"/>
    </row>
    <row r="4127" spans="1:2">
      <c r="A4127"/>
      <c r="B4127"/>
    </row>
    <row r="4128" spans="1:2">
      <c r="A4128"/>
      <c r="B4128"/>
    </row>
    <row r="4129" spans="1:2">
      <c r="A4129"/>
      <c r="B4129"/>
    </row>
    <row r="4130" spans="1:2">
      <c r="A4130"/>
      <c r="B4130"/>
    </row>
    <row r="4131" spans="1:2">
      <c r="A4131"/>
      <c r="B4131"/>
    </row>
    <row r="4132" spans="1:2">
      <c r="A4132"/>
      <c r="B4132"/>
    </row>
    <row r="4133" spans="1:2">
      <c r="A4133"/>
      <c r="B4133"/>
    </row>
    <row r="4134" spans="1:2">
      <c r="A4134"/>
      <c r="B4134"/>
    </row>
    <row r="4135" spans="1:2">
      <c r="A4135"/>
      <c r="B4135"/>
    </row>
    <row r="4136" spans="1:2">
      <c r="A4136"/>
      <c r="B4136"/>
    </row>
    <row r="4137" spans="1:2">
      <c r="A4137"/>
      <c r="B4137"/>
    </row>
    <row r="4138" spans="1:2">
      <c r="A4138"/>
      <c r="B4138"/>
    </row>
    <row r="4139" spans="1:2">
      <c r="A4139"/>
      <c r="B4139"/>
    </row>
    <row r="4140" spans="1:2">
      <c r="A4140"/>
      <c r="B4140"/>
    </row>
    <row r="4141" spans="1:2">
      <c r="A4141"/>
      <c r="B4141"/>
    </row>
    <row r="4142" spans="1:2">
      <c r="A4142"/>
      <c r="B4142"/>
    </row>
    <row r="4143" spans="1:2">
      <c r="A4143"/>
      <c r="B4143"/>
    </row>
    <row r="4144" spans="1:2">
      <c r="A4144"/>
      <c r="B4144"/>
    </row>
    <row r="4145" spans="1:2">
      <c r="A4145"/>
      <c r="B4145"/>
    </row>
    <row r="4146" spans="1:2">
      <c r="A4146"/>
      <c r="B4146"/>
    </row>
    <row r="4147" spans="1:2">
      <c r="A4147"/>
      <c r="B4147"/>
    </row>
    <row r="4148" spans="1:2">
      <c r="A4148"/>
      <c r="B4148"/>
    </row>
    <row r="4149" spans="1:2">
      <c r="A4149"/>
      <c r="B4149"/>
    </row>
    <row r="4150" spans="1:2">
      <c r="A4150"/>
      <c r="B4150"/>
    </row>
    <row r="4151" spans="1:2">
      <c r="A4151"/>
      <c r="B4151"/>
    </row>
    <row r="4152" spans="1:2">
      <c r="A4152"/>
      <c r="B4152"/>
    </row>
    <row r="4153" spans="1:2">
      <c r="A4153"/>
      <c r="B4153"/>
    </row>
    <row r="4154" spans="1:2">
      <c r="A4154"/>
      <c r="B4154"/>
    </row>
    <row r="4155" spans="1:2">
      <c r="A4155"/>
      <c r="B4155"/>
    </row>
    <row r="4156" spans="1:2">
      <c r="A4156"/>
      <c r="B4156"/>
    </row>
    <row r="4157" spans="1:2">
      <c r="A4157"/>
      <c r="B4157"/>
    </row>
    <row r="4158" spans="1:2">
      <c r="A4158"/>
      <c r="B4158"/>
    </row>
    <row r="4159" spans="1:2">
      <c r="A4159"/>
      <c r="B4159"/>
    </row>
    <row r="4160" spans="1:2">
      <c r="A4160"/>
      <c r="B4160"/>
    </row>
    <row r="4161" spans="1:2">
      <c r="A4161"/>
      <c r="B4161"/>
    </row>
    <row r="4162" spans="1:2">
      <c r="A4162"/>
      <c r="B4162"/>
    </row>
    <row r="4163" spans="1:2">
      <c r="A4163"/>
      <c r="B4163"/>
    </row>
    <row r="4164" spans="1:2">
      <c r="A4164"/>
      <c r="B4164"/>
    </row>
    <row r="4165" spans="1:2">
      <c r="A4165"/>
      <c r="B4165"/>
    </row>
    <row r="4166" spans="1:2">
      <c r="A4166"/>
      <c r="B4166"/>
    </row>
    <row r="4167" spans="1:2">
      <c r="A4167"/>
      <c r="B4167"/>
    </row>
    <row r="4168" spans="1:2">
      <c r="A4168"/>
      <c r="B4168"/>
    </row>
    <row r="4169" spans="1:2">
      <c r="A4169"/>
      <c r="B4169"/>
    </row>
    <row r="4170" spans="1:2">
      <c r="A4170"/>
      <c r="B4170"/>
    </row>
    <row r="4171" spans="1:2">
      <c r="A4171"/>
      <c r="B4171"/>
    </row>
    <row r="4172" spans="1:2">
      <c r="A4172"/>
      <c r="B4172"/>
    </row>
    <row r="4173" spans="1:2">
      <c r="A4173"/>
      <c r="B4173"/>
    </row>
    <row r="4174" spans="1:2">
      <c r="A4174"/>
      <c r="B4174"/>
    </row>
    <row r="4175" spans="1:2">
      <c r="A4175"/>
      <c r="B4175"/>
    </row>
    <row r="4176" spans="1:2">
      <c r="A4176"/>
      <c r="B4176"/>
    </row>
    <row r="4177" spans="1:2">
      <c r="A4177"/>
      <c r="B4177"/>
    </row>
    <row r="4178" spans="1:2">
      <c r="A4178"/>
      <c r="B4178"/>
    </row>
    <row r="4179" spans="1:2">
      <c r="A4179"/>
      <c r="B4179"/>
    </row>
    <row r="4180" spans="1:2">
      <c r="A4180"/>
      <c r="B4180"/>
    </row>
    <row r="4181" spans="1:2">
      <c r="A4181"/>
      <c r="B4181"/>
    </row>
    <row r="4182" spans="1:2">
      <c r="A4182"/>
      <c r="B4182"/>
    </row>
    <row r="4183" spans="1:2">
      <c r="A4183"/>
      <c r="B4183"/>
    </row>
    <row r="4184" spans="1:2">
      <c r="A4184"/>
      <c r="B4184"/>
    </row>
    <row r="4185" spans="1:2">
      <c r="A4185"/>
      <c r="B4185"/>
    </row>
    <row r="4186" spans="1:2">
      <c r="A4186"/>
      <c r="B4186"/>
    </row>
    <row r="4187" spans="1:2">
      <c r="A4187"/>
      <c r="B4187"/>
    </row>
    <row r="4188" spans="1:2">
      <c r="A4188"/>
      <c r="B4188"/>
    </row>
    <row r="4189" spans="1:2">
      <c r="A4189"/>
      <c r="B4189"/>
    </row>
    <row r="4190" spans="1:2">
      <c r="A4190"/>
      <c r="B4190"/>
    </row>
    <row r="4191" spans="1:2">
      <c r="A4191"/>
      <c r="B4191"/>
    </row>
    <row r="4192" spans="1:2">
      <c r="A4192"/>
      <c r="B4192"/>
    </row>
    <row r="4193" spans="1:2">
      <c r="A4193"/>
      <c r="B4193"/>
    </row>
    <row r="4194" spans="1:2">
      <c r="A4194"/>
      <c r="B4194"/>
    </row>
    <row r="4195" spans="1:2">
      <c r="A4195"/>
      <c r="B4195"/>
    </row>
    <row r="4196" spans="1:2">
      <c r="A4196"/>
      <c r="B4196"/>
    </row>
    <row r="4197" spans="1:2">
      <c r="A4197"/>
      <c r="B4197"/>
    </row>
    <row r="4198" spans="1:2">
      <c r="A4198"/>
      <c r="B4198"/>
    </row>
    <row r="4199" spans="1:2">
      <c r="A4199"/>
      <c r="B4199"/>
    </row>
    <row r="4200" spans="1:2">
      <c r="A4200"/>
      <c r="B4200"/>
    </row>
    <row r="4201" spans="1:2">
      <c r="A4201"/>
      <c r="B4201"/>
    </row>
    <row r="4202" spans="1:2">
      <c r="A4202"/>
      <c r="B4202"/>
    </row>
    <row r="4203" spans="1:2">
      <c r="A4203"/>
      <c r="B4203"/>
    </row>
    <row r="4204" spans="1:2">
      <c r="A4204"/>
      <c r="B4204"/>
    </row>
    <row r="4205" spans="1:2">
      <c r="A4205"/>
      <c r="B4205"/>
    </row>
    <row r="4206" spans="1:2">
      <c r="A4206"/>
      <c r="B4206"/>
    </row>
    <row r="4207" spans="1:2">
      <c r="A4207"/>
      <c r="B4207"/>
    </row>
    <row r="4208" spans="1:2">
      <c r="A4208"/>
      <c r="B4208"/>
    </row>
    <row r="4209" spans="1:2">
      <c r="A4209"/>
      <c r="B4209"/>
    </row>
    <row r="4210" spans="1:2">
      <c r="A4210"/>
      <c r="B4210"/>
    </row>
    <row r="4211" spans="1:2">
      <c r="A4211"/>
      <c r="B4211"/>
    </row>
    <row r="4212" spans="1:2">
      <c r="A4212"/>
      <c r="B4212"/>
    </row>
    <row r="4213" spans="1:2">
      <c r="A4213"/>
      <c r="B4213"/>
    </row>
    <row r="4214" spans="1:2">
      <c r="A4214"/>
      <c r="B4214"/>
    </row>
    <row r="4215" spans="1:2">
      <c r="A4215"/>
      <c r="B4215"/>
    </row>
    <row r="4216" spans="1:2">
      <c r="A4216"/>
      <c r="B4216"/>
    </row>
    <row r="4217" spans="1:2">
      <c r="A4217"/>
      <c r="B4217"/>
    </row>
    <row r="4218" spans="1:2">
      <c r="A4218"/>
      <c r="B4218"/>
    </row>
    <row r="4219" spans="1:2">
      <c r="A4219"/>
      <c r="B4219"/>
    </row>
    <row r="4220" spans="1:2">
      <c r="A4220"/>
      <c r="B4220"/>
    </row>
    <row r="4221" spans="1:2">
      <c r="A4221"/>
      <c r="B4221"/>
    </row>
    <row r="4222" spans="1:2">
      <c r="A4222"/>
      <c r="B4222"/>
    </row>
    <row r="4223" spans="1:2">
      <c r="A4223"/>
      <c r="B4223"/>
    </row>
    <row r="4224" spans="1:2">
      <c r="A4224"/>
      <c r="B4224"/>
    </row>
    <row r="4225" spans="1:2">
      <c r="A4225"/>
      <c r="B4225"/>
    </row>
    <row r="4226" spans="1:2">
      <c r="A4226"/>
      <c r="B4226"/>
    </row>
    <row r="4227" spans="1:2">
      <c r="A4227"/>
      <c r="B4227"/>
    </row>
    <row r="4228" spans="1:2">
      <c r="A4228"/>
      <c r="B4228"/>
    </row>
    <row r="4229" spans="1:2">
      <c r="A4229"/>
      <c r="B4229"/>
    </row>
    <row r="4230" spans="1:2">
      <c r="A4230"/>
      <c r="B4230"/>
    </row>
    <row r="4231" spans="1:2">
      <c r="A4231"/>
      <c r="B4231"/>
    </row>
    <row r="4232" spans="1:2">
      <c r="A4232"/>
      <c r="B4232"/>
    </row>
    <row r="4233" spans="1:2">
      <c r="A4233"/>
      <c r="B4233"/>
    </row>
    <row r="4234" spans="1:2">
      <c r="A4234"/>
      <c r="B4234"/>
    </row>
    <row r="4235" spans="1:2">
      <c r="A4235"/>
      <c r="B4235"/>
    </row>
    <row r="4236" spans="1:2">
      <c r="A4236"/>
      <c r="B4236"/>
    </row>
    <row r="4237" spans="1:2">
      <c r="A4237"/>
      <c r="B4237"/>
    </row>
    <row r="4238" spans="1:2">
      <c r="A4238"/>
      <c r="B4238"/>
    </row>
    <row r="4239" spans="1:2">
      <c r="A4239"/>
      <c r="B4239"/>
    </row>
    <row r="4240" spans="1:2">
      <c r="A4240"/>
      <c r="B4240"/>
    </row>
    <row r="4241" spans="1:2">
      <c r="A4241"/>
      <c r="B4241"/>
    </row>
    <row r="4242" spans="1:2">
      <c r="A4242"/>
      <c r="B4242"/>
    </row>
    <row r="4243" spans="1:2">
      <c r="A4243"/>
      <c r="B4243"/>
    </row>
    <row r="4244" spans="1:2">
      <c r="A4244"/>
      <c r="B4244"/>
    </row>
    <row r="4245" spans="1:2">
      <c r="A4245"/>
      <c r="B4245"/>
    </row>
    <row r="4246" spans="1:2">
      <c r="A4246"/>
      <c r="B4246"/>
    </row>
    <row r="4247" spans="1:2">
      <c r="A4247"/>
      <c r="B4247"/>
    </row>
    <row r="4248" spans="1:2">
      <c r="A4248"/>
      <c r="B4248"/>
    </row>
    <row r="4249" spans="1:2">
      <c r="A4249"/>
      <c r="B4249"/>
    </row>
    <row r="4250" spans="1:2">
      <c r="A4250"/>
      <c r="B4250"/>
    </row>
    <row r="4251" spans="1:2">
      <c r="A4251"/>
      <c r="B4251"/>
    </row>
    <row r="4252" spans="1:2">
      <c r="A4252"/>
      <c r="B4252"/>
    </row>
    <row r="4253" spans="1:2">
      <c r="A4253"/>
      <c r="B4253"/>
    </row>
    <row r="4254" spans="1:2">
      <c r="A4254"/>
      <c r="B4254"/>
    </row>
    <row r="4255" spans="1:2">
      <c r="A4255"/>
      <c r="B4255"/>
    </row>
    <row r="4256" spans="1:2">
      <c r="A4256"/>
      <c r="B4256"/>
    </row>
    <row r="4257" spans="1:2">
      <c r="A4257"/>
      <c r="B4257"/>
    </row>
    <row r="4258" spans="1:2">
      <c r="A4258"/>
      <c r="B4258"/>
    </row>
    <row r="4259" spans="1:2">
      <c r="A4259"/>
      <c r="B4259"/>
    </row>
    <row r="4260" spans="1:2">
      <c r="A4260"/>
      <c r="B4260"/>
    </row>
    <row r="4261" spans="1:2">
      <c r="A4261"/>
      <c r="B4261"/>
    </row>
    <row r="4262" spans="1:2">
      <c r="A4262"/>
      <c r="B4262"/>
    </row>
    <row r="4263" spans="1:2">
      <c r="A4263"/>
      <c r="B4263"/>
    </row>
    <row r="4264" spans="1:2">
      <c r="A4264"/>
      <c r="B4264"/>
    </row>
    <row r="4265" spans="1:2">
      <c r="A4265"/>
      <c r="B4265"/>
    </row>
    <row r="4266" spans="1:2">
      <c r="A4266"/>
      <c r="B4266"/>
    </row>
    <row r="4267" spans="1:2">
      <c r="A4267"/>
      <c r="B4267"/>
    </row>
    <row r="4268" spans="1:2">
      <c r="A4268"/>
      <c r="B4268"/>
    </row>
    <row r="4269" spans="1:2">
      <c r="A4269"/>
      <c r="B4269"/>
    </row>
    <row r="4270" spans="1:2">
      <c r="A4270"/>
      <c r="B4270"/>
    </row>
    <row r="4271" spans="1:2">
      <c r="A4271"/>
      <c r="B4271"/>
    </row>
    <row r="4272" spans="1:2">
      <c r="A4272"/>
      <c r="B4272"/>
    </row>
    <row r="4273" spans="1:2">
      <c r="A4273"/>
      <c r="B4273"/>
    </row>
    <row r="4274" spans="1:2">
      <c r="A4274"/>
      <c r="B4274"/>
    </row>
    <row r="4275" spans="1:2">
      <c r="A4275"/>
      <c r="B4275"/>
    </row>
    <row r="4276" spans="1:2">
      <c r="A4276"/>
      <c r="B4276"/>
    </row>
    <row r="4277" spans="1:2">
      <c r="A4277"/>
      <c r="B4277"/>
    </row>
    <row r="4278" spans="1:2">
      <c r="A4278"/>
      <c r="B4278"/>
    </row>
    <row r="4279" spans="1:2">
      <c r="A4279"/>
      <c r="B4279"/>
    </row>
    <row r="4280" spans="1:2">
      <c r="A4280"/>
      <c r="B4280"/>
    </row>
    <row r="4281" spans="1:2">
      <c r="A4281"/>
      <c r="B4281"/>
    </row>
    <row r="4282" spans="1:2">
      <c r="A4282"/>
      <c r="B4282"/>
    </row>
    <row r="4283" spans="1:2">
      <c r="A4283"/>
      <c r="B4283"/>
    </row>
    <row r="4284" spans="1:2">
      <c r="A4284"/>
      <c r="B4284"/>
    </row>
    <row r="4285" spans="1:2">
      <c r="A4285"/>
      <c r="B4285"/>
    </row>
    <row r="4286" spans="1:2">
      <c r="A4286"/>
      <c r="B4286"/>
    </row>
    <row r="4287" spans="1:2">
      <c r="A4287"/>
      <c r="B4287"/>
    </row>
    <row r="4288" spans="1:2">
      <c r="A4288"/>
      <c r="B4288"/>
    </row>
    <row r="4289" spans="1:2">
      <c r="A4289"/>
      <c r="B4289"/>
    </row>
    <row r="4290" spans="1:2">
      <c r="A4290"/>
      <c r="B4290"/>
    </row>
    <row r="4291" spans="1:2">
      <c r="A4291"/>
      <c r="B4291"/>
    </row>
    <row r="4292" spans="1:2">
      <c r="A4292"/>
      <c r="B4292"/>
    </row>
    <row r="4293" spans="1:2">
      <c r="A4293"/>
      <c r="B4293"/>
    </row>
    <row r="4294" spans="1:2">
      <c r="A4294"/>
      <c r="B4294"/>
    </row>
    <row r="4295" spans="1:2">
      <c r="A4295"/>
      <c r="B4295"/>
    </row>
    <row r="4296" spans="1:2">
      <c r="A4296"/>
      <c r="B4296"/>
    </row>
    <row r="4297" spans="1:2">
      <c r="A4297"/>
      <c r="B4297"/>
    </row>
    <row r="4298" spans="1:2">
      <c r="A4298"/>
      <c r="B4298"/>
    </row>
    <row r="4299" spans="1:2">
      <c r="A4299"/>
      <c r="B4299"/>
    </row>
    <row r="4300" spans="1:2">
      <c r="A4300"/>
      <c r="B4300"/>
    </row>
    <row r="4301" spans="1:2">
      <c r="A4301"/>
      <c r="B4301"/>
    </row>
    <row r="4302" spans="1:2">
      <c r="A4302"/>
      <c r="B4302"/>
    </row>
    <row r="4303" spans="1:2">
      <c r="A4303"/>
      <c r="B4303"/>
    </row>
    <row r="4304" spans="1:2">
      <c r="A4304"/>
      <c r="B4304"/>
    </row>
    <row r="4305" spans="1:2">
      <c r="A4305"/>
      <c r="B4305"/>
    </row>
    <row r="4306" spans="1:2">
      <c r="A4306"/>
      <c r="B4306"/>
    </row>
    <row r="4307" spans="1:2">
      <c r="A4307"/>
      <c r="B4307"/>
    </row>
    <row r="4308" spans="1:2">
      <c r="A4308"/>
      <c r="B4308"/>
    </row>
    <row r="4309" spans="1:2">
      <c r="A4309"/>
      <c r="B4309"/>
    </row>
    <row r="4310" spans="1:2">
      <c r="A4310"/>
      <c r="B4310"/>
    </row>
    <row r="4311" spans="1:2">
      <c r="A4311"/>
      <c r="B4311"/>
    </row>
    <row r="4312" spans="1:2">
      <c r="A4312"/>
      <c r="B4312"/>
    </row>
    <row r="4313" spans="1:2">
      <c r="A4313"/>
      <c r="B4313"/>
    </row>
    <row r="4314" spans="1:2">
      <c r="A4314"/>
      <c r="B4314"/>
    </row>
    <row r="4315" spans="1:2">
      <c r="A4315"/>
      <c r="B4315"/>
    </row>
    <row r="4316" spans="1:2">
      <c r="A4316"/>
      <c r="B4316"/>
    </row>
    <row r="4317" spans="1:2">
      <c r="A4317"/>
      <c r="B4317"/>
    </row>
    <row r="4318" spans="1:2">
      <c r="A4318"/>
      <c r="B4318"/>
    </row>
    <row r="4319" spans="1:2">
      <c r="A4319"/>
      <c r="B4319"/>
    </row>
    <row r="4320" spans="1:2">
      <c r="A4320"/>
      <c r="B4320"/>
    </row>
    <row r="4321" spans="1:2">
      <c r="A4321"/>
      <c r="B4321"/>
    </row>
    <row r="4322" spans="1:2">
      <c r="A4322"/>
      <c r="B4322"/>
    </row>
    <row r="4323" spans="1:2">
      <c r="A4323"/>
      <c r="B4323"/>
    </row>
    <row r="4324" spans="1:2">
      <c r="A4324"/>
      <c r="B4324"/>
    </row>
    <row r="4325" spans="1:2">
      <c r="A4325"/>
      <c r="B4325"/>
    </row>
    <row r="4326" spans="1:2">
      <c r="A4326"/>
      <c r="B4326"/>
    </row>
    <row r="4327" spans="1:2">
      <c r="A4327"/>
      <c r="B4327"/>
    </row>
    <row r="4328" spans="1:2">
      <c r="A4328"/>
      <c r="B4328"/>
    </row>
    <row r="4329" spans="1:2">
      <c r="A4329"/>
      <c r="B4329"/>
    </row>
    <row r="4330" spans="1:2">
      <c r="A4330"/>
      <c r="B4330"/>
    </row>
    <row r="4331" spans="1:2">
      <c r="A4331"/>
      <c r="B4331"/>
    </row>
    <row r="4332" spans="1:2">
      <c r="A4332"/>
      <c r="B4332"/>
    </row>
    <row r="4333" spans="1:2">
      <c r="A4333"/>
      <c r="B4333"/>
    </row>
    <row r="4334" spans="1:2">
      <c r="A4334"/>
      <c r="B4334"/>
    </row>
    <row r="4335" spans="1:2">
      <c r="A4335"/>
      <c r="B4335"/>
    </row>
    <row r="4336" spans="1:2">
      <c r="A4336"/>
      <c r="B4336"/>
    </row>
    <row r="4337" spans="1:2">
      <c r="A4337"/>
      <c r="B4337"/>
    </row>
    <row r="4338" spans="1:2">
      <c r="A4338"/>
      <c r="B4338"/>
    </row>
    <row r="4339" spans="1:2">
      <c r="A4339"/>
      <c r="B4339"/>
    </row>
    <row r="4340" spans="1:2">
      <c r="A4340"/>
      <c r="B4340"/>
    </row>
    <row r="4341" spans="1:2">
      <c r="A4341"/>
      <c r="B4341"/>
    </row>
    <row r="4342" spans="1:2">
      <c r="A4342"/>
      <c r="B4342"/>
    </row>
    <row r="4343" spans="1:2">
      <c r="A4343"/>
      <c r="B4343"/>
    </row>
    <row r="4344" spans="1:2">
      <c r="A4344"/>
      <c r="B4344"/>
    </row>
    <row r="4345" spans="1:2">
      <c r="A4345"/>
      <c r="B4345"/>
    </row>
    <row r="4346" spans="1:2">
      <c r="A4346"/>
      <c r="B4346"/>
    </row>
    <row r="4347" spans="1:2">
      <c r="A4347"/>
      <c r="B4347"/>
    </row>
    <row r="4348" spans="1:2">
      <c r="A4348"/>
      <c r="B4348"/>
    </row>
    <row r="4349" spans="1:2">
      <c r="A4349"/>
      <c r="B4349"/>
    </row>
    <row r="4350" spans="1:2">
      <c r="A4350"/>
      <c r="B4350"/>
    </row>
    <row r="4351" spans="1:2">
      <c r="A4351"/>
      <c r="B4351"/>
    </row>
    <row r="4352" spans="1:2">
      <c r="A4352"/>
      <c r="B4352"/>
    </row>
    <row r="4353" spans="1:2">
      <c r="A4353"/>
      <c r="B4353"/>
    </row>
    <row r="4354" spans="1:2">
      <c r="A4354"/>
      <c r="B4354"/>
    </row>
    <row r="4355" spans="1:2">
      <c r="A4355"/>
      <c r="B4355"/>
    </row>
    <row r="4356" spans="1:2">
      <c r="A4356"/>
      <c r="B4356"/>
    </row>
    <row r="4357" spans="1:2">
      <c r="A4357"/>
      <c r="B4357"/>
    </row>
    <row r="4358" spans="1:2">
      <c r="A4358"/>
      <c r="B4358"/>
    </row>
    <row r="4359" spans="1:2">
      <c r="A4359"/>
      <c r="B4359"/>
    </row>
    <row r="4360" spans="1:2">
      <c r="A4360"/>
      <c r="B4360"/>
    </row>
    <row r="4361" spans="1:2">
      <c r="A4361"/>
      <c r="B4361"/>
    </row>
    <row r="4362" spans="1:2">
      <c r="A4362"/>
      <c r="B4362"/>
    </row>
    <row r="4363" spans="1:2">
      <c r="A4363"/>
      <c r="B4363"/>
    </row>
    <row r="4364" spans="1:2">
      <c r="A4364"/>
      <c r="B4364"/>
    </row>
    <row r="4365" spans="1:2">
      <c r="A4365"/>
      <c r="B4365"/>
    </row>
    <row r="4366" spans="1:2">
      <c r="A4366"/>
      <c r="B4366"/>
    </row>
    <row r="4367" spans="1:2">
      <c r="A4367"/>
      <c r="B4367"/>
    </row>
    <row r="4368" spans="1:2">
      <c r="A4368"/>
      <c r="B4368"/>
    </row>
    <row r="4369" spans="1:2">
      <c r="A4369"/>
      <c r="B4369"/>
    </row>
    <row r="4370" spans="1:2">
      <c r="A4370"/>
      <c r="B4370"/>
    </row>
    <row r="4371" spans="1:2">
      <c r="A4371"/>
      <c r="B4371"/>
    </row>
    <row r="4372" spans="1:2">
      <c r="A4372"/>
      <c r="B4372"/>
    </row>
    <row r="4373" spans="1:2">
      <c r="A4373"/>
      <c r="B4373"/>
    </row>
    <row r="4374" spans="1:2">
      <c r="A4374"/>
      <c r="B4374"/>
    </row>
    <row r="4375" spans="1:2">
      <c r="A4375"/>
      <c r="B4375"/>
    </row>
    <row r="4376" spans="1:2">
      <c r="A4376"/>
      <c r="B4376"/>
    </row>
    <row r="4377" spans="1:2">
      <c r="A4377"/>
      <c r="B4377"/>
    </row>
    <row r="4378" spans="1:2">
      <c r="A4378"/>
      <c r="B4378"/>
    </row>
    <row r="4379" spans="1:2">
      <c r="A4379"/>
      <c r="B4379"/>
    </row>
    <row r="4380" spans="1:2">
      <c r="A4380"/>
      <c r="B4380"/>
    </row>
    <row r="4381" spans="1:2">
      <c r="A4381"/>
      <c r="B4381"/>
    </row>
    <row r="4382" spans="1:2">
      <c r="A4382"/>
      <c r="B4382"/>
    </row>
    <row r="4383" spans="1:2">
      <c r="A4383"/>
      <c r="B4383"/>
    </row>
    <row r="4384" spans="1:2">
      <c r="A4384"/>
      <c r="B4384"/>
    </row>
    <row r="4385" spans="1:2">
      <c r="A4385"/>
      <c r="B4385"/>
    </row>
    <row r="4386" spans="1:2">
      <c r="A4386"/>
      <c r="B4386"/>
    </row>
    <row r="4387" spans="1:2">
      <c r="A4387"/>
      <c r="B4387"/>
    </row>
    <row r="4388" spans="1:2">
      <c r="A4388"/>
      <c r="B4388"/>
    </row>
    <row r="4389" spans="1:2">
      <c r="A4389"/>
      <c r="B4389"/>
    </row>
    <row r="4390" spans="1:2">
      <c r="A4390"/>
      <c r="B4390"/>
    </row>
    <row r="4391" spans="1:2">
      <c r="A4391"/>
      <c r="B4391"/>
    </row>
    <row r="4392" spans="1:2">
      <c r="A4392"/>
      <c r="B4392"/>
    </row>
    <row r="4393" spans="1:2">
      <c r="A4393"/>
      <c r="B4393"/>
    </row>
    <row r="4394" spans="1:2">
      <c r="A4394"/>
      <c r="B4394"/>
    </row>
    <row r="4395" spans="1:2">
      <c r="A4395"/>
      <c r="B4395"/>
    </row>
    <row r="4396" spans="1:2">
      <c r="A4396"/>
      <c r="B4396"/>
    </row>
    <row r="4397" spans="1:2">
      <c r="A4397"/>
      <c r="B4397"/>
    </row>
    <row r="4398" spans="1:2">
      <c r="A4398"/>
      <c r="B4398"/>
    </row>
    <row r="4399" spans="1:2">
      <c r="A4399"/>
      <c r="B4399"/>
    </row>
    <row r="4400" spans="1:2">
      <c r="A4400"/>
      <c r="B4400"/>
    </row>
    <row r="4401" spans="1:2">
      <c r="A4401"/>
      <c r="B4401"/>
    </row>
    <row r="4402" spans="1:2">
      <c r="A4402"/>
      <c r="B4402"/>
    </row>
    <row r="4403" spans="1:2">
      <c r="A4403"/>
      <c r="B4403"/>
    </row>
    <row r="4404" spans="1:2">
      <c r="A4404"/>
      <c r="B4404"/>
    </row>
    <row r="4405" spans="1:2">
      <c r="A4405"/>
      <c r="B4405"/>
    </row>
    <row r="4406" spans="1:2">
      <c r="A4406"/>
      <c r="B4406"/>
    </row>
    <row r="4407" spans="1:2">
      <c r="A4407"/>
      <c r="B4407"/>
    </row>
    <row r="4408" spans="1:2">
      <c r="A4408"/>
      <c r="B4408"/>
    </row>
    <row r="4409" spans="1:2">
      <c r="A4409"/>
      <c r="B4409"/>
    </row>
    <row r="4410" spans="1:2">
      <c r="A4410"/>
      <c r="B4410"/>
    </row>
    <row r="4411" spans="1:2">
      <c r="A4411"/>
      <c r="B4411"/>
    </row>
    <row r="4412" spans="1:2">
      <c r="A4412"/>
      <c r="B4412"/>
    </row>
    <row r="4413" spans="1:2">
      <c r="A4413"/>
      <c r="B4413"/>
    </row>
    <row r="4414" spans="1:2">
      <c r="A4414"/>
      <c r="B4414"/>
    </row>
    <row r="4415" spans="1:2">
      <c r="A4415"/>
      <c r="B4415"/>
    </row>
    <row r="4416" spans="1:2">
      <c r="A4416"/>
      <c r="B4416"/>
    </row>
    <row r="4417" spans="1:2">
      <c r="A4417"/>
      <c r="B4417"/>
    </row>
    <row r="4418" spans="1:2">
      <c r="A4418"/>
      <c r="B4418"/>
    </row>
    <row r="4419" spans="1:2">
      <c r="A4419"/>
      <c r="B4419"/>
    </row>
    <row r="4420" spans="1:2">
      <c r="A4420"/>
      <c r="B4420"/>
    </row>
    <row r="4421" spans="1:2">
      <c r="A4421"/>
      <c r="B4421"/>
    </row>
    <row r="4422" spans="1:2">
      <c r="A4422"/>
      <c r="B4422"/>
    </row>
    <row r="4423" spans="1:2">
      <c r="A4423"/>
      <c r="B4423"/>
    </row>
    <row r="4424" spans="1:2">
      <c r="A4424"/>
      <c r="B4424"/>
    </row>
    <row r="4425" spans="1:2">
      <c r="A4425"/>
      <c r="B4425"/>
    </row>
    <row r="4426" spans="1:2">
      <c r="A4426"/>
      <c r="B4426"/>
    </row>
    <row r="4427" spans="1:2">
      <c r="A4427"/>
      <c r="B4427"/>
    </row>
    <row r="4428" spans="1:2">
      <c r="A4428"/>
      <c r="B4428"/>
    </row>
    <row r="4429" spans="1:2">
      <c r="A4429"/>
      <c r="B4429"/>
    </row>
    <row r="4430" spans="1:2">
      <c r="A4430"/>
      <c r="B4430"/>
    </row>
    <row r="4431" spans="1:2">
      <c r="A4431"/>
      <c r="B4431"/>
    </row>
    <row r="4432" spans="1:2">
      <c r="A4432"/>
      <c r="B4432"/>
    </row>
    <row r="4433" spans="1:2">
      <c r="A4433"/>
      <c r="B4433"/>
    </row>
    <row r="4434" spans="1:2">
      <c r="A4434"/>
      <c r="B4434"/>
    </row>
    <row r="4435" spans="1:2">
      <c r="A4435"/>
      <c r="B4435"/>
    </row>
    <row r="4436" spans="1:2">
      <c r="A4436"/>
      <c r="B4436"/>
    </row>
    <row r="4437" spans="1:2">
      <c r="A4437"/>
      <c r="B4437"/>
    </row>
    <row r="4438" spans="1:2">
      <c r="A4438"/>
      <c r="B4438"/>
    </row>
    <row r="4439" spans="1:2">
      <c r="A4439"/>
      <c r="B4439"/>
    </row>
    <row r="4440" spans="1:2">
      <c r="A4440"/>
      <c r="B4440"/>
    </row>
    <row r="4441" spans="1:2">
      <c r="A4441"/>
      <c r="B4441"/>
    </row>
    <row r="4442" spans="1:2">
      <c r="A4442"/>
      <c r="B4442"/>
    </row>
    <row r="4443" spans="1:2">
      <c r="A4443"/>
      <c r="B4443"/>
    </row>
    <row r="4444" spans="1:2">
      <c r="A4444"/>
      <c r="B4444"/>
    </row>
    <row r="4445" spans="1:2">
      <c r="A4445"/>
      <c r="B4445"/>
    </row>
    <row r="4446" spans="1:2">
      <c r="A4446"/>
      <c r="B4446"/>
    </row>
    <row r="4447" spans="1:2">
      <c r="A4447"/>
      <c r="B4447"/>
    </row>
    <row r="4448" spans="1:2">
      <c r="A4448"/>
      <c r="B4448"/>
    </row>
    <row r="4449" spans="1:2">
      <c r="A4449"/>
      <c r="B4449"/>
    </row>
    <row r="4450" spans="1:2">
      <c r="A4450"/>
      <c r="B4450"/>
    </row>
    <row r="4451" spans="1:2">
      <c r="A4451"/>
      <c r="B4451"/>
    </row>
    <row r="4452" spans="1:2">
      <c r="A4452"/>
      <c r="B4452"/>
    </row>
    <row r="4453" spans="1:2">
      <c r="A4453"/>
      <c r="B4453"/>
    </row>
    <row r="4454" spans="1:2">
      <c r="A4454"/>
      <c r="B4454"/>
    </row>
    <row r="4455" spans="1:2">
      <c r="A4455"/>
      <c r="B4455"/>
    </row>
    <row r="4456" spans="1:2">
      <c r="A4456"/>
      <c r="B4456"/>
    </row>
    <row r="4457" spans="1:2">
      <c r="A4457"/>
      <c r="B4457"/>
    </row>
    <row r="4458" spans="1:2">
      <c r="A4458"/>
      <c r="B4458"/>
    </row>
    <row r="4459" spans="1:2">
      <c r="A4459"/>
      <c r="B4459"/>
    </row>
    <row r="4460" spans="1:2">
      <c r="A4460"/>
      <c r="B4460"/>
    </row>
    <row r="4461" spans="1:2">
      <c r="A4461"/>
      <c r="B4461"/>
    </row>
    <row r="4462" spans="1:2">
      <c r="A4462"/>
      <c r="B4462"/>
    </row>
    <row r="4463" spans="1:2">
      <c r="A4463"/>
      <c r="B4463"/>
    </row>
    <row r="4464" spans="1:2">
      <c r="A4464"/>
      <c r="B4464"/>
    </row>
    <row r="4465" spans="1:2">
      <c r="A4465"/>
      <c r="B4465"/>
    </row>
    <row r="4466" spans="1:2">
      <c r="A4466"/>
      <c r="B4466"/>
    </row>
    <row r="4467" spans="1:2">
      <c r="A4467"/>
      <c r="B4467"/>
    </row>
    <row r="4468" spans="1:2">
      <c r="A4468"/>
      <c r="B4468"/>
    </row>
    <row r="4469" spans="1:2">
      <c r="A4469"/>
      <c r="B4469"/>
    </row>
    <row r="4470" spans="1:2">
      <c r="A4470"/>
      <c r="B4470"/>
    </row>
    <row r="4471" spans="1:2">
      <c r="A4471"/>
      <c r="B4471"/>
    </row>
    <row r="4472" spans="1:2">
      <c r="A4472"/>
      <c r="B4472"/>
    </row>
    <row r="4473" spans="1:2">
      <c r="A4473"/>
      <c r="B4473"/>
    </row>
    <row r="4474" spans="1:2">
      <c r="A4474"/>
      <c r="B4474"/>
    </row>
    <row r="4475" spans="1:2">
      <c r="A4475"/>
      <c r="B4475"/>
    </row>
    <row r="4476" spans="1:2">
      <c r="A4476"/>
      <c r="B4476"/>
    </row>
    <row r="4477" spans="1:2">
      <c r="A4477"/>
      <c r="B4477"/>
    </row>
    <row r="4478" spans="1:2">
      <c r="A4478"/>
      <c r="B4478"/>
    </row>
    <row r="4479" spans="1:2">
      <c r="A4479"/>
      <c r="B4479"/>
    </row>
    <row r="4480" spans="1:2">
      <c r="A4480"/>
      <c r="B4480"/>
    </row>
    <row r="4481" spans="1:2">
      <c r="A4481"/>
      <c r="B4481"/>
    </row>
    <row r="4482" spans="1:2">
      <c r="A4482"/>
      <c r="B4482"/>
    </row>
    <row r="4483" spans="1:2">
      <c r="A4483"/>
      <c r="B4483"/>
    </row>
    <row r="4484" spans="1:2">
      <c r="A4484"/>
      <c r="B4484"/>
    </row>
    <row r="4485" spans="1:2">
      <c r="A4485"/>
      <c r="B4485"/>
    </row>
    <row r="4486" spans="1:2">
      <c r="A4486"/>
      <c r="B4486"/>
    </row>
    <row r="4487" spans="1:2">
      <c r="A4487"/>
      <c r="B4487"/>
    </row>
    <row r="4488" spans="1:2">
      <c r="A4488"/>
      <c r="B4488"/>
    </row>
    <row r="4489" spans="1:2">
      <c r="A4489"/>
      <c r="B4489"/>
    </row>
    <row r="4490" spans="1:2">
      <c r="A4490"/>
      <c r="B4490"/>
    </row>
    <row r="4491" spans="1:2">
      <c r="A4491"/>
      <c r="B4491"/>
    </row>
    <row r="4492" spans="1:2">
      <c r="A4492"/>
      <c r="B4492"/>
    </row>
    <row r="4493" spans="1:2">
      <c r="A4493"/>
      <c r="B4493"/>
    </row>
    <row r="4494" spans="1:2">
      <c r="A4494"/>
      <c r="B4494"/>
    </row>
    <row r="4495" spans="1:2">
      <c r="A4495"/>
      <c r="B4495"/>
    </row>
    <row r="4496" spans="1:2">
      <c r="A4496"/>
      <c r="B4496"/>
    </row>
    <row r="4497" spans="1:2">
      <c r="A4497"/>
      <c r="B4497"/>
    </row>
    <row r="4498" spans="1:2">
      <c r="A4498"/>
      <c r="B449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830E-6358-0B45-8098-178B8E72A13D}">
  <dimension ref="B1:I17"/>
  <sheetViews>
    <sheetView zoomScaleNormal="100" workbookViewId="0"/>
  </sheetViews>
  <sheetFormatPr baseColWidth="10" defaultRowHeight="16"/>
  <cols>
    <col min="1" max="1" width="2.83203125" style="24" customWidth="1"/>
    <col min="2" max="3" width="11.33203125" style="24" bestFit="1" customWidth="1"/>
    <col min="4" max="4" width="5" style="24" bestFit="1" customWidth="1"/>
    <col min="5" max="5" width="9.1640625" style="24" bestFit="1" customWidth="1"/>
    <col min="6" max="6" width="6.83203125" style="24" bestFit="1" customWidth="1"/>
    <col min="7" max="7" width="9" style="24" bestFit="1" customWidth="1"/>
    <col min="8" max="8" width="11.83203125" style="24" bestFit="1" customWidth="1"/>
    <col min="9" max="16384" width="10.83203125" style="24"/>
  </cols>
  <sheetData>
    <row r="1" spans="2:9" s="26" customFormat="1" ht="17" thickBot="1"/>
    <row r="2" spans="2:9">
      <c r="B2" s="36" t="s">
        <v>11688</v>
      </c>
      <c r="C2" s="37" t="s">
        <v>19074</v>
      </c>
      <c r="D2" s="37" t="s">
        <v>11689</v>
      </c>
      <c r="E2" s="37" t="s">
        <v>11690</v>
      </c>
      <c r="F2" s="37" t="s">
        <v>11691</v>
      </c>
      <c r="G2" s="37" t="s">
        <v>11692</v>
      </c>
      <c r="H2" s="38" t="s">
        <v>19075</v>
      </c>
    </row>
    <row r="3" spans="2:9">
      <c r="B3" s="41" t="s">
        <v>1030</v>
      </c>
      <c r="C3" s="27">
        <v>6</v>
      </c>
      <c r="D3" s="27">
        <v>0</v>
      </c>
      <c r="E3" s="27">
        <v>0</v>
      </c>
      <c r="F3" s="27">
        <v>0</v>
      </c>
      <c r="G3" s="27">
        <v>0</v>
      </c>
      <c r="H3" s="39">
        <v>6</v>
      </c>
      <c r="I3"/>
    </row>
    <row r="4" spans="2:9">
      <c r="B4" s="41" t="s">
        <v>1031</v>
      </c>
      <c r="C4" s="27">
        <v>0</v>
      </c>
      <c r="D4" s="27">
        <v>0</v>
      </c>
      <c r="E4" s="27">
        <v>0</v>
      </c>
      <c r="F4" s="27">
        <v>0</v>
      </c>
      <c r="G4" s="27">
        <v>0</v>
      </c>
      <c r="H4" s="39">
        <v>0</v>
      </c>
      <c r="I4"/>
    </row>
    <row r="5" spans="2:9">
      <c r="B5" s="41" t="s">
        <v>1032</v>
      </c>
      <c r="C5" s="27">
        <v>10</v>
      </c>
      <c r="D5" s="27">
        <v>0</v>
      </c>
      <c r="E5" s="27">
        <v>0</v>
      </c>
      <c r="F5" s="27">
        <v>0</v>
      </c>
      <c r="G5" s="27">
        <v>0</v>
      </c>
      <c r="H5" s="39">
        <v>10</v>
      </c>
      <c r="I5"/>
    </row>
    <row r="6" spans="2:9">
      <c r="B6" s="41" t="s">
        <v>1033</v>
      </c>
      <c r="C6" s="27">
        <v>0</v>
      </c>
      <c r="D6" s="27">
        <v>0</v>
      </c>
      <c r="E6" s="27">
        <v>0</v>
      </c>
      <c r="F6" s="27">
        <v>0</v>
      </c>
      <c r="G6" s="27">
        <v>0</v>
      </c>
      <c r="H6" s="39">
        <v>0</v>
      </c>
      <c r="I6"/>
    </row>
    <row r="7" spans="2:9">
      <c r="B7" s="41" t="s">
        <v>1034</v>
      </c>
      <c r="C7" s="27">
        <v>17</v>
      </c>
      <c r="D7" s="27">
        <v>1</v>
      </c>
      <c r="E7" s="27">
        <v>0</v>
      </c>
      <c r="F7" s="27">
        <v>0</v>
      </c>
      <c r="G7" s="27">
        <v>0</v>
      </c>
      <c r="H7" s="39">
        <v>18</v>
      </c>
      <c r="I7"/>
    </row>
    <row r="8" spans="2:9">
      <c r="B8" s="41" t="s">
        <v>1035</v>
      </c>
      <c r="C8" s="27">
        <v>2</v>
      </c>
      <c r="D8" s="27">
        <v>0</v>
      </c>
      <c r="E8" s="27">
        <v>0</v>
      </c>
      <c r="F8" s="27">
        <v>0</v>
      </c>
      <c r="G8" s="27">
        <v>0</v>
      </c>
      <c r="H8" s="39">
        <v>2</v>
      </c>
      <c r="I8"/>
    </row>
    <row r="9" spans="2:9">
      <c r="B9" s="41" t="s">
        <v>1036</v>
      </c>
      <c r="C9" s="27">
        <v>40</v>
      </c>
      <c r="D9" s="27">
        <v>1</v>
      </c>
      <c r="E9" s="27">
        <v>0</v>
      </c>
      <c r="F9" s="27">
        <v>0</v>
      </c>
      <c r="G9" s="27">
        <v>1</v>
      </c>
      <c r="H9" s="39">
        <v>41</v>
      </c>
      <c r="I9"/>
    </row>
    <row r="10" spans="2:9">
      <c r="B10" s="41" t="s">
        <v>1037</v>
      </c>
      <c r="C10" s="27">
        <v>0</v>
      </c>
      <c r="D10" s="27">
        <v>0</v>
      </c>
      <c r="E10" s="27">
        <v>0</v>
      </c>
      <c r="F10" s="27">
        <v>0</v>
      </c>
      <c r="G10" s="27">
        <v>0</v>
      </c>
      <c r="H10" s="39">
        <v>0</v>
      </c>
      <c r="I10"/>
    </row>
    <row r="11" spans="2:9">
      <c r="B11" s="41" t="s">
        <v>269</v>
      </c>
      <c r="C11" s="27">
        <v>72</v>
      </c>
      <c r="D11" s="27">
        <v>9</v>
      </c>
      <c r="E11" s="27">
        <v>0</v>
      </c>
      <c r="F11" s="27">
        <v>0</v>
      </c>
      <c r="G11" s="27">
        <v>3</v>
      </c>
      <c r="H11" s="39">
        <v>81</v>
      </c>
      <c r="I11"/>
    </row>
    <row r="12" spans="2:9">
      <c r="B12" s="41" t="s">
        <v>1038</v>
      </c>
      <c r="C12" s="27">
        <v>8</v>
      </c>
      <c r="D12" s="27">
        <v>3</v>
      </c>
      <c r="E12" s="27">
        <v>0</v>
      </c>
      <c r="F12" s="27">
        <v>0</v>
      </c>
      <c r="G12" s="27">
        <v>0</v>
      </c>
      <c r="H12" s="39">
        <v>11</v>
      </c>
      <c r="I12"/>
    </row>
    <row r="13" spans="2:9">
      <c r="B13" s="41" t="s">
        <v>436</v>
      </c>
      <c r="C13" s="27">
        <v>264</v>
      </c>
      <c r="D13" s="27">
        <v>51</v>
      </c>
      <c r="E13" s="27">
        <v>-1</v>
      </c>
      <c r="F13" s="27">
        <v>11</v>
      </c>
      <c r="G13" s="27">
        <v>2</v>
      </c>
      <c r="H13" s="39">
        <v>314</v>
      </c>
      <c r="I13"/>
    </row>
    <row r="14" spans="2:9">
      <c r="B14" s="41" t="s">
        <v>437</v>
      </c>
      <c r="C14" s="27">
        <v>182</v>
      </c>
      <c r="D14" s="27">
        <v>18</v>
      </c>
      <c r="E14" s="27">
        <v>0</v>
      </c>
      <c r="F14" s="27">
        <v>1</v>
      </c>
      <c r="G14" s="27">
        <v>1</v>
      </c>
      <c r="H14" s="39">
        <v>200</v>
      </c>
      <c r="I14"/>
    </row>
    <row r="15" spans="2:9">
      <c r="B15" s="41" t="s">
        <v>438</v>
      </c>
      <c r="C15" s="27">
        <v>2818</v>
      </c>
      <c r="D15" s="27">
        <v>820</v>
      </c>
      <c r="E15" s="27">
        <v>-116</v>
      </c>
      <c r="F15" s="27">
        <v>59</v>
      </c>
      <c r="G15" s="27">
        <v>1</v>
      </c>
      <c r="H15" s="39">
        <v>3522</v>
      </c>
      <c r="I15"/>
    </row>
    <row r="16" spans="2:9">
      <c r="B16" s="41" t="s">
        <v>1039</v>
      </c>
      <c r="C16" s="27">
        <v>84</v>
      </c>
      <c r="D16" s="27">
        <v>0</v>
      </c>
      <c r="E16" s="27">
        <v>0</v>
      </c>
      <c r="F16" s="27">
        <v>0</v>
      </c>
      <c r="G16" s="27">
        <v>0</v>
      </c>
      <c r="H16" s="39">
        <v>84</v>
      </c>
      <c r="I16"/>
    </row>
    <row r="17" spans="2:9" ht="17" thickBot="1">
      <c r="B17" s="42" t="s">
        <v>439</v>
      </c>
      <c r="C17" s="28">
        <v>11273</v>
      </c>
      <c r="D17" s="28">
        <v>3547</v>
      </c>
      <c r="E17" s="28">
        <v>-130</v>
      </c>
      <c r="F17" s="28">
        <v>407</v>
      </c>
      <c r="G17" s="28">
        <v>2884</v>
      </c>
      <c r="H17" s="40">
        <v>14690</v>
      </c>
      <c r="I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Version</vt:lpstr>
      <vt:lpstr>MSL</vt:lpstr>
      <vt:lpstr>Column Definitions</vt:lpstr>
      <vt:lpstr>Taxa Renamed in MSL39</vt:lpstr>
      <vt:lpstr>Taxon Counts</vt:lpstr>
    </vt:vector>
  </TitlesOfParts>
  <Company>UAB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Hendrickson</dc:creator>
  <cp:lastModifiedBy>Lefkowitz, Elliot J</cp:lastModifiedBy>
  <cp:lastPrinted>2009-10-04T23:39:18Z</cp:lastPrinted>
  <dcterms:created xsi:type="dcterms:W3CDTF">2009-08-13T19:43:48Z</dcterms:created>
  <dcterms:modified xsi:type="dcterms:W3CDTF">2024-05-07T20:24:16Z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b3e54a7d-6175-4c77-9337-59c65cfd6551</vt:lpwstr>
  </property>
</Properties>
</file>